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DE726D1-C998-4B43-B7B5-2A451FD8558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nk SellersCompetitors" sheetId="1" r:id="rId1"/>
    <sheet name="Extracted Websites" sheetId="2" r:id="rId2"/>
    <sheet name="Rubel" sheetId="3" r:id="rId3"/>
    <sheet name="Jeff" sheetId="4" r:id="rId4"/>
    <sheet name="Sal" sheetId="5" r:id="rId5"/>
    <sheet name="Brady" sheetId="6" r:id="rId6"/>
    <sheet name="Robiul" sheetId="7" r:id="rId7"/>
  </sheets>
  <definedNames>
    <definedName name="_xlnm._FilterDatabase" localSheetId="2" hidden="1">Rubel!$A$1:$AB$10139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78" i="7" l="1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D259" i="7"/>
  <c r="E258" i="7"/>
  <c r="D258" i="7"/>
  <c r="E257" i="7"/>
  <c r="D257" i="7"/>
  <c r="E256" i="7"/>
  <c r="D256" i="7"/>
  <c r="E255" i="7"/>
  <c r="D255" i="7"/>
  <c r="E254" i="7"/>
  <c r="D254" i="7"/>
  <c r="E253" i="7"/>
  <c r="D253" i="7"/>
  <c r="E252" i="7"/>
  <c r="D252" i="7"/>
  <c r="E251" i="7"/>
  <c r="D251" i="7"/>
  <c r="E250" i="7"/>
  <c r="D250" i="7"/>
  <c r="E249" i="7"/>
  <c r="D249" i="7"/>
  <c r="E248" i="7"/>
  <c r="D248" i="7"/>
  <c r="E247" i="7"/>
  <c r="D247" i="7"/>
  <c r="E246" i="7"/>
  <c r="D246" i="7"/>
  <c r="E245" i="7"/>
  <c r="D245" i="7"/>
  <c r="E244" i="7"/>
  <c r="D244" i="7"/>
  <c r="E243" i="7"/>
  <c r="D243" i="7"/>
  <c r="E242" i="7"/>
  <c r="D242" i="7"/>
  <c r="E241" i="7"/>
  <c r="D241" i="7"/>
  <c r="E240" i="7"/>
  <c r="D240" i="7"/>
  <c r="E239" i="7"/>
  <c r="D239" i="7"/>
  <c r="E238" i="7"/>
  <c r="D238" i="7"/>
  <c r="E237" i="7"/>
  <c r="D237" i="7"/>
  <c r="E236" i="7"/>
  <c r="D236" i="7"/>
  <c r="E235" i="7"/>
  <c r="D235" i="7"/>
  <c r="E234" i="7"/>
  <c r="D234" i="7"/>
  <c r="E233" i="7"/>
  <c r="D233" i="7"/>
  <c r="E232" i="7"/>
  <c r="D232" i="7"/>
  <c r="E231" i="7"/>
  <c r="D231" i="7"/>
  <c r="E230" i="7"/>
  <c r="D230" i="7"/>
  <c r="E229" i="7"/>
  <c r="D229" i="7"/>
  <c r="E228" i="7"/>
  <c r="D228" i="7"/>
  <c r="E227" i="7"/>
  <c r="D227" i="7"/>
  <c r="E226" i="7"/>
  <c r="D226" i="7"/>
  <c r="E225" i="7"/>
  <c r="D225" i="7"/>
  <c r="E224" i="7"/>
  <c r="D224" i="7"/>
  <c r="E223" i="7"/>
  <c r="D223" i="7"/>
  <c r="E222" i="7"/>
  <c r="D222" i="7"/>
  <c r="E221" i="7"/>
  <c r="D221" i="7"/>
  <c r="E220" i="7"/>
  <c r="D220" i="7"/>
  <c r="E219" i="7"/>
  <c r="D219" i="7"/>
  <c r="E218" i="7"/>
  <c r="D218" i="7"/>
  <c r="E217" i="7"/>
  <c r="D217" i="7"/>
  <c r="E216" i="7"/>
  <c r="D216" i="7"/>
  <c r="E215" i="7"/>
  <c r="D215" i="7"/>
  <c r="E214" i="7"/>
  <c r="D214" i="7"/>
  <c r="E213" i="7"/>
  <c r="D213" i="7"/>
  <c r="E212" i="7"/>
  <c r="D212" i="7"/>
  <c r="E211" i="7"/>
  <c r="D211" i="7"/>
  <c r="E210" i="7"/>
  <c r="D210" i="7"/>
  <c r="E209" i="7"/>
  <c r="D209" i="7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3" i="7"/>
  <c r="D3" i="7"/>
  <c r="E2" i="7"/>
  <c r="D2" i="7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11090" i="3"/>
  <c r="E11089" i="3"/>
  <c r="E11088" i="3"/>
  <c r="E11087" i="3"/>
  <c r="E11086" i="3"/>
  <c r="E11085" i="3"/>
  <c r="E11084" i="3"/>
  <c r="E11083" i="3"/>
  <c r="E11082" i="3"/>
  <c r="E11081" i="3"/>
  <c r="E11080" i="3"/>
  <c r="E11079" i="3"/>
  <c r="E11078" i="3"/>
  <c r="E11077" i="3"/>
  <c r="E11076" i="3"/>
  <c r="E11075" i="3"/>
  <c r="E11074" i="3"/>
  <c r="E11073" i="3"/>
  <c r="E11072" i="3"/>
  <c r="E11071" i="3"/>
  <c r="E11070" i="3"/>
  <c r="E11069" i="3"/>
  <c r="E11068" i="3"/>
  <c r="E11067" i="3"/>
  <c r="E11066" i="3"/>
  <c r="E11065" i="3"/>
  <c r="E11064" i="3"/>
  <c r="E11063" i="3"/>
  <c r="E11062" i="3"/>
  <c r="E11061" i="3"/>
  <c r="E11060" i="3"/>
  <c r="E11059" i="3"/>
  <c r="E11058" i="3"/>
  <c r="E11057" i="3"/>
  <c r="E11056" i="3"/>
  <c r="E11055" i="3"/>
  <c r="E11054" i="3"/>
  <c r="E11053" i="3"/>
  <c r="E11052" i="3"/>
  <c r="E11051" i="3"/>
  <c r="E11050" i="3"/>
  <c r="E11049" i="3"/>
  <c r="E11048" i="3"/>
  <c r="E11047" i="3"/>
  <c r="E11046" i="3"/>
  <c r="E11045" i="3"/>
  <c r="E11044" i="3"/>
  <c r="E11043" i="3"/>
  <c r="E11042" i="3"/>
  <c r="E11041" i="3"/>
  <c r="E11040" i="3"/>
  <c r="E11039" i="3"/>
  <c r="E11038" i="3"/>
  <c r="E11037" i="3"/>
  <c r="E11036" i="3"/>
  <c r="E11035" i="3"/>
  <c r="E11034" i="3"/>
  <c r="E11033" i="3"/>
  <c r="E11032" i="3"/>
  <c r="E11031" i="3"/>
  <c r="E11030" i="3"/>
  <c r="E11029" i="3"/>
  <c r="E11028" i="3"/>
  <c r="E11027" i="3"/>
  <c r="E11026" i="3"/>
  <c r="E11025" i="3"/>
  <c r="E11024" i="3"/>
  <c r="E11023" i="3"/>
  <c r="E11022" i="3"/>
  <c r="E11021" i="3"/>
  <c r="E11020" i="3"/>
  <c r="E11019" i="3"/>
  <c r="E11018" i="3"/>
  <c r="E11017" i="3"/>
  <c r="E11016" i="3"/>
  <c r="E11015" i="3"/>
  <c r="E11014" i="3"/>
  <c r="E11013" i="3"/>
  <c r="E11012" i="3"/>
  <c r="E11011" i="3"/>
  <c r="E11010" i="3"/>
  <c r="E11009" i="3"/>
  <c r="E11008" i="3"/>
  <c r="E11007" i="3"/>
  <c r="E11006" i="3"/>
  <c r="E11005" i="3"/>
  <c r="E11004" i="3"/>
  <c r="E11003" i="3"/>
  <c r="E11002" i="3"/>
  <c r="E11001" i="3"/>
  <c r="E11000" i="3"/>
  <c r="E10999" i="3"/>
  <c r="E10998" i="3"/>
  <c r="E10997" i="3"/>
  <c r="E10996" i="3"/>
  <c r="E10995" i="3"/>
  <c r="E10994" i="3"/>
  <c r="E10993" i="3"/>
  <c r="E10992" i="3"/>
  <c r="E10991" i="3"/>
  <c r="E10990" i="3"/>
  <c r="E10989" i="3"/>
  <c r="E10988" i="3"/>
  <c r="E10987" i="3"/>
  <c r="E10986" i="3"/>
  <c r="E10985" i="3"/>
  <c r="E10984" i="3"/>
  <c r="E10983" i="3"/>
  <c r="E10982" i="3"/>
  <c r="E10981" i="3"/>
  <c r="E10980" i="3"/>
  <c r="E10979" i="3"/>
  <c r="E10978" i="3"/>
  <c r="E10977" i="3"/>
  <c r="E10976" i="3"/>
  <c r="E10975" i="3"/>
  <c r="E10974" i="3"/>
  <c r="E10973" i="3"/>
  <c r="E10972" i="3"/>
  <c r="E10971" i="3"/>
  <c r="E10970" i="3"/>
  <c r="E10969" i="3"/>
  <c r="E10968" i="3"/>
  <c r="E10967" i="3"/>
  <c r="E10966" i="3"/>
  <c r="E10965" i="3"/>
  <c r="E10964" i="3"/>
  <c r="E10963" i="3"/>
  <c r="E10962" i="3"/>
  <c r="E10961" i="3"/>
  <c r="E10960" i="3"/>
  <c r="E10959" i="3"/>
  <c r="E10958" i="3"/>
  <c r="E10957" i="3"/>
  <c r="E10956" i="3"/>
  <c r="E10955" i="3"/>
  <c r="E10954" i="3"/>
  <c r="E10953" i="3"/>
  <c r="E10952" i="3"/>
  <c r="E10951" i="3"/>
  <c r="E10950" i="3"/>
  <c r="E10949" i="3"/>
  <c r="E10948" i="3"/>
  <c r="E10947" i="3"/>
  <c r="E10946" i="3"/>
  <c r="E10945" i="3"/>
  <c r="E10944" i="3"/>
  <c r="E10943" i="3"/>
  <c r="E10942" i="3"/>
  <c r="E10941" i="3"/>
  <c r="E10940" i="3"/>
  <c r="E10939" i="3"/>
  <c r="E10938" i="3"/>
  <c r="E10937" i="3"/>
  <c r="E10936" i="3"/>
  <c r="E10935" i="3"/>
  <c r="E10934" i="3"/>
  <c r="E10933" i="3"/>
  <c r="E10932" i="3"/>
  <c r="E10931" i="3"/>
  <c r="E10930" i="3"/>
  <c r="E10929" i="3"/>
  <c r="E10928" i="3"/>
  <c r="E10927" i="3"/>
  <c r="E10926" i="3"/>
  <c r="E10925" i="3"/>
  <c r="E10924" i="3"/>
  <c r="E10923" i="3"/>
  <c r="E10922" i="3"/>
  <c r="E10921" i="3"/>
  <c r="E10920" i="3"/>
  <c r="E10919" i="3"/>
  <c r="E10918" i="3"/>
  <c r="E10917" i="3"/>
  <c r="E10916" i="3"/>
  <c r="E10915" i="3"/>
  <c r="E10914" i="3"/>
  <c r="E10913" i="3"/>
  <c r="E10912" i="3"/>
  <c r="E10911" i="3"/>
  <c r="E10910" i="3"/>
  <c r="E10909" i="3"/>
  <c r="E10908" i="3"/>
  <c r="E10907" i="3"/>
  <c r="E10906" i="3"/>
  <c r="E10905" i="3"/>
  <c r="E10904" i="3"/>
  <c r="E10903" i="3"/>
  <c r="E10902" i="3"/>
  <c r="E10901" i="3"/>
  <c r="E10900" i="3"/>
  <c r="E10899" i="3"/>
  <c r="E10898" i="3"/>
  <c r="E10897" i="3"/>
  <c r="E10896" i="3"/>
  <c r="E10895" i="3"/>
  <c r="E10894" i="3"/>
  <c r="E10893" i="3"/>
  <c r="E10892" i="3"/>
  <c r="E10891" i="3"/>
  <c r="E10890" i="3"/>
  <c r="E10889" i="3"/>
  <c r="E10888" i="3"/>
  <c r="E10887" i="3"/>
  <c r="E10886" i="3"/>
  <c r="E10885" i="3"/>
  <c r="E10884" i="3"/>
  <c r="E10883" i="3"/>
  <c r="E10882" i="3"/>
  <c r="E10881" i="3"/>
  <c r="E10880" i="3"/>
  <c r="E10879" i="3"/>
  <c r="E10878" i="3"/>
  <c r="E10877" i="3"/>
  <c r="E10876" i="3"/>
  <c r="E10875" i="3"/>
  <c r="E10874" i="3"/>
  <c r="E10873" i="3"/>
  <c r="E10872" i="3"/>
  <c r="E10871" i="3"/>
  <c r="E10870" i="3"/>
  <c r="E10869" i="3"/>
  <c r="E10868" i="3"/>
  <c r="E10867" i="3"/>
  <c r="E10866" i="3"/>
  <c r="E10865" i="3"/>
  <c r="E10864" i="3"/>
  <c r="E10863" i="3"/>
  <c r="E10862" i="3"/>
  <c r="E10861" i="3"/>
  <c r="E10860" i="3"/>
  <c r="E10859" i="3"/>
  <c r="E10858" i="3"/>
  <c r="E10857" i="3"/>
  <c r="E10856" i="3"/>
  <c r="E10855" i="3"/>
  <c r="E10854" i="3"/>
  <c r="E10853" i="3"/>
  <c r="E10852" i="3"/>
  <c r="E10851" i="3"/>
  <c r="E10850" i="3"/>
  <c r="E10849" i="3"/>
  <c r="E10848" i="3"/>
  <c r="E10847" i="3"/>
  <c r="E10846" i="3"/>
  <c r="E10845" i="3"/>
  <c r="E10844" i="3"/>
  <c r="E10843" i="3"/>
  <c r="E10842" i="3"/>
  <c r="E10841" i="3"/>
  <c r="E10840" i="3"/>
  <c r="E10839" i="3"/>
  <c r="E10838" i="3"/>
  <c r="E10837" i="3"/>
  <c r="E10836" i="3"/>
  <c r="E10835" i="3"/>
  <c r="E10834" i="3"/>
  <c r="E10833" i="3"/>
  <c r="E10832" i="3"/>
  <c r="E10831" i="3"/>
  <c r="E10830" i="3"/>
  <c r="E10829" i="3"/>
  <c r="E10828" i="3"/>
  <c r="E10827" i="3"/>
  <c r="E10826" i="3"/>
  <c r="E10825" i="3"/>
  <c r="E10824" i="3"/>
  <c r="E10823" i="3"/>
  <c r="E10822" i="3"/>
  <c r="E10821" i="3"/>
  <c r="E10820" i="3"/>
  <c r="E10819" i="3"/>
  <c r="E10818" i="3"/>
  <c r="E10817" i="3"/>
  <c r="E10816" i="3"/>
  <c r="E10815" i="3"/>
  <c r="E10814" i="3"/>
  <c r="E10813" i="3"/>
  <c r="E10812" i="3"/>
  <c r="E10811" i="3"/>
  <c r="E10810" i="3"/>
  <c r="E10809" i="3"/>
  <c r="E10808" i="3"/>
  <c r="E10807" i="3"/>
  <c r="E10806" i="3"/>
  <c r="E10805" i="3"/>
  <c r="E10804" i="3"/>
  <c r="E10803" i="3"/>
  <c r="E10802" i="3"/>
  <c r="E10801" i="3"/>
  <c r="E10800" i="3"/>
  <c r="E10799" i="3"/>
  <c r="E10798" i="3"/>
  <c r="E10797" i="3"/>
  <c r="E10796" i="3"/>
  <c r="E10795" i="3"/>
  <c r="E10794" i="3"/>
  <c r="E10793" i="3"/>
  <c r="E10792" i="3"/>
  <c r="E10791" i="3"/>
  <c r="E10790" i="3"/>
  <c r="E10789" i="3"/>
  <c r="E10788" i="3"/>
  <c r="E10787" i="3"/>
  <c r="E10786" i="3"/>
  <c r="E10785" i="3"/>
  <c r="E10784" i="3"/>
  <c r="E10783" i="3"/>
  <c r="E10782" i="3"/>
  <c r="E10781" i="3"/>
  <c r="E10780" i="3"/>
  <c r="E10779" i="3"/>
  <c r="E10778" i="3"/>
  <c r="E10777" i="3"/>
  <c r="E10776" i="3"/>
  <c r="E10775" i="3"/>
  <c r="E10774" i="3"/>
  <c r="E10773" i="3"/>
  <c r="E10772" i="3"/>
  <c r="E10771" i="3"/>
  <c r="E10770" i="3"/>
  <c r="E10769" i="3"/>
  <c r="E10768" i="3"/>
  <c r="E10767" i="3"/>
  <c r="E10766" i="3"/>
  <c r="E10765" i="3"/>
  <c r="E10764" i="3"/>
  <c r="E10763" i="3"/>
  <c r="E10762" i="3"/>
  <c r="E10761" i="3"/>
  <c r="E10760" i="3"/>
  <c r="E10759" i="3"/>
  <c r="E10758" i="3"/>
  <c r="E10757" i="3"/>
  <c r="E10756" i="3"/>
  <c r="E10755" i="3"/>
  <c r="E10754" i="3"/>
  <c r="E10753" i="3"/>
  <c r="E10752" i="3"/>
  <c r="E10751" i="3"/>
  <c r="E10750" i="3"/>
  <c r="E10749" i="3"/>
  <c r="E10748" i="3"/>
  <c r="E10747" i="3"/>
  <c r="E10746" i="3"/>
  <c r="E10745" i="3"/>
  <c r="E10744" i="3"/>
  <c r="E10743" i="3"/>
  <c r="E10742" i="3"/>
  <c r="E10741" i="3"/>
  <c r="E10740" i="3"/>
  <c r="E10739" i="3"/>
  <c r="E10738" i="3"/>
  <c r="E10737" i="3"/>
  <c r="E10736" i="3"/>
  <c r="E10735" i="3"/>
  <c r="E10734" i="3"/>
  <c r="E10733" i="3"/>
  <c r="E10732" i="3"/>
  <c r="E10731" i="3"/>
  <c r="E10730" i="3"/>
  <c r="E10729" i="3"/>
  <c r="E10728" i="3"/>
  <c r="E10727" i="3"/>
  <c r="E10726" i="3"/>
  <c r="E10725" i="3"/>
  <c r="E10724" i="3"/>
  <c r="E10723" i="3"/>
  <c r="E10722" i="3"/>
  <c r="E10721" i="3"/>
  <c r="E10720" i="3"/>
  <c r="E10719" i="3"/>
  <c r="E10718" i="3"/>
  <c r="E10717" i="3"/>
  <c r="E10716" i="3"/>
  <c r="E10715" i="3"/>
  <c r="E10714" i="3"/>
  <c r="E10713" i="3"/>
  <c r="E10712" i="3"/>
  <c r="E10711" i="3"/>
  <c r="E10710" i="3"/>
  <c r="E10709" i="3"/>
  <c r="E10708" i="3"/>
  <c r="E10707" i="3"/>
  <c r="E10706" i="3"/>
  <c r="E10705" i="3"/>
  <c r="E10704" i="3"/>
  <c r="E10703" i="3"/>
  <c r="E10702" i="3"/>
  <c r="E10701" i="3"/>
  <c r="E10700" i="3"/>
  <c r="E10699" i="3"/>
  <c r="E10698" i="3"/>
  <c r="E10697" i="3"/>
  <c r="E10696" i="3"/>
  <c r="E10695" i="3"/>
  <c r="E10694" i="3"/>
  <c r="E10693" i="3"/>
  <c r="E10692" i="3"/>
  <c r="E10691" i="3"/>
  <c r="E10690" i="3"/>
  <c r="E10689" i="3"/>
  <c r="E10688" i="3"/>
  <c r="E10687" i="3"/>
  <c r="E10686" i="3"/>
  <c r="E10685" i="3"/>
  <c r="E10684" i="3"/>
  <c r="E10683" i="3"/>
  <c r="E10682" i="3"/>
  <c r="E10681" i="3"/>
  <c r="E10680" i="3"/>
  <c r="E10679" i="3"/>
  <c r="E10678" i="3"/>
  <c r="E10677" i="3"/>
  <c r="E10676" i="3"/>
  <c r="E10675" i="3"/>
  <c r="E10674" i="3"/>
  <c r="E10673" i="3"/>
  <c r="E10672" i="3"/>
  <c r="E10671" i="3"/>
  <c r="E10670" i="3"/>
  <c r="E10669" i="3"/>
  <c r="E10668" i="3"/>
  <c r="E10667" i="3"/>
  <c r="E10666" i="3"/>
  <c r="E10665" i="3"/>
  <c r="E10664" i="3"/>
  <c r="E10663" i="3"/>
  <c r="E10662" i="3"/>
  <c r="E10661" i="3"/>
  <c r="E10660" i="3"/>
  <c r="E10659" i="3"/>
  <c r="E10658" i="3"/>
  <c r="E10657" i="3"/>
  <c r="E10656" i="3"/>
  <c r="E10655" i="3"/>
  <c r="E10654" i="3"/>
  <c r="E10653" i="3"/>
  <c r="E10652" i="3"/>
  <c r="E10651" i="3"/>
  <c r="E10650" i="3"/>
  <c r="E10649" i="3"/>
  <c r="E10648" i="3"/>
  <c r="E10647" i="3"/>
  <c r="E10646" i="3"/>
  <c r="E10645" i="3"/>
  <c r="E10644" i="3"/>
  <c r="E10643" i="3"/>
  <c r="E10642" i="3"/>
  <c r="E10641" i="3"/>
  <c r="E10640" i="3"/>
  <c r="E10639" i="3"/>
  <c r="E10638" i="3"/>
  <c r="E10637" i="3"/>
  <c r="E10636" i="3"/>
  <c r="E10635" i="3"/>
  <c r="E10634" i="3"/>
  <c r="E10633" i="3"/>
  <c r="E10632" i="3"/>
  <c r="E10631" i="3"/>
  <c r="E10630" i="3"/>
  <c r="E10629" i="3"/>
  <c r="E10628" i="3"/>
  <c r="E10627" i="3"/>
  <c r="E10626" i="3"/>
  <c r="E10625" i="3"/>
  <c r="E10624" i="3"/>
  <c r="E10623" i="3"/>
  <c r="E10622" i="3"/>
  <c r="E10621" i="3"/>
  <c r="E10620" i="3"/>
  <c r="E10619" i="3"/>
  <c r="E10618" i="3"/>
  <c r="E10617" i="3"/>
  <c r="E10616" i="3"/>
  <c r="E10615" i="3"/>
  <c r="E10614" i="3"/>
  <c r="E10613" i="3"/>
  <c r="E10612" i="3"/>
  <c r="E10611" i="3"/>
  <c r="E10610" i="3"/>
  <c r="E10609" i="3"/>
  <c r="E10608" i="3"/>
  <c r="E10607" i="3"/>
  <c r="E10606" i="3"/>
  <c r="E10605" i="3"/>
  <c r="E10604" i="3"/>
  <c r="E10603" i="3"/>
  <c r="E10602" i="3"/>
  <c r="E10601" i="3"/>
  <c r="E10600" i="3"/>
  <c r="E10599" i="3"/>
  <c r="E10598" i="3"/>
  <c r="E10597" i="3"/>
  <c r="E10596" i="3"/>
  <c r="E10595" i="3"/>
  <c r="E10594" i="3"/>
  <c r="E10593" i="3"/>
  <c r="E10592" i="3"/>
  <c r="E10591" i="3"/>
  <c r="E10590" i="3"/>
  <c r="E10589" i="3"/>
  <c r="E10588" i="3"/>
  <c r="E10587" i="3"/>
  <c r="E10586" i="3"/>
  <c r="E10585" i="3"/>
  <c r="E10584" i="3"/>
  <c r="E10583" i="3"/>
  <c r="E10582" i="3"/>
  <c r="E10581" i="3"/>
  <c r="E10580" i="3"/>
  <c r="E10579" i="3"/>
  <c r="E10578" i="3"/>
  <c r="E10577" i="3"/>
  <c r="E10576" i="3"/>
  <c r="E10575" i="3"/>
  <c r="E10574" i="3"/>
  <c r="E10573" i="3"/>
  <c r="E10572" i="3"/>
  <c r="E10571" i="3"/>
  <c r="E10570" i="3"/>
  <c r="E10569" i="3"/>
  <c r="E10568" i="3"/>
  <c r="E10567" i="3"/>
  <c r="E10566" i="3"/>
  <c r="E10565" i="3"/>
  <c r="E10564" i="3"/>
  <c r="E10563" i="3"/>
  <c r="E10562" i="3"/>
  <c r="E10561" i="3"/>
  <c r="E10560" i="3"/>
  <c r="E10559" i="3"/>
  <c r="E10558" i="3"/>
  <c r="E10557" i="3"/>
  <c r="E10556" i="3"/>
  <c r="E10555" i="3"/>
  <c r="E10554" i="3"/>
  <c r="E10553" i="3"/>
  <c r="E10552" i="3"/>
  <c r="E10551" i="3"/>
  <c r="E10550" i="3"/>
  <c r="E10549" i="3"/>
  <c r="E10548" i="3"/>
  <c r="E10547" i="3"/>
  <c r="E10546" i="3"/>
  <c r="E10545" i="3"/>
  <c r="E10544" i="3"/>
  <c r="E10543" i="3"/>
  <c r="E10542" i="3"/>
  <c r="E10541" i="3"/>
  <c r="E10540" i="3"/>
  <c r="E10539" i="3"/>
  <c r="E10538" i="3"/>
  <c r="E10537" i="3"/>
  <c r="E10536" i="3"/>
  <c r="E10535" i="3"/>
  <c r="E10534" i="3"/>
  <c r="E10533" i="3"/>
  <c r="E10532" i="3"/>
  <c r="E10531" i="3"/>
  <c r="E10530" i="3"/>
  <c r="E10529" i="3"/>
  <c r="E10528" i="3"/>
  <c r="E10527" i="3"/>
  <c r="E10526" i="3"/>
  <c r="E10525" i="3"/>
  <c r="E10524" i="3"/>
  <c r="E10523" i="3"/>
  <c r="E10522" i="3"/>
  <c r="E10521" i="3"/>
  <c r="E10520" i="3"/>
  <c r="E10519" i="3"/>
  <c r="E10518" i="3"/>
  <c r="E10517" i="3"/>
  <c r="E10516" i="3"/>
  <c r="E10515" i="3"/>
  <c r="E10514" i="3"/>
  <c r="E10513" i="3"/>
  <c r="E10512" i="3"/>
  <c r="E10511" i="3"/>
  <c r="E10510" i="3"/>
  <c r="E10509" i="3"/>
  <c r="E10508" i="3"/>
  <c r="E10507" i="3"/>
  <c r="E10506" i="3"/>
  <c r="E10505" i="3"/>
  <c r="E10504" i="3"/>
  <c r="E10503" i="3"/>
  <c r="E10502" i="3"/>
  <c r="E10501" i="3"/>
  <c r="E10500" i="3"/>
  <c r="E10499" i="3"/>
  <c r="E10498" i="3"/>
  <c r="E10497" i="3"/>
  <c r="E10496" i="3"/>
  <c r="E10495" i="3"/>
  <c r="E10494" i="3"/>
  <c r="E10493" i="3"/>
  <c r="E10492" i="3"/>
  <c r="E10491" i="3"/>
  <c r="E10490" i="3"/>
  <c r="E10489" i="3"/>
  <c r="E10488" i="3"/>
  <c r="E10487" i="3"/>
  <c r="E10486" i="3"/>
  <c r="E10485" i="3"/>
  <c r="E10484" i="3"/>
  <c r="E10483" i="3"/>
  <c r="E10482" i="3"/>
  <c r="E10481" i="3"/>
  <c r="E10480" i="3"/>
  <c r="E10479" i="3"/>
  <c r="E10478" i="3"/>
  <c r="E10477" i="3"/>
  <c r="E10476" i="3"/>
  <c r="E10475" i="3"/>
  <c r="E10474" i="3"/>
  <c r="E10473" i="3"/>
  <c r="E10472" i="3"/>
  <c r="E10471" i="3"/>
  <c r="E10470" i="3"/>
  <c r="E10469" i="3"/>
  <c r="E10468" i="3"/>
  <c r="E10467" i="3"/>
  <c r="E10466" i="3"/>
  <c r="E10465" i="3"/>
  <c r="E10464" i="3"/>
  <c r="E10463" i="3"/>
  <c r="E10462" i="3"/>
  <c r="E10461" i="3"/>
  <c r="E10460" i="3"/>
  <c r="E10459" i="3"/>
  <c r="E10458" i="3"/>
  <c r="E10457" i="3"/>
  <c r="E10456" i="3"/>
  <c r="E10455" i="3"/>
  <c r="E10454" i="3"/>
  <c r="E10453" i="3"/>
  <c r="E10452" i="3"/>
  <c r="E10451" i="3"/>
  <c r="E10450" i="3"/>
  <c r="E10449" i="3"/>
  <c r="E10448" i="3"/>
  <c r="E10447" i="3"/>
  <c r="E10446" i="3"/>
  <c r="E10445" i="3"/>
  <c r="E10444" i="3"/>
  <c r="E10443" i="3"/>
  <c r="E10442" i="3"/>
  <c r="E10441" i="3"/>
  <c r="E10440" i="3"/>
  <c r="E10439" i="3"/>
  <c r="E10438" i="3"/>
  <c r="E10437" i="3"/>
  <c r="E10436" i="3"/>
  <c r="E10435" i="3"/>
  <c r="E10434" i="3"/>
  <c r="E10433" i="3"/>
  <c r="E10432" i="3"/>
  <c r="E10431" i="3"/>
  <c r="E10430" i="3"/>
  <c r="E10429" i="3"/>
  <c r="E10428" i="3"/>
  <c r="E10427" i="3"/>
  <c r="E10426" i="3"/>
  <c r="E10425" i="3"/>
  <c r="E10424" i="3"/>
  <c r="E10423" i="3"/>
  <c r="E10422" i="3"/>
  <c r="E10421" i="3"/>
  <c r="E10420" i="3"/>
  <c r="E10419" i="3"/>
  <c r="E10418" i="3"/>
  <c r="E10417" i="3"/>
  <c r="E10416" i="3"/>
  <c r="E10415" i="3"/>
  <c r="E10414" i="3"/>
  <c r="E10413" i="3"/>
  <c r="E10412" i="3"/>
  <c r="E10411" i="3"/>
  <c r="E10410" i="3"/>
  <c r="E10409" i="3"/>
  <c r="E10408" i="3"/>
  <c r="E10407" i="3"/>
  <c r="E10406" i="3"/>
  <c r="E10405" i="3"/>
  <c r="E10404" i="3"/>
  <c r="E10403" i="3"/>
  <c r="E10402" i="3"/>
  <c r="E10401" i="3"/>
  <c r="E10400" i="3"/>
  <c r="E10399" i="3"/>
  <c r="E10398" i="3"/>
  <c r="E10397" i="3"/>
  <c r="E10396" i="3"/>
  <c r="E10395" i="3"/>
  <c r="E10394" i="3"/>
  <c r="E10393" i="3"/>
  <c r="E10392" i="3"/>
  <c r="E10391" i="3"/>
  <c r="E10390" i="3"/>
  <c r="E10389" i="3"/>
  <c r="E10388" i="3"/>
  <c r="E10387" i="3"/>
  <c r="E10386" i="3"/>
  <c r="E10385" i="3"/>
  <c r="E10384" i="3"/>
  <c r="E10383" i="3"/>
  <c r="E10382" i="3"/>
  <c r="E10381" i="3"/>
  <c r="E10380" i="3"/>
  <c r="E10379" i="3"/>
  <c r="E10378" i="3"/>
  <c r="E10377" i="3"/>
  <c r="E10376" i="3"/>
  <c r="E10375" i="3"/>
  <c r="E10374" i="3"/>
  <c r="E10373" i="3"/>
  <c r="E10372" i="3"/>
  <c r="E10371" i="3"/>
  <c r="E10370" i="3"/>
  <c r="E10369" i="3"/>
  <c r="E10368" i="3"/>
  <c r="E10367" i="3"/>
  <c r="E10366" i="3"/>
  <c r="E10365" i="3"/>
  <c r="E10364" i="3"/>
  <c r="E10363" i="3"/>
  <c r="E10362" i="3"/>
  <c r="E10361" i="3"/>
  <c r="E10360" i="3"/>
  <c r="E10359" i="3"/>
  <c r="E10358" i="3"/>
  <c r="E10357" i="3"/>
  <c r="E10356" i="3"/>
  <c r="E10355" i="3"/>
  <c r="E10354" i="3"/>
  <c r="E10353" i="3"/>
  <c r="E10352" i="3"/>
  <c r="E10351" i="3"/>
  <c r="E10350" i="3"/>
  <c r="E10349" i="3"/>
  <c r="E10348" i="3"/>
  <c r="E10347" i="3"/>
  <c r="E10346" i="3"/>
  <c r="E10345" i="3"/>
  <c r="E10344" i="3"/>
  <c r="E10343" i="3"/>
  <c r="E10342" i="3"/>
  <c r="E10341" i="3"/>
  <c r="E10340" i="3"/>
  <c r="E10339" i="3"/>
  <c r="E10338" i="3"/>
  <c r="E10337" i="3"/>
  <c r="E10336" i="3"/>
  <c r="E10335" i="3"/>
  <c r="E10334" i="3"/>
  <c r="E10333" i="3"/>
  <c r="E10332" i="3"/>
  <c r="E10331" i="3"/>
  <c r="E10330" i="3"/>
  <c r="E10329" i="3"/>
  <c r="E10328" i="3"/>
  <c r="E10327" i="3"/>
  <c r="E10326" i="3"/>
  <c r="E10325" i="3"/>
  <c r="E10324" i="3"/>
  <c r="E10323" i="3"/>
  <c r="E10322" i="3"/>
  <c r="E10321" i="3"/>
  <c r="E10320" i="3"/>
  <c r="E10319" i="3"/>
  <c r="E10318" i="3"/>
  <c r="E10317" i="3"/>
  <c r="E10316" i="3"/>
  <c r="E10315" i="3"/>
  <c r="E10314" i="3"/>
  <c r="E10313" i="3"/>
  <c r="E10312" i="3"/>
  <c r="E10311" i="3"/>
  <c r="E10310" i="3"/>
  <c r="E10309" i="3"/>
  <c r="E10308" i="3"/>
  <c r="E10307" i="3"/>
  <c r="E10306" i="3"/>
  <c r="E10305" i="3"/>
  <c r="E10304" i="3"/>
  <c r="E10303" i="3"/>
  <c r="E10302" i="3"/>
  <c r="E10301" i="3"/>
  <c r="E10300" i="3"/>
  <c r="E10299" i="3"/>
  <c r="E10298" i="3"/>
  <c r="E10297" i="3"/>
  <c r="E10296" i="3"/>
  <c r="E10295" i="3"/>
  <c r="E10294" i="3"/>
  <c r="E10293" i="3"/>
  <c r="E10292" i="3"/>
  <c r="E10291" i="3"/>
  <c r="E10290" i="3"/>
  <c r="E10289" i="3"/>
  <c r="E10288" i="3"/>
  <c r="E10287" i="3"/>
  <c r="E10286" i="3"/>
  <c r="E10285" i="3"/>
  <c r="E10284" i="3"/>
  <c r="E10283" i="3"/>
  <c r="E10282" i="3"/>
  <c r="E10281" i="3"/>
  <c r="E10280" i="3"/>
  <c r="E10279" i="3"/>
  <c r="E10278" i="3"/>
  <c r="E10277" i="3"/>
  <c r="E10276" i="3"/>
  <c r="E10275" i="3"/>
  <c r="E10274" i="3"/>
  <c r="E10273" i="3"/>
  <c r="E10272" i="3"/>
  <c r="E10271" i="3"/>
  <c r="E10270" i="3"/>
  <c r="E10269" i="3"/>
  <c r="E10268" i="3"/>
  <c r="E10267" i="3"/>
  <c r="E10266" i="3"/>
  <c r="E10265" i="3"/>
  <c r="E10264" i="3"/>
  <c r="E10263" i="3"/>
  <c r="E10262" i="3"/>
  <c r="E10261" i="3"/>
  <c r="E10260" i="3"/>
  <c r="E10259" i="3"/>
  <c r="E10258" i="3"/>
  <c r="E10257" i="3"/>
  <c r="E10256" i="3"/>
  <c r="E10255" i="3"/>
  <c r="E10254" i="3"/>
  <c r="E10253" i="3"/>
  <c r="E10252" i="3"/>
  <c r="E10251" i="3"/>
  <c r="E10250" i="3"/>
  <c r="E10249" i="3"/>
  <c r="E10248" i="3"/>
  <c r="E10247" i="3"/>
  <c r="E10246" i="3"/>
  <c r="E10245" i="3"/>
  <c r="E10244" i="3"/>
  <c r="E10243" i="3"/>
  <c r="E10242" i="3"/>
  <c r="E10241" i="3"/>
  <c r="E10240" i="3"/>
  <c r="E10239" i="3"/>
  <c r="E10238" i="3"/>
  <c r="E10237" i="3"/>
  <c r="E10236" i="3"/>
  <c r="E10235" i="3"/>
  <c r="E10234" i="3"/>
  <c r="E10233" i="3"/>
  <c r="E10232" i="3"/>
  <c r="E10231" i="3"/>
  <c r="E10230" i="3"/>
  <c r="E10229" i="3"/>
  <c r="E10228" i="3"/>
  <c r="E10227" i="3"/>
  <c r="E10226" i="3"/>
  <c r="E10225" i="3"/>
  <c r="E10224" i="3"/>
  <c r="E10223" i="3"/>
  <c r="E10222" i="3"/>
  <c r="E10221" i="3"/>
  <c r="E10220" i="3"/>
  <c r="E10219" i="3"/>
  <c r="E10218" i="3"/>
  <c r="E10217" i="3"/>
  <c r="E10216" i="3"/>
  <c r="E10215" i="3"/>
  <c r="E10214" i="3"/>
  <c r="E10213" i="3"/>
  <c r="E10212" i="3"/>
  <c r="E10211" i="3"/>
  <c r="E10210" i="3"/>
  <c r="E10209" i="3"/>
  <c r="E10208" i="3"/>
  <c r="E10207" i="3"/>
  <c r="E10206" i="3"/>
  <c r="E10205" i="3"/>
  <c r="E10204" i="3"/>
  <c r="E10203" i="3"/>
  <c r="E10202" i="3"/>
  <c r="E10201" i="3"/>
  <c r="E10200" i="3"/>
  <c r="E10199" i="3"/>
  <c r="E10198" i="3"/>
  <c r="E10197" i="3"/>
  <c r="E10196" i="3"/>
  <c r="E10195" i="3"/>
  <c r="E10194" i="3"/>
  <c r="E10193" i="3"/>
  <c r="E10192" i="3"/>
  <c r="E10191" i="3"/>
  <c r="E10190" i="3"/>
  <c r="E10189" i="3"/>
  <c r="E10188" i="3"/>
  <c r="E10187" i="3"/>
  <c r="E10186" i="3"/>
  <c r="E10185" i="3"/>
  <c r="E10184" i="3"/>
  <c r="E10183" i="3"/>
  <c r="E10182" i="3"/>
  <c r="E10181" i="3"/>
  <c r="E10180" i="3"/>
  <c r="E10179" i="3"/>
  <c r="E10178" i="3"/>
  <c r="E10177" i="3"/>
  <c r="E10176" i="3"/>
  <c r="E10175" i="3"/>
  <c r="E10174" i="3"/>
  <c r="E10173" i="3"/>
  <c r="E10172" i="3"/>
  <c r="E10171" i="3"/>
  <c r="E10170" i="3"/>
  <c r="E10169" i="3"/>
  <c r="E10168" i="3"/>
  <c r="E10167" i="3"/>
  <c r="E10166" i="3"/>
  <c r="E10165" i="3"/>
  <c r="E10164" i="3"/>
  <c r="E10163" i="3"/>
  <c r="E10162" i="3"/>
  <c r="E10161" i="3"/>
  <c r="E10160" i="3"/>
  <c r="E10159" i="3"/>
  <c r="E10158" i="3"/>
  <c r="E10157" i="3"/>
  <c r="E10156" i="3"/>
  <c r="E10155" i="3"/>
  <c r="E10154" i="3"/>
  <c r="E10153" i="3"/>
  <c r="E10152" i="3"/>
  <c r="E10151" i="3"/>
  <c r="E10150" i="3"/>
  <c r="E10149" i="3"/>
  <c r="E10148" i="3"/>
  <c r="E10147" i="3"/>
  <c r="E10146" i="3"/>
  <c r="E10145" i="3"/>
  <c r="E10144" i="3"/>
  <c r="E10143" i="3"/>
  <c r="E10142" i="3"/>
  <c r="E10141" i="3"/>
  <c r="E10140" i="3"/>
  <c r="E10139" i="3"/>
  <c r="D10139" i="3"/>
  <c r="E10138" i="3"/>
  <c r="D10138" i="3"/>
  <c r="E10137" i="3"/>
  <c r="D10137" i="3"/>
  <c r="E10136" i="3"/>
  <c r="D10136" i="3"/>
  <c r="E10135" i="3"/>
  <c r="D10135" i="3"/>
  <c r="E10134" i="3"/>
  <c r="D10134" i="3"/>
  <c r="E10133" i="3"/>
  <c r="D10133" i="3"/>
  <c r="E10132" i="3"/>
  <c r="D10132" i="3"/>
  <c r="E10131" i="3"/>
  <c r="D10131" i="3"/>
  <c r="E10130" i="3"/>
  <c r="D10130" i="3"/>
  <c r="E10129" i="3"/>
  <c r="D10129" i="3"/>
  <c r="E10128" i="3"/>
  <c r="D10128" i="3"/>
  <c r="E10127" i="3"/>
  <c r="D10127" i="3"/>
  <c r="E10126" i="3"/>
  <c r="D10126" i="3"/>
  <c r="E10125" i="3"/>
  <c r="D10125" i="3"/>
  <c r="E10124" i="3"/>
  <c r="D10124" i="3"/>
  <c r="E10123" i="3"/>
  <c r="D10123" i="3"/>
  <c r="E10122" i="3"/>
  <c r="D10122" i="3"/>
  <c r="E10121" i="3"/>
  <c r="D10121" i="3"/>
  <c r="E10120" i="3"/>
  <c r="D10120" i="3"/>
  <c r="E10119" i="3"/>
  <c r="D10119" i="3"/>
  <c r="E10118" i="3"/>
  <c r="D10118" i="3"/>
  <c r="E10117" i="3"/>
  <c r="D10117" i="3"/>
  <c r="E10116" i="3"/>
  <c r="D10116" i="3"/>
  <c r="E10115" i="3"/>
  <c r="D10115" i="3"/>
  <c r="E10114" i="3"/>
  <c r="D10114" i="3"/>
  <c r="E10113" i="3"/>
  <c r="D10113" i="3"/>
  <c r="E10112" i="3"/>
  <c r="D10112" i="3"/>
  <c r="E10111" i="3"/>
  <c r="D10111" i="3"/>
  <c r="E10110" i="3"/>
  <c r="D10110" i="3"/>
  <c r="E10109" i="3"/>
  <c r="D10109" i="3"/>
  <c r="E10108" i="3"/>
  <c r="D10108" i="3"/>
  <c r="E10107" i="3"/>
  <c r="D10107" i="3"/>
  <c r="E10106" i="3"/>
  <c r="D10106" i="3"/>
  <c r="E10105" i="3"/>
  <c r="D10105" i="3"/>
  <c r="E10104" i="3"/>
  <c r="D10104" i="3"/>
  <c r="E10103" i="3"/>
  <c r="D10103" i="3"/>
  <c r="E10102" i="3"/>
  <c r="D10102" i="3"/>
  <c r="E10101" i="3"/>
  <c r="D10101" i="3"/>
  <c r="E10100" i="3"/>
  <c r="D10100" i="3"/>
  <c r="E10099" i="3"/>
  <c r="D10099" i="3"/>
  <c r="E10098" i="3"/>
  <c r="D10098" i="3"/>
  <c r="E10097" i="3"/>
  <c r="D10097" i="3"/>
  <c r="E10096" i="3"/>
  <c r="D10096" i="3"/>
  <c r="E10095" i="3"/>
  <c r="D10095" i="3"/>
  <c r="E10094" i="3"/>
  <c r="D10094" i="3"/>
  <c r="E10093" i="3"/>
  <c r="D10093" i="3"/>
  <c r="E10092" i="3"/>
  <c r="D10092" i="3"/>
  <c r="E10091" i="3"/>
  <c r="D10091" i="3"/>
  <c r="E10090" i="3"/>
  <c r="D10090" i="3"/>
  <c r="E10089" i="3"/>
  <c r="D10089" i="3"/>
  <c r="E10088" i="3"/>
  <c r="D10088" i="3"/>
  <c r="E10087" i="3"/>
  <c r="D10087" i="3"/>
  <c r="E10086" i="3"/>
  <c r="D10086" i="3"/>
  <c r="E10085" i="3"/>
  <c r="D10085" i="3"/>
  <c r="E10084" i="3"/>
  <c r="D10084" i="3"/>
  <c r="E10083" i="3"/>
  <c r="D10083" i="3"/>
  <c r="E10082" i="3"/>
  <c r="D10082" i="3"/>
  <c r="E10081" i="3"/>
  <c r="D10081" i="3"/>
  <c r="E10080" i="3"/>
  <c r="D10080" i="3"/>
  <c r="E10079" i="3"/>
  <c r="D10079" i="3"/>
  <c r="E10078" i="3"/>
  <c r="D10078" i="3"/>
  <c r="E10077" i="3"/>
  <c r="D10077" i="3"/>
  <c r="E10076" i="3"/>
  <c r="D10076" i="3"/>
  <c r="E10075" i="3"/>
  <c r="D10075" i="3"/>
  <c r="E10074" i="3"/>
  <c r="D10074" i="3"/>
  <c r="E10073" i="3"/>
  <c r="D10073" i="3"/>
  <c r="E10072" i="3"/>
  <c r="D10072" i="3"/>
  <c r="E10071" i="3"/>
  <c r="D10071" i="3"/>
  <c r="E10070" i="3"/>
  <c r="D10070" i="3"/>
  <c r="E10069" i="3"/>
  <c r="D10069" i="3"/>
  <c r="E10068" i="3"/>
  <c r="D10068" i="3"/>
  <c r="E10067" i="3"/>
  <c r="D10067" i="3"/>
  <c r="E10066" i="3"/>
  <c r="D10066" i="3"/>
  <c r="E10065" i="3"/>
  <c r="D10065" i="3"/>
  <c r="E10064" i="3"/>
  <c r="D10064" i="3"/>
  <c r="E10063" i="3"/>
  <c r="D10063" i="3"/>
  <c r="E10062" i="3"/>
  <c r="D10062" i="3"/>
  <c r="E10061" i="3"/>
  <c r="D10061" i="3"/>
  <c r="E10060" i="3"/>
  <c r="D10060" i="3"/>
  <c r="E10059" i="3"/>
  <c r="D10059" i="3"/>
  <c r="E10058" i="3"/>
  <c r="D10058" i="3"/>
  <c r="E10057" i="3"/>
  <c r="D10057" i="3"/>
  <c r="E10056" i="3"/>
  <c r="D10056" i="3"/>
  <c r="E10055" i="3"/>
  <c r="D10055" i="3"/>
  <c r="E10054" i="3"/>
  <c r="D10054" i="3"/>
  <c r="E10053" i="3"/>
  <c r="D10053" i="3"/>
  <c r="E10052" i="3"/>
  <c r="D10052" i="3"/>
  <c r="E10051" i="3"/>
  <c r="D10051" i="3"/>
  <c r="E10050" i="3"/>
  <c r="D10050" i="3"/>
  <c r="E10049" i="3"/>
  <c r="D10049" i="3"/>
  <c r="E10048" i="3"/>
  <c r="D10048" i="3"/>
  <c r="E10047" i="3"/>
  <c r="D10047" i="3"/>
  <c r="E10046" i="3"/>
  <c r="D10046" i="3"/>
  <c r="E10045" i="3"/>
  <c r="D10045" i="3"/>
  <c r="E10044" i="3"/>
  <c r="D10044" i="3"/>
  <c r="E10043" i="3"/>
  <c r="D10043" i="3"/>
  <c r="E10042" i="3"/>
  <c r="D10042" i="3"/>
  <c r="E10041" i="3"/>
  <c r="D10041" i="3"/>
  <c r="E10040" i="3"/>
  <c r="D10040" i="3"/>
  <c r="E10039" i="3"/>
  <c r="D10039" i="3"/>
  <c r="E10038" i="3"/>
  <c r="D10038" i="3"/>
  <c r="E10037" i="3"/>
  <c r="D10037" i="3"/>
  <c r="E10036" i="3"/>
  <c r="D10036" i="3"/>
  <c r="E10035" i="3"/>
  <c r="D10035" i="3"/>
  <c r="E10034" i="3"/>
  <c r="D10034" i="3"/>
  <c r="E10033" i="3"/>
  <c r="D10033" i="3"/>
  <c r="E10032" i="3"/>
  <c r="D10032" i="3"/>
  <c r="E10031" i="3"/>
  <c r="D10031" i="3"/>
  <c r="E10030" i="3"/>
  <c r="D10030" i="3"/>
  <c r="E10029" i="3"/>
  <c r="D10029" i="3"/>
  <c r="E10028" i="3"/>
  <c r="D10028" i="3"/>
  <c r="E10027" i="3"/>
  <c r="D10027" i="3"/>
  <c r="E10026" i="3"/>
  <c r="D10026" i="3"/>
  <c r="E10025" i="3"/>
  <c r="D10025" i="3"/>
  <c r="E10024" i="3"/>
  <c r="D10024" i="3"/>
  <c r="E10023" i="3"/>
  <c r="D10023" i="3"/>
  <c r="E10022" i="3"/>
  <c r="D10022" i="3"/>
  <c r="E10021" i="3"/>
  <c r="D10021" i="3"/>
  <c r="E10020" i="3"/>
  <c r="D10020" i="3"/>
  <c r="E10019" i="3"/>
  <c r="D10019" i="3"/>
  <c r="E10018" i="3"/>
  <c r="D10018" i="3"/>
  <c r="E10017" i="3"/>
  <c r="D10017" i="3"/>
  <c r="E10016" i="3"/>
  <c r="D10016" i="3"/>
  <c r="E10015" i="3"/>
  <c r="D10015" i="3"/>
  <c r="E10014" i="3"/>
  <c r="D10014" i="3"/>
  <c r="E10013" i="3"/>
  <c r="D10013" i="3"/>
  <c r="E10012" i="3"/>
  <c r="D10012" i="3"/>
  <c r="E10011" i="3"/>
  <c r="D10011" i="3"/>
  <c r="E10010" i="3"/>
  <c r="D10010" i="3"/>
  <c r="E10009" i="3"/>
  <c r="D10009" i="3"/>
  <c r="E10008" i="3"/>
  <c r="D10008" i="3"/>
  <c r="E10007" i="3"/>
  <c r="D10007" i="3"/>
  <c r="E10006" i="3"/>
  <c r="D10006" i="3"/>
  <c r="E10005" i="3"/>
  <c r="D10005" i="3"/>
  <c r="E10004" i="3"/>
  <c r="D10004" i="3"/>
  <c r="E10003" i="3"/>
  <c r="D10003" i="3"/>
  <c r="E10002" i="3"/>
  <c r="D10002" i="3"/>
  <c r="E10001" i="3"/>
  <c r="D10001" i="3"/>
  <c r="E10000" i="3"/>
  <c r="D10000" i="3"/>
  <c r="E9999" i="3"/>
  <c r="D9999" i="3"/>
  <c r="E9998" i="3"/>
  <c r="D9998" i="3"/>
  <c r="E9997" i="3"/>
  <c r="D9997" i="3"/>
  <c r="E9996" i="3"/>
  <c r="D9996" i="3"/>
  <c r="E9995" i="3"/>
  <c r="D9995" i="3"/>
  <c r="E9994" i="3"/>
  <c r="D9994" i="3"/>
  <c r="E9993" i="3"/>
  <c r="D9993" i="3"/>
  <c r="E9992" i="3"/>
  <c r="D9992" i="3"/>
  <c r="E9991" i="3"/>
  <c r="D9991" i="3"/>
  <c r="E9990" i="3"/>
  <c r="D9990" i="3"/>
  <c r="E9989" i="3"/>
  <c r="D9989" i="3"/>
  <c r="E9988" i="3"/>
  <c r="D9988" i="3"/>
  <c r="E9987" i="3"/>
  <c r="D9987" i="3"/>
  <c r="E9986" i="3"/>
  <c r="D9986" i="3"/>
  <c r="E9985" i="3"/>
  <c r="D9985" i="3"/>
  <c r="E9984" i="3"/>
  <c r="D9984" i="3"/>
  <c r="E9983" i="3"/>
  <c r="D9983" i="3"/>
  <c r="E9982" i="3"/>
  <c r="D9982" i="3"/>
  <c r="E9981" i="3"/>
  <c r="D9981" i="3"/>
  <c r="E9980" i="3"/>
  <c r="D9980" i="3"/>
  <c r="E9979" i="3"/>
  <c r="D9979" i="3"/>
  <c r="E9978" i="3"/>
  <c r="D9978" i="3"/>
  <c r="E9977" i="3"/>
  <c r="D9977" i="3"/>
  <c r="E9976" i="3"/>
  <c r="D9976" i="3"/>
  <c r="E9975" i="3"/>
  <c r="D9975" i="3"/>
  <c r="E9974" i="3"/>
  <c r="D9974" i="3"/>
  <c r="E9973" i="3"/>
  <c r="D9973" i="3"/>
  <c r="E9972" i="3"/>
  <c r="D9972" i="3"/>
  <c r="E9971" i="3"/>
  <c r="D9971" i="3"/>
  <c r="E9970" i="3"/>
  <c r="D9970" i="3"/>
  <c r="E9969" i="3"/>
  <c r="D9969" i="3"/>
  <c r="E9968" i="3"/>
  <c r="D9968" i="3"/>
  <c r="E9967" i="3"/>
  <c r="D9967" i="3"/>
  <c r="E9966" i="3"/>
  <c r="D9966" i="3"/>
  <c r="E9965" i="3"/>
  <c r="D9965" i="3"/>
  <c r="E9964" i="3"/>
  <c r="D9964" i="3"/>
  <c r="E9963" i="3"/>
  <c r="D9963" i="3"/>
  <c r="E9962" i="3"/>
  <c r="D9962" i="3"/>
  <c r="E9961" i="3"/>
  <c r="D9961" i="3"/>
  <c r="E9960" i="3"/>
  <c r="D9960" i="3"/>
  <c r="E9959" i="3"/>
  <c r="D9959" i="3"/>
  <c r="E9958" i="3"/>
  <c r="D9958" i="3"/>
  <c r="E9957" i="3"/>
  <c r="D9957" i="3"/>
  <c r="E9956" i="3"/>
  <c r="D9956" i="3"/>
  <c r="E9955" i="3"/>
  <c r="D9955" i="3"/>
  <c r="E9954" i="3"/>
  <c r="D9954" i="3"/>
  <c r="E9953" i="3"/>
  <c r="D9953" i="3"/>
  <c r="E9952" i="3"/>
  <c r="D9952" i="3"/>
  <c r="E9951" i="3"/>
  <c r="D9951" i="3"/>
  <c r="E9950" i="3"/>
  <c r="D9950" i="3"/>
  <c r="E9949" i="3"/>
  <c r="D9949" i="3"/>
  <c r="E9948" i="3"/>
  <c r="D9948" i="3"/>
  <c r="E9947" i="3"/>
  <c r="D9947" i="3"/>
  <c r="E9946" i="3"/>
  <c r="D9946" i="3"/>
  <c r="E9945" i="3"/>
  <c r="D9945" i="3"/>
  <c r="E9944" i="3"/>
  <c r="D9944" i="3"/>
  <c r="E9943" i="3"/>
  <c r="D9943" i="3"/>
  <c r="E9942" i="3"/>
  <c r="D9942" i="3"/>
  <c r="E9941" i="3"/>
  <c r="D9941" i="3"/>
  <c r="E9940" i="3"/>
  <c r="D9940" i="3"/>
  <c r="E9939" i="3"/>
  <c r="D9939" i="3"/>
  <c r="E9938" i="3"/>
  <c r="D9938" i="3"/>
  <c r="E9937" i="3"/>
  <c r="D9937" i="3"/>
  <c r="E9936" i="3"/>
  <c r="D9936" i="3"/>
  <c r="E9935" i="3"/>
  <c r="D9935" i="3"/>
  <c r="E9934" i="3"/>
  <c r="D9934" i="3"/>
  <c r="E9933" i="3"/>
  <c r="D9933" i="3"/>
  <c r="E9932" i="3"/>
  <c r="D9932" i="3"/>
  <c r="E9931" i="3"/>
  <c r="D9931" i="3"/>
  <c r="E9930" i="3"/>
  <c r="D9930" i="3"/>
  <c r="E9929" i="3"/>
  <c r="D9929" i="3"/>
  <c r="E9928" i="3"/>
  <c r="D9928" i="3"/>
  <c r="E9927" i="3"/>
  <c r="D9927" i="3"/>
  <c r="E9926" i="3"/>
  <c r="D9926" i="3"/>
  <c r="E9925" i="3"/>
  <c r="D9925" i="3"/>
  <c r="E9924" i="3"/>
  <c r="D9924" i="3"/>
  <c r="E9923" i="3"/>
  <c r="D9923" i="3"/>
  <c r="E9922" i="3"/>
  <c r="D9922" i="3"/>
  <c r="E9921" i="3"/>
  <c r="D9921" i="3"/>
  <c r="E9920" i="3"/>
  <c r="D9920" i="3"/>
  <c r="E9919" i="3"/>
  <c r="D9919" i="3"/>
  <c r="E9918" i="3"/>
  <c r="D9918" i="3"/>
  <c r="E9917" i="3"/>
  <c r="D9917" i="3"/>
  <c r="E9916" i="3"/>
  <c r="D9916" i="3"/>
  <c r="E9915" i="3"/>
  <c r="D9915" i="3"/>
  <c r="E9914" i="3"/>
  <c r="D9914" i="3"/>
  <c r="E9913" i="3"/>
  <c r="D9913" i="3"/>
  <c r="E9912" i="3"/>
  <c r="D9912" i="3"/>
  <c r="E9911" i="3"/>
  <c r="D9911" i="3"/>
  <c r="E9910" i="3"/>
  <c r="D9910" i="3"/>
  <c r="E9909" i="3"/>
  <c r="D9909" i="3"/>
  <c r="E9908" i="3"/>
  <c r="D9908" i="3"/>
  <c r="E9907" i="3"/>
  <c r="D9907" i="3"/>
  <c r="E9906" i="3"/>
  <c r="D9906" i="3"/>
  <c r="E9905" i="3"/>
  <c r="D9905" i="3"/>
  <c r="E9904" i="3"/>
  <c r="D9904" i="3"/>
  <c r="E9903" i="3"/>
  <c r="D9903" i="3"/>
  <c r="E9902" i="3"/>
  <c r="D9902" i="3"/>
  <c r="E9901" i="3"/>
  <c r="D9901" i="3"/>
  <c r="E9900" i="3"/>
  <c r="D9900" i="3"/>
  <c r="E9899" i="3"/>
  <c r="D9899" i="3"/>
  <c r="E9898" i="3"/>
  <c r="D9898" i="3"/>
  <c r="E9897" i="3"/>
  <c r="D9897" i="3"/>
  <c r="E9896" i="3"/>
  <c r="D9896" i="3"/>
  <c r="E9895" i="3"/>
  <c r="D9895" i="3"/>
  <c r="E9894" i="3"/>
  <c r="D9894" i="3"/>
  <c r="E9893" i="3"/>
  <c r="D9893" i="3"/>
  <c r="E9892" i="3"/>
  <c r="D9892" i="3"/>
  <c r="E9891" i="3"/>
  <c r="D9891" i="3"/>
  <c r="E9890" i="3"/>
  <c r="D9890" i="3"/>
  <c r="E9889" i="3"/>
  <c r="D9889" i="3"/>
  <c r="E9888" i="3"/>
  <c r="D9888" i="3"/>
  <c r="E9887" i="3"/>
  <c r="D9887" i="3"/>
  <c r="E9886" i="3"/>
  <c r="D9886" i="3"/>
  <c r="E9885" i="3"/>
  <c r="D9885" i="3"/>
  <c r="E9884" i="3"/>
  <c r="D9884" i="3"/>
  <c r="E9883" i="3"/>
  <c r="D9883" i="3"/>
  <c r="E9882" i="3"/>
  <c r="D9882" i="3"/>
  <c r="E9881" i="3"/>
  <c r="D9881" i="3"/>
  <c r="E9880" i="3"/>
  <c r="D9880" i="3"/>
  <c r="E9879" i="3"/>
  <c r="D9879" i="3"/>
  <c r="E9878" i="3"/>
  <c r="D9878" i="3"/>
  <c r="E9877" i="3"/>
  <c r="D9877" i="3"/>
  <c r="E9876" i="3"/>
  <c r="D9876" i="3"/>
  <c r="E9875" i="3"/>
  <c r="D9875" i="3"/>
  <c r="E9874" i="3"/>
  <c r="D9874" i="3"/>
  <c r="E9873" i="3"/>
  <c r="D9873" i="3"/>
  <c r="E9872" i="3"/>
  <c r="D9872" i="3"/>
  <c r="E9871" i="3"/>
  <c r="D9871" i="3"/>
  <c r="E9870" i="3"/>
  <c r="D9870" i="3"/>
  <c r="E9869" i="3"/>
  <c r="D9869" i="3"/>
  <c r="E9868" i="3"/>
  <c r="D9868" i="3"/>
  <c r="E9867" i="3"/>
  <c r="D9867" i="3"/>
  <c r="E9866" i="3"/>
  <c r="D9866" i="3"/>
  <c r="E9865" i="3"/>
  <c r="D9865" i="3"/>
  <c r="E9864" i="3"/>
  <c r="D9864" i="3"/>
  <c r="E9863" i="3"/>
  <c r="D9863" i="3"/>
  <c r="E9862" i="3"/>
  <c r="D9862" i="3"/>
  <c r="E9861" i="3"/>
  <c r="D9861" i="3"/>
  <c r="E9860" i="3"/>
  <c r="D9860" i="3"/>
  <c r="E9859" i="3"/>
  <c r="D9859" i="3"/>
  <c r="E9858" i="3"/>
  <c r="D9858" i="3"/>
  <c r="E9857" i="3"/>
  <c r="D9857" i="3"/>
  <c r="E9856" i="3"/>
  <c r="D9856" i="3"/>
  <c r="E9855" i="3"/>
  <c r="D9855" i="3"/>
  <c r="E9854" i="3"/>
  <c r="D9854" i="3"/>
  <c r="E9853" i="3"/>
  <c r="D9853" i="3"/>
  <c r="E9852" i="3"/>
  <c r="D9852" i="3"/>
  <c r="E9851" i="3"/>
  <c r="D9851" i="3"/>
  <c r="E9850" i="3"/>
  <c r="D9850" i="3"/>
  <c r="E9849" i="3"/>
  <c r="D9849" i="3"/>
  <c r="E9848" i="3"/>
  <c r="D9848" i="3"/>
  <c r="E9847" i="3"/>
  <c r="D9847" i="3"/>
  <c r="E9846" i="3"/>
  <c r="D9846" i="3"/>
  <c r="E9845" i="3"/>
  <c r="D9845" i="3"/>
  <c r="E9844" i="3"/>
  <c r="D9844" i="3"/>
  <c r="E9843" i="3"/>
  <c r="D9843" i="3"/>
  <c r="E9842" i="3"/>
  <c r="D9842" i="3"/>
  <c r="E9841" i="3"/>
  <c r="D9841" i="3"/>
  <c r="E9840" i="3"/>
  <c r="D9840" i="3"/>
  <c r="E9839" i="3"/>
  <c r="D9839" i="3"/>
  <c r="E9838" i="3"/>
  <c r="D9838" i="3"/>
  <c r="E9837" i="3"/>
  <c r="D9837" i="3"/>
  <c r="E9836" i="3"/>
  <c r="D9836" i="3"/>
  <c r="E9835" i="3"/>
  <c r="D9835" i="3"/>
  <c r="E9834" i="3"/>
  <c r="D9834" i="3"/>
  <c r="E9833" i="3"/>
  <c r="D9833" i="3"/>
  <c r="E9832" i="3"/>
  <c r="D9832" i="3"/>
  <c r="E9831" i="3"/>
  <c r="D9831" i="3"/>
  <c r="E9830" i="3"/>
  <c r="D9830" i="3"/>
  <c r="E9829" i="3"/>
  <c r="D9829" i="3"/>
  <c r="E9828" i="3"/>
  <c r="D9828" i="3"/>
  <c r="E9827" i="3"/>
  <c r="D9827" i="3"/>
  <c r="E9826" i="3"/>
  <c r="D9826" i="3"/>
  <c r="E9825" i="3"/>
  <c r="D9825" i="3"/>
  <c r="E9824" i="3"/>
  <c r="D9824" i="3"/>
  <c r="E9823" i="3"/>
  <c r="D9823" i="3"/>
  <c r="E9822" i="3"/>
  <c r="D9822" i="3"/>
  <c r="E9821" i="3"/>
  <c r="D9821" i="3"/>
  <c r="E9820" i="3"/>
  <c r="D9820" i="3"/>
  <c r="E9819" i="3"/>
  <c r="D9819" i="3"/>
  <c r="E9818" i="3"/>
  <c r="D9818" i="3"/>
  <c r="E9817" i="3"/>
  <c r="D9817" i="3"/>
  <c r="E9816" i="3"/>
  <c r="D9816" i="3"/>
  <c r="E9815" i="3"/>
  <c r="D9815" i="3"/>
  <c r="E9814" i="3"/>
  <c r="D9814" i="3"/>
  <c r="E9813" i="3"/>
  <c r="D9813" i="3"/>
  <c r="E9812" i="3"/>
  <c r="D9812" i="3"/>
  <c r="E9811" i="3"/>
  <c r="D9811" i="3"/>
  <c r="E9810" i="3"/>
  <c r="D9810" i="3"/>
  <c r="E9809" i="3"/>
  <c r="D9809" i="3"/>
  <c r="E9808" i="3"/>
  <c r="D9808" i="3"/>
  <c r="E9807" i="3"/>
  <c r="D9807" i="3"/>
  <c r="E9806" i="3"/>
  <c r="D9806" i="3"/>
  <c r="E9805" i="3"/>
  <c r="D9805" i="3"/>
  <c r="E9804" i="3"/>
  <c r="D9804" i="3"/>
  <c r="E9803" i="3"/>
  <c r="D9803" i="3"/>
  <c r="E9802" i="3"/>
  <c r="D9802" i="3"/>
  <c r="E9801" i="3"/>
  <c r="D9801" i="3"/>
  <c r="E9800" i="3"/>
  <c r="D9800" i="3"/>
  <c r="E9799" i="3"/>
  <c r="D9799" i="3"/>
  <c r="E9798" i="3"/>
  <c r="D9798" i="3"/>
  <c r="E9797" i="3"/>
  <c r="D9797" i="3"/>
  <c r="E9796" i="3"/>
  <c r="D9796" i="3"/>
  <c r="E9795" i="3"/>
  <c r="D9795" i="3"/>
  <c r="E9794" i="3"/>
  <c r="D9794" i="3"/>
  <c r="E9793" i="3"/>
  <c r="D9793" i="3"/>
  <c r="E9792" i="3"/>
  <c r="D9792" i="3"/>
  <c r="E9791" i="3"/>
  <c r="D9791" i="3"/>
  <c r="E9790" i="3"/>
  <c r="D9790" i="3"/>
  <c r="E9789" i="3"/>
  <c r="D9789" i="3"/>
  <c r="E9788" i="3"/>
  <c r="D9788" i="3"/>
  <c r="E9787" i="3"/>
  <c r="D9787" i="3"/>
  <c r="E9786" i="3"/>
  <c r="D9786" i="3"/>
  <c r="E9785" i="3"/>
  <c r="D9785" i="3"/>
  <c r="E9784" i="3"/>
  <c r="D9784" i="3"/>
  <c r="E9783" i="3"/>
  <c r="D9783" i="3"/>
  <c r="E9782" i="3"/>
  <c r="D9782" i="3"/>
  <c r="E9781" i="3"/>
  <c r="D9781" i="3"/>
  <c r="E9780" i="3"/>
  <c r="D9780" i="3"/>
  <c r="E9779" i="3"/>
  <c r="D9779" i="3"/>
  <c r="E9778" i="3"/>
  <c r="D9778" i="3"/>
  <c r="E9777" i="3"/>
  <c r="D9777" i="3"/>
  <c r="E9776" i="3"/>
  <c r="D9776" i="3"/>
  <c r="E9775" i="3"/>
  <c r="D9775" i="3"/>
  <c r="E9774" i="3"/>
  <c r="D9774" i="3"/>
  <c r="E9773" i="3"/>
  <c r="D9773" i="3"/>
  <c r="E9772" i="3"/>
  <c r="D9772" i="3"/>
  <c r="E9771" i="3"/>
  <c r="D9771" i="3"/>
  <c r="E9770" i="3"/>
  <c r="D9770" i="3"/>
  <c r="E9769" i="3"/>
  <c r="D9769" i="3"/>
  <c r="E9768" i="3"/>
  <c r="D9768" i="3"/>
  <c r="E9767" i="3"/>
  <c r="D9767" i="3"/>
  <c r="E9766" i="3"/>
  <c r="D9766" i="3"/>
  <c r="E9765" i="3"/>
  <c r="D9765" i="3"/>
  <c r="E9764" i="3"/>
  <c r="D9764" i="3"/>
  <c r="E9763" i="3"/>
  <c r="D9763" i="3"/>
  <c r="E9762" i="3"/>
  <c r="D9762" i="3"/>
  <c r="E9761" i="3"/>
  <c r="D9761" i="3"/>
  <c r="E9760" i="3"/>
  <c r="D9760" i="3"/>
  <c r="E9759" i="3"/>
  <c r="D9759" i="3"/>
  <c r="E9758" i="3"/>
  <c r="D9758" i="3"/>
  <c r="E9757" i="3"/>
  <c r="D9757" i="3"/>
  <c r="E9756" i="3"/>
  <c r="D9756" i="3"/>
  <c r="E9755" i="3"/>
  <c r="D9755" i="3"/>
  <c r="E9754" i="3"/>
  <c r="D9754" i="3"/>
  <c r="E9753" i="3"/>
  <c r="D9753" i="3"/>
  <c r="E9752" i="3"/>
  <c r="D9752" i="3"/>
  <c r="E9751" i="3"/>
  <c r="D9751" i="3"/>
  <c r="E9750" i="3"/>
  <c r="D9750" i="3"/>
  <c r="E9749" i="3"/>
  <c r="D9749" i="3"/>
  <c r="E9748" i="3"/>
  <c r="D9748" i="3"/>
  <c r="E9747" i="3"/>
  <c r="D9747" i="3"/>
  <c r="E9746" i="3"/>
  <c r="D9746" i="3"/>
  <c r="E9745" i="3"/>
  <c r="D9745" i="3"/>
  <c r="E9744" i="3"/>
  <c r="D9744" i="3"/>
  <c r="E9743" i="3"/>
  <c r="D9743" i="3"/>
  <c r="E9742" i="3"/>
  <c r="D9742" i="3"/>
  <c r="E9741" i="3"/>
  <c r="D9741" i="3"/>
  <c r="E9740" i="3"/>
  <c r="D9740" i="3"/>
  <c r="E9739" i="3"/>
  <c r="D9739" i="3"/>
  <c r="E9738" i="3"/>
  <c r="D9738" i="3"/>
  <c r="E9737" i="3"/>
  <c r="D9737" i="3"/>
  <c r="E9736" i="3"/>
  <c r="D9736" i="3"/>
  <c r="E9735" i="3"/>
  <c r="D9735" i="3"/>
  <c r="E9734" i="3"/>
  <c r="D9734" i="3"/>
  <c r="E9733" i="3"/>
  <c r="D9733" i="3"/>
  <c r="E9732" i="3"/>
  <c r="D9732" i="3"/>
  <c r="E9731" i="3"/>
  <c r="D9731" i="3"/>
  <c r="E9730" i="3"/>
  <c r="D9730" i="3"/>
  <c r="E9729" i="3"/>
  <c r="D9729" i="3"/>
  <c r="E9728" i="3"/>
  <c r="D9728" i="3"/>
  <c r="E9727" i="3"/>
  <c r="D9727" i="3"/>
  <c r="E9726" i="3"/>
  <c r="D9726" i="3"/>
  <c r="E9725" i="3"/>
  <c r="D9725" i="3"/>
  <c r="E9724" i="3"/>
  <c r="D9724" i="3"/>
  <c r="E9723" i="3"/>
  <c r="D9723" i="3"/>
  <c r="E9722" i="3"/>
  <c r="D9722" i="3"/>
  <c r="E9721" i="3"/>
  <c r="D9721" i="3"/>
  <c r="E9720" i="3"/>
  <c r="D9720" i="3"/>
  <c r="E9719" i="3"/>
  <c r="D9719" i="3"/>
  <c r="E9718" i="3"/>
  <c r="D9718" i="3"/>
  <c r="E9717" i="3"/>
  <c r="D9717" i="3"/>
  <c r="E9716" i="3"/>
  <c r="D9716" i="3"/>
  <c r="E9715" i="3"/>
  <c r="D9715" i="3"/>
  <c r="E9714" i="3"/>
  <c r="D9714" i="3"/>
  <c r="E9713" i="3"/>
  <c r="D9713" i="3"/>
  <c r="E9712" i="3"/>
  <c r="D9712" i="3"/>
  <c r="E9711" i="3"/>
  <c r="D9711" i="3"/>
  <c r="E9710" i="3"/>
  <c r="D9710" i="3"/>
  <c r="E9709" i="3"/>
  <c r="D9709" i="3"/>
  <c r="E9708" i="3"/>
  <c r="D9708" i="3"/>
  <c r="E9707" i="3"/>
  <c r="D9707" i="3"/>
  <c r="E9706" i="3"/>
  <c r="D9706" i="3"/>
  <c r="E9705" i="3"/>
  <c r="D9705" i="3"/>
  <c r="E9704" i="3"/>
  <c r="D9704" i="3"/>
  <c r="E9703" i="3"/>
  <c r="D9703" i="3"/>
  <c r="E9702" i="3"/>
  <c r="D9702" i="3"/>
  <c r="E9701" i="3"/>
  <c r="D9701" i="3"/>
  <c r="E9700" i="3"/>
  <c r="D9700" i="3"/>
  <c r="E9699" i="3"/>
  <c r="D9699" i="3"/>
  <c r="E9698" i="3"/>
  <c r="D9698" i="3"/>
  <c r="E9697" i="3"/>
  <c r="D9697" i="3"/>
  <c r="E9696" i="3"/>
  <c r="D9696" i="3"/>
  <c r="E9695" i="3"/>
  <c r="D9695" i="3"/>
  <c r="E9694" i="3"/>
  <c r="D9694" i="3"/>
  <c r="E9693" i="3"/>
  <c r="D9693" i="3"/>
  <c r="E9692" i="3"/>
  <c r="D9692" i="3"/>
  <c r="E9691" i="3"/>
  <c r="D9691" i="3"/>
  <c r="E9690" i="3"/>
  <c r="D9690" i="3"/>
  <c r="E9689" i="3"/>
  <c r="D9689" i="3"/>
  <c r="E9688" i="3"/>
  <c r="D9688" i="3"/>
  <c r="E9687" i="3"/>
  <c r="D9687" i="3"/>
  <c r="E9686" i="3"/>
  <c r="D9686" i="3"/>
  <c r="E9685" i="3"/>
  <c r="D9685" i="3"/>
  <c r="E9684" i="3"/>
  <c r="D9684" i="3"/>
  <c r="E9683" i="3"/>
  <c r="D9683" i="3"/>
  <c r="E9682" i="3"/>
  <c r="D9682" i="3"/>
  <c r="E9681" i="3"/>
  <c r="D9681" i="3"/>
  <c r="E9680" i="3"/>
  <c r="D9680" i="3"/>
  <c r="E9679" i="3"/>
  <c r="D9679" i="3"/>
  <c r="E9678" i="3"/>
  <c r="D9678" i="3"/>
  <c r="E9677" i="3"/>
  <c r="D9677" i="3"/>
  <c r="E9676" i="3"/>
  <c r="D9676" i="3"/>
  <c r="E9675" i="3"/>
  <c r="D9675" i="3"/>
  <c r="E9674" i="3"/>
  <c r="D9674" i="3"/>
  <c r="E9673" i="3"/>
  <c r="D9673" i="3"/>
  <c r="E9672" i="3"/>
  <c r="D9672" i="3"/>
  <c r="E9671" i="3"/>
  <c r="D9671" i="3"/>
  <c r="E9670" i="3"/>
  <c r="D9670" i="3"/>
  <c r="E9669" i="3"/>
  <c r="D9669" i="3"/>
  <c r="E9668" i="3"/>
  <c r="D9668" i="3"/>
  <c r="E9667" i="3"/>
  <c r="D9667" i="3"/>
  <c r="E9666" i="3"/>
  <c r="D9666" i="3"/>
  <c r="E9665" i="3"/>
  <c r="D9665" i="3"/>
  <c r="E9664" i="3"/>
  <c r="D9664" i="3"/>
  <c r="E9663" i="3"/>
  <c r="D9663" i="3"/>
  <c r="E9662" i="3"/>
  <c r="D9662" i="3"/>
  <c r="E9661" i="3"/>
  <c r="D9661" i="3"/>
  <c r="E9660" i="3"/>
  <c r="D9660" i="3"/>
  <c r="E9659" i="3"/>
  <c r="D9659" i="3"/>
  <c r="E9658" i="3"/>
  <c r="D9658" i="3"/>
  <c r="E9657" i="3"/>
  <c r="D9657" i="3"/>
  <c r="E9656" i="3"/>
  <c r="D9656" i="3"/>
  <c r="E9655" i="3"/>
  <c r="D9655" i="3"/>
  <c r="E9654" i="3"/>
  <c r="D9654" i="3"/>
  <c r="E9653" i="3"/>
  <c r="D9653" i="3"/>
  <c r="E9652" i="3"/>
  <c r="D9652" i="3"/>
  <c r="E9651" i="3"/>
  <c r="D9651" i="3"/>
  <c r="E9650" i="3"/>
  <c r="D9650" i="3"/>
  <c r="E9649" i="3"/>
  <c r="D9649" i="3"/>
  <c r="E9648" i="3"/>
  <c r="D9648" i="3"/>
  <c r="E9647" i="3"/>
  <c r="D9647" i="3"/>
  <c r="E9646" i="3"/>
  <c r="D9646" i="3"/>
  <c r="E9645" i="3"/>
  <c r="D9645" i="3"/>
  <c r="E9644" i="3"/>
  <c r="D9644" i="3"/>
  <c r="E9643" i="3"/>
  <c r="D9643" i="3"/>
  <c r="E9642" i="3"/>
  <c r="D9642" i="3"/>
  <c r="E9641" i="3"/>
  <c r="D9641" i="3"/>
  <c r="E9640" i="3"/>
  <c r="D9640" i="3"/>
  <c r="E9639" i="3"/>
  <c r="D9639" i="3"/>
  <c r="E9638" i="3"/>
  <c r="D9638" i="3"/>
  <c r="E9637" i="3"/>
  <c r="D9637" i="3"/>
  <c r="E9636" i="3"/>
  <c r="D9636" i="3"/>
  <c r="E9635" i="3"/>
  <c r="D9635" i="3"/>
  <c r="E9634" i="3"/>
  <c r="D9634" i="3"/>
  <c r="E9633" i="3"/>
  <c r="D9633" i="3"/>
  <c r="E9632" i="3"/>
  <c r="D9632" i="3"/>
  <c r="E9631" i="3"/>
  <c r="D9631" i="3"/>
  <c r="E9630" i="3"/>
  <c r="D9630" i="3"/>
  <c r="E9629" i="3"/>
  <c r="D9629" i="3"/>
  <c r="E9628" i="3"/>
  <c r="D9628" i="3"/>
  <c r="E9627" i="3"/>
  <c r="D9627" i="3"/>
  <c r="E9626" i="3"/>
  <c r="D9626" i="3"/>
  <c r="E9625" i="3"/>
  <c r="D9625" i="3"/>
  <c r="E9624" i="3"/>
  <c r="D9624" i="3"/>
  <c r="E9623" i="3"/>
  <c r="D9623" i="3"/>
  <c r="E9622" i="3"/>
  <c r="D9622" i="3"/>
  <c r="E9621" i="3"/>
  <c r="D9621" i="3"/>
  <c r="E9620" i="3"/>
  <c r="D9620" i="3"/>
  <c r="E9619" i="3"/>
  <c r="D9619" i="3"/>
  <c r="E9618" i="3"/>
  <c r="D9618" i="3"/>
  <c r="E9617" i="3"/>
  <c r="D9617" i="3"/>
  <c r="E9616" i="3"/>
  <c r="D9616" i="3"/>
  <c r="E9615" i="3"/>
  <c r="D9615" i="3"/>
  <c r="E9614" i="3"/>
  <c r="D9614" i="3"/>
  <c r="E9613" i="3"/>
  <c r="D9613" i="3"/>
  <c r="E9612" i="3"/>
  <c r="D9612" i="3"/>
  <c r="E9611" i="3"/>
  <c r="D9611" i="3"/>
  <c r="E9610" i="3"/>
  <c r="D9610" i="3"/>
  <c r="E9609" i="3"/>
  <c r="D9609" i="3"/>
  <c r="E9608" i="3"/>
  <c r="D9608" i="3"/>
  <c r="E9607" i="3"/>
  <c r="D9607" i="3"/>
  <c r="E9606" i="3"/>
  <c r="D9606" i="3"/>
  <c r="E9605" i="3"/>
  <c r="D9605" i="3"/>
  <c r="E9604" i="3"/>
  <c r="D9604" i="3"/>
  <c r="E9603" i="3"/>
  <c r="D9603" i="3"/>
  <c r="E9602" i="3"/>
  <c r="D9602" i="3"/>
  <c r="E9601" i="3"/>
  <c r="D9601" i="3"/>
  <c r="E9600" i="3"/>
  <c r="D9600" i="3"/>
  <c r="E9599" i="3"/>
  <c r="D9599" i="3"/>
  <c r="E9598" i="3"/>
  <c r="D9598" i="3"/>
  <c r="E9597" i="3"/>
  <c r="D9597" i="3"/>
  <c r="E9596" i="3"/>
  <c r="D9596" i="3"/>
  <c r="E9595" i="3"/>
  <c r="D9595" i="3"/>
  <c r="E9594" i="3"/>
  <c r="D9594" i="3"/>
  <c r="E9593" i="3"/>
  <c r="D9593" i="3"/>
  <c r="E9592" i="3"/>
  <c r="D9592" i="3"/>
  <c r="E9591" i="3"/>
  <c r="D9591" i="3"/>
  <c r="E9590" i="3"/>
  <c r="D9590" i="3"/>
  <c r="E9589" i="3"/>
  <c r="D9589" i="3"/>
  <c r="E9588" i="3"/>
  <c r="D9588" i="3"/>
  <c r="E9587" i="3"/>
  <c r="D9587" i="3"/>
  <c r="E9586" i="3"/>
  <c r="D9586" i="3"/>
  <c r="E9585" i="3"/>
  <c r="D9585" i="3"/>
  <c r="E9584" i="3"/>
  <c r="D9584" i="3"/>
  <c r="E9583" i="3"/>
  <c r="D9583" i="3"/>
  <c r="E9582" i="3"/>
  <c r="D9582" i="3"/>
  <c r="E9581" i="3"/>
  <c r="D9581" i="3"/>
  <c r="E9580" i="3"/>
  <c r="D9580" i="3"/>
  <c r="E9579" i="3"/>
  <c r="D9579" i="3"/>
  <c r="E9578" i="3"/>
  <c r="D9578" i="3"/>
  <c r="E9577" i="3"/>
  <c r="D9577" i="3"/>
  <c r="E9576" i="3"/>
  <c r="D9576" i="3"/>
  <c r="E9575" i="3"/>
  <c r="D9575" i="3"/>
  <c r="E9574" i="3"/>
  <c r="D9574" i="3"/>
  <c r="E9573" i="3"/>
  <c r="D9573" i="3"/>
  <c r="E9572" i="3"/>
  <c r="D9572" i="3"/>
  <c r="E9571" i="3"/>
  <c r="D9571" i="3"/>
  <c r="E9570" i="3"/>
  <c r="D9570" i="3"/>
  <c r="E9569" i="3"/>
  <c r="D9569" i="3"/>
  <c r="E9568" i="3"/>
  <c r="D9568" i="3"/>
  <c r="E9567" i="3"/>
  <c r="D9567" i="3"/>
  <c r="E9566" i="3"/>
  <c r="D9566" i="3"/>
  <c r="E9565" i="3"/>
  <c r="D9565" i="3"/>
  <c r="E9564" i="3"/>
  <c r="D9564" i="3"/>
  <c r="E9563" i="3"/>
  <c r="D9563" i="3"/>
  <c r="E9562" i="3"/>
  <c r="D9562" i="3"/>
  <c r="E9561" i="3"/>
  <c r="D9561" i="3"/>
  <c r="E9560" i="3"/>
  <c r="D9560" i="3"/>
  <c r="E9559" i="3"/>
  <c r="D9559" i="3"/>
  <c r="E9558" i="3"/>
  <c r="D9558" i="3"/>
  <c r="E9557" i="3"/>
  <c r="D9557" i="3"/>
  <c r="E9556" i="3"/>
  <c r="D9556" i="3"/>
  <c r="E9555" i="3"/>
  <c r="D9555" i="3"/>
  <c r="E9554" i="3"/>
  <c r="D9554" i="3"/>
  <c r="E9553" i="3"/>
  <c r="D9553" i="3"/>
  <c r="E9552" i="3"/>
  <c r="D9552" i="3"/>
  <c r="E9551" i="3"/>
  <c r="D9551" i="3"/>
  <c r="E9550" i="3"/>
  <c r="D9550" i="3"/>
  <c r="E9549" i="3"/>
  <c r="D9549" i="3"/>
  <c r="E9548" i="3"/>
  <c r="D9548" i="3"/>
  <c r="E9547" i="3"/>
  <c r="D9547" i="3"/>
  <c r="E9546" i="3"/>
  <c r="D9546" i="3"/>
  <c r="E9545" i="3"/>
  <c r="D9545" i="3"/>
  <c r="E9544" i="3"/>
  <c r="D9544" i="3"/>
  <c r="E9543" i="3"/>
  <c r="D9543" i="3"/>
  <c r="E9542" i="3"/>
  <c r="D9542" i="3"/>
  <c r="E9541" i="3"/>
  <c r="D9541" i="3"/>
  <c r="E9540" i="3"/>
  <c r="D9540" i="3"/>
  <c r="E9539" i="3"/>
  <c r="D9539" i="3"/>
  <c r="E9538" i="3"/>
  <c r="D9538" i="3"/>
  <c r="E9537" i="3"/>
  <c r="D9537" i="3"/>
  <c r="E9536" i="3"/>
  <c r="D9536" i="3"/>
  <c r="E9535" i="3"/>
  <c r="D9535" i="3"/>
  <c r="E9534" i="3"/>
  <c r="D9534" i="3"/>
  <c r="E9533" i="3"/>
  <c r="D9533" i="3"/>
  <c r="E9532" i="3"/>
  <c r="D9532" i="3"/>
  <c r="E9531" i="3"/>
  <c r="D9531" i="3"/>
  <c r="E9530" i="3"/>
  <c r="D9530" i="3"/>
  <c r="E9529" i="3"/>
  <c r="D9529" i="3"/>
  <c r="E9528" i="3"/>
  <c r="D9528" i="3"/>
  <c r="E9527" i="3"/>
  <c r="D9527" i="3"/>
  <c r="E9526" i="3"/>
  <c r="D9526" i="3"/>
  <c r="E9525" i="3"/>
  <c r="D9525" i="3"/>
  <c r="E9524" i="3"/>
  <c r="D9524" i="3"/>
  <c r="E9523" i="3"/>
  <c r="D9523" i="3"/>
  <c r="E9522" i="3"/>
  <c r="D9522" i="3"/>
  <c r="E9521" i="3"/>
  <c r="D9521" i="3"/>
  <c r="E9520" i="3"/>
  <c r="D9520" i="3"/>
  <c r="E9519" i="3"/>
  <c r="D9519" i="3"/>
  <c r="E9518" i="3"/>
  <c r="D9518" i="3"/>
  <c r="E9517" i="3"/>
  <c r="D9517" i="3"/>
  <c r="E9516" i="3"/>
  <c r="D9516" i="3"/>
  <c r="E9515" i="3"/>
  <c r="D9515" i="3"/>
  <c r="E9514" i="3"/>
  <c r="D9514" i="3"/>
  <c r="E9513" i="3"/>
  <c r="D9513" i="3"/>
  <c r="E9512" i="3"/>
  <c r="D9512" i="3"/>
  <c r="E9511" i="3"/>
  <c r="D9511" i="3"/>
  <c r="E9510" i="3"/>
  <c r="D9510" i="3"/>
  <c r="E9509" i="3"/>
  <c r="D9509" i="3"/>
  <c r="E9508" i="3"/>
  <c r="D9508" i="3"/>
  <c r="E9507" i="3"/>
  <c r="D9507" i="3"/>
  <c r="E9506" i="3"/>
  <c r="D9506" i="3"/>
  <c r="E9505" i="3"/>
  <c r="D9505" i="3"/>
  <c r="E9504" i="3"/>
  <c r="D9504" i="3"/>
  <c r="E9503" i="3"/>
  <c r="D9503" i="3"/>
  <c r="E9502" i="3"/>
  <c r="D9502" i="3"/>
  <c r="E9501" i="3"/>
  <c r="D9501" i="3"/>
  <c r="E9500" i="3"/>
  <c r="D9500" i="3"/>
  <c r="E9499" i="3"/>
  <c r="D9499" i="3"/>
  <c r="E9498" i="3"/>
  <c r="D9498" i="3"/>
  <c r="E9497" i="3"/>
  <c r="D9497" i="3"/>
  <c r="E9496" i="3"/>
  <c r="D9496" i="3"/>
  <c r="E9495" i="3"/>
  <c r="D9495" i="3"/>
  <c r="E9494" i="3"/>
  <c r="D9494" i="3"/>
  <c r="E9493" i="3"/>
  <c r="D9493" i="3"/>
  <c r="E9492" i="3"/>
  <c r="D9492" i="3"/>
  <c r="E9491" i="3"/>
  <c r="D9491" i="3"/>
  <c r="E9490" i="3"/>
  <c r="D9490" i="3"/>
  <c r="E9489" i="3"/>
  <c r="D9489" i="3"/>
  <c r="E9488" i="3"/>
  <c r="D9488" i="3"/>
  <c r="E9487" i="3"/>
  <c r="D9487" i="3"/>
  <c r="E9486" i="3"/>
  <c r="D9486" i="3"/>
  <c r="E9485" i="3"/>
  <c r="D9485" i="3"/>
  <c r="E9484" i="3"/>
  <c r="D9484" i="3"/>
  <c r="E9483" i="3"/>
  <c r="D9483" i="3"/>
  <c r="E9482" i="3"/>
  <c r="D9482" i="3"/>
  <c r="E9481" i="3"/>
  <c r="D9481" i="3"/>
  <c r="E9480" i="3"/>
  <c r="D9480" i="3"/>
  <c r="E9479" i="3"/>
  <c r="D9479" i="3"/>
  <c r="E9478" i="3"/>
  <c r="D9478" i="3"/>
  <c r="E9477" i="3"/>
  <c r="D9477" i="3"/>
  <c r="E9476" i="3"/>
  <c r="D9476" i="3"/>
  <c r="E9475" i="3"/>
  <c r="D9475" i="3"/>
  <c r="E9474" i="3"/>
  <c r="D9474" i="3"/>
  <c r="E9473" i="3"/>
  <c r="D9473" i="3"/>
  <c r="E9472" i="3"/>
  <c r="D9472" i="3"/>
  <c r="E9471" i="3"/>
  <c r="D9471" i="3"/>
  <c r="E9470" i="3"/>
  <c r="D9470" i="3"/>
  <c r="E9469" i="3"/>
  <c r="D9469" i="3"/>
  <c r="E9468" i="3"/>
  <c r="D9468" i="3"/>
  <c r="E9467" i="3"/>
  <c r="D9467" i="3"/>
  <c r="E9466" i="3"/>
  <c r="D9466" i="3"/>
  <c r="E9465" i="3"/>
  <c r="D9465" i="3"/>
  <c r="E9464" i="3"/>
  <c r="D9464" i="3"/>
  <c r="E9463" i="3"/>
  <c r="D9463" i="3"/>
  <c r="E9462" i="3"/>
  <c r="D9462" i="3"/>
  <c r="E9461" i="3"/>
  <c r="D9461" i="3"/>
  <c r="E9460" i="3"/>
  <c r="D9460" i="3"/>
  <c r="E9459" i="3"/>
  <c r="D9459" i="3"/>
  <c r="E9458" i="3"/>
  <c r="D9458" i="3"/>
  <c r="E9457" i="3"/>
  <c r="D9457" i="3"/>
  <c r="E9456" i="3"/>
  <c r="D9456" i="3"/>
  <c r="E9455" i="3"/>
  <c r="D9455" i="3"/>
  <c r="E9454" i="3"/>
  <c r="D9454" i="3"/>
  <c r="E9453" i="3"/>
  <c r="D9453" i="3"/>
  <c r="E9452" i="3"/>
  <c r="D9452" i="3"/>
  <c r="E9451" i="3"/>
  <c r="D9451" i="3"/>
  <c r="E9450" i="3"/>
  <c r="D9450" i="3"/>
  <c r="E9449" i="3"/>
  <c r="D9449" i="3"/>
  <c r="E9448" i="3"/>
  <c r="D9448" i="3"/>
  <c r="E9447" i="3"/>
  <c r="D9447" i="3"/>
  <c r="E9446" i="3"/>
  <c r="D9446" i="3"/>
  <c r="E9445" i="3"/>
  <c r="D9445" i="3"/>
  <c r="E9444" i="3"/>
  <c r="D9444" i="3"/>
  <c r="E9443" i="3"/>
  <c r="D9443" i="3"/>
  <c r="E9442" i="3"/>
  <c r="D9442" i="3"/>
  <c r="E9441" i="3"/>
  <c r="D9441" i="3"/>
  <c r="E9440" i="3"/>
  <c r="D9440" i="3"/>
  <c r="E9439" i="3"/>
  <c r="D9439" i="3"/>
  <c r="E9438" i="3"/>
  <c r="D9438" i="3"/>
  <c r="E9437" i="3"/>
  <c r="D9437" i="3"/>
  <c r="E9436" i="3"/>
  <c r="D9436" i="3"/>
  <c r="E9435" i="3"/>
  <c r="D9435" i="3"/>
  <c r="E9434" i="3"/>
  <c r="D9434" i="3"/>
  <c r="E9433" i="3"/>
  <c r="D9433" i="3"/>
  <c r="E9432" i="3"/>
  <c r="D9432" i="3"/>
  <c r="E9431" i="3"/>
  <c r="D9431" i="3"/>
  <c r="E9430" i="3"/>
  <c r="D9430" i="3"/>
  <c r="E9429" i="3"/>
  <c r="D9429" i="3"/>
  <c r="E9428" i="3"/>
  <c r="D9428" i="3"/>
  <c r="E9427" i="3"/>
  <c r="D9427" i="3"/>
  <c r="E9426" i="3"/>
  <c r="D9426" i="3"/>
  <c r="E9425" i="3"/>
  <c r="D9425" i="3"/>
  <c r="E9424" i="3"/>
  <c r="D9424" i="3"/>
  <c r="E9423" i="3"/>
  <c r="D9423" i="3"/>
  <c r="E9422" i="3"/>
  <c r="D9422" i="3"/>
  <c r="E9421" i="3"/>
  <c r="D9421" i="3"/>
  <c r="E9420" i="3"/>
  <c r="D9420" i="3"/>
  <c r="E9419" i="3"/>
  <c r="D9419" i="3"/>
  <c r="E9418" i="3"/>
  <c r="D9418" i="3"/>
  <c r="E9417" i="3"/>
  <c r="D9417" i="3"/>
  <c r="E9416" i="3"/>
  <c r="D9416" i="3"/>
  <c r="E9415" i="3"/>
  <c r="D9415" i="3"/>
  <c r="E9414" i="3"/>
  <c r="D9414" i="3"/>
  <c r="E9413" i="3"/>
  <c r="D9413" i="3"/>
  <c r="E9412" i="3"/>
  <c r="D9412" i="3"/>
  <c r="E9411" i="3"/>
  <c r="D9411" i="3"/>
  <c r="E9410" i="3"/>
  <c r="D9410" i="3"/>
  <c r="E9409" i="3"/>
  <c r="D9409" i="3"/>
  <c r="E9408" i="3"/>
  <c r="D9408" i="3"/>
  <c r="E9407" i="3"/>
  <c r="D9407" i="3"/>
  <c r="E9406" i="3"/>
  <c r="D9406" i="3"/>
  <c r="E9405" i="3"/>
  <c r="D9405" i="3"/>
  <c r="E9404" i="3"/>
  <c r="D9404" i="3"/>
  <c r="E9403" i="3"/>
  <c r="D9403" i="3"/>
  <c r="E9402" i="3"/>
  <c r="D9402" i="3"/>
  <c r="E9401" i="3"/>
  <c r="D9401" i="3"/>
  <c r="E9400" i="3"/>
  <c r="D9400" i="3"/>
  <c r="E9399" i="3"/>
  <c r="D9399" i="3"/>
  <c r="E9398" i="3"/>
  <c r="D9398" i="3"/>
  <c r="E9397" i="3"/>
  <c r="D9397" i="3"/>
  <c r="E9396" i="3"/>
  <c r="D9396" i="3"/>
  <c r="E9395" i="3"/>
  <c r="D9395" i="3"/>
  <c r="E9394" i="3"/>
  <c r="D9394" i="3"/>
  <c r="E9393" i="3"/>
  <c r="D9393" i="3"/>
  <c r="E9392" i="3"/>
  <c r="D9392" i="3"/>
  <c r="E9391" i="3"/>
  <c r="D9391" i="3"/>
  <c r="E9390" i="3"/>
  <c r="D9390" i="3"/>
  <c r="E9389" i="3"/>
  <c r="D9389" i="3"/>
  <c r="E9388" i="3"/>
  <c r="D9388" i="3"/>
  <c r="E9387" i="3"/>
  <c r="D9387" i="3"/>
  <c r="E9386" i="3"/>
  <c r="D9386" i="3"/>
  <c r="E9385" i="3"/>
  <c r="D9385" i="3"/>
  <c r="E9384" i="3"/>
  <c r="D9384" i="3"/>
  <c r="E9383" i="3"/>
  <c r="D9383" i="3"/>
  <c r="E9382" i="3"/>
  <c r="D9382" i="3"/>
  <c r="E9381" i="3"/>
  <c r="D9381" i="3"/>
  <c r="E9380" i="3"/>
  <c r="D9380" i="3"/>
  <c r="E9379" i="3"/>
  <c r="D9379" i="3"/>
  <c r="E9378" i="3"/>
  <c r="D9378" i="3"/>
  <c r="E9377" i="3"/>
  <c r="D9377" i="3"/>
  <c r="E9376" i="3"/>
  <c r="D9376" i="3"/>
  <c r="E9375" i="3"/>
  <c r="D9375" i="3"/>
  <c r="E9374" i="3"/>
  <c r="D9374" i="3"/>
  <c r="E9373" i="3"/>
  <c r="D9373" i="3"/>
  <c r="E9372" i="3"/>
  <c r="D9372" i="3"/>
  <c r="E9371" i="3"/>
  <c r="D9371" i="3"/>
  <c r="E9370" i="3"/>
  <c r="D9370" i="3"/>
  <c r="E9369" i="3"/>
  <c r="D9369" i="3"/>
  <c r="E9368" i="3"/>
  <c r="D9368" i="3"/>
  <c r="E9367" i="3"/>
  <c r="D9367" i="3"/>
  <c r="E9366" i="3"/>
  <c r="D9366" i="3"/>
  <c r="E9365" i="3"/>
  <c r="D9365" i="3"/>
  <c r="E9364" i="3"/>
  <c r="D9364" i="3"/>
  <c r="E9363" i="3"/>
  <c r="D9363" i="3"/>
  <c r="E9362" i="3"/>
  <c r="D9362" i="3"/>
  <c r="E9361" i="3"/>
  <c r="D9361" i="3"/>
  <c r="E9360" i="3"/>
  <c r="D9360" i="3"/>
  <c r="E9359" i="3"/>
  <c r="D9359" i="3"/>
  <c r="E9358" i="3"/>
  <c r="D9358" i="3"/>
  <c r="E9357" i="3"/>
  <c r="D9357" i="3"/>
  <c r="E9356" i="3"/>
  <c r="D9356" i="3"/>
  <c r="E9355" i="3"/>
  <c r="D9355" i="3"/>
  <c r="E9354" i="3"/>
  <c r="D9354" i="3"/>
  <c r="E9353" i="3"/>
  <c r="D9353" i="3"/>
  <c r="E9352" i="3"/>
  <c r="D9352" i="3"/>
  <c r="E9351" i="3"/>
  <c r="D9351" i="3"/>
  <c r="E9350" i="3"/>
  <c r="D9350" i="3"/>
  <c r="E9349" i="3"/>
  <c r="D9349" i="3"/>
  <c r="E9348" i="3"/>
  <c r="D9348" i="3"/>
  <c r="E9347" i="3"/>
  <c r="D9347" i="3"/>
  <c r="E9346" i="3"/>
  <c r="D9346" i="3"/>
  <c r="E9345" i="3"/>
  <c r="D9345" i="3"/>
  <c r="E9344" i="3"/>
  <c r="D9344" i="3"/>
  <c r="E9343" i="3"/>
  <c r="D9343" i="3"/>
  <c r="E9342" i="3"/>
  <c r="D9342" i="3"/>
  <c r="E9341" i="3"/>
  <c r="D9341" i="3"/>
  <c r="E9340" i="3"/>
  <c r="D9340" i="3"/>
  <c r="E9339" i="3"/>
  <c r="D9339" i="3"/>
  <c r="E9338" i="3"/>
  <c r="D9338" i="3"/>
  <c r="E9337" i="3"/>
  <c r="D9337" i="3"/>
  <c r="E9336" i="3"/>
  <c r="D9336" i="3"/>
  <c r="E9335" i="3"/>
  <c r="D9335" i="3"/>
  <c r="E9334" i="3"/>
  <c r="D9334" i="3"/>
  <c r="E9333" i="3"/>
  <c r="D9333" i="3"/>
  <c r="E9332" i="3"/>
  <c r="D9332" i="3"/>
  <c r="E9331" i="3"/>
  <c r="D9331" i="3"/>
  <c r="E9330" i="3"/>
  <c r="D9330" i="3"/>
  <c r="E9329" i="3"/>
  <c r="D9329" i="3"/>
  <c r="E9328" i="3"/>
  <c r="D9328" i="3"/>
  <c r="E9327" i="3"/>
  <c r="D9327" i="3"/>
  <c r="E9326" i="3"/>
  <c r="D9326" i="3"/>
  <c r="E9325" i="3"/>
  <c r="D9325" i="3"/>
  <c r="E9324" i="3"/>
  <c r="D9324" i="3"/>
  <c r="E9323" i="3"/>
  <c r="D9323" i="3"/>
  <c r="E9322" i="3"/>
  <c r="D9322" i="3"/>
  <c r="E9321" i="3"/>
  <c r="D9321" i="3"/>
  <c r="E9320" i="3"/>
  <c r="D9320" i="3"/>
  <c r="E9319" i="3"/>
  <c r="D9319" i="3"/>
  <c r="E9318" i="3"/>
  <c r="D9318" i="3"/>
  <c r="E9317" i="3"/>
  <c r="D9317" i="3"/>
  <c r="E9316" i="3"/>
  <c r="D9316" i="3"/>
  <c r="E9315" i="3"/>
  <c r="D9315" i="3"/>
  <c r="E9314" i="3"/>
  <c r="D9314" i="3"/>
  <c r="E9313" i="3"/>
  <c r="D9313" i="3"/>
  <c r="E9312" i="3"/>
  <c r="D9312" i="3"/>
  <c r="E9311" i="3"/>
  <c r="D9311" i="3"/>
  <c r="E9310" i="3"/>
  <c r="D9310" i="3"/>
  <c r="E9309" i="3"/>
  <c r="D9309" i="3"/>
  <c r="E9308" i="3"/>
  <c r="D9308" i="3"/>
  <c r="E9307" i="3"/>
  <c r="D9307" i="3"/>
  <c r="E9306" i="3"/>
  <c r="D9306" i="3"/>
  <c r="E9305" i="3"/>
  <c r="D9305" i="3"/>
  <c r="E9304" i="3"/>
  <c r="D9304" i="3"/>
  <c r="E9303" i="3"/>
  <c r="D9303" i="3"/>
  <c r="E9302" i="3"/>
  <c r="D9302" i="3"/>
  <c r="E9301" i="3"/>
  <c r="D9301" i="3"/>
  <c r="E9300" i="3"/>
  <c r="D9300" i="3"/>
  <c r="E9299" i="3"/>
  <c r="D9299" i="3"/>
  <c r="E9298" i="3"/>
  <c r="D9298" i="3"/>
  <c r="E9297" i="3"/>
  <c r="D9297" i="3"/>
  <c r="E9296" i="3"/>
  <c r="D9296" i="3"/>
  <c r="E9295" i="3"/>
  <c r="D9295" i="3"/>
  <c r="E9294" i="3"/>
  <c r="D9294" i="3"/>
  <c r="E9293" i="3"/>
  <c r="D9293" i="3"/>
  <c r="E9292" i="3"/>
  <c r="D9292" i="3"/>
  <c r="E9291" i="3"/>
  <c r="D9291" i="3"/>
  <c r="E9290" i="3"/>
  <c r="D9290" i="3"/>
  <c r="E9289" i="3"/>
  <c r="D9289" i="3"/>
  <c r="E9288" i="3"/>
  <c r="D9288" i="3"/>
  <c r="E9287" i="3"/>
  <c r="D9287" i="3"/>
  <c r="E9286" i="3"/>
  <c r="D9286" i="3"/>
  <c r="E9285" i="3"/>
  <c r="D9285" i="3"/>
  <c r="E9284" i="3"/>
  <c r="D9284" i="3"/>
  <c r="E9283" i="3"/>
  <c r="D9283" i="3"/>
  <c r="E9282" i="3"/>
  <c r="D9282" i="3"/>
  <c r="E9281" i="3"/>
  <c r="D9281" i="3"/>
  <c r="E9280" i="3"/>
  <c r="D9280" i="3"/>
  <c r="E9279" i="3"/>
  <c r="D9279" i="3"/>
  <c r="E9278" i="3"/>
  <c r="D9278" i="3"/>
  <c r="E9277" i="3"/>
  <c r="D9277" i="3"/>
  <c r="E9276" i="3"/>
  <c r="D9276" i="3"/>
  <c r="E9275" i="3"/>
  <c r="D9275" i="3"/>
  <c r="E9274" i="3"/>
  <c r="D9274" i="3"/>
  <c r="E9273" i="3"/>
  <c r="D9273" i="3"/>
  <c r="E9272" i="3"/>
  <c r="D9272" i="3"/>
  <c r="E9271" i="3"/>
  <c r="D9271" i="3"/>
  <c r="E9270" i="3"/>
  <c r="D9270" i="3"/>
  <c r="E9269" i="3"/>
  <c r="D9269" i="3"/>
  <c r="E9268" i="3"/>
  <c r="D9268" i="3"/>
  <c r="E9267" i="3"/>
  <c r="D9267" i="3"/>
  <c r="E9266" i="3"/>
  <c r="D9266" i="3"/>
  <c r="E9265" i="3"/>
  <c r="D9265" i="3"/>
  <c r="E9264" i="3"/>
  <c r="D9264" i="3"/>
  <c r="E9263" i="3"/>
  <c r="D9263" i="3"/>
  <c r="E9262" i="3"/>
  <c r="D9262" i="3"/>
  <c r="E9261" i="3"/>
  <c r="D9261" i="3"/>
  <c r="E9260" i="3"/>
  <c r="D9260" i="3"/>
  <c r="E9259" i="3"/>
  <c r="D9259" i="3"/>
  <c r="E9258" i="3"/>
  <c r="D9258" i="3"/>
  <c r="E9257" i="3"/>
  <c r="D9257" i="3"/>
  <c r="E9256" i="3"/>
  <c r="D9256" i="3"/>
  <c r="E9255" i="3"/>
  <c r="D9255" i="3"/>
  <c r="E9254" i="3"/>
  <c r="D9254" i="3"/>
  <c r="E9253" i="3"/>
  <c r="D9253" i="3"/>
  <c r="E9252" i="3"/>
  <c r="D9252" i="3"/>
  <c r="E9251" i="3"/>
  <c r="D9251" i="3"/>
  <c r="E9250" i="3"/>
  <c r="D9250" i="3"/>
  <c r="E9249" i="3"/>
  <c r="D9249" i="3"/>
  <c r="E9248" i="3"/>
  <c r="D9248" i="3"/>
  <c r="E9247" i="3"/>
  <c r="D9247" i="3"/>
  <c r="E9246" i="3"/>
  <c r="D9246" i="3"/>
  <c r="E9245" i="3"/>
  <c r="D9245" i="3"/>
  <c r="E9244" i="3"/>
  <c r="D9244" i="3"/>
  <c r="E9243" i="3"/>
  <c r="D9243" i="3"/>
  <c r="E9242" i="3"/>
  <c r="D9242" i="3"/>
  <c r="E9241" i="3"/>
  <c r="D9241" i="3"/>
  <c r="E9240" i="3"/>
  <c r="D9240" i="3"/>
  <c r="E9239" i="3"/>
  <c r="D9239" i="3"/>
  <c r="E9238" i="3"/>
  <c r="D9238" i="3"/>
  <c r="E9237" i="3"/>
  <c r="D9237" i="3"/>
  <c r="E9236" i="3"/>
  <c r="D9236" i="3"/>
  <c r="E9235" i="3"/>
  <c r="D9235" i="3"/>
  <c r="E9234" i="3"/>
  <c r="D9234" i="3"/>
  <c r="E9233" i="3"/>
  <c r="D9233" i="3"/>
  <c r="E9232" i="3"/>
  <c r="D9232" i="3"/>
  <c r="E9231" i="3"/>
  <c r="D9231" i="3"/>
  <c r="E9230" i="3"/>
  <c r="D9230" i="3"/>
  <c r="E9229" i="3"/>
  <c r="D9229" i="3"/>
  <c r="E9228" i="3"/>
  <c r="D9228" i="3"/>
  <c r="E9227" i="3"/>
  <c r="D9227" i="3"/>
  <c r="E9226" i="3"/>
  <c r="D9226" i="3"/>
  <c r="E9225" i="3"/>
  <c r="D9225" i="3"/>
  <c r="E9224" i="3"/>
  <c r="D9224" i="3"/>
  <c r="E9223" i="3"/>
  <c r="D9223" i="3"/>
  <c r="E9222" i="3"/>
  <c r="D9222" i="3"/>
  <c r="E9221" i="3"/>
  <c r="D9221" i="3"/>
  <c r="E9220" i="3"/>
  <c r="D9220" i="3"/>
  <c r="E9219" i="3"/>
  <c r="D9219" i="3"/>
  <c r="E9218" i="3"/>
  <c r="D9218" i="3"/>
  <c r="E9217" i="3"/>
  <c r="D9217" i="3"/>
  <c r="E9216" i="3"/>
  <c r="D9216" i="3"/>
  <c r="E9215" i="3"/>
  <c r="D9215" i="3"/>
  <c r="E9214" i="3"/>
  <c r="D9214" i="3"/>
  <c r="E9213" i="3"/>
  <c r="D9213" i="3"/>
  <c r="E9212" i="3"/>
  <c r="D9212" i="3"/>
  <c r="E9211" i="3"/>
  <c r="D9211" i="3"/>
  <c r="E9210" i="3"/>
  <c r="D9210" i="3"/>
  <c r="E9209" i="3"/>
  <c r="D9209" i="3"/>
  <c r="E9208" i="3"/>
  <c r="D9208" i="3"/>
  <c r="E9207" i="3"/>
  <c r="D9207" i="3"/>
  <c r="E9206" i="3"/>
  <c r="D9206" i="3"/>
  <c r="E9205" i="3"/>
  <c r="D9205" i="3"/>
  <c r="E9204" i="3"/>
  <c r="D9204" i="3"/>
  <c r="E9203" i="3"/>
  <c r="D9203" i="3"/>
  <c r="E9202" i="3"/>
  <c r="D9202" i="3"/>
  <c r="E9201" i="3"/>
  <c r="D9201" i="3"/>
  <c r="E9200" i="3"/>
  <c r="D9200" i="3"/>
  <c r="E9199" i="3"/>
  <c r="D9199" i="3"/>
  <c r="E9198" i="3"/>
  <c r="D9198" i="3"/>
  <c r="E9197" i="3"/>
  <c r="D9197" i="3"/>
  <c r="E9196" i="3"/>
  <c r="D9196" i="3"/>
  <c r="E9195" i="3"/>
  <c r="D9195" i="3"/>
  <c r="E9194" i="3"/>
  <c r="D9194" i="3"/>
  <c r="E9193" i="3"/>
  <c r="D9193" i="3"/>
  <c r="E9192" i="3"/>
  <c r="D9192" i="3"/>
  <c r="E9191" i="3"/>
  <c r="D9191" i="3"/>
  <c r="E9190" i="3"/>
  <c r="D9190" i="3"/>
  <c r="E9189" i="3"/>
  <c r="D9189" i="3"/>
  <c r="E9188" i="3"/>
  <c r="D9188" i="3"/>
  <c r="E9187" i="3"/>
  <c r="D9187" i="3"/>
  <c r="E9186" i="3"/>
  <c r="D9186" i="3"/>
  <c r="E9185" i="3"/>
  <c r="D9185" i="3"/>
  <c r="E9184" i="3"/>
  <c r="D9184" i="3"/>
  <c r="E9183" i="3"/>
  <c r="D9183" i="3"/>
  <c r="E9182" i="3"/>
  <c r="D9182" i="3"/>
  <c r="E9181" i="3"/>
  <c r="D9181" i="3"/>
  <c r="E9180" i="3"/>
  <c r="D9180" i="3"/>
  <c r="E9179" i="3"/>
  <c r="D9179" i="3"/>
  <c r="E9178" i="3"/>
  <c r="D9178" i="3"/>
  <c r="E9177" i="3"/>
  <c r="D9177" i="3"/>
  <c r="E9176" i="3"/>
  <c r="D9176" i="3"/>
  <c r="E9175" i="3"/>
  <c r="D9175" i="3"/>
  <c r="E9174" i="3"/>
  <c r="D9174" i="3"/>
  <c r="E9173" i="3"/>
  <c r="D9173" i="3"/>
  <c r="E9172" i="3"/>
  <c r="D9172" i="3"/>
  <c r="E9171" i="3"/>
  <c r="D9171" i="3"/>
  <c r="E9170" i="3"/>
  <c r="D9170" i="3"/>
  <c r="E9169" i="3"/>
  <c r="D9169" i="3"/>
  <c r="E9168" i="3"/>
  <c r="D9168" i="3"/>
  <c r="E9167" i="3"/>
  <c r="D9167" i="3"/>
  <c r="E9166" i="3"/>
  <c r="D9166" i="3"/>
  <c r="E9165" i="3"/>
  <c r="D9165" i="3"/>
  <c r="E9164" i="3"/>
  <c r="D9164" i="3"/>
  <c r="E9163" i="3"/>
  <c r="D9163" i="3"/>
  <c r="E9162" i="3"/>
  <c r="D9162" i="3"/>
  <c r="E9161" i="3"/>
  <c r="D9161" i="3"/>
  <c r="E9160" i="3"/>
  <c r="D9160" i="3"/>
  <c r="E9159" i="3"/>
  <c r="D9159" i="3"/>
  <c r="E9158" i="3"/>
  <c r="D9158" i="3"/>
  <c r="E9157" i="3"/>
  <c r="D9157" i="3"/>
  <c r="E9156" i="3"/>
  <c r="D9156" i="3"/>
  <c r="E9155" i="3"/>
  <c r="D9155" i="3"/>
  <c r="E9154" i="3"/>
  <c r="D9154" i="3"/>
  <c r="E9153" i="3"/>
  <c r="D9153" i="3"/>
  <c r="E9152" i="3"/>
  <c r="D9152" i="3"/>
  <c r="E9151" i="3"/>
  <c r="D9151" i="3"/>
  <c r="E9150" i="3"/>
  <c r="D9150" i="3"/>
  <c r="E9149" i="3"/>
  <c r="D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D5159" i="3"/>
  <c r="E5158" i="3"/>
  <c r="D5158" i="3"/>
  <c r="E5157" i="3"/>
  <c r="D5157" i="3"/>
  <c r="E5156" i="3"/>
  <c r="D5156" i="3"/>
  <c r="E5155" i="3"/>
  <c r="D5155" i="3"/>
  <c r="E5154" i="3"/>
  <c r="D5154" i="3"/>
  <c r="E5153" i="3"/>
  <c r="D5153" i="3"/>
  <c r="E5152" i="3"/>
  <c r="D5152" i="3"/>
  <c r="E5151" i="3"/>
  <c r="D5151" i="3"/>
  <c r="E5150" i="3"/>
  <c r="D5150" i="3"/>
  <c r="E5149" i="3"/>
  <c r="D5149" i="3"/>
  <c r="E5148" i="3"/>
  <c r="D5148" i="3"/>
  <c r="E5147" i="3"/>
  <c r="D5147" i="3"/>
  <c r="E5146" i="3"/>
  <c r="D5146" i="3"/>
  <c r="E5145" i="3"/>
  <c r="D5145" i="3"/>
  <c r="E5144" i="3"/>
  <c r="D5144" i="3"/>
  <c r="E5143" i="3"/>
  <c r="D5143" i="3"/>
  <c r="E5142" i="3"/>
  <c r="D5142" i="3"/>
  <c r="E5141" i="3"/>
  <c r="D5141" i="3"/>
  <c r="E5140" i="3"/>
  <c r="D5140" i="3"/>
  <c r="E5139" i="3"/>
  <c r="D5139" i="3"/>
  <c r="E5138" i="3"/>
  <c r="D5138" i="3"/>
  <c r="E5137" i="3"/>
  <c r="D5137" i="3"/>
  <c r="E5136" i="3"/>
  <c r="D5136" i="3"/>
  <c r="E5135" i="3"/>
  <c r="D5135" i="3"/>
  <c r="E5134" i="3"/>
  <c r="D5134" i="3"/>
  <c r="E5133" i="3"/>
  <c r="D5133" i="3"/>
  <c r="E5132" i="3"/>
  <c r="D5132" i="3"/>
  <c r="E5131" i="3"/>
  <c r="D5131" i="3"/>
  <c r="E5130" i="3"/>
  <c r="D5130" i="3"/>
  <c r="E5129" i="3"/>
  <c r="D5129" i="3"/>
  <c r="E5128" i="3"/>
  <c r="D5128" i="3"/>
  <c r="E5127" i="3"/>
  <c r="D5127" i="3"/>
  <c r="E5126" i="3"/>
  <c r="D5126" i="3"/>
  <c r="E5125" i="3"/>
  <c r="D5125" i="3"/>
  <c r="E5124" i="3"/>
  <c r="D5124" i="3"/>
  <c r="E5123" i="3"/>
  <c r="D5123" i="3"/>
  <c r="E5122" i="3"/>
  <c r="D5122" i="3"/>
  <c r="E5121" i="3"/>
  <c r="D5121" i="3"/>
  <c r="E5120" i="3"/>
  <c r="D5120" i="3"/>
  <c r="E5119" i="3"/>
  <c r="D5119" i="3"/>
  <c r="E5118" i="3"/>
  <c r="D5118" i="3"/>
  <c r="E5117" i="3"/>
  <c r="D5117" i="3"/>
  <c r="E5116" i="3"/>
  <c r="D5116" i="3"/>
  <c r="E5115" i="3"/>
  <c r="D5115" i="3"/>
  <c r="E5114" i="3"/>
  <c r="D5114" i="3"/>
  <c r="E5113" i="3"/>
  <c r="D5113" i="3"/>
  <c r="E5112" i="3"/>
  <c r="D5112" i="3"/>
  <c r="E5111" i="3"/>
  <c r="D5111" i="3"/>
  <c r="E5110" i="3"/>
  <c r="D5110" i="3"/>
  <c r="E5109" i="3"/>
  <c r="D5109" i="3"/>
  <c r="E5108" i="3"/>
  <c r="D5108" i="3"/>
  <c r="E5107" i="3"/>
  <c r="D5107" i="3"/>
  <c r="E5106" i="3"/>
  <c r="D5106" i="3"/>
  <c r="E5105" i="3"/>
  <c r="D5105" i="3"/>
  <c r="E5104" i="3"/>
  <c r="D5104" i="3"/>
  <c r="E5103" i="3"/>
  <c r="D5103" i="3"/>
  <c r="E5102" i="3"/>
  <c r="D5102" i="3"/>
  <c r="E5101" i="3"/>
  <c r="D5101" i="3"/>
  <c r="E5100" i="3"/>
  <c r="D5100" i="3"/>
  <c r="E5099" i="3"/>
  <c r="D5099" i="3"/>
  <c r="E5098" i="3"/>
  <c r="D5098" i="3"/>
  <c r="E5097" i="3"/>
  <c r="D5097" i="3"/>
  <c r="E5096" i="3"/>
  <c r="D5096" i="3"/>
  <c r="E5095" i="3"/>
  <c r="D5095" i="3"/>
  <c r="E5094" i="3"/>
  <c r="D5094" i="3"/>
  <c r="E5093" i="3"/>
  <c r="D5093" i="3"/>
  <c r="E5092" i="3"/>
  <c r="D5092" i="3"/>
  <c r="E5091" i="3"/>
  <c r="D5091" i="3"/>
  <c r="E5090" i="3"/>
  <c r="D5090" i="3"/>
  <c r="E5089" i="3"/>
  <c r="D5089" i="3"/>
  <c r="E5088" i="3"/>
  <c r="D5088" i="3"/>
  <c r="E5087" i="3"/>
  <c r="D5087" i="3"/>
  <c r="E5086" i="3"/>
  <c r="D5086" i="3"/>
  <c r="E5085" i="3"/>
  <c r="D5085" i="3"/>
  <c r="E5084" i="3"/>
  <c r="D5084" i="3"/>
  <c r="E5083" i="3"/>
  <c r="D5083" i="3"/>
  <c r="E5082" i="3"/>
  <c r="D5082" i="3"/>
  <c r="E5081" i="3"/>
  <c r="D5081" i="3"/>
  <c r="E5080" i="3"/>
  <c r="D5080" i="3"/>
  <c r="E5079" i="3"/>
  <c r="D5079" i="3"/>
  <c r="E5078" i="3"/>
  <c r="D5078" i="3"/>
  <c r="E5077" i="3"/>
  <c r="D5077" i="3"/>
  <c r="E5076" i="3"/>
  <c r="D5076" i="3"/>
  <c r="E5075" i="3"/>
  <c r="D5075" i="3"/>
  <c r="E5074" i="3"/>
  <c r="D5074" i="3"/>
  <c r="E5073" i="3"/>
  <c r="D5073" i="3"/>
  <c r="E5072" i="3"/>
  <c r="D5072" i="3"/>
  <c r="E5071" i="3"/>
  <c r="D5071" i="3"/>
  <c r="E5070" i="3"/>
  <c r="D5070" i="3"/>
  <c r="E5069" i="3"/>
  <c r="D5069" i="3"/>
  <c r="E5068" i="3"/>
  <c r="D5068" i="3"/>
  <c r="E5067" i="3"/>
  <c r="D5067" i="3"/>
  <c r="E5066" i="3"/>
  <c r="D5066" i="3"/>
  <c r="E5065" i="3"/>
  <c r="D5065" i="3"/>
  <c r="E5064" i="3"/>
  <c r="D5064" i="3"/>
  <c r="E5063" i="3"/>
  <c r="D5063" i="3"/>
  <c r="E5062" i="3"/>
  <c r="D5062" i="3"/>
  <c r="E5061" i="3"/>
  <c r="D5061" i="3"/>
  <c r="E5060" i="3"/>
  <c r="D5060" i="3"/>
  <c r="E5059" i="3"/>
  <c r="D5059" i="3"/>
  <c r="E5058" i="3"/>
  <c r="D5058" i="3"/>
  <c r="E5057" i="3"/>
  <c r="D5057" i="3"/>
  <c r="E5056" i="3"/>
  <c r="D5056" i="3"/>
  <c r="E5055" i="3"/>
  <c r="D5055" i="3"/>
  <c r="E5054" i="3"/>
  <c r="D5054" i="3"/>
  <c r="E5053" i="3"/>
  <c r="D5053" i="3"/>
  <c r="E5052" i="3"/>
  <c r="D5052" i="3"/>
  <c r="E5051" i="3"/>
  <c r="D5051" i="3"/>
  <c r="E5050" i="3"/>
  <c r="D5050" i="3"/>
  <c r="E5049" i="3"/>
  <c r="D5049" i="3"/>
  <c r="E5048" i="3"/>
  <c r="D5048" i="3"/>
  <c r="E5047" i="3"/>
  <c r="D5047" i="3"/>
  <c r="E5046" i="3"/>
  <c r="D5046" i="3"/>
  <c r="E5045" i="3"/>
  <c r="D5045" i="3"/>
  <c r="E5044" i="3"/>
  <c r="D5044" i="3"/>
  <c r="E5043" i="3"/>
  <c r="D5043" i="3"/>
  <c r="E5042" i="3"/>
  <c r="D5042" i="3"/>
  <c r="E5041" i="3"/>
  <c r="D5041" i="3"/>
  <c r="E5040" i="3"/>
  <c r="D5040" i="3"/>
  <c r="E5039" i="3"/>
  <c r="D5039" i="3"/>
  <c r="E5038" i="3"/>
  <c r="D5038" i="3"/>
  <c r="E5037" i="3"/>
  <c r="D5037" i="3"/>
  <c r="E5036" i="3"/>
  <c r="D5036" i="3"/>
  <c r="E5035" i="3"/>
  <c r="D5035" i="3"/>
  <c r="E5034" i="3"/>
  <c r="D5034" i="3"/>
  <c r="E5033" i="3"/>
  <c r="D5033" i="3"/>
  <c r="E5032" i="3"/>
  <c r="D5032" i="3"/>
  <c r="E5031" i="3"/>
  <c r="D5031" i="3"/>
  <c r="E5030" i="3"/>
  <c r="D5030" i="3"/>
  <c r="E5029" i="3"/>
  <c r="D5029" i="3"/>
  <c r="E5028" i="3"/>
  <c r="D5028" i="3"/>
  <c r="E5027" i="3"/>
  <c r="D5027" i="3"/>
  <c r="E5026" i="3"/>
  <c r="D5026" i="3"/>
  <c r="E5025" i="3"/>
  <c r="D5025" i="3"/>
  <c r="E5024" i="3"/>
  <c r="D5024" i="3"/>
  <c r="E5023" i="3"/>
  <c r="D5023" i="3"/>
  <c r="E5022" i="3"/>
  <c r="D5022" i="3"/>
  <c r="E5021" i="3"/>
  <c r="D5021" i="3"/>
  <c r="E5020" i="3"/>
  <c r="D5020" i="3"/>
  <c r="E5019" i="3"/>
  <c r="D5019" i="3"/>
  <c r="E5018" i="3"/>
  <c r="D5018" i="3"/>
  <c r="E5017" i="3"/>
  <c r="D5017" i="3"/>
  <c r="E5016" i="3"/>
  <c r="D5016" i="3"/>
  <c r="E5015" i="3"/>
  <c r="D5015" i="3"/>
  <c r="E5014" i="3"/>
  <c r="D5014" i="3"/>
  <c r="E5013" i="3"/>
  <c r="D5013" i="3"/>
  <c r="E5012" i="3"/>
  <c r="D5012" i="3"/>
  <c r="E5011" i="3"/>
  <c r="D5011" i="3"/>
  <c r="E5010" i="3"/>
  <c r="D5010" i="3"/>
  <c r="E5009" i="3"/>
  <c r="D5009" i="3"/>
  <c r="E5008" i="3"/>
  <c r="D5008" i="3"/>
  <c r="E5007" i="3"/>
  <c r="D5007" i="3"/>
  <c r="E5006" i="3"/>
  <c r="D5006" i="3"/>
  <c r="E5005" i="3"/>
  <c r="D5005" i="3"/>
  <c r="E5004" i="3"/>
  <c r="D5004" i="3"/>
  <c r="E5003" i="3"/>
  <c r="D5003" i="3"/>
  <c r="E5002" i="3"/>
  <c r="D5002" i="3"/>
  <c r="E5001" i="3"/>
  <c r="D5001" i="3"/>
  <c r="E5000" i="3"/>
  <c r="D5000" i="3"/>
  <c r="E4999" i="3"/>
  <c r="D4999" i="3"/>
  <c r="E4998" i="3"/>
  <c r="D4998" i="3"/>
  <c r="E4997" i="3"/>
  <c r="D4997" i="3"/>
  <c r="E4996" i="3"/>
  <c r="D4996" i="3"/>
  <c r="E4995" i="3"/>
  <c r="D4995" i="3"/>
  <c r="E4994" i="3"/>
  <c r="D4994" i="3"/>
  <c r="E4993" i="3"/>
  <c r="D4993" i="3"/>
  <c r="E4992" i="3"/>
  <c r="D4992" i="3"/>
  <c r="E4991" i="3"/>
  <c r="D4991" i="3"/>
  <c r="E4990" i="3"/>
  <c r="D4990" i="3"/>
  <c r="E4989" i="3"/>
  <c r="D4989" i="3"/>
  <c r="E4988" i="3"/>
  <c r="D4988" i="3"/>
  <c r="E4987" i="3"/>
  <c r="D4987" i="3"/>
  <c r="E4986" i="3"/>
  <c r="D4986" i="3"/>
  <c r="E4985" i="3"/>
  <c r="D4985" i="3"/>
  <c r="E4984" i="3"/>
  <c r="D4984" i="3"/>
  <c r="E4983" i="3"/>
  <c r="D4983" i="3"/>
  <c r="E4982" i="3"/>
  <c r="D4982" i="3"/>
  <c r="E4981" i="3"/>
  <c r="D4981" i="3"/>
  <c r="E4980" i="3"/>
  <c r="D4980" i="3"/>
  <c r="E4979" i="3"/>
  <c r="D4979" i="3"/>
  <c r="E4978" i="3"/>
  <c r="D4978" i="3"/>
  <c r="E4977" i="3"/>
  <c r="D4977" i="3"/>
  <c r="E4976" i="3"/>
  <c r="D4976" i="3"/>
  <c r="E4975" i="3"/>
  <c r="D4975" i="3"/>
  <c r="E4974" i="3"/>
  <c r="D4974" i="3"/>
  <c r="E4973" i="3"/>
  <c r="D4973" i="3"/>
  <c r="E4972" i="3"/>
  <c r="D4972" i="3"/>
  <c r="E4971" i="3"/>
  <c r="D4971" i="3"/>
  <c r="E4970" i="3"/>
  <c r="D4970" i="3"/>
  <c r="E4969" i="3"/>
  <c r="D4969" i="3"/>
  <c r="E4968" i="3"/>
  <c r="D4968" i="3"/>
  <c r="E4967" i="3"/>
  <c r="D4967" i="3"/>
  <c r="E4966" i="3"/>
  <c r="D4966" i="3"/>
  <c r="E4965" i="3"/>
  <c r="D4965" i="3"/>
  <c r="E4964" i="3"/>
  <c r="D4964" i="3"/>
  <c r="E4963" i="3"/>
  <c r="D4963" i="3"/>
  <c r="E4962" i="3"/>
  <c r="D4962" i="3"/>
  <c r="E4961" i="3"/>
  <c r="D4961" i="3"/>
  <c r="E4960" i="3"/>
  <c r="D4960" i="3"/>
  <c r="E4959" i="3"/>
  <c r="D4959" i="3"/>
  <c r="E4958" i="3"/>
  <c r="D4958" i="3"/>
  <c r="E4957" i="3"/>
  <c r="D4957" i="3"/>
  <c r="E4956" i="3"/>
  <c r="D4956" i="3"/>
  <c r="E4955" i="3"/>
  <c r="D4955" i="3"/>
  <c r="E4954" i="3"/>
  <c r="D4954" i="3"/>
  <c r="E4953" i="3"/>
  <c r="D4953" i="3"/>
  <c r="E4952" i="3"/>
  <c r="D4952" i="3"/>
  <c r="E4951" i="3"/>
  <c r="D4951" i="3"/>
  <c r="E4950" i="3"/>
  <c r="D4950" i="3"/>
  <c r="E4949" i="3"/>
  <c r="D4949" i="3"/>
  <c r="E4948" i="3"/>
  <c r="D4948" i="3"/>
  <c r="E4947" i="3"/>
  <c r="D4947" i="3"/>
  <c r="E4946" i="3"/>
  <c r="D4946" i="3"/>
  <c r="E4945" i="3"/>
  <c r="D4945" i="3"/>
  <c r="E4944" i="3"/>
  <c r="D4944" i="3"/>
  <c r="E4943" i="3"/>
  <c r="D4943" i="3"/>
  <c r="E4942" i="3"/>
  <c r="D4942" i="3"/>
  <c r="E4941" i="3"/>
  <c r="D4941" i="3"/>
  <c r="E4940" i="3"/>
  <c r="D4940" i="3"/>
  <c r="E4939" i="3"/>
  <c r="D4939" i="3"/>
  <c r="E4938" i="3"/>
  <c r="D4938" i="3"/>
  <c r="E4937" i="3"/>
  <c r="D4937" i="3"/>
  <c r="E4936" i="3"/>
  <c r="D4936" i="3"/>
  <c r="E4935" i="3"/>
  <c r="D4935" i="3"/>
  <c r="E4934" i="3"/>
  <c r="D4934" i="3"/>
  <c r="E4933" i="3"/>
  <c r="D4933" i="3"/>
  <c r="E4932" i="3"/>
  <c r="D4932" i="3"/>
  <c r="E4931" i="3"/>
  <c r="D4931" i="3"/>
  <c r="E4930" i="3"/>
  <c r="D4930" i="3"/>
  <c r="E4929" i="3"/>
  <c r="D4929" i="3"/>
  <c r="E4928" i="3"/>
  <c r="D4928" i="3"/>
  <c r="E4927" i="3"/>
  <c r="D4927" i="3"/>
  <c r="E4926" i="3"/>
  <c r="D4926" i="3"/>
  <c r="E4925" i="3"/>
  <c r="D4925" i="3"/>
  <c r="E4924" i="3"/>
  <c r="D4924" i="3"/>
  <c r="E4923" i="3"/>
  <c r="D4923" i="3"/>
  <c r="E4922" i="3"/>
  <c r="D4922" i="3"/>
  <c r="E4921" i="3"/>
  <c r="D4921" i="3"/>
  <c r="E4920" i="3"/>
  <c r="D4920" i="3"/>
  <c r="E4919" i="3"/>
  <c r="D4919" i="3"/>
  <c r="E4918" i="3"/>
  <c r="D4918" i="3"/>
  <c r="E4917" i="3"/>
  <c r="D4917" i="3"/>
  <c r="E4916" i="3"/>
  <c r="D4916" i="3"/>
  <c r="E4915" i="3"/>
  <c r="D4915" i="3"/>
  <c r="E4914" i="3"/>
  <c r="D4914" i="3"/>
  <c r="E4913" i="3"/>
  <c r="D4913" i="3"/>
  <c r="E4912" i="3"/>
  <c r="D4912" i="3"/>
  <c r="E4911" i="3"/>
  <c r="D4911" i="3"/>
  <c r="E4910" i="3"/>
  <c r="D4910" i="3"/>
  <c r="E4909" i="3"/>
  <c r="D4909" i="3"/>
  <c r="E4908" i="3"/>
  <c r="D4908" i="3"/>
  <c r="E4907" i="3"/>
  <c r="D4907" i="3"/>
  <c r="E4906" i="3"/>
  <c r="D4906" i="3"/>
  <c r="E4905" i="3"/>
  <c r="D4905" i="3"/>
  <c r="E4904" i="3"/>
  <c r="D4904" i="3"/>
  <c r="E4903" i="3"/>
  <c r="D4903" i="3"/>
  <c r="E4902" i="3"/>
  <c r="D4902" i="3"/>
  <c r="E4901" i="3"/>
  <c r="D4901" i="3"/>
  <c r="E4900" i="3"/>
  <c r="D4900" i="3"/>
  <c r="E4899" i="3"/>
  <c r="D4899" i="3"/>
  <c r="E4898" i="3"/>
  <c r="D4898" i="3"/>
  <c r="E4897" i="3"/>
  <c r="D4897" i="3"/>
  <c r="E4896" i="3"/>
  <c r="D4896" i="3"/>
  <c r="E4895" i="3"/>
  <c r="D4895" i="3"/>
  <c r="E4894" i="3"/>
  <c r="D4894" i="3"/>
  <c r="E4893" i="3"/>
  <c r="D4893" i="3"/>
  <c r="E4892" i="3"/>
  <c r="D4892" i="3"/>
  <c r="E4891" i="3"/>
  <c r="D4891" i="3"/>
  <c r="E4890" i="3"/>
  <c r="D4890" i="3"/>
  <c r="E4889" i="3"/>
  <c r="D4889" i="3"/>
  <c r="E4888" i="3"/>
  <c r="D4888" i="3"/>
  <c r="E4887" i="3"/>
  <c r="D4887" i="3"/>
  <c r="E4886" i="3"/>
  <c r="D4886" i="3"/>
  <c r="E4885" i="3"/>
  <c r="D4885" i="3"/>
  <c r="E4884" i="3"/>
  <c r="D4884" i="3"/>
  <c r="E4883" i="3"/>
  <c r="D4883" i="3"/>
  <c r="E4882" i="3"/>
  <c r="D4882" i="3"/>
  <c r="E4881" i="3"/>
  <c r="D4881" i="3"/>
  <c r="E4880" i="3"/>
  <c r="D4880" i="3"/>
  <c r="E4879" i="3"/>
  <c r="D4879" i="3"/>
  <c r="E4878" i="3"/>
  <c r="D4878" i="3"/>
  <c r="E4877" i="3"/>
  <c r="D4877" i="3"/>
  <c r="E4876" i="3"/>
  <c r="D4876" i="3"/>
  <c r="E4875" i="3"/>
  <c r="D4875" i="3"/>
  <c r="E4874" i="3"/>
  <c r="D4874" i="3"/>
  <c r="E4873" i="3"/>
  <c r="D4873" i="3"/>
  <c r="E4872" i="3"/>
  <c r="D4872" i="3"/>
  <c r="E4871" i="3"/>
  <c r="D4871" i="3"/>
  <c r="E4870" i="3"/>
  <c r="D4870" i="3"/>
  <c r="E4869" i="3"/>
  <c r="D4869" i="3"/>
  <c r="E4868" i="3"/>
  <c r="D4868" i="3"/>
  <c r="E4867" i="3"/>
  <c r="D4867" i="3"/>
  <c r="E4866" i="3"/>
  <c r="D4866" i="3"/>
  <c r="E4865" i="3"/>
  <c r="D4865" i="3"/>
  <c r="E4864" i="3"/>
  <c r="D4864" i="3"/>
  <c r="E4863" i="3"/>
  <c r="D4863" i="3"/>
  <c r="E4862" i="3"/>
  <c r="D4862" i="3"/>
  <c r="E4861" i="3"/>
  <c r="D4861" i="3"/>
  <c r="E4860" i="3"/>
  <c r="D4860" i="3"/>
  <c r="E4859" i="3"/>
  <c r="D4859" i="3"/>
  <c r="E4858" i="3"/>
  <c r="D4858" i="3"/>
  <c r="E4857" i="3"/>
  <c r="D4857" i="3"/>
  <c r="E4856" i="3"/>
  <c r="D4856" i="3"/>
  <c r="E4855" i="3"/>
  <c r="D4855" i="3"/>
  <c r="E4854" i="3"/>
  <c r="D4854" i="3"/>
  <c r="E4853" i="3"/>
  <c r="D4853" i="3"/>
  <c r="E4852" i="3"/>
  <c r="D4852" i="3"/>
  <c r="E4851" i="3"/>
  <c r="D4851" i="3"/>
  <c r="E4850" i="3"/>
  <c r="D4850" i="3"/>
  <c r="E4849" i="3"/>
  <c r="D4849" i="3"/>
  <c r="E4848" i="3"/>
  <c r="D4848" i="3"/>
  <c r="E4847" i="3"/>
  <c r="D4847" i="3"/>
  <c r="E4846" i="3"/>
  <c r="D4846" i="3"/>
  <c r="E4845" i="3"/>
  <c r="D4845" i="3"/>
  <c r="E4844" i="3"/>
  <c r="D4844" i="3"/>
  <c r="E4843" i="3"/>
  <c r="D4843" i="3"/>
  <c r="E4842" i="3"/>
  <c r="D4842" i="3"/>
  <c r="E4841" i="3"/>
  <c r="D4841" i="3"/>
  <c r="E4840" i="3"/>
  <c r="D4840" i="3"/>
  <c r="E4839" i="3"/>
  <c r="D4839" i="3"/>
  <c r="E4838" i="3"/>
  <c r="D4838" i="3"/>
  <c r="E4837" i="3"/>
  <c r="D4837" i="3"/>
  <c r="E4836" i="3"/>
  <c r="D4836" i="3"/>
  <c r="E4835" i="3"/>
  <c r="D4835" i="3"/>
  <c r="E4834" i="3"/>
  <c r="D4834" i="3"/>
  <c r="E4833" i="3"/>
  <c r="D4833" i="3"/>
  <c r="E4832" i="3"/>
  <c r="D4832" i="3"/>
  <c r="E4831" i="3"/>
  <c r="D4831" i="3"/>
  <c r="E4830" i="3"/>
  <c r="D4830" i="3"/>
  <c r="E4829" i="3"/>
  <c r="D4829" i="3"/>
  <c r="E4828" i="3"/>
  <c r="D4828" i="3"/>
  <c r="E4827" i="3"/>
  <c r="D4827" i="3"/>
  <c r="E4826" i="3"/>
  <c r="D4826" i="3"/>
  <c r="E4825" i="3"/>
  <c r="D4825" i="3"/>
  <c r="E4824" i="3"/>
  <c r="D4824" i="3"/>
  <c r="E4823" i="3"/>
  <c r="D4823" i="3"/>
  <c r="E4822" i="3"/>
  <c r="D4822" i="3"/>
  <c r="E4821" i="3"/>
  <c r="D4821" i="3"/>
  <c r="E4820" i="3"/>
  <c r="D4820" i="3"/>
  <c r="E4819" i="3"/>
  <c r="D4819" i="3"/>
  <c r="E4818" i="3"/>
  <c r="D4818" i="3"/>
  <c r="E4817" i="3"/>
  <c r="D4817" i="3"/>
  <c r="E4816" i="3"/>
  <c r="D4816" i="3"/>
  <c r="E4815" i="3"/>
  <c r="D4815" i="3"/>
  <c r="E4814" i="3"/>
  <c r="D4814" i="3"/>
  <c r="E4813" i="3"/>
  <c r="D4813" i="3"/>
  <c r="E4812" i="3"/>
  <c r="D4812" i="3"/>
  <c r="E4811" i="3"/>
  <c r="D4811" i="3"/>
  <c r="E4810" i="3"/>
  <c r="D4810" i="3"/>
  <c r="E4809" i="3"/>
  <c r="D4809" i="3"/>
  <c r="E4808" i="3"/>
  <c r="D4808" i="3"/>
  <c r="E4807" i="3"/>
  <c r="D4807" i="3"/>
  <c r="E4806" i="3"/>
  <c r="D4806" i="3"/>
  <c r="E4805" i="3"/>
  <c r="D4805" i="3"/>
  <c r="E4804" i="3"/>
  <c r="D4804" i="3"/>
  <c r="E4803" i="3"/>
  <c r="D4803" i="3"/>
  <c r="E4802" i="3"/>
  <c r="D4802" i="3"/>
  <c r="E4801" i="3"/>
  <c r="D4801" i="3"/>
  <c r="E4800" i="3"/>
  <c r="D4800" i="3"/>
  <c r="E4799" i="3"/>
  <c r="D4799" i="3"/>
  <c r="E4798" i="3"/>
  <c r="D4798" i="3"/>
  <c r="E4797" i="3"/>
  <c r="D4797" i="3"/>
  <c r="E4796" i="3"/>
  <c r="D4796" i="3"/>
  <c r="E4795" i="3"/>
  <c r="D4795" i="3"/>
  <c r="E4794" i="3"/>
  <c r="D4794" i="3"/>
  <c r="E4793" i="3"/>
  <c r="D4793" i="3"/>
  <c r="E4792" i="3"/>
  <c r="D4792" i="3"/>
  <c r="E4791" i="3"/>
  <c r="D4791" i="3"/>
  <c r="E4790" i="3"/>
  <c r="D4790" i="3"/>
  <c r="E4789" i="3"/>
  <c r="D4789" i="3"/>
  <c r="E4788" i="3"/>
  <c r="D4788" i="3"/>
  <c r="E4787" i="3"/>
  <c r="D4787" i="3"/>
  <c r="E4786" i="3"/>
  <c r="D4786" i="3"/>
  <c r="E4785" i="3"/>
  <c r="D4785" i="3"/>
  <c r="E4784" i="3"/>
  <c r="D4784" i="3"/>
  <c r="E4783" i="3"/>
  <c r="D4783" i="3"/>
  <c r="E4782" i="3"/>
  <c r="D4782" i="3"/>
  <c r="E4781" i="3"/>
  <c r="D4781" i="3"/>
  <c r="E4780" i="3"/>
  <c r="D4780" i="3"/>
  <c r="E4779" i="3"/>
  <c r="D4779" i="3"/>
  <c r="E4778" i="3"/>
  <c r="D4778" i="3"/>
  <c r="E4777" i="3"/>
  <c r="D4777" i="3"/>
  <c r="E4776" i="3"/>
  <c r="D4776" i="3"/>
  <c r="E4775" i="3"/>
  <c r="D4775" i="3"/>
  <c r="E4774" i="3"/>
  <c r="D4774" i="3"/>
  <c r="E4773" i="3"/>
  <c r="D4773" i="3"/>
  <c r="E4772" i="3"/>
  <c r="D4772" i="3"/>
  <c r="E4771" i="3"/>
  <c r="D4771" i="3"/>
  <c r="E4770" i="3"/>
  <c r="D4770" i="3"/>
  <c r="E4769" i="3"/>
  <c r="D4769" i="3"/>
  <c r="E4768" i="3"/>
  <c r="D4768" i="3"/>
  <c r="E4767" i="3"/>
  <c r="D4767" i="3"/>
  <c r="E4766" i="3"/>
  <c r="D4766" i="3"/>
  <c r="E4765" i="3"/>
  <c r="D4765" i="3"/>
  <c r="E4764" i="3"/>
  <c r="D4764" i="3"/>
  <c r="E4763" i="3"/>
  <c r="D4763" i="3"/>
  <c r="E4762" i="3"/>
  <c r="D4762" i="3"/>
  <c r="E4761" i="3"/>
  <c r="D4761" i="3"/>
  <c r="E4760" i="3"/>
  <c r="D4760" i="3"/>
  <c r="E4759" i="3"/>
  <c r="D4759" i="3"/>
  <c r="E4758" i="3"/>
  <c r="D4758" i="3"/>
  <c r="E4757" i="3"/>
  <c r="D4757" i="3"/>
  <c r="E4756" i="3"/>
  <c r="D4756" i="3"/>
  <c r="E4755" i="3"/>
  <c r="D4755" i="3"/>
  <c r="E4754" i="3"/>
  <c r="D4754" i="3"/>
  <c r="E4753" i="3"/>
  <c r="D4753" i="3"/>
  <c r="E4752" i="3"/>
  <c r="D4752" i="3"/>
  <c r="E4751" i="3"/>
  <c r="D4751" i="3"/>
  <c r="E4750" i="3"/>
  <c r="D4750" i="3"/>
  <c r="E4749" i="3"/>
  <c r="D4749" i="3"/>
  <c r="E4748" i="3"/>
  <c r="D4748" i="3"/>
  <c r="E4747" i="3"/>
  <c r="D4747" i="3"/>
  <c r="E4746" i="3"/>
  <c r="D4746" i="3"/>
  <c r="E4745" i="3"/>
  <c r="D4745" i="3"/>
  <c r="E4744" i="3"/>
  <c r="D4744" i="3"/>
  <c r="E4743" i="3"/>
  <c r="D4743" i="3"/>
  <c r="E4742" i="3"/>
  <c r="D4742" i="3"/>
  <c r="E4741" i="3"/>
  <c r="D4741" i="3"/>
  <c r="E4740" i="3"/>
  <c r="D4740" i="3"/>
  <c r="E4739" i="3"/>
  <c r="D4739" i="3"/>
  <c r="E4738" i="3"/>
  <c r="D4738" i="3"/>
  <c r="E4737" i="3"/>
  <c r="D4737" i="3"/>
  <c r="E4736" i="3"/>
  <c r="D4736" i="3"/>
  <c r="E4735" i="3"/>
  <c r="D4735" i="3"/>
  <c r="E4734" i="3"/>
  <c r="D4734" i="3"/>
  <c r="E4733" i="3"/>
  <c r="D4733" i="3"/>
  <c r="E4732" i="3"/>
  <c r="D4732" i="3"/>
  <c r="E4731" i="3"/>
  <c r="D4731" i="3"/>
  <c r="E4730" i="3"/>
  <c r="D4730" i="3"/>
  <c r="E4729" i="3"/>
  <c r="D4729" i="3"/>
  <c r="E4728" i="3"/>
  <c r="D4728" i="3"/>
  <c r="E4727" i="3"/>
  <c r="D4727" i="3"/>
  <c r="E4726" i="3"/>
  <c r="D4726" i="3"/>
  <c r="E4725" i="3"/>
  <c r="D4725" i="3"/>
  <c r="E4724" i="3"/>
  <c r="D4724" i="3"/>
  <c r="E4723" i="3"/>
  <c r="D4723" i="3"/>
  <c r="E4722" i="3"/>
  <c r="D4722" i="3"/>
  <c r="E4721" i="3"/>
  <c r="D4721" i="3"/>
  <c r="E4720" i="3"/>
  <c r="D4720" i="3"/>
  <c r="E4719" i="3"/>
  <c r="D4719" i="3"/>
  <c r="E4718" i="3"/>
  <c r="D4718" i="3"/>
  <c r="E4717" i="3"/>
  <c r="D4717" i="3"/>
  <c r="E4716" i="3"/>
  <c r="D4716" i="3"/>
  <c r="E4715" i="3"/>
  <c r="D4715" i="3"/>
  <c r="E4714" i="3"/>
  <c r="D4714" i="3"/>
  <c r="E4713" i="3"/>
  <c r="D4713" i="3"/>
  <c r="E4712" i="3"/>
  <c r="D4712" i="3"/>
  <c r="E4711" i="3"/>
  <c r="D4711" i="3"/>
  <c r="E4710" i="3"/>
  <c r="D4710" i="3"/>
  <c r="E4709" i="3"/>
  <c r="D4709" i="3"/>
  <c r="E4708" i="3"/>
  <c r="D4708" i="3"/>
  <c r="E4707" i="3"/>
  <c r="D4707" i="3"/>
  <c r="E4706" i="3"/>
  <c r="D4706" i="3"/>
  <c r="E4705" i="3"/>
  <c r="D4705" i="3"/>
  <c r="E4704" i="3"/>
  <c r="D4704" i="3"/>
  <c r="E4703" i="3"/>
  <c r="D4703" i="3"/>
  <c r="E4702" i="3"/>
  <c r="D4702" i="3"/>
  <c r="E4701" i="3"/>
  <c r="D4701" i="3"/>
  <c r="E4700" i="3"/>
  <c r="D4700" i="3"/>
  <c r="E4699" i="3"/>
  <c r="D4699" i="3"/>
  <c r="E4698" i="3"/>
  <c r="D4698" i="3"/>
  <c r="E4697" i="3"/>
  <c r="D4697" i="3"/>
  <c r="E4696" i="3"/>
  <c r="D4696" i="3"/>
  <c r="E4695" i="3"/>
  <c r="D4695" i="3"/>
  <c r="E4694" i="3"/>
  <c r="D4694" i="3"/>
  <c r="E4693" i="3"/>
  <c r="D4693" i="3"/>
  <c r="E4692" i="3"/>
  <c r="D4692" i="3"/>
  <c r="E4691" i="3"/>
  <c r="D4691" i="3"/>
  <c r="E4690" i="3"/>
  <c r="D4690" i="3"/>
  <c r="E4689" i="3"/>
  <c r="D4689" i="3"/>
  <c r="E4688" i="3"/>
  <c r="D4688" i="3"/>
  <c r="E4687" i="3"/>
  <c r="D4687" i="3"/>
  <c r="E4686" i="3"/>
  <c r="D4686" i="3"/>
  <c r="E4685" i="3"/>
  <c r="D4685" i="3"/>
  <c r="E4684" i="3"/>
  <c r="D4684" i="3"/>
  <c r="E4683" i="3"/>
  <c r="D4683" i="3"/>
  <c r="E4682" i="3"/>
  <c r="D4682" i="3"/>
  <c r="E4681" i="3"/>
  <c r="D4681" i="3"/>
  <c r="E4680" i="3"/>
  <c r="D4680" i="3"/>
  <c r="E4679" i="3"/>
  <c r="D4679" i="3"/>
  <c r="E4678" i="3"/>
  <c r="D4678" i="3"/>
  <c r="E4677" i="3"/>
  <c r="D4677" i="3"/>
  <c r="E4676" i="3"/>
  <c r="D4676" i="3"/>
  <c r="E4675" i="3"/>
  <c r="D4675" i="3"/>
  <c r="E4674" i="3"/>
  <c r="D4674" i="3"/>
  <c r="E4673" i="3"/>
  <c r="D4673" i="3"/>
  <c r="E4672" i="3"/>
  <c r="D4672" i="3"/>
  <c r="E4671" i="3"/>
  <c r="D4671" i="3"/>
  <c r="E4670" i="3"/>
  <c r="D4670" i="3"/>
  <c r="E4669" i="3"/>
  <c r="D4669" i="3"/>
  <c r="E4668" i="3"/>
  <c r="D4668" i="3"/>
  <c r="E4667" i="3"/>
  <c r="D4667" i="3"/>
  <c r="E4666" i="3"/>
  <c r="D4666" i="3"/>
  <c r="E4665" i="3"/>
  <c r="D4665" i="3"/>
  <c r="E4664" i="3"/>
  <c r="D4664" i="3"/>
  <c r="E4663" i="3"/>
  <c r="D4663" i="3"/>
  <c r="E4662" i="3"/>
  <c r="D4662" i="3"/>
  <c r="E4661" i="3"/>
  <c r="D4661" i="3"/>
  <c r="E4660" i="3"/>
  <c r="D4660" i="3"/>
  <c r="E4659" i="3"/>
  <c r="D4659" i="3"/>
  <c r="E4658" i="3"/>
  <c r="D4658" i="3"/>
  <c r="E4657" i="3"/>
  <c r="D4657" i="3"/>
  <c r="E4656" i="3"/>
  <c r="D4656" i="3"/>
  <c r="E4655" i="3"/>
  <c r="D4655" i="3"/>
  <c r="E4654" i="3"/>
  <c r="D4654" i="3"/>
  <c r="E4653" i="3"/>
  <c r="D4653" i="3"/>
  <c r="E4652" i="3"/>
  <c r="D4652" i="3"/>
  <c r="E4651" i="3"/>
  <c r="D4651" i="3"/>
  <c r="E4650" i="3"/>
  <c r="D4650" i="3"/>
  <c r="E4649" i="3"/>
  <c r="D4649" i="3"/>
  <c r="E4648" i="3"/>
  <c r="D4648" i="3"/>
  <c r="E4647" i="3"/>
  <c r="D4647" i="3"/>
  <c r="E4646" i="3"/>
  <c r="D4646" i="3"/>
  <c r="E4645" i="3"/>
  <c r="D4645" i="3"/>
  <c r="E4644" i="3"/>
  <c r="D4644" i="3"/>
  <c r="E4643" i="3"/>
  <c r="D4643" i="3"/>
  <c r="E4642" i="3"/>
  <c r="D4642" i="3"/>
  <c r="E4641" i="3"/>
  <c r="D4641" i="3"/>
  <c r="E4640" i="3"/>
  <c r="D4640" i="3"/>
  <c r="E4639" i="3"/>
  <c r="D4639" i="3"/>
  <c r="E4638" i="3"/>
  <c r="D4638" i="3"/>
  <c r="E4637" i="3"/>
  <c r="D4637" i="3"/>
  <c r="E4636" i="3"/>
  <c r="D4636" i="3"/>
  <c r="E4635" i="3"/>
  <c r="D4635" i="3"/>
  <c r="E4634" i="3"/>
  <c r="D4634" i="3"/>
  <c r="E4633" i="3"/>
  <c r="D4633" i="3"/>
  <c r="E4632" i="3"/>
  <c r="D4632" i="3"/>
  <c r="E4631" i="3"/>
  <c r="D4631" i="3"/>
  <c r="E4630" i="3"/>
  <c r="D4630" i="3"/>
  <c r="E4629" i="3"/>
  <c r="D4629" i="3"/>
  <c r="E4628" i="3"/>
  <c r="D4628" i="3"/>
  <c r="E4627" i="3"/>
  <c r="D4627" i="3"/>
  <c r="E4626" i="3"/>
  <c r="D4626" i="3"/>
  <c r="E4625" i="3"/>
  <c r="D4625" i="3"/>
  <c r="E4624" i="3"/>
  <c r="D4624" i="3"/>
  <c r="E4623" i="3"/>
  <c r="D4623" i="3"/>
  <c r="E4622" i="3"/>
  <c r="D4622" i="3"/>
  <c r="E4621" i="3"/>
  <c r="D4621" i="3"/>
  <c r="E4620" i="3"/>
  <c r="D4620" i="3"/>
  <c r="E4619" i="3"/>
  <c r="D4619" i="3"/>
  <c r="E4618" i="3"/>
  <c r="D4618" i="3"/>
  <c r="E4617" i="3"/>
  <c r="D4617" i="3"/>
  <c r="E4616" i="3"/>
  <c r="D4616" i="3"/>
  <c r="E4615" i="3"/>
  <c r="D4615" i="3"/>
  <c r="E4614" i="3"/>
  <c r="D4614" i="3"/>
  <c r="E4613" i="3"/>
  <c r="D4613" i="3"/>
  <c r="E4612" i="3"/>
  <c r="D4612" i="3"/>
  <c r="E4611" i="3"/>
  <c r="D4611" i="3"/>
  <c r="E4610" i="3"/>
  <c r="D4610" i="3"/>
  <c r="E4609" i="3"/>
  <c r="D4609" i="3"/>
  <c r="E4608" i="3"/>
  <c r="D4608" i="3"/>
  <c r="E4607" i="3"/>
  <c r="D4607" i="3"/>
  <c r="E4606" i="3"/>
  <c r="D4606" i="3"/>
  <c r="E4605" i="3"/>
  <c r="D4605" i="3"/>
  <c r="E4604" i="3"/>
  <c r="D4604" i="3"/>
  <c r="E4603" i="3"/>
  <c r="D4603" i="3"/>
  <c r="E4602" i="3"/>
  <c r="D4602" i="3"/>
  <c r="E4601" i="3"/>
  <c r="D4601" i="3"/>
  <c r="E4600" i="3"/>
  <c r="D4600" i="3"/>
  <c r="E4599" i="3"/>
  <c r="D4599" i="3"/>
  <c r="E4598" i="3"/>
  <c r="D4598" i="3"/>
  <c r="E4597" i="3"/>
  <c r="D4597" i="3"/>
  <c r="E4596" i="3"/>
  <c r="D4596" i="3"/>
  <c r="E4595" i="3"/>
  <c r="D4595" i="3"/>
  <c r="E4594" i="3"/>
  <c r="D4594" i="3"/>
  <c r="E4593" i="3"/>
  <c r="D4593" i="3"/>
  <c r="E4592" i="3"/>
  <c r="D4592" i="3"/>
  <c r="E4591" i="3"/>
  <c r="D4591" i="3"/>
  <c r="E4590" i="3"/>
  <c r="D4590" i="3"/>
  <c r="E4589" i="3"/>
  <c r="D4589" i="3"/>
  <c r="E4588" i="3"/>
  <c r="D4588" i="3"/>
  <c r="E4587" i="3"/>
  <c r="D4587" i="3"/>
  <c r="E4586" i="3"/>
  <c r="D4586" i="3"/>
  <c r="E4585" i="3"/>
  <c r="D4585" i="3"/>
  <c r="E4584" i="3"/>
  <c r="D4584" i="3"/>
  <c r="E4583" i="3"/>
  <c r="D4583" i="3"/>
  <c r="E4582" i="3"/>
  <c r="D4582" i="3"/>
  <c r="E4581" i="3"/>
  <c r="D4581" i="3"/>
  <c r="E4580" i="3"/>
  <c r="D4580" i="3"/>
  <c r="E4579" i="3"/>
  <c r="D4579" i="3"/>
  <c r="E4578" i="3"/>
  <c r="D4578" i="3"/>
  <c r="E4577" i="3"/>
  <c r="D4577" i="3"/>
  <c r="E4576" i="3"/>
  <c r="D4576" i="3"/>
  <c r="E4575" i="3"/>
  <c r="D4575" i="3"/>
  <c r="E4574" i="3"/>
  <c r="D4574" i="3"/>
  <c r="E4573" i="3"/>
  <c r="D4573" i="3"/>
  <c r="E4572" i="3"/>
  <c r="D4572" i="3"/>
  <c r="E4571" i="3"/>
  <c r="D4571" i="3"/>
  <c r="E4570" i="3"/>
  <c r="D4570" i="3"/>
  <c r="E4569" i="3"/>
  <c r="D4569" i="3"/>
  <c r="E4568" i="3"/>
  <c r="D4568" i="3"/>
  <c r="E4567" i="3"/>
  <c r="D4567" i="3"/>
  <c r="E4566" i="3"/>
  <c r="D4566" i="3"/>
  <c r="E4565" i="3"/>
  <c r="D4565" i="3"/>
  <c r="E4564" i="3"/>
  <c r="D4564" i="3"/>
  <c r="E4563" i="3"/>
  <c r="D4563" i="3"/>
  <c r="E4562" i="3"/>
  <c r="D4562" i="3"/>
  <c r="E4561" i="3"/>
  <c r="D4561" i="3"/>
  <c r="E4560" i="3"/>
  <c r="D4560" i="3"/>
  <c r="E4559" i="3"/>
  <c r="D4559" i="3"/>
  <c r="E4558" i="3"/>
  <c r="D4558" i="3"/>
  <c r="E4557" i="3"/>
  <c r="D4557" i="3"/>
  <c r="E4556" i="3"/>
  <c r="D4556" i="3"/>
  <c r="E4555" i="3"/>
  <c r="D4555" i="3"/>
  <c r="E4554" i="3"/>
  <c r="D4554" i="3"/>
  <c r="E4553" i="3"/>
  <c r="D4553" i="3"/>
  <c r="E4552" i="3"/>
  <c r="D4552" i="3"/>
  <c r="E4551" i="3"/>
  <c r="D4551" i="3"/>
  <c r="E4550" i="3"/>
  <c r="D4550" i="3"/>
  <c r="E4549" i="3"/>
  <c r="D4549" i="3"/>
  <c r="E4548" i="3"/>
  <c r="D4548" i="3"/>
  <c r="E4547" i="3"/>
  <c r="D4547" i="3"/>
  <c r="E4546" i="3"/>
  <c r="D4546" i="3"/>
  <c r="E4545" i="3"/>
  <c r="D4545" i="3"/>
  <c r="E4544" i="3"/>
  <c r="D4544" i="3"/>
  <c r="E4543" i="3"/>
  <c r="D4543" i="3"/>
  <c r="E4542" i="3"/>
  <c r="D4542" i="3"/>
  <c r="E4541" i="3"/>
  <c r="D4541" i="3"/>
  <c r="E4540" i="3"/>
  <c r="D4540" i="3"/>
  <c r="E4539" i="3"/>
  <c r="D4539" i="3"/>
  <c r="E4538" i="3"/>
  <c r="D4538" i="3"/>
  <c r="E4537" i="3"/>
  <c r="D4537" i="3"/>
  <c r="E4536" i="3"/>
  <c r="D4536" i="3"/>
  <c r="E4535" i="3"/>
  <c r="D4535" i="3"/>
  <c r="E4534" i="3"/>
  <c r="D4534" i="3"/>
  <c r="E4533" i="3"/>
  <c r="D4533" i="3"/>
  <c r="E4532" i="3"/>
  <c r="D4532" i="3"/>
  <c r="E4531" i="3"/>
  <c r="D4531" i="3"/>
  <c r="E4530" i="3"/>
  <c r="D4530" i="3"/>
  <c r="E4529" i="3"/>
  <c r="D4529" i="3"/>
  <c r="E4528" i="3"/>
  <c r="D4528" i="3"/>
  <c r="E4527" i="3"/>
  <c r="D4527" i="3"/>
  <c r="E4526" i="3"/>
  <c r="D4526" i="3"/>
  <c r="E4525" i="3"/>
  <c r="D4525" i="3"/>
  <c r="E4524" i="3"/>
  <c r="D4524" i="3"/>
  <c r="E4523" i="3"/>
  <c r="D4523" i="3"/>
  <c r="E4522" i="3"/>
  <c r="D4522" i="3"/>
  <c r="E4521" i="3"/>
  <c r="D4521" i="3"/>
  <c r="E4520" i="3"/>
  <c r="D4520" i="3"/>
  <c r="E4519" i="3"/>
  <c r="D4519" i="3"/>
  <c r="E4518" i="3"/>
  <c r="D4518" i="3"/>
  <c r="E4517" i="3"/>
  <c r="D4517" i="3"/>
  <c r="E4516" i="3"/>
  <c r="D4516" i="3"/>
  <c r="E4515" i="3"/>
  <c r="D4515" i="3"/>
  <c r="E4514" i="3"/>
  <c r="D4514" i="3"/>
  <c r="E4513" i="3"/>
  <c r="D4513" i="3"/>
  <c r="E4512" i="3"/>
  <c r="D4512" i="3"/>
  <c r="E4511" i="3"/>
  <c r="D4511" i="3"/>
  <c r="E4510" i="3"/>
  <c r="D4510" i="3"/>
  <c r="E4509" i="3"/>
  <c r="D4509" i="3"/>
  <c r="E4508" i="3"/>
  <c r="D4508" i="3"/>
  <c r="E4507" i="3"/>
  <c r="D4507" i="3"/>
  <c r="E4506" i="3"/>
  <c r="D4506" i="3"/>
  <c r="E4505" i="3"/>
  <c r="D4505" i="3"/>
  <c r="E4504" i="3"/>
  <c r="D4504" i="3"/>
  <c r="E4503" i="3"/>
  <c r="D4503" i="3"/>
  <c r="E4502" i="3"/>
  <c r="D4502" i="3"/>
  <c r="E4501" i="3"/>
  <c r="D4501" i="3"/>
  <c r="E4500" i="3"/>
  <c r="D4500" i="3"/>
  <c r="E4499" i="3"/>
  <c r="D4499" i="3"/>
  <c r="E4498" i="3"/>
  <c r="D4498" i="3"/>
  <c r="E4497" i="3"/>
  <c r="D4497" i="3"/>
  <c r="E4496" i="3"/>
  <c r="D4496" i="3"/>
  <c r="E4495" i="3"/>
  <c r="D4495" i="3"/>
  <c r="E4494" i="3"/>
  <c r="D4494" i="3"/>
  <c r="E4493" i="3"/>
  <c r="D4493" i="3"/>
  <c r="E4492" i="3"/>
  <c r="D4492" i="3"/>
  <c r="E4491" i="3"/>
  <c r="D4491" i="3"/>
  <c r="E4490" i="3"/>
  <c r="D4490" i="3"/>
  <c r="E4489" i="3"/>
  <c r="D4489" i="3"/>
  <c r="E4488" i="3"/>
  <c r="D4488" i="3"/>
  <c r="E4487" i="3"/>
  <c r="D4487" i="3"/>
  <c r="E4486" i="3"/>
  <c r="D4486" i="3"/>
  <c r="E4485" i="3"/>
  <c r="D4485" i="3"/>
  <c r="E4484" i="3"/>
  <c r="D4484" i="3"/>
  <c r="E4483" i="3"/>
  <c r="D4483" i="3"/>
  <c r="E4482" i="3"/>
  <c r="D4482" i="3"/>
  <c r="E4481" i="3"/>
  <c r="D4481" i="3"/>
  <c r="E4480" i="3"/>
  <c r="D4480" i="3"/>
  <c r="E4479" i="3"/>
  <c r="D4479" i="3"/>
  <c r="E4478" i="3"/>
  <c r="D4478" i="3"/>
  <c r="E4477" i="3"/>
  <c r="D4477" i="3"/>
  <c r="E4476" i="3"/>
  <c r="D4476" i="3"/>
  <c r="E4475" i="3"/>
  <c r="D4475" i="3"/>
  <c r="E4474" i="3"/>
  <c r="D4474" i="3"/>
  <c r="E4473" i="3"/>
  <c r="D4473" i="3"/>
  <c r="E4472" i="3"/>
  <c r="D4472" i="3"/>
  <c r="E4471" i="3"/>
  <c r="D4471" i="3"/>
  <c r="E4470" i="3"/>
  <c r="D4470" i="3"/>
  <c r="E4469" i="3"/>
  <c r="D4469" i="3"/>
  <c r="E4468" i="3"/>
  <c r="D4468" i="3"/>
  <c r="E4467" i="3"/>
  <c r="D4467" i="3"/>
  <c r="E4466" i="3"/>
  <c r="D4466" i="3"/>
  <c r="E4465" i="3"/>
  <c r="D4465" i="3"/>
  <c r="E4464" i="3"/>
  <c r="D4464" i="3"/>
  <c r="E4463" i="3"/>
  <c r="D4463" i="3"/>
  <c r="E4462" i="3"/>
  <c r="D4462" i="3"/>
  <c r="E4461" i="3"/>
  <c r="D4461" i="3"/>
  <c r="E4460" i="3"/>
  <c r="D4460" i="3"/>
  <c r="E4459" i="3"/>
  <c r="D4459" i="3"/>
  <c r="E4458" i="3"/>
  <c r="D4458" i="3"/>
  <c r="E4457" i="3"/>
  <c r="D4457" i="3"/>
  <c r="E4456" i="3"/>
  <c r="D4456" i="3"/>
  <c r="E4455" i="3"/>
  <c r="D4455" i="3"/>
  <c r="E4454" i="3"/>
  <c r="D4454" i="3"/>
  <c r="E4453" i="3"/>
  <c r="D4453" i="3"/>
  <c r="E4452" i="3"/>
  <c r="D4452" i="3"/>
  <c r="E4451" i="3"/>
  <c r="D4451" i="3"/>
  <c r="E4450" i="3"/>
  <c r="D4450" i="3"/>
  <c r="E4449" i="3"/>
  <c r="D4449" i="3"/>
  <c r="E4448" i="3"/>
  <c r="D4448" i="3"/>
  <c r="E4447" i="3"/>
  <c r="D4447" i="3"/>
  <c r="E4446" i="3"/>
  <c r="D4446" i="3"/>
  <c r="E4445" i="3"/>
  <c r="D4445" i="3"/>
  <c r="E4444" i="3"/>
  <c r="D4444" i="3"/>
  <c r="E4443" i="3"/>
  <c r="D4443" i="3"/>
  <c r="E4442" i="3"/>
  <c r="D4442" i="3"/>
  <c r="E4441" i="3"/>
  <c r="D4441" i="3"/>
  <c r="E4440" i="3"/>
  <c r="D4440" i="3"/>
  <c r="E4439" i="3"/>
  <c r="D4439" i="3"/>
  <c r="E4438" i="3"/>
  <c r="D4438" i="3"/>
  <c r="E4437" i="3"/>
  <c r="D4437" i="3"/>
  <c r="E4436" i="3"/>
  <c r="D4436" i="3"/>
  <c r="E4435" i="3"/>
  <c r="D4435" i="3"/>
  <c r="E4434" i="3"/>
  <c r="D4434" i="3"/>
  <c r="E4433" i="3"/>
  <c r="D4433" i="3"/>
  <c r="E4432" i="3"/>
  <c r="D4432" i="3"/>
  <c r="E4431" i="3"/>
  <c r="D4431" i="3"/>
  <c r="E4430" i="3"/>
  <c r="D4430" i="3"/>
  <c r="E4429" i="3"/>
  <c r="D4429" i="3"/>
  <c r="E4428" i="3"/>
  <c r="D4428" i="3"/>
  <c r="E4427" i="3"/>
  <c r="D4427" i="3"/>
  <c r="E4426" i="3"/>
  <c r="D4426" i="3"/>
  <c r="E4425" i="3"/>
  <c r="D4425" i="3"/>
  <c r="E4424" i="3"/>
  <c r="D4424" i="3"/>
  <c r="E4423" i="3"/>
  <c r="D4423" i="3"/>
  <c r="E4422" i="3"/>
  <c r="D4422" i="3"/>
  <c r="E4421" i="3"/>
  <c r="D4421" i="3"/>
  <c r="E4420" i="3"/>
  <c r="D4420" i="3"/>
  <c r="E4419" i="3"/>
  <c r="D4419" i="3"/>
  <c r="E4418" i="3"/>
  <c r="D4418" i="3"/>
  <c r="E4417" i="3"/>
  <c r="D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D4107" i="3"/>
  <c r="E4106" i="3"/>
  <c r="D4106" i="3"/>
  <c r="E4105" i="3"/>
  <c r="D4105" i="3"/>
  <c r="E4104" i="3"/>
  <c r="D4104" i="3"/>
  <c r="E4103" i="3"/>
  <c r="D4103" i="3"/>
  <c r="E4102" i="3"/>
  <c r="D4102" i="3"/>
  <c r="E4101" i="3"/>
  <c r="D4101" i="3"/>
  <c r="E4100" i="3"/>
  <c r="D4100" i="3"/>
  <c r="E4099" i="3"/>
  <c r="D4099" i="3"/>
  <c r="E4098" i="3"/>
  <c r="D4098" i="3"/>
  <c r="E4097" i="3"/>
  <c r="D4097" i="3"/>
  <c r="E4096" i="3"/>
  <c r="D4096" i="3"/>
  <c r="E4095" i="3"/>
  <c r="D4095" i="3"/>
  <c r="E4094" i="3"/>
  <c r="D4094" i="3"/>
  <c r="E4093" i="3"/>
  <c r="D4093" i="3"/>
  <c r="E4092" i="3"/>
  <c r="D4092" i="3"/>
  <c r="E4091" i="3"/>
  <c r="D4091" i="3"/>
  <c r="E4090" i="3"/>
  <c r="D4090" i="3"/>
  <c r="E4089" i="3"/>
  <c r="D4089" i="3"/>
  <c r="E4088" i="3"/>
  <c r="D4088" i="3"/>
  <c r="E4087" i="3"/>
  <c r="D4087" i="3"/>
  <c r="E4086" i="3"/>
  <c r="D4086" i="3"/>
  <c r="E4085" i="3"/>
  <c r="D4085" i="3"/>
  <c r="E4084" i="3"/>
  <c r="D4084" i="3"/>
  <c r="E4083" i="3"/>
  <c r="D4083" i="3"/>
  <c r="E4082" i="3"/>
  <c r="D4082" i="3"/>
  <c r="E4081" i="3"/>
  <c r="D4081" i="3"/>
  <c r="E4080" i="3"/>
  <c r="D4080" i="3"/>
  <c r="E4079" i="3"/>
  <c r="D4079" i="3"/>
  <c r="E4078" i="3"/>
  <c r="D4078" i="3"/>
  <c r="E4077" i="3"/>
  <c r="D4077" i="3"/>
  <c r="E4076" i="3"/>
  <c r="D4076" i="3"/>
  <c r="E4075" i="3"/>
  <c r="D4075" i="3"/>
  <c r="E4074" i="3"/>
  <c r="D4074" i="3"/>
  <c r="E4073" i="3"/>
  <c r="D4073" i="3"/>
  <c r="E4072" i="3"/>
  <c r="D4072" i="3"/>
  <c r="E4071" i="3"/>
  <c r="D4071" i="3"/>
  <c r="E4070" i="3"/>
  <c r="D4070" i="3"/>
  <c r="E4069" i="3"/>
  <c r="D4069" i="3"/>
  <c r="E4068" i="3"/>
  <c r="D4068" i="3"/>
  <c r="E4067" i="3"/>
  <c r="D4067" i="3"/>
  <c r="E4066" i="3"/>
  <c r="D4066" i="3"/>
  <c r="E4065" i="3"/>
  <c r="D4065" i="3"/>
  <c r="E4064" i="3"/>
  <c r="D4064" i="3"/>
  <c r="E4063" i="3"/>
  <c r="D4063" i="3"/>
  <c r="E4062" i="3"/>
  <c r="D4062" i="3"/>
  <c r="E4061" i="3"/>
  <c r="D4061" i="3"/>
  <c r="E4060" i="3"/>
  <c r="D4060" i="3"/>
  <c r="E4059" i="3"/>
  <c r="D4059" i="3"/>
  <c r="E4058" i="3"/>
  <c r="D4058" i="3"/>
  <c r="E4057" i="3"/>
  <c r="D4057" i="3"/>
  <c r="E4056" i="3"/>
  <c r="D4056" i="3"/>
  <c r="E4055" i="3"/>
  <c r="D4055" i="3"/>
  <c r="E4054" i="3"/>
  <c r="D4054" i="3"/>
  <c r="E4053" i="3"/>
  <c r="D4053" i="3"/>
  <c r="E4052" i="3"/>
  <c r="D4052" i="3"/>
  <c r="E4051" i="3"/>
  <c r="D4051" i="3"/>
  <c r="E4050" i="3"/>
  <c r="D4050" i="3"/>
  <c r="E4049" i="3"/>
  <c r="D4049" i="3"/>
  <c r="E4048" i="3"/>
  <c r="D4048" i="3"/>
  <c r="E4047" i="3"/>
  <c r="D4047" i="3"/>
  <c r="E4046" i="3"/>
  <c r="D4046" i="3"/>
  <c r="E4045" i="3"/>
  <c r="D4045" i="3"/>
  <c r="E4044" i="3"/>
  <c r="D4044" i="3"/>
  <c r="E4043" i="3"/>
  <c r="D4043" i="3"/>
  <c r="E4042" i="3"/>
  <c r="D4042" i="3"/>
  <c r="E4041" i="3"/>
  <c r="D4041" i="3"/>
  <c r="E4040" i="3"/>
  <c r="D4040" i="3"/>
  <c r="E4039" i="3"/>
  <c r="D4039" i="3"/>
  <c r="E4038" i="3"/>
  <c r="D4038" i="3"/>
  <c r="E4037" i="3"/>
  <c r="D4037" i="3"/>
  <c r="E4036" i="3"/>
  <c r="D4036" i="3"/>
  <c r="E4035" i="3"/>
  <c r="D4035" i="3"/>
  <c r="E4034" i="3"/>
  <c r="D4034" i="3"/>
  <c r="E4033" i="3"/>
  <c r="D4033" i="3"/>
  <c r="E4032" i="3"/>
  <c r="D4032" i="3"/>
  <c r="E4031" i="3"/>
  <c r="D4031" i="3"/>
  <c r="E4030" i="3"/>
  <c r="D4030" i="3"/>
  <c r="E4029" i="3"/>
  <c r="D4029" i="3"/>
  <c r="E4028" i="3"/>
  <c r="D4028" i="3"/>
  <c r="E4027" i="3"/>
  <c r="D4027" i="3"/>
  <c r="E4026" i="3"/>
  <c r="D4026" i="3"/>
  <c r="E4025" i="3"/>
  <c r="D4025" i="3"/>
  <c r="E4024" i="3"/>
  <c r="D4024" i="3"/>
  <c r="E4023" i="3"/>
  <c r="D4023" i="3"/>
  <c r="E4022" i="3"/>
  <c r="D4022" i="3"/>
  <c r="E4021" i="3"/>
  <c r="D4021" i="3"/>
  <c r="E4020" i="3"/>
  <c r="D4020" i="3"/>
  <c r="E4019" i="3"/>
  <c r="D4019" i="3"/>
  <c r="E4018" i="3"/>
  <c r="D4018" i="3"/>
  <c r="E4017" i="3"/>
  <c r="D4017" i="3"/>
  <c r="E4016" i="3"/>
  <c r="D4016" i="3"/>
  <c r="E4015" i="3"/>
  <c r="D4015" i="3"/>
  <c r="E4014" i="3"/>
  <c r="D4014" i="3"/>
  <c r="E4013" i="3"/>
  <c r="D4013" i="3"/>
  <c r="E4012" i="3"/>
  <c r="D4012" i="3"/>
  <c r="E4011" i="3"/>
  <c r="D4011" i="3"/>
  <c r="E4010" i="3"/>
  <c r="D4010" i="3"/>
  <c r="E4009" i="3"/>
  <c r="D4009" i="3"/>
  <c r="E4008" i="3"/>
  <c r="D4008" i="3"/>
  <c r="E4007" i="3"/>
  <c r="D4007" i="3"/>
  <c r="E4006" i="3"/>
  <c r="D4006" i="3"/>
  <c r="E4005" i="3"/>
  <c r="D4005" i="3"/>
  <c r="E4004" i="3"/>
  <c r="D4004" i="3"/>
  <c r="E4003" i="3"/>
  <c r="D4003" i="3"/>
  <c r="E4002" i="3"/>
  <c r="D4002" i="3"/>
  <c r="E4001" i="3"/>
  <c r="D4001" i="3"/>
  <c r="E4000" i="3"/>
  <c r="D4000" i="3"/>
  <c r="E3999" i="3"/>
  <c r="D3999" i="3"/>
  <c r="E3998" i="3"/>
  <c r="D3998" i="3"/>
  <c r="E3997" i="3"/>
  <c r="D3997" i="3"/>
  <c r="E3996" i="3"/>
  <c r="D3996" i="3"/>
  <c r="E3995" i="3"/>
  <c r="D3995" i="3"/>
  <c r="E3994" i="3"/>
  <c r="D3994" i="3"/>
  <c r="E3993" i="3"/>
  <c r="D3993" i="3"/>
  <c r="E3992" i="3"/>
  <c r="D3992" i="3"/>
  <c r="E3991" i="3"/>
  <c r="D3991" i="3"/>
  <c r="E3990" i="3"/>
  <c r="D3990" i="3"/>
  <c r="E3989" i="3"/>
  <c r="D3989" i="3"/>
  <c r="E3988" i="3"/>
  <c r="D3988" i="3"/>
  <c r="E3987" i="3"/>
  <c r="D3987" i="3"/>
  <c r="E3986" i="3"/>
  <c r="D3986" i="3"/>
  <c r="E3985" i="3"/>
  <c r="D3985" i="3"/>
  <c r="E3984" i="3"/>
  <c r="D3984" i="3"/>
  <c r="E3983" i="3"/>
  <c r="D3983" i="3"/>
  <c r="E3982" i="3"/>
  <c r="D3982" i="3"/>
  <c r="E3981" i="3"/>
  <c r="D3981" i="3"/>
  <c r="E3980" i="3"/>
  <c r="D3980" i="3"/>
  <c r="E3979" i="3"/>
  <c r="D3979" i="3"/>
  <c r="E3978" i="3"/>
  <c r="D3978" i="3"/>
  <c r="E3977" i="3"/>
  <c r="D3977" i="3"/>
  <c r="E3976" i="3"/>
  <c r="D3976" i="3"/>
  <c r="E3975" i="3"/>
  <c r="D3975" i="3"/>
  <c r="E3974" i="3"/>
  <c r="D3974" i="3"/>
  <c r="E3973" i="3"/>
  <c r="D3973" i="3"/>
  <c r="E3972" i="3"/>
  <c r="D3972" i="3"/>
  <c r="E3971" i="3"/>
  <c r="D3971" i="3"/>
  <c r="E3970" i="3"/>
  <c r="D3970" i="3"/>
  <c r="E3969" i="3"/>
  <c r="D3969" i="3"/>
  <c r="E3968" i="3"/>
  <c r="D3968" i="3"/>
  <c r="E3967" i="3"/>
  <c r="D3967" i="3"/>
  <c r="E3966" i="3"/>
  <c r="D3966" i="3"/>
  <c r="E3965" i="3"/>
  <c r="D3965" i="3"/>
  <c r="E3964" i="3"/>
  <c r="D3964" i="3"/>
  <c r="E3963" i="3"/>
  <c r="D3963" i="3"/>
  <c r="E3962" i="3"/>
  <c r="D3962" i="3"/>
  <c r="E3961" i="3"/>
  <c r="D3961" i="3"/>
  <c r="E3960" i="3"/>
  <c r="D3960" i="3"/>
  <c r="E3959" i="3"/>
  <c r="D3959" i="3"/>
  <c r="E3958" i="3"/>
  <c r="D3958" i="3"/>
  <c r="E3957" i="3"/>
  <c r="D3957" i="3"/>
  <c r="E3956" i="3"/>
  <c r="D3956" i="3"/>
  <c r="E3955" i="3"/>
  <c r="D3955" i="3"/>
  <c r="E3954" i="3"/>
  <c r="D3954" i="3"/>
  <c r="E3953" i="3"/>
  <c r="D3953" i="3"/>
  <c r="E3952" i="3"/>
  <c r="D3952" i="3"/>
  <c r="E3951" i="3"/>
  <c r="D3951" i="3"/>
  <c r="E3950" i="3"/>
  <c r="D3950" i="3"/>
  <c r="E3949" i="3"/>
  <c r="D3949" i="3"/>
  <c r="E3948" i="3"/>
  <c r="D3948" i="3"/>
  <c r="E3947" i="3"/>
  <c r="D3947" i="3"/>
  <c r="E3946" i="3"/>
  <c r="D3946" i="3"/>
  <c r="E3945" i="3"/>
  <c r="D3945" i="3"/>
  <c r="E3944" i="3"/>
  <c r="D3944" i="3"/>
  <c r="E3943" i="3"/>
  <c r="D3943" i="3"/>
  <c r="E3942" i="3"/>
  <c r="D3942" i="3"/>
  <c r="E3941" i="3"/>
  <c r="D3941" i="3"/>
  <c r="E3940" i="3"/>
  <c r="D3940" i="3"/>
  <c r="E3939" i="3"/>
  <c r="D3939" i="3"/>
  <c r="E3938" i="3"/>
  <c r="D3938" i="3"/>
  <c r="E3937" i="3"/>
  <c r="D3937" i="3"/>
  <c r="E3936" i="3"/>
  <c r="D3936" i="3"/>
  <c r="E3935" i="3"/>
  <c r="D3935" i="3"/>
  <c r="E3934" i="3"/>
  <c r="D3934" i="3"/>
  <c r="E3933" i="3"/>
  <c r="D3933" i="3"/>
  <c r="E3932" i="3"/>
  <c r="D3932" i="3"/>
  <c r="E3931" i="3"/>
  <c r="D3931" i="3"/>
  <c r="E3930" i="3"/>
  <c r="D3930" i="3"/>
  <c r="E3929" i="3"/>
  <c r="D3929" i="3"/>
  <c r="E3928" i="3"/>
  <c r="D3928" i="3"/>
  <c r="E3927" i="3"/>
  <c r="D3927" i="3"/>
  <c r="E3926" i="3"/>
  <c r="D3926" i="3"/>
  <c r="E3925" i="3"/>
  <c r="D3925" i="3"/>
  <c r="E3924" i="3"/>
  <c r="D3924" i="3"/>
  <c r="E3923" i="3"/>
  <c r="D3923" i="3"/>
  <c r="E3922" i="3"/>
  <c r="D3922" i="3"/>
  <c r="E3921" i="3"/>
  <c r="D3921" i="3"/>
  <c r="E3920" i="3"/>
  <c r="D3920" i="3"/>
  <c r="E3919" i="3"/>
  <c r="D3919" i="3"/>
  <c r="E3918" i="3"/>
  <c r="D3918" i="3"/>
  <c r="E3917" i="3"/>
  <c r="D3917" i="3"/>
  <c r="E3916" i="3"/>
  <c r="D3916" i="3"/>
  <c r="E3915" i="3"/>
  <c r="D3915" i="3"/>
  <c r="E3914" i="3"/>
  <c r="D3914" i="3"/>
  <c r="E3913" i="3"/>
  <c r="D3913" i="3"/>
  <c r="E3912" i="3"/>
  <c r="D3912" i="3"/>
  <c r="E3911" i="3"/>
  <c r="D3911" i="3"/>
  <c r="E3910" i="3"/>
  <c r="D3910" i="3"/>
  <c r="E3909" i="3"/>
  <c r="D3909" i="3"/>
  <c r="E3908" i="3"/>
  <c r="D3908" i="3"/>
  <c r="E3907" i="3"/>
  <c r="D3907" i="3"/>
  <c r="E3906" i="3"/>
  <c r="D3906" i="3"/>
  <c r="E3905" i="3"/>
  <c r="D3905" i="3"/>
  <c r="E3904" i="3"/>
  <c r="D3904" i="3"/>
  <c r="E3903" i="3"/>
  <c r="D3903" i="3"/>
  <c r="E3902" i="3"/>
  <c r="D3902" i="3"/>
  <c r="E3901" i="3"/>
  <c r="D3901" i="3"/>
  <c r="E3900" i="3"/>
  <c r="D3900" i="3"/>
  <c r="E3899" i="3"/>
  <c r="D3899" i="3"/>
  <c r="E3898" i="3"/>
  <c r="D3898" i="3"/>
  <c r="E3897" i="3"/>
  <c r="D3897" i="3"/>
  <c r="E3896" i="3"/>
  <c r="D3896" i="3"/>
  <c r="E3895" i="3"/>
  <c r="D3895" i="3"/>
  <c r="E3894" i="3"/>
  <c r="D3894" i="3"/>
  <c r="E3893" i="3"/>
  <c r="D3893" i="3"/>
  <c r="E3892" i="3"/>
  <c r="D3892" i="3"/>
  <c r="E3891" i="3"/>
  <c r="D3891" i="3"/>
  <c r="E3890" i="3"/>
  <c r="D3890" i="3"/>
  <c r="E3889" i="3"/>
  <c r="D3889" i="3"/>
  <c r="E3888" i="3"/>
  <c r="D3888" i="3"/>
  <c r="E3887" i="3"/>
  <c r="D3887" i="3"/>
  <c r="E3886" i="3"/>
  <c r="D3886" i="3"/>
  <c r="E3885" i="3"/>
  <c r="D3885" i="3"/>
  <c r="E3884" i="3"/>
  <c r="D3884" i="3"/>
  <c r="E3883" i="3"/>
  <c r="D3883" i="3"/>
  <c r="E3882" i="3"/>
  <c r="D3882" i="3"/>
  <c r="E3881" i="3"/>
  <c r="D3881" i="3"/>
  <c r="E3880" i="3"/>
  <c r="D3880" i="3"/>
  <c r="E3879" i="3"/>
  <c r="D3879" i="3"/>
  <c r="E3878" i="3"/>
  <c r="D3878" i="3"/>
  <c r="E3877" i="3"/>
  <c r="D3877" i="3"/>
  <c r="E3876" i="3"/>
  <c r="D3876" i="3"/>
  <c r="E3875" i="3"/>
  <c r="D3875" i="3"/>
  <c r="E3874" i="3"/>
  <c r="D3874" i="3"/>
  <c r="E3873" i="3"/>
  <c r="D3873" i="3"/>
  <c r="E3872" i="3"/>
  <c r="D3872" i="3"/>
  <c r="E3871" i="3"/>
  <c r="D3871" i="3"/>
  <c r="E3870" i="3"/>
  <c r="D3870" i="3"/>
  <c r="E3869" i="3"/>
  <c r="D3869" i="3"/>
  <c r="E3868" i="3"/>
  <c r="D3868" i="3"/>
  <c r="E3867" i="3"/>
  <c r="D3867" i="3"/>
  <c r="E3866" i="3"/>
  <c r="D3866" i="3"/>
  <c r="E3865" i="3"/>
  <c r="D3865" i="3"/>
  <c r="E3864" i="3"/>
  <c r="D3864" i="3"/>
  <c r="E3863" i="3"/>
  <c r="D3863" i="3"/>
  <c r="E3862" i="3"/>
  <c r="D3862" i="3"/>
  <c r="E3861" i="3"/>
  <c r="D3861" i="3"/>
  <c r="E3860" i="3"/>
  <c r="D3860" i="3"/>
  <c r="E3859" i="3"/>
  <c r="D3859" i="3"/>
  <c r="E3858" i="3"/>
  <c r="D3858" i="3"/>
  <c r="E3857" i="3"/>
  <c r="D3857" i="3"/>
  <c r="E3856" i="3"/>
  <c r="D3856" i="3"/>
  <c r="E3855" i="3"/>
  <c r="D3855" i="3"/>
  <c r="E3854" i="3"/>
  <c r="D3854" i="3"/>
  <c r="E3853" i="3"/>
  <c r="D3853" i="3"/>
  <c r="E3852" i="3"/>
  <c r="D3852" i="3"/>
  <c r="E3851" i="3"/>
  <c r="D3851" i="3"/>
  <c r="E3850" i="3"/>
  <c r="D3850" i="3"/>
  <c r="E3849" i="3"/>
  <c r="D3849" i="3"/>
  <c r="E3848" i="3"/>
  <c r="D3848" i="3"/>
  <c r="E3847" i="3"/>
  <c r="D3847" i="3"/>
  <c r="E3846" i="3"/>
  <c r="D3846" i="3"/>
  <c r="E3845" i="3"/>
  <c r="D3845" i="3"/>
  <c r="E3844" i="3"/>
  <c r="D3844" i="3"/>
  <c r="E3843" i="3"/>
  <c r="D3843" i="3"/>
  <c r="E3842" i="3"/>
  <c r="D3842" i="3"/>
  <c r="E3841" i="3"/>
  <c r="D3841" i="3"/>
  <c r="E3840" i="3"/>
  <c r="D3840" i="3"/>
  <c r="E3839" i="3"/>
  <c r="D3839" i="3"/>
  <c r="E3838" i="3"/>
  <c r="D3838" i="3"/>
  <c r="E3837" i="3"/>
  <c r="D3837" i="3"/>
  <c r="E3836" i="3"/>
  <c r="D3836" i="3"/>
  <c r="E3835" i="3"/>
  <c r="D3835" i="3"/>
  <c r="E3834" i="3"/>
  <c r="D3834" i="3"/>
  <c r="E3833" i="3"/>
  <c r="D3833" i="3"/>
  <c r="E3832" i="3"/>
  <c r="D3832" i="3"/>
  <c r="E3831" i="3"/>
  <c r="D3831" i="3"/>
  <c r="E3830" i="3"/>
  <c r="D3830" i="3"/>
  <c r="E3829" i="3"/>
  <c r="D3829" i="3"/>
  <c r="E3828" i="3"/>
  <c r="D3828" i="3"/>
  <c r="E3827" i="3"/>
  <c r="D3827" i="3"/>
  <c r="E3826" i="3"/>
  <c r="D3826" i="3"/>
  <c r="E3825" i="3"/>
  <c r="D3825" i="3"/>
  <c r="E3824" i="3"/>
  <c r="D3824" i="3"/>
  <c r="E3823" i="3"/>
  <c r="D3823" i="3"/>
  <c r="E3822" i="3"/>
  <c r="D3822" i="3"/>
  <c r="E3821" i="3"/>
  <c r="D3821" i="3"/>
  <c r="E3820" i="3"/>
  <c r="D3820" i="3"/>
  <c r="E3819" i="3"/>
  <c r="D3819" i="3"/>
  <c r="E3818" i="3"/>
  <c r="D3818" i="3"/>
  <c r="E3817" i="3"/>
  <c r="D3817" i="3"/>
  <c r="E3816" i="3"/>
  <c r="D3816" i="3"/>
  <c r="E3815" i="3"/>
  <c r="D3815" i="3"/>
  <c r="E3814" i="3"/>
  <c r="D3814" i="3"/>
  <c r="E3813" i="3"/>
  <c r="D3813" i="3"/>
  <c r="E3812" i="3"/>
  <c r="D3812" i="3"/>
  <c r="E3811" i="3"/>
  <c r="D3811" i="3"/>
  <c r="E3810" i="3"/>
  <c r="D3810" i="3"/>
  <c r="E3809" i="3"/>
  <c r="D3809" i="3"/>
  <c r="E3808" i="3"/>
  <c r="D3808" i="3"/>
  <c r="E3807" i="3"/>
  <c r="D3807" i="3"/>
  <c r="E3806" i="3"/>
  <c r="D3806" i="3"/>
  <c r="E3805" i="3"/>
  <c r="D3805" i="3"/>
  <c r="E3804" i="3"/>
  <c r="D3804" i="3"/>
  <c r="E3803" i="3"/>
  <c r="D3803" i="3"/>
  <c r="E3802" i="3"/>
  <c r="D3802" i="3"/>
  <c r="E3801" i="3"/>
  <c r="D3801" i="3"/>
  <c r="E3800" i="3"/>
  <c r="D3800" i="3"/>
  <c r="E3799" i="3"/>
  <c r="D3799" i="3"/>
  <c r="E3798" i="3"/>
  <c r="D3798" i="3"/>
  <c r="E3797" i="3"/>
  <c r="D3797" i="3"/>
  <c r="E3796" i="3"/>
  <c r="D3796" i="3"/>
  <c r="E3795" i="3"/>
  <c r="D3795" i="3"/>
  <c r="E3794" i="3"/>
  <c r="D3794" i="3"/>
  <c r="E3793" i="3"/>
  <c r="D3793" i="3"/>
  <c r="E3792" i="3"/>
  <c r="D3792" i="3"/>
  <c r="E3791" i="3"/>
  <c r="D3791" i="3"/>
  <c r="E3790" i="3"/>
  <c r="D3790" i="3"/>
  <c r="E3789" i="3"/>
  <c r="D3789" i="3"/>
  <c r="E3788" i="3"/>
  <c r="D3788" i="3"/>
  <c r="E3787" i="3"/>
  <c r="D3787" i="3"/>
  <c r="E3786" i="3"/>
  <c r="D3786" i="3"/>
  <c r="E3785" i="3"/>
  <c r="D3785" i="3"/>
  <c r="E3784" i="3"/>
  <c r="D3784" i="3"/>
  <c r="E3783" i="3"/>
  <c r="D3783" i="3"/>
  <c r="E3782" i="3"/>
  <c r="D3782" i="3"/>
  <c r="E3781" i="3"/>
  <c r="D3781" i="3"/>
  <c r="E3780" i="3"/>
  <c r="D3780" i="3"/>
  <c r="E3779" i="3"/>
  <c r="D3779" i="3"/>
  <c r="E3778" i="3"/>
  <c r="D3778" i="3"/>
  <c r="E3777" i="3"/>
  <c r="D3777" i="3"/>
  <c r="E3776" i="3"/>
  <c r="D3776" i="3"/>
  <c r="E3775" i="3"/>
  <c r="D3775" i="3"/>
  <c r="E3774" i="3"/>
  <c r="D3774" i="3"/>
  <c r="E3773" i="3"/>
  <c r="D3773" i="3"/>
  <c r="E3772" i="3"/>
  <c r="D3772" i="3"/>
  <c r="E3771" i="3"/>
  <c r="D3771" i="3"/>
  <c r="E3770" i="3"/>
  <c r="D3770" i="3"/>
  <c r="E3769" i="3"/>
  <c r="D3769" i="3"/>
  <c r="E3768" i="3"/>
  <c r="D3768" i="3"/>
  <c r="E3767" i="3"/>
  <c r="D3767" i="3"/>
  <c r="E3766" i="3"/>
  <c r="D3766" i="3"/>
  <c r="E3765" i="3"/>
  <c r="D3765" i="3"/>
  <c r="E3764" i="3"/>
  <c r="D3764" i="3"/>
  <c r="E3763" i="3"/>
  <c r="D3763" i="3"/>
  <c r="E3762" i="3"/>
  <c r="D3762" i="3"/>
  <c r="E3761" i="3"/>
  <c r="D3761" i="3"/>
  <c r="E3760" i="3"/>
  <c r="D3760" i="3"/>
  <c r="E3759" i="3"/>
  <c r="D3759" i="3"/>
  <c r="E3758" i="3"/>
  <c r="D3758" i="3"/>
  <c r="E3757" i="3"/>
  <c r="D3757" i="3"/>
  <c r="E3756" i="3"/>
  <c r="D3756" i="3"/>
  <c r="E3755" i="3"/>
  <c r="D3755" i="3"/>
  <c r="E3754" i="3"/>
  <c r="D3754" i="3"/>
  <c r="E3753" i="3"/>
  <c r="D3753" i="3"/>
  <c r="E3752" i="3"/>
  <c r="D3752" i="3"/>
  <c r="E3751" i="3"/>
  <c r="D3751" i="3"/>
  <c r="E3750" i="3"/>
  <c r="D3750" i="3"/>
  <c r="E3749" i="3"/>
  <c r="D3749" i="3"/>
  <c r="E3748" i="3"/>
  <c r="D3748" i="3"/>
  <c r="E3747" i="3"/>
  <c r="D3747" i="3"/>
  <c r="E3746" i="3"/>
  <c r="D3746" i="3"/>
  <c r="E3745" i="3"/>
  <c r="D3745" i="3"/>
  <c r="E3744" i="3"/>
  <c r="D3744" i="3"/>
  <c r="E3743" i="3"/>
  <c r="D3743" i="3"/>
  <c r="E3742" i="3"/>
  <c r="D3742" i="3"/>
  <c r="E3741" i="3"/>
  <c r="D3741" i="3"/>
  <c r="E3740" i="3"/>
  <c r="D3740" i="3"/>
  <c r="E3739" i="3"/>
  <c r="D3739" i="3"/>
  <c r="E3738" i="3"/>
  <c r="D3738" i="3"/>
  <c r="E3737" i="3"/>
  <c r="D3737" i="3"/>
  <c r="E3736" i="3"/>
  <c r="D3736" i="3"/>
  <c r="E3735" i="3"/>
  <c r="D3735" i="3"/>
  <c r="E3734" i="3"/>
  <c r="D3734" i="3"/>
  <c r="E3733" i="3"/>
  <c r="D3733" i="3"/>
  <c r="E3732" i="3"/>
  <c r="D3732" i="3"/>
  <c r="E3731" i="3"/>
  <c r="D3731" i="3"/>
  <c r="E3730" i="3"/>
  <c r="D3730" i="3"/>
  <c r="E3729" i="3"/>
  <c r="D3729" i="3"/>
  <c r="E3728" i="3"/>
  <c r="D3728" i="3"/>
  <c r="E3727" i="3"/>
  <c r="D3727" i="3"/>
  <c r="E3726" i="3"/>
  <c r="D3726" i="3"/>
  <c r="E3725" i="3"/>
  <c r="D3725" i="3"/>
  <c r="E3724" i="3"/>
  <c r="D3724" i="3"/>
  <c r="E3723" i="3"/>
  <c r="D3723" i="3"/>
  <c r="E3722" i="3"/>
  <c r="D3722" i="3"/>
  <c r="E3721" i="3"/>
  <c r="D3721" i="3"/>
  <c r="E3720" i="3"/>
  <c r="D3720" i="3"/>
  <c r="E3719" i="3"/>
  <c r="D3719" i="3"/>
  <c r="E3718" i="3"/>
  <c r="D3718" i="3"/>
  <c r="E3717" i="3"/>
  <c r="D3717" i="3"/>
  <c r="E3716" i="3"/>
  <c r="D3716" i="3"/>
  <c r="E3715" i="3"/>
  <c r="D3715" i="3"/>
  <c r="E3714" i="3"/>
  <c r="D3714" i="3"/>
  <c r="E3713" i="3"/>
  <c r="D3713" i="3"/>
  <c r="E3712" i="3"/>
  <c r="D3712" i="3"/>
  <c r="E3711" i="3"/>
  <c r="D3711" i="3"/>
  <c r="E3710" i="3"/>
  <c r="D3710" i="3"/>
  <c r="E3709" i="3"/>
  <c r="D3709" i="3"/>
  <c r="E3708" i="3"/>
  <c r="D3708" i="3"/>
  <c r="E3707" i="3"/>
  <c r="D3707" i="3"/>
  <c r="E3706" i="3"/>
  <c r="D3706" i="3"/>
  <c r="E3705" i="3"/>
  <c r="D3705" i="3"/>
  <c r="E3704" i="3"/>
  <c r="D3704" i="3"/>
  <c r="E3703" i="3"/>
  <c r="D3703" i="3"/>
  <c r="E3702" i="3"/>
  <c r="D3702" i="3"/>
  <c r="E3701" i="3"/>
  <c r="D3701" i="3"/>
  <c r="E3700" i="3"/>
  <c r="D3700" i="3"/>
  <c r="E3699" i="3"/>
  <c r="D3699" i="3"/>
  <c r="E3698" i="3"/>
  <c r="D3698" i="3"/>
  <c r="E3697" i="3"/>
  <c r="D3697" i="3"/>
  <c r="E3696" i="3"/>
  <c r="D3696" i="3"/>
  <c r="E3695" i="3"/>
  <c r="D3695" i="3"/>
  <c r="E3694" i="3"/>
  <c r="D3694" i="3"/>
  <c r="E3693" i="3"/>
  <c r="D3693" i="3"/>
  <c r="E3692" i="3"/>
  <c r="D3692" i="3"/>
  <c r="E3691" i="3"/>
  <c r="D3691" i="3"/>
  <c r="E3690" i="3"/>
  <c r="D3690" i="3"/>
  <c r="E3689" i="3"/>
  <c r="D3689" i="3"/>
  <c r="E3688" i="3"/>
  <c r="D3688" i="3"/>
  <c r="E3687" i="3"/>
  <c r="D3687" i="3"/>
  <c r="E3686" i="3"/>
  <c r="D3686" i="3"/>
  <c r="E3685" i="3"/>
  <c r="D3685" i="3"/>
  <c r="E3684" i="3"/>
  <c r="D3684" i="3"/>
  <c r="E3683" i="3"/>
  <c r="D3683" i="3"/>
  <c r="E3682" i="3"/>
  <c r="D3682" i="3"/>
  <c r="E3681" i="3"/>
  <c r="D3681" i="3"/>
  <c r="E3680" i="3"/>
  <c r="D3680" i="3"/>
  <c r="E3679" i="3"/>
  <c r="D3679" i="3"/>
  <c r="E3678" i="3"/>
  <c r="D3678" i="3"/>
  <c r="E3677" i="3"/>
  <c r="D3677" i="3"/>
  <c r="E3676" i="3"/>
  <c r="D3676" i="3"/>
  <c r="E3675" i="3"/>
  <c r="D3675" i="3"/>
  <c r="E3674" i="3"/>
  <c r="D3674" i="3"/>
  <c r="E3673" i="3"/>
  <c r="D3673" i="3"/>
  <c r="E3672" i="3"/>
  <c r="D3672" i="3"/>
  <c r="E3671" i="3"/>
  <c r="D3671" i="3"/>
  <c r="E3670" i="3"/>
  <c r="D3670" i="3"/>
  <c r="E3669" i="3"/>
  <c r="D3669" i="3"/>
  <c r="E3668" i="3"/>
  <c r="D3668" i="3"/>
  <c r="E3667" i="3"/>
  <c r="D3667" i="3"/>
  <c r="E3666" i="3"/>
  <c r="D3666" i="3"/>
  <c r="E3665" i="3"/>
  <c r="D3665" i="3"/>
  <c r="E3664" i="3"/>
  <c r="D3664" i="3"/>
  <c r="E3663" i="3"/>
  <c r="D3663" i="3"/>
  <c r="E3662" i="3"/>
  <c r="D3662" i="3"/>
  <c r="E3661" i="3"/>
  <c r="D3661" i="3"/>
  <c r="E3660" i="3"/>
  <c r="D3660" i="3"/>
  <c r="E3659" i="3"/>
  <c r="D3659" i="3"/>
  <c r="E3658" i="3"/>
  <c r="D3658" i="3"/>
  <c r="E3657" i="3"/>
  <c r="D3657" i="3"/>
  <c r="E3656" i="3"/>
  <c r="D3656" i="3"/>
  <c r="E3655" i="3"/>
  <c r="D3655" i="3"/>
  <c r="E3654" i="3"/>
  <c r="D3654" i="3"/>
  <c r="E3653" i="3"/>
  <c r="D3653" i="3"/>
  <c r="E3652" i="3"/>
  <c r="D3652" i="3"/>
  <c r="E3651" i="3"/>
  <c r="D3651" i="3"/>
  <c r="E3650" i="3"/>
  <c r="D3650" i="3"/>
  <c r="E3649" i="3"/>
  <c r="D3649" i="3"/>
  <c r="E3648" i="3"/>
  <c r="D3648" i="3"/>
  <c r="E3647" i="3"/>
  <c r="D3647" i="3"/>
  <c r="E3646" i="3"/>
  <c r="D3646" i="3"/>
  <c r="E3645" i="3"/>
  <c r="D3645" i="3"/>
  <c r="E3644" i="3"/>
  <c r="D3644" i="3"/>
  <c r="E3643" i="3"/>
  <c r="D3643" i="3"/>
  <c r="E3642" i="3"/>
  <c r="D3642" i="3"/>
  <c r="E3641" i="3"/>
  <c r="D3641" i="3"/>
  <c r="E3640" i="3"/>
  <c r="D3640" i="3"/>
  <c r="E3639" i="3"/>
  <c r="D3639" i="3"/>
  <c r="E3638" i="3"/>
  <c r="D3638" i="3"/>
  <c r="E3637" i="3"/>
  <c r="D3637" i="3"/>
  <c r="E3636" i="3"/>
  <c r="D3636" i="3"/>
  <c r="E3635" i="3"/>
  <c r="D3635" i="3"/>
  <c r="E3634" i="3"/>
  <c r="D3634" i="3"/>
  <c r="E3633" i="3"/>
  <c r="D3633" i="3"/>
  <c r="E3632" i="3"/>
  <c r="D3632" i="3"/>
  <c r="E3631" i="3"/>
  <c r="D3631" i="3"/>
  <c r="E3630" i="3"/>
  <c r="D3630" i="3"/>
  <c r="E3629" i="3"/>
  <c r="D3629" i="3"/>
  <c r="E3628" i="3"/>
  <c r="D3628" i="3"/>
  <c r="E3627" i="3"/>
  <c r="D3627" i="3"/>
  <c r="E3626" i="3"/>
  <c r="D3626" i="3"/>
  <c r="E3625" i="3"/>
  <c r="D3625" i="3"/>
  <c r="E3624" i="3"/>
  <c r="D3624" i="3"/>
  <c r="E3623" i="3"/>
  <c r="D3623" i="3"/>
  <c r="E3622" i="3"/>
  <c r="D3622" i="3"/>
  <c r="E3621" i="3"/>
  <c r="D3621" i="3"/>
  <c r="E3620" i="3"/>
  <c r="D3620" i="3"/>
  <c r="E3619" i="3"/>
  <c r="D3619" i="3"/>
  <c r="E3618" i="3"/>
  <c r="D3618" i="3"/>
  <c r="E3617" i="3"/>
  <c r="D3617" i="3"/>
  <c r="E3616" i="3"/>
  <c r="D3616" i="3"/>
  <c r="E3615" i="3"/>
  <c r="D3615" i="3"/>
  <c r="E3614" i="3"/>
  <c r="D3614" i="3"/>
  <c r="E3613" i="3"/>
  <c r="D3613" i="3"/>
  <c r="E3612" i="3"/>
  <c r="D3612" i="3"/>
  <c r="E3611" i="3"/>
  <c r="D3611" i="3"/>
  <c r="E3610" i="3"/>
  <c r="D3610" i="3"/>
  <c r="E3609" i="3"/>
  <c r="D3609" i="3"/>
  <c r="E3608" i="3"/>
  <c r="D3608" i="3"/>
  <c r="E3607" i="3"/>
  <c r="D3607" i="3"/>
  <c r="E3606" i="3"/>
  <c r="D3606" i="3"/>
  <c r="E3605" i="3"/>
  <c r="D3605" i="3"/>
  <c r="E3604" i="3"/>
  <c r="D3604" i="3"/>
  <c r="E3603" i="3"/>
  <c r="D3603" i="3"/>
  <c r="E3602" i="3"/>
  <c r="D3602" i="3"/>
  <c r="E3601" i="3"/>
  <c r="D3601" i="3"/>
  <c r="E3600" i="3"/>
  <c r="D3600" i="3"/>
  <c r="E3599" i="3"/>
  <c r="D3599" i="3"/>
  <c r="E3598" i="3"/>
  <c r="D3598" i="3"/>
  <c r="E3597" i="3"/>
  <c r="D3597" i="3"/>
  <c r="E3596" i="3"/>
  <c r="D3596" i="3"/>
  <c r="E3595" i="3"/>
  <c r="D3595" i="3"/>
  <c r="E3594" i="3"/>
  <c r="D3594" i="3"/>
  <c r="E3593" i="3"/>
  <c r="D3593" i="3"/>
  <c r="E3592" i="3"/>
  <c r="D3592" i="3"/>
  <c r="E3591" i="3"/>
  <c r="D3591" i="3"/>
  <c r="E3590" i="3"/>
  <c r="D3590" i="3"/>
  <c r="E3589" i="3"/>
  <c r="D3589" i="3"/>
  <c r="E3588" i="3"/>
  <c r="D3588" i="3"/>
  <c r="E3587" i="3"/>
  <c r="D3587" i="3"/>
  <c r="E3586" i="3"/>
  <c r="D3586" i="3"/>
  <c r="E3585" i="3"/>
  <c r="D3585" i="3"/>
  <c r="E3584" i="3"/>
  <c r="D3584" i="3"/>
  <c r="E3583" i="3"/>
  <c r="D3583" i="3"/>
  <c r="E3582" i="3"/>
  <c r="D3582" i="3"/>
  <c r="E3581" i="3"/>
  <c r="D3581" i="3"/>
  <c r="E3580" i="3"/>
  <c r="D3580" i="3"/>
  <c r="E3579" i="3"/>
  <c r="D3579" i="3"/>
  <c r="E3578" i="3"/>
  <c r="D3578" i="3"/>
  <c r="E3577" i="3"/>
  <c r="D3577" i="3"/>
  <c r="E3576" i="3"/>
  <c r="D3576" i="3"/>
  <c r="E3575" i="3"/>
  <c r="D3575" i="3"/>
  <c r="E3574" i="3"/>
  <c r="D3574" i="3"/>
  <c r="E3573" i="3"/>
  <c r="D3573" i="3"/>
  <c r="E3572" i="3"/>
  <c r="D3572" i="3"/>
  <c r="E3571" i="3"/>
  <c r="D3571" i="3"/>
  <c r="E3570" i="3"/>
  <c r="D3570" i="3"/>
  <c r="E3569" i="3"/>
  <c r="D3569" i="3"/>
  <c r="E3568" i="3"/>
  <c r="D3568" i="3"/>
  <c r="E3567" i="3"/>
  <c r="D3567" i="3"/>
  <c r="E3566" i="3"/>
  <c r="D3566" i="3"/>
  <c r="E3565" i="3"/>
  <c r="D3565" i="3"/>
  <c r="E3564" i="3"/>
  <c r="D3564" i="3"/>
  <c r="E3563" i="3"/>
  <c r="D3563" i="3"/>
  <c r="E3562" i="3"/>
  <c r="D3562" i="3"/>
  <c r="E3561" i="3"/>
  <c r="D3561" i="3"/>
  <c r="E3560" i="3"/>
  <c r="D3560" i="3"/>
  <c r="E3559" i="3"/>
  <c r="D3559" i="3"/>
  <c r="E3558" i="3"/>
  <c r="D3558" i="3"/>
  <c r="E3557" i="3"/>
  <c r="D3557" i="3"/>
  <c r="E3556" i="3"/>
  <c r="D3556" i="3"/>
  <c r="E3555" i="3"/>
  <c r="D3555" i="3"/>
  <c r="E3554" i="3"/>
  <c r="D3554" i="3"/>
  <c r="E3553" i="3"/>
  <c r="D3553" i="3"/>
  <c r="E3552" i="3"/>
  <c r="D3552" i="3"/>
  <c r="E3551" i="3"/>
  <c r="D3551" i="3"/>
  <c r="E3550" i="3"/>
  <c r="D3550" i="3"/>
  <c r="E3549" i="3"/>
  <c r="D3549" i="3"/>
  <c r="E3548" i="3"/>
  <c r="D3548" i="3"/>
  <c r="E3547" i="3"/>
  <c r="D3547" i="3"/>
  <c r="E3546" i="3"/>
  <c r="D3546" i="3"/>
  <c r="E3545" i="3"/>
  <c r="D3545" i="3"/>
  <c r="E3544" i="3"/>
  <c r="D3544" i="3"/>
  <c r="E3543" i="3"/>
  <c r="D3543" i="3"/>
  <c r="E3542" i="3"/>
  <c r="D3542" i="3"/>
  <c r="E3541" i="3"/>
  <c r="D3541" i="3"/>
  <c r="E3540" i="3"/>
  <c r="D3540" i="3"/>
  <c r="E3539" i="3"/>
  <c r="D3539" i="3"/>
  <c r="E3538" i="3"/>
  <c r="D3538" i="3"/>
  <c r="E3537" i="3"/>
  <c r="D3537" i="3"/>
  <c r="E3536" i="3"/>
  <c r="D3536" i="3"/>
  <c r="E3535" i="3"/>
  <c r="D3535" i="3"/>
  <c r="E3534" i="3"/>
  <c r="D3534" i="3"/>
  <c r="E3533" i="3"/>
  <c r="D3533" i="3"/>
  <c r="E3532" i="3"/>
  <c r="D3532" i="3"/>
  <c r="E3531" i="3"/>
  <c r="D3531" i="3"/>
  <c r="E3530" i="3"/>
  <c r="D3530" i="3"/>
  <c r="E3529" i="3"/>
  <c r="D3529" i="3"/>
  <c r="E3528" i="3"/>
  <c r="D3528" i="3"/>
  <c r="E3527" i="3"/>
  <c r="D3527" i="3"/>
  <c r="E3526" i="3"/>
  <c r="D3526" i="3"/>
  <c r="E3525" i="3"/>
  <c r="D3525" i="3"/>
  <c r="E3524" i="3"/>
  <c r="D3524" i="3"/>
  <c r="E3523" i="3"/>
  <c r="D3523" i="3"/>
  <c r="E3522" i="3"/>
  <c r="D3522" i="3"/>
  <c r="E3521" i="3"/>
  <c r="D3521" i="3"/>
  <c r="E3520" i="3"/>
  <c r="D3520" i="3"/>
  <c r="E3519" i="3"/>
  <c r="D3519" i="3"/>
  <c r="E3518" i="3"/>
  <c r="D3518" i="3"/>
  <c r="E3517" i="3"/>
  <c r="D3517" i="3"/>
  <c r="E3516" i="3"/>
  <c r="D3516" i="3"/>
  <c r="E3515" i="3"/>
  <c r="D3515" i="3"/>
  <c r="E3514" i="3"/>
  <c r="D3514" i="3"/>
  <c r="E3513" i="3"/>
  <c r="D3513" i="3"/>
  <c r="E3512" i="3"/>
  <c r="D3512" i="3"/>
  <c r="E3511" i="3"/>
  <c r="D3511" i="3"/>
  <c r="E3510" i="3"/>
  <c r="D3510" i="3"/>
  <c r="E3509" i="3"/>
  <c r="D3509" i="3"/>
  <c r="E3508" i="3"/>
  <c r="D3508" i="3"/>
  <c r="E3507" i="3"/>
  <c r="D3507" i="3"/>
  <c r="E3506" i="3"/>
  <c r="D3506" i="3"/>
  <c r="E3505" i="3"/>
  <c r="D3505" i="3"/>
  <c r="E3504" i="3"/>
  <c r="D3504" i="3"/>
  <c r="E3503" i="3"/>
  <c r="D3503" i="3"/>
  <c r="E3502" i="3"/>
  <c r="D3502" i="3"/>
  <c r="E3501" i="3"/>
  <c r="D3501" i="3"/>
  <c r="E3500" i="3"/>
  <c r="D3500" i="3"/>
  <c r="E3499" i="3"/>
  <c r="D3499" i="3"/>
  <c r="E3498" i="3"/>
  <c r="D3498" i="3"/>
  <c r="E3497" i="3"/>
  <c r="D3497" i="3"/>
  <c r="E3496" i="3"/>
  <c r="D3496" i="3"/>
  <c r="E3495" i="3"/>
  <c r="D3495" i="3"/>
  <c r="E3494" i="3"/>
  <c r="D3494" i="3"/>
  <c r="E3493" i="3"/>
  <c r="D3493" i="3"/>
  <c r="E3492" i="3"/>
  <c r="D3492" i="3"/>
  <c r="E3491" i="3"/>
  <c r="D3491" i="3"/>
  <c r="E3490" i="3"/>
  <c r="D3490" i="3"/>
  <c r="E3489" i="3"/>
  <c r="D3489" i="3"/>
  <c r="E3488" i="3"/>
  <c r="D3488" i="3"/>
  <c r="E3487" i="3"/>
  <c r="D3487" i="3"/>
  <c r="E3486" i="3"/>
  <c r="D3486" i="3"/>
  <c r="E3485" i="3"/>
  <c r="D3485" i="3"/>
  <c r="E3484" i="3"/>
  <c r="D3484" i="3"/>
  <c r="E3483" i="3"/>
  <c r="D3483" i="3"/>
  <c r="E3482" i="3"/>
  <c r="D3482" i="3"/>
  <c r="E3481" i="3"/>
  <c r="D3481" i="3"/>
  <c r="E3480" i="3"/>
  <c r="D3480" i="3"/>
  <c r="E3479" i="3"/>
  <c r="D3479" i="3"/>
  <c r="E3478" i="3"/>
  <c r="D3478" i="3"/>
  <c r="E3477" i="3"/>
  <c r="D3477" i="3"/>
  <c r="E3476" i="3"/>
  <c r="D3476" i="3"/>
  <c r="E3475" i="3"/>
  <c r="D3475" i="3"/>
  <c r="E3474" i="3"/>
  <c r="D3474" i="3"/>
  <c r="E3473" i="3"/>
  <c r="D3473" i="3"/>
  <c r="E3472" i="3"/>
  <c r="D3472" i="3"/>
  <c r="E3471" i="3"/>
  <c r="D3471" i="3"/>
  <c r="E3470" i="3"/>
  <c r="D3470" i="3"/>
  <c r="E3469" i="3"/>
  <c r="D3469" i="3"/>
  <c r="E3468" i="3"/>
  <c r="D3468" i="3"/>
  <c r="E3467" i="3"/>
  <c r="D3467" i="3"/>
  <c r="E3466" i="3"/>
  <c r="D3466" i="3"/>
  <c r="E3465" i="3"/>
  <c r="D3465" i="3"/>
  <c r="E3464" i="3"/>
  <c r="D3464" i="3"/>
  <c r="E3463" i="3"/>
  <c r="D3463" i="3"/>
  <c r="E3462" i="3"/>
  <c r="D3462" i="3"/>
  <c r="E3461" i="3"/>
  <c r="D3461" i="3"/>
  <c r="E3460" i="3"/>
  <c r="D3460" i="3"/>
  <c r="E3459" i="3"/>
  <c r="D3459" i="3"/>
  <c r="E3458" i="3"/>
  <c r="D3458" i="3"/>
  <c r="E3457" i="3"/>
  <c r="D3457" i="3"/>
  <c r="E3456" i="3"/>
  <c r="D3456" i="3"/>
  <c r="E3455" i="3"/>
  <c r="D3455" i="3"/>
  <c r="E3454" i="3"/>
  <c r="D3454" i="3"/>
  <c r="E3453" i="3"/>
  <c r="D3453" i="3"/>
  <c r="E3452" i="3"/>
  <c r="D3452" i="3"/>
  <c r="E3451" i="3"/>
  <c r="D3451" i="3"/>
  <c r="E3450" i="3"/>
  <c r="D3450" i="3"/>
  <c r="E3449" i="3"/>
  <c r="D3449" i="3"/>
  <c r="E3448" i="3"/>
  <c r="D3448" i="3"/>
  <c r="E3447" i="3"/>
  <c r="D3447" i="3"/>
  <c r="E3446" i="3"/>
  <c r="D3446" i="3"/>
  <c r="E3445" i="3"/>
  <c r="D3445" i="3"/>
  <c r="E3444" i="3"/>
  <c r="D3444" i="3"/>
  <c r="E3443" i="3"/>
  <c r="D3443" i="3"/>
  <c r="E3442" i="3"/>
  <c r="D3442" i="3"/>
  <c r="E3441" i="3"/>
  <c r="D3441" i="3"/>
  <c r="E3440" i="3"/>
  <c r="D3440" i="3"/>
  <c r="E3439" i="3"/>
  <c r="D3439" i="3"/>
  <c r="E3438" i="3"/>
  <c r="D3438" i="3"/>
  <c r="E3437" i="3"/>
  <c r="D3437" i="3"/>
  <c r="E3436" i="3"/>
  <c r="D3436" i="3"/>
  <c r="E3435" i="3"/>
  <c r="D3435" i="3"/>
  <c r="E3434" i="3"/>
  <c r="D3434" i="3"/>
  <c r="E3433" i="3"/>
  <c r="D3433" i="3"/>
  <c r="E3432" i="3"/>
  <c r="D3432" i="3"/>
  <c r="E3431" i="3"/>
  <c r="D3431" i="3"/>
  <c r="E3430" i="3"/>
  <c r="D3430" i="3"/>
  <c r="E3429" i="3"/>
  <c r="D3429" i="3"/>
  <c r="E3428" i="3"/>
  <c r="D3428" i="3"/>
  <c r="E3427" i="3"/>
  <c r="D3427" i="3"/>
  <c r="E3426" i="3"/>
  <c r="D3426" i="3"/>
  <c r="E3425" i="3"/>
  <c r="D3425" i="3"/>
  <c r="E3424" i="3"/>
  <c r="D3424" i="3"/>
  <c r="E3423" i="3"/>
  <c r="D3423" i="3"/>
  <c r="E3422" i="3"/>
  <c r="D3422" i="3"/>
  <c r="E3421" i="3"/>
  <c r="D3421" i="3"/>
  <c r="E3420" i="3"/>
  <c r="D3420" i="3"/>
  <c r="E3419" i="3"/>
  <c r="D3419" i="3"/>
  <c r="E3418" i="3"/>
  <c r="D3418" i="3"/>
  <c r="E3417" i="3"/>
  <c r="D3417" i="3"/>
  <c r="E3416" i="3"/>
  <c r="D3416" i="3"/>
  <c r="E3415" i="3"/>
  <c r="D3415" i="3"/>
  <c r="E3414" i="3"/>
  <c r="D3414" i="3"/>
  <c r="E3413" i="3"/>
  <c r="D3413" i="3"/>
  <c r="E3412" i="3"/>
  <c r="D3412" i="3"/>
  <c r="E3411" i="3"/>
  <c r="D3411" i="3"/>
  <c r="E3410" i="3"/>
  <c r="D3410" i="3"/>
  <c r="E3409" i="3"/>
  <c r="D3409" i="3"/>
  <c r="E3408" i="3"/>
  <c r="D3408" i="3"/>
  <c r="E3407" i="3"/>
  <c r="D3407" i="3"/>
  <c r="E3406" i="3"/>
  <c r="D3406" i="3"/>
  <c r="E3405" i="3"/>
  <c r="D3405" i="3"/>
  <c r="E3404" i="3"/>
  <c r="D3404" i="3"/>
  <c r="E3403" i="3"/>
  <c r="D3403" i="3"/>
  <c r="E3402" i="3"/>
  <c r="D3402" i="3"/>
  <c r="E3401" i="3"/>
  <c r="D3401" i="3"/>
  <c r="E3400" i="3"/>
  <c r="D3400" i="3"/>
  <c r="E3399" i="3"/>
  <c r="D3399" i="3"/>
  <c r="E3398" i="3"/>
  <c r="D3398" i="3"/>
  <c r="E3397" i="3"/>
  <c r="D3397" i="3"/>
  <c r="E3396" i="3"/>
  <c r="D3396" i="3"/>
  <c r="E3395" i="3"/>
  <c r="D3395" i="3"/>
  <c r="E3394" i="3"/>
  <c r="D3394" i="3"/>
  <c r="E3393" i="3"/>
  <c r="D3393" i="3"/>
  <c r="E3392" i="3"/>
  <c r="D3392" i="3"/>
  <c r="E3391" i="3"/>
  <c r="D3391" i="3"/>
  <c r="E3390" i="3"/>
  <c r="D3390" i="3"/>
  <c r="E3389" i="3"/>
  <c r="D3389" i="3"/>
  <c r="E3388" i="3"/>
  <c r="D3388" i="3"/>
  <c r="E3387" i="3"/>
  <c r="D3387" i="3"/>
  <c r="E3386" i="3"/>
  <c r="D3386" i="3"/>
  <c r="E3385" i="3"/>
  <c r="D3385" i="3"/>
  <c r="E3384" i="3"/>
  <c r="D3384" i="3"/>
  <c r="E3383" i="3"/>
  <c r="D3383" i="3"/>
  <c r="E3382" i="3"/>
  <c r="D3382" i="3"/>
  <c r="E3381" i="3"/>
  <c r="D3381" i="3"/>
  <c r="E3380" i="3"/>
  <c r="D3380" i="3"/>
  <c r="E3379" i="3"/>
  <c r="D3379" i="3"/>
  <c r="E3378" i="3"/>
  <c r="D3378" i="3"/>
  <c r="E3377" i="3"/>
  <c r="D3377" i="3"/>
  <c r="E3376" i="3"/>
  <c r="D3376" i="3"/>
  <c r="E3375" i="3"/>
  <c r="D3375" i="3"/>
  <c r="E3374" i="3"/>
  <c r="D3374" i="3"/>
  <c r="E3373" i="3"/>
  <c r="D3373" i="3"/>
  <c r="E3372" i="3"/>
  <c r="D3372" i="3"/>
  <c r="E3371" i="3"/>
  <c r="D3371" i="3"/>
  <c r="E3370" i="3"/>
  <c r="D3370" i="3"/>
  <c r="E3369" i="3"/>
  <c r="D3369" i="3"/>
  <c r="E3368" i="3"/>
  <c r="D3368" i="3"/>
  <c r="E3367" i="3"/>
  <c r="D3367" i="3"/>
  <c r="E3366" i="3"/>
  <c r="D3366" i="3"/>
  <c r="E3365" i="3"/>
  <c r="D3365" i="3"/>
  <c r="E3364" i="3"/>
  <c r="D3364" i="3"/>
  <c r="E3363" i="3"/>
  <c r="D3363" i="3"/>
  <c r="E3362" i="3"/>
  <c r="D3362" i="3"/>
  <c r="E3361" i="3"/>
  <c r="D3361" i="3"/>
  <c r="E3360" i="3"/>
  <c r="D3360" i="3"/>
  <c r="E3359" i="3"/>
  <c r="D3359" i="3"/>
  <c r="E3358" i="3"/>
  <c r="D3358" i="3"/>
  <c r="E3357" i="3"/>
  <c r="D3357" i="3"/>
  <c r="E3356" i="3"/>
  <c r="D3356" i="3"/>
  <c r="E3355" i="3"/>
  <c r="D3355" i="3"/>
  <c r="E3354" i="3"/>
  <c r="D3354" i="3"/>
  <c r="E3353" i="3"/>
  <c r="D3353" i="3"/>
  <c r="E3352" i="3"/>
  <c r="D3352" i="3"/>
  <c r="E3351" i="3"/>
  <c r="D3351" i="3"/>
  <c r="E3350" i="3"/>
  <c r="D3350" i="3"/>
  <c r="E3349" i="3"/>
  <c r="D3349" i="3"/>
  <c r="E3348" i="3"/>
  <c r="D3348" i="3"/>
  <c r="E3347" i="3"/>
  <c r="D3347" i="3"/>
  <c r="E3346" i="3"/>
  <c r="D3346" i="3"/>
  <c r="E3345" i="3"/>
  <c r="D3345" i="3"/>
  <c r="E3344" i="3"/>
  <c r="D3344" i="3"/>
  <c r="E3343" i="3"/>
  <c r="D3343" i="3"/>
  <c r="E3342" i="3"/>
  <c r="D3342" i="3"/>
  <c r="E3341" i="3"/>
  <c r="D3341" i="3"/>
  <c r="E3340" i="3"/>
  <c r="D3340" i="3"/>
  <c r="E3339" i="3"/>
  <c r="D3339" i="3"/>
  <c r="E3338" i="3"/>
  <c r="D3338" i="3"/>
  <c r="E3337" i="3"/>
  <c r="D3337" i="3"/>
  <c r="E3336" i="3"/>
  <c r="D3336" i="3"/>
  <c r="E3335" i="3"/>
  <c r="D3335" i="3"/>
  <c r="E3334" i="3"/>
  <c r="D3334" i="3"/>
  <c r="E3333" i="3"/>
  <c r="D3333" i="3"/>
  <c r="E3332" i="3"/>
  <c r="D3332" i="3"/>
  <c r="E3331" i="3"/>
  <c r="D3331" i="3"/>
  <c r="E3330" i="3"/>
  <c r="D3330" i="3"/>
  <c r="E3329" i="3"/>
  <c r="D3329" i="3"/>
  <c r="E3328" i="3"/>
  <c r="D3328" i="3"/>
  <c r="E3327" i="3"/>
  <c r="D3327" i="3"/>
  <c r="E3326" i="3"/>
  <c r="D3326" i="3"/>
  <c r="E3325" i="3"/>
  <c r="D3325" i="3"/>
  <c r="E3324" i="3"/>
  <c r="D3324" i="3"/>
  <c r="E3323" i="3"/>
  <c r="D3323" i="3"/>
  <c r="E3322" i="3"/>
  <c r="D3322" i="3"/>
  <c r="E3321" i="3"/>
  <c r="D3321" i="3"/>
  <c r="E3320" i="3"/>
  <c r="D3320" i="3"/>
  <c r="E3319" i="3"/>
  <c r="D3319" i="3"/>
  <c r="E3318" i="3"/>
  <c r="D3318" i="3"/>
  <c r="E3317" i="3"/>
  <c r="D3317" i="3"/>
  <c r="E3316" i="3"/>
  <c r="D3316" i="3"/>
  <c r="E3315" i="3"/>
  <c r="D3315" i="3"/>
  <c r="E3314" i="3"/>
  <c r="D3314" i="3"/>
  <c r="E3313" i="3"/>
  <c r="D3313" i="3"/>
  <c r="E3312" i="3"/>
  <c r="D3312" i="3"/>
  <c r="E3311" i="3"/>
  <c r="D3311" i="3"/>
  <c r="E3310" i="3"/>
  <c r="D3310" i="3"/>
  <c r="E3309" i="3"/>
  <c r="D3309" i="3"/>
  <c r="E3308" i="3"/>
  <c r="D3308" i="3"/>
  <c r="E3307" i="3"/>
  <c r="D3307" i="3"/>
  <c r="E3306" i="3"/>
  <c r="D3306" i="3"/>
  <c r="E3305" i="3"/>
  <c r="D3305" i="3"/>
  <c r="E3304" i="3"/>
  <c r="D3304" i="3"/>
  <c r="E3303" i="3"/>
  <c r="D3303" i="3"/>
  <c r="E3302" i="3"/>
  <c r="D3302" i="3"/>
  <c r="E3301" i="3"/>
  <c r="D3301" i="3"/>
  <c r="E3300" i="3"/>
  <c r="D3300" i="3"/>
  <c r="E3299" i="3"/>
  <c r="D3299" i="3"/>
  <c r="E3298" i="3"/>
  <c r="D3298" i="3"/>
  <c r="E3297" i="3"/>
  <c r="D3297" i="3"/>
  <c r="E3296" i="3"/>
  <c r="D3296" i="3"/>
  <c r="E3295" i="3"/>
  <c r="D3295" i="3"/>
  <c r="E3294" i="3"/>
  <c r="D3294" i="3"/>
  <c r="E3293" i="3"/>
  <c r="D3293" i="3"/>
  <c r="E3292" i="3"/>
  <c r="D3292" i="3"/>
  <c r="E3291" i="3"/>
  <c r="D3291" i="3"/>
  <c r="E3290" i="3"/>
  <c r="D3290" i="3"/>
  <c r="E3289" i="3"/>
  <c r="D3289" i="3"/>
  <c r="E3288" i="3"/>
  <c r="D3288" i="3"/>
  <c r="E3287" i="3"/>
  <c r="D3287" i="3"/>
  <c r="E3286" i="3"/>
  <c r="D3286" i="3"/>
  <c r="E3285" i="3"/>
  <c r="D3285" i="3"/>
  <c r="E3284" i="3"/>
  <c r="D3284" i="3"/>
  <c r="E3283" i="3"/>
  <c r="D3283" i="3"/>
  <c r="E3282" i="3"/>
  <c r="D3282" i="3"/>
  <c r="E3281" i="3"/>
  <c r="D3281" i="3"/>
  <c r="E3280" i="3"/>
  <c r="D3280" i="3"/>
  <c r="E3279" i="3"/>
  <c r="D3279" i="3"/>
  <c r="E3278" i="3"/>
  <c r="D3278" i="3"/>
  <c r="E3277" i="3"/>
  <c r="D3277" i="3"/>
  <c r="E3276" i="3"/>
  <c r="D3276" i="3"/>
  <c r="E3275" i="3"/>
  <c r="D3275" i="3"/>
  <c r="E3274" i="3"/>
  <c r="D3274" i="3"/>
  <c r="E3273" i="3"/>
  <c r="D3273" i="3"/>
  <c r="E3272" i="3"/>
  <c r="D3272" i="3"/>
  <c r="E3271" i="3"/>
  <c r="D3271" i="3"/>
  <c r="E3270" i="3"/>
  <c r="D3270" i="3"/>
  <c r="E3269" i="3"/>
  <c r="D3269" i="3"/>
  <c r="E3268" i="3"/>
  <c r="D3268" i="3"/>
  <c r="E3267" i="3"/>
  <c r="D3267" i="3"/>
  <c r="E3266" i="3"/>
  <c r="D3266" i="3"/>
  <c r="E3265" i="3"/>
  <c r="D3265" i="3"/>
  <c r="E3264" i="3"/>
  <c r="D3264" i="3"/>
  <c r="E3263" i="3"/>
  <c r="D3263" i="3"/>
  <c r="E3262" i="3"/>
  <c r="D3262" i="3"/>
  <c r="E3261" i="3"/>
  <c r="D3261" i="3"/>
  <c r="E3260" i="3"/>
  <c r="D3260" i="3"/>
  <c r="E3259" i="3"/>
  <c r="D3259" i="3"/>
  <c r="E3258" i="3"/>
  <c r="D3258" i="3"/>
  <c r="E3257" i="3"/>
  <c r="D3257" i="3"/>
  <c r="E3256" i="3"/>
  <c r="D3256" i="3"/>
  <c r="E3255" i="3"/>
  <c r="D3255" i="3"/>
  <c r="E3254" i="3"/>
  <c r="D3254" i="3"/>
  <c r="E3253" i="3"/>
  <c r="D3253" i="3"/>
  <c r="E3252" i="3"/>
  <c r="D3252" i="3"/>
  <c r="E3251" i="3"/>
  <c r="D3251" i="3"/>
  <c r="E3250" i="3"/>
  <c r="D3250" i="3"/>
  <c r="E3249" i="3"/>
  <c r="D3249" i="3"/>
  <c r="E3248" i="3"/>
  <c r="D3248" i="3"/>
  <c r="E3247" i="3"/>
  <c r="D3247" i="3"/>
  <c r="E3246" i="3"/>
  <c r="D3246" i="3"/>
  <c r="E3245" i="3"/>
  <c r="D3245" i="3"/>
  <c r="E3244" i="3"/>
  <c r="D3244" i="3"/>
  <c r="E3243" i="3"/>
  <c r="D3243" i="3"/>
  <c r="E3242" i="3"/>
  <c r="D3242" i="3"/>
  <c r="E3241" i="3"/>
  <c r="D3241" i="3"/>
  <c r="E3240" i="3"/>
  <c r="D3240" i="3"/>
  <c r="E3239" i="3"/>
  <c r="D3239" i="3"/>
  <c r="E3238" i="3"/>
  <c r="D3238" i="3"/>
  <c r="E3237" i="3"/>
  <c r="D3237" i="3"/>
  <c r="E3236" i="3"/>
  <c r="D3236" i="3"/>
  <c r="E3235" i="3"/>
  <c r="D3235" i="3"/>
  <c r="E3234" i="3"/>
  <c r="D3234" i="3"/>
  <c r="E3233" i="3"/>
  <c r="D3233" i="3"/>
  <c r="E3232" i="3"/>
  <c r="D3232" i="3"/>
  <c r="E3231" i="3"/>
  <c r="D3231" i="3"/>
  <c r="E3230" i="3"/>
  <c r="D3230" i="3"/>
  <c r="E3229" i="3"/>
  <c r="D3229" i="3"/>
  <c r="E3228" i="3"/>
  <c r="D3228" i="3"/>
  <c r="E3227" i="3"/>
  <c r="D3227" i="3"/>
  <c r="E3226" i="3"/>
  <c r="D3226" i="3"/>
  <c r="E3225" i="3"/>
  <c r="D3225" i="3"/>
  <c r="E3224" i="3"/>
  <c r="D3224" i="3"/>
  <c r="E3223" i="3"/>
  <c r="D3223" i="3"/>
  <c r="E3222" i="3"/>
  <c r="D3222" i="3"/>
  <c r="E3221" i="3"/>
  <c r="D3221" i="3"/>
  <c r="E3220" i="3"/>
  <c r="D3220" i="3"/>
  <c r="E3219" i="3"/>
  <c r="D3219" i="3"/>
  <c r="E3218" i="3"/>
  <c r="D3218" i="3"/>
  <c r="E3217" i="3"/>
  <c r="D3217" i="3"/>
  <c r="E3216" i="3"/>
  <c r="D3216" i="3"/>
  <c r="E3215" i="3"/>
  <c r="D3215" i="3"/>
  <c r="E3214" i="3"/>
  <c r="D3214" i="3"/>
  <c r="E3213" i="3"/>
  <c r="D3213" i="3"/>
  <c r="E3212" i="3"/>
  <c r="D3212" i="3"/>
  <c r="E3211" i="3"/>
  <c r="D3211" i="3"/>
  <c r="E3210" i="3"/>
  <c r="D3210" i="3"/>
  <c r="E3209" i="3"/>
  <c r="D3209" i="3"/>
  <c r="E3208" i="3"/>
  <c r="D3208" i="3"/>
  <c r="E3207" i="3"/>
  <c r="D3207" i="3"/>
  <c r="E3206" i="3"/>
  <c r="D3206" i="3"/>
  <c r="E3205" i="3"/>
  <c r="D3205" i="3"/>
  <c r="E3204" i="3"/>
  <c r="D3204" i="3"/>
  <c r="E3203" i="3"/>
  <c r="D3203" i="3"/>
  <c r="E3202" i="3"/>
  <c r="D3202" i="3"/>
  <c r="E3201" i="3"/>
  <c r="D3201" i="3"/>
  <c r="E3200" i="3"/>
  <c r="D3200" i="3"/>
  <c r="E3199" i="3"/>
  <c r="D3199" i="3"/>
  <c r="E3198" i="3"/>
  <c r="D3198" i="3"/>
  <c r="E3197" i="3"/>
  <c r="D3197" i="3"/>
  <c r="E3196" i="3"/>
  <c r="D3196" i="3"/>
  <c r="E3195" i="3"/>
  <c r="D3195" i="3"/>
  <c r="E3194" i="3"/>
  <c r="D3194" i="3"/>
  <c r="E3193" i="3"/>
  <c r="D3193" i="3"/>
  <c r="E3192" i="3"/>
  <c r="D3192" i="3"/>
  <c r="E3191" i="3"/>
  <c r="D3191" i="3"/>
  <c r="E3190" i="3"/>
  <c r="D3190" i="3"/>
  <c r="E3189" i="3"/>
  <c r="D3189" i="3"/>
  <c r="E3188" i="3"/>
  <c r="D3188" i="3"/>
  <c r="E3187" i="3"/>
  <c r="D3187" i="3"/>
  <c r="E3186" i="3"/>
  <c r="D3186" i="3"/>
  <c r="E3185" i="3"/>
  <c r="D3185" i="3"/>
  <c r="E3184" i="3"/>
  <c r="D3184" i="3"/>
  <c r="E3183" i="3"/>
  <c r="D3183" i="3"/>
  <c r="E3182" i="3"/>
  <c r="D3182" i="3"/>
  <c r="E3181" i="3"/>
  <c r="D3181" i="3"/>
  <c r="E3180" i="3"/>
  <c r="D3180" i="3"/>
  <c r="E3179" i="3"/>
  <c r="D3179" i="3"/>
  <c r="E3178" i="3"/>
  <c r="D3178" i="3"/>
  <c r="E3177" i="3"/>
  <c r="D3177" i="3"/>
  <c r="E3176" i="3"/>
  <c r="D3176" i="3"/>
  <c r="E3175" i="3"/>
  <c r="D3175" i="3"/>
  <c r="E3174" i="3"/>
  <c r="D3174" i="3"/>
  <c r="E3173" i="3"/>
  <c r="D3173" i="3"/>
  <c r="E3172" i="3"/>
  <c r="D3172" i="3"/>
  <c r="E3171" i="3"/>
  <c r="D3171" i="3"/>
  <c r="E3170" i="3"/>
  <c r="D3170" i="3"/>
  <c r="E3169" i="3"/>
  <c r="D3169" i="3"/>
  <c r="E3168" i="3"/>
  <c r="D3168" i="3"/>
  <c r="E3167" i="3"/>
  <c r="D3167" i="3"/>
  <c r="E3166" i="3"/>
  <c r="D3166" i="3"/>
  <c r="E3165" i="3"/>
  <c r="D3165" i="3"/>
  <c r="E3164" i="3"/>
  <c r="D3164" i="3"/>
  <c r="E3163" i="3"/>
  <c r="D3163" i="3"/>
  <c r="E3162" i="3"/>
  <c r="D3162" i="3"/>
  <c r="E3161" i="3"/>
  <c r="D3161" i="3"/>
  <c r="E3160" i="3"/>
  <c r="D3160" i="3"/>
  <c r="E3159" i="3"/>
  <c r="D3159" i="3"/>
  <c r="E3158" i="3"/>
  <c r="D3158" i="3"/>
  <c r="E3157" i="3"/>
  <c r="D3157" i="3"/>
  <c r="E3156" i="3"/>
  <c r="D3156" i="3"/>
  <c r="E3155" i="3"/>
  <c r="D3155" i="3"/>
  <c r="E3154" i="3"/>
  <c r="D3154" i="3"/>
  <c r="E3153" i="3"/>
  <c r="D3153" i="3"/>
  <c r="E3152" i="3"/>
  <c r="D3152" i="3"/>
  <c r="E3151" i="3"/>
  <c r="D3151" i="3"/>
  <c r="E3150" i="3"/>
  <c r="D3150" i="3"/>
  <c r="E3149" i="3"/>
  <c r="D3149" i="3"/>
  <c r="E3148" i="3"/>
  <c r="D3148" i="3"/>
  <c r="E3147" i="3"/>
  <c r="D3147" i="3"/>
  <c r="E3146" i="3"/>
  <c r="D3146" i="3"/>
  <c r="E3145" i="3"/>
  <c r="D3145" i="3"/>
  <c r="E3144" i="3"/>
  <c r="D3144" i="3"/>
  <c r="E3143" i="3"/>
  <c r="D3143" i="3"/>
  <c r="E3142" i="3"/>
  <c r="D3142" i="3"/>
  <c r="E3141" i="3"/>
  <c r="D3141" i="3"/>
  <c r="E3140" i="3"/>
  <c r="D3140" i="3"/>
  <c r="E3139" i="3"/>
  <c r="D3139" i="3"/>
  <c r="E3138" i="3"/>
  <c r="D3138" i="3"/>
  <c r="E3137" i="3"/>
  <c r="D3137" i="3"/>
  <c r="E3136" i="3"/>
  <c r="D3136" i="3"/>
  <c r="E3135" i="3"/>
  <c r="D3135" i="3"/>
  <c r="E3134" i="3"/>
  <c r="D3134" i="3"/>
  <c r="E3133" i="3"/>
  <c r="D3133" i="3"/>
  <c r="E3132" i="3"/>
  <c r="D3132" i="3"/>
  <c r="E3131" i="3"/>
  <c r="D3131" i="3"/>
  <c r="E3130" i="3"/>
  <c r="D3130" i="3"/>
  <c r="E3129" i="3"/>
  <c r="D3129" i="3"/>
  <c r="E3128" i="3"/>
  <c r="D3128" i="3"/>
  <c r="E3127" i="3"/>
  <c r="D3127" i="3"/>
  <c r="E3126" i="3"/>
  <c r="D3126" i="3"/>
  <c r="E3125" i="3"/>
  <c r="D3125" i="3"/>
  <c r="E3124" i="3"/>
  <c r="D3124" i="3"/>
  <c r="E3123" i="3"/>
  <c r="D3123" i="3"/>
  <c r="E3122" i="3"/>
  <c r="D3122" i="3"/>
  <c r="E3121" i="3"/>
  <c r="D3121" i="3"/>
  <c r="E3120" i="3"/>
  <c r="D3120" i="3"/>
  <c r="E3119" i="3"/>
  <c r="D3119" i="3"/>
  <c r="E3118" i="3"/>
  <c r="D3118" i="3"/>
  <c r="E3117" i="3"/>
  <c r="D3117" i="3"/>
  <c r="E3116" i="3"/>
  <c r="D3116" i="3"/>
  <c r="E3115" i="3"/>
  <c r="D3115" i="3"/>
  <c r="E3114" i="3"/>
  <c r="D3114" i="3"/>
  <c r="E3113" i="3"/>
  <c r="D3113" i="3"/>
  <c r="E3112" i="3"/>
  <c r="D3112" i="3"/>
  <c r="E3111" i="3"/>
  <c r="D3111" i="3"/>
  <c r="E3110" i="3"/>
  <c r="D3110" i="3"/>
  <c r="E3109" i="3"/>
  <c r="D3109" i="3"/>
  <c r="E3108" i="3"/>
  <c r="D3108" i="3"/>
  <c r="E3107" i="3"/>
  <c r="D3107" i="3"/>
  <c r="E3106" i="3"/>
  <c r="D3106" i="3"/>
  <c r="E3105" i="3"/>
  <c r="D3105" i="3"/>
  <c r="E3104" i="3"/>
  <c r="D3104" i="3"/>
  <c r="E3103" i="3"/>
  <c r="D3103" i="3"/>
  <c r="E3102" i="3"/>
  <c r="D3102" i="3"/>
  <c r="E3101" i="3"/>
  <c r="D3101" i="3"/>
  <c r="E3100" i="3"/>
  <c r="D3100" i="3"/>
  <c r="E3099" i="3"/>
  <c r="D3099" i="3"/>
  <c r="E3098" i="3"/>
  <c r="D3098" i="3"/>
  <c r="E3097" i="3"/>
  <c r="D3097" i="3"/>
  <c r="E3096" i="3"/>
  <c r="D3096" i="3"/>
  <c r="E3095" i="3"/>
  <c r="D3095" i="3"/>
  <c r="E3094" i="3"/>
  <c r="D3094" i="3"/>
  <c r="E3093" i="3"/>
  <c r="D3093" i="3"/>
  <c r="E3092" i="3"/>
  <c r="D3092" i="3"/>
  <c r="E3091" i="3"/>
  <c r="D3091" i="3"/>
  <c r="E3090" i="3"/>
  <c r="D3090" i="3"/>
  <c r="E3089" i="3"/>
  <c r="D3089" i="3"/>
  <c r="E3088" i="3"/>
  <c r="D3088" i="3"/>
  <c r="E3087" i="3"/>
  <c r="D3087" i="3"/>
  <c r="E3086" i="3"/>
  <c r="D3086" i="3"/>
  <c r="E3085" i="3"/>
  <c r="D3085" i="3"/>
  <c r="E3084" i="3"/>
  <c r="D3084" i="3"/>
  <c r="E3083" i="3"/>
  <c r="D3083" i="3"/>
  <c r="E3082" i="3"/>
  <c r="D3082" i="3"/>
  <c r="E3081" i="3"/>
  <c r="D3081" i="3"/>
  <c r="E3080" i="3"/>
  <c r="D3080" i="3"/>
  <c r="E3079" i="3"/>
  <c r="D3079" i="3"/>
  <c r="E3078" i="3"/>
  <c r="D3078" i="3"/>
  <c r="E3077" i="3"/>
  <c r="D3077" i="3"/>
  <c r="E3076" i="3"/>
  <c r="D3076" i="3"/>
  <c r="E3075" i="3"/>
  <c r="D3075" i="3"/>
  <c r="E3074" i="3"/>
  <c r="D3074" i="3"/>
  <c r="E3073" i="3"/>
  <c r="D3073" i="3"/>
  <c r="E3072" i="3"/>
  <c r="D3072" i="3"/>
  <c r="E3071" i="3"/>
  <c r="D3071" i="3"/>
  <c r="E3070" i="3"/>
  <c r="D3070" i="3"/>
  <c r="E3069" i="3"/>
  <c r="D3069" i="3"/>
  <c r="E3068" i="3"/>
  <c r="D3068" i="3"/>
  <c r="E3067" i="3"/>
  <c r="D3067" i="3"/>
  <c r="E3066" i="3"/>
  <c r="D3066" i="3"/>
  <c r="E3065" i="3"/>
  <c r="D3065" i="3"/>
  <c r="E3064" i="3"/>
  <c r="D3064" i="3"/>
  <c r="E3063" i="3"/>
  <c r="D3063" i="3"/>
  <c r="E3062" i="3"/>
  <c r="D3062" i="3"/>
  <c r="E3061" i="3"/>
  <c r="D3061" i="3"/>
  <c r="E3060" i="3"/>
  <c r="D3060" i="3"/>
  <c r="E3059" i="3"/>
  <c r="D3059" i="3"/>
  <c r="E3058" i="3"/>
  <c r="D3058" i="3"/>
  <c r="E3057" i="3"/>
  <c r="D3057" i="3"/>
  <c r="E3056" i="3"/>
  <c r="D3056" i="3"/>
  <c r="E3055" i="3"/>
  <c r="D3055" i="3"/>
  <c r="E3054" i="3"/>
  <c r="D3054" i="3"/>
  <c r="E3053" i="3"/>
  <c r="D3053" i="3"/>
  <c r="E3052" i="3"/>
  <c r="D3052" i="3"/>
  <c r="E3051" i="3"/>
  <c r="D3051" i="3"/>
  <c r="E3050" i="3"/>
  <c r="D3050" i="3"/>
  <c r="E3049" i="3"/>
  <c r="D3049" i="3"/>
  <c r="E3048" i="3"/>
  <c r="D3048" i="3"/>
  <c r="E3047" i="3"/>
  <c r="D3047" i="3"/>
  <c r="E3046" i="3"/>
  <c r="D3046" i="3"/>
  <c r="E3045" i="3"/>
  <c r="D3045" i="3"/>
  <c r="E3044" i="3"/>
  <c r="D3044" i="3"/>
  <c r="E3043" i="3"/>
  <c r="D3043" i="3"/>
  <c r="E3042" i="3"/>
  <c r="D3042" i="3"/>
  <c r="E3041" i="3"/>
  <c r="D3041" i="3"/>
  <c r="E3040" i="3"/>
  <c r="D3040" i="3"/>
  <c r="E3039" i="3"/>
  <c r="D3039" i="3"/>
  <c r="E3038" i="3"/>
  <c r="D3038" i="3"/>
  <c r="E3037" i="3"/>
  <c r="D3037" i="3"/>
  <c r="E3036" i="3"/>
  <c r="D3036" i="3"/>
  <c r="E3035" i="3"/>
  <c r="D3035" i="3"/>
  <c r="E3034" i="3"/>
  <c r="D3034" i="3"/>
  <c r="E3033" i="3"/>
  <c r="D3033" i="3"/>
  <c r="E3032" i="3"/>
  <c r="D3032" i="3"/>
  <c r="E3031" i="3"/>
  <c r="D3031" i="3"/>
  <c r="E3030" i="3"/>
  <c r="D3030" i="3"/>
  <c r="E3029" i="3"/>
  <c r="D3029" i="3"/>
  <c r="E3028" i="3"/>
  <c r="D3028" i="3"/>
  <c r="E3027" i="3"/>
  <c r="D3027" i="3"/>
  <c r="E3026" i="3"/>
  <c r="D3026" i="3"/>
  <c r="E3025" i="3"/>
  <c r="D3025" i="3"/>
  <c r="E3024" i="3"/>
  <c r="D3024" i="3"/>
  <c r="E3023" i="3"/>
  <c r="D3023" i="3"/>
  <c r="E3022" i="3"/>
  <c r="D3022" i="3"/>
  <c r="E3021" i="3"/>
  <c r="D3021" i="3"/>
  <c r="E3020" i="3"/>
  <c r="D3020" i="3"/>
  <c r="E3019" i="3"/>
  <c r="D3019" i="3"/>
  <c r="E3018" i="3"/>
  <c r="D3018" i="3"/>
  <c r="E3017" i="3"/>
  <c r="D3017" i="3"/>
  <c r="E3016" i="3"/>
  <c r="D3016" i="3"/>
  <c r="E3015" i="3"/>
  <c r="D3015" i="3"/>
  <c r="E3014" i="3"/>
  <c r="D3014" i="3"/>
  <c r="E3013" i="3"/>
  <c r="D3013" i="3"/>
  <c r="E3012" i="3"/>
  <c r="D3012" i="3"/>
  <c r="E3011" i="3"/>
  <c r="D3011" i="3"/>
  <c r="E3010" i="3"/>
  <c r="D3010" i="3"/>
  <c r="E3009" i="3"/>
  <c r="D3009" i="3"/>
  <c r="E3008" i="3"/>
  <c r="D3008" i="3"/>
  <c r="E3007" i="3"/>
  <c r="D3007" i="3"/>
  <c r="E3006" i="3"/>
  <c r="D3006" i="3"/>
  <c r="E3005" i="3"/>
  <c r="D3005" i="3"/>
  <c r="E3004" i="3"/>
  <c r="D3004" i="3"/>
  <c r="E3003" i="3"/>
  <c r="D3003" i="3"/>
  <c r="E3002" i="3"/>
  <c r="D3002" i="3"/>
  <c r="E3001" i="3"/>
  <c r="D3001" i="3"/>
  <c r="E3000" i="3"/>
  <c r="D3000" i="3"/>
  <c r="E2999" i="3"/>
  <c r="D2999" i="3"/>
  <c r="E2998" i="3"/>
  <c r="D2998" i="3"/>
  <c r="E2997" i="3"/>
  <c r="D2997" i="3"/>
  <c r="E2996" i="3"/>
  <c r="D2996" i="3"/>
  <c r="E2995" i="3"/>
  <c r="D2995" i="3"/>
  <c r="E2994" i="3"/>
  <c r="D2994" i="3"/>
  <c r="E2993" i="3"/>
  <c r="D2993" i="3"/>
  <c r="E2992" i="3"/>
  <c r="D2992" i="3"/>
  <c r="E2991" i="3"/>
  <c r="D2991" i="3"/>
  <c r="E2990" i="3"/>
  <c r="D2990" i="3"/>
  <c r="E2989" i="3"/>
  <c r="D2989" i="3"/>
  <c r="E2988" i="3"/>
  <c r="D2988" i="3"/>
  <c r="E2987" i="3"/>
  <c r="D2987" i="3"/>
  <c r="E2986" i="3"/>
  <c r="D2986" i="3"/>
  <c r="E2985" i="3"/>
  <c r="D2985" i="3"/>
  <c r="E2984" i="3"/>
  <c r="D2984" i="3"/>
  <c r="E2983" i="3"/>
  <c r="D2983" i="3"/>
  <c r="E2982" i="3"/>
  <c r="D2982" i="3"/>
  <c r="E2981" i="3"/>
  <c r="D2981" i="3"/>
  <c r="E2980" i="3"/>
  <c r="D2980" i="3"/>
  <c r="E2979" i="3"/>
  <c r="D2979" i="3"/>
  <c r="E2978" i="3"/>
  <c r="D2978" i="3"/>
  <c r="E2977" i="3"/>
  <c r="D2977" i="3"/>
  <c r="E2976" i="3"/>
  <c r="D2976" i="3"/>
  <c r="E2975" i="3"/>
  <c r="D2975" i="3"/>
  <c r="E2974" i="3"/>
  <c r="D2974" i="3"/>
  <c r="E2973" i="3"/>
  <c r="D2973" i="3"/>
  <c r="E2972" i="3"/>
  <c r="D2972" i="3"/>
  <c r="E2971" i="3"/>
  <c r="D2971" i="3"/>
  <c r="E2970" i="3"/>
  <c r="D2970" i="3"/>
  <c r="E2969" i="3"/>
  <c r="D2969" i="3"/>
  <c r="E2968" i="3"/>
  <c r="D2968" i="3"/>
  <c r="E2967" i="3"/>
  <c r="D2967" i="3"/>
  <c r="E2966" i="3"/>
  <c r="D2966" i="3"/>
  <c r="E2965" i="3"/>
  <c r="D2965" i="3"/>
  <c r="E2964" i="3"/>
  <c r="D2964" i="3"/>
  <c r="E2963" i="3"/>
  <c r="D2963" i="3"/>
  <c r="E2962" i="3"/>
  <c r="D2962" i="3"/>
  <c r="E2961" i="3"/>
  <c r="D2961" i="3"/>
  <c r="E2960" i="3"/>
  <c r="D2960" i="3"/>
  <c r="E2959" i="3"/>
  <c r="D2959" i="3"/>
  <c r="E2958" i="3"/>
  <c r="D2958" i="3"/>
  <c r="E2957" i="3"/>
  <c r="D2957" i="3"/>
  <c r="E2956" i="3"/>
  <c r="D2956" i="3"/>
  <c r="E2955" i="3"/>
  <c r="D2955" i="3"/>
  <c r="E2954" i="3"/>
  <c r="D2954" i="3"/>
  <c r="E2953" i="3"/>
  <c r="D2953" i="3"/>
  <c r="E2952" i="3"/>
  <c r="D2952" i="3"/>
  <c r="E2951" i="3"/>
  <c r="D2951" i="3"/>
  <c r="E2950" i="3"/>
  <c r="D2950" i="3"/>
  <c r="E2949" i="3"/>
  <c r="D2949" i="3"/>
  <c r="E2948" i="3"/>
  <c r="D2948" i="3"/>
  <c r="E2947" i="3"/>
  <c r="D2947" i="3"/>
  <c r="E2946" i="3"/>
  <c r="D2946" i="3"/>
  <c r="E2945" i="3"/>
  <c r="D2945" i="3"/>
  <c r="E2944" i="3"/>
  <c r="D2944" i="3"/>
  <c r="E2943" i="3"/>
  <c r="D2943" i="3"/>
  <c r="E2942" i="3"/>
  <c r="D2942" i="3"/>
  <c r="E2941" i="3"/>
  <c r="D2941" i="3"/>
  <c r="E2940" i="3"/>
  <c r="D2940" i="3"/>
  <c r="E2939" i="3"/>
  <c r="D2939" i="3"/>
  <c r="E2938" i="3"/>
  <c r="D2938" i="3"/>
  <c r="E2937" i="3"/>
  <c r="D2937" i="3"/>
  <c r="E2936" i="3"/>
  <c r="D2936" i="3"/>
  <c r="E2935" i="3"/>
  <c r="D2935" i="3"/>
  <c r="E2934" i="3"/>
  <c r="D2934" i="3"/>
  <c r="E2933" i="3"/>
  <c r="D2933" i="3"/>
  <c r="E2932" i="3"/>
  <c r="D2932" i="3"/>
  <c r="E2931" i="3"/>
  <c r="D2931" i="3"/>
  <c r="E2930" i="3"/>
  <c r="D2930" i="3"/>
  <c r="E2929" i="3"/>
  <c r="D2929" i="3"/>
  <c r="E2928" i="3"/>
  <c r="D2928" i="3"/>
  <c r="E2927" i="3"/>
  <c r="D2927" i="3"/>
  <c r="E2926" i="3"/>
  <c r="D2926" i="3"/>
  <c r="E2925" i="3"/>
  <c r="D2925" i="3"/>
  <c r="E2924" i="3"/>
  <c r="D2924" i="3"/>
  <c r="E2923" i="3"/>
  <c r="D2923" i="3"/>
  <c r="E2922" i="3"/>
  <c r="D2922" i="3"/>
  <c r="E2921" i="3"/>
  <c r="D2921" i="3"/>
  <c r="E2920" i="3"/>
  <c r="D2920" i="3"/>
  <c r="E2919" i="3"/>
  <c r="D2919" i="3"/>
  <c r="E2918" i="3"/>
  <c r="D2918" i="3"/>
  <c r="E2917" i="3"/>
  <c r="D2917" i="3"/>
  <c r="E2916" i="3"/>
  <c r="D2916" i="3"/>
  <c r="E2915" i="3"/>
  <c r="D2915" i="3"/>
  <c r="E2914" i="3"/>
  <c r="D2914" i="3"/>
  <c r="E2913" i="3"/>
  <c r="D2913" i="3"/>
  <c r="E2912" i="3"/>
  <c r="D2912" i="3"/>
  <c r="E2911" i="3"/>
  <c r="D2911" i="3"/>
  <c r="E2910" i="3"/>
  <c r="D2910" i="3"/>
  <c r="E2909" i="3"/>
  <c r="D2909" i="3"/>
  <c r="E2908" i="3"/>
  <c r="D2908" i="3"/>
  <c r="E2907" i="3"/>
  <c r="D2907" i="3"/>
  <c r="E2906" i="3"/>
  <c r="D2906" i="3"/>
  <c r="E2905" i="3"/>
  <c r="D2905" i="3"/>
  <c r="E2904" i="3"/>
  <c r="D2904" i="3"/>
  <c r="E2903" i="3"/>
  <c r="D2903" i="3"/>
  <c r="E2902" i="3"/>
  <c r="D2902" i="3"/>
  <c r="E2901" i="3"/>
  <c r="D2901" i="3"/>
  <c r="E2900" i="3"/>
  <c r="D2900" i="3"/>
  <c r="E2899" i="3"/>
  <c r="D2899" i="3"/>
  <c r="E2898" i="3"/>
  <c r="D2898" i="3"/>
  <c r="E2897" i="3"/>
  <c r="D2897" i="3"/>
  <c r="E2896" i="3"/>
  <c r="D2896" i="3"/>
  <c r="E2895" i="3"/>
  <c r="D2895" i="3"/>
  <c r="E2894" i="3"/>
  <c r="D2894" i="3"/>
  <c r="E2893" i="3"/>
  <c r="D2893" i="3"/>
  <c r="E2892" i="3"/>
  <c r="D2892" i="3"/>
  <c r="E2891" i="3"/>
  <c r="D2891" i="3"/>
  <c r="E2890" i="3"/>
  <c r="D2890" i="3"/>
  <c r="E2889" i="3"/>
  <c r="D2889" i="3"/>
  <c r="E2888" i="3"/>
  <c r="D2888" i="3"/>
  <c r="E2887" i="3"/>
  <c r="D2887" i="3"/>
  <c r="E2886" i="3"/>
  <c r="D2886" i="3"/>
  <c r="E2885" i="3"/>
  <c r="D2885" i="3"/>
  <c r="E2884" i="3"/>
  <c r="D2884" i="3"/>
  <c r="E2883" i="3"/>
  <c r="D2883" i="3"/>
  <c r="E2882" i="3"/>
  <c r="D2882" i="3"/>
  <c r="E2881" i="3"/>
  <c r="D2881" i="3"/>
  <c r="E2880" i="3"/>
  <c r="D2880" i="3"/>
  <c r="E2879" i="3"/>
  <c r="D2879" i="3"/>
  <c r="E2878" i="3"/>
  <c r="D2878" i="3"/>
  <c r="E2877" i="3"/>
  <c r="D2877" i="3"/>
  <c r="E2876" i="3"/>
  <c r="D2876" i="3"/>
  <c r="E2875" i="3"/>
  <c r="D2875" i="3"/>
  <c r="E2874" i="3"/>
  <c r="D2874" i="3"/>
  <c r="E2873" i="3"/>
  <c r="D2873" i="3"/>
  <c r="E2872" i="3"/>
  <c r="D2872" i="3"/>
  <c r="E2871" i="3"/>
  <c r="D2871" i="3"/>
  <c r="E2870" i="3"/>
  <c r="D2870" i="3"/>
  <c r="E2869" i="3"/>
  <c r="D2869" i="3"/>
  <c r="E2868" i="3"/>
  <c r="D2868" i="3"/>
  <c r="E2867" i="3"/>
  <c r="D2867" i="3"/>
  <c r="E2866" i="3"/>
  <c r="D2866" i="3"/>
  <c r="E2865" i="3"/>
  <c r="D2865" i="3"/>
  <c r="E2864" i="3"/>
  <c r="D2864" i="3"/>
  <c r="E2863" i="3"/>
  <c r="D2863" i="3"/>
  <c r="E2862" i="3"/>
  <c r="D2862" i="3"/>
  <c r="E2861" i="3"/>
  <c r="D2861" i="3"/>
  <c r="E2860" i="3"/>
  <c r="D2860" i="3"/>
  <c r="E2859" i="3"/>
  <c r="D2859" i="3"/>
  <c r="E2858" i="3"/>
  <c r="D2858" i="3"/>
  <c r="E2857" i="3"/>
  <c r="D2857" i="3"/>
  <c r="E2856" i="3"/>
  <c r="D2856" i="3"/>
  <c r="E2855" i="3"/>
  <c r="D2855" i="3"/>
  <c r="E2854" i="3"/>
  <c r="D2854" i="3"/>
  <c r="E2853" i="3"/>
  <c r="D2853" i="3"/>
  <c r="E2852" i="3"/>
  <c r="D2852" i="3"/>
  <c r="E2851" i="3"/>
  <c r="D2851" i="3"/>
  <c r="E2850" i="3"/>
  <c r="D2850" i="3"/>
  <c r="E2849" i="3"/>
  <c r="D2849" i="3"/>
  <c r="E2848" i="3"/>
  <c r="D2848" i="3"/>
  <c r="E2847" i="3"/>
  <c r="D2847" i="3"/>
  <c r="E2846" i="3"/>
  <c r="D2846" i="3"/>
  <c r="E2845" i="3"/>
  <c r="D2845" i="3"/>
  <c r="E2844" i="3"/>
  <c r="D2844" i="3"/>
  <c r="E2843" i="3"/>
  <c r="D2843" i="3"/>
  <c r="E2842" i="3"/>
  <c r="D2842" i="3"/>
  <c r="E2841" i="3"/>
  <c r="D2841" i="3"/>
  <c r="E2840" i="3"/>
  <c r="D2840" i="3"/>
  <c r="E2839" i="3"/>
  <c r="D2839" i="3"/>
  <c r="E2838" i="3"/>
  <c r="D2838" i="3"/>
  <c r="E2837" i="3"/>
  <c r="D2837" i="3"/>
  <c r="E2836" i="3"/>
  <c r="D2836" i="3"/>
  <c r="E2835" i="3"/>
  <c r="D2835" i="3"/>
  <c r="E2834" i="3"/>
  <c r="D2834" i="3"/>
  <c r="E2833" i="3"/>
  <c r="D2833" i="3"/>
  <c r="E2832" i="3"/>
  <c r="D2832" i="3"/>
  <c r="E2831" i="3"/>
  <c r="D2831" i="3"/>
  <c r="E2830" i="3"/>
  <c r="D2830" i="3"/>
  <c r="E2829" i="3"/>
  <c r="D2829" i="3"/>
  <c r="E2828" i="3"/>
  <c r="D2828" i="3"/>
  <c r="E2827" i="3"/>
  <c r="D2827" i="3"/>
  <c r="E2826" i="3"/>
  <c r="D2826" i="3"/>
  <c r="E2825" i="3"/>
  <c r="D2825" i="3"/>
  <c r="E2824" i="3"/>
  <c r="D2824" i="3"/>
  <c r="E2823" i="3"/>
  <c r="D2823" i="3"/>
  <c r="E2822" i="3"/>
  <c r="D2822" i="3"/>
  <c r="E2821" i="3"/>
  <c r="D2821" i="3"/>
  <c r="E2820" i="3"/>
  <c r="D2820" i="3"/>
  <c r="E2819" i="3"/>
  <c r="D2819" i="3"/>
  <c r="E2818" i="3"/>
  <c r="D2818" i="3"/>
  <c r="E2817" i="3"/>
  <c r="D2817" i="3"/>
  <c r="E2816" i="3"/>
  <c r="D2816" i="3"/>
  <c r="E2815" i="3"/>
  <c r="D2815" i="3"/>
  <c r="E2814" i="3"/>
  <c r="D2814" i="3"/>
  <c r="E2813" i="3"/>
  <c r="D2813" i="3"/>
  <c r="E2812" i="3"/>
  <c r="D2812" i="3"/>
  <c r="E2811" i="3"/>
  <c r="D2811" i="3"/>
  <c r="E2810" i="3"/>
  <c r="D2810" i="3"/>
  <c r="E2809" i="3"/>
  <c r="D2809" i="3"/>
  <c r="E2808" i="3"/>
  <c r="D2808" i="3"/>
  <c r="E2807" i="3"/>
  <c r="D2807" i="3"/>
  <c r="E2806" i="3"/>
  <c r="D2806" i="3"/>
  <c r="E2805" i="3"/>
  <c r="D2805" i="3"/>
  <c r="E2804" i="3"/>
  <c r="D2804" i="3"/>
  <c r="E2803" i="3"/>
  <c r="D2803" i="3"/>
  <c r="E2802" i="3"/>
  <c r="D2802" i="3"/>
  <c r="E2801" i="3"/>
  <c r="D2801" i="3"/>
  <c r="E2800" i="3"/>
  <c r="D2800" i="3"/>
  <c r="E2799" i="3"/>
  <c r="D2799" i="3"/>
  <c r="E2798" i="3"/>
  <c r="D2798" i="3"/>
  <c r="E2797" i="3"/>
  <c r="D2797" i="3"/>
  <c r="E2796" i="3"/>
  <c r="D2796" i="3"/>
  <c r="E2795" i="3"/>
  <c r="D2795" i="3"/>
  <c r="E2794" i="3"/>
  <c r="D2794" i="3"/>
  <c r="E2793" i="3"/>
  <c r="D2793" i="3"/>
  <c r="E2792" i="3"/>
  <c r="D2792" i="3"/>
  <c r="E2791" i="3"/>
  <c r="D2791" i="3"/>
  <c r="E2790" i="3"/>
  <c r="D2790" i="3"/>
  <c r="E2789" i="3"/>
  <c r="D2789" i="3"/>
  <c r="E2788" i="3"/>
  <c r="D2788" i="3"/>
  <c r="E2787" i="3"/>
  <c r="D2787" i="3"/>
  <c r="E2786" i="3"/>
  <c r="D2786" i="3"/>
  <c r="E2785" i="3"/>
  <c r="D2785" i="3"/>
  <c r="E2784" i="3"/>
  <c r="D2784" i="3"/>
  <c r="E2783" i="3"/>
  <c r="D2783" i="3"/>
  <c r="E2782" i="3"/>
  <c r="D2782" i="3"/>
  <c r="E2781" i="3"/>
  <c r="D2781" i="3"/>
  <c r="E2780" i="3"/>
  <c r="D2780" i="3"/>
  <c r="E2779" i="3"/>
  <c r="D2779" i="3"/>
  <c r="E2778" i="3"/>
  <c r="D2778" i="3"/>
  <c r="E2777" i="3"/>
  <c r="D2777" i="3"/>
  <c r="E2776" i="3"/>
  <c r="D2776" i="3"/>
  <c r="E2775" i="3"/>
  <c r="D2775" i="3"/>
  <c r="E2774" i="3"/>
  <c r="D2774" i="3"/>
  <c r="E2773" i="3"/>
  <c r="D2773" i="3"/>
  <c r="E2772" i="3"/>
  <c r="D2772" i="3"/>
  <c r="E2771" i="3"/>
  <c r="D2771" i="3"/>
  <c r="E2770" i="3"/>
  <c r="D2770" i="3"/>
  <c r="E2769" i="3"/>
  <c r="D2769" i="3"/>
  <c r="E2768" i="3"/>
  <c r="D2768" i="3"/>
  <c r="E2767" i="3"/>
  <c r="D2767" i="3"/>
  <c r="E2766" i="3"/>
  <c r="D2766" i="3"/>
  <c r="E2765" i="3"/>
  <c r="D2765" i="3"/>
  <c r="E2764" i="3"/>
  <c r="D2764" i="3"/>
  <c r="E2763" i="3"/>
  <c r="D2763" i="3"/>
  <c r="E2762" i="3"/>
  <c r="D2762" i="3"/>
  <c r="E2761" i="3"/>
  <c r="D2761" i="3"/>
  <c r="E2760" i="3"/>
  <c r="D2760" i="3"/>
  <c r="E2759" i="3"/>
  <c r="D2759" i="3"/>
  <c r="E2758" i="3"/>
  <c r="D2758" i="3"/>
  <c r="E2757" i="3"/>
  <c r="D2757" i="3"/>
  <c r="E2756" i="3"/>
  <c r="D2756" i="3"/>
  <c r="E2755" i="3"/>
  <c r="D2755" i="3"/>
  <c r="E2754" i="3"/>
  <c r="D2754" i="3"/>
  <c r="E2753" i="3"/>
  <c r="D2753" i="3"/>
  <c r="E2752" i="3"/>
  <c r="D2752" i="3"/>
  <c r="E2751" i="3"/>
  <c r="D2751" i="3"/>
  <c r="E2750" i="3"/>
  <c r="D2750" i="3"/>
  <c r="E2749" i="3"/>
  <c r="D2749" i="3"/>
  <c r="E2748" i="3"/>
  <c r="D2748" i="3"/>
  <c r="E2747" i="3"/>
  <c r="D2747" i="3"/>
  <c r="E2746" i="3"/>
  <c r="D2746" i="3"/>
  <c r="E2745" i="3"/>
  <c r="D2745" i="3"/>
  <c r="E2744" i="3"/>
  <c r="D2744" i="3"/>
  <c r="E2743" i="3"/>
  <c r="D2743" i="3"/>
  <c r="E2742" i="3"/>
  <c r="D2742" i="3"/>
  <c r="E2741" i="3"/>
  <c r="D2741" i="3"/>
  <c r="E2740" i="3"/>
  <c r="D2740" i="3"/>
  <c r="E2739" i="3"/>
  <c r="D2739" i="3"/>
  <c r="E2738" i="3"/>
  <c r="D2738" i="3"/>
  <c r="E2737" i="3"/>
  <c r="D2737" i="3"/>
  <c r="E2736" i="3"/>
  <c r="D2736" i="3"/>
  <c r="E2735" i="3"/>
  <c r="D2735" i="3"/>
  <c r="E2734" i="3"/>
  <c r="D2734" i="3"/>
  <c r="E2733" i="3"/>
  <c r="D2733" i="3"/>
  <c r="E2732" i="3"/>
  <c r="D2732" i="3"/>
  <c r="E2731" i="3"/>
  <c r="D2731" i="3"/>
  <c r="E2730" i="3"/>
  <c r="D2730" i="3"/>
  <c r="E2729" i="3"/>
  <c r="D2729" i="3"/>
  <c r="E2728" i="3"/>
  <c r="D2728" i="3"/>
  <c r="E2727" i="3"/>
  <c r="D2727" i="3"/>
  <c r="E2726" i="3"/>
  <c r="D2726" i="3"/>
  <c r="E2725" i="3"/>
  <c r="D2725" i="3"/>
  <c r="E2724" i="3"/>
  <c r="D2724" i="3"/>
  <c r="E2723" i="3"/>
  <c r="D2723" i="3"/>
  <c r="E2722" i="3"/>
  <c r="D2722" i="3"/>
  <c r="E2721" i="3"/>
  <c r="D2721" i="3"/>
  <c r="E2720" i="3"/>
  <c r="D2720" i="3"/>
  <c r="E2719" i="3"/>
  <c r="D2719" i="3"/>
  <c r="E2718" i="3"/>
  <c r="D2718" i="3"/>
  <c r="E2717" i="3"/>
  <c r="D2717" i="3"/>
  <c r="E2716" i="3"/>
  <c r="D2716" i="3"/>
  <c r="E2715" i="3"/>
  <c r="D2715" i="3"/>
  <c r="E2714" i="3"/>
  <c r="D2714" i="3"/>
  <c r="E2713" i="3"/>
  <c r="D2713" i="3"/>
  <c r="E2712" i="3"/>
  <c r="D2712" i="3"/>
  <c r="E2711" i="3"/>
  <c r="D2711" i="3"/>
  <c r="E2710" i="3"/>
  <c r="D2710" i="3"/>
  <c r="E2709" i="3"/>
  <c r="D2709" i="3"/>
  <c r="E2708" i="3"/>
  <c r="D2708" i="3"/>
  <c r="E2707" i="3"/>
  <c r="D2707" i="3"/>
  <c r="E2706" i="3"/>
  <c r="D2706" i="3"/>
  <c r="E2705" i="3"/>
  <c r="D2705" i="3"/>
  <c r="E2704" i="3"/>
  <c r="D2704" i="3"/>
  <c r="E2703" i="3"/>
  <c r="D2703" i="3"/>
  <c r="E2702" i="3"/>
  <c r="D2702" i="3"/>
  <c r="E2701" i="3"/>
  <c r="D2701" i="3"/>
  <c r="E2700" i="3"/>
  <c r="D2700" i="3"/>
  <c r="E2699" i="3"/>
  <c r="D2699" i="3"/>
  <c r="E2698" i="3"/>
  <c r="D2698" i="3"/>
  <c r="E2697" i="3"/>
  <c r="D2697" i="3"/>
  <c r="E2696" i="3"/>
  <c r="D2696" i="3"/>
  <c r="E2695" i="3"/>
  <c r="D2695" i="3"/>
  <c r="E2694" i="3"/>
  <c r="D2694" i="3"/>
  <c r="E2693" i="3"/>
  <c r="D2693" i="3"/>
  <c r="E2692" i="3"/>
  <c r="D2692" i="3"/>
  <c r="E2691" i="3"/>
  <c r="D2691" i="3"/>
  <c r="E2690" i="3"/>
  <c r="D2690" i="3"/>
  <c r="E2689" i="3"/>
  <c r="D2689" i="3"/>
  <c r="E2688" i="3"/>
  <c r="D2688" i="3"/>
  <c r="E2687" i="3"/>
  <c r="D2687" i="3"/>
  <c r="E2686" i="3"/>
  <c r="D2686" i="3"/>
  <c r="E2685" i="3"/>
  <c r="D2685" i="3"/>
  <c r="E2684" i="3"/>
  <c r="D2684" i="3"/>
  <c r="E2683" i="3"/>
  <c r="D2683" i="3"/>
  <c r="E2682" i="3"/>
  <c r="D2682" i="3"/>
  <c r="E2681" i="3"/>
  <c r="D2681" i="3"/>
  <c r="E2680" i="3"/>
  <c r="D2680" i="3"/>
  <c r="E2679" i="3"/>
  <c r="D2679" i="3"/>
  <c r="E2678" i="3"/>
  <c r="D2678" i="3"/>
  <c r="E2677" i="3"/>
  <c r="D2677" i="3"/>
  <c r="E2676" i="3"/>
  <c r="D2676" i="3"/>
  <c r="E2675" i="3"/>
  <c r="D2675" i="3"/>
  <c r="E2674" i="3"/>
  <c r="D2674" i="3"/>
  <c r="E2673" i="3"/>
  <c r="D2673" i="3"/>
  <c r="E2672" i="3"/>
  <c r="D2672" i="3"/>
  <c r="E2671" i="3"/>
  <c r="D2671" i="3"/>
  <c r="E2670" i="3"/>
  <c r="D2670" i="3"/>
  <c r="E2669" i="3"/>
  <c r="D2669" i="3"/>
  <c r="E2668" i="3"/>
  <c r="D2668" i="3"/>
  <c r="E2667" i="3"/>
  <c r="D2667" i="3"/>
  <c r="E2666" i="3"/>
  <c r="D2666" i="3"/>
  <c r="E2665" i="3"/>
  <c r="D2665" i="3"/>
  <c r="E2664" i="3"/>
  <c r="D2664" i="3"/>
  <c r="E2663" i="3"/>
  <c r="D2663" i="3"/>
  <c r="E2662" i="3"/>
  <c r="D2662" i="3"/>
  <c r="E2661" i="3"/>
  <c r="D2661" i="3"/>
  <c r="E2660" i="3"/>
  <c r="D2660" i="3"/>
  <c r="E2659" i="3"/>
  <c r="D2659" i="3"/>
  <c r="E2658" i="3"/>
  <c r="D2658" i="3"/>
  <c r="E2657" i="3"/>
  <c r="D2657" i="3"/>
  <c r="E2656" i="3"/>
  <c r="D2656" i="3"/>
  <c r="E2655" i="3"/>
  <c r="D2655" i="3"/>
  <c r="E2654" i="3"/>
  <c r="D2654" i="3"/>
  <c r="E2653" i="3"/>
  <c r="D2653" i="3"/>
  <c r="E2652" i="3"/>
  <c r="D2652" i="3"/>
  <c r="E2651" i="3"/>
  <c r="D2651" i="3"/>
  <c r="E2650" i="3"/>
  <c r="D2650" i="3"/>
  <c r="E2649" i="3"/>
  <c r="D2649" i="3"/>
  <c r="E2648" i="3"/>
  <c r="D2648" i="3"/>
  <c r="E2647" i="3"/>
  <c r="D2647" i="3"/>
  <c r="E2646" i="3"/>
  <c r="D2646" i="3"/>
  <c r="E2645" i="3"/>
  <c r="D2645" i="3"/>
  <c r="E2644" i="3"/>
  <c r="D2644" i="3"/>
  <c r="E2643" i="3"/>
  <c r="D2643" i="3"/>
  <c r="E2642" i="3"/>
  <c r="D2642" i="3"/>
  <c r="E2641" i="3"/>
  <c r="D2641" i="3"/>
  <c r="E2640" i="3"/>
  <c r="D2640" i="3"/>
  <c r="E2639" i="3"/>
  <c r="D2639" i="3"/>
  <c r="E2638" i="3"/>
  <c r="D2638" i="3"/>
  <c r="E2637" i="3"/>
  <c r="D2637" i="3"/>
  <c r="E2636" i="3"/>
  <c r="D2636" i="3"/>
  <c r="E2635" i="3"/>
  <c r="D2635" i="3"/>
  <c r="E2634" i="3"/>
  <c r="D2634" i="3"/>
  <c r="E2633" i="3"/>
  <c r="D2633" i="3"/>
  <c r="E2632" i="3"/>
  <c r="D2632" i="3"/>
  <c r="E2631" i="3"/>
  <c r="D2631" i="3"/>
  <c r="E2630" i="3"/>
  <c r="D2630" i="3"/>
  <c r="E2629" i="3"/>
  <c r="D2629" i="3"/>
  <c r="E2628" i="3"/>
  <c r="D2628" i="3"/>
  <c r="E2627" i="3"/>
  <c r="D2627" i="3"/>
  <c r="E2626" i="3"/>
  <c r="D2626" i="3"/>
  <c r="E2625" i="3"/>
  <c r="D2625" i="3"/>
  <c r="E2624" i="3"/>
  <c r="D2624" i="3"/>
  <c r="E2623" i="3"/>
  <c r="D2623" i="3"/>
  <c r="E2622" i="3"/>
  <c r="D2622" i="3"/>
  <c r="E2621" i="3"/>
  <c r="D2621" i="3"/>
  <c r="E2620" i="3"/>
  <c r="D2620" i="3"/>
  <c r="E2619" i="3"/>
  <c r="D2619" i="3"/>
  <c r="E2618" i="3"/>
  <c r="D2618" i="3"/>
  <c r="E2617" i="3"/>
  <c r="D2617" i="3"/>
  <c r="E2616" i="3"/>
  <c r="D2616" i="3"/>
  <c r="E2615" i="3"/>
  <c r="D2615" i="3"/>
  <c r="E2614" i="3"/>
  <c r="D2614" i="3"/>
  <c r="E2613" i="3"/>
  <c r="D2613" i="3"/>
  <c r="E2612" i="3"/>
  <c r="D2612" i="3"/>
  <c r="E2611" i="3"/>
  <c r="D2611" i="3"/>
  <c r="E2610" i="3"/>
  <c r="D2610" i="3"/>
  <c r="E2609" i="3"/>
  <c r="D2609" i="3"/>
  <c r="E2608" i="3"/>
  <c r="D2608" i="3"/>
  <c r="E2607" i="3"/>
  <c r="D2607" i="3"/>
  <c r="E2606" i="3"/>
  <c r="D2606" i="3"/>
  <c r="E2605" i="3"/>
  <c r="D2605" i="3"/>
  <c r="E2604" i="3"/>
  <c r="D2604" i="3"/>
  <c r="E2603" i="3"/>
  <c r="D2603" i="3"/>
  <c r="E2602" i="3"/>
  <c r="D2602" i="3"/>
  <c r="E2601" i="3"/>
  <c r="D2601" i="3"/>
  <c r="E2600" i="3"/>
  <c r="D2600" i="3"/>
  <c r="E2599" i="3"/>
  <c r="D2599" i="3"/>
  <c r="E2598" i="3"/>
  <c r="D2598" i="3"/>
  <c r="E2597" i="3"/>
  <c r="D2597" i="3"/>
  <c r="E2596" i="3"/>
  <c r="D2596" i="3"/>
  <c r="E2595" i="3"/>
  <c r="D2595" i="3"/>
  <c r="E2594" i="3"/>
  <c r="D2594" i="3"/>
  <c r="E2593" i="3"/>
  <c r="D2593" i="3"/>
  <c r="E2592" i="3"/>
  <c r="D2592" i="3"/>
  <c r="E2591" i="3"/>
  <c r="D2591" i="3"/>
  <c r="E2590" i="3"/>
  <c r="D2590" i="3"/>
  <c r="E2589" i="3"/>
  <c r="D2589" i="3"/>
  <c r="E2588" i="3"/>
  <c r="D2588" i="3"/>
  <c r="E2587" i="3"/>
  <c r="D2587" i="3"/>
  <c r="E2586" i="3"/>
  <c r="D2586" i="3"/>
  <c r="E2585" i="3"/>
  <c r="D2585" i="3"/>
  <c r="E2584" i="3"/>
  <c r="D2584" i="3"/>
  <c r="E2583" i="3"/>
  <c r="D2583" i="3"/>
  <c r="E2582" i="3"/>
  <c r="D2582" i="3"/>
  <c r="E2581" i="3"/>
  <c r="D2581" i="3"/>
  <c r="E2580" i="3"/>
  <c r="D2580" i="3"/>
  <c r="E2579" i="3"/>
  <c r="D2579" i="3"/>
  <c r="E2578" i="3"/>
  <c r="D2578" i="3"/>
  <c r="E2577" i="3"/>
  <c r="D2577" i="3"/>
  <c r="E2576" i="3"/>
  <c r="D2576" i="3"/>
  <c r="E2575" i="3"/>
  <c r="D2575" i="3"/>
  <c r="E2574" i="3"/>
  <c r="D2574" i="3"/>
  <c r="E2573" i="3"/>
  <c r="D2573" i="3"/>
  <c r="E2572" i="3"/>
  <c r="D2572" i="3"/>
  <c r="E2571" i="3"/>
  <c r="D2571" i="3"/>
  <c r="E2570" i="3"/>
  <c r="D2570" i="3"/>
  <c r="E2569" i="3"/>
  <c r="D2569" i="3"/>
  <c r="E2568" i="3"/>
  <c r="D2568" i="3"/>
  <c r="E2567" i="3"/>
  <c r="D2567" i="3"/>
  <c r="E2566" i="3"/>
  <c r="D2566" i="3"/>
  <c r="E2565" i="3"/>
  <c r="D2565" i="3"/>
  <c r="E2564" i="3"/>
  <c r="D2564" i="3"/>
  <c r="E2563" i="3"/>
  <c r="D2563" i="3"/>
  <c r="E2562" i="3"/>
  <c r="D2562" i="3"/>
  <c r="E2561" i="3"/>
  <c r="D2561" i="3"/>
  <c r="E2560" i="3"/>
  <c r="D2560" i="3"/>
  <c r="E2559" i="3"/>
  <c r="D2559" i="3"/>
  <c r="E2558" i="3"/>
  <c r="D2558" i="3"/>
  <c r="E2557" i="3"/>
  <c r="D2557" i="3"/>
  <c r="E2556" i="3"/>
  <c r="D2556" i="3"/>
  <c r="E2555" i="3"/>
  <c r="D2555" i="3"/>
  <c r="E2554" i="3"/>
  <c r="D2554" i="3"/>
  <c r="E2553" i="3"/>
  <c r="D2553" i="3"/>
  <c r="E2552" i="3"/>
  <c r="D2552" i="3"/>
  <c r="E2551" i="3"/>
  <c r="D2551" i="3"/>
  <c r="E2550" i="3"/>
  <c r="D2550" i="3"/>
  <c r="E2549" i="3"/>
  <c r="D2549" i="3"/>
  <c r="E2548" i="3"/>
  <c r="D2548" i="3"/>
  <c r="E2547" i="3"/>
  <c r="D2547" i="3"/>
  <c r="E2546" i="3"/>
  <c r="D2546" i="3"/>
  <c r="E2545" i="3"/>
  <c r="D2545" i="3"/>
  <c r="E2544" i="3"/>
  <c r="D2544" i="3"/>
  <c r="E2543" i="3"/>
  <c r="D2543" i="3"/>
  <c r="E2542" i="3"/>
  <c r="D2542" i="3"/>
  <c r="E2541" i="3"/>
  <c r="D2541" i="3"/>
  <c r="E2540" i="3"/>
  <c r="D2540" i="3"/>
  <c r="E2539" i="3"/>
  <c r="D2539" i="3"/>
  <c r="E2538" i="3"/>
  <c r="D2538" i="3"/>
  <c r="E2537" i="3"/>
  <c r="D2537" i="3"/>
  <c r="E2536" i="3"/>
  <c r="D2536" i="3"/>
  <c r="E2535" i="3"/>
  <c r="D2535" i="3"/>
  <c r="E2534" i="3"/>
  <c r="D2534" i="3"/>
  <c r="E2533" i="3"/>
  <c r="D2533" i="3"/>
  <c r="E2532" i="3"/>
  <c r="D2532" i="3"/>
  <c r="E2531" i="3"/>
  <c r="D2531" i="3"/>
  <c r="E2530" i="3"/>
  <c r="D2530" i="3"/>
  <c r="E2529" i="3"/>
  <c r="D2529" i="3"/>
  <c r="E2528" i="3"/>
  <c r="D2528" i="3"/>
  <c r="E2527" i="3"/>
  <c r="D2527" i="3"/>
  <c r="E2526" i="3"/>
  <c r="D2526" i="3"/>
  <c r="E2525" i="3"/>
  <c r="D2525" i="3"/>
  <c r="E2524" i="3"/>
  <c r="D2524" i="3"/>
  <c r="E2523" i="3"/>
  <c r="D2523" i="3"/>
  <c r="E2522" i="3"/>
  <c r="D2522" i="3"/>
  <c r="E2521" i="3"/>
  <c r="D2521" i="3"/>
  <c r="E2520" i="3"/>
  <c r="D2520" i="3"/>
  <c r="E2519" i="3"/>
  <c r="D2519" i="3"/>
  <c r="E2518" i="3"/>
  <c r="D2518" i="3"/>
  <c r="E2517" i="3"/>
  <c r="D2517" i="3"/>
  <c r="E2516" i="3"/>
  <c r="D2516" i="3"/>
  <c r="E2515" i="3"/>
  <c r="D2515" i="3"/>
  <c r="E2514" i="3"/>
  <c r="D2514" i="3"/>
  <c r="E2513" i="3"/>
  <c r="D2513" i="3"/>
  <c r="E2512" i="3"/>
  <c r="D2512" i="3"/>
  <c r="E2511" i="3"/>
  <c r="D2511" i="3"/>
  <c r="E2510" i="3"/>
  <c r="D2510" i="3"/>
  <c r="E2509" i="3"/>
  <c r="D2509" i="3"/>
  <c r="E2508" i="3"/>
  <c r="D2508" i="3"/>
  <c r="E2507" i="3"/>
  <c r="D2507" i="3"/>
  <c r="E2506" i="3"/>
  <c r="D2506" i="3"/>
  <c r="E2505" i="3"/>
  <c r="D2505" i="3"/>
  <c r="E2504" i="3"/>
  <c r="D2504" i="3"/>
  <c r="E2503" i="3"/>
  <c r="D2503" i="3"/>
  <c r="E2502" i="3"/>
  <c r="D2502" i="3"/>
  <c r="E2501" i="3"/>
  <c r="D2501" i="3"/>
  <c r="E2500" i="3"/>
  <c r="D2500" i="3"/>
  <c r="E2499" i="3"/>
  <c r="D2499" i="3"/>
  <c r="E2498" i="3"/>
  <c r="D2498" i="3"/>
  <c r="E2497" i="3"/>
  <c r="D2497" i="3"/>
  <c r="E2496" i="3"/>
  <c r="D2496" i="3"/>
  <c r="E2495" i="3"/>
  <c r="D2495" i="3"/>
  <c r="E2494" i="3"/>
  <c r="D2494" i="3"/>
  <c r="E2493" i="3"/>
  <c r="D2493" i="3"/>
  <c r="E2492" i="3"/>
  <c r="D2492" i="3"/>
  <c r="E2491" i="3"/>
  <c r="D2491" i="3"/>
  <c r="E2490" i="3"/>
  <c r="D2490" i="3"/>
  <c r="E2489" i="3"/>
  <c r="D2489" i="3"/>
  <c r="E2488" i="3"/>
  <c r="D2488" i="3"/>
  <c r="E2487" i="3"/>
  <c r="D2487" i="3"/>
  <c r="E2486" i="3"/>
  <c r="D2486" i="3"/>
  <c r="E2485" i="3"/>
  <c r="D2485" i="3"/>
  <c r="E2484" i="3"/>
  <c r="D2484" i="3"/>
  <c r="E2483" i="3"/>
  <c r="D2483" i="3"/>
  <c r="E2482" i="3"/>
  <c r="D2482" i="3"/>
  <c r="E2481" i="3"/>
  <c r="D2481" i="3"/>
  <c r="E2480" i="3"/>
  <c r="D2480" i="3"/>
  <c r="E2479" i="3"/>
  <c r="D2479" i="3"/>
  <c r="E2478" i="3"/>
  <c r="D2478" i="3"/>
  <c r="E2477" i="3"/>
  <c r="D2477" i="3"/>
  <c r="E2476" i="3"/>
  <c r="D2476" i="3"/>
  <c r="E2475" i="3"/>
  <c r="D2475" i="3"/>
  <c r="E2474" i="3"/>
  <c r="D2474" i="3"/>
  <c r="E2473" i="3"/>
  <c r="D2473" i="3"/>
  <c r="E2472" i="3"/>
  <c r="D2472" i="3"/>
  <c r="E2471" i="3"/>
  <c r="D2471" i="3"/>
  <c r="E2470" i="3"/>
  <c r="D2470" i="3"/>
  <c r="E2469" i="3"/>
  <c r="D2469" i="3"/>
  <c r="E2468" i="3"/>
  <c r="D2468" i="3"/>
  <c r="E2467" i="3"/>
  <c r="D2467" i="3"/>
  <c r="E2466" i="3"/>
  <c r="D2466" i="3"/>
  <c r="E2465" i="3"/>
  <c r="D2465" i="3"/>
  <c r="E2464" i="3"/>
  <c r="D2464" i="3"/>
  <c r="E2463" i="3"/>
  <c r="D2463" i="3"/>
  <c r="E2462" i="3"/>
  <c r="D2462" i="3"/>
  <c r="E2461" i="3"/>
  <c r="D2461" i="3"/>
  <c r="E2460" i="3"/>
  <c r="D2460" i="3"/>
  <c r="E2459" i="3"/>
  <c r="D2459" i="3"/>
  <c r="E2458" i="3"/>
  <c r="D2458" i="3"/>
  <c r="E2457" i="3"/>
  <c r="D2457" i="3"/>
  <c r="E2456" i="3"/>
  <c r="D2456" i="3"/>
  <c r="E2455" i="3"/>
  <c r="D2455" i="3"/>
  <c r="E2454" i="3"/>
  <c r="D2454" i="3"/>
  <c r="E2453" i="3"/>
  <c r="D2453" i="3"/>
  <c r="E2452" i="3"/>
  <c r="D2452" i="3"/>
  <c r="E2451" i="3"/>
  <c r="D2451" i="3"/>
  <c r="E2450" i="3"/>
  <c r="D2450" i="3"/>
  <c r="E2449" i="3"/>
  <c r="D2449" i="3"/>
  <c r="E2448" i="3"/>
  <c r="D2448" i="3"/>
  <c r="E2447" i="3"/>
  <c r="D2447" i="3"/>
  <c r="E2446" i="3"/>
  <c r="D2446" i="3"/>
  <c r="E2445" i="3"/>
  <c r="D2445" i="3"/>
  <c r="E2444" i="3"/>
  <c r="D2444" i="3"/>
  <c r="E2443" i="3"/>
  <c r="D2443" i="3"/>
  <c r="E2442" i="3"/>
  <c r="D2442" i="3"/>
  <c r="E2441" i="3"/>
  <c r="D2441" i="3"/>
  <c r="E2440" i="3"/>
  <c r="D2440" i="3"/>
  <c r="E2439" i="3"/>
  <c r="D2439" i="3"/>
  <c r="E2438" i="3"/>
  <c r="D2438" i="3"/>
  <c r="E2437" i="3"/>
  <c r="D2437" i="3"/>
  <c r="E2436" i="3"/>
  <c r="D2436" i="3"/>
  <c r="E2435" i="3"/>
  <c r="D2435" i="3"/>
  <c r="E2434" i="3"/>
  <c r="D2434" i="3"/>
  <c r="E2433" i="3"/>
  <c r="D2433" i="3"/>
  <c r="E2432" i="3"/>
  <c r="D2432" i="3"/>
  <c r="E2431" i="3"/>
  <c r="D2431" i="3"/>
  <c r="E2430" i="3"/>
  <c r="D2430" i="3"/>
  <c r="E2429" i="3"/>
  <c r="D2429" i="3"/>
  <c r="E2428" i="3"/>
  <c r="D2428" i="3"/>
  <c r="E2427" i="3"/>
  <c r="D2427" i="3"/>
  <c r="E2426" i="3"/>
  <c r="D2426" i="3"/>
  <c r="E2425" i="3"/>
  <c r="D2425" i="3"/>
  <c r="E2424" i="3"/>
  <c r="D2424" i="3"/>
  <c r="E2423" i="3"/>
  <c r="D2423" i="3"/>
  <c r="E2422" i="3"/>
  <c r="D2422" i="3"/>
  <c r="E2421" i="3"/>
  <c r="D2421" i="3"/>
  <c r="E2420" i="3"/>
  <c r="D2420" i="3"/>
  <c r="E2419" i="3"/>
  <c r="D2419" i="3"/>
  <c r="E2418" i="3"/>
  <c r="D2418" i="3"/>
  <c r="E2417" i="3"/>
  <c r="D2417" i="3"/>
  <c r="E2416" i="3"/>
  <c r="D2416" i="3"/>
  <c r="E2415" i="3"/>
  <c r="D2415" i="3"/>
  <c r="E2414" i="3"/>
  <c r="D2414" i="3"/>
  <c r="E2413" i="3"/>
  <c r="D2413" i="3"/>
  <c r="E2412" i="3"/>
  <c r="D2412" i="3"/>
  <c r="E2411" i="3"/>
  <c r="D2411" i="3"/>
  <c r="E2410" i="3"/>
  <c r="D2410" i="3"/>
  <c r="E2409" i="3"/>
  <c r="D2409" i="3"/>
  <c r="E2408" i="3"/>
  <c r="D2408" i="3"/>
  <c r="E2407" i="3"/>
  <c r="D2407" i="3"/>
  <c r="E2406" i="3"/>
  <c r="D2406" i="3"/>
  <c r="E2405" i="3"/>
  <c r="D2405" i="3"/>
  <c r="E2404" i="3"/>
  <c r="D2404" i="3"/>
  <c r="E2403" i="3"/>
  <c r="D2403" i="3"/>
  <c r="E2402" i="3"/>
  <c r="D2402" i="3"/>
  <c r="E2401" i="3"/>
  <c r="D2401" i="3"/>
  <c r="E2400" i="3"/>
  <c r="D2400" i="3"/>
  <c r="E2399" i="3"/>
  <c r="D2399" i="3"/>
  <c r="E2398" i="3"/>
  <c r="D2398" i="3"/>
  <c r="E2397" i="3"/>
  <c r="D2397" i="3"/>
  <c r="E2396" i="3"/>
  <c r="D2396" i="3"/>
  <c r="E2395" i="3"/>
  <c r="D2395" i="3"/>
  <c r="E2394" i="3"/>
  <c r="D2394" i="3"/>
  <c r="E2393" i="3"/>
  <c r="D2393" i="3"/>
  <c r="E2392" i="3"/>
  <c r="D2392" i="3"/>
  <c r="E2391" i="3"/>
  <c r="D2391" i="3"/>
  <c r="E2390" i="3"/>
  <c r="D2390" i="3"/>
  <c r="E2389" i="3"/>
  <c r="D2389" i="3"/>
  <c r="E2388" i="3"/>
  <c r="D2388" i="3"/>
  <c r="E2387" i="3"/>
  <c r="D2387" i="3"/>
  <c r="E2386" i="3"/>
  <c r="D2386" i="3"/>
  <c r="E2385" i="3"/>
  <c r="D2385" i="3"/>
  <c r="E2384" i="3"/>
  <c r="D2384" i="3"/>
  <c r="E2383" i="3"/>
  <c r="D2383" i="3"/>
  <c r="E2382" i="3"/>
  <c r="D2382" i="3"/>
  <c r="E2381" i="3"/>
  <c r="D2381" i="3"/>
  <c r="E2380" i="3"/>
  <c r="D2380" i="3"/>
  <c r="E2379" i="3"/>
  <c r="D2379" i="3"/>
  <c r="E2378" i="3"/>
  <c r="D2378" i="3"/>
  <c r="E2377" i="3"/>
  <c r="D2377" i="3"/>
  <c r="E2376" i="3"/>
  <c r="D2376" i="3"/>
  <c r="E2375" i="3"/>
  <c r="D2375" i="3"/>
  <c r="E2374" i="3"/>
  <c r="D2374" i="3"/>
  <c r="E2373" i="3"/>
  <c r="D2373" i="3"/>
  <c r="E2372" i="3"/>
  <c r="D2372" i="3"/>
  <c r="E2371" i="3"/>
  <c r="D2371" i="3"/>
  <c r="E2370" i="3"/>
  <c r="D2370" i="3"/>
  <c r="E2369" i="3"/>
  <c r="D2369" i="3"/>
  <c r="E2368" i="3"/>
  <c r="D2368" i="3"/>
  <c r="E2367" i="3"/>
  <c r="D2367" i="3"/>
  <c r="E2366" i="3"/>
  <c r="D2366" i="3"/>
  <c r="E2365" i="3"/>
  <c r="D2365" i="3"/>
  <c r="E2364" i="3"/>
  <c r="D2364" i="3"/>
  <c r="E2363" i="3"/>
  <c r="D2363" i="3"/>
  <c r="E2362" i="3"/>
  <c r="D2362" i="3"/>
  <c r="E2361" i="3"/>
  <c r="D2361" i="3"/>
  <c r="E2360" i="3"/>
  <c r="D2360" i="3"/>
  <c r="E2359" i="3"/>
  <c r="D2359" i="3"/>
  <c r="E2358" i="3"/>
  <c r="D2358" i="3"/>
  <c r="E2357" i="3"/>
  <c r="D2357" i="3"/>
  <c r="E2356" i="3"/>
  <c r="D2356" i="3"/>
  <c r="E2355" i="3"/>
  <c r="D2355" i="3"/>
  <c r="E2354" i="3"/>
  <c r="D2354" i="3"/>
  <c r="E2353" i="3"/>
  <c r="D2353" i="3"/>
  <c r="E2352" i="3"/>
  <c r="D2352" i="3"/>
  <c r="E2351" i="3"/>
  <c r="D2351" i="3"/>
  <c r="E2350" i="3"/>
  <c r="D2350" i="3"/>
  <c r="E2349" i="3"/>
  <c r="D2349" i="3"/>
  <c r="E2348" i="3"/>
  <c r="D2348" i="3"/>
  <c r="E2347" i="3"/>
  <c r="D2347" i="3"/>
  <c r="E2346" i="3"/>
  <c r="D2346" i="3"/>
  <c r="E2345" i="3"/>
  <c r="D2345" i="3"/>
  <c r="E2344" i="3"/>
  <c r="D2344" i="3"/>
  <c r="E2343" i="3"/>
  <c r="D2343" i="3"/>
  <c r="E2342" i="3"/>
  <c r="D2342" i="3"/>
  <c r="E2341" i="3"/>
  <c r="D2341" i="3"/>
  <c r="E2340" i="3"/>
  <c r="D2340" i="3"/>
  <c r="E2339" i="3"/>
  <c r="D2339" i="3"/>
  <c r="E2338" i="3"/>
  <c r="D2338" i="3"/>
  <c r="E2337" i="3"/>
  <c r="D2337" i="3"/>
  <c r="E2336" i="3"/>
  <c r="D2336" i="3"/>
  <c r="E2335" i="3"/>
  <c r="D2335" i="3"/>
  <c r="E2334" i="3"/>
  <c r="D2334" i="3"/>
  <c r="E2333" i="3"/>
  <c r="D2333" i="3"/>
  <c r="E2332" i="3"/>
  <c r="D2332" i="3"/>
  <c r="E2331" i="3"/>
  <c r="D2331" i="3"/>
  <c r="E2330" i="3"/>
  <c r="D2330" i="3"/>
  <c r="E2329" i="3"/>
  <c r="D2329" i="3"/>
  <c r="E2328" i="3"/>
  <c r="D2328" i="3"/>
  <c r="E2327" i="3"/>
  <c r="D2327" i="3"/>
  <c r="E2326" i="3"/>
  <c r="D2326" i="3"/>
  <c r="E2325" i="3"/>
  <c r="D2325" i="3"/>
  <c r="E2324" i="3"/>
  <c r="D2324" i="3"/>
  <c r="E2323" i="3"/>
  <c r="D2323" i="3"/>
  <c r="E2322" i="3"/>
  <c r="D2322" i="3"/>
  <c r="E2321" i="3"/>
  <c r="D2321" i="3"/>
  <c r="E2320" i="3"/>
  <c r="D2320" i="3"/>
  <c r="E2319" i="3"/>
  <c r="D2319" i="3"/>
  <c r="E2318" i="3"/>
  <c r="D2318" i="3"/>
  <c r="E2317" i="3"/>
  <c r="D2317" i="3"/>
  <c r="E2316" i="3"/>
  <c r="D2316" i="3"/>
  <c r="E2315" i="3"/>
  <c r="D2315" i="3"/>
  <c r="E2314" i="3"/>
  <c r="D2314" i="3"/>
  <c r="E2313" i="3"/>
  <c r="D2313" i="3"/>
  <c r="E2312" i="3"/>
  <c r="D2312" i="3"/>
  <c r="E2311" i="3"/>
  <c r="D2311" i="3"/>
  <c r="E2310" i="3"/>
  <c r="D2310" i="3"/>
  <c r="E2309" i="3"/>
  <c r="D2309" i="3"/>
  <c r="E2308" i="3"/>
  <c r="D2308" i="3"/>
  <c r="E2307" i="3"/>
  <c r="D2307" i="3"/>
  <c r="E2306" i="3"/>
  <c r="D2306" i="3"/>
  <c r="E2305" i="3"/>
  <c r="D2305" i="3"/>
  <c r="E2304" i="3"/>
  <c r="D2304" i="3"/>
  <c r="E2303" i="3"/>
  <c r="D2303" i="3"/>
  <c r="E2302" i="3"/>
  <c r="D2302" i="3"/>
  <c r="E2301" i="3"/>
  <c r="D2301" i="3"/>
  <c r="E2300" i="3"/>
  <c r="D2300" i="3"/>
  <c r="E2299" i="3"/>
  <c r="D2299" i="3"/>
  <c r="E2298" i="3"/>
  <c r="D2298" i="3"/>
  <c r="E2297" i="3"/>
  <c r="D2297" i="3"/>
  <c r="E2296" i="3"/>
  <c r="D2296" i="3"/>
  <c r="E2295" i="3"/>
  <c r="D2295" i="3"/>
  <c r="E2294" i="3"/>
  <c r="D2294" i="3"/>
  <c r="E2293" i="3"/>
  <c r="D2293" i="3"/>
  <c r="E2292" i="3"/>
  <c r="D2292" i="3"/>
  <c r="E2291" i="3"/>
  <c r="D2291" i="3"/>
  <c r="E2290" i="3"/>
  <c r="D2290" i="3"/>
  <c r="E2289" i="3"/>
  <c r="D2289" i="3"/>
  <c r="E2288" i="3"/>
  <c r="D2288" i="3"/>
  <c r="E2287" i="3"/>
  <c r="D2287" i="3"/>
  <c r="E2286" i="3"/>
  <c r="D2286" i="3"/>
  <c r="E2285" i="3"/>
  <c r="D2285" i="3"/>
  <c r="E2284" i="3"/>
  <c r="D2284" i="3"/>
  <c r="E2283" i="3"/>
  <c r="D2283" i="3"/>
  <c r="E2282" i="3"/>
  <c r="D2282" i="3"/>
  <c r="E2281" i="3"/>
  <c r="D2281" i="3"/>
  <c r="E2280" i="3"/>
  <c r="D2280" i="3"/>
  <c r="E2279" i="3"/>
  <c r="D2279" i="3"/>
  <c r="E2278" i="3"/>
  <c r="D2278" i="3"/>
  <c r="E2277" i="3"/>
  <c r="D2277" i="3"/>
  <c r="E2276" i="3"/>
  <c r="D2276" i="3"/>
  <c r="E2275" i="3"/>
  <c r="D2275" i="3"/>
  <c r="E2274" i="3"/>
  <c r="D2274" i="3"/>
  <c r="E2273" i="3"/>
  <c r="D2273" i="3"/>
  <c r="E2272" i="3"/>
  <c r="D2272" i="3"/>
  <c r="E2271" i="3"/>
  <c r="D2271" i="3"/>
  <c r="E2270" i="3"/>
  <c r="D2270" i="3"/>
  <c r="E2269" i="3"/>
  <c r="D2269" i="3"/>
  <c r="E2268" i="3"/>
  <c r="D2268" i="3"/>
  <c r="E2267" i="3"/>
  <c r="D2267" i="3"/>
  <c r="E2266" i="3"/>
  <c r="D2266" i="3"/>
  <c r="E2265" i="3"/>
  <c r="D2265" i="3"/>
  <c r="E2264" i="3"/>
  <c r="D2264" i="3"/>
  <c r="E2263" i="3"/>
  <c r="D2263" i="3"/>
  <c r="E2262" i="3"/>
  <c r="D2262" i="3"/>
  <c r="E2261" i="3"/>
  <c r="D2261" i="3"/>
  <c r="E2260" i="3"/>
  <c r="D2260" i="3"/>
  <c r="E2259" i="3"/>
  <c r="D2259" i="3"/>
  <c r="E2258" i="3"/>
  <c r="D2258" i="3"/>
  <c r="E2257" i="3"/>
  <c r="D2257" i="3"/>
  <c r="E2256" i="3"/>
  <c r="D2256" i="3"/>
  <c r="E2255" i="3"/>
  <c r="D2255" i="3"/>
  <c r="E2254" i="3"/>
  <c r="D2254" i="3"/>
  <c r="E2253" i="3"/>
  <c r="D2253" i="3"/>
  <c r="E2252" i="3"/>
  <c r="D2252" i="3"/>
  <c r="E2251" i="3"/>
  <c r="D2251" i="3"/>
  <c r="E2250" i="3"/>
  <c r="D2250" i="3"/>
  <c r="E2249" i="3"/>
  <c r="D2249" i="3"/>
  <c r="E2248" i="3"/>
  <c r="D2248" i="3"/>
  <c r="E2247" i="3"/>
  <c r="D2247" i="3"/>
  <c r="E2246" i="3"/>
  <c r="D2246" i="3"/>
  <c r="E2245" i="3"/>
  <c r="D2245" i="3"/>
  <c r="E2244" i="3"/>
  <c r="D2244" i="3"/>
  <c r="E2243" i="3"/>
  <c r="D2243" i="3"/>
  <c r="E2242" i="3"/>
  <c r="D2242" i="3"/>
  <c r="E2241" i="3"/>
  <c r="D2241" i="3"/>
  <c r="E2240" i="3"/>
  <c r="D2240" i="3"/>
  <c r="E2239" i="3"/>
  <c r="D2239" i="3"/>
  <c r="E2238" i="3"/>
  <c r="D2238" i="3"/>
  <c r="E2237" i="3"/>
  <c r="D2237" i="3"/>
  <c r="E2236" i="3"/>
  <c r="D2236" i="3"/>
  <c r="E2235" i="3"/>
  <c r="D2235" i="3"/>
  <c r="E2234" i="3"/>
  <c r="D2234" i="3"/>
  <c r="E2233" i="3"/>
  <c r="D2233" i="3"/>
  <c r="E2232" i="3"/>
  <c r="D2232" i="3"/>
  <c r="E2231" i="3"/>
  <c r="D2231" i="3"/>
  <c r="E2230" i="3"/>
  <c r="D2230" i="3"/>
  <c r="E2229" i="3"/>
  <c r="D2229" i="3"/>
  <c r="E2228" i="3"/>
  <c r="D2228" i="3"/>
  <c r="E2227" i="3"/>
  <c r="D2227" i="3"/>
  <c r="E2226" i="3"/>
  <c r="D2226" i="3"/>
  <c r="E2225" i="3"/>
  <c r="D2225" i="3"/>
  <c r="E2224" i="3"/>
  <c r="D2224" i="3"/>
  <c r="E2223" i="3"/>
  <c r="D2223" i="3"/>
  <c r="E2222" i="3"/>
  <c r="D2222" i="3"/>
  <c r="E2221" i="3"/>
  <c r="D2221" i="3"/>
  <c r="E2220" i="3"/>
  <c r="D2220" i="3"/>
  <c r="E2219" i="3"/>
  <c r="D2219" i="3"/>
  <c r="E2218" i="3"/>
  <c r="D2218" i="3"/>
  <c r="E2217" i="3"/>
  <c r="D2217" i="3"/>
  <c r="E2216" i="3"/>
  <c r="D2216" i="3"/>
  <c r="E2215" i="3"/>
  <c r="D2215" i="3"/>
  <c r="E2214" i="3"/>
  <c r="D2214" i="3"/>
  <c r="E2213" i="3"/>
  <c r="D2213" i="3"/>
  <c r="E2212" i="3"/>
  <c r="D2212" i="3"/>
  <c r="E2211" i="3"/>
  <c r="D2211" i="3"/>
  <c r="E2210" i="3"/>
  <c r="D2210" i="3"/>
  <c r="E2209" i="3"/>
  <c r="D2209" i="3"/>
  <c r="E2208" i="3"/>
  <c r="D2208" i="3"/>
  <c r="E2207" i="3"/>
  <c r="D2207" i="3"/>
  <c r="E2206" i="3"/>
  <c r="D2206" i="3"/>
  <c r="E2205" i="3"/>
  <c r="D2205" i="3"/>
  <c r="E2204" i="3"/>
  <c r="D2204" i="3"/>
  <c r="E2203" i="3"/>
  <c r="D2203" i="3"/>
  <c r="E2202" i="3"/>
  <c r="D2202" i="3"/>
  <c r="E2201" i="3"/>
  <c r="D2201" i="3"/>
  <c r="E2200" i="3"/>
  <c r="D2200" i="3"/>
  <c r="E2199" i="3"/>
  <c r="D2199" i="3"/>
  <c r="E2198" i="3"/>
  <c r="D2198" i="3"/>
  <c r="E2197" i="3"/>
  <c r="D2197" i="3"/>
  <c r="E2196" i="3"/>
  <c r="D2196" i="3"/>
  <c r="E2195" i="3"/>
  <c r="D2195" i="3"/>
  <c r="E2194" i="3"/>
  <c r="D2194" i="3"/>
  <c r="E2193" i="3"/>
  <c r="D2193" i="3"/>
  <c r="E2192" i="3"/>
  <c r="D2192" i="3"/>
  <c r="E2191" i="3"/>
  <c r="D2191" i="3"/>
  <c r="E2190" i="3"/>
  <c r="D2190" i="3"/>
  <c r="E2189" i="3"/>
  <c r="D2189" i="3"/>
  <c r="E2188" i="3"/>
  <c r="D2188" i="3"/>
  <c r="E2187" i="3"/>
  <c r="D2187" i="3"/>
  <c r="E2186" i="3"/>
  <c r="D2186" i="3"/>
  <c r="E2185" i="3"/>
  <c r="D2185" i="3"/>
  <c r="E2184" i="3"/>
  <c r="D2184" i="3"/>
  <c r="E2183" i="3"/>
  <c r="D2183" i="3"/>
  <c r="E2182" i="3"/>
  <c r="D2182" i="3"/>
  <c r="E2181" i="3"/>
  <c r="D2181" i="3"/>
  <c r="E2180" i="3"/>
  <c r="D2180" i="3"/>
  <c r="E2179" i="3"/>
  <c r="D2179" i="3"/>
  <c r="E2178" i="3"/>
  <c r="D2178" i="3"/>
  <c r="E2177" i="3"/>
  <c r="D2177" i="3"/>
  <c r="E2176" i="3"/>
  <c r="D2176" i="3"/>
  <c r="E2175" i="3"/>
  <c r="D2175" i="3"/>
  <c r="E2174" i="3"/>
  <c r="D2174" i="3"/>
  <c r="E2173" i="3"/>
  <c r="D2173" i="3"/>
  <c r="E2172" i="3"/>
  <c r="D2172" i="3"/>
  <c r="E2171" i="3"/>
  <c r="D2171" i="3"/>
  <c r="E2170" i="3"/>
  <c r="D2170" i="3"/>
  <c r="E2169" i="3"/>
  <c r="D2169" i="3"/>
  <c r="E2168" i="3"/>
  <c r="D2168" i="3"/>
  <c r="E2167" i="3"/>
  <c r="D2167" i="3"/>
  <c r="E2166" i="3"/>
  <c r="D2166" i="3"/>
  <c r="E2165" i="3"/>
  <c r="D2165" i="3"/>
  <c r="E2164" i="3"/>
  <c r="D2164" i="3"/>
  <c r="E2163" i="3"/>
  <c r="D2163" i="3"/>
  <c r="E2162" i="3"/>
  <c r="D2162" i="3"/>
  <c r="E2161" i="3"/>
  <c r="D2161" i="3"/>
  <c r="E2160" i="3"/>
  <c r="D2160" i="3"/>
  <c r="E2159" i="3"/>
  <c r="D2159" i="3"/>
  <c r="E2158" i="3"/>
  <c r="D2158" i="3"/>
  <c r="E2157" i="3"/>
  <c r="D2157" i="3"/>
  <c r="E2156" i="3"/>
  <c r="D2156" i="3"/>
  <c r="E2155" i="3"/>
  <c r="D2155" i="3"/>
  <c r="E2154" i="3"/>
  <c r="D2154" i="3"/>
  <c r="E2153" i="3"/>
  <c r="D2153" i="3"/>
  <c r="E2152" i="3"/>
  <c r="D2152" i="3"/>
  <c r="E2151" i="3"/>
  <c r="D2151" i="3"/>
  <c r="E2150" i="3"/>
  <c r="D2150" i="3"/>
  <c r="E2149" i="3"/>
  <c r="D2149" i="3"/>
  <c r="E2148" i="3"/>
  <c r="D2148" i="3"/>
  <c r="E2147" i="3"/>
  <c r="D2147" i="3"/>
  <c r="E2146" i="3"/>
  <c r="D2146" i="3"/>
  <c r="E2145" i="3"/>
  <c r="D2145" i="3"/>
  <c r="E2144" i="3"/>
  <c r="D2144" i="3"/>
  <c r="E2143" i="3"/>
  <c r="D2143" i="3"/>
  <c r="E2142" i="3"/>
  <c r="D2142" i="3"/>
  <c r="E2141" i="3"/>
  <c r="D2141" i="3"/>
  <c r="E2140" i="3"/>
  <c r="D2140" i="3"/>
  <c r="E2139" i="3"/>
  <c r="D2139" i="3"/>
  <c r="E2138" i="3"/>
  <c r="D2138" i="3"/>
  <c r="E2137" i="3"/>
  <c r="D2137" i="3"/>
  <c r="E2136" i="3"/>
  <c r="D2136" i="3"/>
  <c r="E2135" i="3"/>
  <c r="D2135" i="3"/>
  <c r="E2134" i="3"/>
  <c r="D2134" i="3"/>
  <c r="E2133" i="3"/>
  <c r="D2133" i="3"/>
  <c r="E2132" i="3"/>
  <c r="D2132" i="3"/>
  <c r="E2131" i="3"/>
  <c r="D2131" i="3"/>
  <c r="E2130" i="3"/>
  <c r="D2130" i="3"/>
  <c r="E2129" i="3"/>
  <c r="D2129" i="3"/>
  <c r="E2128" i="3"/>
  <c r="D2128" i="3"/>
  <c r="E2127" i="3"/>
  <c r="D2127" i="3"/>
  <c r="E2126" i="3"/>
  <c r="D2126" i="3"/>
  <c r="E2125" i="3"/>
  <c r="D2125" i="3"/>
  <c r="E2124" i="3"/>
  <c r="D2124" i="3"/>
  <c r="E2123" i="3"/>
  <c r="D2123" i="3"/>
  <c r="E2122" i="3"/>
  <c r="D2122" i="3"/>
  <c r="E2121" i="3"/>
  <c r="D2121" i="3"/>
  <c r="E2120" i="3"/>
  <c r="D2120" i="3"/>
  <c r="E2119" i="3"/>
  <c r="D2119" i="3"/>
  <c r="E2118" i="3"/>
  <c r="D2118" i="3"/>
  <c r="E2117" i="3"/>
  <c r="D2117" i="3"/>
  <c r="E2116" i="3"/>
  <c r="D2116" i="3"/>
  <c r="E2115" i="3"/>
  <c r="D2115" i="3"/>
  <c r="E2114" i="3"/>
  <c r="D2114" i="3"/>
  <c r="E2113" i="3"/>
  <c r="D2113" i="3"/>
  <c r="E2112" i="3"/>
  <c r="D2112" i="3"/>
  <c r="E2111" i="3"/>
  <c r="D2111" i="3"/>
  <c r="E2110" i="3"/>
  <c r="D2110" i="3"/>
  <c r="E2109" i="3"/>
  <c r="D2109" i="3"/>
  <c r="E2108" i="3"/>
  <c r="D2108" i="3"/>
  <c r="E2107" i="3"/>
  <c r="D2107" i="3"/>
  <c r="E2106" i="3"/>
  <c r="D2106" i="3"/>
  <c r="E2105" i="3"/>
  <c r="D2105" i="3"/>
  <c r="E2104" i="3"/>
  <c r="D2104" i="3"/>
  <c r="E2103" i="3"/>
  <c r="D2103" i="3"/>
  <c r="E2102" i="3"/>
  <c r="D2102" i="3"/>
  <c r="E2101" i="3"/>
  <c r="D2101" i="3"/>
  <c r="E2100" i="3"/>
  <c r="D2100" i="3"/>
  <c r="E2099" i="3"/>
  <c r="D2099" i="3"/>
  <c r="E2098" i="3"/>
  <c r="D2098" i="3"/>
  <c r="E2097" i="3"/>
  <c r="D2097" i="3"/>
  <c r="E2096" i="3"/>
  <c r="D2096" i="3"/>
  <c r="E2095" i="3"/>
  <c r="D2095" i="3"/>
  <c r="E2094" i="3"/>
  <c r="D2094" i="3"/>
  <c r="E2093" i="3"/>
  <c r="D2093" i="3"/>
  <c r="E2092" i="3"/>
  <c r="D2092" i="3"/>
  <c r="E2091" i="3"/>
  <c r="D2091" i="3"/>
  <c r="E2090" i="3"/>
  <c r="D2090" i="3"/>
  <c r="E2089" i="3"/>
  <c r="D2089" i="3"/>
  <c r="E2088" i="3"/>
  <c r="D2088" i="3"/>
  <c r="E2087" i="3"/>
  <c r="D2087" i="3"/>
  <c r="E2086" i="3"/>
  <c r="D2086" i="3"/>
  <c r="E2085" i="3"/>
  <c r="D2085" i="3"/>
  <c r="E2084" i="3"/>
  <c r="D2084" i="3"/>
  <c r="E2083" i="3"/>
  <c r="D2083" i="3"/>
  <c r="E2082" i="3"/>
  <c r="D2082" i="3"/>
  <c r="E2081" i="3"/>
  <c r="D2081" i="3"/>
  <c r="E2080" i="3"/>
  <c r="D2080" i="3"/>
  <c r="E2079" i="3"/>
  <c r="D2079" i="3"/>
  <c r="E2078" i="3"/>
  <c r="D2078" i="3"/>
  <c r="E2077" i="3"/>
  <c r="D2077" i="3"/>
  <c r="E2076" i="3"/>
  <c r="D2076" i="3"/>
  <c r="E2075" i="3"/>
  <c r="D2075" i="3"/>
  <c r="E2074" i="3"/>
  <c r="D2074" i="3"/>
  <c r="E2073" i="3"/>
  <c r="D2073" i="3"/>
  <c r="E2072" i="3"/>
  <c r="D2072" i="3"/>
  <c r="E2071" i="3"/>
  <c r="D2071" i="3"/>
  <c r="E2070" i="3"/>
  <c r="D2070" i="3"/>
  <c r="E2069" i="3"/>
  <c r="D2069" i="3"/>
  <c r="E2068" i="3"/>
  <c r="D2068" i="3"/>
  <c r="E2067" i="3"/>
  <c r="D2067" i="3"/>
  <c r="E2066" i="3"/>
  <c r="D2066" i="3"/>
  <c r="E2065" i="3"/>
  <c r="D2065" i="3"/>
  <c r="E2064" i="3"/>
  <c r="D2064" i="3"/>
  <c r="E2063" i="3"/>
  <c r="D2063" i="3"/>
  <c r="E2062" i="3"/>
  <c r="D2062" i="3"/>
  <c r="E2061" i="3"/>
  <c r="D2061" i="3"/>
  <c r="E2060" i="3"/>
  <c r="D2060" i="3"/>
  <c r="E2059" i="3"/>
  <c r="D2059" i="3"/>
  <c r="E2058" i="3"/>
  <c r="D2058" i="3"/>
  <c r="E2057" i="3"/>
  <c r="D2057" i="3"/>
  <c r="E2056" i="3"/>
  <c r="D2056" i="3"/>
  <c r="E2055" i="3"/>
  <c r="D2055" i="3"/>
  <c r="E2054" i="3"/>
  <c r="D2054" i="3"/>
  <c r="E2053" i="3"/>
  <c r="D2053" i="3"/>
  <c r="E2052" i="3"/>
  <c r="D2052" i="3"/>
  <c r="E2051" i="3"/>
  <c r="D2051" i="3"/>
  <c r="E2050" i="3"/>
  <c r="D2050" i="3"/>
  <c r="E2049" i="3"/>
  <c r="D2049" i="3"/>
  <c r="E2048" i="3"/>
  <c r="D2048" i="3"/>
  <c r="E2047" i="3"/>
  <c r="D2047" i="3"/>
  <c r="E2046" i="3"/>
  <c r="D2046" i="3"/>
  <c r="E2045" i="3"/>
  <c r="D2045" i="3"/>
  <c r="E2044" i="3"/>
  <c r="D2044" i="3"/>
  <c r="E2043" i="3"/>
  <c r="D2043" i="3"/>
  <c r="E2042" i="3"/>
  <c r="D2042" i="3"/>
  <c r="E2041" i="3"/>
  <c r="D2041" i="3"/>
  <c r="E2040" i="3"/>
  <c r="D2040" i="3"/>
  <c r="E2039" i="3"/>
  <c r="D2039" i="3"/>
  <c r="E2038" i="3"/>
  <c r="D2038" i="3"/>
  <c r="E2037" i="3"/>
  <c r="D2037" i="3"/>
  <c r="E2036" i="3"/>
  <c r="D2036" i="3"/>
  <c r="E2035" i="3"/>
  <c r="D2035" i="3"/>
  <c r="E2034" i="3"/>
  <c r="D2034" i="3"/>
  <c r="E2033" i="3"/>
  <c r="D2033" i="3"/>
  <c r="E2032" i="3"/>
  <c r="D2032" i="3"/>
  <c r="E2031" i="3"/>
  <c r="D2031" i="3"/>
  <c r="E2030" i="3"/>
  <c r="D2030" i="3"/>
  <c r="E2029" i="3"/>
  <c r="D2029" i="3"/>
  <c r="E2028" i="3"/>
  <c r="D2028" i="3"/>
  <c r="E2027" i="3"/>
  <c r="D2027" i="3"/>
  <c r="E2026" i="3"/>
  <c r="D2026" i="3"/>
  <c r="E2025" i="3"/>
  <c r="D2025" i="3"/>
  <c r="E2024" i="3"/>
  <c r="D2024" i="3"/>
  <c r="E2023" i="3"/>
  <c r="D2023" i="3"/>
  <c r="E2022" i="3"/>
  <c r="D2022" i="3"/>
  <c r="E2021" i="3"/>
  <c r="D2021" i="3"/>
  <c r="E2020" i="3"/>
  <c r="D2020" i="3"/>
  <c r="E2019" i="3"/>
  <c r="D2019" i="3"/>
  <c r="E2018" i="3"/>
  <c r="D2018" i="3"/>
  <c r="E2017" i="3"/>
  <c r="D2017" i="3"/>
  <c r="E2016" i="3"/>
  <c r="D2016" i="3"/>
  <c r="E2015" i="3"/>
  <c r="D2015" i="3"/>
  <c r="E2014" i="3"/>
  <c r="D2014" i="3"/>
  <c r="E2013" i="3"/>
  <c r="D2013" i="3"/>
  <c r="E2012" i="3"/>
  <c r="D2012" i="3"/>
  <c r="E2011" i="3"/>
  <c r="D2011" i="3"/>
  <c r="E2010" i="3"/>
  <c r="D2010" i="3"/>
  <c r="E2009" i="3"/>
  <c r="D2009" i="3"/>
  <c r="E2008" i="3"/>
  <c r="D2008" i="3"/>
  <c r="E2007" i="3"/>
  <c r="D2007" i="3"/>
  <c r="E2006" i="3"/>
  <c r="D2006" i="3"/>
  <c r="E2005" i="3"/>
  <c r="D2005" i="3"/>
  <c r="E2004" i="3"/>
  <c r="D2004" i="3"/>
  <c r="E2003" i="3"/>
  <c r="D2003" i="3"/>
  <c r="E2002" i="3"/>
  <c r="D2002" i="3"/>
  <c r="E2001" i="3"/>
  <c r="D2001" i="3"/>
  <c r="E2000" i="3"/>
  <c r="D2000" i="3"/>
  <c r="E1999" i="3"/>
  <c r="D1999" i="3"/>
  <c r="E1998" i="3"/>
  <c r="D1998" i="3"/>
  <c r="E1997" i="3"/>
  <c r="D1997" i="3"/>
  <c r="E1996" i="3"/>
  <c r="D1996" i="3"/>
  <c r="E1995" i="3"/>
  <c r="D1995" i="3"/>
  <c r="E1994" i="3"/>
  <c r="D1994" i="3"/>
  <c r="E1993" i="3"/>
  <c r="D1993" i="3"/>
  <c r="E1992" i="3"/>
  <c r="D1992" i="3"/>
  <c r="E1991" i="3"/>
  <c r="D1991" i="3"/>
  <c r="E1990" i="3"/>
  <c r="D1990" i="3"/>
  <c r="E1989" i="3"/>
  <c r="D1989" i="3"/>
  <c r="E1988" i="3"/>
  <c r="D1988" i="3"/>
  <c r="E1987" i="3"/>
  <c r="D1987" i="3"/>
  <c r="E1986" i="3"/>
  <c r="D1986" i="3"/>
  <c r="E1985" i="3"/>
  <c r="D1985" i="3"/>
  <c r="E1984" i="3"/>
  <c r="D1984" i="3"/>
  <c r="E1983" i="3"/>
  <c r="D1983" i="3"/>
  <c r="E1982" i="3"/>
  <c r="D1982" i="3"/>
  <c r="E1981" i="3"/>
  <c r="D1981" i="3"/>
  <c r="E1980" i="3"/>
  <c r="D1980" i="3"/>
  <c r="E1979" i="3"/>
  <c r="D1979" i="3"/>
  <c r="E1978" i="3"/>
  <c r="D1978" i="3"/>
  <c r="E1977" i="3"/>
  <c r="D1977" i="3"/>
  <c r="E1976" i="3"/>
  <c r="D1976" i="3"/>
  <c r="E1975" i="3"/>
  <c r="D1975" i="3"/>
  <c r="E1974" i="3"/>
  <c r="D1974" i="3"/>
  <c r="E1973" i="3"/>
  <c r="D1973" i="3"/>
  <c r="E1972" i="3"/>
  <c r="D1972" i="3"/>
  <c r="E1971" i="3"/>
  <c r="D1971" i="3"/>
  <c r="E1970" i="3"/>
  <c r="D1970" i="3"/>
  <c r="E1969" i="3"/>
  <c r="D1969" i="3"/>
  <c r="E1968" i="3"/>
  <c r="D1968" i="3"/>
  <c r="E1967" i="3"/>
  <c r="D1967" i="3"/>
  <c r="E1966" i="3"/>
  <c r="D1966" i="3"/>
  <c r="E1965" i="3"/>
  <c r="D1965" i="3"/>
  <c r="E1964" i="3"/>
  <c r="D1964" i="3"/>
  <c r="E1963" i="3"/>
  <c r="D1963" i="3"/>
  <c r="E1962" i="3"/>
  <c r="D1962" i="3"/>
  <c r="E1961" i="3"/>
  <c r="D1961" i="3"/>
  <c r="E1960" i="3"/>
  <c r="D1960" i="3"/>
  <c r="E1959" i="3"/>
  <c r="D1959" i="3"/>
  <c r="E1958" i="3"/>
  <c r="D1958" i="3"/>
  <c r="E1957" i="3"/>
  <c r="D1957" i="3"/>
  <c r="E1956" i="3"/>
  <c r="D1956" i="3"/>
  <c r="E1955" i="3"/>
  <c r="D1955" i="3"/>
  <c r="E1954" i="3"/>
  <c r="D1954" i="3"/>
  <c r="E1953" i="3"/>
  <c r="D1953" i="3"/>
  <c r="E1952" i="3"/>
  <c r="D1952" i="3"/>
  <c r="E1951" i="3"/>
  <c r="D1951" i="3"/>
  <c r="E1950" i="3"/>
  <c r="D1950" i="3"/>
  <c r="E1949" i="3"/>
  <c r="D1949" i="3"/>
  <c r="E1948" i="3"/>
  <c r="D1948" i="3"/>
  <c r="E1947" i="3"/>
  <c r="D1947" i="3"/>
  <c r="E1946" i="3"/>
  <c r="D1946" i="3"/>
  <c r="E1945" i="3"/>
  <c r="D1945" i="3"/>
  <c r="E1944" i="3"/>
  <c r="D1944" i="3"/>
  <c r="E1943" i="3"/>
  <c r="D1943" i="3"/>
  <c r="E1942" i="3"/>
  <c r="D1942" i="3"/>
  <c r="E1941" i="3"/>
  <c r="D1941" i="3"/>
  <c r="E1940" i="3"/>
  <c r="D1940" i="3"/>
  <c r="E1939" i="3"/>
  <c r="D1939" i="3"/>
  <c r="E1938" i="3"/>
  <c r="D1938" i="3"/>
  <c r="E1937" i="3"/>
  <c r="D1937" i="3"/>
  <c r="E1936" i="3"/>
  <c r="D1936" i="3"/>
  <c r="E1935" i="3"/>
  <c r="D1935" i="3"/>
  <c r="E1934" i="3"/>
  <c r="D1934" i="3"/>
  <c r="E1933" i="3"/>
  <c r="D1933" i="3"/>
  <c r="E1932" i="3"/>
  <c r="D1932" i="3"/>
  <c r="E1931" i="3"/>
  <c r="D1931" i="3"/>
  <c r="E1930" i="3"/>
  <c r="D1930" i="3"/>
  <c r="E1929" i="3"/>
  <c r="D1929" i="3"/>
  <c r="E1928" i="3"/>
  <c r="D1928" i="3"/>
  <c r="E1927" i="3"/>
  <c r="D1927" i="3"/>
  <c r="E1926" i="3"/>
  <c r="D1926" i="3"/>
  <c r="E1925" i="3"/>
  <c r="D1925" i="3"/>
  <c r="E1924" i="3"/>
  <c r="D1924" i="3"/>
  <c r="E1923" i="3"/>
  <c r="D1923" i="3"/>
  <c r="E1922" i="3"/>
  <c r="D1922" i="3"/>
  <c r="E1921" i="3"/>
  <c r="D1921" i="3"/>
  <c r="E1920" i="3"/>
  <c r="D1920" i="3"/>
  <c r="E1919" i="3"/>
  <c r="D1919" i="3"/>
  <c r="E1918" i="3"/>
  <c r="D1918" i="3"/>
  <c r="E1917" i="3"/>
  <c r="D1917" i="3"/>
  <c r="E1916" i="3"/>
  <c r="D1916" i="3"/>
  <c r="E1915" i="3"/>
  <c r="D1915" i="3"/>
  <c r="E1914" i="3"/>
  <c r="D1914" i="3"/>
  <c r="E1913" i="3"/>
  <c r="D1913" i="3"/>
  <c r="E1912" i="3"/>
  <c r="D1912" i="3"/>
  <c r="E1911" i="3"/>
  <c r="D1911" i="3"/>
  <c r="E1910" i="3"/>
  <c r="D1910" i="3"/>
  <c r="E1909" i="3"/>
  <c r="D1909" i="3"/>
  <c r="E1908" i="3"/>
  <c r="D1908" i="3"/>
  <c r="E1907" i="3"/>
  <c r="D1907" i="3"/>
  <c r="E1906" i="3"/>
  <c r="D1906" i="3"/>
  <c r="E1905" i="3"/>
  <c r="D1905" i="3"/>
  <c r="E1904" i="3"/>
  <c r="D1904" i="3"/>
  <c r="E1903" i="3"/>
  <c r="D1903" i="3"/>
  <c r="E1902" i="3"/>
  <c r="D1902" i="3"/>
  <c r="E1901" i="3"/>
  <c r="D1901" i="3"/>
  <c r="E1900" i="3"/>
  <c r="D1900" i="3"/>
  <c r="E1899" i="3"/>
  <c r="D1899" i="3"/>
  <c r="E1898" i="3"/>
  <c r="D1898" i="3"/>
  <c r="E1897" i="3"/>
  <c r="D1897" i="3"/>
  <c r="E1896" i="3"/>
  <c r="D1896" i="3"/>
  <c r="E1895" i="3"/>
  <c r="D1895" i="3"/>
  <c r="E1894" i="3"/>
  <c r="D1894" i="3"/>
  <c r="E1893" i="3"/>
  <c r="D1893" i="3"/>
  <c r="E1892" i="3"/>
  <c r="D1892" i="3"/>
  <c r="E1891" i="3"/>
  <c r="D1891" i="3"/>
  <c r="E1890" i="3"/>
  <c r="D1890" i="3"/>
  <c r="E1889" i="3"/>
  <c r="D1889" i="3"/>
  <c r="E1888" i="3"/>
  <c r="D1888" i="3"/>
  <c r="E1887" i="3"/>
  <c r="D1887" i="3"/>
  <c r="E1886" i="3"/>
  <c r="D1886" i="3"/>
  <c r="E1885" i="3"/>
  <c r="D1885" i="3"/>
  <c r="E1884" i="3"/>
  <c r="D1884" i="3"/>
  <c r="E1883" i="3"/>
  <c r="D1883" i="3"/>
  <c r="E1882" i="3"/>
  <c r="D1882" i="3"/>
  <c r="E1881" i="3"/>
  <c r="D1881" i="3"/>
  <c r="E1880" i="3"/>
  <c r="D1880" i="3"/>
  <c r="E1879" i="3"/>
  <c r="D1879" i="3"/>
  <c r="E1878" i="3"/>
  <c r="D1878" i="3"/>
  <c r="E1877" i="3"/>
  <c r="D1877" i="3"/>
  <c r="E1876" i="3"/>
  <c r="D1876" i="3"/>
  <c r="E1875" i="3"/>
  <c r="D1875" i="3"/>
  <c r="E1874" i="3"/>
  <c r="D1874" i="3"/>
  <c r="E1873" i="3"/>
  <c r="D1873" i="3"/>
  <c r="E1872" i="3"/>
  <c r="D1872" i="3"/>
  <c r="E1871" i="3"/>
  <c r="D1871" i="3"/>
  <c r="E1870" i="3"/>
  <c r="D1870" i="3"/>
  <c r="E1869" i="3"/>
  <c r="D1869" i="3"/>
  <c r="E1868" i="3"/>
  <c r="D1868" i="3"/>
  <c r="E1867" i="3"/>
  <c r="D1867" i="3"/>
  <c r="E1866" i="3"/>
  <c r="D1866" i="3"/>
  <c r="E1865" i="3"/>
  <c r="D1865" i="3"/>
  <c r="E1864" i="3"/>
  <c r="D1864" i="3"/>
  <c r="E1863" i="3"/>
  <c r="D1863" i="3"/>
  <c r="E1862" i="3"/>
  <c r="D1862" i="3"/>
  <c r="E1861" i="3"/>
  <c r="D1861" i="3"/>
  <c r="E1860" i="3"/>
  <c r="D1860" i="3"/>
  <c r="E1859" i="3"/>
  <c r="D1859" i="3"/>
  <c r="E1858" i="3"/>
  <c r="D1858" i="3"/>
  <c r="E1857" i="3"/>
  <c r="D1857" i="3"/>
  <c r="E1856" i="3"/>
  <c r="D1856" i="3"/>
  <c r="E1855" i="3"/>
  <c r="D1855" i="3"/>
  <c r="E1854" i="3"/>
  <c r="D1854" i="3"/>
  <c r="E1853" i="3"/>
  <c r="D1853" i="3"/>
  <c r="E1852" i="3"/>
  <c r="D1852" i="3"/>
  <c r="E1851" i="3"/>
  <c r="D1851" i="3"/>
  <c r="E1850" i="3"/>
  <c r="D1850" i="3"/>
  <c r="E1849" i="3"/>
  <c r="D1849" i="3"/>
  <c r="E1848" i="3"/>
  <c r="D1848" i="3"/>
  <c r="E1847" i="3"/>
  <c r="D1847" i="3"/>
  <c r="E1846" i="3"/>
  <c r="D1846" i="3"/>
  <c r="E1845" i="3"/>
  <c r="D1845" i="3"/>
  <c r="E1844" i="3"/>
  <c r="D1844" i="3"/>
  <c r="E1843" i="3"/>
  <c r="D1843" i="3"/>
  <c r="E1842" i="3"/>
  <c r="D1842" i="3"/>
  <c r="E1841" i="3"/>
  <c r="D1841" i="3"/>
  <c r="E1840" i="3"/>
  <c r="D1840" i="3"/>
  <c r="E1839" i="3"/>
  <c r="D1839" i="3"/>
  <c r="E1838" i="3"/>
  <c r="D1838" i="3"/>
  <c r="E1837" i="3"/>
  <c r="D1837" i="3"/>
  <c r="E1836" i="3"/>
  <c r="D1836" i="3"/>
  <c r="E1835" i="3"/>
  <c r="D1835" i="3"/>
  <c r="E1834" i="3"/>
  <c r="D1834" i="3"/>
  <c r="E1833" i="3"/>
  <c r="D1833" i="3"/>
  <c r="E1832" i="3"/>
  <c r="D1832" i="3"/>
  <c r="E1831" i="3"/>
  <c r="D1831" i="3"/>
  <c r="E1830" i="3"/>
  <c r="D1830" i="3"/>
  <c r="E1829" i="3"/>
  <c r="D1829" i="3"/>
  <c r="E1828" i="3"/>
  <c r="D1828" i="3"/>
  <c r="E1827" i="3"/>
  <c r="D1827" i="3"/>
  <c r="E1826" i="3"/>
  <c r="D1826" i="3"/>
  <c r="E1825" i="3"/>
  <c r="D1825" i="3"/>
  <c r="E1824" i="3"/>
  <c r="D1824" i="3"/>
  <c r="E1823" i="3"/>
  <c r="D1823" i="3"/>
  <c r="E1822" i="3"/>
  <c r="D1822" i="3"/>
  <c r="E1821" i="3"/>
  <c r="D1821" i="3"/>
  <c r="E1820" i="3"/>
  <c r="D1820" i="3"/>
  <c r="E1819" i="3"/>
  <c r="D1819" i="3"/>
  <c r="E1818" i="3"/>
  <c r="D1818" i="3"/>
  <c r="E1817" i="3"/>
  <c r="D1817" i="3"/>
  <c r="E1816" i="3"/>
  <c r="D1816" i="3"/>
  <c r="E1815" i="3"/>
  <c r="D1815" i="3"/>
  <c r="E1814" i="3"/>
  <c r="D1814" i="3"/>
  <c r="E1813" i="3"/>
  <c r="D1813" i="3"/>
  <c r="E1812" i="3"/>
  <c r="D1812" i="3"/>
  <c r="E1811" i="3"/>
  <c r="D1811" i="3"/>
  <c r="E1810" i="3"/>
  <c r="D1810" i="3"/>
  <c r="E1809" i="3"/>
  <c r="D1809" i="3"/>
  <c r="E1808" i="3"/>
  <c r="D1808" i="3"/>
  <c r="E1807" i="3"/>
  <c r="D1807" i="3"/>
  <c r="E1806" i="3"/>
  <c r="D1806" i="3"/>
  <c r="E1805" i="3"/>
  <c r="D1805" i="3"/>
  <c r="E1804" i="3"/>
  <c r="D1804" i="3"/>
  <c r="E1803" i="3"/>
  <c r="D1803" i="3"/>
  <c r="E1802" i="3"/>
  <c r="D1802" i="3"/>
  <c r="E1801" i="3"/>
  <c r="D1801" i="3"/>
  <c r="E1800" i="3"/>
  <c r="D1800" i="3"/>
  <c r="E1799" i="3"/>
  <c r="D1799" i="3"/>
  <c r="E1798" i="3"/>
  <c r="D1798" i="3"/>
  <c r="E1797" i="3"/>
  <c r="D1797" i="3"/>
  <c r="E1796" i="3"/>
  <c r="D1796" i="3"/>
  <c r="E1795" i="3"/>
  <c r="D1795" i="3"/>
  <c r="E1794" i="3"/>
  <c r="D1794" i="3"/>
  <c r="E1793" i="3"/>
  <c r="D1793" i="3"/>
  <c r="E1792" i="3"/>
  <c r="D1792" i="3"/>
  <c r="E1791" i="3"/>
  <c r="D1791" i="3"/>
  <c r="E1790" i="3"/>
  <c r="D1790" i="3"/>
  <c r="E1789" i="3"/>
  <c r="D1789" i="3"/>
  <c r="E1788" i="3"/>
  <c r="D1788" i="3"/>
  <c r="E1787" i="3"/>
  <c r="D1787" i="3"/>
  <c r="E1786" i="3"/>
  <c r="D1786" i="3"/>
  <c r="E1785" i="3"/>
  <c r="D1785" i="3"/>
  <c r="E1784" i="3"/>
  <c r="D1784" i="3"/>
  <c r="E1783" i="3"/>
  <c r="D1783" i="3"/>
  <c r="E1782" i="3"/>
  <c r="D1782" i="3"/>
  <c r="E1781" i="3"/>
  <c r="D1781" i="3"/>
  <c r="E1780" i="3"/>
  <c r="D1780" i="3"/>
  <c r="E1779" i="3"/>
  <c r="D1779" i="3"/>
  <c r="E1778" i="3"/>
  <c r="D1778" i="3"/>
  <c r="E1777" i="3"/>
  <c r="D1777" i="3"/>
  <c r="E1776" i="3"/>
  <c r="D1776" i="3"/>
  <c r="E1775" i="3"/>
  <c r="D1775" i="3"/>
  <c r="E1774" i="3"/>
  <c r="D1774" i="3"/>
  <c r="E1773" i="3"/>
  <c r="D1773" i="3"/>
  <c r="E1772" i="3"/>
  <c r="D1772" i="3"/>
  <c r="E1771" i="3"/>
  <c r="D1771" i="3"/>
  <c r="E1770" i="3"/>
  <c r="D1770" i="3"/>
  <c r="E1769" i="3"/>
  <c r="D1769" i="3"/>
  <c r="E1768" i="3"/>
  <c r="D1768" i="3"/>
  <c r="E1767" i="3"/>
  <c r="D1767" i="3"/>
  <c r="E1766" i="3"/>
  <c r="D1766" i="3"/>
  <c r="E1765" i="3"/>
  <c r="D1765" i="3"/>
  <c r="E1764" i="3"/>
  <c r="D1764" i="3"/>
  <c r="E1763" i="3"/>
  <c r="D1763" i="3"/>
  <c r="E1762" i="3"/>
  <c r="D1762" i="3"/>
  <c r="E1761" i="3"/>
  <c r="D1761" i="3"/>
  <c r="E1760" i="3"/>
  <c r="D1760" i="3"/>
  <c r="E1759" i="3"/>
  <c r="D1759" i="3"/>
  <c r="E1758" i="3"/>
  <c r="D1758" i="3"/>
  <c r="E1757" i="3"/>
  <c r="D1757" i="3"/>
  <c r="E1756" i="3"/>
  <c r="D1756" i="3"/>
  <c r="E1755" i="3"/>
  <c r="D1755" i="3"/>
  <c r="E1754" i="3"/>
  <c r="D1754" i="3"/>
  <c r="E1753" i="3"/>
  <c r="D1753" i="3"/>
  <c r="E1752" i="3"/>
  <c r="D1752" i="3"/>
  <c r="E1751" i="3"/>
  <c r="D1751" i="3"/>
  <c r="E1750" i="3"/>
  <c r="D1750" i="3"/>
  <c r="E1749" i="3"/>
  <c r="D1749" i="3"/>
  <c r="E1748" i="3"/>
  <c r="D1748" i="3"/>
  <c r="E1747" i="3"/>
  <c r="D1747" i="3"/>
  <c r="E1746" i="3"/>
  <c r="D1746" i="3"/>
  <c r="E1745" i="3"/>
  <c r="D1745" i="3"/>
  <c r="E1744" i="3"/>
  <c r="D1744" i="3"/>
  <c r="E1743" i="3"/>
  <c r="D1743" i="3"/>
  <c r="E1742" i="3"/>
  <c r="D1742" i="3"/>
  <c r="E1741" i="3"/>
  <c r="D1741" i="3"/>
  <c r="E1740" i="3"/>
  <c r="D1740" i="3"/>
  <c r="E1739" i="3"/>
  <c r="D1739" i="3"/>
  <c r="E1738" i="3"/>
  <c r="D1738" i="3"/>
  <c r="E1737" i="3"/>
  <c r="D1737" i="3"/>
  <c r="E1736" i="3"/>
  <c r="D1736" i="3"/>
  <c r="E1735" i="3"/>
  <c r="D1735" i="3"/>
  <c r="E1734" i="3"/>
  <c r="D1734" i="3"/>
  <c r="E1733" i="3"/>
  <c r="D1733" i="3"/>
  <c r="E1732" i="3"/>
  <c r="D1732" i="3"/>
  <c r="E1731" i="3"/>
  <c r="D1731" i="3"/>
  <c r="E1730" i="3"/>
  <c r="D1730" i="3"/>
  <c r="E1729" i="3"/>
  <c r="D1729" i="3"/>
  <c r="E1728" i="3"/>
  <c r="D1728" i="3"/>
  <c r="E1727" i="3"/>
  <c r="D1727" i="3"/>
  <c r="E1726" i="3"/>
  <c r="D1726" i="3"/>
  <c r="E1725" i="3"/>
  <c r="D1725" i="3"/>
  <c r="E1724" i="3"/>
  <c r="D1724" i="3"/>
  <c r="E1723" i="3"/>
  <c r="D1723" i="3"/>
  <c r="E1722" i="3"/>
  <c r="D1722" i="3"/>
  <c r="E1721" i="3"/>
  <c r="D1721" i="3"/>
  <c r="E1720" i="3"/>
  <c r="D1720" i="3"/>
  <c r="E1719" i="3"/>
  <c r="D1719" i="3"/>
  <c r="E1718" i="3"/>
  <c r="D1718" i="3"/>
  <c r="E1717" i="3"/>
  <c r="D1717" i="3"/>
  <c r="E1716" i="3"/>
  <c r="D1716" i="3"/>
  <c r="E1715" i="3"/>
  <c r="D1715" i="3"/>
  <c r="E1714" i="3"/>
  <c r="D1714" i="3"/>
  <c r="E1713" i="3"/>
  <c r="D1713" i="3"/>
  <c r="E1712" i="3"/>
  <c r="D1712" i="3"/>
  <c r="E1711" i="3"/>
  <c r="D1711" i="3"/>
  <c r="E1710" i="3"/>
  <c r="D1710" i="3"/>
  <c r="E1709" i="3"/>
  <c r="D1709" i="3"/>
  <c r="E1708" i="3"/>
  <c r="D1708" i="3"/>
  <c r="E1707" i="3"/>
  <c r="D1707" i="3"/>
  <c r="E1706" i="3"/>
  <c r="D1706" i="3"/>
  <c r="E1705" i="3"/>
  <c r="D1705" i="3"/>
  <c r="E1704" i="3"/>
  <c r="D1704" i="3"/>
  <c r="E1703" i="3"/>
  <c r="D1703" i="3"/>
  <c r="E1702" i="3"/>
  <c r="D1702" i="3"/>
  <c r="E1701" i="3"/>
  <c r="D1701" i="3"/>
  <c r="E1700" i="3"/>
  <c r="D1700" i="3"/>
  <c r="E1699" i="3"/>
  <c r="D1699" i="3"/>
  <c r="E1698" i="3"/>
  <c r="D1698" i="3"/>
  <c r="E1697" i="3"/>
  <c r="D1697" i="3"/>
  <c r="E1696" i="3"/>
  <c r="D1696" i="3"/>
  <c r="E1695" i="3"/>
  <c r="D1695" i="3"/>
  <c r="E1694" i="3"/>
  <c r="D1694" i="3"/>
  <c r="E1693" i="3"/>
  <c r="D1693" i="3"/>
  <c r="E1692" i="3"/>
  <c r="D1692" i="3"/>
  <c r="E1691" i="3"/>
  <c r="D1691" i="3"/>
  <c r="E1690" i="3"/>
  <c r="D1690" i="3"/>
  <c r="E1689" i="3"/>
  <c r="D1689" i="3"/>
  <c r="E1688" i="3"/>
  <c r="D1688" i="3"/>
  <c r="E1687" i="3"/>
  <c r="D1687" i="3"/>
  <c r="E1686" i="3"/>
  <c r="D1686" i="3"/>
  <c r="E1685" i="3"/>
  <c r="D1685" i="3"/>
  <c r="E1684" i="3"/>
  <c r="D1684" i="3"/>
  <c r="E1683" i="3"/>
  <c r="D1683" i="3"/>
  <c r="E1682" i="3"/>
  <c r="D1682" i="3"/>
  <c r="E1681" i="3"/>
  <c r="D1681" i="3"/>
  <c r="E1680" i="3"/>
  <c r="D1680" i="3"/>
  <c r="E1679" i="3"/>
  <c r="D1679" i="3"/>
  <c r="E1678" i="3"/>
  <c r="D1678" i="3"/>
  <c r="E1677" i="3"/>
  <c r="D1677" i="3"/>
  <c r="E1676" i="3"/>
  <c r="D1676" i="3"/>
  <c r="E1675" i="3"/>
  <c r="D1675" i="3"/>
  <c r="E1674" i="3"/>
  <c r="D1674" i="3"/>
  <c r="E1673" i="3"/>
  <c r="D1673" i="3"/>
  <c r="E1672" i="3"/>
  <c r="D1672" i="3"/>
  <c r="E1671" i="3"/>
  <c r="D1671" i="3"/>
  <c r="E1670" i="3"/>
  <c r="D1670" i="3"/>
  <c r="E1669" i="3"/>
  <c r="D1669" i="3"/>
  <c r="E1668" i="3"/>
  <c r="D1668" i="3"/>
  <c r="E1667" i="3"/>
  <c r="D1667" i="3"/>
  <c r="E1666" i="3"/>
  <c r="D1666" i="3"/>
  <c r="E1665" i="3"/>
  <c r="D1665" i="3"/>
  <c r="E1664" i="3"/>
  <c r="D1664" i="3"/>
  <c r="E1663" i="3"/>
  <c r="D1663" i="3"/>
  <c r="E1662" i="3"/>
  <c r="D1662" i="3"/>
  <c r="E1661" i="3"/>
  <c r="D1661" i="3"/>
  <c r="E1660" i="3"/>
  <c r="D1660" i="3"/>
  <c r="E1659" i="3"/>
  <c r="D1659" i="3"/>
  <c r="E1658" i="3"/>
  <c r="D1658" i="3"/>
  <c r="E1657" i="3"/>
  <c r="D1657" i="3"/>
  <c r="E1656" i="3"/>
  <c r="D1656" i="3"/>
  <c r="E1655" i="3"/>
  <c r="D1655" i="3"/>
  <c r="E1654" i="3"/>
  <c r="D1654" i="3"/>
  <c r="E1653" i="3"/>
  <c r="D1653" i="3"/>
  <c r="E1652" i="3"/>
  <c r="D1652" i="3"/>
  <c r="E1651" i="3"/>
  <c r="D1651" i="3"/>
  <c r="E1650" i="3"/>
  <c r="D1650" i="3"/>
  <c r="E1649" i="3"/>
  <c r="D1649" i="3"/>
  <c r="E1648" i="3"/>
  <c r="D1648" i="3"/>
  <c r="E1647" i="3"/>
  <c r="D1647" i="3"/>
  <c r="E1646" i="3"/>
  <c r="D1646" i="3"/>
  <c r="E1645" i="3"/>
  <c r="D1645" i="3"/>
  <c r="E1644" i="3"/>
  <c r="D1644" i="3"/>
  <c r="E1643" i="3"/>
  <c r="D1643" i="3"/>
  <c r="E1642" i="3"/>
  <c r="D1642" i="3"/>
  <c r="E1641" i="3"/>
  <c r="D1641" i="3"/>
  <c r="E1640" i="3"/>
  <c r="D1640" i="3"/>
  <c r="E1639" i="3"/>
  <c r="D1639" i="3"/>
  <c r="E1638" i="3"/>
  <c r="D1638" i="3"/>
  <c r="E1637" i="3"/>
  <c r="D1637" i="3"/>
  <c r="E1636" i="3"/>
  <c r="D1636" i="3"/>
  <c r="E1635" i="3"/>
  <c r="D1635" i="3"/>
  <c r="E1634" i="3"/>
  <c r="D1634" i="3"/>
  <c r="E1633" i="3"/>
  <c r="D1633" i="3"/>
  <c r="E1632" i="3"/>
  <c r="D1632" i="3"/>
  <c r="E1631" i="3"/>
  <c r="D1631" i="3"/>
  <c r="E1630" i="3"/>
  <c r="D1630" i="3"/>
  <c r="E1629" i="3"/>
  <c r="D1629" i="3"/>
  <c r="E1628" i="3"/>
  <c r="D1628" i="3"/>
  <c r="E1627" i="3"/>
  <c r="D1627" i="3"/>
  <c r="E1626" i="3"/>
  <c r="D1626" i="3"/>
  <c r="E1625" i="3"/>
  <c r="D1625" i="3"/>
  <c r="E1624" i="3"/>
  <c r="D1624" i="3"/>
  <c r="E1623" i="3"/>
  <c r="D1623" i="3"/>
  <c r="E1622" i="3"/>
  <c r="D1622" i="3"/>
  <c r="E1621" i="3"/>
  <c r="D1621" i="3"/>
  <c r="E1620" i="3"/>
  <c r="D1620" i="3"/>
  <c r="E1619" i="3"/>
  <c r="D1619" i="3"/>
  <c r="E1618" i="3"/>
  <c r="D1618" i="3"/>
  <c r="E1617" i="3"/>
  <c r="D1617" i="3"/>
  <c r="E1616" i="3"/>
  <c r="D1616" i="3"/>
  <c r="E1615" i="3"/>
  <c r="D1615" i="3"/>
  <c r="E1614" i="3"/>
  <c r="D1614" i="3"/>
  <c r="E1613" i="3"/>
  <c r="D1613" i="3"/>
  <c r="E1612" i="3"/>
  <c r="D1612" i="3"/>
  <c r="E1611" i="3"/>
  <c r="D1611" i="3"/>
  <c r="E1610" i="3"/>
  <c r="D1610" i="3"/>
  <c r="E1609" i="3"/>
  <c r="D1609" i="3"/>
  <c r="E1608" i="3"/>
  <c r="D1608" i="3"/>
  <c r="E1607" i="3"/>
  <c r="D1607" i="3"/>
  <c r="E1606" i="3"/>
  <c r="D1606" i="3"/>
  <c r="E1605" i="3"/>
  <c r="D1605" i="3"/>
  <c r="E1604" i="3"/>
  <c r="D1604" i="3"/>
  <c r="E1603" i="3"/>
  <c r="D1603" i="3"/>
  <c r="E1602" i="3"/>
  <c r="D1602" i="3"/>
  <c r="E1601" i="3"/>
  <c r="D1601" i="3"/>
  <c r="E1600" i="3"/>
  <c r="D1600" i="3"/>
  <c r="E1599" i="3"/>
  <c r="D1599" i="3"/>
  <c r="E1598" i="3"/>
  <c r="D1598" i="3"/>
  <c r="E1597" i="3"/>
  <c r="D1597" i="3"/>
  <c r="E1596" i="3"/>
  <c r="D1596" i="3"/>
  <c r="E1595" i="3"/>
  <c r="D1595" i="3"/>
  <c r="E1594" i="3"/>
  <c r="D1594" i="3"/>
  <c r="E1593" i="3"/>
  <c r="D1593" i="3"/>
  <c r="E1592" i="3"/>
  <c r="D1592" i="3"/>
  <c r="E1591" i="3"/>
  <c r="D1591" i="3"/>
  <c r="E1590" i="3"/>
  <c r="D1590" i="3"/>
  <c r="E1589" i="3"/>
  <c r="D1589" i="3"/>
  <c r="E1588" i="3"/>
  <c r="D1588" i="3"/>
  <c r="E1587" i="3"/>
  <c r="D1587" i="3"/>
  <c r="E1586" i="3"/>
  <c r="D1586" i="3"/>
  <c r="E1585" i="3"/>
  <c r="D1585" i="3"/>
  <c r="E1584" i="3"/>
  <c r="D1584" i="3"/>
  <c r="E1583" i="3"/>
  <c r="D1583" i="3"/>
  <c r="E1582" i="3"/>
  <c r="D1582" i="3"/>
  <c r="E1581" i="3"/>
  <c r="D1581" i="3"/>
  <c r="E1580" i="3"/>
  <c r="D1580" i="3"/>
  <c r="E1579" i="3"/>
  <c r="D1579" i="3"/>
  <c r="E1578" i="3"/>
  <c r="D1578" i="3"/>
  <c r="E1577" i="3"/>
  <c r="D1577" i="3"/>
  <c r="E1576" i="3"/>
  <c r="D1576" i="3"/>
  <c r="E1575" i="3"/>
  <c r="D1575" i="3"/>
  <c r="E1574" i="3"/>
  <c r="D1574" i="3"/>
  <c r="E1573" i="3"/>
  <c r="D1573" i="3"/>
  <c r="E1572" i="3"/>
  <c r="D1572" i="3"/>
  <c r="E1571" i="3"/>
  <c r="D1571" i="3"/>
  <c r="E1570" i="3"/>
  <c r="D1570" i="3"/>
  <c r="E1569" i="3"/>
  <c r="D1569" i="3"/>
  <c r="E1568" i="3"/>
  <c r="D1568" i="3"/>
  <c r="E1567" i="3"/>
  <c r="D1567" i="3"/>
  <c r="E1566" i="3"/>
  <c r="D1566" i="3"/>
  <c r="E1565" i="3"/>
  <c r="D1565" i="3"/>
  <c r="E1564" i="3"/>
  <c r="D1564" i="3"/>
  <c r="E1563" i="3"/>
  <c r="D1563" i="3"/>
  <c r="E1562" i="3"/>
  <c r="D1562" i="3"/>
  <c r="E1561" i="3"/>
  <c r="D1561" i="3"/>
  <c r="E1560" i="3"/>
  <c r="D1560" i="3"/>
  <c r="E1559" i="3"/>
  <c r="D1559" i="3"/>
  <c r="E1558" i="3"/>
  <c r="D1558" i="3"/>
  <c r="E1557" i="3"/>
  <c r="D1557" i="3"/>
  <c r="E1556" i="3"/>
  <c r="D1556" i="3"/>
  <c r="E1555" i="3"/>
  <c r="D1555" i="3"/>
  <c r="E1554" i="3"/>
  <c r="D1554" i="3"/>
  <c r="E1553" i="3"/>
  <c r="D1553" i="3"/>
  <c r="E1552" i="3"/>
  <c r="D1552" i="3"/>
  <c r="E1551" i="3"/>
  <c r="D1551" i="3"/>
  <c r="E1550" i="3"/>
  <c r="D1550" i="3"/>
  <c r="E1549" i="3"/>
  <c r="D1549" i="3"/>
  <c r="E1548" i="3"/>
  <c r="D1548" i="3"/>
  <c r="E1547" i="3"/>
  <c r="D1547" i="3"/>
  <c r="E1546" i="3"/>
  <c r="D1546" i="3"/>
  <c r="E1545" i="3"/>
  <c r="D1545" i="3"/>
  <c r="E1544" i="3"/>
  <c r="D1544" i="3"/>
  <c r="E1543" i="3"/>
  <c r="D1543" i="3"/>
  <c r="E1542" i="3"/>
  <c r="D1542" i="3"/>
  <c r="E1541" i="3"/>
  <c r="D1541" i="3"/>
  <c r="E1540" i="3"/>
  <c r="D1540" i="3"/>
  <c r="E1539" i="3"/>
  <c r="D1539" i="3"/>
  <c r="E1538" i="3"/>
  <c r="D1538" i="3"/>
  <c r="E1537" i="3"/>
  <c r="D1537" i="3"/>
  <c r="E1536" i="3"/>
  <c r="D1536" i="3"/>
  <c r="E1535" i="3"/>
  <c r="D1535" i="3"/>
  <c r="E1534" i="3"/>
  <c r="D1534" i="3"/>
  <c r="E1533" i="3"/>
  <c r="D1533" i="3"/>
  <c r="E1532" i="3"/>
  <c r="D1532" i="3"/>
  <c r="E1531" i="3"/>
  <c r="D1531" i="3"/>
  <c r="E1530" i="3"/>
  <c r="D1530" i="3"/>
  <c r="E1529" i="3"/>
  <c r="D1529" i="3"/>
  <c r="E1528" i="3"/>
  <c r="D1528" i="3"/>
  <c r="E1527" i="3"/>
  <c r="D1527" i="3"/>
  <c r="E1526" i="3"/>
  <c r="D1526" i="3"/>
  <c r="E1525" i="3"/>
  <c r="D1525" i="3"/>
  <c r="E1524" i="3"/>
  <c r="D1524" i="3"/>
  <c r="E1523" i="3"/>
  <c r="D1523" i="3"/>
  <c r="E1522" i="3"/>
  <c r="D1522" i="3"/>
  <c r="E1521" i="3"/>
  <c r="D1521" i="3"/>
  <c r="E1520" i="3"/>
  <c r="D1520" i="3"/>
  <c r="E1519" i="3"/>
  <c r="D1519" i="3"/>
  <c r="E1518" i="3"/>
  <c r="D1518" i="3"/>
  <c r="E1517" i="3"/>
  <c r="D1517" i="3"/>
  <c r="E1516" i="3"/>
  <c r="D1516" i="3"/>
  <c r="E1515" i="3"/>
  <c r="D1515" i="3"/>
  <c r="E1514" i="3"/>
  <c r="D1514" i="3"/>
  <c r="E1513" i="3"/>
  <c r="D1513" i="3"/>
  <c r="E1512" i="3"/>
  <c r="D1512" i="3"/>
  <c r="E1511" i="3"/>
  <c r="D1511" i="3"/>
  <c r="E1510" i="3"/>
  <c r="D1510" i="3"/>
  <c r="E1509" i="3"/>
  <c r="D1509" i="3"/>
  <c r="E1508" i="3"/>
  <c r="D1508" i="3"/>
  <c r="E1507" i="3"/>
  <c r="D1507" i="3"/>
  <c r="E1506" i="3"/>
  <c r="D1506" i="3"/>
  <c r="E1505" i="3"/>
  <c r="D1505" i="3"/>
  <c r="E1504" i="3"/>
  <c r="D1504" i="3"/>
  <c r="E1503" i="3"/>
  <c r="D1503" i="3"/>
  <c r="E1502" i="3"/>
  <c r="D1502" i="3"/>
  <c r="E1501" i="3"/>
  <c r="D1501" i="3"/>
  <c r="E1500" i="3"/>
  <c r="D1500" i="3"/>
  <c r="E1499" i="3"/>
  <c r="D1499" i="3"/>
  <c r="E1498" i="3"/>
  <c r="D1498" i="3"/>
  <c r="E1497" i="3"/>
  <c r="D1497" i="3"/>
  <c r="E1496" i="3"/>
  <c r="D1496" i="3"/>
  <c r="E1495" i="3"/>
  <c r="D1495" i="3"/>
  <c r="E1494" i="3"/>
  <c r="D1494" i="3"/>
  <c r="E1493" i="3"/>
  <c r="D1493" i="3"/>
  <c r="E1492" i="3"/>
  <c r="D1492" i="3"/>
  <c r="E1491" i="3"/>
  <c r="D1491" i="3"/>
  <c r="E1490" i="3"/>
  <c r="D1490" i="3"/>
  <c r="E1489" i="3"/>
  <c r="D1489" i="3"/>
  <c r="E1488" i="3"/>
  <c r="D1488" i="3"/>
  <c r="E1487" i="3"/>
  <c r="D1487" i="3"/>
  <c r="E1486" i="3"/>
  <c r="D1486" i="3"/>
  <c r="E1485" i="3"/>
  <c r="D1485" i="3"/>
  <c r="E1484" i="3"/>
  <c r="D1484" i="3"/>
  <c r="E1483" i="3"/>
  <c r="D1483" i="3"/>
  <c r="E1482" i="3"/>
  <c r="D1482" i="3"/>
  <c r="E1481" i="3"/>
  <c r="D1481" i="3"/>
  <c r="E1480" i="3"/>
  <c r="D1480" i="3"/>
  <c r="E1479" i="3"/>
  <c r="D1479" i="3"/>
  <c r="E1478" i="3"/>
  <c r="D1478" i="3"/>
  <c r="E1477" i="3"/>
  <c r="D1477" i="3"/>
  <c r="E1476" i="3"/>
  <c r="D1476" i="3"/>
  <c r="E1475" i="3"/>
  <c r="D1475" i="3"/>
  <c r="E1474" i="3"/>
  <c r="D1474" i="3"/>
  <c r="E1473" i="3"/>
  <c r="D1473" i="3"/>
  <c r="E1472" i="3"/>
  <c r="D1472" i="3"/>
  <c r="E1471" i="3"/>
  <c r="D1471" i="3"/>
  <c r="E1470" i="3"/>
  <c r="D1470" i="3"/>
  <c r="E1469" i="3"/>
  <c r="D1469" i="3"/>
  <c r="E1468" i="3"/>
  <c r="D1468" i="3"/>
  <c r="E1467" i="3"/>
  <c r="D1467" i="3"/>
  <c r="E1466" i="3"/>
  <c r="D1466" i="3"/>
  <c r="E1465" i="3"/>
  <c r="D1465" i="3"/>
  <c r="E1464" i="3"/>
  <c r="D1464" i="3"/>
  <c r="E1463" i="3"/>
  <c r="D1463" i="3"/>
  <c r="E1462" i="3"/>
  <c r="D1462" i="3"/>
  <c r="E1461" i="3"/>
  <c r="D1461" i="3"/>
  <c r="E1460" i="3"/>
  <c r="D1460" i="3"/>
  <c r="E1459" i="3"/>
  <c r="D1459" i="3"/>
  <c r="E1458" i="3"/>
  <c r="D1458" i="3"/>
  <c r="E1457" i="3"/>
  <c r="D1457" i="3"/>
  <c r="E1456" i="3"/>
  <c r="D1456" i="3"/>
  <c r="E1455" i="3"/>
  <c r="D1455" i="3"/>
  <c r="E1454" i="3"/>
  <c r="D1454" i="3"/>
  <c r="E1453" i="3"/>
  <c r="D1453" i="3"/>
  <c r="E1452" i="3"/>
  <c r="D1452" i="3"/>
  <c r="E1451" i="3"/>
  <c r="D1451" i="3"/>
  <c r="E1450" i="3"/>
  <c r="D1450" i="3"/>
  <c r="E1449" i="3"/>
  <c r="D1449" i="3"/>
  <c r="E1448" i="3"/>
  <c r="D1448" i="3"/>
  <c r="E1447" i="3"/>
  <c r="D1447" i="3"/>
  <c r="E1446" i="3"/>
  <c r="D1446" i="3"/>
  <c r="E1445" i="3"/>
  <c r="D1445" i="3"/>
  <c r="E1444" i="3"/>
  <c r="D1444" i="3"/>
  <c r="E1443" i="3"/>
  <c r="D1443" i="3"/>
  <c r="E1442" i="3"/>
  <c r="D1442" i="3"/>
  <c r="E1441" i="3"/>
  <c r="D1441" i="3"/>
  <c r="E1440" i="3"/>
  <c r="D1440" i="3"/>
  <c r="E1439" i="3"/>
  <c r="D1439" i="3"/>
  <c r="E1438" i="3"/>
  <c r="D1438" i="3"/>
  <c r="E1437" i="3"/>
  <c r="D1437" i="3"/>
  <c r="E1436" i="3"/>
  <c r="D1436" i="3"/>
  <c r="E1435" i="3"/>
  <c r="D1435" i="3"/>
  <c r="E1434" i="3"/>
  <c r="D1434" i="3"/>
  <c r="E1433" i="3"/>
  <c r="D1433" i="3"/>
  <c r="E1432" i="3"/>
  <c r="D1432" i="3"/>
  <c r="E1431" i="3"/>
  <c r="D1431" i="3"/>
  <c r="E1430" i="3"/>
  <c r="D1430" i="3"/>
  <c r="E1429" i="3"/>
  <c r="D1429" i="3"/>
  <c r="E1428" i="3"/>
  <c r="D1428" i="3"/>
  <c r="E1427" i="3"/>
  <c r="D1427" i="3"/>
  <c r="E1426" i="3"/>
  <c r="D1426" i="3"/>
  <c r="E1425" i="3"/>
  <c r="D1425" i="3"/>
  <c r="E1424" i="3"/>
  <c r="D1424" i="3"/>
  <c r="E1423" i="3"/>
  <c r="D1423" i="3"/>
  <c r="E1422" i="3"/>
  <c r="D1422" i="3"/>
  <c r="E1421" i="3"/>
  <c r="D1421" i="3"/>
  <c r="E1420" i="3"/>
  <c r="D1420" i="3"/>
  <c r="E1419" i="3"/>
  <c r="D1419" i="3"/>
  <c r="E1418" i="3"/>
  <c r="D1418" i="3"/>
  <c r="E1417" i="3"/>
  <c r="D1417" i="3"/>
  <c r="E1416" i="3"/>
  <c r="D1416" i="3"/>
  <c r="E1415" i="3"/>
  <c r="D1415" i="3"/>
  <c r="E1414" i="3"/>
  <c r="D1414" i="3"/>
  <c r="E1413" i="3"/>
  <c r="D1413" i="3"/>
  <c r="E1412" i="3"/>
  <c r="D1412" i="3"/>
  <c r="E1411" i="3"/>
  <c r="D1411" i="3"/>
  <c r="E1410" i="3"/>
  <c r="D1410" i="3"/>
  <c r="E1409" i="3"/>
  <c r="D1409" i="3"/>
  <c r="E1408" i="3"/>
  <c r="D1408" i="3"/>
  <c r="E1407" i="3"/>
  <c r="D1407" i="3"/>
  <c r="E1406" i="3"/>
  <c r="D1406" i="3"/>
  <c r="E1405" i="3"/>
  <c r="D1405" i="3"/>
  <c r="E1404" i="3"/>
  <c r="D1404" i="3"/>
  <c r="E1403" i="3"/>
  <c r="D1403" i="3"/>
  <c r="E1402" i="3"/>
  <c r="D1402" i="3"/>
  <c r="E1401" i="3"/>
  <c r="D1401" i="3"/>
  <c r="E1400" i="3"/>
  <c r="D1400" i="3"/>
  <c r="E1399" i="3"/>
  <c r="D1399" i="3"/>
  <c r="E1398" i="3"/>
  <c r="D1398" i="3"/>
  <c r="E1397" i="3"/>
  <c r="D1397" i="3"/>
  <c r="E1396" i="3"/>
  <c r="D1396" i="3"/>
  <c r="E1395" i="3"/>
  <c r="D1395" i="3"/>
  <c r="E1394" i="3"/>
  <c r="D1394" i="3"/>
  <c r="E1393" i="3"/>
  <c r="D1393" i="3"/>
  <c r="E1392" i="3"/>
  <c r="D1392" i="3"/>
  <c r="E1391" i="3"/>
  <c r="D1391" i="3"/>
  <c r="E1390" i="3"/>
  <c r="D1390" i="3"/>
  <c r="E1389" i="3"/>
  <c r="D1389" i="3"/>
  <c r="E1388" i="3"/>
  <c r="D1388" i="3"/>
  <c r="E1387" i="3"/>
  <c r="D1387" i="3"/>
  <c r="E1386" i="3"/>
  <c r="D1386" i="3"/>
  <c r="E1385" i="3"/>
  <c r="D1385" i="3"/>
  <c r="E1384" i="3"/>
  <c r="D1384" i="3"/>
  <c r="E1383" i="3"/>
  <c r="D1383" i="3"/>
  <c r="E1382" i="3"/>
  <c r="D1382" i="3"/>
  <c r="E1381" i="3"/>
  <c r="D1381" i="3"/>
  <c r="E1380" i="3"/>
  <c r="D1380" i="3"/>
  <c r="E1379" i="3"/>
  <c r="D1379" i="3"/>
  <c r="E1378" i="3"/>
  <c r="D1378" i="3"/>
  <c r="E1377" i="3"/>
  <c r="D1377" i="3"/>
  <c r="E1376" i="3"/>
  <c r="D1376" i="3"/>
  <c r="E1375" i="3"/>
  <c r="D1375" i="3"/>
  <c r="E1374" i="3"/>
  <c r="D1374" i="3"/>
  <c r="E1373" i="3"/>
  <c r="D1373" i="3"/>
  <c r="E1372" i="3"/>
  <c r="D1372" i="3"/>
  <c r="E1371" i="3"/>
  <c r="D1371" i="3"/>
  <c r="E1370" i="3"/>
  <c r="D1370" i="3"/>
  <c r="E1369" i="3"/>
  <c r="D1369" i="3"/>
  <c r="E1368" i="3"/>
  <c r="D1368" i="3"/>
  <c r="E1367" i="3"/>
  <c r="D1367" i="3"/>
  <c r="E1366" i="3"/>
  <c r="D1366" i="3"/>
  <c r="E1365" i="3"/>
  <c r="D1365" i="3"/>
  <c r="E1364" i="3"/>
  <c r="D1364" i="3"/>
  <c r="E1363" i="3"/>
  <c r="D1363" i="3"/>
  <c r="E1362" i="3"/>
  <c r="D1362" i="3"/>
  <c r="E1361" i="3"/>
  <c r="D1361" i="3"/>
  <c r="E1360" i="3"/>
  <c r="D1360" i="3"/>
  <c r="E1359" i="3"/>
  <c r="D1359" i="3"/>
  <c r="E1358" i="3"/>
  <c r="D1358" i="3"/>
  <c r="E1357" i="3"/>
  <c r="D1357" i="3"/>
  <c r="E1356" i="3"/>
  <c r="D1356" i="3"/>
  <c r="E1355" i="3"/>
  <c r="D1355" i="3"/>
  <c r="E1354" i="3"/>
  <c r="D1354" i="3"/>
  <c r="E1353" i="3"/>
  <c r="D1353" i="3"/>
  <c r="E1352" i="3"/>
  <c r="D1352" i="3"/>
  <c r="E1351" i="3"/>
  <c r="D1351" i="3"/>
  <c r="E1350" i="3"/>
  <c r="D1350" i="3"/>
  <c r="E1349" i="3"/>
  <c r="D1349" i="3"/>
  <c r="E1348" i="3"/>
  <c r="D1348" i="3"/>
  <c r="E1347" i="3"/>
  <c r="D1347" i="3"/>
  <c r="E1346" i="3"/>
  <c r="D1346" i="3"/>
  <c r="E1345" i="3"/>
  <c r="D1345" i="3"/>
  <c r="E1344" i="3"/>
  <c r="D1344" i="3"/>
  <c r="E1343" i="3"/>
  <c r="D1343" i="3"/>
  <c r="E1342" i="3"/>
  <c r="D1342" i="3"/>
  <c r="E1341" i="3"/>
  <c r="D1341" i="3"/>
  <c r="E1340" i="3"/>
  <c r="D1340" i="3"/>
  <c r="E1339" i="3"/>
  <c r="D1339" i="3"/>
  <c r="E1338" i="3"/>
  <c r="D1338" i="3"/>
  <c r="E1337" i="3"/>
  <c r="D1337" i="3"/>
  <c r="E1336" i="3"/>
  <c r="D1336" i="3"/>
  <c r="E1335" i="3"/>
  <c r="D1335" i="3"/>
  <c r="E1334" i="3"/>
  <c r="D1334" i="3"/>
  <c r="E1333" i="3"/>
  <c r="D1333" i="3"/>
  <c r="E1332" i="3"/>
  <c r="D1332" i="3"/>
  <c r="E1331" i="3"/>
  <c r="D1331" i="3"/>
  <c r="E1330" i="3"/>
  <c r="D1330" i="3"/>
  <c r="E1329" i="3"/>
  <c r="D1329" i="3"/>
  <c r="E1328" i="3"/>
  <c r="D1328" i="3"/>
  <c r="E1327" i="3"/>
  <c r="D1327" i="3"/>
  <c r="E1326" i="3"/>
  <c r="D1326" i="3"/>
  <c r="E1325" i="3"/>
  <c r="D1325" i="3"/>
  <c r="E1324" i="3"/>
  <c r="D1324" i="3"/>
  <c r="E1323" i="3"/>
  <c r="D1323" i="3"/>
  <c r="E1322" i="3"/>
  <c r="D1322" i="3"/>
  <c r="E1321" i="3"/>
  <c r="D1321" i="3"/>
  <c r="E1320" i="3"/>
  <c r="D1320" i="3"/>
  <c r="E1319" i="3"/>
  <c r="D1319" i="3"/>
  <c r="E1318" i="3"/>
  <c r="D1318" i="3"/>
  <c r="E1317" i="3"/>
  <c r="D1317" i="3"/>
  <c r="E1316" i="3"/>
  <c r="D1316" i="3"/>
  <c r="E1315" i="3"/>
  <c r="D1315" i="3"/>
  <c r="E1314" i="3"/>
  <c r="D1314" i="3"/>
  <c r="E1313" i="3"/>
  <c r="D1313" i="3"/>
  <c r="E1312" i="3"/>
  <c r="D1312" i="3"/>
  <c r="E1311" i="3"/>
  <c r="D1311" i="3"/>
  <c r="E1310" i="3"/>
  <c r="D1310" i="3"/>
  <c r="E1309" i="3"/>
  <c r="D1309" i="3"/>
  <c r="E1308" i="3"/>
  <c r="D1308" i="3"/>
  <c r="E1307" i="3"/>
  <c r="D1307" i="3"/>
  <c r="E1306" i="3"/>
  <c r="D1306" i="3"/>
  <c r="E1305" i="3"/>
  <c r="D1305" i="3"/>
  <c r="E1304" i="3"/>
  <c r="D1304" i="3"/>
  <c r="E1303" i="3"/>
  <c r="D1303" i="3"/>
  <c r="E1302" i="3"/>
  <c r="D1302" i="3"/>
  <c r="E1301" i="3"/>
  <c r="D1301" i="3"/>
  <c r="E1300" i="3"/>
  <c r="D1300" i="3"/>
  <c r="E1299" i="3"/>
  <c r="D1299" i="3"/>
  <c r="E1298" i="3"/>
  <c r="D1298" i="3"/>
  <c r="E1297" i="3"/>
  <c r="D1297" i="3"/>
  <c r="E1296" i="3"/>
  <c r="D1296" i="3"/>
  <c r="E1295" i="3"/>
  <c r="D1295" i="3"/>
  <c r="E1294" i="3"/>
  <c r="D1294" i="3"/>
  <c r="E1293" i="3"/>
  <c r="D1293" i="3"/>
  <c r="E1292" i="3"/>
  <c r="D1292" i="3"/>
  <c r="E1291" i="3"/>
  <c r="D1291" i="3"/>
  <c r="E1290" i="3"/>
  <c r="D1290" i="3"/>
  <c r="E1289" i="3"/>
  <c r="D1289" i="3"/>
  <c r="E1288" i="3"/>
  <c r="D1288" i="3"/>
  <c r="E1287" i="3"/>
  <c r="D1287" i="3"/>
  <c r="E1286" i="3"/>
  <c r="D1286" i="3"/>
  <c r="E1285" i="3"/>
  <c r="D1285" i="3"/>
  <c r="E1284" i="3"/>
  <c r="D1284" i="3"/>
  <c r="E1283" i="3"/>
  <c r="D1283" i="3"/>
  <c r="E1282" i="3"/>
  <c r="D1282" i="3"/>
  <c r="E1281" i="3"/>
  <c r="D1281" i="3"/>
  <c r="E1280" i="3"/>
  <c r="D1280" i="3"/>
  <c r="E1279" i="3"/>
  <c r="D1279" i="3"/>
  <c r="E1278" i="3"/>
  <c r="D1278" i="3"/>
  <c r="E1277" i="3"/>
  <c r="D1277" i="3"/>
  <c r="E1276" i="3"/>
  <c r="D1276" i="3"/>
  <c r="E1275" i="3"/>
  <c r="D1275" i="3"/>
  <c r="E1274" i="3"/>
  <c r="D1274" i="3"/>
  <c r="E1273" i="3"/>
  <c r="D1273" i="3"/>
  <c r="E1272" i="3"/>
  <c r="D1272" i="3"/>
  <c r="E1271" i="3"/>
  <c r="D1271" i="3"/>
  <c r="E1270" i="3"/>
  <c r="D1270" i="3"/>
  <c r="E1269" i="3"/>
  <c r="D1269" i="3"/>
  <c r="E1268" i="3"/>
  <c r="D1268" i="3"/>
  <c r="E1267" i="3"/>
  <c r="D1267" i="3"/>
  <c r="E1266" i="3"/>
  <c r="D1266" i="3"/>
  <c r="E1265" i="3"/>
  <c r="D1265" i="3"/>
  <c r="E1264" i="3"/>
  <c r="D1264" i="3"/>
  <c r="E1263" i="3"/>
  <c r="D1263" i="3"/>
  <c r="E1262" i="3"/>
  <c r="D1262" i="3"/>
  <c r="E1261" i="3"/>
  <c r="D1261" i="3"/>
  <c r="E1260" i="3"/>
  <c r="D1260" i="3"/>
  <c r="E1259" i="3"/>
  <c r="D1259" i="3"/>
  <c r="E1258" i="3"/>
  <c r="D1258" i="3"/>
  <c r="E1257" i="3"/>
  <c r="D1257" i="3"/>
  <c r="E1256" i="3"/>
  <c r="D1256" i="3"/>
  <c r="E1255" i="3"/>
  <c r="D1255" i="3"/>
  <c r="E1254" i="3"/>
  <c r="D1254" i="3"/>
  <c r="E1253" i="3"/>
  <c r="D1253" i="3"/>
  <c r="E1252" i="3"/>
  <c r="D1252" i="3"/>
  <c r="E1251" i="3"/>
  <c r="D1251" i="3"/>
  <c r="E1250" i="3"/>
  <c r="D1250" i="3"/>
  <c r="E1249" i="3"/>
  <c r="D1249" i="3"/>
  <c r="E1248" i="3"/>
  <c r="D1248" i="3"/>
  <c r="E1247" i="3"/>
  <c r="D1247" i="3"/>
  <c r="E1246" i="3"/>
  <c r="D1246" i="3"/>
  <c r="E1245" i="3"/>
  <c r="D1245" i="3"/>
  <c r="E1244" i="3"/>
  <c r="D1244" i="3"/>
  <c r="E1243" i="3"/>
  <c r="D1243" i="3"/>
  <c r="E1242" i="3"/>
  <c r="D1242" i="3"/>
  <c r="E1241" i="3"/>
  <c r="D1241" i="3"/>
  <c r="E1240" i="3"/>
  <c r="D1240" i="3"/>
  <c r="E1239" i="3"/>
  <c r="D1239" i="3"/>
  <c r="E1238" i="3"/>
  <c r="D1238" i="3"/>
  <c r="E1237" i="3"/>
  <c r="D1237" i="3"/>
  <c r="E1236" i="3"/>
  <c r="D1236" i="3"/>
  <c r="E1235" i="3"/>
  <c r="D1235" i="3"/>
  <c r="E1234" i="3"/>
  <c r="D1234" i="3"/>
  <c r="E1233" i="3"/>
  <c r="D1233" i="3"/>
  <c r="E1232" i="3"/>
  <c r="D1232" i="3"/>
  <c r="E1231" i="3"/>
  <c r="D1231" i="3"/>
  <c r="E1230" i="3"/>
  <c r="D1230" i="3"/>
  <c r="E1229" i="3"/>
  <c r="D1229" i="3"/>
  <c r="E1228" i="3"/>
  <c r="D1228" i="3"/>
  <c r="E1227" i="3"/>
  <c r="D1227" i="3"/>
  <c r="E1226" i="3"/>
  <c r="D1226" i="3"/>
  <c r="E1225" i="3"/>
  <c r="D1225" i="3"/>
  <c r="E1224" i="3"/>
  <c r="D1224" i="3"/>
  <c r="E1223" i="3"/>
  <c r="D1223" i="3"/>
  <c r="E1222" i="3"/>
  <c r="D1222" i="3"/>
  <c r="E1221" i="3"/>
  <c r="D1221" i="3"/>
  <c r="E1220" i="3"/>
  <c r="D1220" i="3"/>
  <c r="E1219" i="3"/>
  <c r="D1219" i="3"/>
  <c r="E1218" i="3"/>
  <c r="D1218" i="3"/>
  <c r="E1217" i="3"/>
  <c r="D1217" i="3"/>
  <c r="E1216" i="3"/>
  <c r="D1216" i="3"/>
  <c r="E1215" i="3"/>
  <c r="D1215" i="3"/>
  <c r="E1214" i="3"/>
  <c r="D1214" i="3"/>
  <c r="E1213" i="3"/>
  <c r="D1213" i="3"/>
  <c r="E1212" i="3"/>
  <c r="D1212" i="3"/>
  <c r="E1211" i="3"/>
  <c r="D1211" i="3"/>
  <c r="E1210" i="3"/>
  <c r="D1210" i="3"/>
  <c r="E1209" i="3"/>
  <c r="D1209" i="3"/>
  <c r="E1208" i="3"/>
  <c r="D1208" i="3"/>
  <c r="E1207" i="3"/>
  <c r="D1207" i="3"/>
  <c r="E1206" i="3"/>
  <c r="D1206" i="3"/>
  <c r="E1205" i="3"/>
  <c r="D1205" i="3"/>
  <c r="E1204" i="3"/>
  <c r="D1204" i="3"/>
  <c r="E1203" i="3"/>
  <c r="D1203" i="3"/>
  <c r="E1202" i="3"/>
  <c r="D1202" i="3"/>
  <c r="E1201" i="3"/>
  <c r="D1201" i="3"/>
  <c r="E1200" i="3"/>
  <c r="D1200" i="3"/>
  <c r="E1199" i="3"/>
  <c r="D1199" i="3"/>
  <c r="E1198" i="3"/>
  <c r="D1198" i="3"/>
  <c r="E1197" i="3"/>
  <c r="D1197" i="3"/>
  <c r="E1196" i="3"/>
  <c r="D1196" i="3"/>
  <c r="E1195" i="3"/>
  <c r="D1195" i="3"/>
  <c r="E1194" i="3"/>
  <c r="D1194" i="3"/>
  <c r="E1193" i="3"/>
  <c r="D1193" i="3"/>
  <c r="E1192" i="3"/>
  <c r="D1192" i="3"/>
  <c r="E1191" i="3"/>
  <c r="D1191" i="3"/>
  <c r="E1190" i="3"/>
  <c r="D1190" i="3"/>
  <c r="E1189" i="3"/>
  <c r="D1189" i="3"/>
  <c r="E1188" i="3"/>
  <c r="D1188" i="3"/>
  <c r="E1187" i="3"/>
  <c r="D1187" i="3"/>
  <c r="E1186" i="3"/>
  <c r="D1186" i="3"/>
  <c r="E1185" i="3"/>
  <c r="D1185" i="3"/>
  <c r="E1184" i="3"/>
  <c r="D1184" i="3"/>
  <c r="E1183" i="3"/>
  <c r="D1183" i="3"/>
  <c r="E1182" i="3"/>
  <c r="D1182" i="3"/>
  <c r="E1181" i="3"/>
  <c r="D1181" i="3"/>
  <c r="E1180" i="3"/>
  <c r="D1180" i="3"/>
  <c r="E1179" i="3"/>
  <c r="D1179" i="3"/>
  <c r="E1178" i="3"/>
  <c r="D1178" i="3"/>
  <c r="E1177" i="3"/>
  <c r="D1177" i="3"/>
  <c r="E1176" i="3"/>
  <c r="D1176" i="3"/>
  <c r="E1175" i="3"/>
  <c r="D1175" i="3"/>
  <c r="E1174" i="3"/>
  <c r="D1174" i="3"/>
  <c r="E1173" i="3"/>
  <c r="D1173" i="3"/>
  <c r="E1172" i="3"/>
  <c r="D1172" i="3"/>
  <c r="E1171" i="3"/>
  <c r="D1171" i="3"/>
  <c r="E1170" i="3"/>
  <c r="D1170" i="3"/>
  <c r="E1169" i="3"/>
  <c r="D1169" i="3"/>
  <c r="E1168" i="3"/>
  <c r="D1168" i="3"/>
  <c r="E1167" i="3"/>
  <c r="D1167" i="3"/>
  <c r="E1166" i="3"/>
  <c r="D1166" i="3"/>
  <c r="E1165" i="3"/>
  <c r="D1165" i="3"/>
  <c r="E1164" i="3"/>
  <c r="D1164" i="3"/>
  <c r="E1163" i="3"/>
  <c r="D1163" i="3"/>
  <c r="E1162" i="3"/>
  <c r="D1162" i="3"/>
  <c r="E1161" i="3"/>
  <c r="D1161" i="3"/>
  <c r="E1160" i="3"/>
  <c r="D1160" i="3"/>
  <c r="E1159" i="3"/>
  <c r="D1159" i="3"/>
  <c r="E1158" i="3"/>
  <c r="D1158" i="3"/>
  <c r="E1157" i="3"/>
  <c r="D1157" i="3"/>
  <c r="E1156" i="3"/>
  <c r="D1156" i="3"/>
  <c r="E1155" i="3"/>
  <c r="D1155" i="3"/>
  <c r="E1154" i="3"/>
  <c r="D1154" i="3"/>
  <c r="E1153" i="3"/>
  <c r="D1153" i="3"/>
  <c r="E1152" i="3"/>
  <c r="D1152" i="3"/>
  <c r="E1151" i="3"/>
  <c r="D1151" i="3"/>
  <c r="E1150" i="3"/>
  <c r="D1150" i="3"/>
  <c r="E1149" i="3"/>
  <c r="D1149" i="3"/>
  <c r="E1148" i="3"/>
  <c r="D1148" i="3"/>
  <c r="E1147" i="3"/>
  <c r="D1147" i="3"/>
  <c r="E1146" i="3"/>
  <c r="D1146" i="3"/>
  <c r="E1145" i="3"/>
  <c r="D1145" i="3"/>
  <c r="E1144" i="3"/>
  <c r="D1144" i="3"/>
  <c r="E1143" i="3"/>
  <c r="D1143" i="3"/>
  <c r="E1142" i="3"/>
  <c r="D1142" i="3"/>
  <c r="E1141" i="3"/>
  <c r="D1141" i="3"/>
  <c r="E1140" i="3"/>
  <c r="D1140" i="3"/>
  <c r="E1139" i="3"/>
  <c r="D1139" i="3"/>
  <c r="E1138" i="3"/>
  <c r="D1138" i="3"/>
  <c r="E1137" i="3"/>
  <c r="D1137" i="3"/>
  <c r="E1136" i="3"/>
  <c r="D1136" i="3"/>
  <c r="E1135" i="3"/>
  <c r="D1135" i="3"/>
  <c r="E1134" i="3"/>
  <c r="D1134" i="3"/>
  <c r="E1133" i="3"/>
  <c r="D1133" i="3"/>
  <c r="E1132" i="3"/>
  <c r="D1132" i="3"/>
  <c r="E1131" i="3"/>
  <c r="D1131" i="3"/>
  <c r="E1130" i="3"/>
  <c r="D1130" i="3"/>
  <c r="E1129" i="3"/>
  <c r="D1129" i="3"/>
  <c r="E1128" i="3"/>
  <c r="D1128" i="3"/>
  <c r="E1127" i="3"/>
  <c r="D1127" i="3"/>
  <c r="E1126" i="3"/>
  <c r="D1126" i="3"/>
  <c r="E1125" i="3"/>
  <c r="D1125" i="3"/>
  <c r="E1124" i="3"/>
  <c r="D1124" i="3"/>
  <c r="E1123" i="3"/>
  <c r="D1123" i="3"/>
  <c r="E1122" i="3"/>
  <c r="D1122" i="3"/>
  <c r="E1121" i="3"/>
  <c r="D1121" i="3"/>
  <c r="E1120" i="3"/>
  <c r="D1120" i="3"/>
  <c r="E1119" i="3"/>
  <c r="D1119" i="3"/>
  <c r="E1118" i="3"/>
  <c r="D1118" i="3"/>
  <c r="E1117" i="3"/>
  <c r="D1117" i="3"/>
  <c r="E1116" i="3"/>
  <c r="D1116" i="3"/>
  <c r="E1115" i="3"/>
  <c r="D1115" i="3"/>
  <c r="E1114" i="3"/>
  <c r="D1114" i="3"/>
  <c r="E1113" i="3"/>
  <c r="D1113" i="3"/>
  <c r="E1112" i="3"/>
  <c r="D1112" i="3"/>
  <c r="E1111" i="3"/>
  <c r="D1111" i="3"/>
  <c r="E1110" i="3"/>
  <c r="D1110" i="3"/>
  <c r="E1109" i="3"/>
  <c r="D1109" i="3"/>
  <c r="E1108" i="3"/>
  <c r="D1108" i="3"/>
  <c r="E1107" i="3"/>
  <c r="D1107" i="3"/>
  <c r="E1106" i="3"/>
  <c r="D1106" i="3"/>
  <c r="E1105" i="3"/>
  <c r="D1105" i="3"/>
  <c r="E1104" i="3"/>
  <c r="D1104" i="3"/>
  <c r="E1103" i="3"/>
  <c r="D1103" i="3"/>
  <c r="E1102" i="3"/>
  <c r="D1102" i="3"/>
  <c r="E1101" i="3"/>
  <c r="D1101" i="3"/>
  <c r="E1100" i="3"/>
  <c r="D1100" i="3"/>
  <c r="E1099" i="3"/>
  <c r="D1099" i="3"/>
  <c r="E1098" i="3"/>
  <c r="D1098" i="3"/>
  <c r="E1097" i="3"/>
  <c r="D1097" i="3"/>
  <c r="E1096" i="3"/>
  <c r="D1096" i="3"/>
  <c r="E1095" i="3"/>
  <c r="D1095" i="3"/>
  <c r="E1094" i="3"/>
  <c r="D1094" i="3"/>
  <c r="E1093" i="3"/>
  <c r="D1093" i="3"/>
  <c r="E1092" i="3"/>
  <c r="D1092" i="3"/>
  <c r="E1091" i="3"/>
  <c r="D1091" i="3"/>
  <c r="E1090" i="3"/>
  <c r="D1090" i="3"/>
  <c r="E1089" i="3"/>
  <c r="D1089" i="3"/>
  <c r="E1088" i="3"/>
  <c r="D1088" i="3"/>
  <c r="E1087" i="3"/>
  <c r="D1087" i="3"/>
  <c r="E1086" i="3"/>
  <c r="D1086" i="3"/>
  <c r="E1085" i="3"/>
  <c r="D1085" i="3"/>
  <c r="E1084" i="3"/>
  <c r="D1084" i="3"/>
  <c r="E1083" i="3"/>
  <c r="D1083" i="3"/>
  <c r="E1082" i="3"/>
  <c r="D1082" i="3"/>
  <c r="E1081" i="3"/>
  <c r="D1081" i="3"/>
  <c r="E1080" i="3"/>
  <c r="D1080" i="3"/>
  <c r="E1079" i="3"/>
  <c r="D1079" i="3"/>
  <c r="E1078" i="3"/>
  <c r="D1078" i="3"/>
  <c r="E1077" i="3"/>
  <c r="D1077" i="3"/>
  <c r="E1076" i="3"/>
  <c r="D1076" i="3"/>
  <c r="E1075" i="3"/>
  <c r="D1075" i="3"/>
  <c r="E1074" i="3"/>
  <c r="D1074" i="3"/>
  <c r="E1073" i="3"/>
  <c r="D1073" i="3"/>
  <c r="E1072" i="3"/>
  <c r="D1072" i="3"/>
  <c r="E1071" i="3"/>
  <c r="D1071" i="3"/>
  <c r="E1070" i="3"/>
  <c r="D1070" i="3"/>
  <c r="E1069" i="3"/>
  <c r="D1069" i="3"/>
  <c r="E1068" i="3"/>
  <c r="D1068" i="3"/>
  <c r="E1067" i="3"/>
  <c r="D1067" i="3"/>
  <c r="E1066" i="3"/>
  <c r="D1066" i="3"/>
  <c r="E1065" i="3"/>
  <c r="D1065" i="3"/>
  <c r="E1064" i="3"/>
  <c r="D1064" i="3"/>
  <c r="E1063" i="3"/>
  <c r="D1063" i="3"/>
  <c r="E1062" i="3"/>
  <c r="D1062" i="3"/>
  <c r="E1061" i="3"/>
  <c r="D1061" i="3"/>
  <c r="E1060" i="3"/>
  <c r="D1060" i="3"/>
  <c r="E1059" i="3"/>
  <c r="D1059" i="3"/>
  <c r="E1058" i="3"/>
  <c r="D1058" i="3"/>
  <c r="E1057" i="3"/>
  <c r="D1057" i="3"/>
  <c r="E1056" i="3"/>
  <c r="D1056" i="3"/>
  <c r="E1055" i="3"/>
  <c r="D1055" i="3"/>
  <c r="E1054" i="3"/>
  <c r="D1054" i="3"/>
  <c r="E1053" i="3"/>
  <c r="D1053" i="3"/>
  <c r="E1052" i="3"/>
  <c r="D1052" i="3"/>
  <c r="E1051" i="3"/>
  <c r="D1051" i="3"/>
  <c r="E1050" i="3"/>
  <c r="D1050" i="3"/>
  <c r="E1049" i="3"/>
  <c r="D1049" i="3"/>
  <c r="E1048" i="3"/>
  <c r="D1048" i="3"/>
  <c r="E1047" i="3"/>
  <c r="D1047" i="3"/>
  <c r="E1046" i="3"/>
  <c r="D1046" i="3"/>
  <c r="E1045" i="3"/>
  <c r="D1045" i="3"/>
  <c r="E1044" i="3"/>
  <c r="D1044" i="3"/>
  <c r="E1043" i="3"/>
  <c r="D1043" i="3"/>
  <c r="E1042" i="3"/>
  <c r="D1042" i="3"/>
  <c r="E1041" i="3"/>
  <c r="D1041" i="3"/>
  <c r="E1040" i="3"/>
  <c r="D1040" i="3"/>
  <c r="E1039" i="3"/>
  <c r="D1039" i="3"/>
  <c r="E1038" i="3"/>
  <c r="D1038" i="3"/>
  <c r="E1037" i="3"/>
  <c r="D1037" i="3"/>
  <c r="E1036" i="3"/>
  <c r="D1036" i="3"/>
  <c r="E1035" i="3"/>
  <c r="D1035" i="3"/>
  <c r="E1034" i="3"/>
  <c r="D1034" i="3"/>
  <c r="E1033" i="3"/>
  <c r="D1033" i="3"/>
  <c r="E1032" i="3"/>
  <c r="D1032" i="3"/>
  <c r="E1031" i="3"/>
  <c r="D1031" i="3"/>
  <c r="E1030" i="3"/>
  <c r="D1030" i="3"/>
  <c r="E1029" i="3"/>
  <c r="D1029" i="3"/>
  <c r="E1028" i="3"/>
  <c r="D1028" i="3"/>
  <c r="E1027" i="3"/>
  <c r="D1027" i="3"/>
  <c r="E1026" i="3"/>
  <c r="D1026" i="3"/>
  <c r="E1025" i="3"/>
  <c r="D1025" i="3"/>
  <c r="E1024" i="3"/>
  <c r="D1024" i="3"/>
  <c r="E1023" i="3"/>
  <c r="D1023" i="3"/>
  <c r="E1022" i="3"/>
  <c r="D1022" i="3"/>
  <c r="E1021" i="3"/>
  <c r="D1021" i="3"/>
  <c r="E1020" i="3"/>
  <c r="D1020" i="3"/>
  <c r="E1019" i="3"/>
  <c r="D1019" i="3"/>
  <c r="E1018" i="3"/>
  <c r="D1018" i="3"/>
  <c r="E1017" i="3"/>
  <c r="D1017" i="3"/>
  <c r="E1016" i="3"/>
  <c r="D1016" i="3"/>
  <c r="E1015" i="3"/>
  <c r="D1015" i="3"/>
  <c r="E1014" i="3"/>
  <c r="D1014" i="3"/>
  <c r="E1013" i="3"/>
  <c r="D1013" i="3"/>
  <c r="E1012" i="3"/>
  <c r="D1012" i="3"/>
  <c r="E1011" i="3"/>
  <c r="D1011" i="3"/>
  <c r="E1010" i="3"/>
  <c r="D1010" i="3"/>
  <c r="E1009" i="3"/>
  <c r="D1009" i="3"/>
  <c r="E1008" i="3"/>
  <c r="D1008" i="3"/>
  <c r="E1007" i="3"/>
  <c r="D1007" i="3"/>
  <c r="E1006" i="3"/>
  <c r="D1006" i="3"/>
  <c r="E1005" i="3"/>
  <c r="D1005" i="3"/>
  <c r="E1004" i="3"/>
  <c r="D1004" i="3"/>
  <c r="E1003" i="3"/>
  <c r="D1003" i="3"/>
  <c r="E1002" i="3"/>
  <c r="D1002" i="3"/>
  <c r="E1001" i="3"/>
  <c r="D1001" i="3"/>
  <c r="E1000" i="3"/>
  <c r="D1000" i="3"/>
  <c r="E999" i="3"/>
  <c r="D999" i="3"/>
  <c r="E998" i="3"/>
  <c r="D998" i="3"/>
  <c r="E997" i="3"/>
  <c r="D997" i="3"/>
  <c r="E996" i="3"/>
  <c r="D996" i="3"/>
  <c r="E995" i="3"/>
  <c r="D995" i="3"/>
  <c r="E994" i="3"/>
  <c r="D994" i="3"/>
  <c r="E993" i="3"/>
  <c r="D993" i="3"/>
  <c r="E992" i="3"/>
  <c r="D992" i="3"/>
  <c r="E991" i="3"/>
  <c r="D991" i="3"/>
  <c r="E990" i="3"/>
  <c r="D990" i="3"/>
  <c r="E989" i="3"/>
  <c r="D989" i="3"/>
  <c r="E988" i="3"/>
  <c r="D988" i="3"/>
  <c r="E987" i="3"/>
  <c r="D987" i="3"/>
  <c r="E986" i="3"/>
  <c r="D986" i="3"/>
  <c r="E985" i="3"/>
  <c r="D985" i="3"/>
  <c r="E984" i="3"/>
  <c r="D984" i="3"/>
  <c r="E983" i="3"/>
  <c r="D983" i="3"/>
  <c r="E982" i="3"/>
  <c r="D982" i="3"/>
  <c r="E981" i="3"/>
  <c r="D981" i="3"/>
  <c r="E980" i="3"/>
  <c r="D980" i="3"/>
  <c r="E979" i="3"/>
  <c r="D979" i="3"/>
  <c r="E978" i="3"/>
  <c r="D978" i="3"/>
  <c r="E977" i="3"/>
  <c r="D977" i="3"/>
  <c r="E976" i="3"/>
  <c r="D976" i="3"/>
  <c r="E975" i="3"/>
  <c r="D975" i="3"/>
  <c r="E974" i="3"/>
  <c r="D974" i="3"/>
  <c r="E973" i="3"/>
  <c r="D973" i="3"/>
  <c r="E972" i="3"/>
  <c r="D972" i="3"/>
  <c r="E971" i="3"/>
  <c r="D971" i="3"/>
  <c r="E970" i="3"/>
  <c r="D970" i="3"/>
  <c r="E969" i="3"/>
  <c r="D969" i="3"/>
  <c r="E968" i="3"/>
  <c r="D968" i="3"/>
  <c r="E967" i="3"/>
  <c r="D967" i="3"/>
  <c r="E966" i="3"/>
  <c r="D966" i="3"/>
  <c r="E965" i="3"/>
  <c r="D965" i="3"/>
  <c r="E964" i="3"/>
  <c r="D964" i="3"/>
  <c r="E963" i="3"/>
  <c r="D963" i="3"/>
  <c r="E962" i="3"/>
  <c r="D962" i="3"/>
  <c r="E961" i="3"/>
  <c r="D961" i="3"/>
  <c r="E960" i="3"/>
  <c r="D960" i="3"/>
  <c r="E959" i="3"/>
  <c r="D959" i="3"/>
  <c r="E958" i="3"/>
  <c r="D958" i="3"/>
  <c r="E957" i="3"/>
  <c r="D957" i="3"/>
  <c r="E956" i="3"/>
  <c r="D956" i="3"/>
  <c r="E955" i="3"/>
  <c r="D955" i="3"/>
  <c r="E954" i="3"/>
  <c r="D954" i="3"/>
  <c r="E953" i="3"/>
  <c r="D953" i="3"/>
  <c r="E952" i="3"/>
  <c r="D952" i="3"/>
  <c r="E951" i="3"/>
  <c r="D951" i="3"/>
  <c r="E950" i="3"/>
  <c r="D950" i="3"/>
  <c r="E949" i="3"/>
  <c r="D949" i="3"/>
  <c r="E948" i="3"/>
  <c r="D948" i="3"/>
  <c r="E947" i="3"/>
  <c r="D947" i="3"/>
  <c r="E946" i="3"/>
  <c r="D946" i="3"/>
  <c r="E945" i="3"/>
  <c r="D945" i="3"/>
  <c r="E944" i="3"/>
  <c r="D944" i="3"/>
  <c r="E943" i="3"/>
  <c r="D943" i="3"/>
  <c r="E942" i="3"/>
  <c r="D942" i="3"/>
  <c r="E941" i="3"/>
  <c r="D941" i="3"/>
  <c r="E940" i="3"/>
  <c r="D940" i="3"/>
  <c r="E939" i="3"/>
  <c r="D939" i="3"/>
  <c r="E938" i="3"/>
  <c r="D938" i="3"/>
  <c r="E937" i="3"/>
  <c r="D937" i="3"/>
  <c r="E936" i="3"/>
  <c r="D936" i="3"/>
  <c r="E935" i="3"/>
  <c r="D935" i="3"/>
  <c r="E934" i="3"/>
  <c r="D934" i="3"/>
  <c r="E933" i="3"/>
  <c r="D933" i="3"/>
  <c r="E932" i="3"/>
  <c r="D932" i="3"/>
  <c r="E931" i="3"/>
  <c r="D931" i="3"/>
  <c r="E930" i="3"/>
  <c r="D930" i="3"/>
  <c r="E929" i="3"/>
  <c r="D929" i="3"/>
  <c r="E928" i="3"/>
  <c r="D928" i="3"/>
  <c r="E927" i="3"/>
  <c r="D927" i="3"/>
  <c r="E926" i="3"/>
  <c r="D926" i="3"/>
  <c r="E925" i="3"/>
  <c r="D925" i="3"/>
  <c r="E924" i="3"/>
  <c r="D924" i="3"/>
  <c r="E923" i="3"/>
  <c r="D923" i="3"/>
  <c r="E922" i="3"/>
  <c r="D922" i="3"/>
  <c r="E921" i="3"/>
  <c r="D921" i="3"/>
  <c r="E920" i="3"/>
  <c r="D920" i="3"/>
  <c r="E919" i="3"/>
  <c r="D919" i="3"/>
  <c r="E918" i="3"/>
  <c r="D918" i="3"/>
  <c r="E917" i="3"/>
  <c r="D917" i="3"/>
  <c r="E916" i="3"/>
  <c r="D916" i="3"/>
  <c r="E915" i="3"/>
  <c r="D915" i="3"/>
  <c r="E914" i="3"/>
  <c r="D914" i="3"/>
  <c r="E913" i="3"/>
  <c r="D913" i="3"/>
  <c r="E912" i="3"/>
  <c r="D912" i="3"/>
  <c r="E911" i="3"/>
  <c r="D911" i="3"/>
  <c r="E910" i="3"/>
  <c r="D910" i="3"/>
  <c r="E909" i="3"/>
  <c r="D909" i="3"/>
  <c r="E908" i="3"/>
  <c r="D908" i="3"/>
  <c r="E907" i="3"/>
  <c r="D907" i="3"/>
  <c r="E906" i="3"/>
  <c r="D906" i="3"/>
  <c r="E905" i="3"/>
  <c r="D905" i="3"/>
  <c r="E904" i="3"/>
  <c r="D904" i="3"/>
  <c r="E903" i="3"/>
  <c r="D903" i="3"/>
  <c r="E902" i="3"/>
  <c r="D902" i="3"/>
  <c r="E901" i="3"/>
  <c r="D901" i="3"/>
  <c r="E900" i="3"/>
  <c r="D900" i="3"/>
  <c r="E899" i="3"/>
  <c r="D899" i="3"/>
  <c r="E898" i="3"/>
  <c r="D898" i="3"/>
  <c r="E897" i="3"/>
  <c r="D897" i="3"/>
  <c r="E896" i="3"/>
  <c r="D896" i="3"/>
  <c r="E895" i="3"/>
  <c r="D895" i="3"/>
  <c r="E894" i="3"/>
  <c r="D894" i="3"/>
  <c r="E893" i="3"/>
  <c r="D893" i="3"/>
  <c r="E892" i="3"/>
  <c r="D892" i="3"/>
  <c r="E891" i="3"/>
  <c r="D891" i="3"/>
  <c r="E890" i="3"/>
  <c r="D890" i="3"/>
  <c r="E889" i="3"/>
  <c r="D889" i="3"/>
  <c r="E888" i="3"/>
  <c r="D888" i="3"/>
  <c r="E887" i="3"/>
  <c r="D887" i="3"/>
  <c r="E886" i="3"/>
  <c r="D886" i="3"/>
  <c r="E885" i="3"/>
  <c r="D885" i="3"/>
  <c r="E884" i="3"/>
  <c r="D884" i="3"/>
  <c r="E883" i="3"/>
  <c r="D883" i="3"/>
  <c r="E882" i="3"/>
  <c r="D882" i="3"/>
  <c r="E881" i="3"/>
  <c r="D881" i="3"/>
  <c r="E880" i="3"/>
  <c r="D880" i="3"/>
  <c r="E879" i="3"/>
  <c r="D879" i="3"/>
  <c r="E878" i="3"/>
  <c r="D878" i="3"/>
  <c r="E877" i="3"/>
  <c r="D877" i="3"/>
  <c r="E876" i="3"/>
  <c r="D876" i="3"/>
  <c r="E875" i="3"/>
  <c r="D875" i="3"/>
  <c r="E874" i="3"/>
  <c r="D874" i="3"/>
  <c r="E873" i="3"/>
  <c r="D873" i="3"/>
  <c r="E872" i="3"/>
  <c r="D872" i="3"/>
  <c r="E871" i="3"/>
  <c r="D871" i="3"/>
  <c r="E870" i="3"/>
  <c r="D870" i="3"/>
  <c r="E869" i="3"/>
  <c r="D869" i="3"/>
  <c r="E868" i="3"/>
  <c r="D868" i="3"/>
  <c r="E867" i="3"/>
  <c r="D867" i="3"/>
  <c r="E866" i="3"/>
  <c r="D866" i="3"/>
  <c r="E865" i="3"/>
  <c r="D865" i="3"/>
  <c r="E864" i="3"/>
  <c r="D864" i="3"/>
  <c r="E863" i="3"/>
  <c r="D863" i="3"/>
  <c r="E862" i="3"/>
  <c r="D862" i="3"/>
  <c r="E861" i="3"/>
  <c r="D861" i="3"/>
  <c r="E860" i="3"/>
  <c r="D860" i="3"/>
  <c r="E859" i="3"/>
  <c r="D859" i="3"/>
  <c r="E858" i="3"/>
  <c r="D858" i="3"/>
  <c r="E857" i="3"/>
  <c r="D857" i="3"/>
  <c r="E856" i="3"/>
  <c r="D856" i="3"/>
  <c r="E855" i="3"/>
  <c r="D855" i="3"/>
  <c r="E854" i="3"/>
  <c r="D854" i="3"/>
  <c r="E853" i="3"/>
  <c r="D853" i="3"/>
  <c r="E852" i="3"/>
  <c r="D852" i="3"/>
  <c r="E851" i="3"/>
  <c r="D851" i="3"/>
  <c r="E850" i="3"/>
  <c r="D850" i="3"/>
  <c r="E849" i="3"/>
  <c r="D849" i="3"/>
  <c r="E848" i="3"/>
  <c r="D848" i="3"/>
  <c r="E847" i="3"/>
  <c r="D847" i="3"/>
  <c r="E846" i="3"/>
  <c r="D846" i="3"/>
  <c r="E845" i="3"/>
  <c r="D845" i="3"/>
  <c r="E844" i="3"/>
  <c r="D844" i="3"/>
  <c r="E843" i="3"/>
  <c r="D843" i="3"/>
  <c r="E842" i="3"/>
  <c r="D842" i="3"/>
  <c r="E841" i="3"/>
  <c r="D841" i="3"/>
  <c r="E840" i="3"/>
  <c r="D840" i="3"/>
  <c r="E839" i="3"/>
  <c r="D839" i="3"/>
  <c r="E838" i="3"/>
  <c r="D838" i="3"/>
  <c r="E837" i="3"/>
  <c r="D837" i="3"/>
  <c r="E836" i="3"/>
  <c r="D836" i="3"/>
  <c r="E835" i="3"/>
  <c r="D835" i="3"/>
  <c r="E834" i="3"/>
  <c r="D834" i="3"/>
  <c r="E833" i="3"/>
  <c r="D833" i="3"/>
  <c r="E832" i="3"/>
  <c r="D832" i="3"/>
  <c r="E831" i="3"/>
  <c r="D831" i="3"/>
  <c r="E830" i="3"/>
  <c r="D830" i="3"/>
  <c r="E829" i="3"/>
  <c r="D829" i="3"/>
  <c r="E828" i="3"/>
  <c r="D828" i="3"/>
  <c r="E827" i="3"/>
  <c r="D827" i="3"/>
  <c r="E826" i="3"/>
  <c r="D826" i="3"/>
  <c r="E825" i="3"/>
  <c r="D825" i="3"/>
  <c r="E824" i="3"/>
  <c r="D824" i="3"/>
  <c r="E823" i="3"/>
  <c r="D823" i="3"/>
  <c r="E822" i="3"/>
  <c r="D822" i="3"/>
  <c r="E821" i="3"/>
  <c r="D821" i="3"/>
  <c r="E820" i="3"/>
  <c r="D820" i="3"/>
  <c r="E819" i="3"/>
  <c r="D819" i="3"/>
  <c r="E818" i="3"/>
  <c r="D818" i="3"/>
  <c r="E817" i="3"/>
  <c r="D817" i="3"/>
  <c r="E816" i="3"/>
  <c r="D816" i="3"/>
  <c r="E815" i="3"/>
  <c r="D815" i="3"/>
  <c r="E814" i="3"/>
  <c r="D814" i="3"/>
  <c r="E813" i="3"/>
  <c r="D813" i="3"/>
  <c r="E812" i="3"/>
  <c r="D812" i="3"/>
  <c r="E811" i="3"/>
  <c r="D811" i="3"/>
  <c r="E810" i="3"/>
  <c r="D810" i="3"/>
  <c r="E809" i="3"/>
  <c r="D809" i="3"/>
  <c r="E808" i="3"/>
  <c r="D808" i="3"/>
  <c r="E807" i="3"/>
  <c r="D807" i="3"/>
  <c r="E806" i="3"/>
  <c r="D806" i="3"/>
  <c r="E805" i="3"/>
  <c r="D805" i="3"/>
  <c r="E804" i="3"/>
  <c r="D804" i="3"/>
  <c r="E803" i="3"/>
  <c r="D803" i="3"/>
  <c r="E802" i="3"/>
  <c r="D802" i="3"/>
  <c r="E801" i="3"/>
  <c r="D801" i="3"/>
  <c r="E800" i="3"/>
  <c r="D800" i="3"/>
  <c r="E799" i="3"/>
  <c r="D799" i="3"/>
  <c r="E798" i="3"/>
  <c r="D798" i="3"/>
  <c r="E797" i="3"/>
  <c r="D797" i="3"/>
  <c r="E796" i="3"/>
  <c r="D796" i="3"/>
  <c r="E795" i="3"/>
  <c r="D795" i="3"/>
  <c r="E794" i="3"/>
  <c r="D794" i="3"/>
  <c r="E793" i="3"/>
  <c r="D793" i="3"/>
  <c r="E792" i="3"/>
  <c r="D792" i="3"/>
  <c r="E791" i="3"/>
  <c r="D791" i="3"/>
  <c r="E790" i="3"/>
  <c r="D790" i="3"/>
  <c r="E789" i="3"/>
  <c r="D789" i="3"/>
  <c r="E788" i="3"/>
  <c r="D788" i="3"/>
  <c r="E787" i="3"/>
  <c r="D787" i="3"/>
  <c r="E786" i="3"/>
  <c r="D786" i="3"/>
  <c r="E785" i="3"/>
  <c r="D785" i="3"/>
  <c r="E784" i="3"/>
  <c r="D784" i="3"/>
  <c r="E783" i="3"/>
  <c r="D783" i="3"/>
  <c r="E782" i="3"/>
  <c r="D782" i="3"/>
  <c r="E781" i="3"/>
  <c r="D781" i="3"/>
  <c r="E780" i="3"/>
  <c r="D780" i="3"/>
  <c r="E779" i="3"/>
  <c r="D779" i="3"/>
  <c r="E778" i="3"/>
  <c r="D778" i="3"/>
  <c r="E777" i="3"/>
  <c r="D777" i="3"/>
  <c r="E776" i="3"/>
  <c r="D776" i="3"/>
  <c r="E775" i="3"/>
  <c r="D775" i="3"/>
  <c r="E774" i="3"/>
  <c r="D774" i="3"/>
  <c r="E773" i="3"/>
  <c r="D773" i="3"/>
  <c r="E772" i="3"/>
  <c r="D772" i="3"/>
  <c r="E771" i="3"/>
  <c r="D771" i="3"/>
  <c r="E770" i="3"/>
  <c r="D770" i="3"/>
  <c r="E769" i="3"/>
  <c r="D769" i="3"/>
  <c r="E768" i="3"/>
  <c r="D768" i="3"/>
  <c r="E767" i="3"/>
  <c r="D767" i="3"/>
  <c r="E766" i="3"/>
  <c r="D766" i="3"/>
  <c r="E765" i="3"/>
  <c r="D765" i="3"/>
  <c r="E764" i="3"/>
  <c r="D764" i="3"/>
  <c r="E763" i="3"/>
  <c r="D763" i="3"/>
  <c r="E762" i="3"/>
  <c r="D762" i="3"/>
  <c r="E761" i="3"/>
  <c r="D761" i="3"/>
  <c r="E760" i="3"/>
  <c r="D760" i="3"/>
  <c r="E759" i="3"/>
  <c r="D759" i="3"/>
  <c r="E758" i="3"/>
  <c r="D758" i="3"/>
  <c r="E757" i="3"/>
  <c r="D757" i="3"/>
  <c r="E756" i="3"/>
  <c r="D756" i="3"/>
  <c r="E755" i="3"/>
  <c r="D755" i="3"/>
  <c r="E754" i="3"/>
  <c r="D754" i="3"/>
  <c r="E753" i="3"/>
  <c r="D753" i="3"/>
  <c r="E752" i="3"/>
  <c r="D752" i="3"/>
  <c r="E751" i="3"/>
  <c r="D751" i="3"/>
  <c r="E750" i="3"/>
  <c r="D750" i="3"/>
  <c r="E749" i="3"/>
  <c r="D749" i="3"/>
  <c r="E748" i="3"/>
  <c r="D748" i="3"/>
  <c r="E747" i="3"/>
  <c r="D747" i="3"/>
  <c r="E746" i="3"/>
  <c r="D746" i="3"/>
  <c r="E745" i="3"/>
  <c r="D745" i="3"/>
  <c r="E744" i="3"/>
  <c r="D744" i="3"/>
  <c r="E743" i="3"/>
  <c r="D743" i="3"/>
  <c r="E742" i="3"/>
  <c r="D742" i="3"/>
  <c r="E741" i="3"/>
  <c r="D741" i="3"/>
  <c r="E740" i="3"/>
  <c r="D740" i="3"/>
  <c r="E739" i="3"/>
  <c r="D739" i="3"/>
  <c r="E738" i="3"/>
  <c r="D738" i="3"/>
  <c r="E737" i="3"/>
  <c r="D737" i="3"/>
  <c r="E736" i="3"/>
  <c r="D736" i="3"/>
  <c r="E735" i="3"/>
  <c r="D735" i="3"/>
  <c r="E734" i="3"/>
  <c r="D734" i="3"/>
  <c r="E733" i="3"/>
  <c r="D733" i="3"/>
  <c r="E732" i="3"/>
  <c r="D732" i="3"/>
  <c r="E731" i="3"/>
  <c r="D731" i="3"/>
  <c r="E730" i="3"/>
  <c r="D730" i="3"/>
  <c r="E729" i="3"/>
  <c r="D729" i="3"/>
  <c r="E728" i="3"/>
  <c r="D728" i="3"/>
  <c r="E727" i="3"/>
  <c r="D727" i="3"/>
  <c r="E726" i="3"/>
  <c r="D726" i="3"/>
  <c r="E725" i="3"/>
  <c r="D725" i="3"/>
  <c r="E724" i="3"/>
  <c r="D724" i="3"/>
  <c r="E723" i="3"/>
  <c r="D723" i="3"/>
  <c r="E722" i="3"/>
  <c r="D722" i="3"/>
  <c r="E721" i="3"/>
  <c r="D721" i="3"/>
  <c r="E720" i="3"/>
  <c r="D720" i="3"/>
  <c r="E719" i="3"/>
  <c r="D719" i="3"/>
  <c r="E718" i="3"/>
  <c r="D718" i="3"/>
  <c r="E717" i="3"/>
  <c r="D717" i="3"/>
  <c r="E716" i="3"/>
  <c r="D716" i="3"/>
  <c r="E715" i="3"/>
  <c r="D715" i="3"/>
  <c r="E714" i="3"/>
  <c r="D714" i="3"/>
  <c r="E713" i="3"/>
  <c r="D713" i="3"/>
  <c r="E712" i="3"/>
  <c r="D712" i="3"/>
  <c r="E711" i="3"/>
  <c r="D711" i="3"/>
  <c r="E710" i="3"/>
  <c r="D710" i="3"/>
  <c r="E709" i="3"/>
  <c r="D709" i="3"/>
  <c r="E708" i="3"/>
  <c r="D708" i="3"/>
  <c r="E707" i="3"/>
  <c r="D707" i="3"/>
  <c r="E706" i="3"/>
  <c r="D706" i="3"/>
  <c r="E705" i="3"/>
  <c r="D705" i="3"/>
  <c r="E704" i="3"/>
  <c r="D704" i="3"/>
  <c r="E703" i="3"/>
  <c r="D703" i="3"/>
  <c r="E702" i="3"/>
  <c r="D702" i="3"/>
  <c r="E701" i="3"/>
  <c r="D701" i="3"/>
  <c r="E700" i="3"/>
  <c r="D700" i="3"/>
  <c r="E699" i="3"/>
  <c r="D699" i="3"/>
  <c r="E698" i="3"/>
  <c r="D698" i="3"/>
  <c r="E697" i="3"/>
  <c r="D697" i="3"/>
  <c r="E696" i="3"/>
  <c r="D696" i="3"/>
  <c r="E695" i="3"/>
  <c r="D695" i="3"/>
  <c r="E694" i="3"/>
  <c r="D694" i="3"/>
  <c r="E693" i="3"/>
  <c r="D693" i="3"/>
  <c r="E692" i="3"/>
  <c r="D692" i="3"/>
  <c r="E691" i="3"/>
  <c r="D691" i="3"/>
  <c r="E690" i="3"/>
  <c r="D690" i="3"/>
  <c r="E689" i="3"/>
  <c r="D689" i="3"/>
  <c r="E688" i="3"/>
  <c r="D688" i="3"/>
  <c r="E687" i="3"/>
  <c r="D687" i="3"/>
  <c r="E686" i="3"/>
  <c r="D686" i="3"/>
  <c r="E685" i="3"/>
  <c r="D685" i="3"/>
  <c r="E684" i="3"/>
  <c r="D684" i="3"/>
  <c r="E683" i="3"/>
  <c r="D683" i="3"/>
  <c r="E682" i="3"/>
  <c r="D682" i="3"/>
  <c r="E681" i="3"/>
  <c r="D681" i="3"/>
  <c r="E680" i="3"/>
  <c r="D680" i="3"/>
  <c r="E679" i="3"/>
  <c r="D679" i="3"/>
  <c r="E678" i="3"/>
  <c r="D678" i="3"/>
  <c r="E677" i="3"/>
  <c r="D677" i="3"/>
  <c r="E676" i="3"/>
  <c r="D676" i="3"/>
  <c r="E675" i="3"/>
  <c r="D675" i="3"/>
  <c r="E674" i="3"/>
  <c r="D674" i="3"/>
  <c r="E673" i="3"/>
  <c r="D673" i="3"/>
  <c r="E672" i="3"/>
  <c r="D672" i="3"/>
  <c r="E671" i="3"/>
  <c r="D671" i="3"/>
  <c r="E670" i="3"/>
  <c r="D670" i="3"/>
  <c r="E669" i="3"/>
  <c r="D669" i="3"/>
  <c r="E668" i="3"/>
  <c r="D668" i="3"/>
  <c r="E667" i="3"/>
  <c r="D667" i="3"/>
  <c r="E666" i="3"/>
  <c r="D666" i="3"/>
  <c r="E665" i="3"/>
  <c r="D665" i="3"/>
  <c r="E664" i="3"/>
  <c r="D664" i="3"/>
  <c r="E663" i="3"/>
  <c r="D663" i="3"/>
  <c r="E662" i="3"/>
  <c r="D662" i="3"/>
  <c r="E661" i="3"/>
  <c r="D661" i="3"/>
  <c r="E660" i="3"/>
  <c r="D660" i="3"/>
  <c r="E659" i="3"/>
  <c r="D659" i="3"/>
  <c r="E658" i="3"/>
  <c r="D658" i="3"/>
  <c r="E657" i="3"/>
  <c r="D657" i="3"/>
  <c r="E656" i="3"/>
  <c r="D656" i="3"/>
  <c r="E655" i="3"/>
  <c r="D655" i="3"/>
  <c r="E654" i="3"/>
  <c r="D654" i="3"/>
  <c r="E653" i="3"/>
  <c r="D653" i="3"/>
  <c r="E652" i="3"/>
  <c r="D652" i="3"/>
  <c r="E651" i="3"/>
  <c r="D651" i="3"/>
  <c r="E650" i="3"/>
  <c r="D650" i="3"/>
  <c r="E649" i="3"/>
  <c r="D649" i="3"/>
  <c r="E648" i="3"/>
  <c r="D648" i="3"/>
  <c r="E647" i="3"/>
  <c r="D647" i="3"/>
  <c r="E646" i="3"/>
  <c r="D646" i="3"/>
  <c r="E645" i="3"/>
  <c r="D645" i="3"/>
  <c r="E644" i="3"/>
  <c r="D644" i="3"/>
  <c r="E643" i="3"/>
  <c r="D643" i="3"/>
  <c r="E642" i="3"/>
  <c r="D642" i="3"/>
  <c r="E641" i="3"/>
  <c r="D641" i="3"/>
  <c r="E640" i="3"/>
  <c r="D640" i="3"/>
  <c r="E639" i="3"/>
  <c r="D639" i="3"/>
  <c r="E638" i="3"/>
  <c r="D638" i="3"/>
  <c r="E637" i="3"/>
  <c r="D637" i="3"/>
  <c r="E636" i="3"/>
  <c r="D636" i="3"/>
  <c r="E635" i="3"/>
  <c r="D635" i="3"/>
  <c r="E634" i="3"/>
  <c r="D634" i="3"/>
  <c r="E633" i="3"/>
  <c r="D633" i="3"/>
  <c r="E632" i="3"/>
  <c r="D632" i="3"/>
  <c r="E631" i="3"/>
  <c r="D631" i="3"/>
  <c r="E630" i="3"/>
  <c r="D630" i="3"/>
  <c r="E629" i="3"/>
  <c r="D629" i="3"/>
  <c r="E628" i="3"/>
  <c r="D628" i="3"/>
  <c r="E627" i="3"/>
  <c r="D627" i="3"/>
  <c r="E626" i="3"/>
  <c r="D626" i="3"/>
  <c r="E625" i="3"/>
  <c r="D625" i="3"/>
  <c r="E624" i="3"/>
  <c r="D624" i="3"/>
  <c r="E623" i="3"/>
  <c r="D623" i="3"/>
  <c r="E622" i="3"/>
  <c r="D622" i="3"/>
  <c r="E621" i="3"/>
  <c r="D621" i="3"/>
  <c r="E620" i="3"/>
  <c r="D620" i="3"/>
  <c r="E619" i="3"/>
  <c r="D619" i="3"/>
  <c r="E618" i="3"/>
  <c r="D618" i="3"/>
  <c r="E617" i="3"/>
  <c r="D617" i="3"/>
  <c r="E616" i="3"/>
  <c r="D616" i="3"/>
  <c r="E615" i="3"/>
  <c r="D615" i="3"/>
  <c r="E614" i="3"/>
  <c r="D614" i="3"/>
  <c r="E613" i="3"/>
  <c r="D613" i="3"/>
  <c r="E612" i="3"/>
  <c r="D612" i="3"/>
  <c r="E611" i="3"/>
  <c r="D611" i="3"/>
  <c r="E610" i="3"/>
  <c r="D610" i="3"/>
  <c r="E609" i="3"/>
  <c r="D609" i="3"/>
  <c r="E608" i="3"/>
  <c r="D608" i="3"/>
  <c r="E607" i="3"/>
  <c r="D607" i="3"/>
  <c r="E606" i="3"/>
  <c r="D606" i="3"/>
  <c r="E605" i="3"/>
  <c r="D605" i="3"/>
  <c r="E604" i="3"/>
  <c r="D604" i="3"/>
  <c r="E603" i="3"/>
  <c r="D603" i="3"/>
  <c r="E602" i="3"/>
  <c r="D602" i="3"/>
  <c r="E601" i="3"/>
  <c r="D601" i="3"/>
  <c r="E600" i="3"/>
  <c r="D600" i="3"/>
  <c r="E599" i="3"/>
  <c r="D599" i="3"/>
  <c r="E598" i="3"/>
  <c r="D598" i="3"/>
  <c r="E597" i="3"/>
  <c r="D597" i="3"/>
  <c r="E596" i="3"/>
  <c r="D596" i="3"/>
  <c r="E595" i="3"/>
  <c r="D595" i="3"/>
  <c r="E594" i="3"/>
  <c r="D594" i="3"/>
  <c r="E593" i="3"/>
  <c r="D593" i="3"/>
  <c r="E592" i="3"/>
  <c r="D592" i="3"/>
  <c r="E591" i="3"/>
  <c r="D591" i="3"/>
  <c r="E590" i="3"/>
  <c r="D590" i="3"/>
  <c r="E589" i="3"/>
  <c r="D589" i="3"/>
  <c r="E588" i="3"/>
  <c r="D588" i="3"/>
  <c r="E587" i="3"/>
  <c r="D587" i="3"/>
  <c r="E586" i="3"/>
  <c r="D586" i="3"/>
  <c r="E585" i="3"/>
  <c r="D585" i="3"/>
  <c r="E584" i="3"/>
  <c r="D584" i="3"/>
  <c r="E583" i="3"/>
  <c r="D583" i="3"/>
  <c r="E582" i="3"/>
  <c r="D582" i="3"/>
  <c r="E581" i="3"/>
  <c r="D581" i="3"/>
  <c r="E580" i="3"/>
  <c r="D580" i="3"/>
  <c r="E579" i="3"/>
  <c r="D579" i="3"/>
  <c r="E578" i="3"/>
  <c r="D578" i="3"/>
  <c r="E577" i="3"/>
  <c r="D577" i="3"/>
  <c r="E576" i="3"/>
  <c r="D576" i="3"/>
  <c r="E575" i="3"/>
  <c r="D575" i="3"/>
  <c r="E574" i="3"/>
  <c r="D574" i="3"/>
  <c r="E573" i="3"/>
  <c r="D573" i="3"/>
  <c r="E572" i="3"/>
  <c r="D572" i="3"/>
  <c r="E571" i="3"/>
  <c r="D571" i="3"/>
  <c r="E570" i="3"/>
  <c r="D570" i="3"/>
  <c r="E569" i="3"/>
  <c r="D569" i="3"/>
  <c r="E568" i="3"/>
  <c r="D568" i="3"/>
  <c r="E567" i="3"/>
  <c r="D567" i="3"/>
  <c r="E566" i="3"/>
  <c r="D566" i="3"/>
  <c r="E565" i="3"/>
  <c r="D565" i="3"/>
  <c r="E564" i="3"/>
  <c r="D564" i="3"/>
  <c r="E563" i="3"/>
  <c r="D563" i="3"/>
  <c r="E562" i="3"/>
  <c r="D562" i="3"/>
  <c r="E561" i="3"/>
  <c r="D561" i="3"/>
  <c r="E560" i="3"/>
  <c r="D560" i="3"/>
  <c r="E559" i="3"/>
  <c r="D559" i="3"/>
  <c r="E558" i="3"/>
  <c r="D558" i="3"/>
  <c r="E557" i="3"/>
  <c r="D557" i="3"/>
  <c r="E556" i="3"/>
  <c r="D556" i="3"/>
  <c r="E555" i="3"/>
  <c r="D555" i="3"/>
  <c r="E554" i="3"/>
  <c r="D554" i="3"/>
  <c r="E553" i="3"/>
  <c r="D553" i="3"/>
  <c r="E552" i="3"/>
  <c r="D552" i="3"/>
  <c r="E551" i="3"/>
  <c r="D551" i="3"/>
  <c r="E550" i="3"/>
  <c r="D550" i="3"/>
  <c r="E549" i="3"/>
  <c r="D549" i="3"/>
  <c r="E548" i="3"/>
  <c r="D548" i="3"/>
  <c r="E547" i="3"/>
  <c r="D547" i="3"/>
  <c r="E546" i="3"/>
  <c r="D546" i="3"/>
  <c r="E545" i="3"/>
  <c r="D545" i="3"/>
  <c r="E544" i="3"/>
  <c r="D544" i="3"/>
  <c r="E543" i="3"/>
  <c r="D543" i="3"/>
  <c r="E542" i="3"/>
  <c r="D542" i="3"/>
  <c r="E541" i="3"/>
  <c r="D541" i="3"/>
  <c r="E540" i="3"/>
  <c r="D540" i="3"/>
  <c r="E539" i="3"/>
  <c r="D539" i="3"/>
  <c r="E538" i="3"/>
  <c r="D538" i="3"/>
  <c r="E537" i="3"/>
  <c r="D537" i="3"/>
  <c r="E536" i="3"/>
  <c r="D536" i="3"/>
  <c r="E535" i="3"/>
  <c r="D535" i="3"/>
  <c r="E534" i="3"/>
  <c r="D534" i="3"/>
  <c r="E533" i="3"/>
  <c r="D533" i="3"/>
  <c r="E532" i="3"/>
  <c r="D532" i="3"/>
  <c r="E531" i="3"/>
  <c r="D531" i="3"/>
  <c r="E530" i="3"/>
  <c r="D530" i="3"/>
  <c r="E529" i="3"/>
  <c r="D529" i="3"/>
  <c r="E528" i="3"/>
  <c r="D528" i="3"/>
  <c r="E527" i="3"/>
  <c r="D527" i="3"/>
  <c r="E526" i="3"/>
  <c r="D526" i="3"/>
  <c r="E525" i="3"/>
  <c r="D525" i="3"/>
  <c r="E524" i="3"/>
  <c r="D524" i="3"/>
  <c r="E523" i="3"/>
  <c r="D523" i="3"/>
  <c r="E522" i="3"/>
  <c r="D522" i="3"/>
  <c r="E521" i="3"/>
  <c r="D521" i="3"/>
  <c r="E520" i="3"/>
  <c r="D520" i="3"/>
  <c r="E519" i="3"/>
  <c r="D519" i="3"/>
  <c r="E518" i="3"/>
  <c r="D518" i="3"/>
  <c r="E517" i="3"/>
  <c r="D517" i="3"/>
  <c r="E516" i="3"/>
  <c r="D516" i="3"/>
  <c r="E515" i="3"/>
  <c r="D515" i="3"/>
  <c r="E514" i="3"/>
  <c r="D514" i="3"/>
  <c r="E513" i="3"/>
  <c r="D513" i="3"/>
  <c r="E512" i="3"/>
  <c r="D512" i="3"/>
  <c r="E511" i="3"/>
  <c r="D511" i="3"/>
  <c r="E510" i="3"/>
  <c r="D510" i="3"/>
  <c r="E509" i="3"/>
  <c r="D509" i="3"/>
  <c r="E508" i="3"/>
  <c r="D508" i="3"/>
  <c r="E507" i="3"/>
  <c r="D507" i="3"/>
  <c r="E506" i="3"/>
  <c r="D506" i="3"/>
  <c r="E505" i="3"/>
  <c r="D505" i="3"/>
  <c r="E504" i="3"/>
  <c r="D504" i="3"/>
  <c r="E503" i="3"/>
  <c r="D503" i="3"/>
  <c r="E502" i="3"/>
  <c r="D502" i="3"/>
  <c r="E501" i="3"/>
  <c r="D501" i="3"/>
  <c r="E500" i="3"/>
  <c r="D500" i="3"/>
  <c r="E499" i="3"/>
  <c r="D499" i="3"/>
  <c r="E498" i="3"/>
  <c r="D498" i="3"/>
  <c r="E497" i="3"/>
  <c r="D497" i="3"/>
  <c r="E496" i="3"/>
  <c r="D496" i="3"/>
  <c r="E495" i="3"/>
  <c r="D495" i="3"/>
  <c r="E494" i="3"/>
  <c r="D494" i="3"/>
  <c r="E493" i="3"/>
  <c r="D493" i="3"/>
  <c r="E492" i="3"/>
  <c r="D492" i="3"/>
  <c r="E491" i="3"/>
  <c r="D491" i="3"/>
  <c r="E490" i="3"/>
  <c r="D490" i="3"/>
  <c r="E489" i="3"/>
  <c r="D489" i="3"/>
  <c r="E488" i="3"/>
  <c r="D488" i="3"/>
  <c r="E487" i="3"/>
  <c r="D487" i="3"/>
  <c r="E486" i="3"/>
  <c r="D486" i="3"/>
  <c r="E485" i="3"/>
  <c r="D485" i="3"/>
  <c r="E484" i="3"/>
  <c r="D484" i="3"/>
  <c r="E483" i="3"/>
  <c r="D483" i="3"/>
  <c r="E482" i="3"/>
  <c r="D482" i="3"/>
  <c r="E481" i="3"/>
  <c r="D481" i="3"/>
  <c r="E480" i="3"/>
  <c r="D480" i="3"/>
  <c r="E479" i="3"/>
  <c r="D479" i="3"/>
  <c r="E478" i="3"/>
  <c r="D478" i="3"/>
  <c r="E477" i="3"/>
  <c r="D477" i="3"/>
  <c r="E476" i="3"/>
  <c r="D476" i="3"/>
  <c r="E475" i="3"/>
  <c r="D475" i="3"/>
  <c r="E474" i="3"/>
  <c r="D474" i="3"/>
  <c r="E473" i="3"/>
  <c r="D473" i="3"/>
  <c r="E472" i="3"/>
  <c r="D472" i="3"/>
  <c r="E471" i="3"/>
  <c r="D471" i="3"/>
  <c r="E470" i="3"/>
  <c r="D470" i="3"/>
  <c r="E469" i="3"/>
  <c r="D469" i="3"/>
  <c r="E468" i="3"/>
  <c r="D468" i="3"/>
  <c r="E467" i="3"/>
  <c r="D467" i="3"/>
  <c r="E466" i="3"/>
  <c r="D466" i="3"/>
  <c r="E465" i="3"/>
  <c r="D465" i="3"/>
  <c r="E464" i="3"/>
  <c r="D464" i="3"/>
  <c r="E463" i="3"/>
  <c r="D463" i="3"/>
  <c r="E462" i="3"/>
  <c r="D462" i="3"/>
  <c r="E461" i="3"/>
  <c r="D461" i="3"/>
  <c r="E460" i="3"/>
  <c r="D460" i="3"/>
  <c r="E459" i="3"/>
  <c r="D459" i="3"/>
  <c r="E458" i="3"/>
  <c r="D458" i="3"/>
  <c r="E457" i="3"/>
  <c r="D457" i="3"/>
  <c r="E456" i="3"/>
  <c r="D456" i="3"/>
  <c r="E455" i="3"/>
  <c r="D455" i="3"/>
  <c r="E454" i="3"/>
  <c r="D454" i="3"/>
  <c r="E453" i="3"/>
  <c r="D453" i="3"/>
  <c r="E452" i="3"/>
  <c r="D452" i="3"/>
  <c r="E451" i="3"/>
  <c r="D451" i="3"/>
  <c r="E450" i="3"/>
  <c r="D450" i="3"/>
  <c r="E449" i="3"/>
  <c r="D449" i="3"/>
  <c r="E448" i="3"/>
  <c r="D448" i="3"/>
  <c r="E447" i="3"/>
  <c r="D447" i="3"/>
  <c r="E446" i="3"/>
  <c r="D446" i="3"/>
  <c r="E445" i="3"/>
  <c r="D445" i="3"/>
  <c r="E444" i="3"/>
  <c r="D444" i="3"/>
  <c r="E443" i="3"/>
  <c r="D443" i="3"/>
  <c r="E442" i="3"/>
  <c r="D442" i="3"/>
  <c r="E441" i="3"/>
  <c r="D441" i="3"/>
  <c r="E440" i="3"/>
  <c r="D440" i="3"/>
  <c r="E439" i="3"/>
  <c r="D439" i="3"/>
  <c r="E438" i="3"/>
  <c r="D438" i="3"/>
  <c r="E437" i="3"/>
  <c r="D437" i="3"/>
  <c r="E436" i="3"/>
  <c r="D436" i="3"/>
  <c r="E435" i="3"/>
  <c r="D435" i="3"/>
  <c r="E434" i="3"/>
  <c r="D434" i="3"/>
  <c r="E433" i="3"/>
  <c r="D433" i="3"/>
  <c r="E432" i="3"/>
  <c r="D432" i="3"/>
  <c r="E431" i="3"/>
  <c r="D431" i="3"/>
  <c r="E430" i="3"/>
  <c r="D430" i="3"/>
  <c r="E429" i="3"/>
  <c r="D429" i="3"/>
  <c r="E428" i="3"/>
  <c r="D428" i="3"/>
  <c r="E427" i="3"/>
  <c r="D427" i="3"/>
  <c r="E426" i="3"/>
  <c r="D426" i="3"/>
  <c r="E425" i="3"/>
  <c r="D425" i="3"/>
  <c r="E424" i="3"/>
  <c r="D424" i="3"/>
  <c r="E423" i="3"/>
  <c r="D423" i="3"/>
  <c r="E422" i="3"/>
  <c r="D422" i="3"/>
  <c r="E421" i="3"/>
  <c r="D421" i="3"/>
  <c r="E420" i="3"/>
  <c r="D420" i="3"/>
  <c r="E419" i="3"/>
  <c r="D419" i="3"/>
  <c r="E418" i="3"/>
  <c r="D418" i="3"/>
  <c r="E417" i="3"/>
  <c r="D417" i="3"/>
  <c r="E416" i="3"/>
  <c r="D416" i="3"/>
  <c r="E415" i="3"/>
  <c r="D415" i="3"/>
  <c r="E414" i="3"/>
  <c r="D414" i="3"/>
  <c r="E413" i="3"/>
  <c r="D413" i="3"/>
  <c r="E412" i="3"/>
  <c r="D412" i="3"/>
  <c r="E411" i="3"/>
  <c r="D411" i="3"/>
  <c r="E410" i="3"/>
  <c r="D410" i="3"/>
  <c r="E409" i="3"/>
  <c r="D409" i="3"/>
  <c r="E408" i="3"/>
  <c r="D408" i="3"/>
  <c r="E407" i="3"/>
  <c r="D407" i="3"/>
  <c r="E406" i="3"/>
  <c r="D406" i="3"/>
  <c r="E405" i="3"/>
  <c r="D405" i="3"/>
  <c r="E404" i="3"/>
  <c r="D404" i="3"/>
  <c r="E403" i="3"/>
  <c r="D403" i="3"/>
  <c r="E402" i="3"/>
  <c r="D402" i="3"/>
  <c r="E401" i="3"/>
  <c r="D401" i="3"/>
  <c r="E400" i="3"/>
  <c r="D400" i="3"/>
  <c r="E399" i="3"/>
  <c r="D399" i="3"/>
  <c r="E398" i="3"/>
  <c r="D398" i="3"/>
  <c r="E397" i="3"/>
  <c r="D397" i="3"/>
  <c r="E396" i="3"/>
  <c r="D396" i="3"/>
  <c r="E395" i="3"/>
  <c r="D395" i="3"/>
  <c r="E394" i="3"/>
  <c r="D394" i="3"/>
  <c r="E393" i="3"/>
  <c r="D393" i="3"/>
  <c r="E392" i="3"/>
  <c r="D392" i="3"/>
  <c r="E391" i="3"/>
  <c r="D391" i="3"/>
  <c r="E390" i="3"/>
  <c r="D390" i="3"/>
  <c r="E389" i="3"/>
  <c r="D389" i="3"/>
  <c r="E388" i="3"/>
  <c r="D388" i="3"/>
  <c r="E387" i="3"/>
  <c r="D387" i="3"/>
  <c r="E386" i="3"/>
  <c r="D386" i="3"/>
  <c r="E385" i="3"/>
  <c r="D385" i="3"/>
  <c r="E384" i="3"/>
  <c r="D384" i="3"/>
  <c r="E383" i="3"/>
  <c r="D383" i="3"/>
  <c r="E382" i="3"/>
  <c r="D382" i="3"/>
  <c r="E381" i="3"/>
  <c r="D381" i="3"/>
  <c r="E380" i="3"/>
  <c r="D380" i="3"/>
  <c r="E379" i="3"/>
  <c r="D379" i="3"/>
  <c r="E378" i="3"/>
  <c r="D378" i="3"/>
  <c r="E377" i="3"/>
  <c r="D377" i="3"/>
  <c r="E376" i="3"/>
  <c r="D376" i="3"/>
  <c r="E375" i="3"/>
  <c r="D375" i="3"/>
  <c r="E374" i="3"/>
  <c r="D374" i="3"/>
  <c r="E373" i="3"/>
  <c r="D373" i="3"/>
  <c r="E372" i="3"/>
  <c r="D372" i="3"/>
  <c r="E371" i="3"/>
  <c r="D371" i="3"/>
  <c r="E370" i="3"/>
  <c r="D370" i="3"/>
  <c r="E369" i="3"/>
  <c r="D369" i="3"/>
  <c r="E368" i="3"/>
  <c r="D368" i="3"/>
  <c r="E367" i="3"/>
  <c r="D367" i="3"/>
  <c r="E366" i="3"/>
  <c r="D366" i="3"/>
  <c r="E365" i="3"/>
  <c r="D365" i="3"/>
  <c r="E364" i="3"/>
  <c r="D364" i="3"/>
  <c r="E363" i="3"/>
  <c r="D363" i="3"/>
  <c r="E362" i="3"/>
  <c r="D362" i="3"/>
  <c r="E361" i="3"/>
  <c r="D361" i="3"/>
  <c r="E360" i="3"/>
  <c r="D360" i="3"/>
  <c r="E359" i="3"/>
  <c r="D359" i="3"/>
  <c r="E358" i="3"/>
  <c r="D358" i="3"/>
  <c r="E357" i="3"/>
  <c r="D357" i="3"/>
  <c r="E356" i="3"/>
  <c r="D356" i="3"/>
  <c r="E355" i="3"/>
  <c r="D355" i="3"/>
  <c r="E354" i="3"/>
  <c r="D354" i="3"/>
  <c r="E353" i="3"/>
  <c r="D353" i="3"/>
  <c r="E352" i="3"/>
  <c r="D352" i="3"/>
  <c r="E351" i="3"/>
  <c r="D351" i="3"/>
  <c r="E350" i="3"/>
  <c r="D350" i="3"/>
  <c r="E349" i="3"/>
  <c r="D349" i="3"/>
  <c r="E348" i="3"/>
  <c r="D348" i="3"/>
  <c r="E347" i="3"/>
  <c r="D347" i="3"/>
  <c r="E346" i="3"/>
  <c r="D346" i="3"/>
  <c r="E345" i="3"/>
  <c r="D345" i="3"/>
  <c r="E344" i="3"/>
  <c r="D344" i="3"/>
  <c r="E343" i="3"/>
  <c r="D343" i="3"/>
  <c r="E342" i="3"/>
  <c r="D342" i="3"/>
  <c r="E341" i="3"/>
  <c r="D341" i="3"/>
  <c r="E340" i="3"/>
  <c r="D340" i="3"/>
  <c r="E339" i="3"/>
  <c r="D339" i="3"/>
  <c r="E338" i="3"/>
  <c r="D338" i="3"/>
  <c r="E337" i="3"/>
  <c r="D337" i="3"/>
  <c r="E336" i="3"/>
  <c r="D336" i="3"/>
  <c r="E335" i="3"/>
  <c r="D335" i="3"/>
  <c r="E334" i="3"/>
  <c r="D334" i="3"/>
  <c r="E333" i="3"/>
  <c r="D333" i="3"/>
  <c r="E332" i="3"/>
  <c r="D332" i="3"/>
  <c r="E331" i="3"/>
  <c r="D331" i="3"/>
  <c r="E330" i="3"/>
  <c r="D330" i="3"/>
  <c r="E329" i="3"/>
  <c r="D329" i="3"/>
  <c r="E328" i="3"/>
  <c r="D328" i="3"/>
  <c r="E327" i="3"/>
  <c r="D327" i="3"/>
  <c r="E326" i="3"/>
  <c r="D326" i="3"/>
  <c r="E325" i="3"/>
  <c r="D325" i="3"/>
  <c r="E324" i="3"/>
  <c r="D324" i="3"/>
  <c r="E323" i="3"/>
  <c r="D323" i="3"/>
  <c r="E322" i="3"/>
  <c r="D322" i="3"/>
  <c r="E321" i="3"/>
  <c r="D321" i="3"/>
  <c r="E320" i="3"/>
  <c r="D320" i="3"/>
  <c r="E319" i="3"/>
  <c r="D319" i="3"/>
  <c r="E318" i="3"/>
  <c r="D318" i="3"/>
  <c r="E317" i="3"/>
  <c r="D317" i="3"/>
  <c r="E316" i="3"/>
  <c r="D316" i="3"/>
  <c r="E315" i="3"/>
  <c r="D315" i="3"/>
  <c r="E314" i="3"/>
  <c r="D314" i="3"/>
  <c r="E313" i="3"/>
  <c r="D313" i="3"/>
  <c r="E312" i="3"/>
  <c r="D312" i="3"/>
  <c r="E311" i="3"/>
  <c r="D311" i="3"/>
  <c r="E310" i="3"/>
  <c r="D310" i="3"/>
  <c r="E309" i="3"/>
  <c r="D309" i="3"/>
  <c r="E308" i="3"/>
  <c r="D308" i="3"/>
  <c r="E307" i="3"/>
  <c r="D307" i="3"/>
  <c r="E306" i="3"/>
  <c r="D306" i="3"/>
  <c r="E305" i="3"/>
  <c r="D305" i="3"/>
  <c r="E304" i="3"/>
  <c r="D304" i="3"/>
  <c r="E303" i="3"/>
  <c r="D303" i="3"/>
  <c r="E302" i="3"/>
  <c r="D302" i="3"/>
  <c r="E301" i="3"/>
  <c r="D301" i="3"/>
  <c r="E300" i="3"/>
  <c r="D300" i="3"/>
  <c r="E299" i="3"/>
  <c r="D299" i="3"/>
  <c r="E298" i="3"/>
  <c r="D298" i="3"/>
  <c r="E297" i="3"/>
  <c r="D297" i="3"/>
  <c r="E296" i="3"/>
  <c r="D296" i="3"/>
  <c r="E295" i="3"/>
  <c r="D295" i="3"/>
  <c r="E294" i="3"/>
  <c r="D294" i="3"/>
  <c r="E293" i="3"/>
  <c r="D293" i="3"/>
  <c r="E292" i="3"/>
  <c r="D292" i="3"/>
  <c r="E291" i="3"/>
  <c r="D291" i="3"/>
  <c r="E290" i="3"/>
  <c r="D290" i="3"/>
  <c r="E289" i="3"/>
  <c r="D289" i="3"/>
  <c r="E288" i="3"/>
  <c r="D288" i="3"/>
  <c r="E287" i="3"/>
  <c r="D287" i="3"/>
  <c r="E286" i="3"/>
  <c r="D286" i="3"/>
  <c r="E285" i="3"/>
  <c r="D285" i="3"/>
  <c r="E284" i="3"/>
  <c r="D284" i="3"/>
  <c r="E283" i="3"/>
  <c r="D283" i="3"/>
  <c r="E282" i="3"/>
  <c r="D282" i="3"/>
  <c r="E281" i="3"/>
  <c r="D281" i="3"/>
  <c r="E280" i="3"/>
  <c r="D280" i="3"/>
  <c r="E279" i="3"/>
  <c r="D279" i="3"/>
  <c r="E278" i="3"/>
  <c r="D278" i="3"/>
  <c r="E277" i="3"/>
  <c r="D277" i="3"/>
  <c r="E276" i="3"/>
  <c r="D276" i="3"/>
  <c r="E275" i="3"/>
  <c r="D275" i="3"/>
  <c r="E274" i="3"/>
  <c r="D274" i="3"/>
  <c r="E273" i="3"/>
  <c r="D273" i="3"/>
  <c r="E272" i="3"/>
  <c r="D272" i="3"/>
  <c r="E271" i="3"/>
  <c r="D271" i="3"/>
  <c r="E270" i="3"/>
  <c r="D270" i="3"/>
  <c r="E269" i="3"/>
  <c r="D269" i="3"/>
  <c r="E268" i="3"/>
  <c r="D268" i="3"/>
  <c r="E267" i="3"/>
  <c r="D267" i="3"/>
  <c r="E266" i="3"/>
  <c r="D266" i="3"/>
  <c r="E265" i="3"/>
  <c r="D265" i="3"/>
  <c r="E264" i="3"/>
  <c r="D264" i="3"/>
  <c r="E263" i="3"/>
  <c r="D263" i="3"/>
  <c r="E262" i="3"/>
  <c r="D262" i="3"/>
  <c r="E261" i="3"/>
  <c r="D261" i="3"/>
  <c r="E260" i="3"/>
  <c r="D260" i="3"/>
  <c r="E259" i="3"/>
  <c r="D259" i="3"/>
  <c r="E258" i="3"/>
  <c r="D258" i="3"/>
  <c r="E257" i="3"/>
  <c r="D257" i="3"/>
  <c r="E256" i="3"/>
  <c r="D256" i="3"/>
  <c r="E255" i="3"/>
  <c r="D255" i="3"/>
  <c r="E254" i="3"/>
  <c r="D254" i="3"/>
  <c r="E253" i="3"/>
  <c r="D253" i="3"/>
  <c r="E252" i="3"/>
  <c r="D252" i="3"/>
  <c r="E251" i="3"/>
  <c r="D251" i="3"/>
  <c r="E250" i="3"/>
  <c r="D250" i="3"/>
  <c r="E249" i="3"/>
  <c r="D249" i="3"/>
  <c r="E248" i="3"/>
  <c r="D248" i="3"/>
  <c r="E247" i="3"/>
  <c r="D247" i="3"/>
  <c r="E246" i="3"/>
  <c r="D246" i="3"/>
  <c r="E245" i="3"/>
  <c r="D245" i="3"/>
  <c r="E244" i="3"/>
  <c r="D244" i="3"/>
  <c r="E243" i="3"/>
  <c r="D243" i="3"/>
  <c r="E242" i="3"/>
  <c r="D242" i="3"/>
  <c r="E241" i="3"/>
  <c r="D241" i="3"/>
  <c r="E240" i="3"/>
  <c r="D240" i="3"/>
  <c r="E239" i="3"/>
  <c r="D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D190" i="3"/>
  <c r="E189" i="3"/>
  <c r="D189" i="3"/>
  <c r="E188" i="3"/>
  <c r="D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E179" i="3"/>
  <c r="D179" i="3"/>
  <c r="E178" i="3"/>
  <c r="D178" i="3"/>
  <c r="E177" i="3"/>
  <c r="D177" i="3"/>
  <c r="E176" i="3"/>
  <c r="D176" i="3"/>
  <c r="E175" i="3"/>
  <c r="D175" i="3"/>
  <c r="E174" i="3"/>
  <c r="D174" i="3"/>
  <c r="E173" i="3"/>
  <c r="D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E165" i="3"/>
  <c r="D165" i="3"/>
  <c r="E164" i="3"/>
  <c r="D164" i="3"/>
  <c r="E163" i="3"/>
  <c r="D163" i="3"/>
  <c r="E162" i="3"/>
  <c r="D162" i="3"/>
  <c r="E161" i="3"/>
  <c r="D161" i="3"/>
  <c r="E160" i="3"/>
  <c r="D160" i="3"/>
  <c r="E159" i="3"/>
  <c r="D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E151" i="3"/>
  <c r="D151" i="3"/>
  <c r="E150" i="3"/>
  <c r="D150" i="3"/>
  <c r="E149" i="3"/>
  <c r="D149" i="3"/>
  <c r="E148" i="3"/>
  <c r="D148" i="3"/>
  <c r="E147" i="3"/>
  <c r="D147" i="3"/>
  <c r="E146" i="3"/>
  <c r="D146" i="3"/>
  <c r="E145" i="3"/>
  <c r="D145" i="3"/>
  <c r="E144" i="3"/>
  <c r="D144" i="3"/>
  <c r="E143" i="3"/>
  <c r="D143" i="3"/>
  <c r="E142" i="3"/>
  <c r="D142" i="3"/>
  <c r="E141" i="3"/>
  <c r="D141" i="3"/>
  <c r="E140" i="3"/>
  <c r="D140" i="3"/>
  <c r="E139" i="3"/>
  <c r="D139" i="3"/>
  <c r="E138" i="3"/>
  <c r="D138" i="3"/>
  <c r="E137" i="3"/>
  <c r="D137" i="3"/>
  <c r="E136" i="3"/>
  <c r="D136" i="3"/>
  <c r="E135" i="3"/>
  <c r="D135" i="3"/>
  <c r="E134" i="3"/>
  <c r="D134" i="3"/>
  <c r="E133" i="3"/>
  <c r="D133" i="3"/>
  <c r="E132" i="3"/>
  <c r="D132" i="3"/>
  <c r="E131" i="3"/>
  <c r="D131" i="3"/>
  <c r="E130" i="3"/>
  <c r="D130" i="3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tc={3d9a1bb3-64b7-4df4-9e49-e35f86bfd856}</author>
    <author>tc={d3ec400a-5c9b-4613-8255-efb94a99165f}</author>
    <author>tc={bc6ea4b3-9fef-408d-8915-53f2a3ac95f5}</author>
    <author>tc={0ffde839-7166-47a5-8842-fe517266d47b}</author>
    <author>tc={69e80a71-b3c8-4919-b1d1-f1b8e8460131}</author>
    <author>tc={371e8882-2138-4fa1-b42c-3fbb090f44e6}</author>
    <author>tc={393a10db-62fa-4f2c-b04a-a6c18a386bb4}</author>
    <author>tc={80ac7f53-e552-4efa-ab9f-e44fb561d161}</author>
    <author>tc={ad114978-673f-4b07-9b57-85f0d1f71d94}</author>
    <author>tc={40c42c77-003e-4667-830b-1d3003f12d07}</author>
    <author>tc={430739a1-1cd2-49ca-bb9f-a0bf5c34dc7a}</author>
    <author>tc={7b4ed4f1-d812-49e7-bdc5-cf07f4a50bc1}</author>
    <author>tc={683bb263-e52d-4eee-8c7c-a7f3bd026a2d}</author>
    <author>tc={85ee74ae-9b42-479b-834a-489e79df9aa9}</author>
    <author>tc={ddbb203c-8f22-44da-ae2f-0857343e5d0f}</author>
    <author>tc={db0e008b-6215-41e3-8b44-8546c1a38ec7}</author>
    <author>tc={806d01d1-4a89-4156-8ea5-2c5e151d5bdb}</author>
    <author>tc={3e7692ab-1635-4f48-be27-06b1d58f12a2}</author>
    <author>tc={773bd78a-9392-4d5b-8448-a621246c0e6d}</author>
    <author>tc={359f8485-8461-4680-bfeb-4a55431ac9df}</author>
    <author>tc={306cdc7a-2778-4810-8d5c-f2e3ce736971}</author>
    <author>tc={ffc1ea82-2cd0-4378-ba85-ad7c26656934}</author>
    <author>tc={728b88ab-b55f-4702-9529-15d3c74e3f64}</author>
    <author>tc={f9e56c22-323f-480d-a1c3-7ced175a4057}</author>
    <author>tc={4e174161-fafa-40e6-9008-9da6585c06bf}</author>
    <author>tc={b9f621b1-3d63-429e-baa0-effc2a6f4d78}</author>
    <author>tc={cf7fa9f2-6aeb-44e3-815f-8b2df4bed773}</author>
    <author>tc={682d3837-c77f-4df6-a773-fcf06eaf0640}</author>
  </authors>
  <commentList>
    <comment ref="I356" authorId="0" shapeId="0" xr:uid="{3D9A1BB3-64B7-4DF4-9E49-E35F86BFD85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michael.gossie@azbigmedia.com
</t>
        </r>
      </text>
    </comment>
    <comment ref="A528" authorId="1" shapeId="0" xr:uid="{D3EC400A-5C9B-4613-8255-EFB94A99165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Next start from 6th page
</t>
        </r>
      </text>
    </comment>
    <comment ref="I864" authorId="2" shapeId="0" xr:uid="{BC6EA4B3-9FEF-408D-8915-53F2A3AC95F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rt@wfpcc.com
</t>
        </r>
      </text>
    </comment>
    <comment ref="A879" authorId="3" shapeId="0" xr:uid="{0FFDE839-7166-47A5-8842-FE517266D47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8th
</t>
        </r>
      </text>
    </comment>
    <comment ref="I981" authorId="4" shapeId="0" xr:uid="{69E80A71-B3C8-4919-B1D1-F1B8E846013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david.oreilly@howardhughes.com
</t>
        </r>
      </text>
    </comment>
    <comment ref="A1357" authorId="5" shapeId="0" xr:uid="{371E8882-2138-4FA1-B42C-3FBB090F44E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10th page
</t>
        </r>
      </text>
    </comment>
    <comment ref="J1376" authorId="6" shapeId="0" xr:uid="{393A10DB-62FA-4F2C-B04A-A6C18A386BB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contactus@firstforwomen.com
</t>
        </r>
      </text>
    </comment>
    <comment ref="J1398" authorId="7" shapeId="0" xr:uid="{80AC7F53-E552-4EFA-AB9F-E44FB561D16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sales@o-careusa.com
</t>
        </r>
      </text>
    </comment>
    <comment ref="I1514" authorId="8" shapeId="0" xr:uid="{AD114978-673F-4B07-9B57-85F0D1F71D9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ashley_brown@outlook.com
</t>
        </r>
      </text>
    </comment>
    <comment ref="I1515" authorId="9" shapeId="0" xr:uid="{40C42C77-003E-4667-830B-1D3003F12D0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sarah@gaar.com
</t>
        </r>
      </text>
    </comment>
    <comment ref="J1567" authorId="10" shapeId="0" xr:uid="{430739A1-1CD2-49CA-BB9F-A0BF5C34DC7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homeowners@hometap.com
</t>
        </r>
      </text>
    </comment>
    <comment ref="J1569" authorId="11" shapeId="0" xr:uid="{7B4ED4F1-D812-49E7-BDC5-CF07F4A50BC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press@dailymom.com
</t>
        </r>
      </text>
    </comment>
    <comment ref="I1679" authorId="12" shapeId="0" xr:uid="{683BB263-E52D-4EEE-8C7C-A7F3BD026A2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elizabethangell@gmail.com
</t>
        </r>
      </text>
    </comment>
    <comment ref="I1829" authorId="13" shapeId="0" xr:uid="{85EE74AE-9B42-479B-834A-489E79DF9AA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leslie@money.com
</t>
        </r>
      </text>
    </comment>
    <comment ref="I2564" authorId="14" shapeId="0" xr:uid="{DDBB203C-8F22-44DA-AE2F-0857343E5D0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Caroline@SOLAbrands.com
</t>
        </r>
      </text>
    </comment>
    <comment ref="I2571" authorId="15" shapeId="0" xr:uid="{DB0E008B-6215-41E3-8B44-8546C1A38EC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baylesk@bnpmedia.com
</t>
        </r>
      </text>
    </comment>
    <comment ref="I2602" authorId="16" shapeId="0" xr:uid="{806D01D1-4A89-4156-8EA5-2C5E151D5BD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william.pittel@hudsononemedia.com
</t>
        </r>
      </text>
    </comment>
    <comment ref="I2691" authorId="17" shapeId="0" xr:uid="{3E7692AB-1635-4F48-BE27-06B1D58F12A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Kim - kyoung@mpvre.com
</t>
        </r>
      </text>
    </comment>
    <comment ref="I2711" authorId="18" shapeId="0" xr:uid="{773BD78A-9392-4D5B-8448-A621246C0E6D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emehertab@chlml.com
</t>
        </r>
      </text>
    </comment>
    <comment ref="A3472" authorId="19" shapeId="0" xr:uid="{359F8485-8461-4680-BFEB-4A55431AC9D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6th page blog
</t>
        </r>
      </text>
    </comment>
    <comment ref="I4801" authorId="20" shapeId="0" xr:uid="{306CDC7A-2778-4810-8D5C-F2E3CE73697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hquartermain@googlemail.com
</t>
        </r>
      </text>
    </comment>
    <comment ref="I4852" authorId="21" shapeId="0" xr:uid="{FFC1EA82-2CD0-4378-BA85-AD7C2665693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daveszt@gmail.com
</t>
        </r>
      </text>
    </comment>
    <comment ref="I4869" authorId="22" shapeId="0" xr:uid="{728B88AB-B55F-4702-9529-15D3C74E3F6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editor@palatinate.org.uk
</t>
        </r>
      </text>
    </comment>
    <comment ref="H4880" authorId="23" shapeId="0" xr:uid="{F9E56C22-323F-480D-A1C3-7CED175A405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Hilary Downes
</t>
        </r>
      </text>
    </comment>
    <comment ref="I4888" authorId="24" shapeId="0" xr:uid="{4E174161-FAFA-40E6-9008-9DA6585C06B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jack.ramsden@iconicmediagroup.co.uk
</t>
        </r>
      </text>
    </comment>
    <comment ref="J4898" authorId="25" shapeId="0" xr:uid="{B9F621B1-3D63-429E-BAA0-EFFC2A6F4D7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cherwelleditor@gmail.com
</t>
        </r>
      </text>
    </comment>
    <comment ref="I4900" authorId="26" shapeId="0" xr:uid="{CF7FA9F2-6AEB-44E3-815F-8B2DF4BED773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richard.delahunty@tandf.co.uk
</t>
        </r>
      </text>
    </comment>
    <comment ref="I4901" authorId="27" shapeId="0" xr:uid="{682D3837-C77F-4DF6-A773-FCF06EAF064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annavarelag@gmail.com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tc={76bb694e-ec90-427c-a4a1-b240c4933a21}</author>
    <author>tc={a4cb26fb-cde9-4d8e-b8cf-8271dbf0c4af}</author>
  </authors>
  <commentList>
    <comment ref="B82" authorId="0" shapeId="0" xr:uid="{76BB694E-EC90-427C-A4A1-B240C4933A21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frm 16th
</t>
        </r>
      </text>
    </comment>
    <comment ref="B120" authorId="1" shapeId="0" xr:uid="{A4CB26FB-CDE9-4D8E-B8CF-8271DBF0C4A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20th
</t>
        </r>
      </text>
    </comment>
  </commentList>
</comments>
</file>

<file path=xl/sharedStrings.xml><?xml version="1.0" encoding="utf-8"?>
<sst xmlns="http://schemas.openxmlformats.org/spreadsheetml/2006/main" count="24817" uniqueCount="10733">
  <si>
    <t>Link Sellers / Competitors
(Any URLs)</t>
  </si>
  <si>
    <t>Link Sellers / Competitors
(Only Root Domain - DO NOT TOUCH)</t>
  </si>
  <si>
    <t>Spied By</t>
  </si>
  <si>
    <t>Tag</t>
  </si>
  <si>
    <t>allaroundmoving.com</t>
  </si>
  <si>
    <t>Rubel</t>
  </si>
  <si>
    <t>Spy on Link Seller</t>
  </si>
  <si>
    <t>sdhouseguys.com</t>
  </si>
  <si>
    <t>diyhomecomfort.com</t>
  </si>
  <si>
    <t>https://ahouseinthehills.com/</t>
  </si>
  <si>
    <t>luxurialifestyle.com</t>
  </si>
  <si>
    <t>realestateko.com</t>
  </si>
  <si>
    <t>resident.com</t>
  </si>
  <si>
    <t>skyfiveproperties.com</t>
  </si>
  <si>
    <t>https://www.dreamlandestate.com/</t>
  </si>
  <si>
    <t>https://www.build-review.com/</t>
  </si>
  <si>
    <t>futuristarchitecture.com</t>
  </si>
  <si>
    <t>gemmalouise.co.uk</t>
  </si>
  <si>
    <t>benoitproperties.com</t>
  </si>
  <si>
    <t>howardhanna.com</t>
  </si>
  <si>
    <t>blog.herrealtors.com</t>
  </si>
  <si>
    <t>homewaresinsider.com</t>
  </si>
  <si>
    <t>propertyunder50k.com</t>
  </si>
  <si>
    <t>homeeguide.com</t>
  </si>
  <si>
    <t>homelovr.com</t>
  </si>
  <si>
    <t>https://365businesstips.com/</t>
  </si>
  <si>
    <t>elemental.green</t>
  </si>
  <si>
    <t>Robiul</t>
  </si>
  <si>
    <t>https://www.propertytalk.com/</t>
  </si>
  <si>
    <t>https://www.houzeo.com/</t>
  </si>
  <si>
    <t>contractorsfromhell.com</t>
  </si>
  <si>
    <t>https://www.kennarealestate.com/</t>
  </si>
  <si>
    <t>Random Outreach</t>
  </si>
  <si>
    <t>https://www.rentbottomline.com/blog</t>
  </si>
  <si>
    <t>Razwon</t>
  </si>
  <si>
    <t>https://www.lorddecor.com/</t>
  </si>
  <si>
    <t>https://propertiesmiami.com/blog</t>
  </si>
  <si>
    <t>www.tarasa.com/</t>
  </si>
  <si>
    <t>https://www.simpleshowing.com/</t>
  </si>
  <si>
    <t>https://nikkilevyinteriors.com/blog/</t>
  </si>
  <si>
    <t>https://www.francescamorganinteriors.com/blog</t>
  </si>
  <si>
    <t>https://www.sblonginteriors.com/blog/</t>
  </si>
  <si>
    <t>https://meredithmarlow.com/interior-design-articles/</t>
  </si>
  <si>
    <t>https://www.designersmk.com/blog/</t>
  </si>
  <si>
    <t>https://camila.decoratingden.com/blog/</t>
  </si>
  <si>
    <t>https://lisagilmoredesign.com/interior-design-trends</t>
  </si>
  <si>
    <t>https://dkorinteriors.com/dkor-interior-design-blog/</t>
  </si>
  <si>
    <t>https://www.interiorsbysteveng.com/blog/</t>
  </si>
  <si>
    <t>https://collinsandcointeriors.com/blog/</t>
  </si>
  <si>
    <t>https://blog.mrsteam.com/how-to-transform-a-bathroom-into-a-vacation-spot</t>
  </si>
  <si>
    <t>https://huntingforrubies.com/romantic-getaway-florida-boca-resort/1559.html</t>
  </si>
  <si>
    <t>https://www.truesouthcoastalhomes.com/blog/7-reasons-to-have-your-home-inspected/</t>
  </si>
  <si>
    <t>https://project-sleep.com/my-experience-speaking-at-the-florida-association-of-sleep-technologists-conference-guest-post-by-jessica-davenport/</t>
  </si>
  <si>
    <t>https://www.southfloridainjurylawfirm.com/blog/2015/march/will-florida-s-recent-hit-and-run-ruling-impact-/</t>
  </si>
  <si>
    <t>https://sarmlife.com/5-unique-tips-to-maximize-your-guest-blogging-efforts/</t>
  </si>
  <si>
    <t>https://homeia.com/sponsored-post-examples/</t>
  </si>
  <si>
    <t>https://wppopupmaker.com/write-guest-post/</t>
  </si>
  <si>
    <t>https://speedingticketkc.com/do-i-need-to-have-a-front-license-plate-in-florida-guest-post/</t>
  </si>
  <si>
    <t>https://www.legalfuel.com/law-firm-computer-system-security/</t>
  </si>
  <si>
    <t>https://www.haimolaw.com/the-fall-of-floridas-gay-adoption-ban-guest-post-by-adam-cordover/</t>
  </si>
  <si>
    <t>https://goodmenproject.com/everyday-life-2/the-vision-of-itzhak-ezratti-how-purpose-and-principles-built-gl-homes/</t>
  </si>
  <si>
    <t>https://www.pamelaharveyinteriors.com/blog</t>
  </si>
  <si>
    <t>https://www.decorilla.com/online-decorating/</t>
  </si>
  <si>
    <t>https://collins-dupont.com/blog/</t>
  </si>
  <si>
    <t>https://www.gcinteriordesign.com/articles/</t>
  </si>
  <si>
    <t>https://kristahome.com/designpalmbeach/</t>
  </si>
  <si>
    <t>https://www.idlawshop.com/interior-design-law-blog</t>
  </si>
  <si>
    <t>https://splendidhomedesign.com/#blog</t>
  </si>
  <si>
    <t>https://www.captivahomedesign.com/blog</t>
  </si>
  <si>
    <t>https://www.studio790.com/blog</t>
  </si>
  <si>
    <t>https://margaritabravo.com/blog/</t>
  </si>
  <si>
    <t>https://dwest.com/articles/</t>
  </si>
  <si>
    <t>https://www.jdesigngroup.com/blog/</t>
  </si>
  <si>
    <t>https://www.baers.com/blog</t>
  </si>
  <si>
    <t>https://lolainteriors.com/blog/</t>
  </si>
  <si>
    <t>https://www.floridalivingquarters.com/blog/</t>
  </si>
  <si>
    <t>https://www.sarahzdesigns.com/our-blog/</t>
  </si>
  <si>
    <t>https://www.studioidc.com/blog</t>
  </si>
  <si>
    <t>https://www.2idinteriors.com/blog</t>
  </si>
  <si>
    <t>https://yourdesignpartner.com/blog-page/</t>
  </si>
  <si>
    <t>https://www.spectacularspaces.com/blog</t>
  </si>
  <si>
    <t>https://www.brew-hound.com/blog/categories/guest-post</t>
  </si>
  <si>
    <t>https://discoverfortmose.com/2024/06/guest-post-may-our-stories-endure-at-fort-mose-by-george-mckenzie-jr/</t>
  </si>
  <si>
    <t>https://wanderthemap.com/category/guest-post/</t>
  </si>
  <si>
    <t>https://theinsatiabletraveler.com/tag/guest-post/</t>
  </si>
  <si>
    <t>https://katemotaung.com/2020/02/04/aching-for-home-guest-post-by-gina-butz/</t>
  </si>
  <si>
    <t>https://www.cos.io/blog/concrete-models-for-educational-data-sharing</t>
  </si>
  <si>
    <t>https://www.dandodiary.com/2020/09/articles/corporate-governance/guest-post-corporate-governance-tales-from-virtual-open-door-encounters-part-1/</t>
  </si>
  <si>
    <t>https://www.floridasmart.com/why-guest-posts-generic-social-media-are-dead-and-what-florida-businesses-should-do-instead</t>
  </si>
  <si>
    <t>https://myshingle.com/2019/04/articles/profiles/make-money-mondays-learn-a-new-language-guest-post-by-russell-d-knight/</t>
  </si>
  <si>
    <t>https://www.honeybeesuite.com/guest-post-a-day-in-the-world-around-me/</t>
  </si>
  <si>
    <t>https://www.projectwet.org/blog/guest-post-making-splash-floridas-crystal-springs-preserve</t>
  </si>
  <si>
    <t>https://weekendtimes.com.au/business-news/10553-top-5-providers-of-seo-focused-guest-posts-in-florida-you-can-count-on</t>
  </si>
  <si>
    <t>https://lastwordonnothing.com/2017/06/07/guest-post-ashes-ashes/</t>
  </si>
  <si>
    <t>https://www.familylawprotection.com/guest-post-transfer-copyright-ownership-rights/</t>
  </si>
  <si>
    <t>https://www.bookcritics.org/2010/09/21/guest-post-by-alex-sharp-i-am-so-ready-to-make-the-switch-to-e-galleys/</t>
  </si>
  <si>
    <t>http://www.christianleedesign.com/blog</t>
  </si>
  <si>
    <t>https://trademarkinteriordesign.com/blog/</t>
  </si>
  <si>
    <t>https://www.theartisticelements.com/blog/</t>
  </si>
  <si>
    <t>https://avanzatodesign.com/blog</t>
  </si>
  <si>
    <t>https://www.chanceydesign.com/press-blog</t>
  </si>
  <si>
    <t>https://www.gagemartin.com/press</t>
  </si>
  <si>
    <t>https://kaelynschmidtdesign.com/blog/</t>
  </si>
  <si>
    <t>https://www.brittocharette.com/blog/</t>
  </si>
  <si>
    <t>https://byronchandlerinteriors.com/blog/</t>
  </si>
  <si>
    <t>https://ds-miami.com/blog/</t>
  </si>
  <si>
    <t>https://www.micamydesign.com/blog</t>
  </si>
  <si>
    <t>https://www.thedesignstudio.com/blog-interior-design-st-johns-fl/</t>
  </si>
  <si>
    <t>https://www.ellenkavanaugh.com/press</t>
  </si>
  <si>
    <t>https://www.chinottohouse.com/press</t>
  </si>
  <si>
    <t>https://www.vogueinteriors.com/news/</t>
  </si>
  <si>
    <t>https://www.crespodesigngroup.com/tampa-interior-design-press</t>
  </si>
  <si>
    <t>https://www.exclusivelytodesign.com/blog</t>
  </si>
  <si>
    <t>https://nestingplaceinteriors.com/media/</t>
  </si>
  <si>
    <t>https://acdis.org/articles/guest-post-notes-south-pole-adventure</t>
  </si>
  <si>
    <t>https://petersvalley.org/guest-post-angelina-parrino-artist-in-residence/</t>
  </si>
  <si>
    <t>https://www.cozen.com/news-resources/publications/2020/guest-post-reverse-engineering-can-get-you-only-so-far-florida-case-dismissed-after-grant-of-daubert-motions</t>
  </si>
  <si>
    <t>https://wilsonsociety.org/2021/10/19/guest-post-a-closer-look-at-scrub-jay-habitat/</t>
  </si>
  <si>
    <t>https://thetrek.co/florida-trail-2026-day-2-will-i-ever-get-out/</t>
  </si>
  <si>
    <t>https://caamedia.org/blog/2016/10/26/life-imitating-art-imitating-life-guest-post-by-hudson-yang/</t>
  </si>
  <si>
    <t>https://jimmcdonaldcool.com/blog/tag/guest-post</t>
  </si>
  <si>
    <t>https://www.localpassportfamily.com/2021/07/guest-post-living-working-in-an-rv.html</t>
  </si>
  <si>
    <t>https://carolnewmancronin.com/guest-post-where-books-meet-boats/</t>
  </si>
  <si>
    <t>https://www.als.org/blog/guest-post-als-what-i-have-not-who-i-am</t>
  </si>
  <si>
    <t>https://mineralsmakelife.org/blog/guest-post-reflections-on-the-mining-industry-and-how-it-sustains-so-many-i/</t>
  </si>
  <si>
    <t>https://blogs.ethnos360.org/joel-potter/category/guest-post/</t>
  </si>
  <si>
    <t>https://www.rosebuilding.com/blog/category/guest-post</t>
  </si>
  <si>
    <t>https://www.droolius.com/2013/07/guest-post-tokyo-tapas-in-oviedo-fl/</t>
  </si>
  <si>
    <t>https://www.nodeadguys.com/a-piano-blog/i-am-a-practice-room-a-guest-post-by-dr-dave-deason</t>
  </si>
  <si>
    <t>https://www.revivalchiropractic.com/guest-post-local-spotlight-revival-chiropractic/</t>
  </si>
  <si>
    <t>https://kristenwynnphotography.com/2012/05/guest-post-for-kristen-wynn-photography-amy-and-mike-married-in-harmony-florida.html</t>
  </si>
  <si>
    <t>https://bethfinke.com/blog/2020/04/18/saturdays-with-seniors-guest-post-by-jane-gallagher/</t>
  </si>
  <si>
    <t>https://votewater.org/farewell_rick_scott/</t>
  </si>
  <si>
    <t>https://www.frostscience.org/guest-post-fpl-bringing-power-sun-closer/</t>
  </si>
  <si>
    <t>https://www.heysigmund.com/living-with-anxiety-and-depression/</t>
  </si>
  <si>
    <t>https://firstcoastcardio.com/guest-post-nourish-juice-cafe-juicing-vs-blending/</t>
  </si>
  <si>
    <t>https://floatoncounseling.com/relationships/guest-post-alicia-divico-on-relationship-traps/</t>
  </si>
  <si>
    <t>https://decaseconds.com/category/guest-post-2/</t>
  </si>
  <si>
    <t>https://www.indetailinteriors.com/category/in-detail-says/</t>
  </si>
  <si>
    <t>https://shusterdesign.com/blog/</t>
  </si>
  <si>
    <t>https://interiordesignconsult.com/blog/</t>
  </si>
  <si>
    <t>https://www.smithinteriordesignfl.com/designblog</t>
  </si>
  <si>
    <t>https://orangemooninteriors.com/blog/</t>
  </si>
  <si>
    <t>https://www.jntinteriors.com/blog</t>
  </si>
  <si>
    <t>https://emilymossdesigns.com/blog</t>
  </si>
  <si>
    <t>https://www.natalianeverko.com/blog/</t>
  </si>
  <si>
    <t>https://twinteriors.com/blog/</t>
  </si>
  <si>
    <t>https://traceryinteriors.wordpress.com/</t>
  </si>
  <si>
    <t>https://www.acloreinteriors.com/blog</t>
  </si>
  <si>
    <t>https://www.jlynn-design.com/blog</t>
  </si>
  <si>
    <t>https://www.ninofilm.net/blog/2013/11/08/how-to-pick-your-next-project-guest-post/</t>
  </si>
  <si>
    <t>https://www.debbimack.com/blog/general/crime-cafe-guest-post-denise-wallace/</t>
  </si>
  <si>
    <t>https://aliciapollard.com/2020/03/21/the-magic-of-late-winter-part-vi-guest-post-by-hope-henchey/</t>
  </si>
  <si>
    <t>https://www.kitchenbutterfly.com/2013/guest-post-on-meyer-lemons-the-joys-and-sorrows/</t>
  </si>
  <si>
    <t>https://dailyhodl.com/2026/01/10/23-year-old-allegedly-masterminds-203000-theft-from-womans-fidelity-account-heres-how/</t>
  </si>
  <si>
    <t>https://www.thisdetailedlife.com/post/guest-post-jessica-miles</t>
  </si>
  <si>
    <t>https://godfullyknown.blog/2025/06/18/traveling-gods-road-from-parked-to-published-guest-post/</t>
  </si>
  <si>
    <t>https://leekofman.com.au/the-writer-laid-bare/guest-post-charles-bane-poet-laureate-florida-learned-writing-poetry/</t>
  </si>
  <si>
    <t>https://theprofessorisin.com/pearlsofwisdom/</t>
  </si>
  <si>
    <t>https://onestarrynight.com/guest-post-5-tips-to-improve-reader-usability/</t>
  </si>
  <si>
    <t>https://mitadmissions.org/blogs/entry/rowing-at-mit-a-guest-post-by-connor-m-16/</t>
  </si>
  <si>
    <t>https://terryambrose.com/2020/10/lena-gregory-guest-post/</t>
  </si>
  <si>
    <t>https://www.tabbysplace.org/guest-post-sayings/</t>
  </si>
  <si>
    <t>https://qrper.com/2024/07/guest-post-combining-pota-with-an-fbla-national-competition-road-trip/</t>
  </si>
  <si>
    <t>https://blog.downloadyouthministry.com/guest-post-tim-wadsworth-1/</t>
  </si>
  <si>
    <t>https://mackmediagroup.com/5-ways-guest-blogging-can-boost-your-websites-visibility-insights-from-an-seo-agency/</t>
  </si>
  <si>
    <t>https://www.bontempsinteriors.com/blog</t>
  </si>
  <si>
    <t>https://www.miamiluxuryhomes.com/category/luxury-condos/</t>
  </si>
  <si>
    <t>https://srqinteriordesign.com/blog/</t>
  </si>
  <si>
    <t>https://beestudios.design/design-blog</t>
  </si>
  <si>
    <t>https://dewinedesign.com/blog/</t>
  </si>
  <si>
    <t>https://www.leahmullerinteriors.com/press</t>
  </si>
  <si>
    <t>https://www.hshcollective.com/blog</t>
  </si>
  <si>
    <t>https://elizabetherindesigns.com/blog/</t>
  </si>
  <si>
    <t>https://www.paladinorudd.com/paladino-rudd-interior-design-recent-blog-articles/</t>
  </si>
  <si>
    <t>https://bridgetinteriors.com/resources/</t>
  </si>
  <si>
    <t>https://thehometrotters.com/7-expert-guest-post-providers-in-florida-for-seo-and-content-solutions/</t>
  </si>
  <si>
    <t>https://livswonderfulescape.wordpress.com/2021/05/15/guest-post-by-casie-bazay/</t>
  </si>
  <si>
    <t>https://earlyamericanists.com/2015/12/11/guest-post-what-happens-at-the-southern/</t>
  </si>
  <si>
    <t>https://rebeccacuthbert.com/2023/03/28/writing-with-friends-a-guest-post-by-n-west-moss/</t>
  </si>
  <si>
    <t>https://www.modernmami.com/guest-posts/mother-of-two-guest-post/</t>
  </si>
  <si>
    <t>https://crewtrust.org/tag/guest-post/</t>
  </si>
  <si>
    <t>https://norml.org/blog/2021/03/03/florida-guest-post-theyre-politicians-not-physicians/</t>
  </si>
  <si>
    <t>https://www.aplu.org/news-and-media/blog/2015/12/07/guest-post-jack-payne-on-why-land-grant-universities-must-lead-on-climate-science/</t>
  </si>
  <si>
    <t>https://www.bogleheads.org/blog/tag/guest-post/</t>
  </si>
  <si>
    <t>https://confessionsofafitnessinstructor.com/category/guest-post/</t>
  </si>
  <si>
    <t>https://seomarketexpert.com/best-guest-posting-services-in-fort-lauderdale-florida/</t>
  </si>
  <si>
    <t>https://www.roadtripsforfamilies.com/category/guest-post/page/14/</t>
  </si>
  <si>
    <t>https://www.theguytravel.com/guest-post-guide-key-west-florida-keys-united-states/</t>
  </si>
  <si>
    <t>https://www.everywhereist.com/2010/06/five-weird-ways-to-prepare-for-a-trip-with-a-baby-guest-post/</t>
  </si>
  <si>
    <t>https://www.newbreedrevenue.com/blog/4-ways-to-find-guest-blogging-opportunities-for-your-business</t>
  </si>
  <si>
    <t>https://kirstythroughthelookingglass.com/2018/06/16/hth-orlando/</t>
  </si>
  <si>
    <t>https://decorativepainterscfl.com/guest-post/</t>
  </si>
  <si>
    <t>https://helpfulhomemade.com/diy-marc-jacobs-earrings/</t>
  </si>
  <si>
    <t>https://mapleleafmommy.com/tag/guest-post/</t>
  </si>
  <si>
    <t>https://mathbabe.org/2016/11/14/guest-post-the-foreclosure-vote/</t>
  </si>
  <si>
    <t>https://mdpl.org/news/2021/01/guest-post-from-liverpool-to-miami-beach-a-beatles-legacy-shared/</t>
  </si>
  <si>
    <t>https://www.thatartsyreadergirl.com/2012/05/the-summer-my-life-began-book-review-author-guest-post/</t>
  </si>
  <si>
    <t>https://blogs.loc.gov/loc/2011/04/gateway-to-knowledge-guest-post-19/</t>
  </si>
  <si>
    <t>https://nanaswhimsies.com/2015/04/23/guest-post-reluctant-traveler-life-is-good/</t>
  </si>
  <si>
    <t>https://abigailleighphillips.com/2018/02/02/guest-blogging-connecting-research-to-practice-and-practice-to-research-a-brief-fun-introduction-by-abigail-phillips/</t>
  </si>
  <si>
    <t>https://www.karenlsargent.com/p/guest-post-1</t>
  </si>
  <si>
    <t>https://www.nicolepeeler.com/2011/02/guest-post-the-fabulous-sophie-littlefield/</t>
  </si>
  <si>
    <t>https://www.lexology.com/library/detail.aspx?g=a8bb2822-e1a2-43df-adaa-9df8a192845b</t>
  </si>
  <si>
    <t>https://laughing-stalk.blogspot.com/2021/03/guest-post-what-my-best-friend-has-done.html</t>
  </si>
  <si>
    <t>https://www.suredividend.com/non-ai-dividend-stocks/</t>
  </si>
  <si>
    <t>https://storeybookreviews.com/2023/10/guest-post-giveaway-her-secret-protector/</t>
  </si>
  <si>
    <t>https://www.orangeseo.net/guest-blogging</t>
  </si>
  <si>
    <t>https://ethosroasters.com/blog/tag/guest+post?srsltid=AfmBOorEVdHIPtqaFipkLYKcrABD8J0HXcBQ_4uDXWiusS6TIkxOEoL2</t>
  </si>
  <si>
    <t>https://havebabywilltravel.com/guest-post-orlandos-coco-key-water-park-resort/</t>
  </si>
  <si>
    <t>https://schultedesign.com/blog/</t>
  </si>
  <si>
    <t>https://interiorsbythalia.com/blog-design</t>
  </si>
  <si>
    <t>https://www.distinctiveinteriorsdesign.com/news</t>
  </si>
  <si>
    <t>https://gulfshoreinteriordesign.com/gulfshore-interior-design-blog/</t>
  </si>
  <si>
    <t>https://www.beasleyandhenley.com/media/</t>
  </si>
  <si>
    <t>https://www.sarafattori.com/blog</t>
  </si>
  <si>
    <t>https://www.abidedesignsinteriors.com/blog</t>
  </si>
  <si>
    <t>https://homefrosting.com/blog/</t>
  </si>
  <si>
    <t>https://www.leoneinteriordesigns.com/blog</t>
  </si>
  <si>
    <t>https://theartcareerproject.com/blog/</t>
  </si>
  <si>
    <t>https://www.mralextate.com/blog</t>
  </si>
  <si>
    <t>https://colorsofdesign.com/interior-design-blog/</t>
  </si>
  <si>
    <t>https://www.domadesign.co/blog</t>
  </si>
  <si>
    <t>https://www.architecturaldigest.com/story/wellness-clubs-that-look-like-nightclubs</t>
  </si>
  <si>
    <t>https://coin.decoratingden.com/blog/</t>
  </si>
  <si>
    <t>https://laurenell.com/blog/</t>
  </si>
  <si>
    <t>https://blog.kravet.com/</t>
  </si>
  <si>
    <t>https://www.studiominteriordesign.net/press-awards/</t>
  </si>
  <si>
    <t>https://www.benjaminmoore.com/en-us/project-ideas-inspiration/interiors/ceiling-ideas-inspiration</t>
  </si>
  <si>
    <t>https://www.khov.com/blog/</t>
  </si>
  <si>
    <t>https://news.mdcwall.com/</t>
  </si>
  <si>
    <t>https://authoraddisonalbright.com/2025/06/04/guest-post-the-players-encore-audiobook-by-joe-cosentino-guestpost/</t>
  </si>
  <si>
    <t>https://thefloridavillager.com/author/tfv-guestpost/</t>
  </si>
  <si>
    <t>https://www.blackrapid.com/blackrapid-guest-post-by-marc-serota-photographing-hurricane-irma-in-the-florida-keys/</t>
  </si>
  <si>
    <t>https://www.thisismysouth.com/tag/guest-post/</t>
  </si>
  <si>
    <t>https://pineapplepressfl.wordpress.com/2011/03/09/guest-post-mount-dora-florida/</t>
  </si>
  <si>
    <t>https://patentlyo.com/patent/2015/06/florida-program-success.html</t>
  </si>
  <si>
    <t>https://blog.thelodgeguys.com/florida-travel-day-girl-up-north-guest-post-manchester-to-orlando-international-airport-flying-with-virgin-atlantic/</t>
  </si>
  <si>
    <t>https://www.pmpmg.com/blog/guide-to-guest-blogging-for-lawyers/</t>
  </si>
  <si>
    <t>https://newswirejet.com/pr-guest-posting-sites-boost-your-brand-visibility-today/</t>
  </si>
  <si>
    <t>https://oneims.com/blog/still-accept-guest-posts-website</t>
  </si>
  <si>
    <t>https://cyclingindustry.news/cannondale-founder-joe-montgomery-passes-away/</t>
  </si>
  <si>
    <t>https://www.tinyhousetinyfootprint.com/blogposts/international-perspective-on-us-travel</t>
  </si>
  <si>
    <t>https://www.aeologic.com/write-for-us/</t>
  </si>
  <si>
    <t>https://www.netreputation.com/what-is-a-guest-post/</t>
  </si>
  <si>
    <t>https://thecapitolist.com/guest-post-hurricane-michael-showed-how-we-bend-but-dont-break/</t>
  </si>
  <si>
    <t>https://walkingthroughwonderland.com/guest-post.html</t>
  </si>
  <si>
    <t>https://hittingitsolid.com/pages/guest-post</t>
  </si>
  <si>
    <t>https://www.barnesandnoble.com/blog/james-ponti-guest-post/</t>
  </si>
  <si>
    <t>https://growlaw.co/blog/law-firm-marketing-strategy</t>
  </si>
  <si>
    <t>https://www.erininthemorning.com/p/many-colorado-trans-youth-stranded</t>
  </si>
  <si>
    <t>https://news.outsourceaccelerator.com/u-s-states-aca-subsidies/</t>
  </si>
  <si>
    <t>https://www.brandburp.com/guest-blogging-services</t>
  </si>
  <si>
    <t>https://www.thedevyroyale.com/p/early-look-2026-c2c-quarterback-rankings</t>
  </si>
  <si>
    <t>https://travelita-blog.com/guest-post-tampa-bay-more-than-sea/</t>
  </si>
  <si>
    <t>https://www.pinoyeplans.com/</t>
  </si>
  <si>
    <t>https://www.hamiltoninternationalestates.com/</t>
  </si>
  <si>
    <t>https://propertypressonline.co.uk/</t>
  </si>
  <si>
    <t>Extracted Websites from Competitors 
(ANY URLs)</t>
  </si>
  <si>
    <t>Extracted Websites from Competitors 
(Only Root Domain - DO NOT TOUCH)</t>
  </si>
  <si>
    <t>https://cashhomebuyerguide.com/</t>
  </si>
  <si>
    <t>https://www.cartersmyplumber.com/</t>
  </si>
  <si>
    <t>https://www.moving.com/</t>
  </si>
  <si>
    <t>https://runway.is/</t>
  </si>
  <si>
    <t>https://ntltrust.com/</t>
  </si>
  <si>
    <t>https://rentalhousingjournal.com/</t>
  </si>
  <si>
    <t>https://www.bintheredumpthatusa.com/</t>
  </si>
  <si>
    <t>https://www.dignam.com/</t>
  </si>
  <si>
    <t>https://www.propertyware.com/</t>
  </si>
  <si>
    <t>https://www.mossyoakproperties.com/</t>
  </si>
  <si>
    <t>https://renewalbyandersenreplacement.com/</t>
  </si>
  <si>
    <t>https://ipropertymanagement.com/</t>
  </si>
  <si>
    <t>https://www.servicememberscivilreliefact.com/</t>
  </si>
  <si>
    <t>https://www.parlunbuilding.com/</t>
  </si>
  <si>
    <t>https://syndicationpro.com/</t>
  </si>
  <si>
    <t>https://www.lakehouses4sale.net/</t>
  </si>
  <si>
    <t>https://cleanercleaner.co.uk/</t>
  </si>
  <si>
    <t>https://www.viprealestate.com/</t>
  </si>
  <si>
    <t>https://customgardenrooms.com/</t>
  </si>
  <si>
    <t>https://buywholesalecabinets.com/</t>
  </si>
  <si>
    <t>https://embrysroofing.com/</t>
  </si>
  <si>
    <t>https://www.jacksplumbing.net/</t>
  </si>
  <si>
    <t>https://houstonsuburb.com/</t>
  </si>
  <si>
    <t>https://myintellirent.com/</t>
  </si>
  <si>
    <t>https://theskyretreat.com/</t>
  </si>
  <si>
    <t>https://avalonpropertymanagement.net/</t>
  </si>
  <si>
    <t>https://brechbilltrailers.com/</t>
  </si>
  <si>
    <t>https://securedroofingandsolar.com/</t>
  </si>
  <si>
    <t>https://www.doorsdirect.com.au/</t>
  </si>
  <si>
    <t>https://dreamworxexteriors.com/</t>
  </si>
  <si>
    <t>https://buynnnproperties.com/</t>
  </si>
  <si>
    <t>https://www.absolutedomestics.com.au/</t>
  </si>
  <si>
    <t>https://familyclean.com.au/</t>
  </si>
  <si>
    <t>https://doorservicescorporation.com/</t>
  </si>
  <si>
    <t>https://qshark-moving.com/</t>
  </si>
  <si>
    <t>https://www.greatestmoves.com/</t>
  </si>
  <si>
    <t>https://www.uspatriotsteel.com/</t>
  </si>
  <si>
    <t>https://raiseandrelevel.com/</t>
  </si>
  <si>
    <t>https://rentprep.com/</t>
  </si>
  <si>
    <t>https://www.centralhtg.com/</t>
  </si>
  <si>
    <t>https://outbacksleepers.com.au/</t>
  </si>
  <si>
    <t>https://www.statewideremodeling.com/</t>
  </si>
  <si>
    <t>https://pinnaclehomeimprovements.com/</t>
  </si>
  <si>
    <t>https://firefighterinsider.com/</t>
  </si>
  <si>
    <t>https://housecashin.com/</t>
  </si>
  <si>
    <t>https://www.inspirecommunities.com/</t>
  </si>
  <si>
    <t>https://nesthub.com</t>
  </si>
  <si>
    <t>https://inhaven.com</t>
  </si>
  <si>
    <t>https://cellphonedeal.com</t>
  </si>
  <si>
    <t>https://woodlandwindows.com</t>
  </si>
  <si>
    <t>https://charlotteregion.com</t>
  </si>
  <si>
    <t>https://thegorgezipline.com</t>
  </si>
  <si>
    <t>https://corporateofficeint.com</t>
  </si>
  <si>
    <t>https://polebarnkits.org</t>
  </si>
  <si>
    <t>https://whitneylandcompany.com</t>
  </si>
  <si>
    <t>https://helmuthroofing.com/</t>
  </si>
  <si>
    <t>https://www.lockpickworld.com/</t>
  </si>
  <si>
    <t>https://hpotter.com/</t>
  </si>
  <si>
    <t>https://www.catseyepest.com/</t>
  </si>
  <si>
    <t>https://uptowncharlotte.com/</t>
  </si>
  <si>
    <t>https://www.cvcpdx.com/</t>
  </si>
  <si>
    <t>https://valueofficefurniture.com.au/</t>
  </si>
  <si>
    <t>https://www.greenworkstools.com/</t>
  </si>
  <si>
    <t>https://amstillroofing.com/</t>
  </si>
  <si>
    <t>https://threemovers.com/</t>
  </si>
  <si>
    <t>https://firstamericanroofing.com/</t>
  </si>
  <si>
    <t>https://hwpartstore.com/</t>
  </si>
  <si>
    <t>https://www.energync.org/</t>
  </si>
  <si>
    <t>https://makerflocrafts.com/</t>
  </si>
  <si>
    <t>https://dundeedeco.com/</t>
  </si>
  <si>
    <t>https://www.foxessellfaster.com/</t>
  </si>
  <si>
    <t>https://reallycheapfloors.com/</t>
  </si>
  <si>
    <t>https://sundaygolf.com/</t>
  </si>
  <si>
    <t>https://wanbridge.com/</t>
  </si>
  <si>
    <t>https://versahomes.com/</t>
  </si>
  <si>
    <t>https://nychousecleaners.net/</t>
  </si>
  <si>
    <t>https://www.greenhomepest.com/</t>
  </si>
  <si>
    <t>https://www.justcovers.com.au/</t>
  </si>
  <si>
    <t>https://eshinecleaning.com/</t>
  </si>
  <si>
    <t>https://www.nativepestmanagement.com/</t>
  </si>
  <si>
    <t>https://www.fieldcircle.com/</t>
  </si>
  <si>
    <t>https://goodbyejunk.com.au/</t>
  </si>
  <si>
    <t>https://creationhomes.com.au/</t>
  </si>
  <si>
    <t>https://www.westlandinsurance.ca/</t>
  </si>
  <si>
    <t>https://www.ukcompositedoors.co.uk/</t>
  </si>
  <si>
    <t>https://pmstudycircle.com/</t>
  </si>
  <si>
    <t>https://www.landbrokermls.com/</t>
  </si>
  <si>
    <t>https://fairdealhomebuyers.com/</t>
  </si>
  <si>
    <t>https://zandawealth.com.au/</t>
  </si>
  <si>
    <t>https://bretts.com.au/</t>
  </si>
  <si>
    <t>https://www.sippycupmom.com/</t>
  </si>
  <si>
    <t>https://www.fergusonsplumbing.com.au/</t>
  </si>
  <si>
    <t>https://alscometals.com/</t>
  </si>
  <si>
    <t>https://click4storage.com/</t>
  </si>
  <si>
    <t>https://nelsonwesterberg.com/</t>
  </si>
  <si>
    <t>https://www.candsins.com/</t>
  </si>
  <si>
    <t>https://mydolphin.com.au/</t>
  </si>
  <si>
    <t>https://retainingwallsupplies.com.au/</t>
  </si>
  <si>
    <t>https://casasecurity.com.au/</t>
  </si>
  <si>
    <t>https://www.samedayrubbishremoval.com.au/</t>
  </si>
  <si>
    <t>https://www.beltwaymovers.com/</t>
  </si>
  <si>
    <t>https://www.thelocalelectrician.com.au/</t>
  </si>
  <si>
    <t>https://janusintl.au/</t>
  </si>
  <si>
    <t>https://www.elegantkitchenbath.com/</t>
  </si>
  <si>
    <t>https://www.interlocking-toronto.ca/</t>
  </si>
  <si>
    <t>https://www.luxurytravelmagazine.com/</t>
  </si>
  <si>
    <t>https://dgiwaterproofing.ca/</t>
  </si>
  <si>
    <t>https://www.outdoorfountainpros.com/</t>
  </si>
  <si>
    <t>https://www.selfstore.com.au/</t>
  </si>
  <si>
    <t>https://www.service.com.au/</t>
  </si>
  <si>
    <t>https://www.accurateleak.com/</t>
  </si>
  <si>
    <t>https://sandiegocountyroofing.com/</t>
  </si>
  <si>
    <t>https://riverwalkphiladelphia.com/</t>
  </si>
  <si>
    <t>https://charlottelegaladvocacy.org/</t>
  </si>
  <si>
    <t>https://www.reedyandcompany.com/</t>
  </si>
  <si>
    <t>https://ioi.realtor/</t>
  </si>
  <si>
    <t>https://tributaryidaho.com/</t>
  </si>
  <si>
    <t>carolinapublicpress.org/</t>
  </si>
  <si>
    <t>https://nearmeroofingcompany.com/</t>
  </si>
  <si>
    <t>https://www.sabinehill.com/</t>
  </si>
  <si>
    <t>https://www.catchmaster.com/</t>
  </si>
  <si>
    <t>https://rocketcert.com/</t>
  </si>
  <si>
    <t>https://www.simpurelife.com/</t>
  </si>
  <si>
    <t>https://www.aaarfg.com/</t>
  </si>
  <si>
    <t>https://www.spareroom.com/</t>
  </si>
  <si>
    <t>https://www.gatheradu.com/</t>
  </si>
  <si>
    <t>https://storemasta.com.au/</t>
  </si>
  <si>
    <t>https://alamoroofingcontractors.com/</t>
  </si>
  <si>
    <t>https://nedesestimating.com/</t>
  </si>
  <si>
    <t>https://doordesignlab.com/</t>
  </si>
  <si>
    <t>https://www.getbsafe.com/</t>
  </si>
  <si>
    <t>https://axcess-surety.com/</t>
  </si>
  <si>
    <t>https://www.muval.com.au/</t>
  </si>
  <si>
    <t>https://www.industrialdoorsolution.com/</t>
  </si>
  <si>
    <t>https://prosuperiorconstruction.com/</t>
  </si>
  <si>
    <t>https://springfieldroofing.com/</t>
  </si>
  <si>
    <t>https://freightbrokerbootcamp.com/</t>
  </si>
  <si>
    <t>https://florida-environmental.com/</t>
  </si>
  <si>
    <t>https://seattlewindowsdoors.com/</t>
  </si>
  <si>
    <t>https://www.viprealtyinfo.com/</t>
  </si>
  <si>
    <t>https://www.mcap.com/</t>
  </si>
  <si>
    <t>https://neatcleaning.com.au/</t>
  </si>
  <si>
    <t>https://www.skyhub.ca/</t>
  </si>
  <si>
    <t>https://www.beycome.com/</t>
  </si>
  <si>
    <t>https://www.homecrux.com/</t>
  </si>
  <si>
    <t>https://www.angliadecor.co.uk/</t>
  </si>
  <si>
    <t>https://internationalfinance.com/</t>
  </si>
  <si>
    <t>https://blindstyle.co.uk/</t>
  </si>
  <si>
    <t>https://www.amberbook.com/</t>
  </si>
  <si>
    <t>https://electrodry.com.au/</t>
  </si>
  <si>
    <t>https://www.bhhsmichiganrealestate.com/</t>
  </si>
  <si>
    <t>https://stayofftheroof.com/</t>
  </si>
  <si>
    <t>https://pondhaven.com/</t>
  </si>
  <si>
    <t>https://www.operationtinyhome.org/</t>
  </si>
  <si>
    <t>https://www.mineraltiles.com/</t>
  </si>
  <si>
    <t>https://www.1agaragedoors.net/</t>
  </si>
  <si>
    <t>https://buildingcodetrainer.com/</t>
  </si>
  <si>
    <t>https://tinyhouseexpedition.com/</t>
  </si>
  <si>
    <t>https://intl.transformertable.com/</t>
  </si>
  <si>
    <t>https://www.livingonthecotedazur.com/</t>
  </si>
  <si>
    <t>https://www.miragescreensystems.com/</t>
  </si>
  <si>
    <t>https://www.beauchamp.com/</t>
  </si>
  <si>
    <t>https://www.propertyme.com.au/</t>
  </si>
  <si>
    <t>https://imaginemaids.com/</t>
  </si>
  <si>
    <t>https://www.fencingandlandscapesupplies.co.uk/</t>
  </si>
  <si>
    <t>https://www.ecolinewindows.ca/</t>
  </si>
  <si>
    <t>https://www.nexushomebuyers.com/</t>
  </si>
  <si>
    <t>https://www.homeone.com.au/</t>
  </si>
  <si>
    <t>https://www.boomermagazine.com/</t>
  </si>
  <si>
    <t>https://debtbusters.com.au/</t>
  </si>
  <si>
    <t>https://www.propertysolvers.co.uk/</t>
  </si>
  <si>
    <t>https://jzplumbing.ca/</t>
  </si>
  <si>
    <t>https://www.spacer.com/</t>
  </si>
  <si>
    <t>https://roofrepairquote.com.au/</t>
  </si>
  <si>
    <t>https://www.eatonrealty.com/</t>
  </si>
  <si>
    <t>https://spikeelectric.com/</t>
  </si>
  <si>
    <t>https://homoper.com/</t>
  </si>
  <si>
    <t>https://www.garagecabinets.com/</t>
  </si>
  <si>
    <t>https://presidioroof.com/</t>
  </si>
  <si>
    <t>https://www.daepumps.com/</t>
  </si>
  <si>
    <t>https://orlandorealtyconsultants.com/</t>
  </si>
  <si>
    <t>https://www.maytronics.com.au/</t>
  </si>
  <si>
    <t>https://www.topnotchroofingkilleentx.com/</t>
  </si>
  <si>
    <t>https://bossdesigncenter.com/</t>
  </si>
  <si>
    <t>https://marchesepartners.com/</t>
  </si>
  <si>
    <t>https://www.mrroof.com/</t>
  </si>
  <si>
    <t>https://www.northernvirginiahomepro.com/</t>
  </si>
  <si>
    <t>https://www.stlbeds.com/</t>
  </si>
  <si>
    <t>https://www.trianglehousehunter.com/</t>
  </si>
  <si>
    <t>https://www.homeevolution.net/</t>
  </si>
  <si>
    <t>https://theroofmentors.com/</t>
  </si>
  <si>
    <t>https://accessdoorcompany.com/</t>
  </si>
  <si>
    <t>https://www.dijones.com.au/</t>
  </si>
  <si>
    <t>https://movingproz.com/</t>
  </si>
  <si>
    <t>https://stproperties.com/</t>
  </si>
  <si>
    <t>https://www.agedcareguide.com.au/</t>
  </si>
  <si>
    <t>https://www.northfultonexterminating.com/</t>
  </si>
  <si>
    <t>https://districtlending.com/</t>
  </si>
  <si>
    <t>https://www.baselane.com/</t>
  </si>
  <si>
    <t>https://physicianbanks.com/</t>
  </si>
  <si>
    <t>https://www.wilsonplumbingandheating.com/</t>
  </si>
  <si>
    <t>https://theownerbuildernetwork.co/</t>
  </si>
  <si>
    <t>https://www.woodbridgehomesolutions.com/</t>
  </si>
  <si>
    <t>https://www.janefischer.com/</t>
  </si>
  <si>
    <t>https://medistik.com/</t>
  </si>
  <si>
    <t>https://www.lajaunies.com/</t>
  </si>
  <si>
    <t>https://callwaynes.com/</t>
  </si>
  <si>
    <t>https://guardiansafeandvault.com/</t>
  </si>
  <si>
    <t>https://www.williamslumber.com/</t>
  </si>
  <si>
    <t>https://www.1300rubbish.com.au/</t>
  </si>
  <si>
    <t>https://getasiteplan.com/</t>
  </si>
  <si>
    <t>https://superiorhomesupplies.com/</t>
  </si>
  <si>
    <t>https://propertyrescue.co.uk/</t>
  </si>
  <si>
    <t>https://sharedeasy.club/</t>
  </si>
  <si>
    <t>https://www.prospa.com/</t>
  </si>
  <si>
    <t>https://www.advantageremodelingandroofing.com/</t>
  </si>
  <si>
    <t>https://gopaschal.com/</t>
  </si>
  <si>
    <t>https://truebluesheds.com.au/</t>
  </si>
  <si>
    <t>https://silentbeacon.com/</t>
  </si>
  <si>
    <t>https://bigapplemoving.com/</t>
  </si>
  <si>
    <t>https://www.thelockup.com/</t>
  </si>
  <si>
    <t>https://www.mannlakeltd.com/</t>
  </si>
  <si>
    <t>https://allphaserestore.com/</t>
  </si>
  <si>
    <t>https://www.visiolending.com/</t>
  </si>
  <si>
    <t>https://www.viewhomes.ca/</t>
  </si>
  <si>
    <t>https://auckland.plumbing/</t>
  </si>
  <si>
    <t>https://www.accessdoorsandpanels.com/</t>
  </si>
  <si>
    <t>https://cottongds.com/</t>
  </si>
  <si>
    <t>https://www.unloadmyhome.com/</t>
  </si>
  <si>
    <t>https://belcofp.com/</t>
  </si>
  <si>
    <t>https://aquariushomeservices.com/</t>
  </si>
  <si>
    <t>https://parkpl.co/</t>
  </si>
  <si>
    <t>https://www.newlinepainting.com.au/</t>
  </si>
  <si>
    <t>https://www.nationsroof.com/</t>
  </si>
  <si>
    <t>https://www.nuwavenow.com/</t>
  </si>
  <si>
    <t>https://h3homebuyers.com/</t>
  </si>
  <si>
    <t>https://valenciatheaterseating.com/</t>
  </si>
  <si>
    <t>https://multiquotetime.co.uk/</t>
  </si>
  <si>
    <t>https://www.boomnow.com/</t>
  </si>
  <si>
    <t>https://www.ascbp.com/</t>
  </si>
  <si>
    <t>https://us.swann.com/</t>
  </si>
  <si>
    <t>https://www.decorativeceilingtiles.net/</t>
  </si>
  <si>
    <t>https://azjunkremoval.com/</t>
  </si>
  <si>
    <t>https://www.webuyanyhome.com/</t>
  </si>
  <si>
    <t>https://www.fastenere.com/</t>
  </si>
  <si>
    <t>https://sealed.com/</t>
  </si>
  <si>
    <t>https://omegarender.com/</t>
  </si>
  <si>
    <t>https://peakbuilderssd.com/</t>
  </si>
  <si>
    <t>https://mitchellmcdermott.com/</t>
  </si>
  <si>
    <t>https://www.lushdecor.com/</t>
  </si>
  <si>
    <t>https://boilercoveruk.co.uk/</t>
  </si>
  <si>
    <t>https://www.mobilehomebuyerfl.com/</t>
  </si>
  <si>
    <t>https://www.luvanto.com/</t>
  </si>
  <si>
    <t>https://www.opespartners.co.nz/</t>
  </si>
  <si>
    <t>https://metarealtyinc.ca/</t>
  </si>
  <si>
    <t>https://finquery.com/</t>
  </si>
  <si>
    <t>https://www.withflitch.com/</t>
  </si>
  <si>
    <t>https://californiamobility.com/</t>
  </si>
  <si>
    <t>https://cheapstairparts.com/</t>
  </si>
  <si>
    <t>https://www.skylinesolar.com.au/</t>
  </si>
  <si>
    <t>https://allyearcooling.com/</t>
  </si>
  <si>
    <t>https://www.bestaccessdoors.ca/</t>
  </si>
  <si>
    <t>https://vestright.com/</t>
  </si>
  <si>
    <t>https://www.shuttercraft.co.uk/</t>
  </si>
  <si>
    <t>https://preschoolequipment.com.au/</t>
  </si>
  <si>
    <t>https://www.realpha.com/</t>
  </si>
  <si>
    <t>https://www.roofrepairspecialist.com/</t>
  </si>
  <si>
    <t>https://www.bintheredumpthat.com/</t>
  </si>
  <si>
    <t>https://northwestexteriors.com/</t>
  </si>
  <si>
    <t>https://regentcre.com/</t>
  </si>
  <si>
    <t>https://www.mrsparky.com.au/</t>
  </si>
  <si>
    <t>https://defymortgage.com/</t>
  </si>
  <si>
    <t>https://www.compositepanel.org/</t>
  </si>
  <si>
    <t>https://www.thepittsburghroofer.com/</t>
  </si>
  <si>
    <t>https://framelessshowerdoors.com/</t>
  </si>
  <si>
    <t>https://www.apartments.com/</t>
  </si>
  <si>
    <t>https://reliantpest.com/</t>
  </si>
  <si>
    <t>https://masterroofcontracting.com/</t>
  </si>
  <si>
    <t>https://www.lovevsdesign.com/</t>
  </si>
  <si>
    <t>https://www.elho.com/en/</t>
  </si>
  <si>
    <t>https://honeypotfurniture.co.uk/</t>
  </si>
  <si>
    <t>https://furnitureinfashion.net/</t>
  </si>
  <si>
    <t>https://www.saltlakeroofing.com/</t>
  </si>
  <si>
    <t>https://www.lighthouseco.ca/</t>
  </si>
  <si>
    <t>https://eazyhousesale.com/</t>
  </si>
  <si>
    <t>https://www.mcconeproperties.com/</t>
  </si>
  <si>
    <t>https://www.alpinehomeair.com/</t>
  </si>
  <si>
    <t>https://www.creditninja.com/</t>
  </si>
  <si>
    <t>https://realestateu.com/</t>
  </si>
  <si>
    <t>https://superiorapplianceservice.ca/</t>
  </si>
  <si>
    <t>https://www.antonsmovers.com/</t>
  </si>
  <si>
    <t>https://evolutionmoving.com/</t>
  </si>
  <si>
    <t>https://royalmovingco.com/</t>
  </si>
  <si>
    <t>https://www.armbrustermoving.com/</t>
  </si>
  <si>
    <t>https://www.redcarpetmovingcompany.com/</t>
  </si>
  <si>
    <t>https://365villas.com/</t>
  </si>
  <si>
    <t>https://dycoventures.com/</t>
  </si>
  <si>
    <t>https://webuyanyvegashouse.com/</t>
  </si>
  <si>
    <t>https://northfaceconstruction.com/</t>
  </si>
  <si>
    <t>https://inthelightroofing.com/</t>
  </si>
  <si>
    <t>https://bates-electric.com/</t>
  </si>
  <si>
    <t>https://www.singlekey.com/</t>
  </si>
  <si>
    <t>https://www.getmovedtoday.com/</t>
  </si>
  <si>
    <t>https://amerisafemoving.com/</t>
  </si>
  <si>
    <t>https://www.propertymanagerwebsites.com/</t>
  </si>
  <si>
    <t>https://kotohomes.com/</t>
  </si>
  <si>
    <t>https://tenantturner.com/</t>
  </si>
  <si>
    <t>https://www.neighborhoodscout.com/</t>
  </si>
  <si>
    <t>https://propertymeld.com/</t>
  </si>
  <si>
    <t>https://dmnews.com/</t>
  </si>
  <si>
    <t>https://www.charlottesgotalot.com/</t>
  </si>
  <si>
    <t>https://www.homely.com.au/</t>
  </si>
  <si>
    <t>https://internationalliving.com/</t>
  </si>
  <si>
    <t>https://www.idealhome.co.uk/</t>
  </si>
  <si>
    <t>https://sampleboard.com/</t>
  </si>
  <si>
    <t>https://www.theinteriordesigninstitute.com/</t>
  </si>
  <si>
    <t>https://www.houseandgarden.co.uk/</t>
  </si>
  <si>
    <t>https://5-starplumbing.com/</t>
  </si>
  <si>
    <t>https://visiolending.com/</t>
  </si>
  <si>
    <t>https://www.hunterfan.com/</t>
  </si>
  <si>
    <t>https://akuwoodpanel.com/</t>
  </si>
  <si>
    <t>https://www.intersectpower.com/</t>
  </si>
  <si>
    <t>https://www.lighthouseman.com/</t>
  </si>
  <si>
    <t>https://blueravensolar.com/</t>
  </si>
  <si>
    <t>https://www.instantroofer.com/</t>
  </si>
  <si>
    <t>https://www.brabantia.com/</t>
  </si>
  <si>
    <t>https://www.moderngroup.com.au/</t>
  </si>
  <si>
    <t>https://brick-anew.com/</t>
  </si>
  <si>
    <t>https://www.pureparima.com/</t>
  </si>
  <si>
    <t>https://www.hhinsgroup.com/</t>
  </si>
  <si>
    <t>https://erommy.com/</t>
  </si>
  <si>
    <t>https://www.theroofdoctor.com/</t>
  </si>
  <si>
    <t>https://wasteremovalusa.com/</t>
  </si>
  <si>
    <t>https://tlsenergysavers.com/</t>
  </si>
  <si>
    <t>https://debesto.com/en/</t>
  </si>
  <si>
    <t>https://www.seuslighting.com/</t>
  </si>
  <si>
    <t>https://softframedesigns.com/</t>
  </si>
  <si>
    <t>https://aihomedesign.com/</t>
  </si>
  <si>
    <t>https://www.saviesahome.com/</t>
  </si>
  <si>
    <t>https://fastofficefurniture.com.au/</t>
  </si>
  <si>
    <t>https://www.texassellmyhouse.com/</t>
  </si>
  <si>
    <t>https://www.victorystore.com/</t>
  </si>
  <si>
    <t>https://superiorhvacservice.ca/</t>
  </si>
  <si>
    <t>https://bloomboxclub.com/</t>
  </si>
  <si>
    <t>https://mmihomeimprovement.com/</t>
  </si>
  <si>
    <t>https://www.mrcentralheating.co.uk/</t>
  </si>
  <si>
    <t>https://starkmovers.com/</t>
  </si>
  <si>
    <t>https://royalbathrooms.co.uk/</t>
  </si>
  <si>
    <t>https://www.chartersestateagents.co.uk/</t>
  </si>
  <si>
    <t>https://www.thehues.com/</t>
  </si>
  <si>
    <t>https://www.mars-hydro.com/</t>
  </si>
  <si>
    <t>https://abodewindowfilms.co.uk/</t>
  </si>
  <si>
    <t>https://norsteelbuildings.com/</t>
  </si>
  <si>
    <t>https://www.miamirealtors.com/</t>
  </si>
  <si>
    <t>https://www.designerliving.com/</t>
  </si>
  <si>
    <t>https://unionlighting.com/</t>
  </si>
  <si>
    <t>https://www.nationaltoolwarehouse.com/</t>
  </si>
  <si>
    <t>https://www.cityfurniture.com/</t>
  </si>
  <si>
    <t>https://www.ecotelligenthomes.com/</t>
  </si>
  <si>
    <t>https://www.findamover.com.au/</t>
  </si>
  <si>
    <t>https://www.rollex.com/</t>
  </si>
  <si>
    <t>https://h2scan.com/</t>
  </si>
  <si>
    <t>https://www.ocalahorseproperties.com/</t>
  </si>
  <si>
    <t>https://www.houstonproperties.com/</t>
  </si>
  <si>
    <t>https://www.chicagospropertymanagement.com/</t>
  </si>
  <si>
    <t>https://navarravenues.com.au/</t>
  </si>
  <si>
    <t>https://globalresidenceindex.com/</t>
  </si>
  <si>
    <t>https://www.corston.com/</t>
  </si>
  <si>
    <t>https://www.highgrovebathrooms.com.au/</t>
  </si>
  <si>
    <t>https://coloradopainting.com/</t>
  </si>
  <si>
    <t>https://goldcoastplumbingexperts.com.au/</t>
  </si>
  <si>
    <t>https://jmkcontractor.com/</t>
  </si>
  <si>
    <t>https://www.premierrange.co.uk/</t>
  </si>
  <si>
    <t>https://alansfactoryoutlet.com/</t>
  </si>
  <si>
    <t>https://www.neighbor.com/</t>
  </si>
  <si>
    <t>https://www.kingheating.com/</t>
  </si>
  <si>
    <t>https://artbymaudsch.com/</t>
  </si>
  <si>
    <t>https://www.lowdernewhomes.com/</t>
  </si>
  <si>
    <t>https://www.ulmaarchitectural.com/</t>
  </si>
  <si>
    <t>https://www.gnprealty.com/</t>
  </si>
  <si>
    <t>https://tomadamswc.com/</t>
  </si>
  <si>
    <t>https://www.bluecrestpropertygroup.com/</t>
  </si>
  <si>
    <t>https://www.gardenary.com/</t>
  </si>
  <si>
    <t>https://www.officefurnitureonline.co.uk/</t>
  </si>
  <si>
    <t>https://www.fastofficefurniture.com.au/</t>
  </si>
  <si>
    <t>https://enhancedhome.com.au/</t>
  </si>
  <si>
    <t>https://www.totalhomesupply.com/</t>
  </si>
  <si>
    <t>https://www.fieldstonehomes.com/</t>
  </si>
  <si>
    <t>https://cashhousebuyersusa.com/</t>
  </si>
  <si>
    <t>https://www.bhhsgeorgia.com/</t>
  </si>
  <si>
    <t>https://www.thisoldhouse.com/</t>
  </si>
  <si>
    <t>https://halespropertymanagement.com/</t>
  </si>
  <si>
    <t>https://rtrlaw.com/</t>
  </si>
  <si>
    <t>https://rtrsells.com/</t>
  </si>
  <si>
    <t>https://www.fineandcountry.co.uk/</t>
  </si>
  <si>
    <t>https://www.portlandrealestate.com/</t>
  </si>
  <si>
    <t>https://enjoythewood.com/</t>
  </si>
  <si>
    <t>https://instantroofer.com/</t>
  </si>
  <si>
    <t>https://palmako.co.uk/</t>
  </si>
  <si>
    <t>https://www.easyframe.co.uk/</t>
  </si>
  <si>
    <t>https://www.lexairconditioning.com/</t>
  </si>
  <si>
    <t>https://countrybrookdesign.com/</t>
  </si>
  <si>
    <t>https://brickwoodhomes.com.au/</t>
  </si>
  <si>
    <t>https://www.pushorpull.com.au/</t>
  </si>
  <si>
    <t>https://mykitchenandbath.com/</t>
  </si>
  <si>
    <t>https://renderartstudio.com/</t>
  </si>
  <si>
    <t>https://www.ckitchen.com/</t>
  </si>
  <si>
    <t>https://www.nestapple.com/</t>
  </si>
  <si>
    <t>https://www.fortisvaults.com.au/</t>
  </si>
  <si>
    <t>https://www.buildmat.com.au/</t>
  </si>
  <si>
    <t>https://lights.com/</t>
  </si>
  <si>
    <t>https://shop.vitcas.com/</t>
  </si>
  <si>
    <t>https://www.paramountstone.co.uk/</t>
  </si>
  <si>
    <t>https://www.qualityglassblock.com/</t>
  </si>
  <si>
    <t>https://www.montgomeryhomes.com.au/</t>
  </si>
  <si>
    <t>https://home.howstuffworks.com/</t>
  </si>
  <si>
    <t>https://www.siteprep.com/</t>
  </si>
  <si>
    <t>https://miamitopcleaning.com/</t>
  </si>
  <si>
    <t>https://www.tinyhouseplans.com/</t>
  </si>
  <si>
    <t>https://www.holdstorage.co.uk/</t>
  </si>
  <si>
    <t>https://wisepelican.com/</t>
  </si>
  <si>
    <t>https://www.hifkitchens.co.uk/</t>
  </si>
  <si>
    <t>https://www.smaestimating.com/</t>
  </si>
  <si>
    <t>https://www.joinhomebase.com/</t>
  </si>
  <si>
    <t>https://letsgetmoving.ca/</t>
  </si>
  <si>
    <t>https://www.americanvisionwindows.com/</t>
  </si>
  <si>
    <t>https://homesteadingfamily.com/</t>
  </si>
  <si>
    <t>https://www.thepropertybuyingcompany.co.uk/</t>
  </si>
  <si>
    <t>https://bdsdrainage.co.uk/</t>
  </si>
  <si>
    <t>https://mccarthyhomes.com.au/</t>
  </si>
  <si>
    <t>https://www.roofingcontractor.com/</t>
  </si>
  <si>
    <t>https://www.ukoakdoors.co.uk/</t>
  </si>
  <si>
    <t>https://www.architecturaldepot.com/</t>
  </si>
  <si>
    <t>https://renuityhome.com/</t>
  </si>
  <si>
    <t>https://edenbraehomes.com.au/</t>
  </si>
  <si>
    <t>https://diamondhomesupport.com/</t>
  </si>
  <si>
    <t>https://www.americanflat.com/</t>
  </si>
  <si>
    <t>https://www.imoving.com/</t>
  </si>
  <si>
    <t>https://www.toscanacc.com/</t>
  </si>
  <si>
    <t>https://visualgrip.com/</t>
  </si>
  <si>
    <t>https://www.angi.com/</t>
  </si>
  <si>
    <t>https://realt.co/</t>
  </si>
  <si>
    <t>https://stackedhomes.com/</t>
  </si>
  <si>
    <t>https://frontlobby.com/</t>
  </si>
  <si>
    <t>https://eddypump.com/</t>
  </si>
  <si>
    <t>https://printpanoramics.co.uk/</t>
  </si>
  <si>
    <t>https://arcadium3d.com/</t>
  </si>
  <si>
    <t>https://saunadepot.ca/</t>
  </si>
  <si>
    <t>https://moldtesting-houston.com/</t>
  </si>
  <si>
    <t>https://theothermovingcompany.com/</t>
  </si>
  <si>
    <t>https://awvs.com/</t>
  </si>
  <si>
    <t>https://www.1000bulbs.com/</t>
  </si>
  <si>
    <t>https://www.martinlegacyholdings.com/</t>
  </si>
  <si>
    <t>https://dtroofing.net/</t>
  </si>
  <si>
    <t>https://www.pods.com/</t>
  </si>
  <si>
    <t>www.worldwildlife.org/</t>
  </si>
  <si>
    <t>https://insulationcommandos.com/</t>
  </si>
  <si>
    <t>https://www.golansmoving.com/</t>
  </si>
  <si>
    <t>https://www.clio.com/</t>
  </si>
  <si>
    <t>https://www.housingwire.com/</t>
  </si>
  <si>
    <t>https://www.cottonlogistics.com/</t>
  </si>
  <si>
    <t>https://nationalmortgageprofessional.com/</t>
  </si>
  <si>
    <t>https://theclose.com/</t>
  </si>
  <si>
    <t>https://www.luxurypresence.com/</t>
  </si>
  <si>
    <t>https://cmsmortgages.ca/</t>
  </si>
  <si>
    <t>https://thecromeenslawfirm.com/</t>
  </si>
  <si>
    <t>https://www.fowlerexteriors.com/</t>
  </si>
  <si>
    <t>https://www.hsbsales.com/</t>
  </si>
  <si>
    <t>https://canadaimmigrants.com/</t>
  </si>
  <si>
    <t>https://www.sierrainteractive.com/</t>
  </si>
  <si>
    <t>https://www.elho.com/</t>
  </si>
  <si>
    <t>https://whataroom.com/</t>
  </si>
  <si>
    <t>https://www.homegambit.com/</t>
  </si>
  <si>
    <t>https://sohnne.com/</t>
  </si>
  <si>
    <t>https://shieldcoart.com/</t>
  </si>
  <si>
    <t>https://globepm.ca/</t>
  </si>
  <si>
    <t>https://deltaplumbersinc.com/</t>
  </si>
  <si>
    <t>https://www.neonsigns.ca/</t>
  </si>
  <si>
    <t>https://www.stevesplumbinghawaii.com/</t>
  </si>
  <si>
    <t>https://activeplumbingandair.com/</t>
  </si>
  <si>
    <t>https://thwindowsdoors.com/</t>
  </si>
  <si>
    <t>https://www.gardeneros.com/</t>
  </si>
  <si>
    <t>https://www.plantplan.co.uk/</t>
  </si>
  <si>
    <t>https://goflooring.com/</t>
  </si>
  <si>
    <t>https://www.vitcas.com/</t>
  </si>
  <si>
    <t>https://www.betenbough.com/</t>
  </si>
  <si>
    <t>https://ladesignconcepts.com/</t>
  </si>
  <si>
    <t>https://rubiomonocoat.co.uk/</t>
  </si>
  <si>
    <t>https://www.gatsbyglass.com/</t>
  </si>
  <si>
    <t>https://thehues.com/</t>
  </si>
  <si>
    <t>https://critterstop.com/</t>
  </si>
  <si>
    <t>https://www.wholesalenurseryco.com/</t>
  </si>
  <si>
    <t>https://portugalbuyersagent.com/</t>
  </si>
  <si>
    <t>https://www.limitlesswalls.com/</t>
  </si>
  <si>
    <t>https://luxuryflooring.co.uk/</t>
  </si>
  <si>
    <t>https://hydrobuilder.com/</t>
  </si>
  <si>
    <t>https://www.hollywoodmirrors.co.uk/</t>
  </si>
  <si>
    <t>https://officefurnitureonline.co.uk/</t>
  </si>
  <si>
    <t>https://neighbourhoodplumbing.com.au/</t>
  </si>
  <si>
    <t>https://floriansunrooms.ca/</t>
  </si>
  <si>
    <t>https://alivinghome.com/</t>
  </si>
  <si>
    <t>https://www.radikalneonsigns.com/</t>
  </si>
  <si>
    <t>https://elxis.com/</t>
  </si>
  <si>
    <t>https://www.globalcitizensolutions.com/</t>
  </si>
  <si>
    <t>https://yourelegantbar.com/</t>
  </si>
  <si>
    <t>https://www.visitutah.com/</t>
  </si>
  <si>
    <t>https://superiorplumbing.ca/</t>
  </si>
  <si>
    <t>https://www.spyglassrealty.com/</t>
  </si>
  <si>
    <t>https://www.nomadicrealestate.com/</t>
  </si>
  <si>
    <t>https://allsecure.co.nz/</t>
  </si>
  <si>
    <t>https://smilehvac.ca/</t>
  </si>
  <si>
    <t>https://www.contractorsischool.com/</t>
  </si>
  <si>
    <t>https://commercialglasspartitions.com/</t>
  </si>
  <si>
    <t>https://stairhoppers.com/</t>
  </si>
  <si>
    <t>https://rulonco.com/</t>
  </si>
  <si>
    <t>https://www.shipsmart.com/</t>
  </si>
  <si>
    <t>https://www.hiltonplumbing.com.au/</t>
  </si>
  <si>
    <t>https://www.halfpricepackaging.com/</t>
  </si>
  <si>
    <t>https://astropak.com/</t>
  </si>
  <si>
    <t>https://www.homeguidemyrtlebeach.com/</t>
  </si>
  <si>
    <t>https://spydermoving.com/</t>
  </si>
  <si>
    <t>https://www.kendrafoundit.com/</t>
  </si>
  <si>
    <t>https://www.flexfence.com/</t>
  </si>
  <si>
    <t>https://www.bytefederal.com/</t>
  </si>
  <si>
    <t>https://www.flickingerglassworks.com/</t>
  </si>
  <si>
    <t>https://www.sentimo.com/</t>
  </si>
  <si>
    <t>https://highstreammoving.com/</t>
  </si>
  <si>
    <t>https://zzonehomes.ca/</t>
  </si>
  <si>
    <t>https://www.elledecor.com/</t>
  </si>
  <si>
    <t>https://mauirealestate.com/</t>
  </si>
  <si>
    <t>https://www.kellylegalgroup.com/</t>
  </si>
  <si>
    <t>https://www.polymaster.com.au/</t>
  </si>
  <si>
    <t>https://mywfcu.ca/</t>
  </si>
  <si>
    <t>https://www.foxyhome.com/</t>
  </si>
  <si>
    <t>https://delmanorelginmills.com/</t>
  </si>
  <si>
    <t>https://mypinnacleroofing.com/</t>
  </si>
  <si>
    <t>https://www.webbsestateagents.co.uk/</t>
  </si>
  <si>
    <t>https://netstrata.com.au/</t>
  </si>
  <si>
    <t>https://www.budgetinsurance.com/</t>
  </si>
  <si>
    <t>https://www.cardinalfinancial.com/</t>
  </si>
  <si>
    <t>https://therooftiger.com/</t>
  </si>
  <si>
    <t>https://emperormarble.co.uk/</t>
  </si>
  <si>
    <t>https://mkfurnishings.co.uk/</t>
  </si>
  <si>
    <t>https://www.lindenhomes.co.uk/</t>
  </si>
  <si>
    <t>https://dumbomoving.com/</t>
  </si>
  <si>
    <t>https://www.thehenhousecollection.com/</t>
  </si>
  <si>
    <t>https://www.womanandhome.com/</t>
  </si>
  <si>
    <t>https://cunninghamrec.com/</t>
  </si>
  <si>
    <t>https://christiankleinerluxuryrealestate.com/</t>
  </si>
  <si>
    <t>https://hollowayremovals.com.au/</t>
  </si>
  <si>
    <t>https://deshaieselectricalservices.com/</t>
  </si>
  <si>
    <t>https://vacationaruba.com/</t>
  </si>
  <si>
    <t>https://customsolarandleisure.com/</t>
  </si>
  <si>
    <t>https://www.msllegal.com/</t>
  </si>
  <si>
    <t>https://unbiasedoptions.com/</t>
  </si>
  <si>
    <t>https://www.1800gotjunk.com.au/</t>
  </si>
  <si>
    <t>https://elderlawgroupwa.com/</t>
  </si>
  <si>
    <t>https://techeroroofing.com/</t>
  </si>
  <si>
    <t>https://www.logan-inc.com/</t>
  </si>
  <si>
    <t>https://amerinotexchange.com/</t>
  </si>
  <si>
    <t>https://realestateasia.com/</t>
  </si>
  <si>
    <t>https://www.craft-child.com/</t>
  </si>
  <si>
    <t>https://canvasbynumbers.com/</t>
  </si>
  <si>
    <t>https://thestoragecenter.com/</t>
  </si>
  <si>
    <t>https://cgifurniture.com/</t>
  </si>
  <si>
    <t>https://www.surplusfurniture.com/</t>
  </si>
  <si>
    <t>https://lahomes.com/</t>
  </si>
  <si>
    <t>https://www.owenscorning.com/</t>
  </si>
  <si>
    <t>https://greentekps.com/</t>
  </si>
  <si>
    <t>https://www.staticelectrics.com.au/</t>
  </si>
  <si>
    <t>https://www.boxstarmovers.com/</t>
  </si>
  <si>
    <t>https://scf.com.au/</t>
  </si>
  <si>
    <t>https://www.restaurant-furniture.com/</t>
  </si>
  <si>
    <t>https://www.homeplannerapp.com/</t>
  </si>
  <si>
    <t>https://pandalondon.com/</t>
  </si>
  <si>
    <t>https://sheetmaterialswholesale.co.uk/</t>
  </si>
  <si>
    <t>https://www.happybeds.co.uk/</t>
  </si>
  <si>
    <t>https://www.christiansonco.com/</t>
  </si>
  <si>
    <t>https://www.homfurniture.com/</t>
  </si>
  <si>
    <t>https://foxfamilyhvac.com/</t>
  </si>
  <si>
    <t>https://www.robgolfi.com/</t>
  </si>
  <si>
    <t>https://reignroof.com/</t>
  </si>
  <si>
    <t>https://www.zippyshell.com/</t>
  </si>
  <si>
    <t>https://www.yarooms.com/</t>
  </si>
  <si>
    <t>https://www.pape-dawson.com/</t>
  </si>
  <si>
    <t>https://www.nationalfloorsdirect.com/</t>
  </si>
  <si>
    <t>https://www.thehairpinlegcompany.co.uk/</t>
  </si>
  <si>
    <t>https://www.captaincookelectrical.com.au/</t>
  </si>
  <si>
    <t>https://cocoonfurnishings.ca/</t>
  </si>
  <si>
    <t>https://cometlighting.co.uk/</t>
  </si>
  <si>
    <t>https://www.williamsonsfactoryshop.co.uk/</t>
  </si>
  <si>
    <t>https://brickwholesale.co.uk/</t>
  </si>
  <si>
    <t>https://constructiontraininggroup.com.au/</t>
  </si>
  <si>
    <t>https://addictivesound.eu/</t>
  </si>
  <si>
    <t>https://www.clevelandrealestatetopagent.com/</t>
  </si>
  <si>
    <t>https://www.doornmore.com/</t>
  </si>
  <si>
    <t>https://cinergi.co.uk/</t>
  </si>
  <si>
    <t>https://toucantoco.com/</t>
  </si>
  <si>
    <t>https://logan-inc.com/</t>
  </si>
  <si>
    <t>https://www.modernbathroom.com/</t>
  </si>
  <si>
    <t>https://fabglassandmirror.com/</t>
  </si>
  <si>
    <t>https://homeguidemyrtlebeach.com/</t>
  </si>
  <si>
    <t>https://klinecollective.com/</t>
  </si>
  <si>
    <t>https://bestpriceskipbins.com.au/</t>
  </si>
  <si>
    <t>https://www.furl.co.uk/</t>
  </si>
  <si>
    <t>https://www.restorationroofingco.com/</t>
  </si>
  <si>
    <t>https://www.fantastichomes.com/</t>
  </si>
  <si>
    <t>https://www.kurahome.com/</t>
  </si>
  <si>
    <t>https://bosshogbarndos.com/</t>
  </si>
  <si>
    <t>https://carolinapremierhandyman.com/</t>
  </si>
  <si>
    <t>https://cookssimplepainting.com/</t>
  </si>
  <si>
    <t>https://www.progressiveautomations.com/</t>
  </si>
  <si>
    <t>https://safetyculture.com/</t>
  </si>
  <si>
    <t>https://strykcamrei.com/</t>
  </si>
  <si>
    <t>https://www.sunsquare.co.uk/</t>
  </si>
  <si>
    <t>https://180contractors.com/</t>
  </si>
  <si>
    <t>https://bens.plumbing/</t>
  </si>
  <si>
    <t>https://udcparts.com/</t>
  </si>
  <si>
    <t>https://www.sourgum.com/</t>
  </si>
  <si>
    <t>https://tailoredmechanical.com/</t>
  </si>
  <si>
    <t>https://denvermaids.com/</t>
  </si>
  <si>
    <t>https://www.texaswasteservices.com/</t>
  </si>
  <si>
    <t>https://www.landrymechanical.com/</t>
  </si>
  <si>
    <t>https://www.mystatemls.com/</t>
  </si>
  <si>
    <t>https://www.solarandgreenenergysolutions.com/</t>
  </si>
  <si>
    <t>https://www.genense.com/</t>
  </si>
  <si>
    <t>https://www.farmco.ag/</t>
  </si>
  <si>
    <t>https://figuredart.com/</t>
  </si>
  <si>
    <t>https://www.wallstreetzen.com/</t>
  </si>
  <si>
    <t>https://www.culligan.com/</t>
  </si>
  <si>
    <t>https://elementmoving.com/</t>
  </si>
  <si>
    <t>https://impact.ca/</t>
  </si>
  <si>
    <t>https://shillingexcavation.com/</t>
  </si>
  <si>
    <t>https://keystonecustomdecks.com/</t>
  </si>
  <si>
    <t>https://www.mortgagekw.com/</t>
  </si>
  <si>
    <t>http://highlandcabinetry.com/</t>
  </si>
  <si>
    <t>https://www.proficiencyltd.co.uk/</t>
  </si>
  <si>
    <t>https://getbatsout.com/</t>
  </si>
  <si>
    <t>https://madcitywindows.com/</t>
  </si>
  <si>
    <t>https://www.theengineeringchoice.com/</t>
  </si>
  <si>
    <t>https://espressoagent.com/</t>
  </si>
  <si>
    <t>https://bhug.com/</t>
  </si>
  <si>
    <t>https://www.diehardscarves.com/</t>
  </si>
  <si>
    <t>https://www.prohomebuyersolutions.com/</t>
  </si>
  <si>
    <t>https://harveykalles.com/</t>
  </si>
  <si>
    <t>https://www.polyandbark.com/</t>
  </si>
  <si>
    <t>https://www.legacyhealing.com/</t>
  </si>
  <si>
    <t>https://omtech.com/</t>
  </si>
  <si>
    <t>https://lemonlocksmith.co.uk/</t>
  </si>
  <si>
    <t>https://lanescontracting.com/</t>
  </si>
  <si>
    <t>https://archexteriors.com/</t>
  </si>
  <si>
    <t>https://ezconnectfloats.com/</t>
  </si>
  <si>
    <t>https://buymovingleads.co/</t>
  </si>
  <si>
    <t>https://www.canadasafetytraining.com/</t>
  </si>
  <si>
    <t>https://emergencyfurnacerepaircalgary.com/</t>
  </si>
  <si>
    <t>https://www.renoduck.com/</t>
  </si>
  <si>
    <t>https://www.bolair.ca/</t>
  </si>
  <si>
    <t>https://castelblanco.com/</t>
  </si>
  <si>
    <t>https://www.vulcan7.com/</t>
  </si>
  <si>
    <t>https://mypieceofcakemove.com/</t>
  </si>
  <si>
    <t>https://www.blinds-n-shutters.com.au/</t>
  </si>
  <si>
    <t>https://fabcosanctuary.com/</t>
  </si>
  <si>
    <t>https://aquadecorbackgrounds.com/</t>
  </si>
  <si>
    <t>https://bmmagazine.co.uk/</t>
  </si>
  <si>
    <t>https://www.londondaily.news/</t>
  </si>
  <si>
    <t>https://nycministorage.com/</t>
  </si>
  <si>
    <t>https://fortes.vision/</t>
  </si>
  <si>
    <t>https://donsgaragedoors.com/</t>
  </si>
  <si>
    <t>https://lentheplumber.com/</t>
  </si>
  <si>
    <t>https://www.webuyhouseshere.com/</t>
  </si>
  <si>
    <t>https://www.customhomegroup.com/</t>
  </si>
  <si>
    <t>https://hayatestate.com/</t>
  </si>
  <si>
    <t>https://primotly.com/</t>
  </si>
  <si>
    <t>https://trueworksroofing.com/</t>
  </si>
  <si>
    <t>https://www.askthemoldgirl.com/</t>
  </si>
  <si>
    <t>https://www.digitalbluefoam.com/</t>
  </si>
  <si>
    <t>https://modern-maids.com/</t>
  </si>
  <si>
    <t>https://andalusiacc.com/</t>
  </si>
  <si>
    <t>https://zeromaxmoving.com/</t>
  </si>
  <si>
    <t>https://mentorsmoving.com/</t>
  </si>
  <si>
    <t>https://www.nor-calmoving.com/</t>
  </si>
  <si>
    <t>https://www.marshallwhite.com.au/</t>
  </si>
  <si>
    <t>https://www.thebackyardnbeyond.com/</t>
  </si>
  <si>
    <t>https://www.flooringstores.com/</t>
  </si>
  <si>
    <t>https://liv.rent/</t>
  </si>
  <si>
    <t>https://www.urevo.com/</t>
  </si>
  <si>
    <t>https://fortifiedestate.com/</t>
  </si>
  <si>
    <t>https://thehappyhousecleaning.co.uk/</t>
  </si>
  <si>
    <t>https://ourtop10.com.au/</t>
  </si>
  <si>
    <t>https://fsg.com/</t>
  </si>
  <si>
    <t>https://allcongroup.com.au/</t>
  </si>
  <si>
    <t>https://deerbusters.com/</t>
  </si>
  <si>
    <t>https://www.fixitrightplumbing.com.au/</t>
  </si>
  <si>
    <t>https://www.powerhome.com/</t>
  </si>
  <si>
    <t>https://www.pycawnings.com/</t>
  </si>
  <si>
    <t>https://www.mrhandyman.com/</t>
  </si>
  <si>
    <t>https://thefauxflowercompany.com/</t>
  </si>
  <si>
    <t>https://www.unitseastbay.com/</t>
  </si>
  <si>
    <t>https://homelet.co.uk/</t>
  </si>
  <si>
    <t>https://securedroofingandrestoration.com/</t>
  </si>
  <si>
    <t>https://sevenseaswater.com/</t>
  </si>
  <si>
    <t>https://ukradiators.com/</t>
  </si>
  <si>
    <t>https://www.binskyhome.com/</t>
  </si>
  <si>
    <t>https://kingfisher-roofing.com/</t>
  </si>
  <si>
    <t>https://arizonapaintingcompany.com/</t>
  </si>
  <si>
    <t>https://ranchroofing.com/</t>
  </si>
  <si>
    <t>https://gaincity.com/</t>
  </si>
  <si>
    <t>https://tlcinteriors.com.au</t>
  </si>
  <si>
    <t>https://unitedairtemp.com/</t>
  </si>
  <si>
    <t>https://uperfect.com/</t>
  </si>
  <si>
    <t>https://iconbydesign.com/</t>
  </si>
  <si>
    <t>https://discovertheburgh.com</t>
  </si>
  <si>
    <t>https://cullenjewellery.com/</t>
  </si>
  <si>
    <t>https://www.ruvati.com/</t>
  </si>
  <si>
    <t>https://www.winnings.com.au/</t>
  </si>
  <si>
    <t>https://www.woodshopdiaries.com/</t>
  </si>
  <si>
    <t>https://www.recostseg.com/</t>
  </si>
  <si>
    <t>https://www.ftcourygroup.com/</t>
  </si>
  <si>
    <t>https://kdarchitects.net/</t>
  </si>
  <si>
    <t>https://nycsidewalkviolations.com/</t>
  </si>
  <si>
    <t>https://worldcoppersmith.com/</t>
  </si>
  <si>
    <t>https://heartlandflags.com/</t>
  </si>
  <si>
    <t>https://www.serviceprofessor.com/</t>
  </si>
  <si>
    <t>https://jakemainesrealtor.com/</t>
  </si>
  <si>
    <t>https://safetysourcellc.com/</t>
  </si>
  <si>
    <t>https://hammerandhand.com/</t>
  </si>
  <si>
    <t>https://sunlightcleaningny.com/</t>
  </si>
  <si>
    <t>https://www.fantasticservices.com/</t>
  </si>
  <si>
    <t>https://www.worldwidelandtransfer.com/</t>
  </si>
  <si>
    <t>https://faraneshlv.com/</t>
  </si>
  <si>
    <t>https://www.worldcoppersmith.com/</t>
  </si>
  <si>
    <t>https://titanroofingsolutions.com/</t>
  </si>
  <si>
    <t>https://www.colemanallied.com/</t>
  </si>
  <si>
    <t>https://www.ssrelocation.com/</t>
  </si>
  <si>
    <t>https://www.creditonebank.com/</t>
  </si>
  <si>
    <t>https://www.perthwindowreplacement.com.au/</t>
  </si>
  <si>
    <t>https://www.smartlifeco.com/</t>
  </si>
  <si>
    <t>https://octaneseating.com/</t>
  </si>
  <si>
    <t>https://modani.com/</t>
  </si>
  <si>
    <t>https://wsri.org/</t>
  </si>
  <si>
    <t>https://www.ironcompany.com/</t>
  </si>
  <si>
    <t>https://montereycompany.com/</t>
  </si>
  <si>
    <t>https://www.traderadiators.com/</t>
  </si>
  <si>
    <t>https://www.discountfilters.com/</t>
  </si>
  <si>
    <t>https://letsgetmovingusa.com/</t>
  </si>
  <si>
    <t>https://www.leaserunner.com/</t>
  </si>
  <si>
    <t>https://www.leisurebuildings.com/</t>
  </si>
  <si>
    <t>https://www.dutchhausfurniture.com/</t>
  </si>
  <si>
    <t>https://lockandkeysheffield.co.uk/</t>
  </si>
  <si>
    <t>https://www.pureecoinc.com/</t>
  </si>
  <si>
    <t>https://keepsafestorage.com.au/</t>
  </si>
  <si>
    <t>https://puetzconstruction.com/</t>
  </si>
  <si>
    <t>https://www.niagaramachine.com/</t>
  </si>
  <si>
    <t>https://www.hmworldgroup.com/</t>
  </si>
  <si>
    <t>https://www.protouchcleaners.com/</t>
  </si>
  <si>
    <t>https://www.alekoproducts.com/</t>
  </si>
  <si>
    <t>https://render-vision.com/</t>
  </si>
  <si>
    <t>https://www.roofsbywarren.com/</t>
  </si>
  <si>
    <t>https://www.gvdrenovationsinc.com/</t>
  </si>
  <si>
    <t>https://www.firststarlogistics.com/</t>
  </si>
  <si>
    <t>https://hamilton-ex.com/</t>
  </si>
  <si>
    <t>https://tigermaterialhandling.com/</t>
  </si>
  <si>
    <t>https://ftworthrefinishing.com/</t>
  </si>
  <si>
    <t>https://rugsource.com/</t>
  </si>
  <si>
    <t>https://www.floornmoresouthlake.com/</t>
  </si>
  <si>
    <t>https://www.limetreealfresco.com.au/</t>
  </si>
  <si>
    <t>https://www.sparefoot.com/</t>
  </si>
  <si>
    <t>https://snokingcarpets.com/</t>
  </si>
  <si>
    <t>https://www.pittsburghpowerwash.com/</t>
  </si>
  <si>
    <t>https://insuranceclaimhq.com/</t>
  </si>
  <si>
    <t>https://clarksvilleconstruction.net/</t>
  </si>
  <si>
    <t>https://www.cahillheating.com/</t>
  </si>
  <si>
    <t>https://nyceiling.com/</t>
  </si>
  <si>
    <t>https://www.familyleisure.com/</t>
  </si>
  <si>
    <t>https://essentialfoodhygiene.co.uk/</t>
  </si>
  <si>
    <t>https://doncasterlockandkey.co.uk/</t>
  </si>
  <si>
    <t>https://bridgeloandirect.co.uk/</t>
  </si>
  <si>
    <t>https://www.inovayt.com.au/</t>
  </si>
  <si>
    <t>https://coastalvanlines.com/</t>
  </si>
  <si>
    <t>https://www.aircontrolaz.com/</t>
  </si>
  <si>
    <t>https://azenco-outdoor.com/</t>
  </si>
  <si>
    <t>https://americanvintagehome.com/</t>
  </si>
  <si>
    <t>https://posterstore.com/</t>
  </si>
  <si>
    <t>https://butcherblockco.com/</t>
  </si>
  <si>
    <t>https://goldcoastschools.com/</t>
  </si>
  <si>
    <t>https://ustoreit.ie/</t>
  </si>
  <si>
    <t>https://thegoatwallart.com/</t>
  </si>
  <si>
    <t>https://www.boltstorage.com/</t>
  </si>
  <si>
    <t>https://www.thebedsupermarket.co.uk/</t>
  </si>
  <si>
    <t>https://www.patioproductions.com/</t>
  </si>
  <si>
    <t>https://houstoncapitalhomebuyers.com/</t>
  </si>
  <si>
    <t>https://rhinorooter.net/</t>
  </si>
  <si>
    <t>https://trenchlesspedia.com/</t>
  </si>
  <si>
    <t>https://roofomega.com/</t>
  </si>
  <si>
    <t>https://aptnewsinc.com/</t>
  </si>
  <si>
    <t>https://smockhvac.com/</t>
  </si>
  <si>
    <t>https://buildinginstitute.edu.au/</t>
  </si>
  <si>
    <t>https://lorenzphac.com/</t>
  </si>
  <si>
    <t>https://ultimateflags.com/</t>
  </si>
  <si>
    <t>https://trainingexpress.org.uk/</t>
  </si>
  <si>
    <t>https://www.watkinsheating.com/</t>
  </si>
  <si>
    <t>https://shapescaper.com.au/</t>
  </si>
  <si>
    <t>https://www.goldstarbuildings.com/</t>
  </si>
  <si>
    <t>https://www.propertymanagementto.com/</t>
  </si>
  <si>
    <t>https://desenio.com/</t>
  </si>
  <si>
    <t>https://reallycheapfloors.com</t>
  </si>
  <si>
    <t>https://abcfinance.co.uk/</t>
  </si>
  <si>
    <t>https://www.lifespankids.com.au/</t>
  </si>
  <si>
    <t>https://granitegaragefloors.com/</t>
  </si>
  <si>
    <t>https://www.simplelighting.co.uk/</t>
  </si>
  <si>
    <t>https://www.andrewvannyplumbing.com.au/</t>
  </si>
  <si>
    <t>https://theworkproject.com/</t>
  </si>
  <si>
    <t>https://www.justcoglobal.com/</t>
  </si>
  <si>
    <t>https://proficientpatios.com/</t>
  </si>
  <si>
    <t>https://roadhaugs.com/</t>
  </si>
  <si>
    <t>https://foxmoving.com/</t>
  </si>
  <si>
    <t>https://olympiamoving.com/</t>
  </si>
  <si>
    <t>https://eastatlanticplumbing.net/</t>
  </si>
  <si>
    <t>https://kvconstruction.net/</t>
  </si>
  <si>
    <t>https://www.pssremovals.com/</t>
  </si>
  <si>
    <t>https://audiovisualnation.com/</t>
  </si>
  <si>
    <t>https://securespace.com/</t>
  </si>
  <si>
    <t>https://hbno.com/</t>
  </si>
  <si>
    <t>https://southeastrigging.com/</t>
  </si>
  <si>
    <t>https://notrianglestudio.com/</t>
  </si>
  <si>
    <t>https://www.planeks.net/</t>
  </si>
  <si>
    <t>https://www.machines4u.com.au/</t>
  </si>
  <si>
    <t>https://oblist.com/</t>
  </si>
  <si>
    <t>https://impactsigns.com</t>
  </si>
  <si>
    <t>https://www.sedarglobal.com/</t>
  </si>
  <si>
    <t>https://unmask.com/</t>
  </si>
  <si>
    <t>https://www.supanet.com/</t>
  </si>
  <si>
    <t>https://neonsigns.com/</t>
  </si>
  <si>
    <t>https://mightydogroofing.com/</t>
  </si>
  <si>
    <t>https://www.groovyhues.com/</t>
  </si>
  <si>
    <t>https://www.heroeslawncare.com/</t>
  </si>
  <si>
    <t>https://www.bumblebeeblinds.com/</t>
  </si>
  <si>
    <t>https://www.ifoam.com/</t>
  </si>
  <si>
    <t>https://westontable.com/</t>
  </si>
  <si>
    <t>https://zonlihome.com/</t>
  </si>
  <si>
    <t>https://thearchiology.com/</t>
  </si>
  <si>
    <t>https://www.ransfordpc.com/</t>
  </si>
  <si>
    <t>https://youandmepps.com.au/</t>
  </si>
  <si>
    <t>https://toplineroofingflorida.com/</t>
  </si>
  <si>
    <t>https://www.fabricuk.com/</t>
  </si>
  <si>
    <t>https://fleecefun.com</t>
  </si>
  <si>
    <t>https://www.mightydogroofing.com/</t>
  </si>
  <si>
    <t>https://www.affordable-dissertation.co.uk/</t>
  </si>
  <si>
    <t>https://www.theacademicpapers.co.uk/</t>
  </si>
  <si>
    <t>https://www.kkbuysindyhomes.com/</t>
  </si>
  <si>
    <t>https://trevorfulmerdesign.com/</t>
  </si>
  <si>
    <t>https://www.giarenovations.com.au/</t>
  </si>
  <si>
    <t>https://fabricuk.com</t>
  </si>
  <si>
    <t>https://www.sipthestyle.com/</t>
  </si>
  <si>
    <t>https://www.thewhitewindowcurtains.co.uk/</t>
  </si>
  <si>
    <t>https://rapidhomedirect.com/</t>
  </si>
  <si>
    <t>https://www.rmfp.com/</t>
  </si>
  <si>
    <t>https://decorhint.com/</t>
  </si>
  <si>
    <t>https://www.mynd.co/</t>
  </si>
  <si>
    <t>https://www.thecuriouslycreative.com/</t>
  </si>
  <si>
    <t>https://ark7.com/</t>
  </si>
  <si>
    <t>https://www.steadily.com/</t>
  </si>
  <si>
    <t>https://scubby.com/</t>
  </si>
  <si>
    <t>https://www.lemongrovelane.com/</t>
  </si>
  <si>
    <t>https://homejab.com/</t>
  </si>
  <si>
    <t>https://stlouismaidservice.com/</t>
  </si>
  <si>
    <t>https://keystonecustomdeckstn.com/</t>
  </si>
  <si>
    <t>https://lancasterlogcabins.com/</t>
  </si>
  <si>
    <t>https://griffinfunding.com/</t>
  </si>
  <si>
    <t>https://www.beca.com/</t>
  </si>
  <si>
    <t>https://crownroofing.com/</t>
  </si>
  <si>
    <t>https://quickpickmovers.com.au/</t>
  </si>
  <si>
    <t>https://www.insofast.com/</t>
  </si>
  <si>
    <t>https://www.madisoncountyhousebuyers.com/</t>
  </si>
  <si>
    <t>https://www.garagedoorrepairsindy.com/</t>
  </si>
  <si>
    <t>https://realnyproperties.com/</t>
  </si>
  <si>
    <t>https://pauldavis.com/</t>
  </si>
  <si>
    <t>https://mojogaragedoors.com/</t>
  </si>
  <si>
    <t>https://trentonroofing.com/</t>
  </si>
  <si>
    <t>https://thegreenfortune.com/</t>
  </si>
  <si>
    <t>https://morrisjenkins.com/</t>
  </si>
  <si>
    <t>https://tylerestimating.com/</t>
  </si>
  <si>
    <t>https://appleroof.com/</t>
  </si>
  <si>
    <t>https://www.unitedairtemp.com/</t>
  </si>
  <si>
    <t>https://lbcmortgage.com/</t>
  </si>
  <si>
    <t>https://www.bizcover.com.au/</t>
  </si>
  <si>
    <t>https://theladcollective.com/</t>
  </si>
  <si>
    <t>https://buildops.com/</t>
  </si>
  <si>
    <t>https://www.americanstoragenc.com/</t>
  </si>
  <si>
    <t>https://www.storeallpurpose.com/</t>
  </si>
  <si>
    <t>https://activedoor.ca/</t>
  </si>
  <si>
    <t>https://reconroof.com/</t>
  </si>
  <si>
    <t>sanaliving.com.au</t>
  </si>
  <si>
    <t>salazarroofing.com</t>
  </si>
  <si>
    <t>richardharrislaw.com</t>
  </si>
  <si>
    <t>https://homefrontbuys.com/</t>
  </si>
  <si>
    <t>https://phinmaproperties.com/</t>
  </si>
  <si>
    <t>https://www.mydirectblinds.com.au/</t>
  </si>
  <si>
    <t>https://www.stpro.com.au/</t>
  </si>
  <si>
    <t>https://homeofcozy.com/</t>
  </si>
  <si>
    <t>https://searchnwa.com/</t>
  </si>
  <si>
    <t>https://www.jll.co.uk/</t>
  </si>
  <si>
    <t>https://auctionhousenorthwest.co.uk/</t>
  </si>
  <si>
    <t>https://www.lioxclean.com/</t>
  </si>
  <si>
    <t>https://1thrive.com/</t>
  </si>
  <si>
    <t>https://kitchencabinetkings.com/</t>
  </si>
  <si>
    <t>https://www.res-qlocksmiths.com.au/</t>
  </si>
  <si>
    <t>https://cleanzen.com/</t>
  </si>
  <si>
    <t>https://allmastersplumbing.com/</t>
  </si>
  <si>
    <t>https://pinpointcres.com/</t>
  </si>
  <si>
    <t>https://atlascredit.com/</t>
  </si>
  <si>
    <t>https://www.conradmartens.com.au/</t>
  </si>
  <si>
    <t>https://www.myopenadvisors.com/</t>
  </si>
  <si>
    <t>https://www.spoolah.com/</t>
  </si>
  <si>
    <t>https://polstontax.com/</t>
  </si>
  <si>
    <t>https://h2hmovers.com/</t>
  </si>
  <si>
    <t>https://apexelectricms.com/</t>
  </si>
  <si>
    <t>https://completedetail.net/</t>
  </si>
  <si>
    <t>https://betterhousebuyers.com/</t>
  </si>
  <si>
    <t>https://www.metrovancouverhomesource.com/</t>
  </si>
  <si>
    <t>https://www.27estore.com/</t>
  </si>
  <si>
    <t>https://newmanilasanjuan.com/</t>
  </si>
  <si>
    <t>https://www.sweetrefinishing.com/</t>
  </si>
  <si>
    <t>https://pbphomerepair.com/</t>
  </si>
  <si>
    <t>https://ppssa.com.au/</t>
  </si>
  <si>
    <t>https://wendysrealestate.com/</t>
  </si>
  <si>
    <t>https://www.doorpros.com/</t>
  </si>
  <si>
    <t>https://www.raylyonrealty.com/</t>
  </si>
  <si>
    <t>https://www.mdsquaredpropertygroup.com/</t>
  </si>
  <si>
    <t>https://www.cwarch.design/</t>
  </si>
  <si>
    <t>https://www.spvmortgages.co.uk/</t>
  </si>
  <si>
    <t>https://tinyhousefor.us/</t>
  </si>
  <si>
    <t>https://www.calalaw.com/</t>
  </si>
  <si>
    <t>https://elitedesigngroup.com/</t>
  </si>
  <si>
    <t>https://www.homeaglow.com/</t>
  </si>
  <si>
    <t>https://chadschwendeman.com/</t>
  </si>
  <si>
    <t>https://www.lanewaymagazine.com.au/</t>
  </si>
  <si>
    <t>https://www.bondi38.com.au/</t>
  </si>
  <si>
    <t>https://www.homeinsurancerates.com/</t>
  </si>
  <si>
    <t>https://www.coregonbuildingcompany.com/</t>
  </si>
  <si>
    <t>https://chadschwendeman.com/baxter-mn/</t>
  </si>
  <si>
    <t>https://www.myfinancialshape.com/</t>
  </si>
  <si>
    <t>https://www.heathersellshouses.com/</t>
  </si>
  <si>
    <t>https://www.ownerly.com/</t>
  </si>
  <si>
    <t>https://friendsfamilyhomecare.com/</t>
  </si>
  <si>
    <t>https://foldingdoors.com.au/</t>
  </si>
  <si>
    <t>https://www.kelownahomes.com/</t>
  </si>
  <si>
    <t>https://www.hiltonheadrealtysales.com/</t>
  </si>
  <si>
    <t>https://homecleaning.nyc/</t>
  </si>
  <si>
    <t>https://loans2go.co.uk/</t>
  </si>
  <si>
    <t>https://cabinetiq.com/</t>
  </si>
  <si>
    <t>https://absoluteestatesales.net/</t>
  </si>
  <si>
    <t>https://safestorecontainers.co.nz/</t>
  </si>
  <si>
    <t>https://www.levinrinkerealty.com/</t>
  </si>
  <si>
    <t>https://edensstructural.com/</t>
  </si>
  <si>
    <t>https://www.colibrirealestate.com/</t>
  </si>
  <si>
    <t>https://www.henrybuyshomes.com/</t>
  </si>
  <si>
    <t>https://www.pavelbuyshouses.com/</t>
  </si>
  <si>
    <t>https://www.miramarspeedcircuit.com/</t>
  </si>
  <si>
    <t>https://www.steamboatsprings-realestate.com/</t>
  </si>
  <si>
    <t>https://www.realestatehudsonvalleyny.com/</t>
  </si>
  <si>
    <t>https://www.allhomeslasvegas.com/</t>
  </si>
  <si>
    <t>https://okcrestorations.com/</t>
  </si>
  <si>
    <t>https://www.meridiantrust.com/</t>
  </si>
  <si>
    <t>https://www.safestore.co.uk/</t>
  </si>
  <si>
    <t>https://www.vracommercial.com/</t>
  </si>
  <si>
    <t>https://luckyalan.com/</t>
  </si>
  <si>
    <t>https://moversdev.com/</t>
  </si>
  <si>
    <t>https://www.kiavi.com/</t>
  </si>
  <si>
    <t>https://www.bigtrailerrentals.com/</t>
  </si>
  <si>
    <t>https://www.addressscoop.com/</t>
  </si>
  <si>
    <t>https://ndms.com/</t>
  </si>
  <si>
    <t>https://acarchitects.biz/</t>
  </si>
  <si>
    <t>https://swankyden.com/</t>
  </si>
  <si>
    <t>https://www.kelownahomes.ca/</t>
  </si>
  <si>
    <t>https://www.sammamishmortgage.com/</t>
  </si>
  <si>
    <t>https://www.3menmovers.com/</t>
  </si>
  <si>
    <t>https://teamenoch.com/</t>
  </si>
  <si>
    <t>https://breezeful.com/</t>
  </si>
  <si>
    <t>https://www.singletonschreiber.com/</t>
  </si>
  <si>
    <t>https://techvestor.com/</t>
  </si>
  <si>
    <t>https://www.aguirrelawpllc.com/</t>
  </si>
  <si>
    <t>https://hensleylegal.com/</t>
  </si>
  <si>
    <t>https://www.gihaul.com/</t>
  </si>
  <si>
    <t>https://www.seattlegreencleaningfairy.com/</t>
  </si>
  <si>
    <t>https://www.nybrite.com/</t>
  </si>
  <si>
    <t>https://www.ars.com/</t>
  </si>
  <si>
    <t>https://www.sakamotoproperties.com/</t>
  </si>
  <si>
    <t>https://move-central.com/</t>
  </si>
  <si>
    <t>https://www.durangohomesforsale.com/</t>
  </si>
  <si>
    <t>https://www.entrepreneurshiplife.com/</t>
  </si>
  <si>
    <t>https://roboticpoolcleanerscompared.com/</t>
  </si>
  <si>
    <t>https://breathemaids.com/</t>
  </si>
  <si>
    <t>https://gokcecapital.com/</t>
  </si>
  <si>
    <t>https://stoprentingperth.com/</t>
  </si>
  <si>
    <t>https://www.henfieldstorage.co.uk/</t>
  </si>
  <si>
    <t>https://www.revealhomestyle.com/</t>
  </si>
  <si>
    <t>https://www.calibrecleaning.com.au/</t>
  </si>
  <si>
    <t>https://www.getbellhops.com/</t>
  </si>
  <si>
    <t>https://austinrenc.com/</t>
  </si>
  <si>
    <t>https://reiadallas.com/</t>
  </si>
  <si>
    <t>https://landlordtips.com/</t>
  </si>
  <si>
    <t>https://www.solidconstructiondesign.com/</t>
  </si>
  <si>
    <t>https://starvingstudents.com/</t>
  </si>
  <si>
    <t>https://beautifultouches.com/</t>
  </si>
  <si>
    <t>https://www.readysteadysell.co.uk/</t>
  </si>
  <si>
    <t>https://www.johnsontaylorlaw.com/</t>
  </si>
  <si>
    <t>https://vaughanandvaughan.com/</t>
  </si>
  <si>
    <t>https://www.texasrealestate.com/</t>
  </si>
  <si>
    <t>https://restrightmattress.com/</t>
  </si>
  <si>
    <t>https://www.expatriatehealthcare.com/</t>
  </si>
  <si>
    <t>https://www.thecotocongroup.com/</t>
  </si>
  <si>
    <t>https://plexusrd.com/</t>
  </si>
  <si>
    <t>https://www.simplyspotless.com.au/</t>
  </si>
  <si>
    <t>https://theurbanavenue.com/</t>
  </si>
  <si>
    <t>https://www.kentremovalsstorage.com.au/</t>
  </si>
  <si>
    <t>https://artilux.com.au/</t>
  </si>
  <si>
    <t>https://www.rosenbauminjuryfirm.com/</t>
  </si>
  <si>
    <t>https://leavethekey.com/</t>
  </si>
  <si>
    <t>https://interest.com/</t>
  </si>
  <si>
    <t>https://www.superstormrestoration.com/</t>
  </si>
  <si>
    <t>https://www.hometownstructures.com/</t>
  </si>
  <si>
    <t>https://didyouknowhomes.com/</t>
  </si>
  <si>
    <t>https://web-don.com/</t>
  </si>
  <si>
    <t>https://www.creativemetalmd.com/</t>
  </si>
  <si>
    <t>https://www.carolinarealestatecentral.com/</t>
  </si>
  <si>
    <t>https://theearnesthomes.com/</t>
  </si>
  <si>
    <t>https://www.cmc-realty.com/</t>
  </si>
  <si>
    <t>https://www.hatchrealty.com/</t>
  </si>
  <si>
    <t>https://horizonmoversqc.com/</t>
  </si>
  <si>
    <t>https://gotartwork.com/</t>
  </si>
  <si>
    <t>https://www.landhub.com/</t>
  </si>
  <si>
    <t>https://saintinvestment.com/</t>
  </si>
  <si>
    <t>https://myhomemyglobe.com/</t>
  </si>
  <si>
    <t>https://www.storagecafe.com/</t>
  </si>
  <si>
    <t>https://bighornirondoors.com/</t>
  </si>
  <si>
    <t>https://restanddigest.com.au/</t>
  </si>
  <si>
    <t>https://sellwithstroud.com/</t>
  </si>
  <si>
    <t>https://jome.com/</t>
  </si>
  <si>
    <t>https://www.getmultifamily.com/</t>
  </si>
  <si>
    <t>https://www.provincialhomes.com.au/</t>
  </si>
  <si>
    <t>https://www.residedfw.com/</t>
  </si>
  <si>
    <t>https://dakineservicesinc.com/</t>
  </si>
  <si>
    <t>https://www.smartbox.com.au/</t>
  </si>
  <si>
    <t>https://belonghome.com/</t>
  </si>
  <si>
    <t>https://www.budgetdumpster.com/</t>
  </si>
  <si>
    <t>https://www.zipmoving.us/</t>
  </si>
  <si>
    <t>https://www.hippo.com/</t>
  </si>
  <si>
    <t>https://www.oahumilitaryrealestate.com/</t>
  </si>
  <si>
    <t>https://www.theblueground.com/</t>
  </si>
  <si>
    <t>https://www.homego.com/</t>
  </si>
  <si>
    <t>https://thehomeloanexpert.com/</t>
  </si>
  <si>
    <t>https://www.mainlinephillyhomes.com/</t>
  </si>
  <si>
    <t>https://ecmservice.com/</t>
  </si>
  <si>
    <t>https://www.robbrealtyatlanta.com/</t>
  </si>
  <si>
    <t>https://bensiggins.co.uk/</t>
  </si>
  <si>
    <t>https://www.iamcashbuyer.com/</t>
  </si>
  <si>
    <t>https://justo.ca/</t>
  </si>
  <si>
    <t>https://www.manhattanmiami.com/</t>
  </si>
  <si>
    <t>https://www.aireserv.com/</t>
  </si>
  <si>
    <t>https://www.lemonlawlawyerscalifornia.com/</t>
  </si>
  <si>
    <t>https://moverscrosscanada.ca/</t>
  </si>
  <si>
    <t>https://homes-for-sale.smokymountainhomesforsale.com/</t>
  </si>
  <si>
    <t>https://junkmastersmn.com/</t>
  </si>
  <si>
    <t>https://www.101apartmentforrent.com/</t>
  </si>
  <si>
    <t>https://www.packagingmidlands.co.uk/</t>
  </si>
  <si>
    <t>https://www.handykith.com/</t>
  </si>
  <si>
    <t>https://www.storagebuildingcentral.com/</t>
  </si>
  <si>
    <t>https://crosscountrymovers.com/</t>
  </si>
  <si>
    <t>https://moveonremovals.com.au/</t>
  </si>
  <si>
    <t>https://www.thestoragebox.com/</t>
  </si>
  <si>
    <t>https://www.atoallinks.com/</t>
  </si>
  <si>
    <t>https://www.oldeworldmovers.com/</t>
  </si>
  <si>
    <t>https://www.realestateagent.com/</t>
  </si>
  <si>
    <t>https://discountdumpsterco.com/</t>
  </si>
  <si>
    <t>https://www.mattwardhomes.com/</t>
  </si>
  <si>
    <t>https://www.contractorbond.org/</t>
  </si>
  <si>
    <t>https://cyprus-real.estate/</t>
  </si>
  <si>
    <t>https://houseofcoco.net/</t>
  </si>
  <si>
    <t>https://homebusinessmag.com/</t>
  </si>
  <si>
    <t>https://marbellapropertysrm.com/</t>
  </si>
  <si>
    <t>https://www.sellitmike.com/</t>
  </si>
  <si>
    <t>https://shedplans.org/</t>
  </si>
  <si>
    <t>https://www.thepackagingcompany.com/</t>
  </si>
  <si>
    <t>https://www.earnest.com/</t>
  </si>
  <si>
    <t>https://fundingguru.com/</t>
  </si>
  <si>
    <t>https://www.storquest.com/</t>
  </si>
  <si>
    <t>https://www.flexstorage.com/</t>
  </si>
  <si>
    <t>https://boltstorage.com/</t>
  </si>
  <si>
    <t>https://www.theinvestorsedge.com/</t>
  </si>
  <si>
    <t>https://www.credello.com/</t>
  </si>
  <si>
    <t>https://1firstcashadvance.org/</t>
  </si>
  <si>
    <t>https://www.cashforhomesarizona.com/</t>
  </si>
  <si>
    <t>https://gudcapital.com/</t>
  </si>
  <si>
    <t>https://www.hardmoneyhome.com/</t>
  </si>
  <si>
    <t>https://rateseeker.com.au/</t>
  </si>
  <si>
    <t>https://intipainting.com/</t>
  </si>
  <si>
    <t>https://georgeapapinc.com/</t>
  </si>
  <si>
    <t>https://www.housedigest.com/</t>
  </si>
  <si>
    <t>https://empowerhome-team.com/</t>
  </si>
  <si>
    <t>https://wemertgrouprealty.com/</t>
  </si>
  <si>
    <t>https://www.dsldmortgage.com/</t>
  </si>
  <si>
    <t>https://www.mypaydayloan.com/</t>
  </si>
  <si>
    <t>https://maidtoplease.com/</t>
  </si>
  <si>
    <t>https://honestpainters.co.nz/</t>
  </si>
  <si>
    <t>https://volcanobuilders.com/</t>
  </si>
  <si>
    <t>https://southernillinoisepoxy.com/</t>
  </si>
  <si>
    <t>https://ourhumbleabodeblog.com/</t>
  </si>
  <si>
    <t>https://premiumhardware.net/</t>
  </si>
  <si>
    <t>https://www.landofrugs.com/</t>
  </si>
  <si>
    <t>https://www.artisticstoneinc.com/</t>
  </si>
  <si>
    <t>https://shedsunlimited.net/</t>
  </si>
  <si>
    <t>https://fixifyappliancerepair.com/</t>
  </si>
  <si>
    <t>https://www.realestate-idahofalls.com/</t>
  </si>
  <si>
    <t>https://www.livelovemissouri.com/</t>
  </si>
  <si>
    <t>https://perthcheapmovers.com.au/</t>
  </si>
  <si>
    <t>https://handymantips.org/</t>
  </si>
  <si>
    <t>https://www.northamerican.com/</t>
  </si>
  <si>
    <t>https://www.rtcfencing.co.uk/</t>
  </si>
  <si>
    <t>https://www.growingseedsofchange.com/</t>
  </si>
  <si>
    <t>https://welovejunkphilly.com/</t>
  </si>
  <si>
    <t>https://penn-jersey.com/</t>
  </si>
  <si>
    <t>https://sanibelrealestateguide.com/</t>
  </si>
  <si>
    <t>https://www.visionretirement.com/</t>
  </si>
  <si>
    <t>https://www.top10.com/</t>
  </si>
  <si>
    <t>https://www.robertjfischer.com/</t>
  </si>
  <si>
    <t>https://metropolitan.realestate/</t>
  </si>
  <si>
    <t>https://deluxemovingsolutions.com/</t>
  </si>
  <si>
    <t>https://stuccco.com/</t>
  </si>
  <si>
    <t>https://moneytips.com/</t>
  </si>
  <si>
    <t>https://www.cincinkyrealestate.com/</t>
  </si>
  <si>
    <t>https://merrimackvalleymarealestate.com/</t>
  </si>
  <si>
    <t>https://fhfca.org/</t>
  </si>
  <si>
    <t>https://attorneysre.com/</t>
  </si>
  <si>
    <t>https://www.underwood.law/</t>
  </si>
  <si>
    <t>https://www.amazingmoves.com/</t>
  </si>
  <si>
    <t>https://www.divorcenet.com/</t>
  </si>
  <si>
    <t>https://www.innova-pm.com/</t>
  </si>
  <si>
    <t>https://www.tampabuyersbroker.com/</t>
  </si>
  <si>
    <t>https://www.madisonmortgageguys.com/</t>
  </si>
  <si>
    <t>https://www.westromgroup.com/</t>
  </si>
  <si>
    <t>https://www.ironhorsepropertymanagement.com/</t>
  </si>
  <si>
    <t>https://www.handle.com/</t>
  </si>
  <si>
    <t>https://www.useelko.com/</t>
  </si>
  <si>
    <t>https://www.rochesterrealestateblog.com/</t>
  </si>
  <si>
    <t>https://springshomesforrent.com/</t>
  </si>
  <si>
    <t>https://www.rentspree.com/</t>
  </si>
  <si>
    <t>https://quadwalls.com/</t>
  </si>
  <si>
    <t>https://lajolla.com/</t>
  </si>
  <si>
    <t>https://pacificalocals.com/</t>
  </si>
  <si>
    <t>https://homebay.com/</t>
  </si>
  <si>
    <t>https://frederickrealestateonline.com/</t>
  </si>
  <si>
    <t>https://springshomes.com/</t>
  </si>
  <si>
    <t>https://seascapecapital.com/</t>
  </si>
  <si>
    <t>https://wellingtonhometeam.com/</t>
  </si>
  <si>
    <t>https://www.myseattlehomesearch.com/</t>
  </si>
  <si>
    <t>https://grantsseptictechs.com/</t>
  </si>
  <si>
    <t>https://www.petesoutflow.com/</t>
  </si>
  <si>
    <t>https://www.alldrybearriver.com/</t>
  </si>
  <si>
    <t>https://www.upnest.com/</t>
  </si>
  <si>
    <t>https://www.fastexpert.com/</t>
  </si>
  <si>
    <t>https://www.michaelegerbercompanies.com/</t>
  </si>
  <si>
    <t>https://www.dallairerealty.com/</t>
  </si>
  <si>
    <t>https://newportbeachrealestatecafe.com/</t>
  </si>
  <si>
    <t>https://www.realestatewords.com/</t>
  </si>
  <si>
    <t>https://www.destinpropertyexpert.com/</t>
  </si>
  <si>
    <t>https://www.servpro.com/</t>
  </si>
  <si>
    <t>https://www.homeserve.com/</t>
  </si>
  <si>
    <t>https://baeareaandbeyond.com/</t>
  </si>
  <si>
    <t>https://listwithclever.com/</t>
  </si>
  <si>
    <t>https://www.calassoc-hoa.com/</t>
  </si>
  <si>
    <t>https://www.reeapartments.com/</t>
  </si>
  <si>
    <t>https://fordhamobserver.com/</t>
  </si>
  <si>
    <t>https://organisemyhouse.com/</t>
  </si>
  <si>
    <t>https://getflex.com/</t>
  </si>
  <si>
    <t>https://americanratcontrol.com/</t>
  </si>
  <si>
    <t>https://www.tinyhouseallianceusa.org/</t>
  </si>
  <si>
    <t>https://www.california.com/</t>
  </si>
  <si>
    <t>https://www.pashafunding.com/</t>
  </si>
  <si>
    <t>https://www.sheahomes.com/</t>
  </si>
  <si>
    <t>https://blueheron.com/</t>
  </si>
  <si>
    <t>https://www.rentecdirect.com/</t>
  </si>
  <si>
    <t>https://www.noradarealestate.com/</t>
  </si>
  <si>
    <t>https://phyxter.ai/</t>
  </si>
  <si>
    <t>https://airandenergynwfl.com/</t>
  </si>
  <si>
    <t>https://greenleafair.com/</t>
  </si>
  <si>
    <t>https://bardi.com/</t>
  </si>
  <si>
    <t>https://abestroofing.com/</t>
  </si>
  <si>
    <t>https://premiergrouproofs.com/</t>
  </si>
  <si>
    <t>https://www.newheightsroofing.com/</t>
  </si>
  <si>
    <t>https://www.globalexteriorexperts.com/</t>
  </si>
  <si>
    <t>https://seadmokwater.com/</t>
  </si>
  <si>
    <t>https://boboates.com/</t>
  </si>
  <si>
    <t>https://archicgi.com/</t>
  </si>
  <si>
    <t>https://flcselect.com/</t>
  </si>
  <si>
    <t>https://salmonhealth.com/</t>
  </si>
  <si>
    <t>https://rivergumhomes.com.au/</t>
  </si>
  <si>
    <t>https://gropius.house/</t>
  </si>
  <si>
    <t>https://freedesstudio.com/</t>
  </si>
  <si>
    <t>https://simplicitybath.com/</t>
  </si>
  <si>
    <t>https://johntheplumber.ca/</t>
  </si>
  <si>
    <t>https://voyagemaison.com/</t>
  </si>
  <si>
    <t>https://thedgbuilders.com/</t>
  </si>
  <si>
    <t>https://gbdmagazine.com/</t>
  </si>
  <si>
    <t>https://www.nulookhomedesign.com/</t>
  </si>
  <si>
    <t>https://www.movingmountainsdesign.com/</t>
  </si>
  <si>
    <t>https://renovationfind.com/</t>
  </si>
  <si>
    <t>https://kay2.ca/</t>
  </si>
  <si>
    <t>https://www.exclusivemetalroofing.com.au/</t>
  </si>
  <si>
    <t>https://prairieexteriors.com/</t>
  </si>
  <si>
    <t>https://www.hardwaresource.com/</t>
  </si>
  <si>
    <t>https://dupaint.com.au/</t>
  </si>
  <si>
    <t>https://www.marylandrealestateadvantage.com/</t>
  </si>
  <si>
    <t>https://excelbuilders.com/</t>
  </si>
  <si>
    <t>https://www.21oak.com/</t>
  </si>
  <si>
    <t>https://thrivepest.com/</t>
  </si>
  <si>
    <t>https://architecturebeast.com/</t>
  </si>
  <si>
    <t>https://www.guardianplumbing.net.au/</t>
  </si>
  <si>
    <t>https://noeljones.com.au/</t>
  </si>
  <si>
    <t>https://charmedbycamille.com/</t>
  </si>
  <si>
    <t>https://www.snooze.com.au/</t>
  </si>
  <si>
    <t>https://www.americanbestlocksmith.com/</t>
  </si>
  <si>
    <t>https://blueandgreentomorrow.com/</t>
  </si>
  <si>
    <t>https://prepsmartpainting.com/</t>
  </si>
  <si>
    <t>https://urbankitchens.co.uk/</t>
  </si>
  <si>
    <t>https://mjengineeringprojects.com.au/</t>
  </si>
  <si>
    <t>https://www.pinkelephantsonthemove.com/</t>
  </si>
  <si>
    <t>https://mtcopeland.com/</t>
  </si>
  <si>
    <t>https://revivalist.com/</t>
  </si>
  <si>
    <t>https://www.vacuumelevators.com/</t>
  </si>
  <si>
    <t>https://renovationcapital.com.au/</t>
  </si>
  <si>
    <t>https://www.eyringmovers.com/</t>
  </si>
  <si>
    <t>https://www.cavaliermoving.com/</t>
  </si>
  <si>
    <t>https://thecoolingco.com/</t>
  </si>
  <si>
    <t>https://majesticcabinetsllc.com/</t>
  </si>
  <si>
    <t>https://www.happilyinspired.com/</t>
  </si>
  <si>
    <t>https://www.mauieliteproperty.com/</t>
  </si>
  <si>
    <t>https://www.kgraberco.com/</t>
  </si>
  <si>
    <t>https://www.homebuilding.co.uk/</t>
  </si>
  <si>
    <t>https://www.highstuff.com/</t>
  </si>
  <si>
    <t>https://www.masterclasskitchens.co.uk/</t>
  </si>
  <si>
    <t>https://www.livingetc.com/</t>
  </si>
  <si>
    <t>https://www.goldencoastroofing.com/</t>
  </si>
  <si>
    <t>https://www.honestaberoofing.com/</t>
  </si>
  <si>
    <t>https://www.sheds.com.au/</t>
  </si>
  <si>
    <t>https://redstickroofing.com/</t>
  </si>
  <si>
    <t>https://www.fairdinkumbuilds.com.au/</t>
  </si>
  <si>
    <t>https://www.openpropertygroup.com/</t>
  </si>
  <si>
    <t>https://www.bluebirdcfw.com/</t>
  </si>
  <si>
    <t>https://aaagaragedoorswa.com/</t>
  </si>
  <si>
    <t>https://www.simpletankservices.com/</t>
  </si>
  <si>
    <t>https://www.tubchairs.com/</t>
  </si>
  <si>
    <t>https://paramountbuilders.com/</t>
  </si>
  <si>
    <t>https://www.haltonstairliftsltd.co.uk/</t>
  </si>
  <si>
    <t>https://www.prosourcewholesale.com/</t>
  </si>
  <si>
    <t>https://okcroofers.com/</t>
  </si>
  <si>
    <t>https://www.rubyhome.com/</t>
  </si>
  <si>
    <t>https://www.okfoundationsolutions.com/</t>
  </si>
  <si>
    <t>https://www.expressgaragedoordfw.com/</t>
  </si>
  <si>
    <t>https://lamunyon.com/</t>
  </si>
  <si>
    <t>https://serenitymovingservices.com/</t>
  </si>
  <si>
    <t>https://www.affordablewindowscreens.com/</t>
  </si>
  <si>
    <t>https://fullcolorcleaners.com/</t>
  </si>
  <si>
    <t>https://www.metal-building-homes.com/</t>
  </si>
  <si>
    <t>https://www.metrie.com/</t>
  </si>
  <si>
    <t>https://www.moderndane.com/</t>
  </si>
  <si>
    <t>https://ismartgate.com/</t>
  </si>
  <si>
    <t>https://www.replacewindowslimited.co.uk/</t>
  </si>
  <si>
    <t>https://sohopainters.com/</t>
  </si>
  <si>
    <t>https://www.alderandtweed.com/</t>
  </si>
  <si>
    <t>https://ocusafe.com/</t>
  </si>
  <si>
    <t>https://www.calgary.com/</t>
  </si>
  <si>
    <t>https://acremodeling.com/</t>
  </si>
  <si>
    <t>https://www.newjerseyrealestatenetwork.com/</t>
  </si>
  <si>
    <t>https://www.renovationkingdom.com.au/</t>
  </si>
  <si>
    <t>https://the-tech-trend.com/reviews/</t>
  </si>
  <si>
    <t>https://freshspacecleaning.com/</t>
  </si>
  <si>
    <t>https://www.lawdistrict.com/</t>
  </si>
  <si>
    <t>https://florida.realestate/</t>
  </si>
  <si>
    <t>https://www.cutmy.co.uk/</t>
  </si>
  <si>
    <t>https://homesteadsupplier.com/</t>
  </si>
  <si>
    <t>https://divinemagazine.biz/</t>
  </si>
  <si>
    <t>https://www.bigdaddykreativ.ca/</t>
  </si>
  <si>
    <t>https://www.cricketpavers.com/</t>
  </si>
  <si>
    <t>https://www.nourishyourglow.com/</t>
  </si>
  <si>
    <t>https://www.puckermob.com/</t>
  </si>
  <si>
    <t>https://capitalupvc.co.uk/</t>
  </si>
  <si>
    <t>https://actionairduct.net/</t>
  </si>
  <si>
    <t>https://www.thededicatedhouse.com/</t>
  </si>
  <si>
    <t>https://braytoninteriors.com/</t>
  </si>
  <si>
    <t>https://clden.com/</t>
  </si>
  <si>
    <t>https://www.vacayaz.com/</t>
  </si>
  <si>
    <t>https://www.outbackfencing.com.au/</t>
  </si>
  <si>
    <t>https://www.blingle.com/</t>
  </si>
  <si>
    <t>https://atlantacommercialroofingcontractors.com/</t>
  </si>
  <si>
    <t>https://sdhstudio.com/</t>
  </si>
  <si>
    <t>https://www.bolsterbuilt.com/</t>
  </si>
  <si>
    <t>https://nicetown.com/</t>
  </si>
  <si>
    <t>https://canadoorsystems.com/</t>
  </si>
  <si>
    <t>https://www.goallinemoving.com/</t>
  </si>
  <si>
    <t>https://settmovers.com/</t>
  </si>
  <si>
    <t>https://cottonable.com/</t>
  </si>
  <si>
    <t>https://eloquence.com/</t>
  </si>
  <si>
    <t>https://www.progressivedesk.com/</t>
  </si>
  <si>
    <t>https://traviscountyappliancerepair.com/</t>
  </si>
  <si>
    <t>https://missamara.com.au/</t>
  </si>
  <si>
    <t>https://joywallet.com/</t>
  </si>
  <si>
    <t>https://thefurnituregallery.com.au/</t>
  </si>
  <si>
    <t>https://neotimber.com/</t>
  </si>
  <si>
    <t>https://www.cmichaelexteriors.com/</t>
  </si>
  <si>
    <t>https://rmcpainting.co.nz/</t>
  </si>
  <si>
    <t>https://matrak.com/</t>
  </si>
  <si>
    <t>https://homedesigns.ai/</t>
  </si>
  <si>
    <t>https://iheat.co.uk/</t>
  </si>
  <si>
    <t>https://www.fabglassandmirror.com/</t>
  </si>
  <si>
    <t>https://www.makeanentrance.com/</t>
  </si>
  <si>
    <t>https://www.stelrad.com/</t>
  </si>
  <si>
    <t>https://www.letstalkmommy.com/</t>
  </si>
  <si>
    <t>https://www.housepro.net/</t>
  </si>
  <si>
    <t>https://whytile.com/</t>
  </si>
  <si>
    <t>https://www.welchdesignstudio.com/</t>
  </si>
  <si>
    <t>https://www.belledorm.co.uk/</t>
  </si>
  <si>
    <t>https://sembrodesigns.com/</t>
  </si>
  <si>
    <t>https://fixappliances.ca/</t>
  </si>
  <si>
    <t>https://fixgaragedoors.ca/</t>
  </si>
  <si>
    <t>https://www.parachutehome.com/</t>
  </si>
  <si>
    <t>https://www.nationalappliancerepairs.com.au/</t>
  </si>
  <si>
    <t>https://apexwindowwerks.com/</t>
  </si>
  <si>
    <t>https://www.absolutehomeservices.ca/</t>
  </si>
  <si>
    <t>https://www.mystonefloor.com/</t>
  </si>
  <si>
    <t>https://www.windowscanada.com/</t>
  </si>
  <si>
    <t>https://www.bigcitywindows.com/</t>
  </si>
  <si>
    <t>https://bellacontractingservices.com/</t>
  </si>
  <si>
    <t>https://extensionarchitecture.co.uk/</t>
  </si>
  <si>
    <t>https://artleon.com/</t>
  </si>
  <si>
    <t>https://www.slghomebuyer.ca/</t>
  </si>
  <si>
    <t>https://zenithdesignbuild.com/</t>
  </si>
  <si>
    <t>https://zen-renovations.com/</t>
  </si>
  <si>
    <t>https://www.weathertightcorp.com/</t>
  </si>
  <si>
    <t>https://www.artisanmovers.com/</t>
  </si>
  <si>
    <t>https://fittra.co.uk/</t>
  </si>
  <si>
    <t>https://advancedrestorationcolorado.com/</t>
  </si>
  <si>
    <t>https://www.centralglass.com/</t>
  </si>
  <si>
    <t>https://brisklandscaping.com.au/</t>
  </si>
  <si>
    <t>https://thefirebird.com/</t>
  </si>
  <si>
    <t>https://trendstyle.com.au/</t>
  </si>
  <si>
    <t>https://cut2size.ca/</t>
  </si>
  <si>
    <t>https://allcountyexteriors.com/</t>
  </si>
  <si>
    <t>https://judgemobilewash.com/</t>
  </si>
  <si>
    <t>https://www.ozlighting.com.au/</t>
  </si>
  <si>
    <t>https://www.hanselstone.com/</t>
  </si>
  <si>
    <t>https://mammamiacovers.com/</t>
  </si>
  <si>
    <t>https://armstrongwatermoldcleanup.com/</t>
  </si>
  <si>
    <t>https://designandbuild.co.uk/</t>
  </si>
  <si>
    <t>https://london-refurbishment-company.co.uk/</t>
  </si>
  <si>
    <t>https://www.reeveandco.com/</t>
  </si>
  <si>
    <t>https://inhomeflooring.com/</t>
  </si>
  <si>
    <t>https://mastermaid.ca/</t>
  </si>
  <si>
    <t>https://www.allied.com/</t>
  </si>
  <si>
    <t>https://www.greenchildmagazine.com/</t>
  </si>
  <si>
    <t>https://www.vanisleglass.com/</t>
  </si>
  <si>
    <t>https://www.aquarescue.ca/</t>
  </si>
  <si>
    <t>https://apopsiclestand.com/</t>
  </si>
  <si>
    <t>https://thetruecolors.org/</t>
  </si>
  <si>
    <t>https://www.cabinetset.com/</t>
  </si>
  <si>
    <t>https://happly.com.au/</t>
  </si>
  <si>
    <t>https://www.milkcan.com.au/</t>
  </si>
  <si>
    <t>https://www.belmontsolar.com/</t>
  </si>
  <si>
    <t>https://plumberoftucson.com/</t>
  </si>
  <si>
    <t>https://www.cliftonpf.co.uk/</t>
  </si>
  <si>
    <t>https://www.atlanticbay.com/</t>
  </si>
  <si>
    <t>https://fencingquotesonline.com.au/</t>
  </si>
  <si>
    <t>https://kitchenmore.com/</t>
  </si>
  <si>
    <t>https://www.834hans.com/</t>
  </si>
  <si>
    <t>https://qanvast.com/</t>
  </si>
  <si>
    <t>https://wickerpark.ca/</t>
  </si>
  <si>
    <t>https://doughtysfurniture.net/</t>
  </si>
  <si>
    <t>https://sunvek.com/</t>
  </si>
  <si>
    <t>https://permasol.ca/</t>
  </si>
  <si>
    <t>https://mymoonstonekitchen.com/</t>
  </si>
  <si>
    <t>https://nordicinformer.com/</t>
  </si>
  <si>
    <t>https://www.millcityhomebuyers.com/</t>
  </si>
  <si>
    <t>https://h2hmove.com/</t>
  </si>
  <si>
    <t>https://www.mywindowwashing.com/</t>
  </si>
  <si>
    <t>https://www.frelanhardware.co.uk/</t>
  </si>
  <si>
    <t>https://www.chainsawspares.com.au/</t>
  </si>
  <si>
    <t>https://www.evolutionmoney.co.uk/</t>
  </si>
  <si>
    <t>https://sumerinnovations.com/</t>
  </si>
  <si>
    <t>https://www.trusttiger.com/</t>
  </si>
  <si>
    <t>https://www.meatheadmovers.com/</t>
  </si>
  <si>
    <t>https://www.ondemandpestcontrol.com/</t>
  </si>
  <si>
    <t>https://bicconstructionllc.com/</t>
  </si>
  <si>
    <t>https://kcwaterproofing.com/</t>
  </si>
  <si>
    <t>https://rochestercp.com/</t>
  </si>
  <si>
    <t>https://nazmiyalantiquerugs.com/</t>
  </si>
  <si>
    <t>https://therugdistrict.ca/</t>
  </si>
  <si>
    <t>https://nextdimensionroofing.com/</t>
  </si>
  <si>
    <t>https://www.cherryandclarkroofing.ca/</t>
  </si>
  <si>
    <t>https://zomasleep.com/</t>
  </si>
  <si>
    <t>https://www.keen-clean.co.uk/</t>
  </si>
  <si>
    <t>https://vodaland.ca/</t>
  </si>
  <si>
    <t>https://www.closetamerica.com/</t>
  </si>
  <si>
    <t>https://www.factorypoolsperth.com.au/</t>
  </si>
  <si>
    <t>https://www.tantiv4.com/</t>
  </si>
  <si>
    <t>https://www.kitchendistributors.com/</t>
  </si>
  <si>
    <t>https://austinfenceanddeck.com/</t>
  </si>
  <si>
    <t>https://fhiaremodeling.com/</t>
  </si>
  <si>
    <t>https://austinroofingandwaterdamage.com/</t>
  </si>
  <si>
    <t>https://www.clearchoiceroofingatx.com/</t>
  </si>
  <si>
    <t>https://www.advisorhub.com/</t>
  </si>
  <si>
    <t>https://www.decasacollections.com/</t>
  </si>
  <si>
    <t>https://reliaheat.co.uk/</t>
  </si>
  <si>
    <t>https://www.americanvanlines.com/</t>
  </si>
  <si>
    <t>https://tilecloud.com.au/</t>
  </si>
  <si>
    <t>https://www.aegissafe.com.au/</t>
  </si>
  <si>
    <t>https://aurafiresafety.com/</t>
  </si>
  <si>
    <t>https://barrierreefpools.com/</t>
  </si>
  <si>
    <t>https://precisionlandscaping.ca/</t>
  </si>
  <si>
    <t>https://www.alpinefencing.co/</t>
  </si>
  <si>
    <t>https://www.standstrongfencing.com/</t>
  </si>
  <si>
    <t>https://www.alliancemoving.com/</t>
  </si>
  <si>
    <t>https://www.locate2u.com/</t>
  </si>
  <si>
    <t>https://www.ryanoldplumbing.com.au/</t>
  </si>
  <si>
    <t>https://forrestsmallhomes.com.au/</t>
  </si>
  <si>
    <t>https://www.edenconstructionny.com/</t>
  </si>
  <si>
    <t>https://that1painter.com/</t>
  </si>
  <si>
    <t>poshtradingcompany.com</t>
  </si>
  <si>
    <t>openpropertygroup.com</t>
  </si>
  <si>
    <t>selcobw.com</t>
  </si>
  <si>
    <t>windowscanada.com</t>
  </si>
  <si>
    <t>cladcodecking.co.uk</t>
  </si>
  <si>
    <t>cworkshop.co.uk</t>
  </si>
  <si>
    <t>hgtv.co.uk</t>
  </si>
  <si>
    <t>thehirerealty.com</t>
  </si>
  <si>
    <t>royaloakstair.ca</t>
  </si>
  <si>
    <t>verifiedmovers.com</t>
  </si>
  <si>
    <t>grenadier.co.nz</t>
  </si>
  <si>
    <t>martinsflooring.com</t>
  </si>
  <si>
    <t>tusseylandscaping.com</t>
  </si>
  <si>
    <t>thinkaidium.com</t>
  </si>
  <si>
    <t>lakegenevaarearealty.com</t>
  </si>
  <si>
    <t>loaconstruction.com</t>
  </si>
  <si>
    <t>instantroofer.com</t>
  </si>
  <si>
    <t>elegantkitchenbath.com</t>
  </si>
  <si>
    <t>ssrelocation.com</t>
  </si>
  <si>
    <t>joist.com</t>
  </si>
  <si>
    <t>mobilehomebuyerfl.com</t>
  </si>
  <si>
    <t>moneylion.com</t>
  </si>
  <si>
    <t>voyagemaison.com</t>
  </si>
  <si>
    <t>landofrugs.com</t>
  </si>
  <si>
    <t>cartonhouse.com</t>
  </si>
  <si>
    <t>capstgeorges.com</t>
  </si>
  <si>
    <t>hunterhome.co.nz</t>
  </si>
  <si>
    <t>nucleuscommercialfinance.com</t>
  </si>
  <si>
    <t>pricebailey.co.uk</t>
  </si>
  <si>
    <t>northamerican.com</t>
  </si>
  <si>
    <t>luxuryflooring.co.uk</t>
  </si>
  <si>
    <t>lionsgatecapital.com</t>
  </si>
  <si>
    <t>theperfectrug.com</t>
  </si>
  <si>
    <t>ceoweekly.com</t>
  </si>
  <si>
    <t>floridahomefinder.com</t>
  </si>
  <si>
    <t>mauieliteproperty.com</t>
  </si>
  <si>
    <t>allied.com</t>
  </si>
  <si>
    <t>marygrove.com</t>
  </si>
  <si>
    <t>maxwellrealty.com</t>
  </si>
  <si>
    <t>highlandcabinetry.com</t>
  </si>
  <si>
    <t>yabby.com.au</t>
  </si>
  <si>
    <t>newportrentals.com</t>
  </si>
  <si>
    <t>neatbeach.com</t>
  </si>
  <si>
    <t>luxuriavacations.com</t>
  </si>
  <si>
    <t>exotiqproperty.com</t>
  </si>
  <si>
    <t>revivalhomebuyers.com</t>
  </si>
  <si>
    <t>speedysalehomebuyers.com</t>
  </si>
  <si>
    <t>hapahomebuyers.com</t>
  </si>
  <si>
    <t>activemetal.com.au</t>
  </si>
  <si>
    <t>1428brickell.com</t>
  </si>
  <si>
    <t>ytech.com</t>
  </si>
  <si>
    <t>rockwellgroup.com</t>
  </si>
  <si>
    <t>naftaligroup.com</t>
  </si>
  <si>
    <t>integrafl.com</t>
  </si>
  <si>
    <t>onesothebysrealty.com</t>
  </si>
  <si>
    <t>1508london.com</t>
  </si>
  <si>
    <t>clfarchitects.com</t>
  </si>
  <si>
    <t>studiomunge.com</t>
  </si>
  <si>
    <t>flagluxury.com</t>
  </si>
  <si>
    <t>buildmat.com.au</t>
  </si>
  <si>
    <t>multiplanream.com</t>
  </si>
  <si>
    <t>bh-3.com</t>
  </si>
  <si>
    <t>arclinea.com</t>
  </si>
  <si>
    <t>kipsbaydecoratorshowhouse.org</t>
  </si>
  <si>
    <t>paintit.ai</t>
  </si>
  <si>
    <t>serhant.com</t>
  </si>
  <si>
    <t>relatedgroup.com</t>
  </si>
  <si>
    <t>greenleafair.com</t>
  </si>
  <si>
    <t>matouk.com</t>
  </si>
  <si>
    <t>ezstorit.com</t>
  </si>
  <si>
    <t>chiswickplumbing.com.au</t>
  </si>
  <si>
    <t>securespace.com</t>
  </si>
  <si>
    <t>companionmaids.com</t>
  </si>
  <si>
    <t>brisbaneplumbinganddrainage.com.au</t>
  </si>
  <si>
    <t>dltinteriordesigns.com</t>
  </si>
  <si>
    <t>creditninja.com</t>
  </si>
  <si>
    <t>doradobeach.com</t>
  </si>
  <si>
    <t>alliance-investments.com</t>
  </si>
  <si>
    <t>ranchroofing.com</t>
  </si>
  <si>
    <t>mycoastalwindows.com</t>
  </si>
  <si>
    <t>v1tours.com</t>
  </si>
  <si>
    <t>newearthres.com</t>
  </si>
  <si>
    <t>surfcorestoration.com</t>
  </si>
  <si>
    <t>fidi.org</t>
  </si>
  <si>
    <t>berganco.com</t>
  </si>
  <si>
    <t>biggerequity.com</t>
  </si>
  <si>
    <t>cincinnatihistorichomes.com</t>
  </si>
  <si>
    <t>oceanpoint.claims</t>
  </si>
  <si>
    <t>sanibel-captiva.org</t>
  </si>
  <si>
    <t>paystubcreator.net</t>
  </si>
  <si>
    <t>samedayrubbishremoval.com.au</t>
  </si>
  <si>
    <t>alltechappliance.com</t>
  </si>
  <si>
    <t>secondopinionplumbingaz.com</t>
  </si>
  <si>
    <t>ageinplace.com</t>
  </si>
  <si>
    <t>theseniorlist.com</t>
  </si>
  <si>
    <t>fairpricehousesale.com</t>
  </si>
  <si>
    <t>benjaminfranklinplumbing.com</t>
  </si>
  <si>
    <t>officialpestprevention.com</t>
  </si>
  <si>
    <t>samedayrubbishremovalmelbourne.com.au</t>
  </si>
  <si>
    <t>moderndigsfurniture.com</t>
  </si>
  <si>
    <t>blueravensolar.com</t>
  </si>
  <si>
    <t>bayshorehomesales.com</t>
  </si>
  <si>
    <t>levelyourhouse.com</t>
  </si>
  <si>
    <t>buellelectric.com</t>
  </si>
  <si>
    <t>paystubs.net</t>
  </si>
  <si>
    <t>roadhaugs.com</t>
  </si>
  <si>
    <t>jmsgroundservices.com</t>
  </si>
  <si>
    <t>innercitymoving.ca</t>
  </si>
  <si>
    <t>potempateam.com</t>
  </si>
  <si>
    <t>comfortecphc.com</t>
  </si>
  <si>
    <t>royalnettoyage.com</t>
  </si>
  <si>
    <t>stephaniekratzinteriors.co</t>
  </si>
  <si>
    <t>verraterra.com</t>
  </si>
  <si>
    <t>dengarden.com</t>
  </si>
  <si>
    <t>phyxter.ai</t>
  </si>
  <si>
    <t>multiglassoftexas.com</t>
  </si>
  <si>
    <t>zoocasa.com</t>
  </si>
  <si>
    <t>northeastfactorydirect.com</t>
  </si>
  <si>
    <t>display-cabinets-direct.co.uk</t>
  </si>
  <si>
    <t>austinroofingandconstruction.com</t>
  </si>
  <si>
    <t>palmerrealty.net</t>
  </si>
  <si>
    <t>procleanairductcleaning.com</t>
  </si>
  <si>
    <t>sandiegopaintingcompany.com</t>
  </si>
  <si>
    <t>apexwindows.info</t>
  </si>
  <si>
    <t>pittsburghcashhomebuyers.com</t>
  </si>
  <si>
    <t>cityhomecomfort.ca</t>
  </si>
  <si>
    <t>premiercabinetpainting.com</t>
  </si>
  <si>
    <t>riverpoolsandspas.com</t>
  </si>
  <si>
    <t>familyhomeplans.com</t>
  </si>
  <si>
    <t>theconcretemakeover.com</t>
  </si>
  <si>
    <t>ragsdaleroofing.com</t>
  </si>
  <si>
    <t>organizedinteriors.com</t>
  </si>
  <si>
    <t>expresspropertysolutions.com</t>
  </si>
  <si>
    <t>benjaminfranklinplumbing.com/</t>
  </si>
  <si>
    <t>east-westelectric.com</t>
  </si>
  <si>
    <t>surepropainting.com</t>
  </si>
  <si>
    <t>fcprop.net</t>
  </si>
  <si>
    <t>beaconlending.com</t>
  </si>
  <si>
    <t>mcmahonagency.com</t>
  </si>
  <si>
    <t>getencircle.com</t>
  </si>
  <si>
    <t>dardenbuildingmaterial.com</t>
  </si>
  <si>
    <t>mywindowwashing.com</t>
  </si>
  <si>
    <t>americanhomecontractors.com</t>
  </si>
  <si>
    <t>the-insurance-outlet.com</t>
  </si>
  <si>
    <t>nationalfloorsdirect.com</t>
  </si>
  <si>
    <t>fordewindowsandremodeling.com</t>
  </si>
  <si>
    <t>floridacashhomebuyers.com</t>
  </si>
  <si>
    <t>abis.com.au</t>
  </si>
  <si>
    <t>budgetdumpster.com</t>
  </si>
  <si>
    <t>creamcityhomebuyers.com</t>
  </si>
  <si>
    <t>sonshineroofing.com</t>
  </si>
  <si>
    <t>ezhangdoor.com</t>
  </si>
  <si>
    <t>mrrogerswindows.com</t>
  </si>
  <si>
    <t>kindhousebuyers.com</t>
  </si>
  <si>
    <t>millerpublicadjusters.com</t>
  </si>
  <si>
    <t>trilliumteam.ca</t>
  </si>
  <si>
    <t>mymortgageinsider.com</t>
  </si>
  <si>
    <t>jlconline.com</t>
  </si>
  <si>
    <t>ohanagaragedoorrepair.com</t>
  </si>
  <si>
    <t>ontopoftheworldcommunities.com</t>
  </si>
  <si>
    <t>globalsteelbuildings.ca</t>
  </si>
  <si>
    <t>myelitemetalstructures.com</t>
  </si>
  <si>
    <t>trubilt.com.au</t>
  </si>
  <si>
    <t>freemangeneralcontracting.com</t>
  </si>
  <si>
    <t>littlefishproperties.com.au</t>
  </si>
  <si>
    <t>understandconstruction.com</t>
  </si>
  <si>
    <t>goldengatehomeinspections.com</t>
  </si>
  <si>
    <t>lisabuysaustinhouses.com</t>
  </si>
  <si>
    <t>aboveroofing.com</t>
  </si>
  <si>
    <t>homehelpersgroup.com</t>
  </si>
  <si>
    <t>detailcleanings.com</t>
  </si>
  <si>
    <t>heinscontracting.com</t>
  </si>
  <si>
    <t>mikeotranto.com</t>
  </si>
  <si>
    <t>carmackmoving.com</t>
  </si>
  <si>
    <t>thediyplaybook.com</t>
  </si>
  <si>
    <t>waterwisegroup.com</t>
  </si>
  <si>
    <t>servpro.com</t>
  </si>
  <si>
    <t>jacobrealtytx.com</t>
  </si>
  <si>
    <t>earnest.com</t>
  </si>
  <si>
    <t>buildmykitchen.com</t>
  </si>
  <si>
    <t>adlamtransport.com.au</t>
  </si>
  <si>
    <t>kelownahomes.ca</t>
  </si>
  <si>
    <t>lauriereader.com</t>
  </si>
  <si>
    <t>blythwoodhomes.ca</t>
  </si>
  <si>
    <t>propertymanagementto.com</t>
  </si>
  <si>
    <t>justo.ca</t>
  </si>
  <si>
    <t>hammer-services.com</t>
  </si>
  <si>
    <t>maserat.ca</t>
  </si>
  <si>
    <t>shawnlepp.com</t>
  </si>
  <si>
    <t>finimpact.com</t>
  </si>
  <si>
    <t>prosourcehomebuyers.com</t>
  </si>
  <si>
    <t>newamericanfunding.com</t>
  </si>
  <si>
    <t>williamscomfortair.com</t>
  </si>
  <si>
    <t>teamgoran.com</t>
  </si>
  <si>
    <t>cabinetset.com</t>
  </si>
  <si>
    <t>willowdaleequity.com</t>
  </si>
  <si>
    <t>apmgpainting.com</t>
  </si>
  <si>
    <t>homeguidemyrtlebeach.com</t>
  </si>
  <si>
    <t>groundsguys.ca</t>
  </si>
  <si>
    <t>home-security.com</t>
  </si>
  <si>
    <t>ozclean.com.au</t>
  </si>
  <si>
    <t>lgihomes.com</t>
  </si>
  <si>
    <t>lasvegasrealestate.org</t>
  </si>
  <si>
    <t>brizolisjanzen.com</t>
  </si>
  <si>
    <t>osmonmoving.com</t>
  </si>
  <si>
    <t>modscape.com.au</t>
  </si>
  <si>
    <t>asbestosaustraliaremovalist.com.au</t>
  </si>
  <si>
    <t>kanga-roof.com</t>
  </si>
  <si>
    <t>roofadvisor.com</t>
  </si>
  <si>
    <t>pickardroofing.com</t>
  </si>
  <si>
    <t>landbrokermls.com</t>
  </si>
  <si>
    <t>neatspaces.ca</t>
  </si>
  <si>
    <t>leehvac.com</t>
  </si>
  <si>
    <t>triodoors.ca</t>
  </si>
  <si>
    <t>skyblinds.ca</t>
  </si>
  <si>
    <t>windowcitypros.com</t>
  </si>
  <si>
    <t>getcashfairoffernc.com</t>
  </si>
  <si>
    <t>maxfunding.com.au</t>
  </si>
  <si>
    <t>goodbyejunk.com.au</t>
  </si>
  <si>
    <t>standupguys.biz/</t>
  </si>
  <si>
    <t>premiersothebysrealty.com</t>
  </si>
  <si>
    <t>beachlifeoceancity.com</t>
  </si>
  <si>
    <t>movingastute.com</t>
  </si>
  <si>
    <t>contentrally.com</t>
  </si>
  <si>
    <t>civilmart.com.au</t>
  </si>
  <si>
    <t>expressglass.com.au</t>
  </si>
  <si>
    <t>harcourtspurbabali.com</t>
  </si>
  <si>
    <t>thepropertybuyingcompany.co.uk</t>
  </si>
  <si>
    <t>certifiedmortgagebroker.com</t>
  </si>
  <si>
    <t>easyrenovation.ca</t>
  </si>
  <si>
    <t>highgrovebathrooms.com.au</t>
  </si>
  <si>
    <t>kuester.com</t>
  </si>
  <si>
    <t>mystonefloor.com</t>
  </si>
  <si>
    <t>greenhomegnome.com</t>
  </si>
  <si>
    <t>homeflippers.ca</t>
  </si>
  <si>
    <t>professionalroofers.com</t>
  </si>
  <si>
    <t>onepointpartitions.com</t>
  </si>
  <si>
    <t>doorsplus.com.au</t>
  </si>
  <si>
    <t>clarkroofingandsiding.com</t>
  </si>
  <si>
    <t>greenleafpestcontrol.com</t>
  </si>
  <si>
    <t>florida.realestate</t>
  </si>
  <si>
    <t>steamboatsprings-realestate.com</t>
  </si>
  <si>
    <t>sterlingedmonton.com</t>
  </si>
  <si>
    <t>delrentals.com</t>
  </si>
  <si>
    <t>lancasterlogcabins.com</t>
  </si>
  <si>
    <t>fantastic-removals.co.uk</t>
  </si>
  <si>
    <t>citiquiet.com</t>
  </si>
  <si>
    <t>promenaid.com</t>
  </si>
  <si>
    <t>andrewgconstruction.com</t>
  </si>
  <si>
    <t>zandawealth.com.au</t>
  </si>
  <si>
    <t>luxurybathnjpa.com</t>
  </si>
  <si>
    <t>dspacestudio.com</t>
  </si>
  <si>
    <t>hellamaid.ca</t>
  </si>
  <si>
    <t>fantasticcleaners.com</t>
  </si>
  <si>
    <t>sellingwarnerrobins.com</t>
  </si>
  <si>
    <t>getbellhops.com</t>
  </si>
  <si>
    <t>bostonbestrate.com</t>
  </si>
  <si>
    <t>lawdepot.com</t>
  </si>
  <si>
    <t>realpropertymgt.com</t>
  </si>
  <si>
    <t>1dayrefinishing.com</t>
  </si>
  <si>
    <t>rent360.com.au</t>
  </si>
  <si>
    <t>thelockup.com</t>
  </si>
  <si>
    <t>notarize.com</t>
  </si>
  <si>
    <t>getmovedtoday.com</t>
  </si>
  <si>
    <t>libertyhousebuyinggroup.com</t>
  </si>
  <si>
    <t>movesandmore.com</t>
  </si>
  <si>
    <t>kenlow.com.au</t>
  </si>
  <si>
    <t>magnushomeproducts.com</t>
  </si>
  <si>
    <t>goodmove.co.uk</t>
  </si>
  <si>
    <t>hugeecorporation.com</t>
  </si>
  <si>
    <t>spacerefinery.com</t>
  </si>
  <si>
    <t>vmcstone.com</t>
  </si>
  <si>
    <t>gowellnest.com</t>
  </si>
  <si>
    <t>heatherallendesigngroup.com</t>
  </si>
  <si>
    <t>iwillbuyyourhouseforcash.com</t>
  </si>
  <si>
    <t>kitsaphomepro.com</t>
  </si>
  <si>
    <t>superbrothers.com</t>
  </si>
  <si>
    <t>tubcoaters.com</t>
  </si>
  <si>
    <t>eclisse.co.uk</t>
  </si>
  <si>
    <t>keystonecustomhome.com</t>
  </si>
  <si>
    <t>wrenkitchens.com</t>
  </si>
  <si>
    <t>kitchensredefined.com</t>
  </si>
  <si>
    <t>flooringking.co.uk</t>
  </si>
  <si>
    <t>barkerandstonehouse.co.uk</t>
  </si>
  <si>
    <t>stonesuperstore.co.uk</t>
  </si>
  <si>
    <t>thelivinghouse.co.uk</t>
  </si>
  <si>
    <t>eaglecarports.com</t>
  </si>
  <si>
    <t>metthermwindows.co.uk</t>
  </si>
  <si>
    <t>bagnalls.co.uk</t>
  </si>
  <si>
    <t>propertywire.com</t>
  </si>
  <si>
    <t>tapi.co.uk</t>
  </si>
  <si>
    <t>louvretec.com.au</t>
  </si>
  <si>
    <t>nthdegree.co.uk</t>
  </si>
  <si>
    <t>lussostone.com</t>
  </si>
  <si>
    <t>comparemymove.com</t>
  </si>
  <si>
    <t>buildguardian.com</t>
  </si>
  <si>
    <t>bigcabin.com</t>
  </si>
  <si>
    <t>architectsjournal.co.uk</t>
  </si>
  <si>
    <t>propertytaxloanpros.com</t>
  </si>
  <si>
    <t>armstone.com.au</t>
  </si>
  <si>
    <t>windows-doors-uk.co.uk</t>
  </si>
  <si>
    <t>contractornerd.com</t>
  </si>
  <si>
    <t>greenroofs.org</t>
  </si>
  <si>
    <t>revolutionized.com</t>
  </si>
  <si>
    <t>smartpm.com</t>
  </si>
  <si>
    <t>redskyit.com</t>
  </si>
  <si>
    <t>dotsidewalkrepairnyc.com</t>
  </si>
  <si>
    <t>erectarack.com.au</t>
  </si>
  <si>
    <t>homehow.co.uk</t>
  </si>
  <si>
    <t>homeadviceguide.com</t>
  </si>
  <si>
    <t>pbctoday.co.uk</t>
  </si>
  <si>
    <t>aluprof.com</t>
  </si>
  <si>
    <t>salvoweb.com</t>
  </si>
  <si>
    <t>jrcglasssolutions.com</t>
  </si>
  <si>
    <t>newwaveav.co.uk</t>
  </si>
  <si>
    <t>wpldesign.com</t>
  </si>
  <si>
    <t>almadeluce.com</t>
  </si>
  <si>
    <t>inmotionrealestate.com</t>
  </si>
  <si>
    <t>kbbonline.com</t>
  </si>
  <si>
    <t>a-abel.com</t>
  </si>
  <si>
    <t>epoxyguys.com</t>
  </si>
  <si>
    <t>sgaltd.co.nz</t>
  </si>
  <si>
    <t>goawaypestcontrol.com</t>
  </si>
  <si>
    <t>rakkausfurniture.co.uk</t>
  </si>
  <si>
    <t>hornetpestcontrol.net</t>
  </si>
  <si>
    <t>mortgagesolutions.net</t>
  </si>
  <si>
    <t>homefire.co.uk</t>
  </si>
  <si>
    <t>armstrongflooring.au</t>
  </si>
  <si>
    <t>freedomroofingmaine.com</t>
  </si>
  <si>
    <t>gocamsolar.com</t>
  </si>
  <si>
    <t>kin.com</t>
  </si>
  <si>
    <t>clbarchitects.com</t>
  </si>
  <si>
    <t>blackhawkfloors.com</t>
  </si>
  <si>
    <t>phta.org</t>
  </si>
  <si>
    <t>harlowbros.co.uk</t>
  </si>
  <si>
    <t>montanstahl.com</t>
  </si>
  <si>
    <t>crddesignbuild.com</t>
  </si>
  <si>
    <t>azobuild.com</t>
  </si>
  <si>
    <t>socaldirtbroker.com</t>
  </si>
  <si>
    <t>americanpavingtn.com</t>
  </si>
  <si>
    <t>auramodernhome.com</t>
  </si>
  <si>
    <t>cdgai.com</t>
  </si>
  <si>
    <t>solartexinc.com</t>
  </si>
  <si>
    <t>osheaplumbing.com.au</t>
  </si>
  <si>
    <t>roofresto.com.au</t>
  </si>
  <si>
    <t>homestolove.com.au</t>
  </si>
  <si>
    <t>dandenonggaragedoors.com.au</t>
  </si>
  <si>
    <t>longdistancemoving.com</t>
  </si>
  <si>
    <t>uniquevanities.com</t>
  </si>
  <si>
    <t>renterswarehouse.com</t>
  </si>
  <si>
    <t>smelscerplumbing.com</t>
  </si>
  <si>
    <t>denelli.co.uk</t>
  </si>
  <si>
    <t>sena-homefurniture.co.uk</t>
  </si>
  <si>
    <t>tuffxglass.co.uk</t>
  </si>
  <si>
    <t>slidingdoorwardrobe.uk</t>
  </si>
  <si>
    <t>tulipinterior.co.uk</t>
  </si>
  <si>
    <t>vekauk.com</t>
  </si>
  <si>
    <t>luxaflex.co.uk</t>
  </si>
  <si>
    <t>compusoftgroup.com</t>
  </si>
  <si>
    <t>foryourlittleone.com</t>
  </si>
  <si>
    <t>finebedding.co.uk</t>
  </si>
  <si>
    <t>simplifystuff.co.uk</t>
  </si>
  <si>
    <t>granitetransformations.co.uk</t>
  </si>
  <si>
    <t>floorstowalls.co.uk</t>
  </si>
  <si>
    <t>thewoodveneerhub.co.uk</t>
  </si>
  <si>
    <t>cbsolarshading.co.uk</t>
  </si>
  <si>
    <t>retractableawnings.com</t>
  </si>
  <si>
    <t>richardsonandstarling.co.uk</t>
  </si>
  <si>
    <t>onlyradiators.co.uk</t>
  </si>
  <si>
    <t>moneyfarm.com</t>
  </si>
  <si>
    <t>rebornrenovations.com</t>
  </si>
  <si>
    <t>little-loans.com</t>
  </si>
  <si>
    <t>keystonecustomdecks.com</t>
  </si>
  <si>
    <t>cypruspropertygallery.com</t>
  </si>
  <si>
    <t>financialmirror.com</t>
  </si>
  <si>
    <t>everythingbutordinary.co.uk</t>
  </si>
  <si>
    <t>sellinboston.com</t>
  </si>
  <si>
    <t>innago.com</t>
  </si>
  <si>
    <t>omfurniture.co.uk</t>
  </si>
  <si>
    <t>orchard.com</t>
  </si>
  <si>
    <t>glassexpertsfl.com</t>
  </si>
  <si>
    <t>fabcosanctuary.com</t>
  </si>
  <si>
    <t>mortgagelane.com</t>
  </si>
  <si>
    <t>atlantapropertymanagement.com</t>
  </si>
  <si>
    <t>joycefactorydirect.com</t>
  </si>
  <si>
    <t>luxurybathcfl.com</t>
  </si>
  <si>
    <t>hiltonheadrealtysales.com</t>
  </si>
  <si>
    <t>interiormoderna.com</t>
  </si>
  <si>
    <t>dreamvillarentals.com</t>
  </si>
  <si>
    <t>1stprioritymortgage.com</t>
  </si>
  <si>
    <t>skyrun.com</t>
  </si>
  <si>
    <t>tsimpsonroofing.ca</t>
  </si>
  <si>
    <t>affordablecomfort.org</t>
  </si>
  <si>
    <t>fastenmaster.com</t>
  </si>
  <si>
    <t>hemlane.com</t>
  </si>
  <si>
    <t>bates-electric.com</t>
  </si>
  <si>
    <t>macfineart.com</t>
  </si>
  <si>
    <t>tomadamswc.com</t>
  </si>
  <si>
    <t>discovervail.com</t>
  </si>
  <si>
    <t>withroam.com</t>
  </si>
  <si>
    <t>aptivepestcontrol.com</t>
  </si>
  <si>
    <t>panes.com</t>
  </si>
  <si>
    <t>flexfence.com</t>
  </si>
  <si>
    <t>premierevanlines.com</t>
  </si>
  <si>
    <t>taxsaleshub.ca</t>
  </si>
  <si>
    <t>jonasconstruction.com</t>
  </si>
  <si>
    <t>slghomebuyer.ca</t>
  </si>
  <si>
    <t>cmsmortgages.ca</t>
  </si>
  <si>
    <t>justenergy.com</t>
  </si>
  <si>
    <t>samara.com</t>
  </si>
  <si>
    <t>iopsa.org</t>
  </si>
  <si>
    <t>ritzplumbing.com</t>
  </si>
  <si>
    <t>pssremovals.com</t>
  </si>
  <si>
    <t>keensbuildings.com</t>
  </si>
  <si>
    <t>mnnice.com</t>
  </si>
  <si>
    <t>infinitybuildersaz.com</t>
  </si>
  <si>
    <t>apollopatios.com.au</t>
  </si>
  <si>
    <t>911applianceemt.com</t>
  </si>
  <si>
    <t>bedkingdom.co.uk</t>
  </si>
  <si>
    <t>attomdata.com</t>
  </si>
  <si>
    <t>adventurouskate.com</t>
  </si>
  <si>
    <t>primestreet.io</t>
  </si>
  <si>
    <t>ownup.com</t>
  </si>
  <si>
    <t>lopriore.com/</t>
  </si>
  <si>
    <t>huntergalloway.com.au</t>
  </si>
  <si>
    <t>woodworkersuk.co.uk</t>
  </si>
  <si>
    <t>srhomes.com</t>
  </si>
  <si>
    <t>endpovertynowinc.org</t>
  </si>
  <si>
    <t>andalusiacc.com</t>
  </si>
  <si>
    <t>rowlandbroughton.com</t>
  </si>
  <si>
    <t>houseandgarden.co.uk</t>
  </si>
  <si>
    <t>storiesflooring.co.uk</t>
  </si>
  <si>
    <t>virginiacashrealestate.com</t>
  </si>
  <si>
    <t>nextdoorpropertycompany.com</t>
  </si>
  <si>
    <t>sellyourhousetogreg.com</t>
  </si>
  <si>
    <t>essentialequityrealestate.com</t>
  </si>
  <si>
    <t>realestatestagingassociation.com</t>
  </si>
  <si>
    <t>martinlegacyholdings.com</t>
  </si>
  <si>
    <t>pezonproperties.com</t>
  </si>
  <si>
    <t>associateshomeloan.com</t>
  </si>
  <si>
    <t>alabamarealestateclass.com</t>
  </si>
  <si>
    <t>branchright.com</t>
  </si>
  <si>
    <t>elevateconstructionil.com</t>
  </si>
  <si>
    <t>sunseekerdoors.co.uk</t>
  </si>
  <si>
    <t>allcountyprop.com</t>
  </si>
  <si>
    <t>1031crowdfunding.com</t>
  </si>
  <si>
    <t>servicemarket.com</t>
  </si>
  <si>
    <t>truebluesheds.com.au</t>
  </si>
  <si>
    <t>securityamericamortgage.com</t>
  </si>
  <si>
    <t>got2move.com</t>
  </si>
  <si>
    <t>zakladyboleslawiec.com</t>
  </si>
  <si>
    <t>logan-inc.com</t>
  </si>
  <si>
    <t>daraagrussdesign.com</t>
  </si>
  <si>
    <t>watsons.com</t>
  </si>
  <si>
    <t>travelers.com</t>
  </si>
  <si>
    <t>realtytimes.com</t>
  </si>
  <si>
    <t>reolink.com</t>
  </si>
  <si>
    <t>movebms.com</t>
  </si>
  <si>
    <t>cabolaestancia.com</t>
  </si>
  <si>
    <t>humberviewinsurance.ca</t>
  </si>
  <si>
    <t>gitnux.org</t>
  </si>
  <si>
    <t>verifiedmarketreports.com</t>
  </si>
  <si>
    <t>sunsetpools-spas.com</t>
  </si>
  <si>
    <t>magiclinen.com</t>
  </si>
  <si>
    <t>ezlandlordforms.com</t>
  </si>
  <si>
    <t>trustedstays.co.uk</t>
  </si>
  <si>
    <t>getgenea.com</t>
  </si>
  <si>
    <t>obieinsurance.com</t>
  </si>
  <si>
    <t>rocketmortgage.com</t>
  </si>
  <si>
    <t>movinghub.com</t>
  </si>
  <si>
    <t>threemovers.com</t>
  </si>
  <si>
    <t>nextinsurance.com</t>
  </si>
  <si>
    <t>mymove.com</t>
  </si>
  <si>
    <t>homestarfinance.com.au</t>
  </si>
  <si>
    <t>levelengineering.com</t>
  </si>
  <si>
    <t>landmarkroof.com</t>
  </si>
  <si>
    <t>texasrealestatesource.com</t>
  </si>
  <si>
    <t>hineighbor.com</t>
  </si>
  <si>
    <t>visiolending.com</t>
  </si>
  <si>
    <t>twomenandatruck.com</t>
  </si>
  <si>
    <t>pinetreebarn.com</t>
  </si>
  <si>
    <t>rebusinessonline.com</t>
  </si>
  <si>
    <t>storagecafe.com</t>
  </si>
  <si>
    <t>gatsbyinvestment.com</t>
  </si>
  <si>
    <t>thanmerrill.com</t>
  </si>
  <si>
    <t>greatguysmove.com</t>
  </si>
  <si>
    <t>apartmentguide.com</t>
  </si>
  <si>
    <t>move.org</t>
  </si>
  <si>
    <t>heersmanagement.com</t>
  </si>
  <si>
    <t>loanbase.com</t>
  </si>
  <si>
    <t>appraisalbuzz.com</t>
  </si>
  <si>
    <t>dayton247now.com</t>
  </si>
  <si>
    <t>northernpatio.com</t>
  </si>
  <si>
    <t>lazysusanfurniture.co.uk</t>
  </si>
  <si>
    <t>rtaoutdoorliving.com</t>
  </si>
  <si>
    <t>hansohome.com</t>
  </si>
  <si>
    <t>yousee.studio</t>
  </si>
  <si>
    <t>mfsuk.com</t>
  </si>
  <si>
    <t>halifax.co.uk</t>
  </si>
  <si>
    <t>creditlink.com</t>
  </si>
  <si>
    <t>hardmoneylendersarizona.com</t>
  </si>
  <si>
    <t>realtymogul.com</t>
  </si>
  <si>
    <t>scerriauctions.com.au</t>
  </si>
  <si>
    <t>propertypeople.net.au</t>
  </si>
  <si>
    <t>woodevo.com.au</t>
  </si>
  <si>
    <t>lightingnewyork.com</t>
  </si>
  <si>
    <t>jsenterprise1.com</t>
  </si>
  <si>
    <t>forbel.com</t>
  </si>
  <si>
    <t>reiadallas.com</t>
  </si>
  <si>
    <t>coworkingchicago.net</t>
  </si>
  <si>
    <t>clevertinyhomes.com</t>
  </si>
  <si>
    <t>harcourts.net</t>
  </si>
  <si>
    <t>defymortgage.com</t>
  </si>
  <si>
    <t>texassellmyhouse.com</t>
  </si>
  <si>
    <t>fastlanerealestate.com</t>
  </si>
  <si>
    <t>loyalhomes.ca</t>
  </si>
  <si>
    <t>resimpli.com</t>
  </si>
  <si>
    <t>newjerseyrealestatenetwork.com</t>
  </si>
  <si>
    <t>libertyhomeguard.com</t>
  </si>
  <si>
    <t>portlandrealestate.com</t>
  </si>
  <si>
    <t>landhub.com</t>
  </si>
  <si>
    <t>puffy.com</t>
  </si>
  <si>
    <t>clearlightdesigns.com.au</t>
  </si>
  <si>
    <t>ngpest.com</t>
  </si>
  <si>
    <t>metcabinet.com</t>
  </si>
  <si>
    <t>saatva.com</t>
  </si>
  <si>
    <t>allisonjaffe.com</t>
  </si>
  <si>
    <t>myfittedbedroom.com</t>
  </si>
  <si>
    <t>givans.co.uk</t>
  </si>
  <si>
    <t>plushbeds.com</t>
  </si>
  <si>
    <t>servicetoday.com.au</t>
  </si>
  <si>
    <t>theporchswingstore.com</t>
  </si>
  <si>
    <t>oasisleisure.com</t>
  </si>
  <si>
    <t>movingapt.com</t>
  </si>
  <si>
    <t>puremodern.com</t>
  </si>
  <si>
    <t>windwarddesigngroup.com</t>
  </si>
  <si>
    <t>fox-pest.com/</t>
  </si>
  <si>
    <t>judgemobilewash.com</t>
  </si>
  <si>
    <t>waterattack.com.au</t>
  </si>
  <si>
    <t>guttersupply.com</t>
  </si>
  <si>
    <t>pureturfllc.com</t>
  </si>
  <si>
    <t>westcoastpoolspa.com</t>
  </si>
  <si>
    <t>absolutehomeservices.ca</t>
  </si>
  <si>
    <t>spachem.co.uk</t>
  </si>
  <si>
    <t>precisionlandscaping.ca</t>
  </si>
  <si>
    <t>heatedtowelracks.com</t>
  </si>
  <si>
    <t>thepoolstainremovers.com.au</t>
  </si>
  <si>
    <t>clksupplies.com</t>
  </si>
  <si>
    <t>vivint.com</t>
  </si>
  <si>
    <t>lockpickworld.com</t>
  </si>
  <si>
    <t>servleader.com</t>
  </si>
  <si>
    <t>thepattisallgroup.com</t>
  </si>
  <si>
    <t>dryprosystems.com</t>
  </si>
  <si>
    <t>smartsecurity.com.au</t>
  </si>
  <si>
    <t>safesmartliving.com</t>
  </si>
  <si>
    <t>smiththompson.com</t>
  </si>
  <si>
    <t>zumperrentals.com</t>
  </si>
  <si>
    <t>apollocover.com</t>
  </si>
  <si>
    <t>sacramentopress.com</t>
  </si>
  <si>
    <t>ductdudes.com</t>
  </si>
  <si>
    <t>theyesmancan.com</t>
  </si>
  <si>
    <t>completewindowcare.com</t>
  </si>
  <si>
    <t>advantage-construction.com</t>
  </si>
  <si>
    <t>vacuumelevators.com</t>
  </si>
  <si>
    <t>customdraperyandshades.com</t>
  </si>
  <si>
    <t>lucidfiresecurity.co.uk</t>
  </si>
  <si>
    <t>clearway.co.uk</t>
  </si>
  <si>
    <t>bravarooftile.com</t>
  </si>
  <si>
    <t>safebasements.com</t>
  </si>
  <si>
    <t>groovyhues.com</t>
  </si>
  <si>
    <t>smardbuild.com</t>
  </si>
  <si>
    <t>dynamichomeremodel.com</t>
  </si>
  <si>
    <t>trentonroofing.com</t>
  </si>
  <si>
    <t>calldoctorfixit.com</t>
  </si>
  <si>
    <t>trane.com</t>
  </si>
  <si>
    <t>kitsaproofpros.com</t>
  </si>
  <si>
    <t>infinitytxair.com</t>
  </si>
  <si>
    <t>834hans.com</t>
  </si>
  <si>
    <t>taylor-gutter-cleaning-and-repairs.co.uk</t>
  </si>
  <si>
    <t>greentekps.com</t>
  </si>
  <si>
    <t>americaneagleservicesinc.com</t>
  </si>
  <si>
    <t>therugdistrict.ca</t>
  </si>
  <si>
    <t>utahstyleanddesign.com</t>
  </si>
  <si>
    <t>thewalllightingcompany.co.uk</t>
  </si>
  <si>
    <t>dot-furniture.com</t>
  </si>
  <si>
    <t>housebeautiful.com</t>
  </si>
  <si>
    <t>bedinabox.com</t>
  </si>
  <si>
    <t>westridgefinehomes.com</t>
  </si>
  <si>
    <t>umistone.com</t>
  </si>
  <si>
    <t>belonghome.com</t>
  </si>
  <si>
    <t>studyfinds.org</t>
  </si>
  <si>
    <t>kitchencabinetscalgary.ca</t>
  </si>
  <si>
    <t>artofkitchens.com.au</t>
  </si>
  <si>
    <t>123junk.com</t>
  </si>
  <si>
    <t>templeandwebster.com.au</t>
  </si>
  <si>
    <t>deluxcore.com</t>
  </si>
  <si>
    <t>kitchenwarehouseltd.com</t>
  </si>
  <si>
    <t>homesandgardens.com</t>
  </si>
  <si>
    <t>excelbuilders.com</t>
  </si>
  <si>
    <t>artisticstonedesign.com</t>
  </si>
  <si>
    <t>marichinc.com</t>
  </si>
  <si>
    <t>housedigest.com</t>
  </si>
  <si>
    <t>gorillamovers.com</t>
  </si>
  <si>
    <t>carpetwarehouse.co.uk/</t>
  </si>
  <si>
    <t>ixlbuild.com</t>
  </si>
  <si>
    <t>solidstoneworktops.co.uk</t>
  </si>
  <si>
    <t>moving.com</t>
  </si>
  <si>
    <t>bwheatcool.com</t>
  </si>
  <si>
    <t>iheat.co.uk</t>
  </si>
  <si>
    <t>mcwilliamsandson.com</t>
  </si>
  <si>
    <t>kaiserac.com</t>
  </si>
  <si>
    <t>fixmyhome.com</t>
  </si>
  <si>
    <t>homeserve.com</t>
  </si>
  <si>
    <t>seasoncontrolhvac.com</t>
  </si>
  <si>
    <t>lexairconditioning.com</t>
  </si>
  <si>
    <t>totalhomesupply.com</t>
  </si>
  <si>
    <t>clade-es.com</t>
  </si>
  <si>
    <t>rivervalleyac.com</t>
  </si>
  <si>
    <t>trusthomesense.com</t>
  </si>
  <si>
    <t>miragescreensystems.com</t>
  </si>
  <si>
    <t>aaagaragedoorswa.com</t>
  </si>
  <si>
    <t>lifetimegreencoatings.com</t>
  </si>
  <si>
    <t>goodygaragedoors.com</t>
  </si>
  <si>
    <t>zomasleep.com</t>
  </si>
  <si>
    <t>woodburyfurniture.com.au</t>
  </si>
  <si>
    <t>2modern.com</t>
  </si>
  <si>
    <t>universalfurniture.com</t>
  </si>
  <si>
    <t>padaura.com</t>
  </si>
  <si>
    <t>resin-expert.com</t>
  </si>
  <si>
    <t>roomservice360.com</t>
  </si>
  <si>
    <t>schots.com.au</t>
  </si>
  <si>
    <t>atirestoration.com</t>
  </si>
  <si>
    <t>easyshed.com.au</t>
  </si>
  <si>
    <t>kitchenandbath.ca</t>
  </si>
  <si>
    <t>renotitan.com</t>
  </si>
  <si>
    <t>spokanecabinetsplus.com</t>
  </si>
  <si>
    <t>bestaccessdoors.com</t>
  </si>
  <si>
    <t>tilecloud.com.au</t>
  </si>
  <si>
    <t>abvplumbing.com</t>
  </si>
  <si>
    <t>victorianplumbing.co.uk</t>
  </si>
  <si>
    <t>wholesaledomestic.com</t>
  </si>
  <si>
    <t>mineraltiles.com</t>
  </si>
  <si>
    <t>belktile.com</t>
  </si>
  <si>
    <t>onlineflooringstore.com.au</t>
  </si>
  <si>
    <t>virginiashowerandbath.com</t>
  </si>
  <si>
    <t>ventair.com.au</t>
  </si>
  <si>
    <t>sodhg.com</t>
  </si>
  <si>
    <t>acremodeling.com</t>
  </si>
  <si>
    <t>johnsonsepticservice.com</t>
  </si>
  <si>
    <t>birnieplumbinganddrains.ca</t>
  </si>
  <si>
    <t>jtspas.co.uk</t>
  </si>
  <si>
    <t>housetrends.com</t>
  </si>
  <si>
    <t>ecosa.com.au</t>
  </si>
  <si>
    <t>pandalondon.com</t>
  </si>
  <si>
    <t>housing.com</t>
  </si>
  <si>
    <t>aginginplace.org</t>
  </si>
  <si>
    <t>hushblankets.com</t>
  </si>
  <si>
    <t>zerowastegroup.co.uk</t>
  </si>
  <si>
    <t>gutterprovac.com</t>
  </si>
  <si>
    <t>chloescleaningcompany.com</t>
  </si>
  <si>
    <t>greensweepnm.com</t>
  </si>
  <si>
    <t>maids2match.com</t>
  </si>
  <si>
    <t>themaidcrew.com</t>
  </si>
  <si>
    <t>realhomes.com</t>
  </si>
  <si>
    <t>saelapest.com</t>
  </si>
  <si>
    <t>barbend.com</t>
  </si>
  <si>
    <t>easydonationpickup.com</t>
  </si>
  <si>
    <t>sportsrec.com</t>
  </si>
  <si>
    <t>cobaltcleanlv.com</t>
  </si>
  <si>
    <t>cactuscarpetcare.ca</t>
  </si>
  <si>
    <t>biotechtermiteandpest.com</t>
  </si>
  <si>
    <t>lodgify.com</t>
  </si>
  <si>
    <t>summerclassics.com</t>
  </si>
  <si>
    <t>wallapainting.com</t>
  </si>
  <si>
    <t>lovevsdesign.com</t>
  </si>
  <si>
    <t>smithandgray.com.au</t>
  </si>
  <si>
    <t>custtom.co.uk</t>
  </si>
  <si>
    <t>homelight.com</t>
  </si>
  <si>
    <t>gilbertburke.ca</t>
  </si>
  <si>
    <t>bhid.com</t>
  </si>
  <si>
    <t>picturehangingsystems.com</t>
  </si>
  <si>
    <t>homestratosphere.com</t>
  </si>
  <si>
    <t>tdgenvironmental.com</t>
  </si>
  <si>
    <t>garagewholesalers.com.au</t>
  </si>
  <si>
    <t>superior-service.com</t>
  </si>
  <si>
    <t>frontdoor.com</t>
  </si>
  <si>
    <t>completestairsystems.co.uk</t>
  </si>
  <si>
    <t>majesticstairs.com.au</t>
  </si>
  <si>
    <t>shopy.co.uk</t>
  </si>
  <si>
    <t>pricebusters.com</t>
  </si>
  <si>
    <t>fastlandoffers.com</t>
  </si>
  <si>
    <t>policygenius.com</t>
  </si>
  <si>
    <t>houzeo.com</t>
  </si>
  <si>
    <t>freedomchoiceinvestments.com</t>
  </si>
  <si>
    <t>henryhomebuyer.com</t>
  </si>
  <si>
    <t>propertymax.com</t>
  </si>
  <si>
    <t>clevelandhousebuyers.com</t>
  </si>
  <si>
    <t>rocket.com</t>
  </si>
  <si>
    <t>movoto.com</t>
  </si>
  <si>
    <t>faircashoffersforhomes.com</t>
  </si>
  <si>
    <t>texasallcash.com</t>
  </si>
  <si>
    <t>northalabamahousebuyer.com</t>
  </si>
  <si>
    <t>turningpointhomebuyers.com</t>
  </si>
  <si>
    <t>plomberie5etoiles.com</t>
  </si>
  <si>
    <t>finehomebuilding.com</t>
  </si>
  <si>
    <t>cliveemson.co.uk</t>
  </si>
  <si>
    <t>eazyhousesale.com</t>
  </si>
  <si>
    <t>natran.com</t>
  </si>
  <si>
    <t>invoca.com</t>
  </si>
  <si>
    <t>ateambuyshomes.com</t>
  </si>
  <si>
    <t>sellsoonbluemoon.com</t>
  </si>
  <si>
    <t>mobilehomecashoffer.com</t>
  </si>
  <si>
    <t>kingfisherre.com</t>
  </si>
  <si>
    <t>webuyanykindahouse.com</t>
  </si>
  <si>
    <t>cityofmalden.org</t>
  </si>
  <si>
    <t>southernskyhomebuyers.com</t>
  </si>
  <si>
    <t>joehomebuyersocalmetro.com</t>
  </si>
  <si>
    <t>yellowcardproperties.com</t>
  </si>
  <si>
    <t>theturnerhometeam.com</t>
  </si>
  <si>
    <t>restorationmasterfinder.com</t>
  </si>
  <si>
    <t>illinoisrealestatebuyersinc.com</t>
  </si>
  <si>
    <t>northwestrealestatesolutions.com</t>
  </si>
  <si>
    <t>lodproperties.com</t>
  </si>
  <si>
    <t>kentuckysellnow.com</t>
  </si>
  <si>
    <t>thepanhandlehomebuyer.com</t>
  </si>
  <si>
    <t>bythesearesorts.com</t>
  </si>
  <si>
    <t>sandiahomebuyers.com</t>
  </si>
  <si>
    <t>4brothersbuyhouses.com</t>
  </si>
  <si>
    <t>texascashhousebuyer.com</t>
  </si>
  <si>
    <t>satxwebuyhouses.com</t>
  </si>
  <si>
    <t>sellmyhousecompany.com</t>
  </si>
  <si>
    <t>southernhillshomebuyers.com</t>
  </si>
  <si>
    <t>housebuyinggirls.com</t>
  </si>
  <si>
    <t>homeinc.com</t>
  </si>
  <si>
    <t>thecashoffercompany.com</t>
  </si>
  <si>
    <t>cashforhousesgirl.com</t>
  </si>
  <si>
    <t>readyhousebuyer.com</t>
  </si>
  <si>
    <t>photoup.net</t>
  </si>
  <si>
    <t>revivalhomebuyer.com</t>
  </si>
  <si>
    <t>kcpropertyconnection.com</t>
  </si>
  <si>
    <t>reliablecashhousebuyers.com</t>
  </si>
  <si>
    <t>jeffsealsremodeling.com</t>
  </si>
  <si>
    <t>webuynkyhouses.com</t>
  </si>
  <si>
    <t>wecanhelp.ca</t>
  </si>
  <si>
    <t>sellmyhousefastforcash.com</t>
  </si>
  <si>
    <t>aramendia.com</t>
  </si>
  <si>
    <t>servicetitan.com</t>
  </si>
  <si>
    <t>valleyresidentialgroup.com</t>
  </si>
  <si>
    <t>wallstreetzen.com</t>
  </si>
  <si>
    <t>nycrestoration.com</t>
  </si>
  <si>
    <t>drcarpetoc.com</t>
  </si>
  <si>
    <t>grace.com.au</t>
  </si>
  <si>
    <t>zicklincontracting.com</t>
  </si>
  <si>
    <t>dirtcheaprubbishremoval.com.au</t>
  </si>
  <si>
    <t>integrumservices.co.uk</t>
  </si>
  <si>
    <t>dansplumbing.com.au</t>
  </si>
  <si>
    <t>geotechbuilt.com.au</t>
  </si>
  <si>
    <t>watertankfactory.com.au</t>
  </si>
  <si>
    <t>listproperty4free.com</t>
  </si>
  <si>
    <t>thelocalelectrician.com.au</t>
  </si>
  <si>
    <t>montgomeryhomes.com.au</t>
  </si>
  <si>
    <t>webuyhousesinbayarea.com</t>
  </si>
  <si>
    <t>griffinfunding.com</t>
  </si>
  <si>
    <t>transunion.com</t>
  </si>
  <si>
    <t>safestore.co.uk</t>
  </si>
  <si>
    <t>propertyroad.co.uk</t>
  </si>
  <si>
    <t>luxurypropertycare.com</t>
  </si>
  <si>
    <t>condocontrol.com</t>
  </si>
  <si>
    <t>safehomeoffer.com</t>
  </si>
  <si>
    <t>tridel.com</t>
  </si>
  <si>
    <t>ontarioductcleaning.ca</t>
  </si>
  <si>
    <t>yourhome.gov.au</t>
  </si>
  <si>
    <t>undergrads.com</t>
  </si>
  <si>
    <t>hardmoneyfirst.com</t>
  </si>
  <si>
    <t>h2horganizing.com</t>
  </si>
  <si>
    <t>netpayadvance.com</t>
  </si>
  <si>
    <t>365businesstips.com</t>
  </si>
  <si>
    <t>laylasleep.com</t>
  </si>
  <si>
    <t>fmb.org.uk</t>
  </si>
  <si>
    <t>1800packrat.com</t>
  </si>
  <si>
    <t>manhattanmiami.com</t>
  </si>
  <si>
    <t>propertysolvers.co.uk</t>
  </si>
  <si>
    <t>noradarealestate.com</t>
  </si>
  <si>
    <t>theoriginalplumber.com</t>
  </si>
  <si>
    <t>onehourheatandair.com</t>
  </si>
  <si>
    <t>raincitymaids.com</t>
  </si>
  <si>
    <t>mytrustedcontractor.com</t>
  </si>
  <si>
    <t>movingauthority.com</t>
  </si>
  <si>
    <t>advantageair.com.au</t>
  </si>
  <si>
    <t>homeguide.com</t>
  </si>
  <si>
    <t>mcarthurhomes.com</t>
  </si>
  <si>
    <t>dotcomblinds.com</t>
  </si>
  <si>
    <t>barnettelectrical.com</t>
  </si>
  <si>
    <t>nationalhomeimprovement.com</t>
  </si>
  <si>
    <t>climateexperts.ca</t>
  </si>
  <si>
    <t>paultheplumbernh.com</t>
  </si>
  <si>
    <t>osullivaninstalls.com</t>
  </si>
  <si>
    <t>thesuperplumber.com</t>
  </si>
  <si>
    <t>acplumbing.com.au</t>
  </si>
  <si>
    <t>pestcontrolexperts.com</t>
  </si>
  <si>
    <t>qualityaffordablepestcontrol.ca</t>
  </si>
  <si>
    <t>insectekpest.com</t>
  </si>
  <si>
    <t>measuremanage.com.au</t>
  </si>
  <si>
    <t>acind.com.au</t>
  </si>
  <si>
    <t>ars.com</t>
  </si>
  <si>
    <t>designerdeck.ca</t>
  </si>
  <si>
    <t>creditkarma.com</t>
  </si>
  <si>
    <t>connectukauctions.co.uk</t>
  </si>
  <si>
    <t>northlandfence.com</t>
  </si>
  <si>
    <t>fencingandlandscapesupplies.co.uk</t>
  </si>
  <si>
    <t>accessdoorcompany.com</t>
  </si>
  <si>
    <t>justcreativelight.com</t>
  </si>
  <si>
    <t>insurancehero.org.uk</t>
  </si>
  <si>
    <t>linkdhome.com</t>
  </si>
  <si>
    <t>mightydogroofing.com</t>
  </si>
  <si>
    <t>plymold.com</t>
  </si>
  <si>
    <t>insulation4less.com</t>
  </si>
  <si>
    <t>mrquikhomeservices.com</t>
  </si>
  <si>
    <t>metropha.com</t>
  </si>
  <si>
    <t>burichvac.com</t>
  </si>
  <si>
    <t>camheating.com</t>
  </si>
  <si>
    <t>webuyhousesinatlanta.com</t>
  </si>
  <si>
    <t>kerb.com</t>
  </si>
  <si>
    <t>larsremodel.com</t>
  </si>
  <si>
    <t>dadzelectrical.com</t>
  </si>
  <si>
    <t>brownboysroofing.com</t>
  </si>
  <si>
    <t>amburneyexteriors.com</t>
  </si>
  <si>
    <t>gen819.com</t>
  </si>
  <si>
    <t>atoz-construction.com</t>
  </si>
  <si>
    <t>thebossmagazine.com</t>
  </si>
  <si>
    <t>flashpackingfamily.com</t>
  </si>
  <si>
    <t>morrisjenkins.com</t>
  </si>
  <si>
    <t>learnmetrics.com</t>
  </si>
  <si>
    <t>homebuilding.co.uk</t>
  </si>
  <si>
    <t>brendacoulter.ca</t>
  </si>
  <si>
    <t>vacaway.com</t>
  </si>
  <si>
    <t>ewingelectricco.com</t>
  </si>
  <si>
    <t>clearmaxwindows.com</t>
  </si>
  <si>
    <t>mintkitchengroup.com.au</t>
  </si>
  <si>
    <t>callhydraclean.com</t>
  </si>
  <si>
    <t>jamesriverpestsolutions.com</t>
  </si>
  <si>
    <t>purcorpest.com</t>
  </si>
  <si>
    <t>boilercentral.com</t>
  </si>
  <si>
    <t>updowndesk.com.au</t>
  </si>
  <si>
    <t>summersphc.com</t>
  </si>
  <si>
    <t>pureairllc.com</t>
  </si>
  <si>
    <t>areasheetmetal.com</t>
  </si>
  <si>
    <t>protegrityrestoration.com</t>
  </si>
  <si>
    <t>premierpoolsandspas.com</t>
  </si>
  <si>
    <t>neutypechic.com</t>
  </si>
  <si>
    <t>hdrgarage.com</t>
  </si>
  <si>
    <t>thesmartergarage.com/</t>
  </si>
  <si>
    <t>adpgaragedoors.com</t>
  </si>
  <si>
    <t>superiorstoneandcabinet.com</t>
  </si>
  <si>
    <t>lovech.ca</t>
  </si>
  <si>
    <t>garmanbuilders.com</t>
  </si>
  <si>
    <t>watertight-homes.co.uk</t>
  </si>
  <si>
    <t>bhg.com</t>
  </si>
  <si>
    <t>prohousekeepers.com</t>
  </si>
  <si>
    <t>momentumjanitorial.com</t>
  </si>
  <si>
    <t>finlaybrewer.co.uk</t>
  </si>
  <si>
    <t>rihomestore.com</t>
  </si>
  <si>
    <t>kennarealestate.com</t>
  </si>
  <si>
    <t>nlscleaning.net</t>
  </si>
  <si>
    <t>resindriveways.co.uk</t>
  </si>
  <si>
    <t>richfieldblacktop.com</t>
  </si>
  <si>
    <t>helitechonline.com</t>
  </si>
  <si>
    <t>1800waterdamage.com</t>
  </si>
  <si>
    <t>foothillsanitary.com</t>
  </si>
  <si>
    <t>us.sundaysupply.co</t>
  </si>
  <si>
    <t>thousandpoundbend.com.au</t>
  </si>
  <si>
    <t>tanlertermite.com</t>
  </si>
  <si>
    <t>critterstop.com</t>
  </si>
  <si>
    <t>plumbersinsyracuseny.com</t>
  </si>
  <si>
    <t>trustdale.com</t>
  </si>
  <si>
    <t>technal.com</t>
  </si>
  <si>
    <t>doornmore.com</t>
  </si>
  <si>
    <t>missljbeauty.com</t>
  </si>
  <si>
    <t>moneysavingexpert.com</t>
  </si>
  <si>
    <t>sohohome.com</t>
  </si>
  <si>
    <t>allisajacobs.com</t>
  </si>
  <si>
    <t>10kconstruction.com</t>
  </si>
  <si>
    <t>greatwayroofing.com</t>
  </si>
  <si>
    <t>idahowood.com</t>
  </si>
  <si>
    <t>philips-hue.com</t>
  </si>
  <si>
    <t>illumination.co.uk</t>
  </si>
  <si>
    <t>jm.com</t>
  </si>
  <si>
    <t>envirovent.com</t>
  </si>
  <si>
    <t>elledecor.com</t>
  </si>
  <si>
    <t>vietduc.co.nz</t>
  </si>
  <si>
    <t>perkinsonhomes.com</t>
  </si>
  <si>
    <t>abcfinance.co.uk</t>
  </si>
  <si>
    <t>thisoldhouse.com</t>
  </si>
  <si>
    <t>proprli.com</t>
  </si>
  <si>
    <t>usnews.com</t>
  </si>
  <si>
    <t>gotchacovered.com</t>
  </si>
  <si>
    <t>cookandbathe.com.au</t>
  </si>
  <si>
    <t>arcadium3d.com</t>
  </si>
  <si>
    <t>mspplumbingheatingair.com</t>
  </si>
  <si>
    <t>serviceexperts.com</t>
  </si>
  <si>
    <t>bonfe.com</t>
  </si>
  <si>
    <t>mrrooter.com</t>
  </si>
  <si>
    <t>touchwithcare.com</t>
  </si>
  <si>
    <t>nyrpcorp.com</t>
  </si>
  <si>
    <t>openhouseaustin.co</t>
  </si>
  <si>
    <t>betterblinds.co</t>
  </si>
  <si>
    <t>tilersonline.com.au</t>
  </si>
  <si>
    <t>frelanhardware.co.uk</t>
  </si>
  <si>
    <t>steamcommander.com</t>
  </si>
  <si>
    <t>elitelocksmiths.us</t>
  </si>
  <si>
    <t>metalceilingexpress.com</t>
  </si>
  <si>
    <t>levonixhomes.com.au/</t>
  </si>
  <si>
    <t>everest.co.uk</t>
  </si>
  <si>
    <t>poolequipmentpriceslashers.com.au</t>
  </si>
  <si>
    <t>pbphomerepair.com</t>
  </si>
  <si>
    <t>thefurnaceoutlet.com</t>
  </si>
  <si>
    <t>budgetheating.com</t>
  </si>
  <si>
    <t>vipdrainservices.com</t>
  </si>
  <si>
    <t>aztecplumbing.net</t>
  </si>
  <si>
    <t>spectraguttersystems.com</t>
  </si>
  <si>
    <t>diy.com</t>
  </si>
  <si>
    <t>edwardsguttercleaning.com</t>
  </si>
  <si>
    <t>missamara.nz</t>
  </si>
  <si>
    <t>krosswood.com</t>
  </si>
  <si>
    <t>etodoors.com</t>
  </si>
  <si>
    <t>rustica.com</t>
  </si>
  <si>
    <t>lightopia.com</t>
  </si>
  <si>
    <t>miamialuminumpergola.com</t>
  </si>
  <si>
    <t>calpool.com</t>
  </si>
  <si>
    <t>militaryplumbing.com</t>
  </si>
  <si>
    <t>myapluspest.com</t>
  </si>
  <si>
    <t>epmpestcontrol.com.au</t>
  </si>
  <si>
    <t>hoa.org.uk</t>
  </si>
  <si>
    <t>mdsheatingandair.com</t>
  </si>
  <si>
    <t>areterenovators.com</t>
  </si>
  <si>
    <t>coretecfloors.com</t>
  </si>
  <si>
    <t>sydneywardrobe.com.au</t>
  </si>
  <si>
    <t>premierpropertybuyers.com</t>
  </si>
  <si>
    <t>optimisedplumbingservices.com.au</t>
  </si>
  <si>
    <t>valueofficefurniture.com.au</t>
  </si>
  <si>
    <t>toulmincabinetry.com</t>
  </si>
  <si>
    <t>brindabella.net.au</t>
  </si>
  <si>
    <t>legacyhandcraft.com</t>
  </si>
  <si>
    <t>bensoleimani.com</t>
  </si>
  <si>
    <t>a1garage.com</t>
  </si>
  <si>
    <t>grandrenovations.ca</t>
  </si>
  <si>
    <t>blingle.com</t>
  </si>
  <si>
    <t>broussardservices.com</t>
  </si>
  <si>
    <t>houselogic.com</t>
  </si>
  <si>
    <t>michaelbellarchitects.com</t>
  </si>
  <si>
    <t>topinspired.com</t>
  </si>
  <si>
    <t>stylebyemilyhenderson.com</t>
  </si>
  <si>
    <t>safeharborexteriors.com</t>
  </si>
  <si>
    <t>gatsbyglass.com</t>
  </si>
  <si>
    <t>pacificoutdoorliving.com</t>
  </si>
  <si>
    <t>egkw.co.uk</t>
  </si>
  <si>
    <t>shelbycountyreporter.com</t>
  </si>
  <si>
    <t>goodhealthsaunas.com</t>
  </si>
  <si>
    <t>cwoodsco.com</t>
  </si>
  <si>
    <t>legacyremodeling.com</t>
  </si>
  <si>
    <t>floor360.com</t>
  </si>
  <si>
    <t>resnickroof.com</t>
  </si>
  <si>
    <t>centralhomesroofing.com</t>
  </si>
  <si>
    <t>sarahjoyblog.com</t>
  </si>
  <si>
    <t>spidexx.com</t>
  </si>
  <si>
    <t>poolguardusa.com</t>
  </si>
  <si>
    <t>canadoorsystems.com</t>
  </si>
  <si>
    <t>roofingcalc.com</t>
  </si>
  <si>
    <t>adviseretax.com</t>
  </si>
  <si>
    <t>zintex.com</t>
  </si>
  <si>
    <t>whatsnewfurniture.com</t>
  </si>
  <si>
    <t>clerawindows.com</t>
  </si>
  <si>
    <t>envirogpc.com</t>
  </si>
  <si>
    <t>drroof.com</t>
  </si>
  <si>
    <t>mitchellmcdermott.com</t>
  </si>
  <si>
    <t>jollygoatgaragedoors.com</t>
  </si>
  <si>
    <t>metarealtyinc.ca</t>
  </si>
  <si>
    <t>artincontext.org</t>
  </si>
  <si>
    <t>freshcoatpainters.com</t>
  </si>
  <si>
    <t>maloneslandscape.com</t>
  </si>
  <si>
    <t>eonenergy.com</t>
  </si>
  <si>
    <t>mastermaid.ca</t>
  </si>
  <si>
    <t>mydecorative.com</t>
  </si>
  <si>
    <t>austina.com.au</t>
  </si>
  <si>
    <t>majesticfountains.com</t>
  </si>
  <si>
    <t>accoya.com</t>
  </si>
  <si>
    <t>encorecoatings.com</t>
  </si>
  <si>
    <t>leafhome.com</t>
  </si>
  <si>
    <t>homecarecontractors.com</t>
  </si>
  <si>
    <t>iambuilders.com</t>
  </si>
  <si>
    <t>hunker.com</t>
  </si>
  <si>
    <t>bestplumberqueensny.com</t>
  </si>
  <si>
    <t>logicstics.com</t>
  </si>
  <si>
    <t>nowaluminium.co.uk</t>
  </si>
  <si>
    <t>roomfortuesday.com</t>
  </si>
  <si>
    <t>finnishsaunabuilders.com</t>
  </si>
  <si>
    <t>havenly.com</t>
  </si>
  <si>
    <t>americanvisionwindowsaz.com</t>
  </si>
  <si>
    <t>webuyhouseshere.com</t>
  </si>
  <si>
    <t>roofmaxx.com</t>
  </si>
  <si>
    <t>christiedustman.com</t>
  </si>
  <si>
    <t>interior-design3d.com</t>
  </si>
  <si>
    <t>blacktiemoving.com</t>
  </si>
  <si>
    <t>commercialpestcontrol.net.nz</t>
  </si>
  <si>
    <t>colemanallied.com</t>
  </si>
  <si>
    <t>suddath.com</t>
  </si>
  <si>
    <t>livepositively.com</t>
  </si>
  <si>
    <t>frederickrealestateonline.com</t>
  </si>
  <si>
    <t>smartmoneymatch.com</t>
  </si>
  <si>
    <t>ltcnews.com</t>
  </si>
  <si>
    <t>womentriangle.com</t>
  </si>
  <si>
    <t>profitbooks.net</t>
  </si>
  <si>
    <t>shabbychicboho.com</t>
  </si>
  <si>
    <t>greenresidential.com</t>
  </si>
  <si>
    <t>landlordstudio.com</t>
  </si>
  <si>
    <t>vaned.com</t>
  </si>
  <si>
    <t>schumacherhomes.com</t>
  </si>
  <si>
    <t>snug.com</t>
  </si>
  <si>
    <t>realestatequeen.com</t>
  </si>
  <si>
    <t>shaferservices.com</t>
  </si>
  <si>
    <t>radonpds.com</t>
  </si>
  <si>
    <t>a2zbuilders.com</t>
  </si>
  <si>
    <t>reecebuilders.com</t>
  </si>
  <si>
    <t>festaradontech.com</t>
  </si>
  <si>
    <t>sprayfoamsys.com</t>
  </si>
  <si>
    <t>lagrangecrane.com</t>
  </si>
  <si>
    <t>paragon-protection.com</t>
  </si>
  <si>
    <t>alpharod.co.uk</t>
  </si>
  <si>
    <t>ez-rails.com</t>
  </si>
  <si>
    <t>revive.realestate</t>
  </si>
  <si>
    <t>varcopumper.com</t>
  </si>
  <si>
    <t>a-rite.com</t>
  </si>
  <si>
    <t>cmpionline.com</t>
  </si>
  <si>
    <t>distinctivedesignremodelinginc.com</t>
  </si>
  <si>
    <t>drillbitwarehouse.com</t>
  </si>
  <si>
    <t>marylandrealestatelenders.com</t>
  </si>
  <si>
    <t>bestsheds.com.au</t>
  </si>
  <si>
    <t>bins4less.com</t>
  </si>
  <si>
    <t>cleanmanagement.com</t>
  </si>
  <si>
    <t>nacsupply.com</t>
  </si>
  <si>
    <t>goipme.com</t>
  </si>
  <si>
    <t>mortgagecalculator.org</t>
  </si>
  <si>
    <t>detroitdiamondtools.com</t>
  </si>
  <si>
    <t>concretecamouflage.com</t>
  </si>
  <si>
    <t>aquaprovac.com</t>
  </si>
  <si>
    <t>polymermolding.com</t>
  </si>
  <si>
    <t>harriswatermainandsewers.com</t>
  </si>
  <si>
    <t>airmechanical.com</t>
  </si>
  <si>
    <t>lanescontracting.com</t>
  </si>
  <si>
    <t>syntheticturfnorthwest.com</t>
  </si>
  <si>
    <t>dutchcraftfurniture.com</t>
  </si>
  <si>
    <t>doorandfencestore.com</t>
  </si>
  <si>
    <t>mobilehomeoutfitters.com</t>
  </si>
  <si>
    <t>timothystoolbox.com</t>
  </si>
  <si>
    <t>legacycabinets.com</t>
  </si>
  <si>
    <t>wfsmith.com</t>
  </si>
  <si>
    <t>belfurniture.com</t>
  </si>
  <si>
    <t>zeroenergyproject.com</t>
  </si>
  <si>
    <t>dvele.com</t>
  </si>
  <si>
    <t>plantprefab.com</t>
  </si>
  <si>
    <t>bambooliving.com</t>
  </si>
  <si>
    <t>gologic.us</t>
  </si>
  <si>
    <t>dwellito.com</t>
  </si>
  <si>
    <t>brightbuilthome.com</t>
  </si>
  <si>
    <t>deltechomes.com</t>
  </si>
  <si>
    <t>fischersips.com</t>
  </si>
  <si>
    <t>construction.com</t>
  </si>
  <si>
    <t>barkhouse.com</t>
  </si>
  <si>
    <t>ecospaints.net</t>
  </si>
  <si>
    <t>pearlscore.com</t>
  </si>
  <si>
    <t>margaritabravo.com</t>
  </si>
  <si>
    <t>solatube.com</t>
  </si>
  <si>
    <t>amywax.com</t>
  </si>
  <si>
    <t>fireclaytile.com</t>
  </si>
  <si>
    <t>recolorpaints.com</t>
  </si>
  <si>
    <t>cernogroup.com</t>
  </si>
  <si>
    <t>extremepanel.com</t>
  </si>
  <si>
    <t>phyn.com</t>
  </si>
  <si>
    <t>https://www.ifr-furniture.com/</t>
  </si>
  <si>
    <t>christianhomebuyers.com</t>
  </si>
  <si>
    <t>masercondosales.com</t>
  </si>
  <si>
    <t>blackrealestateagents.com</t>
  </si>
  <si>
    <t>texasmovingusa.com</t>
  </si>
  <si>
    <t>bramlettresidential.com</t>
  </si>
  <si>
    <t>oaksroofingandsiding.com</t>
  </si>
  <si>
    <t>centurycommunities.com</t>
  </si>
  <si>
    <t>easystarthomes.com.au</t>
  </si>
  <si>
    <t>leatelierparis.com</t>
  </si>
  <si>
    <t>tripalink.com</t>
  </si>
  <si>
    <t>9kilo.com</t>
  </si>
  <si>
    <t>paperlesspipeline.com</t>
  </si>
  <si>
    <t>https://renovated.com/</t>
  </si>
  <si>
    <t>https://www.baymgmtgroup.com/</t>
  </si>
  <si>
    <t>https://ppmnva.com/</t>
  </si>
  <si>
    <t>https://todayshomeowner.com/</t>
  </si>
  <si>
    <t>https://www.spraguepest.com/</t>
  </si>
  <si>
    <t>californiamoversusa.com/</t>
  </si>
  <si>
    <t>http://allstarhome.com/</t>
  </si>
  <si>
    <t>https://ppshousebuyers.com/</t>
  </si>
  <si>
    <t>https://www.agentadvice.com/</t>
  </si>
  <si>
    <t>https://www.bankforeclosuressale.com/</t>
  </si>
  <si>
    <t>https://www.gosummer.com/</t>
  </si>
  <si>
    <t>https://www.housemax.com/</t>
  </si>
  <si>
    <t>https://www.magicalcredit.ca/</t>
  </si>
  <si>
    <t>https://www.summithomes.com.au/</t>
  </si>
  <si>
    <t>modernhousenumbers.com</t>
  </si>
  <si>
    <t>www.kimlee.ca/</t>
  </si>
  <si>
    <t>www.squarefoothomes.com/</t>
  </si>
  <si>
    <t>coloradorealtors.com</t>
  </si>
  <si>
    <t>https://backlinkexpress.com/</t>
  </si>
  <si>
    <t>realspace3d.com</t>
  </si>
  <si>
    <t>https://hamillcreek.com/</t>
  </si>
  <si>
    <t>https://www.carolinadesigns.com/</t>
  </si>
  <si>
    <t>https://ruddertx.com/writeforus/</t>
  </si>
  <si>
    <t>https://www.schaafsma.com/</t>
  </si>
  <si>
    <t>https://www.absolutepestmgmt.com/</t>
  </si>
  <si>
    <t>https://www.matrixbasements.com/</t>
  </si>
  <si>
    <t>https://ritewindow.com/</t>
  </si>
  <si>
    <t>https://darscover.com/</t>
  </si>
  <si>
    <t>https://happy2movelondon.co.uk/</t>
  </si>
  <si>
    <t>https://wolfriverelectric.com/</t>
  </si>
  <si>
    <t>https://markspain.com/</t>
  </si>
  <si>
    <t>https://www.tulsahomesforcash.com/</t>
  </si>
  <si>
    <t>https://albertamountainair.com/</t>
  </si>
  <si>
    <t>https://www.nygkey.com/</t>
  </si>
  <si>
    <t>https://www.fidelityrealestate.com/</t>
  </si>
  <si>
    <t>https://oylerhines.com/</t>
  </si>
  <si>
    <t>https://www.pulte.com/</t>
  </si>
  <si>
    <t>https://heatherlandhomes.com/</t>
  </si>
  <si>
    <t>https://www.collectionforsyth.com/</t>
  </si>
  <si>
    <t>https://cheapplumber.ca/</t>
  </si>
  <si>
    <t>https://www.overheaddoors.com/</t>
  </si>
  <si>
    <t>https://thecoverguy.com/</t>
  </si>
  <si>
    <t>https://amjmetalroofing.com.au/</t>
  </si>
  <si>
    <t>https://www.smartsolarenergyco.com/</t>
  </si>
  <si>
    <t>https://appleplumbing.com/</t>
  </si>
  <si>
    <t>https://www.kapre.com/</t>
  </si>
  <si>
    <t>https://agentfire.com/</t>
  </si>
  <si>
    <t>https://www.freedomdebtrelief.com/</t>
  </si>
  <si>
    <t>https://www.thermasol.com/</t>
  </si>
  <si>
    <t>https://www.eplanters.com/blog/</t>
  </si>
  <si>
    <t>https://www.rocklynhomes.com/</t>
  </si>
  <si>
    <t>https://theprovidencegroup.com/</t>
  </si>
  <si>
    <t>https://www.taylormorrison.com/</t>
  </si>
  <si>
    <t>https://discoverlakelanier.com/</t>
  </si>
  <si>
    <t>johnbuysbayareahouses.com</t>
  </si>
  <si>
    <t>prestigedecor.ca</t>
  </si>
  <si>
    <t>guestable.com</t>
  </si>
  <si>
    <t>primeworkconstructionca.com</t>
  </si>
  <si>
    <t>cabovillavegasdave.com</t>
  </si>
  <si>
    <t>erdmannexteriors.com</t>
  </si>
  <si>
    <t>orcarealty.ca</t>
  </si>
  <si>
    <t>raynor.com</t>
  </si>
  <si>
    <t>https://trustroofing.com/</t>
  </si>
  <si>
    <t>https://certifiedrestorationinc.com/</t>
  </si>
  <si>
    <t>https://distinctiveroofing.net/</t>
  </si>
  <si>
    <t>https://johnsonrestoration.net/</t>
  </si>
  <si>
    <t>https://indyroofandrestoration.com/</t>
  </si>
  <si>
    <t>https://whiteglovemoving.us/</t>
  </si>
  <si>
    <t>https://integrityhomeexteriors.com/</t>
  </si>
  <si>
    <t>https://snowdenbuilders.com/</t>
  </si>
  <si>
    <t>https://smaarchviz.com/</t>
  </si>
  <si>
    <t>https://www.zestlighting.com.au/</t>
  </si>
  <si>
    <t>https://australiansecurecapital.com.au/</t>
  </si>
  <si>
    <t>https://24hourfloodpros.com/</t>
  </si>
  <si>
    <t>https://www.pacificsheetmetal.net/</t>
  </si>
  <si>
    <t>https://www.cylind.com/</t>
  </si>
  <si>
    <t>https://www.buyersadvocate.com.au/</t>
  </si>
  <si>
    <t>https://aucklandpremiumpainters.co.nz/</t>
  </si>
  <si>
    <t>https://perlelectrical.co.nz/</t>
  </si>
  <si>
    <t>https://lubelska.co.uk/</t>
  </si>
  <si>
    <t>https://roof-troopers.com/</t>
  </si>
  <si>
    <t>https://propertychecker.com/</t>
  </si>
  <si>
    <t>https://www.trianglepest.com/</t>
  </si>
  <si>
    <t>https://nycestimating.us/</t>
  </si>
  <si>
    <t>https://theatlasportfolio.com/</t>
  </si>
  <si>
    <t>https://www.bobvila.com/</t>
  </si>
  <si>
    <t>https://oversonroofing.com/</t>
  </si>
  <si>
    <t>https://mcd.net.au/</t>
  </si>
  <si>
    <t>https://capitolductcleaning.com/</t>
  </si>
  <si>
    <t>https://scgmn.com/</t>
  </si>
  <si>
    <t>https://www.teachengineering.org/</t>
  </si>
  <si>
    <t>https://imagepainting.com/</t>
  </si>
  <si>
    <t>https://www.experienceparry.com/</t>
  </si>
  <si>
    <t>https://www.waterdamagespecialist.com.au/</t>
  </si>
  <si>
    <t>https://www.savemax.com/</t>
  </si>
  <si>
    <t>https://ibuymichigan.com/</t>
  </si>
  <si>
    <t>webuyhouses.com</t>
  </si>
  <si>
    <t>https://tarheelmobilehomebuyers.com/</t>
  </si>
  <si>
    <t>https://www.jplhomebuyers.ca/</t>
  </si>
  <si>
    <t>https://coastaledgehomebuyers.com/</t>
  </si>
  <si>
    <t>https://www.buymortgage.com/</t>
  </si>
  <si>
    <t>https://www.sellmyhousefastboise.com/</t>
  </si>
  <si>
    <t>https://sellhousefast.uk/</t>
  </si>
  <si>
    <t>sihandrails.com</t>
  </si>
  <si>
    <t>johnmunrobuilder.com.au</t>
  </si>
  <si>
    <t>turtlebackmountaingolfandresort.com</t>
  </si>
  <si>
    <t>americanremodeling.net</t>
  </si>
  <si>
    <t>https://www.pureinvestor.co.uk/</t>
  </si>
  <si>
    <t>https://www.shma.co.uk/</t>
  </si>
  <si>
    <t>https://thepropertysellingcompany.co.uk/</t>
  </si>
  <si>
    <t>https://sturents.com/</t>
  </si>
  <si>
    <t>https://www.ridgefieldconsulting.co.uk/</t>
  </si>
  <si>
    <t>https://marrons.co.uk/</t>
  </si>
  <si>
    <t>https://milehighhottub.com/</t>
  </si>
  <si>
    <t>https://www.luxdeco.com/</t>
  </si>
  <si>
    <t>https://faheyroofingcontractors.com/</t>
  </si>
  <si>
    <t>https://raynordoor.com/</t>
  </si>
  <si>
    <t>https://www.raynorkc.com/</t>
  </si>
  <si>
    <t>https://www.rwdoors.com/</t>
  </si>
  <si>
    <t>https://keystonecustomdecksny.com/</t>
  </si>
  <si>
    <t>https://www.modinex.com.au/</t>
  </si>
  <si>
    <t>https://embeltonflooring.com/</t>
  </si>
  <si>
    <t>https://www.unitedcarpetsandbeds.com/</t>
  </si>
  <si>
    <t>https://a1floorsnc.com/</t>
  </si>
  <si>
    <t>https://aldawindows.com/</t>
  </si>
  <si>
    <t>https://www.fluidplumbingservices.com.au/</t>
  </si>
  <si>
    <t>https://aqglassshowerdoorsphoenix.com/</t>
  </si>
  <si>
    <t>https://www.easygaragedoorrepair.com/</t>
  </si>
  <si>
    <t>https://luxurylifestyle.com/</t>
  </si>
  <si>
    <t>https://anationofmoms.com/</t>
  </si>
  <si>
    <t>Link Sellers / Competitors URLs</t>
  </si>
  <si>
    <t>Extracted Websites from Competitors 
Listed on A Column</t>
  </si>
  <si>
    <t>Target Sites</t>
  </si>
  <si>
    <t>Root Domain</t>
  </si>
  <si>
    <t>Duplicat Check with AM Links</t>
  </si>
  <si>
    <t>DR</t>
  </si>
  <si>
    <t>TR</t>
  </si>
  <si>
    <t xml:space="preserve">Name </t>
  </si>
  <si>
    <t>Email</t>
  </si>
  <si>
    <t>Contact us</t>
  </si>
  <si>
    <t>Niche</t>
  </si>
  <si>
    <t>Outreach account</t>
  </si>
  <si>
    <t>Date</t>
  </si>
  <si>
    <t>Follow up</t>
  </si>
  <si>
    <t>Got Reply</t>
  </si>
  <si>
    <t>https://www.itnews.com.au/news/australian-mines-find-explosive-power-in-it-336174</t>
  </si>
  <si>
    <t>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</t>
  </si>
  <si>
    <t>https://homebriefings.com/top-10-3d-exterior-rendering-services-according-to-experts/</t>
  </si>
  <si>
    <t>https://www.thepinnaclelist.com/articles/how-architectural-rendering-enhances-the-luxury-home-buying-experience/</t>
  </si>
  <si>
    <t>https://www.hyatus.com/mastering-house-flipping-a-comprehensive-guide-to-real-estate-success/</t>
  </si>
  <si>
    <t>https://www.easyrender.com/a/the-five-best-companies-for-3d-rendering-services</t>
  </si>
  <si>
    <t>https://notrianglestudio.com/best-3d-rendering-companies/</t>
  </si>
  <si>
    <t>https://garagefarm.net/blog/benefits-of-3d-rendering-a-comprehensive-overview</t>
  </si>
  <si>
    <t>https://www.mysiteplan.com/blogs/news/best-companies-for-3d-rendering-services</t>
  </si>
  <si>
    <t>https://cove.inc/blog/7-ways-shadow-studies-impact-building-design</t>
  </si>
  <si>
    <t>https://www.gatheradu.com/blog/small-space-hacks-adu-interior-design-ideas-that-maximize-every-inch</t>
  </si>
  <si>
    <t>https://www.worldcoppersmith.com/articles/the-ultimate-sink-buyers-guide/</t>
  </si>
  <si>
    <t>https://smith.ai/blog/how-can-real-estate-agents-use-ai-to-double-income</t>
  </si>
  <si>
    <t>https://www.tripo3d.ai/content/en/compare/the-best-building-design-visualization#</t>
  </si>
  <si>
    <t>https://buzzflick.com/top-3d-rendering-companies/</t>
  </si>
  <si>
    <t>https://nelsonkb.com/tips-to-create-your-perfect-farmhouse-kitchen/</t>
  </si>
  <si>
    <t>https://www.amgrents.com/kissimmee-property-management-blog/the-dos-and-donts-of-digital-property-marketing</t>
  </si>
  <si>
    <t>https://www.eetimes.com/designspark-mechanical-its-not-your-grandmothers-mcad/</t>
  </si>
  <si>
    <t>https://yourarlington.com/2020/04/corner-040220/</t>
  </si>
  <si>
    <t>https://www.designblendz.com/blog/key-factors-that-affect-the-cost-of-your-3d-rendering-project</t>
  </si>
  <si>
    <t>https://fbcremodel.com/blog/project-highlight-master-bathroom-remodel/</t>
  </si>
  <si>
    <t>https://insightrealtynetwork.com/how-big-is-5-acres/</t>
  </si>
  <si>
    <t>https://www.oceanhomemag.com/uncategorized/tips-for-growing-your-real-estate-business/</t>
  </si>
  <si>
    <t>www.furnituretoday.com</t>
  </si>
  <si>
    <t>www.supanet.com</t>
  </si>
  <si>
    <t>mobilehomeexteriors.com</t>
  </si>
  <si>
    <t>stanleymartin.com</t>
  </si>
  <si>
    <t>www.modernflames.com</t>
  </si>
  <si>
    <t>rapidhomedirect.com</t>
  </si>
  <si>
    <t>applianceicon.com</t>
  </si>
  <si>
    <t>aiotechnicalx.com</t>
  </si>
  <si>
    <t>www.fireplaceremotecontrols.com</t>
  </si>
  <si>
    <t>wissnow.com</t>
  </si>
  <si>
    <t>treeleftbigshop.com</t>
  </si>
  <si>
    <t>flyarchitecture.net</t>
  </si>
  <si>
    <t>middleclasshomes.net</t>
  </si>
  <si>
    <t>designmode24.com</t>
  </si>
  <si>
    <t>usefulideas.net</t>
  </si>
  <si>
    <t>englishsumup.com</t>
  </si>
  <si>
    <t>infomercial-reviews.org</t>
  </si>
  <si>
    <t>propertycostarica.co.uk</t>
  </si>
  <si>
    <t>100percentnorway.com</t>
  </si>
  <si>
    <t>europeanraptors.org</t>
  </si>
  <si>
    <t>betterthisworld.com</t>
  </si>
  <si>
    <t>whatutalkingboutwillis.com</t>
  </si>
  <si>
    <t>saoarchitects.com</t>
  </si>
  <si>
    <t>www.homeplansindia.com</t>
  </si>
  <si>
    <t>www.mayfair-london.co.uk</t>
  </si>
  <si>
    <t>thetechnotricks.net</t>
  </si>
  <si>
    <t>yucatanmagazine.com</t>
  </si>
  <si>
    <t>modularchetecture.com</t>
  </si>
  <si>
    <t>globelivemedia.com</t>
  </si>
  <si>
    <t>artsusshop.com</t>
  </si>
  <si>
    <t>bigboxratio.com</t>
  </si>
  <si>
    <t>goodnever.com</t>
  </si>
  <si>
    <t>techktimes.co.uk</t>
  </si>
  <si>
    <t>blog.donajobrand.com</t>
  </si>
  <si>
    <t>casabelforte.com</t>
  </si>
  <si>
    <t>celebhub.co.uk</t>
  </si>
  <si>
    <t>forbesnetwork.co.uk</t>
  </si>
  <si>
    <t>www.ges2016.org</t>
  </si>
  <si>
    <t>www.xomba.com</t>
  </si>
  <si>
    <t>downtonabbeycooks.com</t>
  </si>
  <si>
    <t>growingfamily.co.uk</t>
  </si>
  <si>
    <t>allaroundthe-house.com</t>
  </si>
  <si>
    <t>www.thelondoneconomic.com</t>
  </si>
  <si>
    <t>adultist.org</t>
  </si>
  <si>
    <t>www.corefactors.in</t>
  </si>
  <si>
    <t>www.upbeatgeek.com</t>
  </si>
  <si>
    <t>celebrebuzz.com</t>
  </si>
  <si>
    <t>vmccam.net</t>
  </si>
  <si>
    <t>osmosetech.com</t>
  </si>
  <si>
    <t>e-hallpass.blog</t>
  </si>
  <si>
    <t>tricklings.com</t>
  </si>
  <si>
    <t>photosqn.com</t>
  </si>
  <si>
    <t>erikchristianjohnson.com</t>
  </si>
  <si>
    <t>pillreports.net</t>
  </si>
  <si>
    <t>hayaudio.com</t>
  </si>
  <si>
    <t>yourhomedesigncenter.com</t>
  </si>
  <si>
    <t>scornful-chainstay.com</t>
  </si>
  <si>
    <t>same-vol.org</t>
  </si>
  <si>
    <t>www.ultraupdates.com</t>
  </si>
  <si>
    <t>thedailymanchester.co.uk</t>
  </si>
  <si>
    <t>360mag.co.uk</t>
  </si>
  <si>
    <t>thelondonmedia.co.uk</t>
  </si>
  <si>
    <t>howgem.com</t>
  </si>
  <si>
    <t>thedesigninspiration.com</t>
  </si>
  <si>
    <t>globallyinform.com</t>
  </si>
  <si>
    <t>metaldevastationradio.com</t>
  </si>
  <si>
    <t>cyberpulseltd.co.uk</t>
  </si>
  <si>
    <t>noodlemagazined.com</t>
  </si>
  <si>
    <t>syllablescounter.com</t>
  </si>
  <si>
    <t>pixwox.org</t>
  </si>
  <si>
    <t>calennox.co.uk</t>
  </si>
  <si>
    <t>thegeneralnews.co.uk</t>
  </si>
  <si>
    <t>thebestadvicezone.com</t>
  </si>
  <si>
    <t>second-fledgling.com</t>
  </si>
  <si>
    <t>seolabs</t>
  </si>
  <si>
    <t>https://www.tapinto.net</t>
  </si>
  <si>
    <t>https://www.thesunchronicle.com</t>
  </si>
  <si>
    <t>https://www.timescall.com</t>
  </si>
  <si>
    <t>https://www.placester.com</t>
  </si>
  <si>
    <t>https://www.reporterherald.com</t>
  </si>
  <si>
    <t>https://www.sentinelcolorado.com</t>
  </si>
  <si>
    <t>https://www.localrealtyservice.com</t>
  </si>
  <si>
    <t>https://www.businessnewstips.com</t>
  </si>
  <si>
    <t>https://www.surreynowleader.com</t>
  </si>
  <si>
    <t>https://www.kelownacapnews.com</t>
  </si>
  <si>
    <t>https://www.debtfreedr.com</t>
  </si>
  <si>
    <t>https://www.perkinscoie.com</t>
  </si>
  <si>
    <t>https://www.langleyadvancetimes.com</t>
  </si>
  <si>
    <t>https://www.williampitt.com</t>
  </si>
  <si>
    <t>https://www.hmbreview.com</t>
  </si>
  <si>
    <t>https://www.sportico.com</t>
  </si>
  <si>
    <t>https://www.thetomkatstudio.com</t>
  </si>
  <si>
    <t>https://www.appraisalinstitute.org</t>
  </si>
  <si>
    <t>https://www.cpbj.com</t>
  </si>
  <si>
    <t>https://www.realtyexecutives.com</t>
  </si>
  <si>
    <t>https://www.comoxvalleyrecord.com</t>
  </si>
  <si>
    <t>https://www.cottagesgardens.com</t>
  </si>
  <si>
    <t>https://www.fortunebuilders.com</t>
  </si>
  <si>
    <t>https://www.alamosanews.com</t>
  </si>
  <si>
    <t>https://www.irem.org</t>
  </si>
  <si>
    <t>https://www.homesgofast.com</t>
  </si>
  <si>
    <t>https://www.theprogress.com</t>
  </si>
  <si>
    <t>https://www.chicagoagentmagazine.com</t>
  </si>
  <si>
    <t>https://www.mapleridgenews.com</t>
  </si>
  <si>
    <t>https://www.pentictonwesternnews.com</t>
  </si>
  <si>
    <t>https://www.cowichanvalleycitizen.com</t>
  </si>
  <si>
    <t>https://www.beverly-hanks.com</t>
  </si>
  <si>
    <t>https://www.hobokengirl.com</t>
  </si>
  <si>
    <t>https://www.islandfreepress.org</t>
  </si>
  <si>
    <t>https://www.albernivalleynews.com</t>
  </si>
  <si>
    <t>https://www.narpm.org</t>
  </si>
  <si>
    <t>https://www.northforker.com</t>
  </si>
  <si>
    <t>https://www.sparkrental.com</t>
  </si>
  <si>
    <t>https://www.thenorthernview.com</t>
  </si>
  <si>
    <t>https://www.aldergrovestar.com</t>
  </si>
  <si>
    <t>https://www.cloverdalereporter.com</t>
  </si>
  <si>
    <t>https://www.peerstreet.com</t>
  </si>
  <si>
    <t>https://www.oakbaynews.com</t>
  </si>
  <si>
    <t>https://www.saanichnews.com</t>
  </si>
  <si>
    <t>https://www.rochesterrealestateblog.com</t>
  </si>
  <si>
    <t>https://www.haltonpardee.com</t>
  </si>
  <si>
    <t>https://www.missioncityrecord.com</t>
  </si>
  <si>
    <t>https://www.homie.com</t>
  </si>
  <si>
    <t>https://www.land.com</t>
  </si>
  <si>
    <t>https://www.realestatemagazine.ca</t>
  </si>
  <si>
    <t>https://www.agassizharrisonobserver.com</t>
  </si>
  <si>
    <t>https://www.westerlynews.ca</t>
  </si>
  <si>
    <t>https://www.cityhomecollective.com</t>
  </si>
  <si>
    <t>https://www.interior-news.com</t>
  </si>
  <si>
    <t>https://www.vancouverislandfreedaily.com</t>
  </si>
  <si>
    <t>https://www.heartworkorg.com</t>
  </si>
  <si>
    <t>https://www.realatlas.com</t>
  </si>
  <si>
    <t>https://www.castlegarnews.com</t>
  </si>
  <si>
    <t>https://www.eaglevalleynews.com</t>
  </si>
  <si>
    <t>https://www.parkcitymag.com</t>
  </si>
  <si>
    <t>https://www.morrisoncohen.com</t>
  </si>
  <si>
    <t>https://www.equitymultiple.com</t>
  </si>
  <si>
    <t>https://www.nreig.com</t>
  </si>
  <si>
    <t>https://www.ponokanews.com</t>
  </si>
  <si>
    <t>https://www.northdeltareporter.com</t>
  </si>
  <si>
    <t>https://www.houstonagentmagazine.com</t>
  </si>
  <si>
    <t>https://www.specializedreg.com</t>
  </si>
  <si>
    <t>https://www.diversyfund.com</t>
  </si>
  <si>
    <t>https://www.southbayresidential.com</t>
  </si>
  <si>
    <t>https://www.blanchardandcalhoun.com</t>
  </si>
  <si>
    <t>https://www.kay-grant.com</t>
  </si>
  <si>
    <t>https://www.realtyna.com</t>
  </si>
  <si>
    <t>https://www.aaplonline.com</t>
  </si>
  <si>
    <t>https://www.thefrontsteps.com</t>
  </si>
  <si>
    <t>https://www.picor.com</t>
  </si>
  <si>
    <t>https://www.realtynxt.com</t>
  </si>
  <si>
    <t>https://www.wellingtonhometeam.com</t>
  </si>
  <si>
    <t>https://www.adventuresincre.com</t>
  </si>
  <si>
    <t>https://www.homeia.com</t>
  </si>
  <si>
    <t>https://www.realestateinvesting.com</t>
  </si>
  <si>
    <t>https://www.lightboxre.com</t>
  </si>
  <si>
    <t>https://www.jpfco.com</t>
  </si>
  <si>
    <t>https://www.workwithfocus.com</t>
  </si>
  <si>
    <t>https://www.fnrpusa.com</t>
  </si>
  <si>
    <t>https://www.teamlaguna.com</t>
  </si>
  <si>
    <t>https://www.insideparkcityrealestate.com</t>
  </si>
  <si>
    <t>https://www.realestateinfoguide.com</t>
  </si>
  <si>
    <t>https://www.realestateinsavannah.net</t>
  </si>
  <si>
    <t>https://www.semiretiredmd.com</t>
  </si>
  <si>
    <t>https://www.bayareamodern.com</t>
  </si>
  <si>
    <t>https://www.revrealestateschool.com</t>
  </si>
  <si>
    <t>https://www.thepropertytribune.com.au</t>
  </si>
  <si>
    <t>northernvirginiahomepro.com</t>
  </si>
  <si>
    <t>https://www.steamandsaunaexperts.com/blog/how-much-does-a-sauna-cost</t>
  </si>
  <si>
    <t>steamandsaunaexperts.com</t>
  </si>
  <si>
    <t>J.D Moreno</t>
  </si>
  <si>
    <t>jd@steamandsaunaexperts.com</t>
  </si>
  <si>
    <t>davidtullly@gmail.com</t>
  </si>
  <si>
    <t>https://aloa.co/blog/what-software-do-real-estate-agents-use</t>
  </si>
  <si>
    <t>aloa.co</t>
  </si>
  <si>
    <t>David Pawlan</t>
  </si>
  <si>
    <t>david.pawlan@aloa.co</t>
  </si>
  <si>
    <t>https://www.lethub.co/blog/how-to-write-the-best-rental-advertisement</t>
  </si>
  <si>
    <t>lethub.co</t>
  </si>
  <si>
    <t>Faizan Ali Khan</t>
  </si>
  <si>
    <t>faizan@lethub.co</t>
  </si>
  <si>
    <t>support@lethub.co</t>
  </si>
  <si>
    <t>https://hillcrestmgmt.com/condo-rules-and-regulations/</t>
  </si>
  <si>
    <t>hillcrestmgmt.com</t>
  </si>
  <si>
    <t>Joel Garson</t>
  </si>
  <si>
    <t>jgarson@hillcrestmgmt.com</t>
  </si>
  <si>
    <t>info@hillcrestmgmt.com</t>
  </si>
  <si>
    <t>https://www.tinyhouse.com/post/virginias-tiny-home-rules-regulations</t>
  </si>
  <si>
    <t>tinyhouse.com</t>
  </si>
  <si>
    <t>info@tinyhouse.com</t>
  </si>
  <si>
    <t>https://www.igms.com/property-management-accounting-software/#</t>
  </si>
  <si>
    <t>igms.com</t>
  </si>
  <si>
    <t>Tatiana Sampaio</t>
  </si>
  <si>
    <t>tatiana.sampaio@igms.com</t>
  </si>
  <si>
    <t>marketing@igms.com</t>
  </si>
  <si>
    <t>https://www.financialpipeline.com/canada-housing-market-how-it-differs-from-the-u-s/</t>
  </si>
  <si>
    <t>financialpipeline.com</t>
  </si>
  <si>
    <t>hello@narrowcontent.com</t>
  </si>
  <si>
    <t>admin@narrowcontent.com</t>
  </si>
  <si>
    <t>https://www.propertysolvers.co.uk/blog/tips-for-selling-your-home/</t>
  </si>
  <si>
    <t>James</t>
  </si>
  <si>
    <t>jamesdurr@propertysolvers.co.uk</t>
  </si>
  <si>
    <t>info@propertysolvers.co.uk</t>
  </si>
  <si>
    <t>https://suburbansolutions.com/blog/living-in-moving-to-arlington-va/</t>
  </si>
  <si>
    <t>suburbansolutions.com</t>
  </si>
  <si>
    <t>Patrick McNichol</t>
  </si>
  <si>
    <t>mcnichol@suburbansolutions.com</t>
  </si>
  <si>
    <t>info@suburbansolutions.com</t>
  </si>
  <si>
    <t>https://www.nyrentownsell.com/blog/cheapest-places-to-live-in-the-us</t>
  </si>
  <si>
    <t>nyrentownsell.com</t>
  </si>
  <si>
    <t>Edwin</t>
  </si>
  <si>
    <t>edwin@nyrentownsell.com</t>
  </si>
  <si>
    <t>info@nyrentownsell.com</t>
  </si>
  <si>
    <t>https://www.baymgmtgroup.com/blog/selling-a-property-as-is/</t>
  </si>
  <si>
    <t>baymgmtgroup.com</t>
  </si>
  <si>
    <t>Patrick Freeze</t>
  </si>
  <si>
    <t>pfreeze@baymgmtgroup.com</t>
  </si>
  <si>
    <t>info@baymgmtgroup.com</t>
  </si>
  <si>
    <t>https://bluewatermtg.com/four-things-first-time-homebuyers-dont-know-real-estate-agents/</t>
  </si>
  <si>
    <t>bluewatermtg.com</t>
  </si>
  <si>
    <t>Roger Odoardi</t>
  </si>
  <si>
    <t>rodoardi@bluewatermtg.com</t>
  </si>
  <si>
    <t>roger@bluewatermtg.com</t>
  </si>
  <si>
    <t>https://moneywise.com/real-estate/3-steps-to-get-started</t>
  </si>
  <si>
    <t>moneywise.com</t>
  </si>
  <si>
    <t>Kevin Hamilton</t>
  </si>
  <si>
    <t>support@wisepublishing.com</t>
  </si>
  <si>
    <t>https://www.melaniejadedesign.com/buying-your-first-home/</t>
  </si>
  <si>
    <t>melaniejadedesign.com</t>
  </si>
  <si>
    <t>Mel</t>
  </si>
  <si>
    <t>hello@melaniejadedesign.com</t>
  </si>
  <si>
    <t>https://onlinebizbooster.net/become-an-entrepreneur-in-real-estate/</t>
  </si>
  <si>
    <t>onlinebizbooster.net</t>
  </si>
  <si>
    <t>Peter Keszegh</t>
  </si>
  <si>
    <t>peter.keszegh@onlinebizbooster.net</t>
  </si>
  <si>
    <t>https://www.decasacollections.com/differences-between-old-homes-and-new-builds/</t>
  </si>
  <si>
    <t>decasacollections.com</t>
  </si>
  <si>
    <t>contact@decasacollections.com</t>
  </si>
  <si>
    <t>https://bestutahrealestate.com/news/how-much-does-it-cost-to-move-a-three-bedroom-house</t>
  </si>
  <si>
    <t>bestutahrealestate.com</t>
  </si>
  <si>
    <t>Kristopher Larson</t>
  </si>
  <si>
    <t>kris@bestutahrealestate.com</t>
  </si>
  <si>
    <t>https://utopiamanagement.com/2021/01/understanding-condo-rules-and-regulations</t>
  </si>
  <si>
    <t>utopiamanagement.com</t>
  </si>
  <si>
    <t>Robert Schlesier</t>
  </si>
  <si>
    <t>robert@utopiamanagement.com</t>
  </si>
  <si>
    <t>https://www.tinysociety.co/articles/tiny-house-financing/</t>
  </si>
  <si>
    <t>tinysociety.co</t>
  </si>
  <si>
    <t>david@tinysociety.co</t>
  </si>
  <si>
    <t>https://www.prialto.com/blog/real-estate-marketing-virtual-assistant</t>
  </si>
  <si>
    <t>prialto.com</t>
  </si>
  <si>
    <t>Anna Taylor</t>
  </si>
  <si>
    <t>annactaylor15@gmail.com</t>
  </si>
  <si>
    <t>https://thinksaveretire.com/ultimate-real-estate-investing-guide/</t>
  </si>
  <si>
    <t>thinksaveretire.com</t>
  </si>
  <si>
    <t>hello@thinksaveretire.com</t>
  </si>
  <si>
    <t>YES</t>
  </si>
  <si>
    <t>https://www.greatbuildz.com/blog/6-mistakes-sell-your-house/</t>
  </si>
  <si>
    <t>greatbuildz.com</t>
  </si>
  <si>
    <t>Jon Grishpul</t>
  </si>
  <si>
    <t>jon@greatbuildz.com</t>
  </si>
  <si>
    <t>hello@greatbuildz.com</t>
  </si>
  <si>
    <t>https://articles.avarchitectsbuild.com/why-you-should-visit-a-completed-custom-home</t>
  </si>
  <si>
    <t>articles.avarchitectsbuild.com</t>
  </si>
  <si>
    <t>Francisca</t>
  </si>
  <si>
    <t>franciscaalonso@hotmail.com</t>
  </si>
  <si>
    <t>info@avarchitectsbuild.com</t>
  </si>
  <si>
    <t>https://knockoffdecor.com/10-amazing-backyard-kitchens/</t>
  </si>
  <si>
    <t>knockoffdecor.com</t>
  </si>
  <si>
    <t>Jana Aplin</t>
  </si>
  <si>
    <t>janaandbrett@aplinsinthealps.com</t>
  </si>
  <si>
    <t>knockoffdecor@ourfulldomainname.com</t>
  </si>
  <si>
    <t>https://hauslane.com/blogs/resources/kitchen-trends-nyc</t>
  </si>
  <si>
    <t>hauslane.com</t>
  </si>
  <si>
    <t>Calvin Ruan</t>
  </si>
  <si>
    <t>calvin@hauslane.com</t>
  </si>
  <si>
    <t>https://www.tinyhouseplans.com/blogs/guides/tiny-house-kitchen-design</t>
  </si>
  <si>
    <t>tinyhouseplans.com</t>
  </si>
  <si>
    <t>support@tinyhouseplans.com</t>
  </si>
  <si>
    <t>https://www.theenvironmentalblog.org/2024/12/the-real-costs-and-savings-of-switching-to-solar/</t>
  </si>
  <si>
    <t>theenvironmentalblog.org</t>
  </si>
  <si>
    <t>envoirenmentalblog@gmail.com</t>
  </si>
  <si>
    <t>https://travelexperta.com/things-to-do-alexandria-va/</t>
  </si>
  <si>
    <t>travelexperta.com</t>
  </si>
  <si>
    <t>Marina</t>
  </si>
  <si>
    <t>marinakupermanvillatoro@gmail.com</t>
  </si>
  <si>
    <t>https://toptenrealestatedeals.com/blog/why-the-last-decade-was-dominated-by-the-ultra-luxury-condo</t>
  </si>
  <si>
    <t>toptenrealestatedeals.com</t>
  </si>
  <si>
    <t>floridacondos@toptenrealestatedeals.com</t>
  </si>
  <si>
    <t>https://addicted2success.com/success-advice/how-to-create-wealth-investing-in-real-estate/</t>
  </si>
  <si>
    <t>addicted2success.com</t>
  </si>
  <si>
    <t>Ryan</t>
  </si>
  <si>
    <t>ryan@realestateskills.com</t>
  </si>
  <si>
    <t>write@addicted2success.com</t>
  </si>
  <si>
    <t>https://agilityportal.io/blog/10-ways-to-measure-real-estate-portal-effectiveness</t>
  </si>
  <si>
    <t>agilityportal.io</t>
  </si>
  <si>
    <t>hello@agilityportal.io</t>
  </si>
  <si>
    <t>https://www.legalreader.com/property-surveillance-law-know-your-rights/</t>
  </si>
  <si>
    <t>legalreader.com</t>
  </si>
  <si>
    <t>media@legalreader.com</t>
  </si>
  <si>
    <t>https://www.momwithfive.com/2025/08/19/family-home-selling-buying/</t>
  </si>
  <si>
    <t>momwithfive.com</t>
  </si>
  <si>
    <t>Barbara</t>
  </si>
  <si>
    <t>barbara@momwithfive.com</t>
  </si>
  <si>
    <t>https://www.findrentals.com/travel-news/steps-to-renting-out-your-condo</t>
  </si>
  <si>
    <t>findrentals.com</t>
  </si>
  <si>
    <t>service@findrentals.com</t>
  </si>
  <si>
    <t>https://www.freshdesignblog.com/2022/05/revealed-top-10-cities-to-search-for-a-house/</t>
  </si>
  <si>
    <t>freshdesignblog.com</t>
  </si>
  <si>
    <t>freshdesignblog@gmail.com</t>
  </si>
  <si>
    <t>https://willyhomes.com/sustainable-home-renovation-northern-virginia/</t>
  </si>
  <si>
    <t>willyhomes.com</t>
  </si>
  <si>
    <t>Marcel Avery</t>
  </si>
  <si>
    <t>guests@willyhomes.com</t>
  </si>
  <si>
    <t>admin@landhub.com</t>
  </si>
  <si>
    <t>https://rachelbustin.com/home/factors-that-affect-the-timing-of-a-successful-home-sale/</t>
  </si>
  <si>
    <t>rachelbustin.com</t>
  </si>
  <si>
    <t>Rachel</t>
  </si>
  <si>
    <t>rachel@rachelbustin.com</t>
  </si>
  <si>
    <t>https://www.omnihomeideas.com/home-finance/investing-in-real-estate-strategies-for-beginners-to-build-wealth/</t>
  </si>
  <si>
    <t>omnihomeideas.com</t>
  </si>
  <si>
    <t>press@omnihomeideas.com</t>
  </si>
  <si>
    <t>office@omnihomeideas.com</t>
  </si>
  <si>
    <t>https://hometriangle.com/blogs/siding-replacement-101-signs-process-costs-and-hiring-the-right-professionals/</t>
  </si>
  <si>
    <t>hometriangle.com</t>
  </si>
  <si>
    <t>Mohammed Zameer</t>
  </si>
  <si>
    <t>zameer@hometriangle.com</t>
  </si>
  <si>
    <t>https://nelsonkb.com/the-ultimate-guide-to-co-op-unit-kitchen-makeovers/</t>
  </si>
  <si>
    <t>nelsonkb.com</t>
  </si>
  <si>
    <t>Evan</t>
  </si>
  <si>
    <t>evan@nelsonkb.com</t>
  </si>
  <si>
    <t>info@nelsonkb.com</t>
  </si>
  <si>
    <t>https://conestogalogcabins.com/</t>
  </si>
  <si>
    <t>conestogalogcabins.com</t>
  </si>
  <si>
    <t>info@conestogalogcabins.com</t>
  </si>
  <si>
    <t>https://iemlabs.com/blogs/top-14-lead-generation-strategies-for-real-estate/</t>
  </si>
  <si>
    <t>iemlabs.com</t>
  </si>
  <si>
    <t>iema@iemlabs.com</t>
  </si>
  <si>
    <t>https://hotchkissinsurance.com/insights-and-resources/thinking-about-renovating-heres-how-it-could-affect-your-home-insurance</t>
  </si>
  <si>
    <t>hotchkissinsurance.com</t>
  </si>
  <si>
    <t>Wes Weatherred</t>
  </si>
  <si>
    <t>wweatherred@hiallc.com</t>
  </si>
  <si>
    <t>info@hiallc.com</t>
  </si>
  <si>
    <t>https://junehomes.com/blog/2024/02/13/6-ways-to-use-ai-in-real-estate-as-a-homeowner/</t>
  </si>
  <si>
    <t>junehomes.com</t>
  </si>
  <si>
    <t>Mauricio Zuniga</t>
  </si>
  <si>
    <t>mauricio@junehomes.com</t>
  </si>
  <si>
    <t>welcome@junehomes.com</t>
  </si>
  <si>
    <t>https://trustedhousepainter.com/locations/painters-in-kelowna/</t>
  </si>
  <si>
    <t>trustedhousepainter.com</t>
  </si>
  <si>
    <t>Paul Stein</t>
  </si>
  <si>
    <t>paul@trustedhousepainter.com</t>
  </si>
  <si>
    <t>support@trustedhousepainter.com</t>
  </si>
  <si>
    <t>https://www.modernloftinteriors.com/blogs/creative-loft-blog/indulge-in-the-best-the-most-coveted-luxury-furniture-brands</t>
  </si>
  <si>
    <t>modernloftinteriors.com</t>
  </si>
  <si>
    <t>media@modernloftinteriors.com</t>
  </si>
  <si>
    <t>support@modernloftinteriors.com</t>
  </si>
  <si>
    <t>https://www.ecosmartinc.com/7-best-green-building-materials-for-your-home/</t>
  </si>
  <si>
    <t>ecosmartinc.com</t>
  </si>
  <si>
    <t>Matt Ross</t>
  </si>
  <si>
    <t>mross@ecosmartinc.com</t>
  </si>
  <si>
    <t>info@eco-smart.com</t>
  </si>
  <si>
    <t>https://riseapartments.com/buying-property-across-state-lines/</t>
  </si>
  <si>
    <t>18200</t>
  </si>
  <si>
    <t>info@riseapartments.com</t>
  </si>
  <si>
    <t>https://www.finnandemma.com/blogs/news/understanding-the-real-estate-market</t>
  </si>
  <si>
    <t>5300</t>
  </si>
  <si>
    <t>info@finnandemma.com</t>
  </si>
  <si>
    <t>https://www.spyglassrealty.com/blog/6-misconceptions-about-home-insurance.html</t>
  </si>
  <si>
    <t>11500</t>
  </si>
  <si>
    <t>Ryan Rodenbeck</t>
  </si>
  <si>
    <t>ryan@spyglassrealty.com</t>
  </si>
  <si>
    <t>sales@spyglassrealty.com</t>
  </si>
  <si>
    <t>https://shineyourlightblog.com/smart-moves-for-selling-a-house/</t>
  </si>
  <si>
    <t>2800</t>
  </si>
  <si>
    <t>Donna</t>
  </si>
  <si>
    <t>info@shineyourlightblog.com</t>
  </si>
  <si>
    <t>https://gritdaily.com/real-estate-entrepreneurship-for-the-current-market/</t>
  </si>
  <si>
    <t>3300</t>
  </si>
  <si>
    <t>Brian Wallace</t>
  </si>
  <si>
    <t>bwallace@nowsourcing.com</t>
  </si>
  <si>
    <t>jordan@gritdaily.com</t>
  </si>
  <si>
    <t>https://www.greencitytimes.com/living-sustainably-in-northern-virginia/</t>
  </si>
  <si>
    <t>3100</t>
  </si>
  <si>
    <t>gctimes@greencitytimes.com</t>
  </si>
  <si>
    <t>https://www.kevinszabojrplumbing.net/blog/2022/7/18/everything-you-need-to-know-about-condo-remodeling</t>
  </si>
  <si>
    <t>2000</t>
  </si>
  <si>
    <t>Tiffany Powell</t>
  </si>
  <si>
    <t>Tiffany@kevinszabojrplumbing.net</t>
  </si>
  <si>
    <t>Kevinszabojrplumbing@yahoo.com</t>
  </si>
  <si>
    <t>https://www.simplyinsurance.com/best-home-warranty-for-a-condo/</t>
  </si>
  <si>
    <t>Sa El</t>
  </si>
  <si>
    <t>sael@simplyinsurance.com</t>
  </si>
  <si>
    <t>team@simplyinsurance.com</t>
  </si>
  <si>
    <t>https://clearsurance.com/blog/ho6-insurance-policy</t>
  </si>
  <si>
    <t>14900</t>
  </si>
  <si>
    <t>info@clearsurance.com</t>
  </si>
  <si>
    <t>https://republicmoving.com/blog/virginia-beach-to-san-diego-movers/?utm_source=direct&amp;utm_medium=direct&amp;utm_campaign=auto</t>
  </si>
  <si>
    <t>2100</t>
  </si>
  <si>
    <t>Bill</t>
  </si>
  <si>
    <t>blovejoy@republicmoving.com</t>
  </si>
  <si>
    <t>https://www.contractormag.com/management/best-practices/article/55273482/plumbing-and-the-future-of-modular-construction</t>
  </si>
  <si>
    <t>1300</t>
  </si>
  <si>
    <t>Steve Spaulding</t>
  </si>
  <si>
    <t>sspaulding@endeavorb2b.com</t>
  </si>
  <si>
    <t>jmesenbrink@endeavorb2b.com</t>
  </si>
  <si>
    <t>https://move4lessmoving.com/blog/moving-can-be-good-for-you-why-people-move/</t>
  </si>
  <si>
    <t>11200</t>
  </si>
  <si>
    <t>Moti Perez</t>
  </si>
  <si>
    <t>moti@move4lessmoving.com</t>
  </si>
  <si>
    <t>ap@move4lessmoving.com</t>
  </si>
  <si>
    <t>https://www.copypress.com/blog/realtors-what-you-should-be-blogging-about</t>
  </si>
  <si>
    <t>10000</t>
  </si>
  <si>
    <t>Dave Snyder</t>
  </si>
  <si>
    <t>dsnyder@copypress.com</t>
  </si>
  <si>
    <t>https://blog.safetyculture.com/tips-tricks/checklist-best-practices/home-inspection-checklist-how-to-get-the-most-out-of-your-inspection</t>
  </si>
  <si>
    <t>5000</t>
  </si>
  <si>
    <t>support@safetyculture.com</t>
  </si>
  <si>
    <t>info@safetyculture.com</t>
  </si>
  <si>
    <t>https://www.modlar.com/news/386/maximizing-property-value-tips-for-architects-and-interior-designers-in-real-estate-development/</t>
  </si>
  <si>
    <t>16900</t>
  </si>
  <si>
    <t>Scott</t>
  </si>
  <si>
    <t>scott@modlar.com</t>
  </si>
  <si>
    <t>info@modlar.com</t>
  </si>
  <si>
    <t>https://www.workast.com/blog/coordinating-open-houses-and-property-showings-with-project-management/</t>
  </si>
  <si>
    <t>2300</t>
  </si>
  <si>
    <t>Guillermo Gette</t>
  </si>
  <si>
    <t>guillermo@workast.com</t>
  </si>
  <si>
    <t>https://diyhomecomfort.com/blog/diy-real-estate-for-investors</t>
  </si>
  <si>
    <t>https://aamstg1.wpenginepowered.com/considerations-when-purchasing-your-next-condo-in-nyc/</t>
  </si>
  <si>
    <t>https://www.whisperingbold.com/post/striking-the-perfect-balance-designing-your-home-for-comfort-and-future-value</t>
  </si>
  <si>
    <t>https://dwellect.com/why-timing-matters-when-planning-your-move-to-a-new-home/</t>
  </si>
  <si>
    <t>teamdwellect@gmail.com</t>
  </si>
  <si>
    <t>https://www.bespoke-bride.com/2024/08/01/newlyweds-on-the-go-essential-tips-for-moving-to-a-new-city-after-your-wedding/</t>
  </si>
  <si>
    <t>https://houseofcoco.net/investing-in-a-condo-in-northern-virginia-101/</t>
  </si>
  <si>
    <t>https://accordinglaw.com/which-legal-clauses-can-make-or-break-your-real-estate-deal/</t>
  </si>
  <si>
    <t>contact@accordinglaw.com</t>
  </si>
  <si>
    <t>https://www.tidalloans.com/insights-into-the-northern-virginia-housing-market/</t>
  </si>
  <si>
    <t>https://www.nashvillerealestate.com/blog/what-to-know-about-debt-to-income-ratio.html</t>
  </si>
  <si>
    <t>Gary</t>
  </si>
  <si>
    <t>gary@garyashton.com</t>
  </si>
  <si>
    <t>https://www.washingtonian.com/best/real-estate-agents/darren-robertson/</t>
  </si>
  <si>
    <t>Sherri Dalphonse</t>
  </si>
  <si>
    <t>sdalphonse@washingtonian.com</t>
  </si>
  <si>
    <t>phruby@washingtonian.com</t>
  </si>
  <si>
    <t>https://programminginsider.com/the-art-of-presenting-exquisite-residences-through-photography/</t>
  </si>
  <si>
    <t>https://www.womenontopp.com/empowered-women-investing-in-vacation-property-for-financial-growth-and-personal-freedom/</t>
  </si>
  <si>
    <t>Wana Miri</t>
  </si>
  <si>
    <t>contact@womenontopp.com</t>
  </si>
  <si>
    <t>https://investorshangout.com/10-strategies-for-real-estate-investors-stay-ahead-of-risks-281-/</t>
  </si>
  <si>
    <t>https://illustrarch.com/articles/33253-your-ultimate-guide-to-buying-a-new-home.html</t>
  </si>
  <si>
    <t>https://constrofacilitator.com/page/697/?cat=-1</t>
  </si>
  <si>
    <t>https://www.awaylands.com/story/why-real-estate-appraisal-is-essential-for-property-buyers-and-sellers/</t>
  </si>
  <si>
    <t>Brandon</t>
  </si>
  <si>
    <t>b@awaylands.com</t>
  </si>
  <si>
    <t>info@awaylands.com</t>
  </si>
  <si>
    <t>https://thearchitectsdiary.com/the-best-architecturally-designed-northern-virginia-condominiums/</t>
  </si>
  <si>
    <t>https://www.beycome.com/blog/real-estate-investments-how-navigate-the-market/</t>
  </si>
  <si>
    <t>4500</t>
  </si>
  <si>
    <t>contact@beycome.com</t>
  </si>
  <si>
    <t>https://enrichest.com/en/blog/selling-home-heres-what-you-need-to-know-about-capital-gains-tax</t>
  </si>
  <si>
    <t>980</t>
  </si>
  <si>
    <t>contact@enrichest.com</t>
  </si>
  <si>
    <t>https://flock.com/advantages-of-real-estate-crm-solutions-for-real-estate-businesses</t>
  </si>
  <si>
    <t>2700</t>
  </si>
  <si>
    <t>Manali</t>
  </si>
  <si>
    <t>manalik@flock.com</t>
  </si>
  <si>
    <t>https://wasteremovalusa.com/blog/outdoor-fireplace-construction/</t>
  </si>
  <si>
    <t>sales@wasteremovalusa.com</t>
  </si>
  <si>
    <t>https://www.outerbanks.com/corolla.html</t>
  </si>
  <si>
    <t>https://nagsheadguide.com/vacation-rentals</t>
  </si>
  <si>
    <t>https://corollaguide.com/vacation-rentals</t>
  </si>
  <si>
    <t>https://obxguides.com/vacation-rentals</t>
  </si>
  <si>
    <t>https://www.thelostcolony.org/</t>
  </si>
  <si>
    <t>https://duckncguide.com/vacation-rentals</t>
  </si>
  <si>
    <t>https://www.eater.com/2016/1/31/10810568/clam-chowder-manhattan-hatteras-new-england-rhode-island-minorcan-new-jersey</t>
  </si>
  <si>
    <t>https://northernouterbanks.com/listing/carolina-designs-realty/</t>
  </si>
  <si>
    <t>info@thenorthernobx.com</t>
  </si>
  <si>
    <t>https://www.engagebay.com/blog/how-to-start-a-travel-agency/</t>
  </si>
  <si>
    <t>https://www.outerbanksvoice.com/jobs/</t>
  </si>
  <si>
    <t>Lori</t>
  </si>
  <si>
    <t>lori@ecri.net</t>
  </si>
  <si>
    <t>info@outerbanksvoice.com</t>
  </si>
  <si>
    <t>https://ducknc.gov/recreation-special-events/summer-events/</t>
  </si>
  <si>
    <t>https://outerbanksthisweek.com/carolinadesigns/accommodation/transcendence-house-504</t>
  </si>
  <si>
    <t>https://everyqueer.com/outer-banks-gay-itinerary-lgbtq-friendly/</t>
  </si>
  <si>
    <t>https://www.coherentmarketinsights.com/blog/travelling-importance-and-benefits-in-human-life-144</t>
  </si>
  <si>
    <t>https://www.outerbanks.org/blog/post/a-guide-to-remote-working-in-the-outer-banks/</t>
  </si>
  <si>
    <t>https://www.rentbottomline.com/blog/hidden-vacation-rental-costs-property-management-companies-dont-always-mention</t>
  </si>
  <si>
    <t>https://businessabc.net/keeping-coastal-rentals-comfortable-safe-and-fully-powered</t>
  </si>
  <si>
    <t>https://www.simpleshowing.com/blog/5-tips-for-boosting-your-rental-house-business</t>
  </si>
  <si>
    <t>https://www.daytranslations.com/blog/how-multilingual-communication-enhances-the-travel-experience-for-global-tourists/</t>
  </si>
  <si>
    <t>https://todaysmama.com/featured/outer-banks-vacation-family/</t>
  </si>
  <si>
    <t>https://fintechzoom.io/how-fintech-platforms-help-businesses-identify-bottlenecks-and-optimize-workflows/</t>
  </si>
  <si>
    <t>https://nomadisbeautiful.com/travel-blogs/best-accommodation-in-outer-banks-for-family-vacation/</t>
  </si>
  <si>
    <t>https://www.hmdb.org/m.asp?m=257453</t>
  </si>
  <si>
    <t>https://business.elizabethcitychamber.org/jobs/info/entry-level-vacation-home-inspectors-1247</t>
  </si>
  <si>
    <t>https://yovenice.com/2025/05/31/5-tips-for-going-on-a-wellness-break/</t>
  </si>
  <si>
    <t>https://www.appycouple.com/wedding/samanthakristopher/travel/</t>
  </si>
  <si>
    <t>https://www.omnihomeideas.com/design/how-to-design-a-rental-property-interior-that-attracts-long-term-tenants/</t>
  </si>
  <si>
    <t>https://grokipedia.com/page/Outer_Banks</t>
  </si>
  <si>
    <t>https://www.wanderwithwonder.com/10-things-you-can-do-with-your-kids-in-the-outer-banks/</t>
  </si>
  <si>
    <t>editorial@wanderwithwonder.com</t>
  </si>
  <si>
    <t>https://www.offthemrkt.com/blogs/why-owning-a-vacation-home-makes-sense</t>
  </si>
  <si>
    <t>https://clairesfootsteps.com/outer-banks-campsites/</t>
  </si>
  <si>
    <t>https://usghostadventures.com/haunted-cities/top-10-most-haunted-places/top-ten-most-haunted-the-outer-banks/</t>
  </si>
  <si>
    <t>https://exploringthenorth.com/outer-banks-oceanfront-rental-amenities/</t>
  </si>
  <si>
    <t>https://daltxrealestate.com/corolla-nc-vacation-home-rental-tips/</t>
  </si>
  <si>
    <t>https://tamaracamerablog.com/dining-and-restaurants-to-try-on-your-obx-vacation/</t>
  </si>
  <si>
    <t>https://www.mommykatandkids.com/2022/06/things-try-buy-visit-south-carolina-souvenirs.html</t>
  </si>
  <si>
    <t>https://programminginsider.com/the-importance-of-taking-a-vacation-for-mental-health/</t>
  </si>
  <si>
    <t>https://millennialmagazine.com/2022/02/01/an-outer-banks-holiday-nothing-like-a-regular-beach-getaway/</t>
  </si>
  <si>
    <t>https://columbus.momcollective.com/travel/outer-banks-vacation-guide/</t>
  </si>
  <si>
    <t>https://www.thislifeintrips.com/things-to-keep-in-mind-while-travelling-the-obx-with-your-pet/</t>
  </si>
  <si>
    <t>https://www.educba.com/solo-travel/</t>
  </si>
  <si>
    <t>https://www.buffettnews.com/forum/viewtopic.php?t=80994</t>
  </si>
  <si>
    <t>https://www.talentedladiesclub.com/articles/first-time-parents-nine-useful-tips-for-going-on-a-vacation-with-a-baby/</t>
  </si>
  <si>
    <t>https://www.vabeach.com/virginia-beach-articles/how-to-plan-a-safe-vacation-to-virginia-beach/</t>
  </si>
  <si>
    <t>https://www.peanutsorpretzels.com/vacationing-outer-banks-north-carolina/</t>
  </si>
  <si>
    <t>https://www.gonomad.com/230568-pet-friendly-outer-banks</t>
  </si>
  <si>
    <t>editor@gonomad.com</t>
  </si>
  <si>
    <t>https://ourculturemag.com/2023/07/04/calm-beaches-on-the-outer-banks-perfect-for-a-solo-trip/</t>
  </si>
  <si>
    <t>https://purewander.com/a-quick-outer-banks-vacation-guide/</t>
  </si>
  <si>
    <t>https://www.the-travel-bunny.com/outer-banks-vacation-tips/</t>
  </si>
  <si>
    <t>https://foodfuntravel.com/8-things-you-should-know-before-booking-an-obx-vacation-rental-online/</t>
  </si>
  <si>
    <t>https://www.thepinnaclelist.com/articles/3-premier-oceanfront-communities-for-beachfront-rentals-in-the-outer-banks-north-carolina/</t>
  </si>
  <si>
    <t>https://millo.co/freelance-traveling-world-6-pieces-advice</t>
  </si>
  <si>
    <t>https://growingupbilingual.com/9-easy-ways-to-stay-healthy-on-your-upcoming-vacation/</t>
  </si>
  <si>
    <t>https://alvinology.com/2020/08/13/15-lesser-known-facts-about-the-outer-banks-of-north-carolina-that-will-blow-your-mind/</t>
  </si>
  <si>
    <t>https://sunnysweetdays.com/outer-banks/</t>
  </si>
  <si>
    <t>https://explorewitherin.com/6-best-outer-banks-water-sports-to-try/</t>
  </si>
  <si>
    <t>https://www.travelbeginsat40.com/2024/12/5-best-places-for-a-summer-vacation-in-north-carolina/</t>
  </si>
  <si>
    <t>https://www.swaggermagazine.com/style/add-a-luxurious-flavor-to-your-trip-to-duck-with-a-beachfront-rental/</t>
  </si>
  <si>
    <t>https://www.breakingtravelnews.com/news/article/how-to-choose-the-perfect-outer-banks-town-for-your-vacation-style/</t>
  </si>
  <si>
    <t>editor@breakingtravelnews.com</t>
  </si>
  <si>
    <t>https://www.terristeffes.com/2020/11/fun-activities-to-do-in-outer-banks.html</t>
  </si>
  <si>
    <t>https://lasgrutasturismo.gob.ar/?l=210270815</t>
  </si>
  <si>
    <t>https://www.salonprivemag.com/heres-why-you-should-book-a-vacation-home-instead-of-a-hotel/</t>
  </si>
  <si>
    <t>https://search.ezilon.com/united_states/travel_and_tourism/vacation_rentals/north_carolina/index.shtml</t>
  </si>
  <si>
    <t>https://www.davisart.com/schoolarts/issues/2023/visual-culture/middle-school-art-lesson-surfboard-design-collaboration/</t>
  </si>
  <si>
    <t>https://jetsettimes.com/inspiration/advice-hacks/a-brief-guide-to-planning-an-intimate-destination-wedding/</t>
  </si>
  <si>
    <t>https://outerbanksassociationofrealtors.growthzoneapp.com/member-directory/Details/kyle-tribett-2244098</t>
  </si>
  <si>
    <t>http://s1030794421.onlinehome.us/military/uboat.html</t>
  </si>
  <si>
    <t>https://www.mondomulia.com/2020/12/30/best-places-to-visit-outer-banks-north-carolina/</t>
  </si>
  <si>
    <t>https://www.visitnc.com/listing/YtwA/carolina-designs-realty</t>
  </si>
  <si>
    <t>https://www.justonewayticket.com/6-tips-for-planning-the-perfect-beach-getaway/</t>
  </si>
  <si>
    <t>https://accidentalhipstermum.com/be-smart-and-use-these-8-ways-to-save-on-your-next-road-trip/</t>
  </si>
  <si>
    <t>https://www.ctinsider.com/living/article/Explore-North-Carolina-s-Historic-Outer-Banks-17044781.php</t>
  </si>
  <si>
    <t>https://onestep4ward.com/5-essential-tips-for-choosing-the-perfect-vacation-rental/</t>
  </si>
  <si>
    <t>https://seaislenews.com/news/2025/may/09/travel-guide-which-coastal-escape-is-right-for-you-outer-banks-or-sea-isle/</t>
  </si>
  <si>
    <t>https://podgorze.babinski.pl/jv3yhbl/why-is-it-called-the-graveyard-of-the-atlantic</t>
  </si>
  <si>
    <t>https://www.ranktracker.com/blog/6-industries-that-are-ripe-for-seo-disruption/</t>
  </si>
  <si>
    <t>https://www.eofire.com/podcast/danmcgaw/</t>
  </si>
  <si>
    <t>https://beverlyboy.com/southern-shores-nc-videographer-services/</t>
  </si>
  <si>
    <t>https://drprem.com/travel/biggest-rental-homes-outer-banks/</t>
  </si>
  <si>
    <t>https://www.vagabondjourney.com/3-offbeat-destinations-you-must-explore-in-the-u-s/</t>
  </si>
  <si>
    <t>https://azbigmedia.com/lifestyle/11-travel-hacks-for-your-next-family-vacation/</t>
  </si>
  <si>
    <t>Amy Lindsey</t>
  </si>
  <si>
    <t>amy.lindsey@azbigmedia.com</t>
  </si>
  <si>
    <t>info@azbigmedia.com</t>
  </si>
  <si>
    <t>https://nyweekly.com/lifestyle/why-the-outer-banks-might-become-your-new-favorite-summer-spot-on-the-east-coast/</t>
  </si>
  <si>
    <t>media@matrixglobalbrands.com</t>
  </si>
  <si>
    <t>https://entrepreneursbreak.com/dont-miss-these-8-tips-before-planning-your-next-vacation-with-your-furry-friend.html</t>
  </si>
  <si>
    <t>https://www.boomermagazine.com/outer-banks-vacation-with-pets/</t>
  </si>
  <si>
    <t>https://www.pommietravels.com/why-the-outer-banks-is-perfect-for-your-next-vacation/</t>
  </si>
  <si>
    <t>http://user1641665.sites.myregisteredsite.com/2010.09.01_arch.html</t>
  </si>
  <si>
    <t>https://www.theredheadbaker.com/vacation-recap/</t>
  </si>
  <si>
    <t>https://www.prettyopinionated.com/2021/03/vacation-safely-during-pandemic/</t>
  </si>
  <si>
    <t>https://www.provenexpert.com/en-us/carolina-designs-realty-vacation-rentals/</t>
  </si>
  <si>
    <t>https://coastalvirginiamag.com/article/h2obx-waterpark-on-the-outer-banks/</t>
  </si>
  <si>
    <t>https://thedigestonline.com/branded-content/break-up-with-work-8-tips-to-unwind-and-enjoy-your-vacation/</t>
  </si>
  <si>
    <t>https://www.petswelcome.com/articles/pet-friendly-lodging-profile-carolina-designs-realty.html</t>
  </si>
  <si>
    <t>https://www.peoplesmart.com/companies/carolina-designs-realty-inc/2063353</t>
  </si>
  <si>
    <t>https://www.charlottemagazine.com/beachin-duck/</t>
  </si>
  <si>
    <t>Greg Lacour</t>
  </si>
  <si>
    <t>greg.lacour@charlottemagazine.com</t>
  </si>
  <si>
    <t>amanda.howard@morris.com</t>
  </si>
  <si>
    <t>https://www.wgbh.org/lifestyle/food/recipes/2018-07-10/sorry-new-england-theres-a-whole-world-of-chowders-out-there</t>
  </si>
  <si>
    <t>https://literallydarling.com/blog/2020/07/03/outer-banks-foods/</t>
  </si>
  <si>
    <t xml:space="preserve">Katie </t>
  </si>
  <si>
    <t>surftormentedsea@gmail.com</t>
  </si>
  <si>
    <t>submissions@literallydarling.com</t>
  </si>
  <si>
    <t>https://www.mklibrary.com/10-easy-ways-to-stay-fit-on-a-vacation-without-compromising-fun/</t>
  </si>
  <si>
    <t>https://soaringbear.tripod.com/misc/DC.html</t>
  </si>
  <si>
    <t>https://ocnjdaily.com/news/2025/oct/27/5-ways-to-make-vacation-more-comfortable/</t>
  </si>
  <si>
    <t>https://woodyhigh123.wixsite.com/jacobandshyanne/accomodations</t>
  </si>
  <si>
    <t>http://virginiaplaces.org/military/uboat.html</t>
  </si>
  <si>
    <t>https://www.travelsafe-abroad.com/alligators-in-the-outer-banks/</t>
  </si>
  <si>
    <t>https://www.opencart.com/blog/20-types-of-website-ctas-that-drive-clicks-leads-and-sales?filter_search=website</t>
  </si>
  <si>
    <t>https://www.lifeinabreakdown.com/need-a-break-southern-shores-is-calling/</t>
  </si>
  <si>
    <t>https://urbanmatter.com/9-things-to-eat-enjoy-experience-when-vacationing-in-duck-north-carolina/</t>
  </si>
  <si>
    <t>https://humbledollar.com/2022/12/its-all-relatives/</t>
  </si>
  <si>
    <t>https://www.snopes.com/fact-check/blue-whale-spotted-jennettes-pier/</t>
  </si>
  <si>
    <t>https://www.toolify.ai/ai-news/innovation-for-all-how-diverse-sectors-are-leveraging-intelligent-tools-to-drive-growth-3880246</t>
  </si>
  <si>
    <t>https://blog.ncagr.gov/2020/10/29/spooky-spirits-from-the-graveyard-of-the-atlantic/</t>
  </si>
  <si>
    <t>https://ofwhiskeyandwords.com/why-southern-shores-should-be-your-next-coastal-getaway/</t>
  </si>
  <si>
    <t>https://wanderlog.com/place/details/11820284/carolina-designs-realty--vacation-rentals</t>
  </si>
  <si>
    <t>https://travelwiththesmile.com/blog/guide-to-a-safe-and-relaxing-spring-break/</t>
  </si>
  <si>
    <t>https://myemail.constantcontact.com/September-2022-Newsletter.html?soid=1103416366300&amp;aid=jcPEXIjnDvY</t>
  </si>
  <si>
    <t>https://runjumpscrap.com/2021/08/10-fun-things-to-do-on-a-rainy-vacation-day/</t>
  </si>
  <si>
    <t>https://hatterasblog.surforsound.com/category/all-posts/page/32/</t>
  </si>
  <si>
    <t>https://1883magazine.com/the-outer-banks-packing-checklist-everything-you-need-to-bring/</t>
  </si>
  <si>
    <t>https://www.rannkly.com/company/reviews/summit-hotels-resorts-reviews-ratings</t>
  </si>
  <si>
    <t>https://www.fox17online.com/morning-mix/schaafsma-heating-and-cooling-and-lennox-partner-up-for-feel-the-love-campaign</t>
  </si>
  <si>
    <t>https://www.luxurytravelmagazine.com/news-articles/why-choosing-efficient-heating-can-make-a-home-more-comfortable</t>
  </si>
  <si>
    <t>https://www.achrnews.com/articles/132663-nci-connects-the-dots-for-home-performance-contractors</t>
  </si>
  <si>
    <t>https://www.nearbynow.co/profile/air-conditioning/schaafsma-heating-and-cooling/mi/freeport</t>
  </si>
  <si>
    <t>https://wemadethislife.com/why-you-shouldnt-neglect-your-ac-systems-maintenance/</t>
  </si>
  <si>
    <t>https://www.promptloop.com/directory/grand-rapids-hvac</t>
  </si>
  <si>
    <t>https://downtobid.com/contractors/hvac/grand-rapids</t>
  </si>
  <si>
    <t>https://www.lennox.com/residential/locate/dealer/mi/walker/schaafsma-htg-and-clg-co</t>
  </si>
  <si>
    <t>https://www.wzzm13.com/article/life/one-good-thing/single-mom-without-heat-can-feel-the-love/69-3d2731b8-2789-4b58-a50c-e6233018b99e</t>
  </si>
  <si>
    <t>https://contractorfinder.bradfordwhite.com/contractors/schaafsma-heating-and-cooling-31235-walker-mi</t>
  </si>
  <si>
    <t>https://woodradio.iheart.com/content/2019-12-15-operation-storm-watch/</t>
  </si>
  <si>
    <t>https://hvac-blog.acca.org/regional-standards-lawsuit-overnow/</t>
  </si>
  <si>
    <t>https://mail.kroxam.com/?m=483376315</t>
  </si>
  <si>
    <t>https://local.statewaterheaters.com/where-to-buy/michigan/grand-rapids/schaafsma-heating-and-cooling-58607387</t>
  </si>
  <si>
    <t>https://michigansaves.org/news/covid-19-safety-standards-you-can-expect-from-your-michigan-saves-contractor/</t>
  </si>
  <si>
    <t>https://www.townplanner.com/comstock-park/mi/business/</t>
  </si>
  <si>
    <t>https://www.precisionpest.org/blog/how-to-safely-get-a-wasp-out-of-your-house-easy-steps</t>
  </si>
  <si>
    <t>https://healthstartsinthekitchen.com/the-best-homemade-natural-non-toxic-weed-killer/</t>
  </si>
  <si>
    <t>https://www.jackcooper.com/long-term-storage-solutions-a-guide-for-your-belongings/</t>
  </si>
  <si>
    <t>https://www.kylechamber.org/list/member/absolute-pest-management-buda-6413</t>
  </si>
  <si>
    <t>https://www.expertise.com/home-improvement/pest-control/texas/round-rock</t>
  </si>
  <si>
    <t>https://yourhomify.com/outdoor-care-for-a-healthy-home-environment/</t>
  </si>
  <si>
    <t>https://reerin.com/adu-planning</t>
  </si>
  <si>
    <t xml:space="preserve"> Erin Hybart</t>
  </si>
  <si>
    <t>erin@reerin.com</t>
  </si>
  <si>
    <t>https://girlcooksworld.com/natural-solutions-for-a-cleaner-kitchen/</t>
  </si>
  <si>
    <t>https://girlcooksworld.com/contact/</t>
  </si>
  <si>
    <t>https://www.fieldpromax.com/blog/digital-reporting-real-time-data-improve-pest-control</t>
  </si>
  <si>
    <t>Joy</t>
  </si>
  <si>
    <t>joygomez@fieldpromax.com</t>
  </si>
  <si>
    <t>support@fieldpromax.com</t>
  </si>
  <si>
    <t>https://thehowtohome.com/7-hidden-problems-in-your-backyard-you-should-fix-before-your-next-diy-project/</t>
  </si>
  <si>
    <t>https://www.newlifestyles.com/blog/protecting-our-elders-the-hidden-risks-of-pests-in-senior-living-spaces</t>
  </si>
  <si>
    <t>https://www.inven.ai/company-lists/top-20-pest-control-companies-in-texas</t>
  </si>
  <si>
    <t>https://woombie.com/blog/post/a-practical-guide-to-maintaining-and-repairing-your-home</t>
  </si>
  <si>
    <t>https://ecogardener.com/blogs/news/how-seasonal-changes-affect-pests</t>
  </si>
  <si>
    <t>https://thestay-at-home-momsurvivalguide.com/safest-insulation-types-for-your-kids-bedroom/</t>
  </si>
  <si>
    <t>https://focusingonwildlife.com/news/what-to-do-if-you-find-a-wasp-nest/</t>
  </si>
  <si>
    <t>https://www.robinwaite.com/blog/10-best-practices-for-workplace-hygiene</t>
  </si>
  <si>
    <t>https://www.officefinder.com/officeblog/eco-friendly-ways-to-keep-pests-out-of-the-office/</t>
  </si>
  <si>
    <t>https://houstonsuburb.com/real-estate-blog/sellers-disclosure-made-easy-what-you-need-to-disclose/</t>
  </si>
  <si>
    <t>https://www.realtytimes.com/consumeradvice/ask-the-expert/item/1025668-isolated-heat-treatment-for-pest-control</t>
  </si>
  <si>
    <t>https://www.cience.com/company/absolute-pest-management/1198886304553703786</t>
  </si>
  <si>
    <t>https://rentalrealestate.com/blog/pass-money-pit-investment-property-red-flags-cant-ignore/</t>
  </si>
  <si>
    <t>https://ecency.com/hive-184437/@trip-hop/i-still-have-nightmares-about-bedbugs-a-friends-testimonial</t>
  </si>
  <si>
    <t>https://www.smallbusinesscoach.org/5-ways-pests-can-hurt-your-business/</t>
  </si>
  <si>
    <t>https://www.bestaccessdoors.com/blog/5-practical-ways-to-increase-storage-space-using-an-access-panel/</t>
  </si>
  <si>
    <t>help@bestaccessdoors.com</t>
  </si>
  <si>
    <t>info@bestaccessdoors.com</t>
  </si>
  <si>
    <t>https://wiza.co/d/absolute-pest-management-atx/d636</t>
  </si>
  <si>
    <t>https://www.austinaptassoc.com/members/absolute-pest-management</t>
  </si>
  <si>
    <t>https://news.marketersmedia.com/absolute-pest-management-launches-campaign-to-eliminate-bedbugs-and-future-outbreaks/8991</t>
  </si>
  <si>
    <t>https://stage.searchaustinhomes.com/blog/cooling-temperatures-send-some-bugs-indoors/</t>
  </si>
  <si>
    <t>https://gvsulakers.com/sports/football/schedule/2025</t>
  </si>
  <si>
    <t>https://blog.callcustombuilt.com/top-finished-basement-bar-ideas</t>
  </si>
  <si>
    <t xml:space="preserve">Michael </t>
  </si>
  <si>
    <t>contact@callcustombuilt.com</t>
  </si>
  <si>
    <t>https://web.milwaukeenari.org/Basement-Remodeling</t>
  </si>
  <si>
    <t>https://resident.com/resource-guide/2024/09/18/kitchen-cabinet-color-trends-for-2024-a-blend-of-style-and-functionality</t>
  </si>
  <si>
    <t>https://novihomeshow.com/fall/exhibitor-list/</t>
  </si>
  <si>
    <t>https://sense.com/consumer-blog/using-a-sump-pump-to-keep-your-basement-dry-without-wasting-energy/</t>
  </si>
  <si>
    <t>https://growjo.com/company/e3_Diagnostics</t>
  </si>
  <si>
    <t>https://www.homelight.com/blog/basement-design-ideas/</t>
  </si>
  <si>
    <t>https://joesdaily.com/advice/home-maintenance-101-heres-everything-you-should-know/</t>
  </si>
  <si>
    <t>joe@joesdaily.com</t>
  </si>
  <si>
    <t>https://www.milwaukeeadmirals.com/team/corporate-partners/</t>
  </si>
  <si>
    <t>https://www.pinterest.com/matrixbasementfinishing/</t>
  </si>
  <si>
    <t>https://corbyhomes.com/10-tips-to-turning-your-home-into-a-canvas-for-expression/</t>
  </si>
  <si>
    <t>https://amdurproductions.com/current-and-past-sponsors/</t>
  </si>
  <si>
    <t>https://www.homedit.com/finished-basement/</t>
  </si>
  <si>
    <t>Vera</t>
  </si>
  <si>
    <t>vera@avantgardegc.com</t>
  </si>
  <si>
    <t>contact@homedit.com</t>
  </si>
  <si>
    <t>https://www.pinuphouses.com/how-to-maintain-and-upgrade-your-home-expert-tips-andeffective-practices-to-maximize-living-space/</t>
  </si>
  <si>
    <t>https://www.seasonsincolour.com/post/upgrading-your-home-key-maintenance-practices-for-long-term-success</t>
  </si>
  <si>
    <t>https://www.gigwise.com/home-improvement-tips-that-really-work/</t>
  </si>
  <si>
    <t>Cai Trefor</t>
  </si>
  <si>
    <t>cai@gigwise.com</t>
  </si>
  <si>
    <t>info@gigwise.com</t>
  </si>
  <si>
    <t>https://www.thedecorfix.com/7-ways-to-transform-unused-spaces-and-maximize-your-homes-potential/</t>
  </si>
  <si>
    <t>https://www.hipmamasplace.com/lifestyle-driven-renovation-ideas-for-a-more-functional-home/</t>
  </si>
  <si>
    <t>Jocelyn</t>
  </si>
  <si>
    <t>hipmamasplace@gmail.com</t>
  </si>
  <si>
    <t>https://homeworlddesign.com/the-best-home-upgrades-for-growing-families/</t>
  </si>
  <si>
    <t>https://www.proremodeler.com/home/article/55184613/forty-under-40-then-now</t>
  </si>
  <si>
    <t>Daniel Morrison</t>
  </si>
  <si>
    <t>dmorrison@endeavorb2b.com</t>
  </si>
  <si>
    <t>jschneider@endeavorb2b.com</t>
  </si>
  <si>
    <t>https://www.designscene.net/2025/09/design-home-guests-want-return.html</t>
  </si>
  <si>
    <t>https://randylemmon.com/unlocking-potential-how-to-design-a-home-office-in-your-basement/</t>
  </si>
  <si>
    <t>https://homebusinessmag.com/lifestyles/home-improvement/home-design-trends-shaping-way-we-live-today/</t>
  </si>
  <si>
    <t>https://justsimplymom.com/the-soft-reset-how-to-refresh-your-home-and-your-mind/</t>
  </si>
  <si>
    <t>https://ahouseinthehills.com/the-ultimate-guide-to-planning-a-home-gym-youll-actually-use/</t>
  </si>
  <si>
    <t>https://www.homeadvisor.com/rated.matrixhomesolutions.133119730.html</t>
  </si>
  <si>
    <t>https://www.sipthestyle.com/creative-ways-to-add-functional-space-to-your-home</t>
  </si>
  <si>
    <t>info@zenithecho.com</t>
  </si>
  <si>
    <t>https://emmareed.net/ideas-to-elevate-your-living-space-to-match-your-lifestyle/</t>
  </si>
  <si>
    <t>https://www.gloryofthesnow.com/the-best-family-friendly-home-features-for-busy-households/</t>
  </si>
  <si>
    <t>https://art-sheep.com/chic-cozy-and-functional-interior-ideas-that-just-work/</t>
  </si>
  <si>
    <t>info@art-sheep.com</t>
  </si>
  <si>
    <t>artsheepstats@gmail.com</t>
  </si>
  <si>
    <t>https://brewminate.com/how-interior-improvements-can-change-daily-life-at-home/</t>
  </si>
  <si>
    <t>admin@brewminate.com</t>
  </si>
  <si>
    <t>https://www.grandmagazine.com/2025/06/why-personalized-home-spaces-are-gaining-popularity/</t>
  </si>
  <si>
    <t>Christine Crosby</t>
  </si>
  <si>
    <t>ccrosby@grandmagazine.com</t>
  </si>
  <si>
    <t>editor@grandmagazine.com</t>
  </si>
  <si>
    <t>https://alittledelightful.com/why-finished-basements-are-a-must-have-for-modern-families/</t>
  </si>
  <si>
    <t>https://www.wispwillow.com/home-improvement/bathroom-remodeling-101-how-to-get-started/</t>
  </si>
  <si>
    <t>outreach.wispwillow@gmail.com</t>
  </si>
  <si>
    <t>wispwillowmail@gmail.com</t>
  </si>
  <si>
    <t>https://upcyclethat.com/add-living-space/</t>
  </si>
  <si>
    <t>upwhat@upcyclethat.com</t>
  </si>
  <si>
    <t>https://conservamome.com/transforming-underused-spaces-into-functional-living-areas/</t>
  </si>
  <si>
    <t>Elia</t>
  </si>
  <si>
    <t>mome@conservamome.com</t>
  </si>
  <si>
    <t>https://snoozye.com/10-right-updates-to-improve-daily-life-at-home/</t>
  </si>
  <si>
    <t>https://www.mystayathomeadventures.com/home-remodeling-mistakes/</t>
  </si>
  <si>
    <t>https://whipperberry.com/entertaining-at-home/</t>
  </si>
  <si>
    <t xml:space="preserve">Heather </t>
  </si>
  <si>
    <t>heather@whipperberry.com</t>
  </si>
  <si>
    <t>https://www.mirrorreview.com/home-remodeling/</t>
  </si>
  <si>
    <t>https://opplehouse.com/creating-multi-use-areas-that-blend-beauty-and-purpose/</t>
  </si>
  <si>
    <t>https://www.crazylaura.com/living-on-the-edge-how-modern-families-rethink-shelter-and-security/</t>
  </si>
  <si>
    <t>Laura</t>
  </si>
  <si>
    <t>laura@crazylaura.com</t>
  </si>
  <si>
    <t>https://www.balto.ai/blog/what-does-the-contact-center-of-2030-look-like/</t>
  </si>
  <si>
    <t>https://www.luxurybath.com/locator/16509.15560.luxury-bath-of-lansing/</t>
  </si>
  <si>
    <t>Dave</t>
  </si>
  <si>
    <t>davidjklinger@yahoo.com</t>
  </si>
  <si>
    <t>https://agirlworthsaving.net/easy-ways-to-add-more-living-space-without-building-an-addition/</t>
  </si>
  <si>
    <t xml:space="preserve">Kelly </t>
  </si>
  <si>
    <t>info@agirlworthsaving.net</t>
  </si>
  <si>
    <t>https://enthrallinggumption.com/how-design-savvy-homeowners-are-rethinking-their-living-spaces/</t>
  </si>
  <si>
    <t>https://tangyhouse.com/10-tips-to-transform-your-home-for-hosting-friends-and-family/</t>
  </si>
  <si>
    <t>https://mossandfog.com/storage-to-sanctuary-a-homeowners-guide-to-basement-makeovers/</t>
  </si>
  <si>
    <t>http://kalamazoohomepagemi.memberzone.com/list/member/matrix-home-solutions-3367</t>
  </si>
  <si>
    <t>https://hookedhome.com/adapting-your-home-to-fit-the-way-you-actually-live/</t>
  </si>
  <si>
    <t>Julie Ambrose</t>
  </si>
  <si>
    <t>julie@hookedhome.com</t>
  </si>
  <si>
    <t>https://northiowatoday.com/2023/06/21/dos-and-donts-of-basement-remodeling/</t>
  </si>
  <si>
    <t>https://www.re-thinkingthefuture.com/technologies/gp3597-8-reasons-remodeling-your-basement-is-a-smart-investment/</t>
  </si>
  <si>
    <t>https://www.usehatchapp.com/blog/3-reasons-why-you-shouldnt-buy-hatch</t>
  </si>
  <si>
    <t>https://theorg.com/org/matrix-home-solutions/org-chart/nick-richmond</t>
  </si>
  <si>
    <t>https://s3da-design.com/basement-renovation-a-comprehensive-guide-to-unlocking-your-spaces-potential/</t>
  </si>
  <si>
    <t>https://www.womanaroundtown.com/contributed/ten-home-upgrades-senior-couples-can-make-for-aging-in-place/</t>
  </si>
  <si>
    <t>https://home-hearted.com/8-things-to-do-before-putting-your-kenosha-home-on-the-market/</t>
  </si>
  <si>
    <t>https://www.urbansplatter.com/2023/03/what-your-basement-theme-should-be-based-on-your-zodiac-signs-element/</t>
  </si>
  <si>
    <t>https://ccr-mag.com/six-best-ways-to-add-more-value-to-your-property/</t>
  </si>
  <si>
    <t>https://sales.superagi.com/company/matrix-basement-finishing</t>
  </si>
  <si>
    <t>https://www.finehomesandliving.com/home_design/from-storage-to-stunning-transforming-unused-square-footage/article_87896a86-9ae0-4823-b3e5-ac2b970c9636.html</t>
  </si>
  <si>
    <t>https://www.homelovr.com/cool-ideas-for-transforming-an-unused-basement/</t>
  </si>
  <si>
    <t>https://www.e-architect.com/articles/here-is-how-to-transform-with-smart-upgrades</t>
  </si>
  <si>
    <t>https://www.forgetfulmomma.com/2024/10/17/the-ultimate-guide-to-creating-a-spa-like-bathroom-at-home/</t>
  </si>
  <si>
    <t>https://www.cuindependent.com/redesigning-life-indoors-creating-spaces-to-match-how-you-unwind/</t>
  </si>
  <si>
    <t>https://metapress.com/cozy-living-turning-underutilized-spaces-into-functional-areas/</t>
  </si>
  <si>
    <t>https://luxurylifestyle.com/headlines/tips-for-creating-a-luxurious-basement-retreat.html</t>
  </si>
  <si>
    <t>https://www.todays-woman.net/2024/home-improvement/how-to-plan-a-bathroom-remodel/</t>
  </si>
  <si>
    <t>https://www.justluxe.com/community/luxury-remodeling-ideas-that-go-beyond-the-kitchen-and-bath_a_1981799.php</t>
  </si>
  <si>
    <t>https://www.clodura.ai/directory/company/matrix-home-solutions</t>
  </si>
  <si>
    <t>https://www.partnerbase.com/matrix-basement-systems</t>
  </si>
  <si>
    <t>https://business.brightoncoc.org/list/member/matrix-home-solutions-8959</t>
  </si>
  <si>
    <t>https://www.theinspirationedit.com/basement-into-a-functional-living-space/</t>
  </si>
  <si>
    <t>https://milwaukeenariwiassoc.weblinkconnect.com/directory/results/map.aspx?listingid=2332</t>
  </si>
  <si>
    <t>https://www.suziethefoodie.com/the-practical-side-of-making-a-house-feel-right/</t>
  </si>
  <si>
    <t>Suzanna Casey</t>
  </si>
  <si>
    <t>Casey@suziethefoodie.com</t>
  </si>
  <si>
    <t>mitchelldavid.us@gmail.com</t>
  </si>
  <si>
    <t>https://jupiterhadley.com/design-and-decor-ideas-for-basemets/</t>
  </si>
  <si>
    <t>Jupiter</t>
  </si>
  <si>
    <t>jupi@jupiterhadley.com</t>
  </si>
  <si>
    <t>https://www.wisconsinmommy.com/how-to-create-the-perfect-playroom-for-your-kids/</t>
  </si>
  <si>
    <t>Maureen</t>
  </si>
  <si>
    <t>wisconsinmommy@gmail.com</t>
  </si>
  <si>
    <t>https://local.dailyherald.com/arlington%20heights-il/matrix-basement-finishing-arlington-heights-847-613-4131</t>
  </si>
  <si>
    <t>https://reviews.birdeye.com/matrix-bathroom-systems-156205482454911</t>
  </si>
  <si>
    <t>https://livepositively.com/3-ways-to-refresh-your-life-and-feel-rejuvenated/</t>
  </si>
  <si>
    <t>https://ezlocal.com/il/arlington-heights/contractors---building/09626480</t>
  </si>
  <si>
    <t>https://nerdymamma.com/home-passions-and-skills/</t>
  </si>
  <si>
    <t>Chantal Kirkland</t>
  </si>
  <si>
    <t>info@nerdymamma.com</t>
  </si>
  <si>
    <t>https://thebossmagazine.com/top-home-renovation-ideas-make-big-impact/</t>
  </si>
  <si>
    <t>editor@digitalinkco.com</t>
  </si>
  <si>
    <t>contact@thebossmagazine.com</t>
  </si>
  <si>
    <t>https://www.burlapandblue.com/from-forgotten-to-fabulous-the-ultimate-guide-to-basement-renovation/</t>
  </si>
  <si>
    <t>contactburlapandblue@gmail.com</t>
  </si>
  <si>
    <t>https://havokjournal.com/life-2/why-basements-are-perfect-for-family-game-nights/</t>
  </si>
  <si>
    <t>havokjournal@havokmedia.com</t>
  </si>
  <si>
    <t>https://directory.coldlytics.com/companies/matrixbasements</t>
  </si>
  <si>
    <t>https://www.mommacuisine.com/blog/maximizing-small-spaces-smart-design-tips-for-homeowners</t>
  </si>
  <si>
    <t>https://www.emmysmummy.com/guide-to-remodelling-your-basement-for-extra-living-space</t>
  </si>
  <si>
    <t>https://thedailytribute.com/upgrading-an-old-home-essential-renovations-for-modern-living/</t>
  </si>
  <si>
    <t>https://katescreativespace.com/unlocking-potential-creative-ideas-for-underused-areas-in-your-home/</t>
  </si>
  <si>
    <t>https://www.going.com/guides/london-british-capital</t>
  </si>
  <si>
    <t>https://trustedtraders.which.co.uk/businesses/happy-2-move-limited/</t>
  </si>
  <si>
    <t>https://www.timesforthetimes.co.uk/glossary</t>
  </si>
  <si>
    <t>https://hisforhomeblog.com/</t>
  </si>
  <si>
    <t>http://www.peevish.co.uk/slang/language-links.htm</t>
  </si>
  <si>
    <t>https://www.hollywoodmirrors.co.uk/blogs/guide/moving-made-easy-preparations-for-a-smooth-transition</t>
  </si>
  <si>
    <t>sales@hollywoodmirrors.co.uk</t>
  </si>
  <si>
    <t>Interior Design</t>
  </si>
  <si>
    <t>https://lovechicliving.co.uk/guide-packing-before-moving/</t>
  </si>
  <si>
    <t>https://www.ibtimes.co.uk/common-obstacles-during-london-relocations-1747318</t>
  </si>
  <si>
    <t>https://americanspcc.org/9-helpful-tips-for-moving-with-kids-without-the-meltdowns/</t>
  </si>
  <si>
    <t>https://threebestrated.co.uk/removal-companies-in-slough</t>
  </si>
  <si>
    <t>https://intheplayroom.co.uk/10-reasons-to-move-to-a-new-neighbourhood/</t>
  </si>
  <si>
    <t>Luciana</t>
  </si>
  <si>
    <t>luciana@intheplayroom.co.uk</t>
  </si>
  <si>
    <t>Generic</t>
  </si>
  <si>
    <t>https://www.luxuo.com/properties/bought-your-property-heres-how-to-make-your-move-stress-free.html</t>
  </si>
  <si>
    <t>https://www.healthstaffdiscounts.co.uk/biz/a/50365-happy2move</t>
  </si>
  <si>
    <t>https://mordictionary.neocities.org/</t>
  </si>
  <si>
    <t>https://diib.com/featuredmembers/category/our-clients/page/761/</t>
  </si>
  <si>
    <t>https://www.inkl.com/news/how-to-eliminate-empty-space-in-your-kitchen-9-expert-designer-solutions-our-editors-love</t>
  </si>
  <si>
    <t>https://bmmagazine.co.uk/business/moving-business-premises-in-london-top-tips/</t>
  </si>
  <si>
    <t>https://www.weareaspire.com/blog/2016/03/%2Ftop-20-things-to-do-in-london-this-easter</t>
  </si>
  <si>
    <t>https://mummyconstant.com/a-mini-guide-to-a-clutter-free-home/</t>
  </si>
  <si>
    <t>https://www.londondaily.news/moving-offices-is-no-cake-walk/</t>
  </si>
  <si>
    <t>https://www.mylocalservices.co.uk/Happy+2+Move+Ltd-Slough-2406731.html</t>
  </si>
  <si>
    <t>https://nethouseprices.com/news/show/3502/moving-made-easy-how-to-plan-pack-and-settle-into-your-new-home</t>
  </si>
  <si>
    <t>https://london-post.co.uk/five-advantages-of-using-a-truck-hire-for-your-next-office-move/</t>
  </si>
  <si>
    <t xml:space="preserve">Paul Wright </t>
  </si>
  <si>
    <t>paulw@london-post.co.uk</t>
  </si>
  <si>
    <t>info@2tromgroup.co.uk</t>
  </si>
  <si>
    <t>News</t>
  </si>
  <si>
    <t>https://www.littlestuff.co.uk/how-to-achieve-a-stress-free-move/</t>
  </si>
  <si>
    <t>info@littlestuff.co.uk</t>
  </si>
  <si>
    <t>https://londonlovesbusiness.com/strategic-considerations-before-moving-your-business/</t>
  </si>
  <si>
    <t>https://landing.residentialland.com/2016/08/moving-central-london-property-top-ten-packing-moving-day-tips/</t>
  </si>
  <si>
    <t>https://clay.earth/profile/london-humphreys</t>
  </si>
  <si>
    <t>https://www.thestudentroom.co.uk/showthread.php?t=6598736</t>
  </si>
  <si>
    <t>https://britishforcesdiscounts.co.uk/biz/a/142832-Happy2Move-Removals-/-Storage</t>
  </si>
  <si>
    <t>https://amazingarchitecture.com/articles/features-of-traditional-maltese-houses</t>
  </si>
  <si>
    <t>https://www.realtor.com/advice/finance/hoa-special-assessments-stalled-projects/</t>
  </si>
  <si>
    <t>https://www.dawn.com/news/1939132</t>
  </si>
  <si>
    <t>https://www.sfgate.com/realestate/article/how-a-national-housing-emergency-could-open-more-21041521.php</t>
  </si>
  <si>
    <t>https://timesofmalta.com/article/darscover-launches-full-gozo-coverage-malta-regional-search-a2.1119834</t>
  </si>
  <si>
    <t>https://www.apartmenttherapy.com/80s-brass-back-37517179</t>
  </si>
  <si>
    <t>https://www.gobankingrates.com/investing/real-estate/us-cities-where-middle-class-families-are-quietly-thriving/</t>
  </si>
  <si>
    <t>https://www.wallstreetmojo.com/real-estate-investment-strategy/</t>
  </si>
  <si>
    <t>https://www.iplocation.net/tangible-assets-in-2025-how-adus-and-real-estate-still-drive-real-returns</t>
  </si>
  <si>
    <t>https://www.apollotechnical.com/2025-market-moves-innovations-and-trends-reshaping-real-estate/</t>
  </si>
  <si>
    <t>info@apollotechnical.com</t>
  </si>
  <si>
    <t>Business</t>
  </si>
  <si>
    <t>https://underconstructionpage.com/the-ultimate-list-of-real-estate-tools-for-investors-to-automate-and-optimize-their-strategy/</t>
  </si>
  <si>
    <t>https://hyscaler.com/insights/property-technology-real-estate/</t>
  </si>
  <si>
    <t>info@hyscaler.com</t>
  </si>
  <si>
    <t>Technology</t>
  </si>
  <si>
    <t>https://traveltweaks.com/from-resorts-to-residency-travel-destinations-that-offer-citizenship-by-investment-68855/</t>
  </si>
  <si>
    <t>hello@traveltweaks.com</t>
  </si>
  <si>
    <t>Travel</t>
  </si>
  <si>
    <t>https://www.maltatoday.com.mt/business/tech/136731/proptech_innovation_in_malta_building_a_smarter_property_portal_for_the_ai_age</t>
  </si>
  <si>
    <t>https://www.illum.com.mt/ahbarijiet/kummercjali/73439/godod_odda_ta_darscover_jpou_lil_gawdex_u_rrejuni_ta_malta_fuq_ilmappa_talproprjet</t>
  </si>
  <si>
    <t>https://nerdbot.com/2024/07/22/where-do-most-buyers-find-their-homes/</t>
  </si>
  <si>
    <t>https://www.kyleads.com/blog/how-to-generate-leads-as-a-real-estate-professional/</t>
  </si>
  <si>
    <t>https://neoreach.com/best-real-estate-social-media-campaigns-and-influencers/</t>
  </si>
  <si>
    <t>https://tribulant.com/blog/business/6-tech-driven-solutions-transforming-real-estate-transactions/</t>
  </si>
  <si>
    <t>https://www.skillsyouneed.com/rhubarb/commercial-real-estate.html</t>
  </si>
  <si>
    <t>https://lovinmalta.com/accomodation/discover-maltas-newest-property-platform-built-for-the-future-of-real-estate/</t>
  </si>
  <si>
    <t>https://repliescorner.com/how-rental-property-accounting-software-can-make-your-job-easier/</t>
  </si>
  <si>
    <t>support@seolinkers.com</t>
  </si>
  <si>
    <t>https://idealmagazine.co.uk/the-uks-favourite-and-most-affordable-european-wedding-destinations/</t>
  </si>
  <si>
    <t>https://markmeets.com/experiences/holidaying-in-malta/</t>
  </si>
  <si>
    <t xml:space="preserve">Dan </t>
  </si>
  <si>
    <t>dan@markmeets.com</t>
  </si>
  <si>
    <t>info@markmeets.com</t>
  </si>
  <si>
    <t>https://www.webdew.com/blog/real-estate-video-marketing</t>
  </si>
  <si>
    <t>https://deliberatedirections.com/best-commercial-real-estate-platforms/</t>
  </si>
  <si>
    <t>Brett Wharton</t>
  </si>
  <si>
    <t>brett@deliberatedirections.com</t>
  </si>
  <si>
    <t>alli@deliberatedirections.com</t>
  </si>
  <si>
    <t>https://thedatascientist.com/unlocking-real-estate-investment-with-data-insights/</t>
  </si>
  <si>
    <t>https://www.guidememalta.com/en/looking-for-a-home-in-malta-darscover-makes-finding-your-ideal-property-simple</t>
  </si>
  <si>
    <t>https://aicontentfy.com/en/blog/lead-generation-strategies-for-real-estate-professionals</t>
  </si>
  <si>
    <t>contact@aicontentfy.com</t>
  </si>
  <si>
    <t>https://breakingthelines.com/opinion/from-sand-to-skylines-dubais-insightful-real-estate-development-story/</t>
  </si>
  <si>
    <t>https://www.mysanantonio.com/realestate/article/how-a-national-housing-emergency-could-open-more-21041521.php</t>
  </si>
  <si>
    <t>https://prnews.io/blog/top-10-real-estate-marketing-agencies-in-the-usa-how-to-distribute-your-brand-content.html</t>
  </si>
  <si>
    <t>https://paylinedata.com/blog/preparing-a-property-for-sale</t>
  </si>
  <si>
    <t>Colin Driscoll</t>
  </si>
  <si>
    <t>colin@paylinedata.com</t>
  </si>
  <si>
    <t>Finance</t>
  </si>
  <si>
    <t>https://gisuser.com/2023/06/real-estate-website-development-must-have-features-costs-and-timeframes/</t>
  </si>
  <si>
    <t>https://www.beaumontenterprise.com/realestate/article/how-a-national-housing-emergency-could-open-more-21041521.php</t>
  </si>
  <si>
    <t>https://reverbico.com/blog/the-future-of-real-estate-technology-trends/</t>
  </si>
  <si>
    <t>https://www.europeanbusinessreview.com/dive-into-success-with-pool-services-postcards/</t>
  </si>
  <si>
    <t>https://www.motocms.com/blog/en/how-to-do-seo-for-real-estate-website-6-common-mistakes/</t>
  </si>
  <si>
    <t>https://whoswho.mt/en/we-re-trying-to-bring-joy-back-into-finding-a-home-how-darscover-is-transforming-malta-s-property-market</t>
  </si>
  <si>
    <t>https://renuityhome.com/about-us/our-brands/</t>
  </si>
  <si>
    <t xml:space="preserve">Daniel </t>
  </si>
  <si>
    <t>danieljgluck@gmail.com</t>
  </si>
  <si>
    <t>Home</t>
  </si>
  <si>
    <t>https://www.spiffyspools.com/spiffy-speak/5-patio-door-curtain-ideas/</t>
  </si>
  <si>
    <t>https://www.homeworksenergy.com/signs-your-older-windows-are-affecting-your-energy-bill/</t>
  </si>
  <si>
    <t>graham.bill@yahoo.com</t>
  </si>
  <si>
    <t>customersupport@homeworksenergy.com</t>
  </si>
  <si>
    <t>Home Impv</t>
  </si>
  <si>
    <t>https://www.callrevise.com/our-story/</t>
  </si>
  <si>
    <t xml:space="preserve">Calvin </t>
  </si>
  <si>
    <t>calvind@callrevise.com</t>
  </si>
  <si>
    <t>hello@callrevise.com</t>
  </si>
  <si>
    <t>https://tranio.com/articles/home-design-trends-for-2025-what-will-be-trendy/</t>
  </si>
  <si>
    <t xml:space="preserve">Polina </t>
  </si>
  <si>
    <t>fedotova@tranio.com</t>
  </si>
  <si>
    <t>info@tranio.com</t>
  </si>
  <si>
    <t>Real Estate</t>
  </si>
  <si>
    <t>https://www.quickanddirtytips.com/articles/5-signs-its-time-to-replace-your-bathtub-in-montgomery-county/</t>
  </si>
  <si>
    <t>https://greenecodream.com/the-top-7-ways-to-prevent-door-hinges-from-squeaking-and-rusting/</t>
  </si>
  <si>
    <t>info@greenecodream.com</t>
  </si>
  <si>
    <t>https://wellbeingmagazine.com/the-impact-of-proper-window-cleaning-on-light-and-room-brightness/</t>
  </si>
  <si>
    <t xml:space="preserve">Rachel </t>
  </si>
  <si>
    <t>rachel@wellbeingmagazine.com</t>
  </si>
  <si>
    <t>https://skyryedesign.com/tips/key-features-that-make-a-bathroom-remodel-worthwhile/</t>
  </si>
  <si>
    <t>https://michaelhelwiginteriors.com/2017-blog/2025/3/17/effortless-midcentury-modern-decor-for-a-timeless-look</t>
  </si>
  <si>
    <t>Michael</t>
  </si>
  <si>
    <t>hello@michaelhelwiginteriors.com</t>
  </si>
  <si>
    <t>Interior</t>
  </si>
  <si>
    <t>https://www.lovehappensmag.com/blog/2024/11/15/the-ultimate-guide-to-transforming-your-home-and-saving-money-with-energy-efficient-windows/</t>
  </si>
  <si>
    <t>https://fooddrinklife.com/choosing-windows/</t>
  </si>
  <si>
    <t>Jenn</t>
  </si>
  <si>
    <t>writerjenn1@gmail.com</t>
  </si>
  <si>
    <t>info@fooddrinklife.com</t>
  </si>
  <si>
    <t>https://islandpaints.com/home-decorating-tips/installing-roof-shingles-for-christmas/</t>
  </si>
  <si>
    <t>daniel@islandpaints.com</t>
  </si>
  <si>
    <t>sales@islandpaints.com</t>
  </si>
  <si>
    <t>https://www.unfinishedman.com/rich-bathroom-inspiration/</t>
  </si>
  <si>
    <t>https://siit.co/guestposts/the-impact-of-a-kohler-shower-on-your-home/</t>
  </si>
  <si>
    <t>https://portsmouthnh.ticketsauce.com/e/975-wokq-chowder-festival</t>
  </si>
  <si>
    <t>https://retail-insider.com/page/11/?id=a0Ua000000Ab6akEAB&amp;fullscreen=1&amp;task=get&amp;url=https%3A%2F%2Fthenewsbizz.site</t>
  </si>
  <si>
    <t>https://mygreenbucks.net/choosing-the-perfect-home-remodeling-contractor-your-guide-to-success/</t>
  </si>
  <si>
    <t>contact@mygreenbucks.net</t>
  </si>
  <si>
    <t>https://www.cbinsights.com/company/home-smart-industries/financials</t>
  </si>
  <si>
    <t>https://decoratoradvice.com/diy-vs-hiring-professionals-what-you-need-to-know-for-your-bathroom-remodel/</t>
  </si>
  <si>
    <t>https://www.sciencetimes.com/articles/50539/20240604/maximizing-shower-space-the-benefits-of-installing-floating-shelves.htm</t>
  </si>
  <si>
    <t>info@sciencetimes.com</t>
  </si>
  <si>
    <t>https://b2b.getemail.io/rite-window-boston-ma-company-6986702.html</t>
  </si>
  <si>
    <t>https://sidehustles.com/job/1099-master-plumber-fa2b4445/</t>
  </si>
  <si>
    <t>https://www.webfx.com/industries/home-repair/window-door-companies/web-design/#6567b7d0ce08b-0</t>
  </si>
  <si>
    <t>https://mandolin-ellipse-j9be.squarespace.com/</t>
  </si>
  <si>
    <t>https://slapdashmom.com/budgeting-for-a-bathroom-remodel-mastering-the-art-of-reality/</t>
  </si>
  <si>
    <t>https://4.bing.com/images/search?q=Window+Minimize+Shortcut+Key&amp;qft=&amp;FORM=IRMHTS</t>
  </si>
  <si>
    <t>https://train.cyberoptik.net/blog/best-window-and-door-website-designs/</t>
  </si>
  <si>
    <t>https://www.iberkshires.com/story/75903/To-DIY-or-Not-to-DIY-The-Pros-and-Cons-of-Professional.html</t>
  </si>
  <si>
    <t>https://simplifylivelove.com/how-to-choose-the-best-top-rated-energy-efficient-windows/</t>
  </si>
  <si>
    <t>Michelle</t>
  </si>
  <si>
    <t>michelle@simplifylivelove.com</t>
  </si>
  <si>
    <t>https://grabjobs.co/us/job/contract/others/1099-bath-installer-143772763</t>
  </si>
  <si>
    <t>http://capeannma.chambermaster.com/events/details/festival-by-the-sea-2025-34912?calendarMonth=2025-08-01</t>
  </si>
  <si>
    <t>https://www.elocal.com/profile/rite-window-of-plainville-22198421/?cid=502</t>
  </si>
  <si>
    <t>https://location.com/categories/contractors/pa/aston/en/rite-window-of-aston-3661083489</t>
  </si>
  <si>
    <t>https://www.housedigest.com/924843/the-best-roof-color-if-you-have-a-white-house/</t>
  </si>
  <si>
    <t>staff@housedigest.com</t>
  </si>
  <si>
    <t>https://directory.yext.com/en/rite-window-of-massachusetts-3661084814</t>
  </si>
  <si>
    <t>https://dev.rockportusa.com/events/details/44th-annual-gloucester-waterfront-festival-34975</t>
  </si>
  <si>
    <t>https://handymanconnection.com/blueash/articles/extend-the-life-of-your-windows-with-these-simple-habits/</t>
  </si>
  <si>
    <t xml:space="preserve">Angelique </t>
  </si>
  <si>
    <t>amcmillan@handymanconnection.com</t>
  </si>
  <si>
    <t>hc1800@handymanconnection.com</t>
  </si>
  <si>
    <t>https://www.articlecube.com/how-plan-bathroom-remodel-setting-budget-and-scope</t>
  </si>
  <si>
    <t>https://www.cleanenergyresourceteams.org/company/wolf-river-electric</t>
  </si>
  <si>
    <t>https://www.iheart.com/podcast/462-the-power-trips-initials-g-29941064/</t>
  </si>
  <si>
    <t>https://www.solarnplus.com/exploring-the-efficiency-of-commercial-solar-panels-what-you-need-to-know/</t>
  </si>
  <si>
    <t>https://ppc.land/minnesota-solar-company-sues-google-over-false-ai-generated-claims/</t>
  </si>
  <si>
    <t>https://www.bbb.org/local/0704/bbb-foundation/torch</t>
  </si>
  <si>
    <t>https://houston.innovationmap.com/texas-power-outages-2025-2672403066.html</t>
  </si>
  <si>
    <t>https://www.thebluebook.com/iProView/1695168/wolf-river-electric-company/subcontractors/</t>
  </si>
  <si>
    <t>https://wefest.com/sponsors/</t>
  </si>
  <si>
    <t>https://3mopen.com/spectators/experience</t>
  </si>
  <si>
    <t>https://www.apotekaonline.rs/en/blog/Dandruff-and-hair-loss</t>
  </si>
  <si>
    <t>https://99wfmk.com/michigan-summer-ac-setting-recommendation/</t>
  </si>
  <si>
    <t>https://www.renewwisconsin.org/business-members/</t>
  </si>
  <si>
    <t>https://www.liverpoolworld.uk/community/north-vs-south-data-reveals-ps300k-gets-you-more-home-space-in-liverpool-5178577</t>
  </si>
  <si>
    <t>https://wgrd.com/ixp/691/p/michigan-consumers-gas-bill-increase/</t>
  </si>
  <si>
    <t>https://saoic.org/alumni/</t>
  </si>
  <si>
    <t>http://innercitytennis.org/acesandales/</t>
  </si>
  <si>
    <t>https://fatjoe.com/blog/fatjoe-x-wolf-river-electric/</t>
  </si>
  <si>
    <t>https://wkfr.com/ixp/691/p/michigan-consumers-gas-bill-increase/</t>
  </si>
  <si>
    <t>https://growthscribe.com/using-tech-driven-energy-solutions-to-boost-b2b-branding/</t>
  </si>
  <si>
    <t>https://myb106.com/ixp/513/p/central-texas-power-project/</t>
  </si>
  <si>
    <t>https://www.spreaker.com/podcast/the-power-trip-s-initials-game--3192371</t>
  </si>
  <si>
    <t>https://981thehawk.com/summer-power-outages-new-york/</t>
  </si>
  <si>
    <t>https://wrkr.com/ixp/691/p/michigan-consumers-gas-bill-increase/</t>
  </si>
  <si>
    <t>https://www.examinerlive.co.uk/news/cost-of-living/coffee-habit-costs-you-40-31789025</t>
  </si>
  <si>
    <t>https://indianjadibooti.com/Jadistore/blog-headlines/indianjadibooti-spirulina-powder</t>
  </si>
  <si>
    <t>https://nextmagazine.co.uk/innovations-in-commercial-solar-energy/</t>
  </si>
  <si>
    <t>https://wpst.com/peddlers-village-best-shopping-center/</t>
  </si>
  <si>
    <t>https://www.thefranchiseking.com/thriving-franchise-business</t>
  </si>
  <si>
    <t>https://easybib.co.uk/solar-installers-bringing-clean-energy-to-your-home/</t>
  </si>
  <si>
    <t>https://techmoran.com/2025/06/05/5-reasons-businesses-are-switching-to-solar-energy/</t>
  </si>
  <si>
    <t>https://witl.com/ixp/691/p/michigan-consumers-gas-bill-increase/</t>
  </si>
  <si>
    <t>https://www.nationalworld.com/lifestyle/money/data-reveals-uk-regions-where-driving-electric-saves-the-most-5178387</t>
  </si>
  <si>
    <t>https://thefutureofthings.com/25840-creating-a-green-business-10-tips-for-managing-your-energy-consumption/</t>
  </si>
  <si>
    <t>https://businessmodelanalyst.com/smart-strategies-to-cut-costs-and-boost-your-business-bottom-line/</t>
  </si>
  <si>
    <t>https://xlcountry.com/montana-utilities/</t>
  </si>
  <si>
    <t>https://www.sussexexpress.co.uk/education/brighton-hove-is-one-of-the-best-cities-for-graduates-in-2025-see-the-full-top-10-rankings-5173306</t>
  </si>
  <si>
    <t>https://letsreachsuccess.com/make-your-business-eco-friendly/</t>
  </si>
  <si>
    <t>https://vizologi.com/remote-working-and-sustainability-a-perfect-match-in-the-cloud/</t>
  </si>
  <si>
    <t>https://www.podchaser.com/podcasts/the-power-trips-initials-game-2266522</t>
  </si>
  <si>
    <t>https://scubby.com/enhancing-business-efficiency-with-energy-saving-electrical-solutions/</t>
  </si>
  <si>
    <t>https://cnynews.com/ixp/704/p/power-outages-2025-comparison/</t>
  </si>
  <si>
    <t>https://www.starleaf.com/blog/eco-friendly-workspace-solutions-for-businesses/</t>
  </si>
  <si>
    <t>https://katsfm.com/washington-energy-efficiency/</t>
  </si>
  <si>
    <t>https://theincmagazine.com/high-roi-fast-payback-best-investments-for-your-business/</t>
  </si>
  <si>
    <t>https://www.enfsolar.com/wolf-river-electric</t>
  </si>
  <si>
    <t>https://wmmq.com/ixp/691/p/michigan-consumers-gas-bill-increase/</t>
  </si>
  <si>
    <t>https://www.arcamax.com/homeandleisure/homearticles/s-3704667</t>
  </si>
  <si>
    <t>https://vocabbliss.com/a-business-owners-guide-to-switching-to-solar-power/</t>
  </si>
  <si>
    <t>https://austin.culturemap.com/news/city-life/texas-power-outages-summer-2025/</t>
  </si>
  <si>
    <t>Brianna</t>
  </si>
  <si>
    <t>brianna@culturemap.com</t>
  </si>
  <si>
    <t>eric@culturemap.com</t>
  </si>
  <si>
    <t>https://1033thegoat.com/ixp/513/p/central-texas-power-project/</t>
  </si>
  <si>
    <t>https://applemagazine.com/7-home-investments-that-end-up-paying-for-themselves/</t>
  </si>
  <si>
    <t>https://wcrz.com/ixp/691/p/michigan-consumers-gas-bill-increase/</t>
  </si>
  <si>
    <t>https://975now.com/ixp/691/p/consumers-energy-rate-hike-michigan/</t>
  </si>
  <si>
    <t>https://techbuzzireland.com/2025/06/06/5-green-initiatives-every-business-should-implement/</t>
  </si>
  <si>
    <t>https://www.digitaljournal.com/business/why-sustainable-businesses-will-win/article</t>
  </si>
  <si>
    <t>https://popcrush.com/using-chapstick-lip-balms-dry-out-chapped/</t>
  </si>
  <si>
    <t>https://www.glasgowworld.com/community/data-reveals-glasgow-is-the-top-uk-city-without-internet-access-5173184</t>
  </si>
  <si>
    <t>https://991thewhale.com/ixp/498/p/summer-power-outages-new-york/</t>
  </si>
  <si>
    <t>https://www.cachevalleydaily.com/experts-hail-utah-as-one-of-the-few-states-in-which-switching-to-electric-vehicles/article_6cf57fba-a903-4b7f-b34a-611bfed7f88c.html</t>
  </si>
  <si>
    <t>https://www.notsalmon.com/2025/06/11/what-modern-clients-expect-from-forward-thinking-companies/</t>
  </si>
  <si>
    <t>https://secure2.websrvcs.com/system/media/play.asp?id=30216&amp;key=axcjdgpyqluzfigibwdn</t>
  </si>
  <si>
    <t>https://wrrv.com/power-outages-2025-comparison/</t>
  </si>
  <si>
    <t>https://thedesigntourist.com/green-tech-that-does-more-for-your-home-than-you-think/</t>
  </si>
  <si>
    <t>https://banana1015.com/ixp/691/p/michigan-consumers-gas-bill-increase/</t>
  </si>
  <si>
    <t>https://1995.ng/kids-tablet-blog/Atouch-X19pro</t>
  </si>
  <si>
    <t>https://icytales.com/5-ways-to-reduce-your-businesss-environmental-impact-in-2025/</t>
  </si>
  <si>
    <t>https://1057thehawk.com/ixp/942/p/peddlers-village-best-shopping-center/</t>
  </si>
  <si>
    <t>https://www.cowboybootstore.co.uk/blog/Cowboy,%20Boots,%20Cowboy%20boots,%20Western,%20Western%20wear,%20Boho,%20Cowgirl</t>
  </si>
  <si>
    <t>https://www.sweetsofties.com/2025/05/4-home-projects-that-add-value-to-your-property.html?m=0</t>
  </si>
  <si>
    <t>https://www.bristolpost.co.uk/news/cost-of-living/coffee-habit-costs-you-40-10238900</t>
  </si>
  <si>
    <t>https://podscan.fm/podcasts/the-power-trips-initials-game</t>
  </si>
  <si>
    <t>https://north65chamber.preview.gochambermaster.com/list/member/wolf-river-electric-isanti-779</t>
  </si>
  <si>
    <t>https://710keel.com/louisiana-outage-risk-high/</t>
  </si>
  <si>
    <t>https://www.housebeautiful.com/lifestyle/a64841107/states-at-risk-summer-blackout/</t>
  </si>
  <si>
    <t>https://journaltimes.com/life-entertainment/article_abec2c22-a9ca-5bd8-9391-c648a33a2469.html</t>
  </si>
  <si>
    <t>https://www.intelligenthq.com/solar-incentives-that-make-solar-more-affordable-near-you/</t>
  </si>
  <si>
    <t>editor@intelligent.com</t>
  </si>
  <si>
    <t>info@ztudium.com</t>
  </si>
  <si>
    <t>https://www.thisoldhouse.com/near-me/minnesota/roseville/solar</t>
  </si>
  <si>
    <t>https://members.woodburychamber.org/list/member/wolf-river-electric-isanti-13429</t>
  </si>
  <si>
    <t>https://www.scotsman.com/community/data-reveals-driving-electric-pays-off-most-in-scotland-5177906</t>
  </si>
  <si>
    <t>https://q1057.com/ixp/498/p/new-york-summer-outages/</t>
  </si>
  <si>
    <t>https://mykisscountry937.com/ixp/180/p/louisiana-outage-risk-high/</t>
  </si>
  <si>
    <t>https://www.manchesterworld.uk/community/north-vs-south-data-reveals-ps300k-gets-you-more-home-space-in-manchester-5178596</t>
  </si>
  <si>
    <t>https://610kona.com/ixp/137/p/washington-energy-efficiency/</t>
  </si>
  <si>
    <t>https://swanseabaynews.com/data-reveals-driving-electric-does-not-pay-off-in-wales/</t>
  </si>
  <si>
    <t>https://newstalkkit.com/ixp/137/p/washington-energy-efficiency/</t>
  </si>
  <si>
    <t>https://929thebull.com/ixp/137/p/washington-energy-efficiency/</t>
  </si>
  <si>
    <t>https://www.brainzmagazine.com/post/from-grassroots-to-grid-power-the-story-of-wolf-river-electric</t>
  </si>
  <si>
    <t>https://www.savingadvice.com/articles/2025/05/23/10157033_mistakes-when-installing-solar-panels.html</t>
  </si>
  <si>
    <t>https://liteonline.com/ixp/95/p/alert-wildfire-season-is-open-this-week-in-idaho/</t>
  </si>
  <si>
    <t>https://www.solarpowerworldonline.com/2023/04/sunpower-brings-wolf-river-electric-into-dealer-accelerator-program/</t>
  </si>
  <si>
    <t>kellypickerel@gmail.com</t>
  </si>
  <si>
    <t>kpickerel@wtwhmedia.com</t>
  </si>
  <si>
    <t>https://impactwealth.org/the-sustainable-trends-currently-dominating-the-real-estate-landscape/</t>
  </si>
  <si>
    <t>https://k945.com/ixp/180/p/louisiana-outage-risk-high/</t>
  </si>
  <si>
    <t>https://mix106radio.com/ixp/95/p/alert-wildfire-season-is-open-this-week-in-idaho/</t>
  </si>
  <si>
    <t>https://ny.taxconcept.net/2025/07/18/summer-power-outages-in-new-york-essential-tips/</t>
  </si>
  <si>
    <t>https://1045theteam.com/ixp/498/p/new-york-summer-outages/</t>
  </si>
  <si>
    <t>https://momhomeguide.com/8-smart-ways-save-money-your-energy-bills/</t>
  </si>
  <si>
    <t>Lauren</t>
  </si>
  <si>
    <t>momhomeguide@gmail.com</t>
  </si>
  <si>
    <t>https://www.stockmanbank.com/help/frequently-asked-questions/what-is-ebiz</t>
  </si>
  <si>
    <t>contact@stockmanbank.com</t>
  </si>
  <si>
    <t>https://lonestar995fm.com/ixp/513/p/central-texas-power-project/</t>
  </si>
  <si>
    <t>https://us105fm.com/ixp/513/p/central-texas-power-project/</t>
  </si>
  <si>
    <t>https://keyw.com/ixp/137/p/washington-energy-efficiency/</t>
  </si>
  <si>
    <t>https://1130thetiger.com/ixp/180/p/louisiana-outage-risk-high/</t>
  </si>
  <si>
    <t>https://www.newcastleworld.com/community/north-vs-south-data-reveals-ps300k-gets-you-more-home-space-in-newcastle-upon-tyne-5178421</t>
  </si>
  <si>
    <t>https://www.fingerlakes1.com/2025/05/22/what-are-the-best-eco-friendly-investments-for-americans-to-also-save-money/</t>
  </si>
  <si>
    <t>https://goodpods.com/podcasts/the-power-trips-initials-game-27203/the-581st-initials-game-initials-major-16-live-from-detroit-lakes-95792959</t>
  </si>
  <si>
    <t>https://nj1015.com/ixp/498/p/new-york-summer-outages/</t>
  </si>
  <si>
    <t>https://michiganmamanews.com/2025/05/30/how-to-raise-your-kids-to-be-tomorrows-eco-warriors/</t>
  </si>
  <si>
    <t xml:space="preserve">Lindsey </t>
  </si>
  <si>
    <t>lindsey@michiganmamanews.com</t>
  </si>
  <si>
    <t>https://thetradable.com/opinions/the-future-of-sustainable-business-practices-what-you-need-to-know</t>
  </si>
  <si>
    <t>info@thetradable.com</t>
  </si>
  <si>
    <t>editor@thetradable.com</t>
  </si>
  <si>
    <t>https://thecinnamonhollow.com/prepare-your-household-for-a-power-cut/</t>
  </si>
  <si>
    <t>https://europeanbusinessmagazine.com/business/solar-energy-in-business-7-strategies-for-sustainability/</t>
  </si>
  <si>
    <t>Nick Staunton</t>
  </si>
  <si>
    <t>nickstaunton@europeanbusinessmagazine.com</t>
  </si>
  <si>
    <t>info@europeanbusinessmagazine.com</t>
  </si>
  <si>
    <t>news</t>
  </si>
  <si>
    <t>https://my1035.com/ixp/12/p/montana-utilities/</t>
  </si>
  <si>
    <t>https://rivergrandrapids.com/ixp/691/p/summer-storms-could-mean-big-blackouts-for-michigan/</t>
  </si>
  <si>
    <t>https://birdsandlilies.com/how-to-make-better-choices-for-your-business/</t>
  </si>
  <si>
    <t>Louise</t>
  </si>
  <si>
    <t xml:space="preserve"> louise@birdsandlilies.com</t>
  </si>
  <si>
    <t>https://wobm.com/ixp/942/p/peddlers-village-best-shopping-center/</t>
  </si>
  <si>
    <t>https://929thelake.com/ixp/180/p/louisiana-outage-risk-high/</t>
  </si>
  <si>
    <t>https://97rockonline.com/ixp/137/p/washington-energy-efficiency/</t>
  </si>
  <si>
    <t>https://kffm.com/ixp/137/p/washington-energy-efficiency/</t>
  </si>
  <si>
    <t>https://ecommercefastlane.com/clever-investments-to-make-in-your-business/</t>
  </si>
  <si>
    <t>https://943thepoint.com/ixp/942/p/peddlers-village-best-shopping-center/</t>
  </si>
  <si>
    <t>https://www.newsletter.co.uk/community/data-reveals-driving-electric-pays-off-in-northern-ireland-5177845</t>
  </si>
  <si>
    <t>https://mix957gr.com/ixp/691/p/michigan-power-outage-prep/</t>
  </si>
  <si>
    <t>https://1027kord.com/ixp/137/p/washington-energy-efficiency/</t>
  </si>
  <si>
    <t>https://wbckfm.com/ixp/690/p/humidity-relief-michigan/</t>
  </si>
  <si>
    <t>https://wgna.com/ixp/498/p/new-york-summer-outages/</t>
  </si>
  <si>
    <t>https://wnbf.com/ixp/498/p/summer-power-outages-new-york/</t>
  </si>
  <si>
    <t>https://www.blogarama.com/home-and-garden-blogs/1418221-commercial-residential-solar-panels-differences-similarities-blog</t>
  </si>
  <si>
    <t>https://kalkinemedia.com/ca/news/environment/wolf-river-electric-expands-and-launches-a-new-website</t>
  </si>
  <si>
    <t>https://1043wowcountry.com/ixp/95/p/alert-wildfire-season-is-open-this-week-in-idaho/</t>
  </si>
  <si>
    <t>https://www.meredithplays.com/the-most-meaningful-green-changes-you-can-make-to-your-home-this-summer/</t>
  </si>
  <si>
    <t>https://listwithclever.com/reviews/mark-spain-real-estate/</t>
  </si>
  <si>
    <t>https://www.realtrends.com/blog/2023/06/09/2023-the-thousand-real-estate-rankings-show-shining-stars/</t>
  </si>
  <si>
    <t>https://buildingbetteragents.com/top-real-estate-teams-2021/</t>
  </si>
  <si>
    <t>https://www.1045thezone.com/contests/</t>
  </si>
  <si>
    <t>https://www.housingwire.com/articles/realtrends-verified-agent-and-team-rankings-2024/</t>
  </si>
  <si>
    <t>https://atlantaagentmagazine.com/2025/10/24/making-moves-david-zanaty/</t>
  </si>
  <si>
    <t>John</t>
  </si>
  <si>
    <t>john.yellig@agentpublishing.com</t>
  </si>
  <si>
    <t>jacquelyn.mueller@agentpublishing.com</t>
  </si>
  <si>
    <t>https://aisdr.com/inc-5000-companies-ai-prospecting/mark-spain-real-estate/</t>
  </si>
  <si>
    <t>https://www.aeainvestors.com/portfolio/mark-spain-real-estate/</t>
  </si>
  <si>
    <t>https://showcaseidx.com/the-definitive-guide-to-real-estate-website-design-what-real-estate-agents-need-to-know-to-increase-gci/</t>
  </si>
  <si>
    <t>https://www.bankingstuffs.com/why-high-quality-listing-photos-matter-more-than-ever-in-2025/</t>
  </si>
  <si>
    <t>https://birdsandwings.com/learning-to-read-the-signs-what-timing-teaches-us-about-big-decisions/</t>
  </si>
  <si>
    <t>https://conversationswithbianca.com/mindfulness-spaces-for-moms-and-kids-orlandos-guide-to-creating-a-calm-corner/</t>
  </si>
  <si>
    <t>http://www.smiletotalk.com/blog/what-sells-best-in-tampa-neighborhood-trends-sellers-need-to-know</t>
  </si>
  <si>
    <t>https://www.kulfiy.com/understanding-buyer-psychology-through-data/</t>
  </si>
  <si>
    <t>https://www.businessmediagroup.co.uk/what-rising-interest-rates-mean-for-texas-homeowners-looking-to-sell-quickly/</t>
  </si>
  <si>
    <t>https://canvomagazine.com/exploring-the-cultural-influences-behind-home-choices/</t>
  </si>
  <si>
    <t>info@growmoregaze.com</t>
  </si>
  <si>
    <t>https://optimisticmommy.com/creating-a-forever-home-what-families-should-look-for-when-buying/</t>
  </si>
  <si>
    <t>https://www.smartbusinessdaily.com/sell-your-business-fast-or-for-maximum-value</t>
  </si>
  <si>
    <t>https://theusaleaders.com/articles/metrics-without-context/</t>
  </si>
  <si>
    <t>editor@theusaleaders.com</t>
  </si>
  <si>
    <t>https://nameswillow.com/how-home-identity-influences-buyer-perception/</t>
  </si>
  <si>
    <t>https://thegrowgarden.com/outdoor-hacks-for-home-sellers/</t>
  </si>
  <si>
    <t>contact.thegrowgarden@gmail.com</t>
  </si>
  <si>
    <t>https://www.fastexpert.com/agents/harmony-neely-70917/</t>
  </si>
  <si>
    <t>https://drhomey.com/how-much-does-a-home-appraisal-really-cost-in-2025/</t>
  </si>
  <si>
    <t>https://www.businessscroller.com/selling-for-cash-vs-traditional-sale/</t>
  </si>
  <si>
    <t>https://easyshiksha.com/news/home-loans-explained-a-beginners-guide-to-mortgages</t>
  </si>
  <si>
    <t>https://simplify.jobs/c/Mark-Spain-Real-Estate</t>
  </si>
  <si>
    <t>https://notinthekitchenanymore.com/category/interesting-facts/page/2/</t>
  </si>
  <si>
    <t>https://www.techsmartinfo.com/data-driven-real-estate/</t>
  </si>
  <si>
    <t>https://customergauge.com/benchmarks/companies/mark-spain-real-estate</t>
  </si>
  <si>
    <t>https://wirksmoving.com/blog/atlanta-real-estate-agents/</t>
  </si>
  <si>
    <t>info@wirksmoving.com</t>
  </si>
  <si>
    <t>Moving</t>
  </si>
  <si>
    <t>https://businesstechmoney.com/see-it-to-sell-it-why-great-listing-photos-win-over-sellers-and-buyers-alike/</t>
  </si>
  <si>
    <t>https://www.spiritedpuddlejumper.com/how-to-declutter-and-refresh-your-space-before-listing-your-home/</t>
  </si>
  <si>
    <t>https://www.zyxware.com/article/6471/list-of-inc-5000-companies-using-wordpress-for-their-websites</t>
  </si>
  <si>
    <t>https://www.carolinajournal.com/southern-sellers-worry-as-homes-sit-on-market-values-decline/</t>
  </si>
  <si>
    <t>info@carolinajournal.com</t>
  </si>
  <si>
    <t>https://www.inman.com/2021/11/25/the-case-for-reinvention-why-agents-should-always-be-adapting/</t>
  </si>
  <si>
    <t>https://globallycontent.com/skipping-repairs-and-avoiding-regrets-the-case-for-cash-sales-in-todays-fort-worth-market/</t>
  </si>
  <si>
    <t>https://baronton.com/fort-worths-historic-homes-turning-classic-charm-into-market-value/</t>
  </si>
  <si>
    <t>info@baronton.com</t>
  </si>
  <si>
    <t>https://magazinesweeklys.com/blog/boost-productivity-creating-the-perfect-home-office-in-jacksonville/</t>
  </si>
  <si>
    <t>https://craigscottcapital.com/5-market-forces-investors-should-watch-before-purchasing-property/</t>
  </si>
  <si>
    <t>info@craigscottcapital.com</t>
  </si>
  <si>
    <t>https://smallbusinesshouse.com/what-small-business-owners-should-know-about-selling-property-quickly-in-florida/</t>
  </si>
  <si>
    <t>https://www.noobpreneur.com/2025/09/26/how-property-trends-shape-startup-cities/</t>
  </si>
  <si>
    <t>press@noobpreneur.com</t>
  </si>
  <si>
    <t>info@noobpreneur.com</t>
  </si>
  <si>
    <t>https://www.rismedia.com/2021/02/10/mark-spain-named-2021-real-estate-newsmaker/</t>
  </si>
  <si>
    <t>Paige</t>
  </si>
  <si>
    <t>pbrown@rismedia.com</t>
  </si>
  <si>
    <t>realestatemagazinefeedback@rismedia.com</t>
  </si>
  <si>
    <t>https://msagears.com/real-estate-as-a-fast-track-exit-strategy-for-entrepreneurs/</t>
  </si>
  <si>
    <t>https://activepropertycare.com/why-bi-level-homes-are-making-a-comeback-and-how-to-market-yours/</t>
  </si>
  <si>
    <t>enquiries@activepropertycare.com</t>
  </si>
  <si>
    <t>https://investorweeklynews.com/blog/green-homes-and-esg-in-raleigh/</t>
  </si>
  <si>
    <t>https://www.asbn.com/small-business-shows/atlanta-small-business-show/how-this-local-real-estate-tycoon-is-giving-frontline-workers-much-needed-piece-of-mind-for-their-families-mark-spain/</t>
  </si>
  <si>
    <t>sales@asbn.com</t>
  </si>
  <si>
    <t>info@asbn.com</t>
  </si>
  <si>
    <t>https://www.businessparkzone.com/why-atlantas-housing-market-should-be-on-every-business-investors-radar/</t>
  </si>
  <si>
    <t>https://socialcatfish.com/best-people/best-real-estate-agents-in-athens-ga/</t>
  </si>
  <si>
    <t>https://exeleonmagazine.com/how-real-estate-professionals-build-market-credibility/</t>
  </si>
  <si>
    <t>https://techsolution.blog/tech/how-tech-is-shaping-modern-home-appraisals/</t>
  </si>
  <si>
    <t>https://www.financemostly.com/selling-your-house-as-is-what-to-expect-and-how-to-prepare/</t>
  </si>
  <si>
    <t>https://futurestartup.com/2025/03/20/the-intersection-of-real-estate-and-entrepreneurship/</t>
  </si>
  <si>
    <t>https://northpennnow.com/news/2025/jun/25/why-bi-level-homes-are-a-hidden-gem-in-todays-housing-market/</t>
  </si>
  <si>
    <t>https://www.build-review.com/top-emerging-dallas-neighborhoods-for-homebuyers/</t>
  </si>
  <si>
    <t>https://dgmnews.com/posts/key-real-estate-trends-every-homeowner-should-watch/</t>
  </si>
  <si>
    <t>https://glowtechy.com/tech-essentials-new-homeowners-smart-living-guide/</t>
  </si>
  <si>
    <t>https://himalayas.app/companies/mark-spain-real-estate/tech-stack</t>
  </si>
  <si>
    <t>https://livingpristine.com/atlanta-winter-warmth-timeless-holiday-decor-with-vintage-flair/</t>
  </si>
  <si>
    <t>contact@livingpristine.com</t>
  </si>
  <si>
    <t>https://oldhousesunder50k.com/c-1902-georgia-farmhouse-for-sale-on-2-14-acres/</t>
  </si>
  <si>
    <t>https://housesitmatch.com/blog/how-much-does-property-appraisal-cost/</t>
  </si>
  <si>
    <t>https://kreatecube.com/blog/real-estate/impact-of-hoa-fees-on-home-renovation-budgets</t>
  </si>
  <si>
    <t>https://www.texasrealestate.com/realtors/profile/?id=125002</t>
  </si>
  <si>
    <t>https://truv.com/verifications/mark-spain-team-employment-verification</t>
  </si>
  <si>
    <t>https://www.captainbobcat.com/why-downsizing-your-home-could-be-the-best-lifestyle-upgrade-yet/</t>
  </si>
  <si>
    <t>https://www.ibegin.com/directory/us/georgia/stockbridge/mark-spain-real-estate-352-corporate-center-court-1/</t>
  </si>
  <si>
    <t>https://www.997wtn.com/2019/01/02/wtn-steak-of-the-union/</t>
  </si>
  <si>
    <t>https://atlanta.curbed.com/2016/8/15/12483582/berkeley-park-modern-offered</t>
  </si>
  <si>
    <t>https://activerain.com/blogsview/3429861/house-for-sale-in-alpharetta-5520-kennemore-dr-by-the-mark-spain-team</t>
  </si>
  <si>
    <t>https://www.marketingmarine.com/blog/page/3/</t>
  </si>
  <si>
    <t>https://www.instantcheckmate.com/people/rachel-jackson/</t>
  </si>
  <si>
    <t>https://www.atlantamagazine.com/homeandgarden/where-to-buy-now-in-metro-atlanta/</t>
  </si>
  <si>
    <t>scottwilsonfreeman@gmail.com</t>
  </si>
  <si>
    <t>sfreeman@atlantamagazine.com</t>
  </si>
  <si>
    <t>https://www.beemoneysavvy.com/buying-smart-how-understanding-contingent-can-help-you-avoid-costly-mistakes/</t>
  </si>
  <si>
    <t>https://app.fundz.net/executives/mark-spain-real-estate-hired-6cab</t>
  </si>
  <si>
    <t>https://www.bloglovin.com/blogs/a-house-in-hills-12110977/7-things-to-do-before-you-move-into-a-new-8734028497</t>
  </si>
  <si>
    <t>https://earnyatra.com/smart-real-estate-moves/</t>
  </si>
  <si>
    <t>https://lookwhatmomfound.org/increase-your-homes-value-with-these-budget-kitchen-updates/</t>
  </si>
  <si>
    <t>dailyhappystyle@gmail.com</t>
  </si>
  <si>
    <t>https://laltoday.6amcity.com/newsletter/00000194-41f5-d9f3-a39f-f3fd28e90024</t>
  </si>
  <si>
    <t>https://breakingac.com/news/2025/aug/27/fast-property-sales-and-the-shifting-neighborhood-landscape/</t>
  </si>
  <si>
    <t>https://www.adwerx.com/blog/four-ways-to-not-think-about-your-sphere-of-influence</t>
  </si>
  <si>
    <t>https://disquantified.org/selling-your-nashville-home-during-divorce-what-couples-need-to-know/</t>
  </si>
  <si>
    <t>admin@disquantified.org</t>
  </si>
  <si>
    <t>https://www.axios.com/local/charlotte/2020/10/02/hot-homes-10-ranch-style-houses-for-sale-in-charlotte-right-now-starting-at-199k-234080</t>
  </si>
  <si>
    <t>https://www.firmsuggest.com/blog/real-estate-appraisals-timelines-and-business-implications/</t>
  </si>
  <si>
    <t>https://www.dealingsuccess.com/navigating-buyer-possession-dates-key-considerations-for-successful-deals/</t>
  </si>
  <si>
    <t>https://www.levels.fyi/sr-rs/companies/mark-spain-real-estate</t>
  </si>
  <si>
    <t>https://brightnis.com/cash-offers-are-back-why-1-in-4-sellers-now-wants-to-compare-cash-vs-traditional-listing/</t>
  </si>
  <si>
    <t>https://www.affluense.ai/profile/mark-spain-mark-spain-real-estate-5c9771</t>
  </si>
  <si>
    <t>https://blog.rteetech.com/ai-and-automation-in-the-real-estate-world-what-sellers-need-to-know/</t>
  </si>
  <si>
    <t>https://www.thodex.com/closing-deals-faster-how-tech-is-accelerating-home-sales/</t>
  </si>
  <si>
    <t>https://www.jobs.ca/org/87731fcb-487e-418d-b2c9-3e029df1d91a</t>
  </si>
  <si>
    <t>https://ccar.growthzoneapp.com/realtor-office/Details/epique-realty-llc-3293224</t>
  </si>
  <si>
    <t>https://ceocolumn.com/blog/leadership-lessons-from-the-real-estate-market-when-to-hold-and-when-to-list/</t>
  </si>
  <si>
    <t>https://www.letsdiskuss.com/post/what-first-time-sellers-in-florida-need-to-know-in-2025</t>
  </si>
  <si>
    <t>https://www.ezilon.com/regional/spain/business_and_economy/housing_and_real_estate/index.shtml</t>
  </si>
  <si>
    <t>https://dailzcaption.com/top-reasons-floridians-need-to-sell-their-homes-fast-and-how-cash-buyers-help/</t>
  </si>
  <si>
    <t>https://themusemark.com/the-art-of-waiting-how-insight-forms-before-action/</t>
  </si>
  <si>
    <t>info@themusemark.com</t>
  </si>
  <si>
    <t>https://www.geniusfirms.com/blog/streamlining-business-relocations-key-real-estate-considerations/</t>
  </si>
  <si>
    <t>https://trust.myoutdesk.com/</t>
  </si>
  <si>
    <t>https://www.wcr.org/profile/vontinese-johnson/</t>
  </si>
  <si>
    <t>https://www.atlantaonthecheap.com/companies-hiring-now/</t>
  </si>
  <si>
    <t>news@atlantaonthecheap.com</t>
  </si>
  <si>
    <t>https://mummytodex.com/family-friendly-floorplans-is-a-bi-level-home-right-for-you/</t>
  </si>
  <si>
    <t>Nicola</t>
  </si>
  <si>
    <t>mummytodex@gmail.com</t>
  </si>
  <si>
    <t>https://dev.waterfront-properties.com/blog/the-very-best-brokers-in-the-united-states-and-across-the-globe-stay-connected.html</t>
  </si>
  <si>
    <t>Rob</t>
  </si>
  <si>
    <t>rob-thomson@waterfront-properties.com</t>
  </si>
  <si>
    <t>info@waterfront-properties.com</t>
  </si>
  <si>
    <t>https://www.bignewsnetwork.com/news/278234468/how-smart-home-technology-is-reshaping-property-values-and-buyer-expectations</t>
  </si>
  <si>
    <t>http://businesslistings.salemsurround.com/mark-spain-real-estate-alpharetta/</t>
  </si>
  <si>
    <t>https://banholiday.simple.weon.website/best-white-dark-hat-linkbuilding-for-your-website-110/</t>
  </si>
  <si>
    <t>https://www.orangeobserver.com/news/2025/feb/19/arden-park-north-home-tops-ocoee-sales-from-feb-10-to-16/</t>
  </si>
  <si>
    <t>meng@orangeobserver.com</t>
  </si>
  <si>
    <t>contact@orangeobserver.com</t>
  </si>
  <si>
    <t>https://www.appsruntheworld.com/customers-database/customers/view/higher-tech-realty-united-states</t>
  </si>
  <si>
    <t>https://www.scoopcharlotte.com/2018/08/14/our-favorite-homes-for-sale-in-cotswold-right-now/</t>
  </si>
  <si>
    <t>https://insights.persana.ai/Mark%20Spain%20Real%20Estate</t>
  </si>
  <si>
    <t>https://endeavourarticles.com/homeownership-for-entrepreneurs-what-you-should-know-before-buying/</t>
  </si>
  <si>
    <t>contact@zoomearth.org</t>
  </si>
  <si>
    <t>https://topworkplaces.com/company/mark-spain-real-estate/ajc/</t>
  </si>
  <si>
    <t>https://bvent.biomedia.net/abstracts/x5ngm/article.php?id=mark-spain-guaranteed-offer</t>
  </si>
  <si>
    <t>https://www.repvue.com/companies/mark-spain-real-estate</t>
  </si>
  <si>
    <t>https://www.lorddecor.com/blog/mixing-modern-and-rustic-how-to-balance-comfort-with-clean-lines</t>
  </si>
  <si>
    <t>https://www.neustarlocaleze.biz/directory/us/?after=2024-08-12T19:50:44.177992Z&amp;count=50</t>
  </si>
  <si>
    <t>https://www.realestatewitch.com/we-buy-houses-for-cash-companies/oklahoma/tulsa/</t>
  </si>
  <si>
    <t>https://geebo.com/services/view/id/1940041-tulsa-home-buyers-/</t>
  </si>
  <si>
    <t>https://www.nikkisplate.com/how-to-prepare-your-home-for-a-new-shower-installation/</t>
  </si>
  <si>
    <t>Nikki</t>
  </si>
  <si>
    <t>nikkibahan@gmail.com</t>
  </si>
  <si>
    <t>https://www.sneakymommies.com/8-warning-signs-you-need-a-plumber-right-away/</t>
  </si>
  <si>
    <t>https://nexthome.ca/news/smart-plumbing-in-the-digital-age-transforming-home-systems/65792</t>
  </si>
  <si>
    <t>Ben</t>
  </si>
  <si>
    <t>ben@bullpenconsulting.ca</t>
  </si>
  <si>
    <t>info@nexthome.ca</t>
  </si>
  <si>
    <t>https://www.mothersalwaysright.com/how-to-find-and-hire-a-qualified-plumber/</t>
  </si>
  <si>
    <t>http://pieteikumi.lff.lv/?p=371474116</t>
  </si>
  <si>
    <t>https://www.torontomike.com/2021/07/the-most-common-plumbing-problems-in-a-kitchen-causes-diagnosing-and-fixing/</t>
  </si>
  <si>
    <t>http://www.breken.com/ylm/ylm_comp_detail.aspx?comp_id=654522&amp;name=Cheap+Plumber&amp;f=toronto</t>
  </si>
  <si>
    <t>https://exploregeorgia.org/cumming/things-to-do</t>
  </si>
  <si>
    <t>https://alpharetta.com/the-collection-forsyth/</t>
  </si>
  <si>
    <t>https://resourcecenter.lennar.com/atlanta/mountain-crest-luxurious-master-planned-community-in-south-forsyth/</t>
  </si>
  <si>
    <t>https://www.midgardselfstorage.com/georgia/cumming-ga/post-rd</t>
  </si>
  <si>
    <t>https://www.tratonhomes.com/courtyards-at-traditions-active-adult-cumming-ga/</t>
  </si>
  <si>
    <t>hello@tratonhomes.com</t>
  </si>
  <si>
    <t>floridaInfo@tratonhomes.com</t>
  </si>
  <si>
    <t>http://www.focochamber.org/visit-us/what-to-do/entertainment/</t>
  </si>
  <si>
    <t>https://www.southernbakedpie.com/pages/upcoming-events</t>
  </si>
  <si>
    <t>https://northgeorgialiving.com/shopping-the-hospitality-highway-til-you-drop/</t>
  </si>
  <si>
    <t>https://www.atlantarealestateforum.com/cumming-the-commuter-city-2/</t>
  </si>
  <si>
    <t>https://hotelguides.com/georgia/avenue-forsyth-ga-hotels.html</t>
  </si>
  <si>
    <t>https://belameresuites.com/georgia/cumming-area-guide/</t>
  </si>
  <si>
    <t>https://www.greystar.com/homes-to-rent/us/ga/lake-lanier-area/cumming</t>
  </si>
  <si>
    <t>https://www.tripinfo.com/shopping/ga</t>
  </si>
  <si>
    <t>https://www.justinlandisgroup.com/georgia/cumming</t>
  </si>
  <si>
    <t xml:space="preserve">Rebecca </t>
  </si>
  <si>
    <t>rebecca@justinlandisgroup.com</t>
  </si>
  <si>
    <t>hello@justinlandisgroup.com</t>
  </si>
  <si>
    <t>https://www.crexi.com/properties/1766819/georgia-shuckin-shack-oyster-bar</t>
  </si>
  <si>
    <t>https://empirehomes.com/resources/fun-things-to-do-in-cumming-ga-all-year-round/</t>
  </si>
  <si>
    <t>media@empirehomes.com</t>
  </si>
  <si>
    <t>info@empirehomes.com</t>
  </si>
  <si>
    <t>https://agentpronto.com/georgia/forsyth-county</t>
  </si>
  <si>
    <t>partners@agentpronto.com</t>
  </si>
  <si>
    <t>hello@agentpronto.com</t>
  </si>
  <si>
    <t>https://www.atlantaparent.com/event/the-annual-easter-event/</t>
  </si>
  <si>
    <t>https://steller.co/d/the-collection-at-36kKttm6yzNVqLYBwha74KH</t>
  </si>
  <si>
    <t>https://accesswdun.com/article/2019/11/854052/attention-shoppers-black-friday-hours-for-malls-some-major-retail-stores</t>
  </si>
  <si>
    <t>https://dev-fa-nextjs.familyassets.com/assisted-living/georgia/cumming/gardens-of-shiloh-point</t>
  </si>
  <si>
    <t>https://www.accessatlanta.com/atlanta-things-to-do/where-to-participate-in-egg-stra-special-easter-activities-in-metro-atlanta/RT4S42MSYZAAFMB2Y7CHIQ5M3Q/</t>
  </si>
  <si>
    <t>https://whatnow.com/atlanta/retail/indoor-pickleball-franchise-swings-into-georgia/</t>
  </si>
  <si>
    <t>Caleb</t>
  </si>
  <si>
    <t>caleb@whatnow.com</t>
  </si>
  <si>
    <t>contact@whatnow.com</t>
  </si>
  <si>
    <t>https://www.12onyourside.com/story/25810123/stony-point-fashion-park-sell-mall-6-others-to-new-owners/</t>
  </si>
  <si>
    <t>https://tripinfoapp.herokuapp.com/shopping/ga</t>
  </si>
  <si>
    <t>https://theprovidencegroup.com/blog/the-providence-group-featured-in-atlanta-agent-magazine/</t>
  </si>
  <si>
    <t>marketing@theprovidencegroup.com</t>
  </si>
  <si>
    <t>https://dollforum.com/forum/viewtopic.php?t=67550</t>
  </si>
  <si>
    <t>https://www.homes.com/property/the-jasmine-plan-estates-at-cameron-manor/ebclm2pw8zelm/</t>
  </si>
  <si>
    <t>https://v3.knowatlanta.com/blog/moving-to-dallas</t>
  </si>
  <si>
    <t>https://www.avemaria.com/</t>
  </si>
  <si>
    <t>https://www.ffxnow.com/</t>
  </si>
  <si>
    <t>https://www.centex.com/</t>
  </si>
  <si>
    <t>rmarshall@bellsouth.net</t>
  </si>
  <si>
    <t>https://www.milb.com/las-vegas</t>
  </si>
  <si>
    <t>https://www.thelvballpark.com/</t>
  </si>
  <si>
    <t>https://www.mismo.org/</t>
  </si>
  <si>
    <t>https://www.opportunityvillage.org/ovevents/magical-forest</t>
  </si>
  <si>
    <t>https://hockeydaymn.com/</t>
  </si>
  <si>
    <t>https://www.divosta.com/homes/florida/sarasota/englewood/beachwalk-by-manasota-key-210435</t>
  </si>
  <si>
    <t>https://www.pultegroupinc.com/about/overview/default.aspx</t>
  </si>
  <si>
    <t>https://bell.works/chicagoland/explore/</t>
  </si>
  <si>
    <t>https://www.mihomes.com/blog/detroit/best-builders-in-michigan</t>
  </si>
  <si>
    <t>contactsalesrequest@mihomes.com</t>
  </si>
  <si>
    <t>https://metrodevelopmentgroup.com/communities/seaire/</t>
  </si>
  <si>
    <t>https://www.jwhomes.com/</t>
  </si>
  <si>
    <t>https://www.dsldmortgage.com/blog/top-15-home-builders-in-houston-texas/</t>
  </si>
  <si>
    <t>Dana</t>
  </si>
  <si>
    <t>marketing@dsldmtg.com</t>
  </si>
  <si>
    <t>Mortgage</t>
  </si>
  <si>
    <t>https://login.pultemortgage.com/login</t>
  </si>
  <si>
    <t>https://www.multifamily.loans/apartment-finance-blog/the-top-10-multifamily-developers-in-the-united-states/</t>
  </si>
  <si>
    <t>https://lakenona.com/neighbourhoods/isles-of-lake-lona/</t>
  </si>
  <si>
    <t xml:space="preserve">Christina </t>
  </si>
  <si>
    <t>creed@lakenona.com</t>
  </si>
  <si>
    <t>info@lakenona.com</t>
  </si>
  <si>
    <t>https://www.nationalharbor.com/reside/</t>
  </si>
  <si>
    <t xml:space="preserve">Vicki </t>
  </si>
  <si>
    <t>vicki@bendurepr.com</t>
  </si>
  <si>
    <t>info@nationalharbor.com</t>
  </si>
  <si>
    <t>https://centurionamerican.com/developments/spiritas-ranch/</t>
  </si>
  <si>
    <t>info@centurionamerican.com</t>
  </si>
  <si>
    <t>Construction</t>
  </si>
  <si>
    <t>https://www.felixhomes.com/blog/best-high-production-home-builders-in-tennessee</t>
  </si>
  <si>
    <t xml:space="preserve">Tyler </t>
  </si>
  <si>
    <t xml:space="preserve"> tyler@felixhomes.com</t>
  </si>
  <si>
    <t>contact@felixhomes.com</t>
  </si>
  <si>
    <t>https://luxuryhomesoflasvegas.com/communities/reverence-las-vegas/</t>
  </si>
  <si>
    <t>https://dovemountain.com/properties/new-homes/</t>
  </si>
  <si>
    <t>David</t>
  </si>
  <si>
    <t>davidmehl@dovemountain.com</t>
  </si>
  <si>
    <t>info@dovemountain.com</t>
  </si>
  <si>
    <t>https://pamharringtonexclusives.com/blog/johns-island-sc-what-to-know/</t>
  </si>
  <si>
    <t>https://homenation.com/blog/top-5-home-builders-in-indiana</t>
  </si>
  <si>
    <t>Quinton</t>
  </si>
  <si>
    <t>quinton@homenation.com</t>
  </si>
  <si>
    <t>office@homenation.com</t>
  </si>
  <si>
    <t>https://neighborhoodsinlasvegas.com/the-peaks-village/</t>
  </si>
  <si>
    <t xml:space="preserve">Angela </t>
  </si>
  <si>
    <t>theohareteamlv@gmail.com</t>
  </si>
  <si>
    <t>https://www.livabl.com/articles/guides/the-top-10-builders-in-dallas-fort-worth-arlington-tx</t>
  </si>
  <si>
    <t>newsdesk@livabl.com</t>
  </si>
  <si>
    <t>https://wellenpark.com/neighborhood/lakespur/available-homes/</t>
  </si>
  <si>
    <t>Amy</t>
  </si>
  <si>
    <t>amy.oettinger@mattamyhomes.com</t>
  </si>
  <si>
    <t>info@wellenpark.com</t>
  </si>
  <si>
    <t>https://www.hillwoodcommunities.com/lifestyle-communities/treeline/</t>
  </si>
  <si>
    <t>https://bramlettpartners.com/blog/14-best-neighborhoods-in-round-rock</t>
  </si>
  <si>
    <t xml:space="preserve">Lauren </t>
  </si>
  <si>
    <t>lauren@mcguireatx.com</t>
  </si>
  <si>
    <t>eric@bramlett.me</t>
  </si>
  <si>
    <t>https://sterlingranchcolorado.com/homes/featured-homes/</t>
  </si>
  <si>
    <t>info@sterlingranchcolorado.com</t>
  </si>
  <si>
    <t>sutercomm@aol.com</t>
  </si>
  <si>
    <t>https://northriverranch.com/builders/pulte-homes/</t>
  </si>
  <si>
    <t>info@northriverranch.com</t>
  </si>
  <si>
    <t>https://houstonsuburb.com/hockley-texas/</t>
  </si>
  <si>
    <t>https://boardroompr.com/industries/residential-real-estate/</t>
  </si>
  <si>
    <t>https://www.steadily.com/blog/average-rent-raleigh</t>
  </si>
  <si>
    <t>press@steadily.com</t>
  </si>
  <si>
    <t>support@steadily.com</t>
  </si>
  <si>
    <t>https://members.greaterorlandoba.com/list/member/pulte-homes-896</t>
  </si>
  <si>
    <t>https://www.pecansquarebyhillwood.com/builders/pulte-homes/</t>
  </si>
  <si>
    <t>info@pecansquarebyhillwood.com</t>
  </si>
  <si>
    <t>https://www.aspirejohnsoncounty.com/</t>
  </si>
  <si>
    <t>https://www.riverislands.com/find-homes/neighborhoods/the-shores/</t>
  </si>
  <si>
    <t>https://www.pshomes.com/listings/palm-desert/neighborhood/renata-at-domani/</t>
  </si>
  <si>
    <t>https://kruppmoving.com/blog/retirement-communities-in-columbus-ohio/</t>
  </si>
  <si>
    <t>Tim</t>
  </si>
  <si>
    <t>tim@kruppmoving.com</t>
  </si>
  <si>
    <t>sales@kruppmoving.com</t>
  </si>
  <si>
    <t>https://www.clevelandrealestatetopagent.com/blog/emerald-woods-columbia-station-ohio/</t>
  </si>
  <si>
    <t>https://www.wolfranchbyhillwood.com/faq/</t>
  </si>
  <si>
    <t>info@wolfranchbyhillwood.com</t>
  </si>
  <si>
    <t>https://www.roundrocktexas.gov/news/downtown-round-rock-residential-growth-continues-with-townhome-projects/</t>
  </si>
  <si>
    <t>https://www.knowatlanta.com/feature-stories-on-atlanta/atlantas-best-builders-new-home-communities</t>
  </si>
  <si>
    <t>https://2collegebrothers.com/blog/new-construction-homes-tampa/</t>
  </si>
  <si>
    <t>Wade</t>
  </si>
  <si>
    <t>wade@2collegebrothers.com</t>
  </si>
  <si>
    <t>info@2collegebrothers.com</t>
  </si>
  <si>
    <t>https://mycodelesswebsite.com/home-builder-websites/</t>
  </si>
  <si>
    <t>https://www.homelight.com/blog/curb-appeal-ideas-for-brick-homes/</t>
  </si>
  <si>
    <t>https://newhomes.howardhanna.com/communities/ohio/cuyahoga-county/preserve-of-olmsted/</t>
  </si>
  <si>
    <t>https://www.dbusiness.com/business-features/michigans-fortune-1000/</t>
  </si>
  <si>
    <t>https://shellypalmer.com/about/</t>
  </si>
  <si>
    <t>https://www.thecreativityexchange.com/2017/03/sherwin-williams-mindful-gray-color-spotlight.html</t>
  </si>
  <si>
    <t>Cyndy</t>
  </si>
  <si>
    <t>cyndy@thecreativityexchange.com</t>
  </si>
  <si>
    <t>https://greatparkneighborhoods.com/homes/solis-park/polaris</t>
  </si>
  <si>
    <t>info@gpngreatlife.com</t>
  </si>
  <si>
    <t>https://www.seniorhomes.com/buying-a-home-to-age-in-place/</t>
  </si>
  <si>
    <t>Heather</t>
  </si>
  <si>
    <t>heather@pathwaysinaging.com</t>
  </si>
  <si>
    <t>https://carolinaoverlook.clubexpress.com/content.aspx?page_id=22&amp;club_id=347439&amp;module_id=653778</t>
  </si>
  <si>
    <t>https://help-center.pissedconsumer.com/worst-to-best-homebuilders/</t>
  </si>
  <si>
    <t>https://southernhospitalityblog.com/9-favorite-greige-paint-colors/</t>
  </si>
  <si>
    <t>Rhoda</t>
  </si>
  <si>
    <t>rhodasouthernhospitality@yahoo.com</t>
  </si>
  <si>
    <t>https://www.hoodle.com/subdivisions/new-hill-nc/jordan-manors</t>
  </si>
  <si>
    <t>Ron</t>
  </si>
  <si>
    <t>ron@hoodle.com</t>
  </si>
  <si>
    <t>https://chamber.greensboro.org/list/Details/pultegroup-inc-4200958</t>
  </si>
  <si>
    <t>https://business.manateechamber.com/list/category/contractors-builders-and-developers-1663</t>
  </si>
  <si>
    <t>https://marketplacehomes.com/about-us/builder-partners/</t>
  </si>
  <si>
    <t>https://www.wreathsacrossamerica.org/GetInvolved/OfferCorporateSupport</t>
  </si>
  <si>
    <t>https://www.southeasterngc.com/model-homes-virtual-tours/</t>
  </si>
  <si>
    <t>Ralphael</t>
  </si>
  <si>
    <t>ralphael@southeasterngc.com</t>
  </si>
  <si>
    <t>contact@southeasterngc.com</t>
  </si>
  <si>
    <t>https://www.graytvlocal.com/business/the-reserve-at-stono-ferry-by-pulte-homes?m=79</t>
  </si>
  <si>
    <t>https://business.napleschamber.org/news/Details/bonita-del-sol-unveils-three-stunning-model-homes-and-launches-new-home-sales-in-premier-bonita-springs-location-238247</t>
  </si>
  <si>
    <t>https://summerlin.com/neighborhood-spotlight-carmel-cliff-by-pulte-homes/</t>
  </si>
  <si>
    <t>daoreill@gmail.com</t>
  </si>
  <si>
    <t>summerlin@howardhughes.com</t>
  </si>
  <si>
    <t>https://www.wltx.com/article/money/business/new-residential-development-coming-to-lexington-southcarolina-lake-murray-carriage-estates-homes/101-482a8180-ed47-4c88-bb07-2eb893674eec</t>
  </si>
  <si>
    <t>https://www.probuilder.com/home/article/55195899/50-best-builders-to-work-for-list</t>
  </si>
  <si>
    <t xml:space="preserve">Rich </t>
  </si>
  <si>
    <t>rbinsacca@endeavorb2b.com</t>
  </si>
  <si>
    <t>phammerbeck@endeavorb2b.com</t>
  </si>
  <si>
    <t>https://southfloridaagentmagazine.com/2025/12/08/pulte-homes-the-domaine-at-soso-2025/</t>
  </si>
  <si>
    <t xml:space="preserve">Marci </t>
  </si>
  <si>
    <t>marci@agentpublishing.com</t>
  </si>
  <si>
    <t>https://econdev.fishersin.gov/living-in-fishers/housing-in-fishers/</t>
  </si>
  <si>
    <t>https://www.55places.com/blog/what-is-pulte-up-to</t>
  </si>
  <si>
    <t>https://atlanta.urbanize.city/post/inside-latest-development-atlantas-upper-westside</t>
  </si>
  <si>
    <t>Josh</t>
  </si>
  <si>
    <t>josh.green@urbanize.city</t>
  </si>
  <si>
    <t>https://www.theorlandoreal.com/lake-nona-neighborhoods/</t>
  </si>
  <si>
    <t>Ken</t>
  </si>
  <si>
    <t>ken@pozekgroup.com</t>
  </si>
  <si>
    <t>info@pozekgroup.com</t>
  </si>
  <si>
    <t>https://www.ospreyobserver.com/2023/10/pulte-homes-purchases-one-of-last-large-developable-tracts-in-riverview/</t>
  </si>
  <si>
    <t xml:space="preserve">Marie </t>
  </si>
  <si>
    <t>editor@ospreyobserver.com</t>
  </si>
  <si>
    <t>https://www.citybiz.co/article/502204/pultegroup-announces-greyhawk-landing-new-community-in-western-palm-beach-county/</t>
  </si>
  <si>
    <t>https://sudbury.ma.us/pcd/2024/09/11/cold-brook-crossing-residential-development-planning-board-permitting-application-materials/</t>
  </si>
  <si>
    <t>https://www.allmine.com/collection/ashworthestates</t>
  </si>
  <si>
    <t>https://members.tbba.net/list/member/pulte-homes-riverview-5261</t>
  </si>
  <si>
    <t>https://massbaymovers.com/blog/55-plus-communities-in-boston/</t>
  </si>
  <si>
    <t>Sal</t>
  </si>
  <si>
    <t>salbarresi@massbaymovers.com</t>
  </si>
  <si>
    <t>info@massbaymovers.com</t>
  </si>
  <si>
    <t>https://www.multihousingnews.com/pulte-homes-unveils-new-riverview-community/</t>
  </si>
  <si>
    <t>Balazs</t>
  </si>
  <si>
    <t>balazs.szekely@yardi.com</t>
  </si>
  <si>
    <t>mhnnews@multi-housingnews.com</t>
  </si>
  <si>
    <t>https://www.dailyherald.com/20071130/lifestyle/pulte-opens-models-at-3-neighborhoods/</t>
  </si>
  <si>
    <t>https://www.newhomesource.com/aboutus</t>
  </si>
  <si>
    <t>https://www.assistedliving.org/aging-in-place-options/</t>
  </si>
  <si>
    <t>https://www.ana.net/members/list</t>
  </si>
  <si>
    <t>https://m16marketing.com/digital-marketing-blog/atlanta-the-beta-global-city-where-m6-marketing-grew-to-major-local-and-global-impact/</t>
  </si>
  <si>
    <t>http://business.westervillechamber.com/list/category/real-estate-1228</t>
  </si>
  <si>
    <t>https://www.callnorthwest.com/category/communityevents/</t>
  </si>
  <si>
    <t>themouse@callnorthwest.com</t>
  </si>
  <si>
    <t>Real estate</t>
  </si>
  <si>
    <t>https://www.senioradvice.com/articles/buying-a-home-to-age-in-place</t>
  </si>
  <si>
    <t>https://sanjoserealestatelosgatoshomes.com/altura-neighborhood/</t>
  </si>
  <si>
    <t>https://inloveandadventure.com/colorado-elopement/</t>
  </si>
  <si>
    <t>https://www.nar.realtor/magazine/real-estate-news/technology/the-ultimate-smart-home-new-construction</t>
  </si>
  <si>
    <t>https://www.bwfa.com/55-communities/</t>
  </si>
  <si>
    <t xml:space="preserve">Jadyn </t>
  </si>
  <si>
    <t>jwynn@bwfa.com</t>
  </si>
  <si>
    <t>emailus@bwfa.com</t>
  </si>
  <si>
    <t>https://summitmoving.com/blog/new-construction-homes-in-akron/</t>
  </si>
  <si>
    <t>Sales@summitmovingandstorage.com</t>
  </si>
  <si>
    <t>https://inchargeelectricalservices.com/partners/</t>
  </si>
  <si>
    <t>https://www.myshortlister.com/zeamo-corporate-fitness-and-wellness-benefits/vendor-reviews</t>
  </si>
  <si>
    <t>https://www.expressnews.com/business/article/hill-country-guadalupe-river-land-auction-tbotg-21099011.php</t>
  </si>
  <si>
    <t>https://mission.org/mission-daily/why-we-need-to-invest-in-the-companies-driving-ai-innovation/</t>
  </si>
  <si>
    <t>https://indianaeconomicdigest.net/Content/Most-Recent/Housing/Article/Bargersville-which-has-seen-population-more-than-triple-from-about-4-000-in-2010-to-estimated-13-000-in-2025-seeks-balance-as-it-builds-a-downtown/31/117/119380</t>
  </si>
  <si>
    <t>https://clttoday.6amcity.com/real-estate/tour-6-dreamy-new-model-homes-in-monroe</t>
  </si>
  <si>
    <t>https://homes.mercurynews.com/brokers/-/br_4r2zUM7r2Gkmo1RMKAcpLY5dc8o</t>
  </si>
  <si>
    <t>https://www.centerpointenergy.com/en-us/business/save-energy-money/electric-efficiency-programs/for-builders-developers?sa=ho</t>
  </si>
  <si>
    <t>https://businessviewmagazine.com/marion-independent-school-district/</t>
  </si>
  <si>
    <t>https://www.club.missamerica.org/sponsors</t>
  </si>
  <si>
    <t>https://www.isoldmyhouse.com/moving-to-orlando-florida/</t>
  </si>
  <si>
    <t>Kris Lippi</t>
  </si>
  <si>
    <t>kris@isoldmyhouse.com</t>
  </si>
  <si>
    <t>https://timp180.sg-host.com/faqs/</t>
  </si>
  <si>
    <t>https://stpeterising.com/shoreline</t>
  </si>
  <si>
    <t>https://www.paradeofhomes.org/entries/96ef54d9-b749-42e6-803b-1d2397d57d29-pulte-homes-of-minnesota-llc</t>
  </si>
  <si>
    <t>parade@housingfirstmn.org</t>
  </si>
  <si>
    <t>https://sunriseestates.sites.townsq.io/2</t>
  </si>
  <si>
    <t>https://www.levelset.com/contractors/pulte-group-dba-pulte-homes/</t>
  </si>
  <si>
    <t>https://www.encyclopedia.com/books/politics-and-business-magazines/pulte-homes-inc</t>
  </si>
  <si>
    <t>https://www.nndb.com/company/637/000062451/</t>
  </si>
  <si>
    <t>https://sunterratx.com/you-can-do-more-in-a-pulte-home/</t>
  </si>
  <si>
    <t>https://citylifestyle.com/businesses/pultegroup-2738466</t>
  </si>
  <si>
    <t>https://local.hernandosun.com/spring%20hill-fl/pulte-homes-caldera-352-654-1701</t>
  </si>
  <si>
    <t>https://pultegroup2024corp.q4web.com/investor-relations/news/news-details/2024/PulteGroup-Reports-Fourth-Quarter-2023-Financial-Results/default.aspx</t>
  </si>
  <si>
    <t>https://www.resiclubanalytics.com/p/builder-buydowns-101-find-new-construction-deals</t>
  </si>
  <si>
    <t>https://www.mdregroup.com/residential/princeton-texas-subdivisions-best-neighborhoods/</t>
  </si>
  <si>
    <t>info@mdregroup.com</t>
  </si>
  <si>
    <t>https://www.swamprabbitmoving.com/blog/new-construction-homes-in-greenville-sc/</t>
  </si>
  <si>
    <t>Jason</t>
  </si>
  <si>
    <t>jmacko@outlook.com</t>
  </si>
  <si>
    <t>sales@swamprabbitmoving.com</t>
  </si>
  <si>
    <t>https://www.dnb.com/business-directory/company-profiles.pulte_home_company_llc.b41baaec1f46f23a75805361f2a41583.html</t>
  </si>
  <si>
    <t>https://www.carnationwa.gov/85-degrees/</t>
  </si>
  <si>
    <t>https://town-n-country-living.com/industrial-chic-model-home.html</t>
  </si>
  <si>
    <t>JENNIFER</t>
  </si>
  <si>
    <t>jezuri@ymail.com</t>
  </si>
  <si>
    <t>https://www.tep.com/energy-smart-homes/</t>
  </si>
  <si>
    <t>http://manateechamber.chambermaster.com/list/searchalpha/p</t>
  </si>
  <si>
    <t>https://www.realestatenews.com/2024/04/16/major-homebuilder-objects-to-commissions-settlement-process</t>
  </si>
  <si>
    <t>https://www.expatden.com/usa/buy-a-house-in-florida/</t>
  </si>
  <si>
    <t>https://www.crainscleveland.com/stan-bullard-blog/northeast-ohio-needs-its-game-site-selectors</t>
  </si>
  <si>
    <t xml:space="preserve">Zachary </t>
  </si>
  <si>
    <t>zachary.smith@crain.com</t>
  </si>
  <si>
    <t>marcus.gilmer@crain.com</t>
  </si>
  <si>
    <t>https://www.bgca.org/about-us/our-partners/pultegroup/</t>
  </si>
  <si>
    <t>https://downtownroundrocktexas.com/townhome-development-nears-completion-downtown/</t>
  </si>
  <si>
    <t>https://www.localprofile.com/real-estate/2200-single-family-homes-planned-for-van-alstyne-texas-9686716</t>
  </si>
  <si>
    <t>https://usgv6-deploymon.nist.gov/cgi-bin/generate-com</t>
  </si>
  <si>
    <t>https://www.asyousow.org/resolutions/2025/11/10-nvr-disclose-greenhouse-gas-emissions</t>
  </si>
  <si>
    <t>https://www.canterburypark.com/now-open/</t>
  </si>
  <si>
    <t>https://www.mlive.com/news/ann-arbor/2021/07/a-birds-eye-view-of-ann-arbors-north-side-housing-boom.html</t>
  </si>
  <si>
    <t>https://members.texasbuilders.org/builder-directory/FindStartsWith?term=P</t>
  </si>
  <si>
    <t>https://www.zillow.com/community/winding-creek/2053917410_zpid/</t>
  </si>
  <si>
    <t>http://sabuilderstx.memberzone.com/list/member/pultegroup-pulte-homes-centex-del-webb-7595</t>
  </si>
  <si>
    <t>https://www.kvue.com/article/money/economy/boomtown-2040/marble-falls-gregg-ranch-240-acres-boomtown-new-homes/269-ced2396c-b7c6-4dde-ac40-3cf0f525a47b</t>
  </si>
  <si>
    <t>https://yellowhammernews.com/alabamas-smart-neighborhood-featured-in-first-u-s-smart-city-expo/</t>
  </si>
  <si>
    <t>https://www.wonkette.com/p/give-us-gas-stoves-or-give-us-death-maybe-even-both</t>
  </si>
  <si>
    <t>https://www.cleveland.com/business/2020/08/pulte-homes-to-build-306-homes-at-geauga-lake-amusement-park-site.html</t>
  </si>
  <si>
    <t>https://www.jll.com/en-us/newsroom/first-phase-of-the-sale-of-bridgeview-in-kearny-new-jersey</t>
  </si>
  <si>
    <t>https://www.news5cleveland.com/news/local-news/heres-a-comprehensive-look-at-everything-in-the-works-at-the-old-geauga-lake-property</t>
  </si>
  <si>
    <t>https://83degreesmedia.com/tampa-bay-suburbs-offer-affordable-homes040318/</t>
  </si>
  <si>
    <t>https://www.restonnow.com/2019/05/15/photos-lofts-at-reston-station-now-complete/</t>
  </si>
  <si>
    <t>https://addmi.com/e/november-18th-national-guest-speaker-meg-whitman-OFOC0Ey2fSxQgoiMX6X</t>
  </si>
  <si>
    <t>https://floridayimby.com/2021/07/55-community-boca-flores-finishes-construction-at-9050-vista-del-lago-boca-raton-fl-33428.html</t>
  </si>
  <si>
    <t>https://rosieonthehouse.com/blog/the-front-porch-is-key-to-neighborly-connections/</t>
  </si>
  <si>
    <t>https://www.accio.com/business/innovative-interior-materials-trend</t>
  </si>
  <si>
    <t>https://wdet.org/2019/04/19/nature-continues-to-disappear-in-canton/</t>
  </si>
  <si>
    <t>https://www.byowner.com/townhouse/oviedo/436-magnolia-chase-court-fl-32765-mfro6333975</t>
  </si>
  <si>
    <t>https://nationalland.com/blog/national-land-realty-hosts-inaugural-golf-tournament/</t>
  </si>
  <si>
    <t>https://realtynewsreport.com/pulte-starts-145-home-gated-community-near-loop-610/</t>
  </si>
  <si>
    <t>https://www.bounce.game/court/reverence-pickleball-courts-las-vegas-nevada-us</t>
  </si>
  <si>
    <t>https://www.explorekirkland.com/directory/pulte-home-expressions-studio/</t>
  </si>
  <si>
    <t>https://www.stor-n-lock.com/blog/salt-lake-city-residents-arent-leaving-despite-rising-costs</t>
  </si>
  <si>
    <t>feedback@stor-n-lock.com</t>
  </si>
  <si>
    <t>https://www.tampabay28.com/news/local-news/i-team-investigates/florida-homebuyers-want-more-oversight-of-private-inspectors</t>
  </si>
  <si>
    <t>https://www.east-windsor.nj.us/2012-e-news-archive</t>
  </si>
  <si>
    <t>https://www.nexton.com/news-events/press-releases/posts-by-date/2022/april/nexton-named-best-mixed-use-community-a-second-time-by-charleston-home-builders-association/</t>
  </si>
  <si>
    <t>https://www.budgetblinds.com/plainfield/community-connection/blog/new-home-need-blinds-what-every-plainfield-homeowner-needs-to-know/</t>
  </si>
  <si>
    <t xml:space="preserve">Stephanie </t>
  </si>
  <si>
    <t>csnaperville@budgetblinds.com</t>
  </si>
  <si>
    <t>Home Decor</t>
  </si>
  <si>
    <t>https://www.construction-physics.com/p/why-are-there-so-few-economies-of</t>
  </si>
  <si>
    <t>https://admin.mylocal.orlandosentinel.com/rancho%20cucamonga-ca/pulte-homes-909-922-8071</t>
  </si>
  <si>
    <t>https://www.englewoodchamber.com/events-news/events/2025-09-27-grand-opening-celebration-20</t>
  </si>
  <si>
    <t>https://www.postandcourier.com/beaufort-county/epaper/page-b5/page_e4390093-5db3-525b-be41-92d686bff704.html</t>
  </si>
  <si>
    <t>https://newbraunfelschamber.growthzoneapp.com/directory/Search/construction-563277</t>
  </si>
  <si>
    <t>https://www.neighborhoods.com/blog/4-best-selling-master-planned-communities-in-las-vegas-in-2018</t>
  </si>
  <si>
    <t>https://www.nahb.org/why-nahb/types-of-membership/student-chapter-membership/student-chapters-corporate-partners</t>
  </si>
  <si>
    <t>https://www.ltcnews.com/care/listing/34352</t>
  </si>
  <si>
    <t>https://theportager.com/aurora-extended-a-development-moratorium-in-place-since-2020/</t>
  </si>
  <si>
    <t>https://members.winstonsalem.com/memberdirectory/Search/real-estate-570112</t>
  </si>
  <si>
    <t>https://floridasolutions.atlassian.net/wiki/spaces/EA/pages/73367752/Isles+of+Lake+Nona+Orlando</t>
  </si>
  <si>
    <t>https://www.gayrealestate.com/blog/2013/11/gay-realtor-chandler-az-gay-lifestyle-in-a-safe-clean-golfing-community/</t>
  </si>
  <si>
    <t>https://www.srqmagazine.com/srq-daily/2024-03-25</t>
  </si>
  <si>
    <t>https://www.greenbuildingadvisor.com/article/major-u-s-builder-tests-net-zero-market</t>
  </si>
  <si>
    <t>https://naplesgolfguy.com/new-greyhawk-home-for-sale/</t>
  </si>
  <si>
    <t>Matt</t>
  </si>
  <si>
    <t>matt@naplesgolfguy.com</t>
  </si>
  <si>
    <t>info@naplesgolfguy.com</t>
  </si>
  <si>
    <t>https://yieldpro.com/2025/06/bridgeview/</t>
  </si>
  <si>
    <t>https://www.swgas.com/en/finding-a-builder</t>
  </si>
  <si>
    <t>https://info.citizensenergygroup.com/gas/homes</t>
  </si>
  <si>
    <t>https://www.datainsightsmarket.com/reports/residential-construction-1365108</t>
  </si>
  <si>
    <t>https://business.georgetownchamber.org/list/ql/ally-members-31</t>
  </si>
  <si>
    <t>https://www.vice.com/en/article/amazon-provided-police-with-heat-maps-of-package-theft-for-sting-operation-cops/</t>
  </si>
  <si>
    <t>https://candysdirt.com/2021/04/18/whats-developing-mckinneys-1376-home-community-new-builds-in-corinth-allen-richardson/</t>
  </si>
  <si>
    <t>https://members.unioncountycoc.com/list/ql/home-garden-12</t>
  </si>
  <si>
    <t>https://www.fiftyplusadvocate.com/2022/04/25/259032-55-plus-housing-communities-offer-maintenance-free-living-in-social-setting/</t>
  </si>
  <si>
    <t>https://www.coldwellbankerhomes.com/tx/richmond/5206-hazel-vista-ln/pid_66261045/</t>
  </si>
  <si>
    <t>https://www.themuse.com/jobs/pultemortgage/mortgage-branch-coordinator-pulte-mortgage-cbdec4</t>
  </si>
  <si>
    <t>https://meyerlucas.com/neighborhoods/mirasol</t>
  </si>
  <si>
    <t>https://www.azfamily.com/2024/02/06/you-can-buy-golf-course-home-phoenix-area-less-than-400k/</t>
  </si>
  <si>
    <t>https://prioritymarketing.com/warrior-homes-of-collier-to-end-veteran-homelessness-in-community-with-announcement-of-latest-project/</t>
  </si>
  <si>
    <t>https://www.thereporteronline.com/2020/05/28/sewer-plan-gets-voted-ahead-for-320-home-hatfield-development/</t>
  </si>
  <si>
    <t>https://sfbwmag.com/pultegroup-reveals-single-family-community-in-broward-county/</t>
  </si>
  <si>
    <t>https://www.utahbusiness.com/entrepreneurship/2023/03/23/how-arian-lewis-founded-kiln/</t>
  </si>
  <si>
    <t>https://www.shawlocal.com/kane-county-chronicle/2025/09/01/batavia-chamber-marks-pulte-homes-new-subdivision/</t>
  </si>
  <si>
    <t>https://www.gohebervalley.com/pulte-homes/</t>
  </si>
  <si>
    <t>https://business.slchamber.com/list/member/pultegroup-106696</t>
  </si>
  <si>
    <t>https://www.newsbreak.com/bucks-county-courier-times-1590828/4190263719492-dozens-of-new-homes-coming-to-levittown-s-woodbourne-road-what-a-national-builder-plans</t>
  </si>
  <si>
    <t>https://www.realestateone.com/MI/Macomb/Macomb/51410-Green-Meadows-Drive-Macomb-MI-48042/20251053965-MIRC</t>
  </si>
  <si>
    <t>https://www.cnet.com/personal-finance/mortgages/i-found-out-why-brand-new-homes-could-transform-the-housing-market/</t>
  </si>
  <si>
    <t>https://www.intelius.com/phone/1-504-254-0382/</t>
  </si>
  <si>
    <t>https://www.energystar.gov/partner_resources/partner_locator/state/texas?s_code=TX&amp;org_type=BD</t>
  </si>
  <si>
    <t>https://www.goingconcern.com/internal-audit-jobs-sponcon-2/</t>
  </si>
  <si>
    <t>https://centauriinsurance.com/florida/</t>
  </si>
  <si>
    <t>https://www.enr.com/articles/45848-what-a-visit-to-the-woolsey-fire-taught-me</t>
  </si>
  <si>
    <t>https://www.chamber.conroe.org/list/member/montgomery-bend-by-pulte-homes-5201280</t>
  </si>
  <si>
    <t>https://www.utahrealestate.com/roster/agent.listings.report.public/agentid/4023617</t>
  </si>
  <si>
    <t>https://dc.urbanturf.com/articles/blog/new_condominiums_opening_next_to_the_vienna_metro/7269</t>
  </si>
  <si>
    <t>https://sentriforce.com/siteincontrol/</t>
  </si>
  <si>
    <t>https://iconiclife.com/luxury-custom-home-builder-tim-mccormac/</t>
  </si>
  <si>
    <t xml:space="preserve">NAKAYLA </t>
  </si>
  <si>
    <t>nakayla@iconiclife.com</t>
  </si>
  <si>
    <t>jennifer@evolveprandmarketing.com</t>
  </si>
  <si>
    <t>https://www.dailybulletin.com/2021/09/12/best-of-inland-empire-2021-best-new-home-builder/</t>
  </si>
  <si>
    <t>https://c21scheetz.com/blog/posts/2022/03/10/top-indianapolis-realtors-recognized/</t>
  </si>
  <si>
    <t>https://www.bisnow.com/washington-dc/news/mixed-use/long-planned-2m-sf-herndon-project-still-waiting-for-commercial-demand-as-residential-moves-forward-99297</t>
  </si>
  <si>
    <t>https://santaritaranchaustin.com/saddleback-model-homes-opening/</t>
  </si>
  <si>
    <t>http://business.bataviachamber.org/list/member/pulte-homes-20787</t>
  </si>
  <si>
    <t>https://www.morningjournal.com/2014/04/23/pulte-homes-homebuilder-group-hopes-to-expand-in-avon/</t>
  </si>
  <si>
    <t>https://www.elyson.com/blog/posts-by-date/2019/april/pulte-introduces-new-plans-from-high-200-000s-in-elyson/</t>
  </si>
  <si>
    <t>elyson@brookfieldpropertiesdevelopment.com</t>
  </si>
  <si>
    <t>https://business.sanmarcostexas.com/list/member/centex-homes-pulte-homes-5152211</t>
  </si>
  <si>
    <t>https://www.windermere.com/listing/WA/Shoreline/14598-Westminster-Way-N-204-98133/199894667</t>
  </si>
  <si>
    <t>https://www.theatlantic.com/technology/archive/2018/06/a-defense-of-the-suburbs/562136/</t>
  </si>
  <si>
    <t>https://www.ocregister.com/2015/04/24/pulte-homes-life-tested-homes-deliver-innovative-options-to-inland-empire-families/</t>
  </si>
  <si>
    <t>https://flatfeegroup.com/NewMexico/buyingahome.php</t>
  </si>
  <si>
    <t>https://cnnpressroom.blogs.cnn.com/2014/02/19/cnns-brooke-baldwin-with-help-from-two-special-friends-surprises-military-family-on-cnn/</t>
  </si>
  <si>
    <t>https://www.computerworld.com/article/1570635/100-best-places-to-work-in-it-ranked-by-company-size-large-companies-10-000-or-more-u-s.html</t>
  </si>
  <si>
    <t>https://www.pressenterprise.com/2016/02/19/pulte-homes-delivers-life-tested174-plans-quickly-and-affordably-at-avelina-in-perris/</t>
  </si>
  <si>
    <t>https://finance-commerce.com/2024/07/shakopee-features-multiple-development-hot-spots/</t>
  </si>
  <si>
    <t>https://nevadabusiness.com/2015/01/red-report-january-2015/</t>
  </si>
  <si>
    <t>https://www.pickleheads.com/courts/us/nevada/las-vegas/reverence-pickleball-courts</t>
  </si>
  <si>
    <t>https://www.dandb.com/businessdirectory/millersfarmbypultehomes-copley-oh-112665415.html</t>
  </si>
  <si>
    <t>https://www.thedailybeast.com/pultes-amazing-2012-performance-shows-housing-is-back/</t>
  </si>
  <si>
    <t>http://forum.atlanta168.com/forum.php?mod=viewthread&amp;tid=41262</t>
  </si>
  <si>
    <t>https://www.sandiegouniontribune.com/2009/08/03/pulte-2q-loss-widens-but-looks-better-than-1q/</t>
  </si>
  <si>
    <t>http://www.skymem.info/srch?q=ksheldon@longbeachtownship.com</t>
  </si>
  <si>
    <t>https://kristinrowley.santafeproperties.com/listing/202402148-42-avenida-colibri-santa-fe-nm-87508/</t>
  </si>
  <si>
    <t>https://skyscraperpage.com/forum/showthread.php?p=7967228</t>
  </si>
  <si>
    <t>https://georgia.org/newsroom/press-releases/deal-pultegroup-to-move-corporate-headquarters-to-georgia</t>
  </si>
  <si>
    <t>https://www.opendoor.com/l2/partner-region</t>
  </si>
  <si>
    <t>http://listings.homestead.com/g6028-englewood-co/c306-accounting?name=Accounting&amp;where=&amp;start=100</t>
  </si>
  <si>
    <t>https://www.coventryhomes.com/new-homes/tx/cove/windcress/</t>
  </si>
  <si>
    <t>https://www.abqjournal.com/2456320/protect-pipes-now-from-winter-freeze-later-ex-a-small-effort-now-can.html</t>
  </si>
  <si>
    <t>https://builtin.com/company/pulte-home-corp</t>
  </si>
  <si>
    <t>https://storymaps.arcgis.com/stories/2cb9751a28d345718fc8bcddf93a5d0b</t>
  </si>
  <si>
    <t>https://www.sarasotamagazine.com/home-and-real-estate/2022/09/nokomis-pulte-homes-legacy-groves</t>
  </si>
  <si>
    <t>https://press.offerpad.com/2020/09/14/homebuilders_streamline_customer_experience_with_offerpad_program/</t>
  </si>
  <si>
    <t>https://communityimpact.com/sponsored/sponsored/2024/02/25/live-in-the-texas-hill-country-pultegroup-offering-homesites-in-saddleback-neighborhood-of-santa-rita-ranch/</t>
  </si>
  <si>
    <t>https://www.raveis.com/eprop/TB8328674/5633-clearwater-court-lakewood-ranch-fl-34211</t>
  </si>
  <si>
    <t>https://www.hersindex.com/dc-metro/</t>
  </si>
  <si>
    <t>https://www.nctv17.org/news/new-parks-to-pay-tribute-to-napervilles-rich-horseback-riding-history/</t>
  </si>
  <si>
    <t>https://www.ajc.com/lifestyles/home--garden/atlanta-first-smart-neighborhood-opens-city-westside/78FXr7gAJq3WRTUkdENaHJ/</t>
  </si>
  <si>
    <t>https://orchard.com/homes/details/7134-glennwick-grove-ln-richmond-tx-77469</t>
  </si>
  <si>
    <t>https://www.metroparent.com/parenting/advice/kid-friendly-subdivisions-metro-detroit/</t>
  </si>
  <si>
    <t>https://www.nashvillesmls.com/listing-realtracs-vow/2650841-3811-lantern-lane-columbia-tn-38401/?inquire</t>
  </si>
  <si>
    <t>https://alamedapost.com/news/below-market-rate-homes-for-sale-to-first-time-home-buyers/</t>
  </si>
  <si>
    <t>editor@alamedapost.com</t>
  </si>
  <si>
    <t>publisher@alamedapost.com</t>
  </si>
  <si>
    <t>https://www.lyft.com/rider/routes/336-main-to-river-hill-ridge-by-pulte-homes</t>
  </si>
  <si>
    <t>https://www.bridgemi.com/business-watch/qa-michigan-builders-want-states-help-build-affordable-homes</t>
  </si>
  <si>
    <t>https://newsuburb.tripod.com/communities/tanglewood.html</t>
  </si>
  <si>
    <t>https://ggwash.org/view/33773/drive-til-you-qualify-takes-on-an-urban-flair</t>
  </si>
  <si>
    <t>https://www.constructiondive.com/news/pulte-exceeds-q1-2017-profit-projections-falls-short-on-revenue/441295/</t>
  </si>
  <si>
    <t>https://www.bizjournals.com/tampabay/subscriber-only/2018/08/31/largest-tampa-bay-homebuilders.html</t>
  </si>
  <si>
    <t>https://jobgether.com/offer/66a00c68913adf4119c13fef-software-engineer-ii-pulte-mortgage</t>
  </si>
  <si>
    <t>https://cleaninghabit.bigcartel.com/fels-naptha-brick-cleaning-tips</t>
  </si>
  <si>
    <t>https://philanthropynewsdigest.org/news/msu-receives-4.5-million-for-entrepreneurship-institute</t>
  </si>
  <si>
    <t>https://www.zabasearch.com/phone/2023983576/</t>
  </si>
  <si>
    <t>https://flyhomes.com/search/details/6028-wildline-dr-saint-cloud-fl-34771/42005830</t>
  </si>
  <si>
    <t>https://slashdot.org/story/03/03/30/232218/last-mile-fiber-optic</t>
  </si>
  <si>
    <t>https://docu.team/photogrid.php?action=show_item&amp;store=74757&amp;item=448646&amp;fromdir=1</t>
  </si>
  <si>
    <t>https://www.compass.com/listing/2718-fetching-trail-davenport-fl-33896/1524844714180898497/</t>
  </si>
  <si>
    <t>https://www.gulfshoresrealty.com/listing/tb8328674-5633-clearwater-court-lakewood-ranch-fl-34211/?details</t>
  </si>
  <si>
    <t>https://duckduckgo.github.io/tracker-radar-wiki/domains/cookielaw.org.html</t>
  </si>
  <si>
    <t>https://constructionphysics.substack.com/p/debunking-the-housing-variety-as</t>
  </si>
  <si>
    <t>https://www.altenergymag.com/story/2018/03/atlantas-first-smart-neighborhood-features-latest-smart-home-technologies/28086/</t>
  </si>
  <si>
    <t>https://do512.com/events/2022/5/7/dripping-springs-race-to-brunch-5k-tickets</t>
  </si>
  <si>
    <t>https://morethanthecurve.com/developer-starts-marketing-new-condo-development-along-river-in-conshohocken/</t>
  </si>
  <si>
    <t>https://www.mapquest.com/us/florida/vizcaya-by-pulte-homes-490369810</t>
  </si>
  <si>
    <t>https://www.thegoodhartgroup.com/55-communities-in-northern-virginia/</t>
  </si>
  <si>
    <t>https://cen.acs.org/articles/85/i31/Dow-Sees-Light.html</t>
  </si>
  <si>
    <t>https://alfons-lavoie.artstation.com/projects/eaVnY3</t>
  </si>
  <si>
    <t>https://www.eventbrite.com/o/pulte-homes-85979622643</t>
  </si>
  <si>
    <t>https://www.gulfshorebusiness.com/this-week-in-real-estate-june-10-16/</t>
  </si>
  <si>
    <t>https://www.theoaklandpress.com/2010/05/14/business-briefing-may-15-3/</t>
  </si>
  <si>
    <t>https://www.angelfire.com/nv/snjb/SNJB%20sponsors.htm</t>
  </si>
  <si>
    <t>https://slate.com/business/2005/11/how-to-insure-your-home-against-the-housing-bubble.html</t>
  </si>
  <si>
    <t>https://rejournals.com/cbre-closes-land-sale-for-ryan-companies-in-st-paul/</t>
  </si>
  <si>
    <t>Mark</t>
  </si>
  <si>
    <t>mwatt@propertiesmag.com</t>
  </si>
  <si>
    <t>drafter@rejournals.com</t>
  </si>
  <si>
    <t>https://www.fodmapeveryday.com/10-places-you-may-never-want-to-live-in-if-youre-a-diehard-follower-of-dave-ramsey/</t>
  </si>
  <si>
    <t>https://woburnma.gov/news/2023/07/new-affordable-housing-oppurtunity/</t>
  </si>
  <si>
    <t>https://www.nj.com/hudson/2025/09/luxury-townhomes-with-dog-walk-business-center-planned-for-nj-waterfront.html</t>
  </si>
  <si>
    <t>https://dgai.utem.cl/yrkl3snr/viewtopic.php?id=lexington-park%2C-fairburn%2C-ga</t>
  </si>
  <si>
    <t>https://www.santafenewmexican.com/news/real_estate/filling-a-need-50-paseo-las-terrazas/article_954e9b50-cff8-11ed-b9ec-0fd498e9aa44.html</t>
  </si>
  <si>
    <t>https://www.ascii.co.uk/animated-art/home-sweet-home-house-animated-ascii-art-by-pulte-homes.html</t>
  </si>
  <si>
    <t>https://ideal-living.com/homes-life-pulte-centex-del-webb/</t>
  </si>
  <si>
    <t>https://sbnonline.com/article/scott-campbell-leads-pulte-homes-through-the-economic-recession-by-utilizing-open-communication-and-empowerment-of-employees-how-to-lead-your-business-by-emphasizing-straight-candid-talk/3/</t>
  </si>
  <si>
    <t>https://www.devex.com/organizations/putle-group-134216</t>
  </si>
  <si>
    <t>https://www.aecdaily.com/news_content.php?parent_id=1586582</t>
  </si>
  <si>
    <t>https://www.lauriereader.com/blog/most-popular-home-builders-fort-lauderdale/</t>
  </si>
  <si>
    <t>office@lauriereader.com</t>
  </si>
  <si>
    <t>https://www.mirealsource.com/offices.cfm?frompage=41&amp;StartRow=1321&amp;Company=P&amp;search=yes&amp;maxrows=30</t>
  </si>
  <si>
    <t>https://www.bdcnetwork.com/home/news/55163500/ryan-companies-breaks-ground-on-122-acre-highland-bridge-redevelopment-in-st-paul-minn</t>
  </si>
  <si>
    <t>https://www.dailytrib.com/2020/01/23/home-pre-sales-at-gregg-ranch-to-begin-this-year/</t>
  </si>
  <si>
    <t>https://www.news-herald.com/2020/01/20/housing-development-proposal-for-mentor-horse-pasture-expands-to-add-more-land-homes/</t>
  </si>
  <si>
    <t>https://s.gmx.com/find?q=new%20home%20communities%20in%20texas&amp;devi=02&amp;mkt=DE-DE&amp;lang=en&amp;origin=999999999999999999&amp;ae=</t>
  </si>
  <si>
    <t>https://www.aga.org/why-most-americans-want-natural-gas/</t>
  </si>
  <si>
    <t>https://operationhomefront.org/operation-homefront-presents-cornerstone-awards/</t>
  </si>
  <si>
    <t>https://bluevaultpartners.com/invitation-homes-pultegroup-form-strategic-relationship-for-purchase-of-approximately-7500-new-homes/</t>
  </si>
  <si>
    <t>betsy.ricks@bluevaultpartners.com</t>
  </si>
  <si>
    <t>info@bluevaultpartners.com</t>
  </si>
  <si>
    <t>https://mynews13.com/fl/orlando/news/2023/11/13/local-developer-facing-lawsuit-over-allegedly-flooding-local-cemetery</t>
  </si>
  <si>
    <t>https://www.savannahchamber.com/news-and-events/news/new-members/new-members-for-the-week-of-december-20-2021/</t>
  </si>
  <si>
    <t>https://www.cepro.com/news/leviton_partners_pulte_homes_smart_lighting_controls/5924/</t>
  </si>
  <si>
    <t>zachary.comeau@emeraldx.com</t>
  </si>
  <si>
    <t>nicholas.boever@emeraldx.com</t>
  </si>
  <si>
    <t>https://www.festivals.com/seanys-shuffle-77667</t>
  </si>
  <si>
    <t>https://www.live5news.com/2022/03/21/its-beginning-end-proposed-development-awendaw-worries-residents-conservation-groups/</t>
  </si>
  <si>
    <t>https://www.georgiatrend.com/2024/04/24/georgia-trend-daily-april-24-2024/</t>
  </si>
  <si>
    <t>https://www.redlandsdailyfacts.com/2021/09/12/best-of-inland-empire-2021-best-new-home-builder/</t>
  </si>
  <si>
    <t>https://www.oregonlive.com/front-porch/2012/01/case-shiller_us_portland_home.html</t>
  </si>
  <si>
    <t>https://opencw.aprende.org/courses/civil-and-environmental-engineering/1-46-strategic-management-in-the-design-and-construction-value-chain-fall-2003/assignments/</t>
  </si>
  <si>
    <t>https://hoodline.com/2015/09/remembering-jim-meko-soma-loses-its-champion/</t>
  </si>
  <si>
    <t>https://www.golfcourseindustry.com/news/ob-sports-will-manage-conestoga-golf-club-at-anthem-mesquite/</t>
  </si>
  <si>
    <t>https://www.floridarealtymarketplace.com/listing/tb8328600-17203-luminous-avenue-venice-fl-34293/</t>
  </si>
  <si>
    <t>https://www.goodallhomes.com/blog/new-homes-built-to-use-less-energy</t>
  </si>
  <si>
    <t>https://www.localbiznetwork.com/united-states/ocean-view-1/pulte-homes</t>
  </si>
  <si>
    <t>https://news.libertysavingsbank.com/blog/top-10-new-communities-arriving-soon-in-sarasota-and-manatee-counties</t>
  </si>
  <si>
    <t>https://www.buzzfile.com/business/Pulte-Group-281-749-8000</t>
  </si>
  <si>
    <t>https://www.bellacollina.com/blog/top-orlando-area-relocation-destinations</t>
  </si>
  <si>
    <t xml:space="preserve">Melanie </t>
  </si>
  <si>
    <t>mhalusek@bellacollina.com</t>
  </si>
  <si>
    <t>ssewell@bellacollina.com</t>
  </si>
  <si>
    <t>http://www.virtualmuseum.finearts.go.th/asorjej/article.php?id=is-cosenza-worth-visiting</t>
  </si>
  <si>
    <t>https://www.phillymag.com/2017/09/29/what-500k-will-buy-you-in-warminster/</t>
  </si>
  <si>
    <t>https://houston.culturemap.com/news/real-estate/tropical-new-home-community-outside-houston-is-building-your-best-life/</t>
  </si>
  <si>
    <t>https://thescottsdaleliving.com/places/united-states/arizona/scottsdale/pulte-homes/</t>
  </si>
  <si>
    <t>https://www.floqast.com/au/stories/pultegroup-constructs-faster-close-and-team-productivity-with-floqast</t>
  </si>
  <si>
    <t>https://www.reinhartrealtors.com/MI/Macomb/Macomb/51410-Green-Meadows-Drive-Macomb-MI-48042/20251053965-MIRC</t>
  </si>
  <si>
    <t>https://gulfcoast.helpusell.com/featured-listings/mfrmls/mls-TB8322564-17925_nadine_place_nokomis_fl_34275/</t>
  </si>
  <si>
    <t>https://lasvegasaviators.enmotive.com/event-partners</t>
  </si>
  <si>
    <t>https://www.resnet.us/past-conferences/orlando-2013/conference-sponsors-and-supporters/</t>
  </si>
  <si>
    <t>https://vestapropertyservices.com/the-boca-raton-office-is-on-a-roll-with-another-win-for-vesta/</t>
  </si>
  <si>
    <t>http://www.allgov.com/news/where-is-the-money-going/home-buyers-kept-in-dark-as-builders-retain-mineral-rights-with-eye-on-fracking-revenue-131014?news=851387</t>
  </si>
  <si>
    <t>https://www.rallypoint.com/answers/what-is-everybody-s-opinion-on-retiring-in-san-antonio-vs-trying-for-savannah-ga</t>
  </si>
  <si>
    <t>https://www.fortmyersbeachtalk.com/sports/local-sports-recreation/2025/02/del-webb-naples-to-host-second-annual-winterfest-open-pickleball-tournament-feb-15-16/</t>
  </si>
  <si>
    <t>https://bbtw.cheddar.com/p/oracle-soars-as-it-cashes-in-on-the-ai-boom</t>
  </si>
  <si>
    <t>https://www.auburnhills.org/city-council-approves-17-million-in-new-projects/</t>
  </si>
  <si>
    <t>https://www7.eere.energy.gov/buildings/residential/explorezerh/partners/3969</t>
  </si>
  <si>
    <t>https://www.adventhealth.com/news/adventhealth-del-webb-announce-innovative-wellness-partnership-residents-lake-nona-area-community</t>
  </si>
  <si>
    <t>https://www.sbsun.com/2021/09/12/best-of-inland-empire-2021-best-new-home-builder/?amp</t>
  </si>
  <si>
    <t>https://www.findmassleads.com/websites/pulte.com?h=446222828</t>
  </si>
  <si>
    <t>https://www.michigansthumb.com/news/article/Pulte-Beats-Forecasts-for-Quarter-Year-7325167.php</t>
  </si>
  <si>
    <t>https://mentorsmoving.com/blog/los-angeles-to-tucson-movers/</t>
  </si>
  <si>
    <t>info@mentorsmoving.com</t>
  </si>
  <si>
    <t>https://imunovacin.websiteseguro.com/57jws/toll-brothers-deposit-requirements</t>
  </si>
  <si>
    <t>https://www.coroflot.com/dwilli99/profile</t>
  </si>
  <si>
    <t>https://www.ironvalleyrealestate.com/property/24-O6289091-6799-Willow-View-Avenue-Orlando-FL-32829/</t>
  </si>
  <si>
    <t>https://members.ghcc.com/member-directory/FindStartsWith?term=%23%21</t>
  </si>
  <si>
    <t>https://statestemplate.byf.org/celebrating-national-volunteer-month/</t>
  </si>
  <si>
    <t>https://southern-energy.com/triangle-parade-of-homes-2019/</t>
  </si>
  <si>
    <t>https://alta.org/membership/directory-profile/1013950</t>
  </si>
  <si>
    <t>https://jbrec.com/insights/smart-home-clarity-for-home-builders/</t>
  </si>
  <si>
    <t xml:space="preserve">Mikaela </t>
  </si>
  <si>
    <t>marroyo@jbrec.com</t>
  </si>
  <si>
    <t>jreyes@jbrec.com</t>
  </si>
  <si>
    <t>https://ww.irionlumber.com/all-businesses?page=73</t>
  </si>
  <si>
    <t>https://www.connectcre.com/stories/pulte-homes-acquires-belred-multifamily-site/</t>
  </si>
  <si>
    <t>https://www.chicagobusiness.com/article/20140417/CRED0701/140419783/new-homes-in-suburbs-tout-first-floor-master-bedrooms</t>
  </si>
  <si>
    <t>https://homeserviceexpert.com/podcast/bill-pulte/</t>
  </si>
  <si>
    <t xml:space="preserve">Tommy </t>
  </si>
  <si>
    <t>tommy@homeserviceexpert.com</t>
  </si>
  <si>
    <t>contact@mellostudios.com</t>
  </si>
  <si>
    <t>https://www.test.carpentersworkshopgallery.com/job/pultegroup-commercial-escrow-officer-pgp-title-0ep3-9meci.html</t>
  </si>
  <si>
    <t>https://www.suburbanlifemagazine.com/article/2352/The-Luxe-Life</t>
  </si>
  <si>
    <t>https://foxsanantonio.com/news/local/experts-share-how-to-avoid-problems-when-purchasing-your-new-home</t>
  </si>
  <si>
    <t>https://www.fox10phoenix.com/news/booming-buckeye-figures-show-the-west-valley-city-was-the-fastest-growing-in-2018</t>
  </si>
  <si>
    <t>http://assincampo.ismea.it/wp-content/9ihemfoe/wimberley-road-closures.html</t>
  </si>
  <si>
    <t>https://dailyvoice.com/new-jersey/fairlawn/real-estate/more-than-100-townhouses-hit-fair-lawn-market/724494/</t>
  </si>
  <si>
    <t xml:space="preserve">Cecilia </t>
  </si>
  <si>
    <t>clevine@dailyvoice.com</t>
  </si>
  <si>
    <t>fairlawn@dailyvoice.com</t>
  </si>
  <si>
    <t>https://www.houstonchronicle.com/business/article/hill-country-guadalupe-river-land-auction-tbotg-21099011.php</t>
  </si>
  <si>
    <t>https://www.quantumonline.com/search.cfm?tickersymbol=PHA**&amp;sopt=symbol</t>
  </si>
  <si>
    <t>https://hartfordbusiness.com/article/layoff-insurance-latest-carrot-for-homebuyers/</t>
  </si>
  <si>
    <t>https://serviceone.com/blog/article/gas-or-electric-which-stove-is-right-for-your-home</t>
  </si>
  <si>
    <t>info@serviceone.com</t>
  </si>
  <si>
    <t>http://events.waterloorecords.com/events/2022/5/7/dripping-springs-race-to-brunch-5k-tickets</t>
  </si>
  <si>
    <t>https://real.vision/castleton</t>
  </si>
  <si>
    <t>https://miao.withwre.com/listing/WA/Shoreline/14598-Westminster-Way-N-204-98133/199894667</t>
  </si>
  <si>
    <t>https://wgtjradio.com/s-hall-pulte-homes-hunters-creek-sales-begin-this-fall/</t>
  </si>
  <si>
    <t>https://riverislands.goodbarber.app/blog/i/79284967/shores-opens-river-views-and-dramatic-architecture</t>
  </si>
  <si>
    <t>https://www.newestateonly.com/project/zephyrhills-riverwood-65b0cf845c06d02407a3c5e0/homedesignId/medina-65b0ea725c06d02407a65dd2</t>
  </si>
  <si>
    <t>info@newestateonly.com</t>
  </si>
  <si>
    <t>https://windowhero.com/locations/nashville/blog/how-clean-windows-influence-the-overall-look-and-feel-of-nashville-homes/</t>
  </si>
  <si>
    <t xml:space="preserve">Quintin </t>
  </si>
  <si>
    <t>quintin.lunsford@windowhero.com</t>
  </si>
  <si>
    <t>nashville@windowhero.com</t>
  </si>
  <si>
    <t>https://www.multifamilyexecutive.com/business-finance/business-trends/forecasters-hedge-bets-on-improvements-in-housing-market-for-2011_o</t>
  </si>
  <si>
    <t>https://www.ourmidland.com/news/article/Pulte-Beats-Forecasts-for-Quarter-Year-7162896.php</t>
  </si>
  <si>
    <t>https://blogs.sas.com/content/customeranalytics/2011/10/14/1092/</t>
  </si>
  <si>
    <t>https://web.dallasbuilders.org/BUILDERS-RESIDENTIAL/Carson-Henderson-9269</t>
  </si>
  <si>
    <t>https://slides.com/afrojme/deck-1-4</t>
  </si>
  <si>
    <t>https://nhc.org/policy-guide/zoning-and-affordable-housing/program-profiles-zoning/</t>
  </si>
  <si>
    <t>https://yourdigitalteam.pdqs.mobi/southridge-by-pulte-homes/</t>
  </si>
  <si>
    <t>https://www.wbtv.com/story/35850587/heres-how-much-a-new-house-will-cost-you-in-10-charlotte-area-towns-and-cities/</t>
  </si>
  <si>
    <t>https://www.groupon.com/biz/wylie-tx/pulte-homes</t>
  </si>
  <si>
    <t>https://bigthink.com/guest-thinkers/should-i-stay-or-should-i-go-factors-real-estate-investors-developers-and-planners-should-consider-in-anticipating-the-future-housing-choices-of-older-boomers/</t>
  </si>
  <si>
    <t>https://www.gpb.org/blogs/georgia-works/2013/05/31/major-homebuilder-moving-hq-atlanta</t>
  </si>
  <si>
    <t>https://seekingalpha.com/pr/19985857-pultegroup-reports-fourth-quarter-2024-financial-results</t>
  </si>
  <si>
    <t>https://www.mrt.com/news/article/Pulte-Beats-Wall-Street-Year-Forecasts-7744224.php</t>
  </si>
  <si>
    <t>https://ccmcnet.com/company-news/ccmc-expands-relationship-with-pultegroup/</t>
  </si>
  <si>
    <t>https://www.arizonafoothillsmagazine.com/be-in-afm/75-best-places-to-live/4517-arizona-foothills-magazines-2012-best-places-to-live.html?start=2</t>
  </si>
  <si>
    <t>https://www.boston.com/real-estate/home-of-the-week/2016/07/28/home-week-55-plus-community-reading/</t>
  </si>
  <si>
    <t>https://www.inquirer.com/philly/business/real_estate/_The_Perfect_10_Sales_Event__June_22-24th_by_Pulte_Homes.html</t>
  </si>
  <si>
    <t>http://user.xmission.com/~realtor1/rg-us.htm</t>
  </si>
  <si>
    <t>https://skyecanyon.com/press-releases/the-lights-go-on-at-skye-canyon-monday-mar-14-2016-with-community-entrance-monument-lighting/</t>
  </si>
  <si>
    <t>info@skyecanyon.com</t>
  </si>
  <si>
    <t>https://player.fm/series/mission-daily/why-we-need-to-invest-in-the-companies-driving-ai-innovation</t>
  </si>
  <si>
    <t>https://roughdraftatlanta.com/2013/05/21/residents-350000-townhomes-too-cheap/</t>
  </si>
  <si>
    <t>https://nateseidel-newconstruction.my.canva.site/</t>
  </si>
  <si>
    <t>https://www.bldup.com/projects/legacy-groves</t>
  </si>
  <si>
    <t>https://newsroom.ocfl.net/2019/02/orange-county-government-division-of-building-safety-supports-habitat-for-humanity-orlando-osceola-countys-2019-builders-blitz/</t>
  </si>
  <si>
    <t>https://www.wbjournal.com/article/40b-projects-progress-in-natick</t>
  </si>
  <si>
    <t>https://lakelasvegas.com/lake-las-vegas-kicks-off-2019-with-event-to-showcase-new-home-communities/</t>
  </si>
  <si>
    <t>https://subdomainfinder.c99.nl/scans/2024-01-07/pulte.com</t>
  </si>
  <si>
    <t>https://www.reviewjournal.com/homes/advertising-features/first-look-pinewood-at-skye-canyon-2254048/</t>
  </si>
  <si>
    <t>https://www.myplainview.com/news/article/Pulte-Beats-Wall-Street-Year-Forecasts-9006952.php</t>
  </si>
  <si>
    <t>https://www.allentate.com/Property/Detail/200-Indigo-Park-Place-Lot-46-Easley-SC-29642/allentateGreenvilleSC/1554742</t>
  </si>
  <si>
    <t>https://www.michiganpublic.org/auto/2011-09-03/president-obamas-economic-plans-could-affect-michigan-home-builder</t>
  </si>
  <si>
    <t>https://www.arlnow.com/2016/05/03/ask-eli-what-to-expect-when-buying-new-construction/</t>
  </si>
  <si>
    <t>https://hydro.navy.lk/manager/templates/default/xdzxccs/page.php?tag=lakeview-townhomes-rowlett</t>
  </si>
  <si>
    <t>https://www.the-american-interest.com/2012/03/10/beyond-blue-7-from-levittown-to-superburb/</t>
  </si>
  <si>
    <t>https://seniorcarefinder.com/providers/81508/fl/stuart/highpointe</t>
  </si>
  <si>
    <t>http://savannah.uberflip.com/i/1503328-2023-savannah-relocation-guide/49</t>
  </si>
  <si>
    <t>https://www.wcnc.com/article/money/markets/real-estate/development-hundreds-homes-fort-mill-controversy/275-3c4719cf-43bd-4d16-a336-9f49e864435f</t>
  </si>
  <si>
    <t>https://www.phyllisbrowning.com/property/1253-woodflower-drive-katy-tx-77493/51598283/</t>
  </si>
  <si>
    <t>https://zillow.mediaroom.com/2011-11-01-Zillow-and-Pulte-Homes-to-Give-Away-350-000-House-in-Life-Changing-I-Want-a-New-Home-Sweepstakes</t>
  </si>
  <si>
    <t>https://coparking.ch/en/United-States/parking/46461</t>
  </si>
  <si>
    <t>https://www.lightreading.com/cable-technology/at-t-readies-lightspeed-in-north-texas</t>
  </si>
  <si>
    <t>https://bellmoving.com/blog/columbus-ohio-retirement-communities/#Benefits_of_Living_in_Columbus_Retirement_Communities</t>
  </si>
  <si>
    <t>https://www.remax.com/wa/carnation/home-details/31840-myrtle-lot-39-street-carnation-wa-98014/9581616752043164796/M00000650/2345229</t>
  </si>
  <si>
    <t>https://wetlands.msuextension.org/mie/met/internships-company-list.html</t>
  </si>
  <si>
    <t>https://www.cabotwealth.com/premium/cabot-top-ten-trader/issue/cabot-top-ten-trader-may-20-2013</t>
  </si>
  <si>
    <t>https://www.folkd.com/ultimate-dating-guide-for-singles-in-littleton-colorado/</t>
  </si>
  <si>
    <t>https://babcockranch.com/pulte-homes-announces-new-gated-neighborhood/</t>
  </si>
  <si>
    <t>https://www.wabe.org/pultegroup-moving-atlanta-bringing-300-jobs/</t>
  </si>
  <si>
    <t>https://trackshack.orlando2024trials.com/events/run-for-the-trees-jeannette-genius-mckean-memorial-5k/97/</t>
  </si>
  <si>
    <t>http://qujica.prv.pl/mortgage-myers-internet-ca-pleasanton.php</t>
  </si>
  <si>
    <t>https://www.santaferealestate.com/listing-sold/202402148-42-avenida-colibri-santa-fe-nm-87508/</t>
  </si>
  <si>
    <t>https://njbiz.com/korman-rockefeller-open-ave-florham-park-slideshow/</t>
  </si>
  <si>
    <t>https://teamcarver.com/5268-tipper-ave-las-vegas-real-estate-team-carver</t>
  </si>
  <si>
    <t>https://wwww.stockwatch.com/Quote/Detail?U%3APHM</t>
  </si>
  <si>
    <t>https://www.viprealestate.com/listing/39849663-14594-clementine-hall-drive-conroe-tx-77378/</t>
  </si>
  <si>
    <t>https://www.cascadepbs.org/culture/2019/04/booming-bothell-says-goodbye-quaint-country-village/</t>
  </si>
  <si>
    <t>https://www.msn.com/en-us/money/realestate/the-build-out-art-and-architecture-coming-to-jax-beach-in-new-luxury-condo-project/ar-AAKWGZh</t>
  </si>
  <si>
    <t>http://www.sleepwithmepodcast.com/upon-the-orlando-eye-on-location-listener-fav-513/</t>
  </si>
  <si>
    <t>https://www.woodlandsnewhomes.com/listing/39849663-14594-clementine-hall-drive-conroe-tx-77378/</t>
  </si>
  <si>
    <t>https://www.procore.com/network/p/pulte-homes-of-new-england-llc-westborough</t>
  </si>
  <si>
    <t>https://sofiahealth.com/states/fl/sarasota-springs/wellness-coach/</t>
  </si>
  <si>
    <t>https://www.zillowgroup.com/news/happy-6th-birthday-zillow/</t>
  </si>
  <si>
    <t>https://winknews.com/page/801/?search=undefined&amp;videoId=6345729027112</t>
  </si>
  <si>
    <t>https://tolestemple.com/idx/listings/walker-and-catoosa/page-10?idx-d-SortOrders%3C0%3E-Column=DateAdded&amp;idx-d-SortOrders%3C0%3E-Direction=DESC</t>
  </si>
  <si>
    <t>https://www.colliers.com/en/news/houston/montgomery-county-ac-2022-10-31</t>
  </si>
  <si>
    <t>https://www.brownstoner.com/development/development-wat-160/</t>
  </si>
  <si>
    <t>https://www.11alive.com/article/news/xbox-controllers-virtual-reality-become-atlanta-real-estate-tools/85-501670190</t>
  </si>
  <si>
    <t>https://torre.ai/post/2W1yx50W-pultegroup-construction-manager-inland-empire</t>
  </si>
  <si>
    <t>https://www.capecoralbreeze.com/news/business/2019/03/15/real-estate-briefs/</t>
  </si>
  <si>
    <t>https://www.jeromevillage.com/news/2020/07/14/3-reasons-to-buy-a-home-right-now/</t>
  </si>
  <si>
    <t>https://www.arlingtoncardinal.com/2011/01/arlington-crossings-offers-new-construction-urban-lifestyle-in-chicagos-northwest-suburb-of-arlington-heights/</t>
  </si>
  <si>
    <t>https://www.multifamilybiz.com/pressreleases/11984/pulte_homes_acquires_former_office_park_in_san_mat...</t>
  </si>
  <si>
    <t>https://realestatedaily-news.com/tag/sharpe-associates/page/2/?print=print-search</t>
  </si>
  <si>
    <t>https://www.c21edge.com/property/24-O6332273-16159-Coastal-Cove-Lane-Clermont-FL-34714/</t>
  </si>
  <si>
    <t>https://swooped.co/job-postings/assistant-construction-manager-carmel-innovative-construction-group-f3b56</t>
  </si>
  <si>
    <t>https://artfulliving.com/veteran-village-housing-first-minnesota-foundation-2025/</t>
  </si>
  <si>
    <t>https://www.toptenreviews.com/signs-its-time-to-replace-your-air-fryer</t>
  </si>
  <si>
    <t>https://www.overheaddoor.com/find-a-distributor/overhead-door-company-of-frederick</t>
  </si>
  <si>
    <t>https://www.830weeu.com/high-school-football/</t>
  </si>
  <si>
    <t>https://www.calltrackingmetrics.com/blog/marketing/attribution/offline-marketing-call-tracking-roi/</t>
  </si>
  <si>
    <t>https://7ten.marketing/web-design-for-electricians/</t>
  </si>
  <si>
    <t>https://squareup.com/us/en/press/tap-to-pay-on-android</t>
  </si>
  <si>
    <t>https://ddmgaragedoors.com/blog/2017/09/01/barcol-doors/</t>
  </si>
  <si>
    <t>https://riverhill.membershiptoolkit.com/</t>
  </si>
  <si>
    <t>https://www.olgchs.org/support-gc/communitypartnersprogram</t>
  </si>
  <si>
    <t>https://alta-effect-productions.pdqs.mobi/overhead-door-company-of-fredericktm/</t>
  </si>
  <si>
    <t>https://buyersguide.insideselfstorage.com/guides/default.aspx?cat=13734</t>
  </si>
  <si>
    <t>https://www.chamberofcommerce.com/business-directory/virginia/ashland/garage-door-supplier/27081690-overhead-door-company-of-central-virginia</t>
  </si>
  <si>
    <t>https://www.infarrantlycreative.net/garage-sensor-blinking-red/</t>
  </si>
  <si>
    <t>https://biztechmagazine.com/article/2024/06/modern-collaboration-tech-better-ever</t>
  </si>
  <si>
    <t>https://tympanus.net/codrops/2012/09/17/build-a-color-scheme-the-fundamentals/</t>
  </si>
  <si>
    <t>https://rjgaragedoorservice.com/blog/garage-door-opener-technology-explained/</t>
  </si>
  <si>
    <t>rjgaragedoorservice@gmail.com</t>
  </si>
  <si>
    <t>Home impv</t>
  </si>
  <si>
    <t>https://www.archpaper.com/2022/03/facades-the-clay-studio-reflects-skilled-craftwork-inside-and-out-philadelphia/</t>
  </si>
  <si>
    <t>https://www.trustguide.ai/reviews/overhead-door-company</t>
  </si>
  <si>
    <t>https://www.firstforwomen.com/home/how-to-remove-super-glue</t>
  </si>
  <si>
    <t xml:space="preserve">Lindsay </t>
  </si>
  <si>
    <t>lbosslett82@gmail.com</t>
  </si>
  <si>
    <t>lindsayb@healthmonitor.com</t>
  </si>
  <si>
    <t>https://bestlifeonline.com/mudroom-ideas/</t>
  </si>
  <si>
    <t>https://www.homesandgardens.com/solved/questions-to-ask-a-contractor</t>
  </si>
  <si>
    <t>https://www.sovereigninsurance.ca/advice-and-tools/managing-risk/anti-theft-tips-for-commercial-garage-doors</t>
  </si>
  <si>
    <t>http://home.kangaroo.vn/?h=87985523</t>
  </si>
  <si>
    <t>https://www.danleys.com/blog/open-garage-power-outage/</t>
  </si>
  <si>
    <t>Uday</t>
  </si>
  <si>
    <t>uday@yahoo.com</t>
  </si>
  <si>
    <t>https://lookwhatmomfound.com/category/thoughts/page/81</t>
  </si>
  <si>
    <t>https://www.alpinedoors.com/overhead-doors-professional/</t>
  </si>
  <si>
    <t>https://blog.drummondhouseplans.com/2014/05/28/garage-door-maintenance-tips/</t>
  </si>
  <si>
    <t>https://garagebuildings.com/how-to-stock-your-garage-for-winter</t>
  </si>
  <si>
    <t>charlotte@garagebuildings.com</t>
  </si>
  <si>
    <t>https://botw.org/listing/overhead-door-1/</t>
  </si>
  <si>
    <t>https://network.procore.com/p/overhead-door-co-of-central-va-ashland</t>
  </si>
  <si>
    <t>https://garage-door-repair-15.nyc3.digitaloceanspaces.com/what-is-creating-your-garage-door-to-malfunction-discover-our-specialist-fixing-solutions.html</t>
  </si>
  <si>
    <t>https://recetas.paraguay.com/wp-content/faoejf/best/250587525cf64a96253c39f9ceb5-nt</t>
  </si>
  <si>
    <t>https://garage-door-repair-13.us-southeast-1.linodeobjects.com/what-is-creating-your-garage-door-to-malfunction-discover-the-surprising-fixes-our-professional-repair-service-can-supply.html</t>
  </si>
  <si>
    <t>https://blog.eskrim.org.tr/?b=92761323</t>
  </si>
  <si>
    <t>https://selling.com/company/mid-atlantic-door-group/3370601</t>
  </si>
  <si>
    <t>https://due.com/4-things-every-business-website-should-do/</t>
  </si>
  <si>
    <t xml:space="preserve">Peter </t>
  </si>
  <si>
    <t>peterdaisyme@gmail.com</t>
  </si>
  <si>
    <t>https://www.certifiedeo.com/company/mid-atlantic-door-group-inc</t>
  </si>
  <si>
    <t>https://forum.gamequitters.com/?f=248059523</t>
  </si>
  <si>
    <t>https://www.foamorder.com/learning-center/diy/diy-jacuzzi-hot-tub-cover-what-you-need-to-know-before-you-start</t>
  </si>
  <si>
    <t>https://sites.google.com/epsb.ca/jpstudentservices/scholarships/national-scholarships</t>
  </si>
  <si>
    <t>https://www.o-care.com/blog-posts/hot-tub-cover-lifter</t>
  </si>
  <si>
    <t xml:space="preserve">Roel </t>
  </si>
  <si>
    <t>roel@spalife.eu</t>
  </si>
  <si>
    <t>info@o-care.com</t>
  </si>
  <si>
    <t>https://educationdata.org/scholarships-for-graduate-students</t>
  </si>
  <si>
    <t>https://scholartree.ca/scholarship/the-cover-guy-annual-scholarship/yzmkfYV5V</t>
  </si>
  <si>
    <t>https://thecoverguy.zendesk.com/hc/en-us/articles/27788819319956-What-is-your-warranty-policy</t>
  </si>
  <si>
    <t>https://the-cover-guy.tenereteam.com/</t>
  </si>
  <si>
    <t>https://www.centris.ca/en/blog/finance/buying-a-hot-tub-prices-and-maintenance</t>
  </si>
  <si>
    <t>https://scholarships360.org/scholarships/search/the-cover-guy-annual-scholarship/</t>
  </si>
  <si>
    <t>https://www.arcticspas.ca/arctic-spas-reviews-2023-the-ultimate-guide-to-finding-your-perfect-hot-tub/</t>
  </si>
  <si>
    <t>marketing@arcticspas.com</t>
  </si>
  <si>
    <t>Home Outdoor</t>
  </si>
  <si>
    <t>https://www.arcticspas.com/research/worlds-most-efficient-hot-tubs/</t>
  </si>
  <si>
    <t>https://www.discover.com/student-loans/college-planning/scholarships/directory/general</t>
  </si>
  <si>
    <t>https://www.inc.com/bill-murphy-jr/17-horrible-business-cliches-that-make-people-ignore-whatever-else-you-have-to-say.html</t>
  </si>
  <si>
    <t>https://useactive.com/how-long-does-it-take-a-hot-tub-to-heat-up/</t>
  </si>
  <si>
    <t>johnharrington@iib.ws</t>
  </si>
  <si>
    <t>support@useactive.com</t>
  </si>
  <si>
    <t>https://blog.megaventory.com/2022/06/15-tips-for-independent-retailers-to-stay-competitive/</t>
  </si>
  <si>
    <t>https://www.homestratosphere.com/types-of-hot-tub-covers/</t>
  </si>
  <si>
    <t>https://ideal.house/zh-CN/community/topics/coverlets</t>
  </si>
  <si>
    <t>https://huntinghills.rdpsd.ab.ca/students/career-suite/scholarships-bursaries</t>
  </si>
  <si>
    <t>https://hawkemedia.com/insights/bfcm-client-deals-2025/</t>
  </si>
  <si>
    <t>https://canadianhomeleisure.ca/how-many-years-can-i-expect-to-get-out-of-my-hot-tub/</t>
  </si>
  <si>
    <t>info@canadianhomeleisure.ca</t>
  </si>
  <si>
    <t>Furniture</t>
  </si>
  <si>
    <t>https://morningchores.com/diy-hot-tub/</t>
  </si>
  <si>
    <t>https://onecommunityglobal.org/duplicable-city-center-natural-pool-spa/</t>
  </si>
  <si>
    <t>https://www.sustainablejungle.com/sustainable-sofas-couches/</t>
  </si>
  <si>
    <t xml:space="preserve">Amber </t>
  </si>
  <si>
    <t>amber@sustainablejungle.com</t>
  </si>
  <si>
    <t>hello@sustainablejungle.com</t>
  </si>
  <si>
    <t>https://blog.squaretrade.com/hot-tub-gadgets/</t>
  </si>
  <si>
    <t>https://www.wheaton.edu/admissions-cost-and-aid/scholarships-and-financial-aid/academic-scholarships/outside-scholarships-and-resources/</t>
  </si>
  <si>
    <t>https://collegesofdistinction.com/advice/scholarships-for-creative-high-school-students-aspiring-to-attend-college/</t>
  </si>
  <si>
    <t>https://thelogcompany.com/news/wood-fired-hot-tub-wellness-guide</t>
  </si>
  <si>
    <t>office@thelogcompany.com</t>
  </si>
  <si>
    <t>https://civiconcepts.com/blog/how-to-protect-outdoor-living-spaces-and-keep-them-looking-new</t>
  </si>
  <si>
    <t>https://www.careeronestop.org/Toolkit/Training/find-scholarships-detail.aspx?lang=en&amp;pagesize=500&amp;scholarshipId=9996400</t>
  </si>
  <si>
    <t>https://www.phta.org/consumer/directory/find-a-pool-pro/</t>
  </si>
  <si>
    <t>https://www.backyardboss.net/hot-tub-chemical-alternatives/</t>
  </si>
  <si>
    <t>info@backyardboss.net</t>
  </si>
  <si>
    <t>https://financialaid.ucdavis.edu/scholarships/cover-guy-annual-scholarship</t>
  </si>
  <si>
    <t>https://www.pinterest.ca/ideas/hillbilly-hot-tub/916619540778/</t>
  </si>
  <si>
    <t>https://www.fixya.com/support/t24902639-get_stuck_hot_tub_filter_out</t>
  </si>
  <si>
    <t>https://www.campusreel.org/scholarship/the-cover-guy-annual-scholarship</t>
  </si>
  <si>
    <t>https://downforeveryoneorjustme.com/thecoverguy.com</t>
  </si>
  <si>
    <t>https://www.sparefoot.com/blog/how-to-move-and-store-a-6-person-hot-tub</t>
  </si>
  <si>
    <t>https://llmrefs.com/keywords/outdoor-whirlpool</t>
  </si>
  <si>
    <t>https://www.joinchargeback.com/review/thecoverguy.com</t>
  </si>
  <si>
    <t>https://www.fastbase.com/countryindex/Canada/H/Hot-tub-repair-service</t>
  </si>
  <si>
    <t>https://thesource.com/2025/06/05/stop-acting-like-the-cover-doesnt-matter-it-does/</t>
  </si>
  <si>
    <t>https://cfcc.academicworks.com/opportunities/external?page=2</t>
  </si>
  <si>
    <t>https://katu.com/afternoon-live/lifestyle-health/unique-scholarships-in-2023</t>
  </si>
  <si>
    <t>http://fixit-act.cmtc.ac.th/imagesgall/thumb/ddya2d/article.php?id=freshwater-salt-system-inactive-no-circulation</t>
  </si>
  <si>
    <t>https://www.globalbrandsmagazine.com/hot-tub-upgrades-to-elevate-your-soaking-experience/</t>
  </si>
  <si>
    <t>https://sd35.bc.ca/page/5724/scholarship-database</t>
  </si>
  <si>
    <t>https://sawmillcreek.org/showthread.php?84797-Good-source-for-replacement-spa-cover&amp;p=858339</t>
  </si>
  <si>
    <t>https://lakelandcollege.ca/admissions/funding-your-education/external-awards.html</t>
  </si>
  <si>
    <t>https://www.mavaquadoc.com/blogs/hot-tub-maintenance-blog/hot-tub-cover-lifespan-when-and-how-to-replace-it</t>
  </si>
  <si>
    <t>https://www.simcoe.com/life/orillia-ball-hockey-league-results/article_43d95f5a-f85b-5e91-8ee9-51a70ccc4adb.html</t>
  </si>
  <si>
    <t>http://portal.mycampus.ca/mycampusfiles/dc/financialaid/AwardDC.jsp?id=2717</t>
  </si>
  <si>
    <t>https://www.yellowpages.com.au/sup/amj-metal-roofing-14640240-listing.html</t>
  </si>
  <si>
    <t>https://customhomesonline.com.au/what-are-the-pros-and-cons-of-installing-metal-roofing/</t>
  </si>
  <si>
    <t>info@customhomesmag.com</t>
  </si>
  <si>
    <t>Decor</t>
  </si>
  <si>
    <t>https://az.ezilon.com/australia/business/building_materials/roofing/index.shtml</t>
  </si>
  <si>
    <t>https://www.brisbane-australia.com/directory/building-construction/roofing/amj-metal-roofing-brisbane</t>
  </si>
  <si>
    <t>https://www.thesenior.com.au/story/8967025/how-to-maintain-your-metal-roof-for-longevity/</t>
  </si>
  <si>
    <t>https://www.truelocal.com.au/qld/capalaba/amj-metal-roofing-14728957</t>
  </si>
  <si>
    <t>https://www.batemansbaypost.com.au/story/9010643/what-are-the-benefits-of-colorbond-roofing/</t>
  </si>
  <si>
    <t xml:space="preserve">Ben </t>
  </si>
  <si>
    <t>ben.smyth@austcommunitymedia.com.au</t>
  </si>
  <si>
    <t>https://nationaldirectory.com.au/amjmetalroofing/home</t>
  </si>
  <si>
    <t>https://worldpopulationreview.com/state-rankings/solar-incentives-by-state</t>
  </si>
  <si>
    <t>https://www.ecomena.org/how-to-install-solar-panels-for-your-home-beginners-guide/</t>
  </si>
  <si>
    <t>https://www.payaca.com/post/can-solar-panels-be-recycled</t>
  </si>
  <si>
    <t>hello@payaca.com</t>
  </si>
  <si>
    <t>https://www.spacedaily.com/reports/How_Solar_Energy_Innovations_from_Space_Technology_Are_Powering_Earths_Future_999.html</t>
  </si>
  <si>
    <t>https://ases.org/our-community/businessmembers/</t>
  </si>
  <si>
    <t>https://www.popularmechanics.com/science/green-tech/a65901684/solar-efficiency-black-metal/</t>
  </si>
  <si>
    <t>https://constructionreviewonline.com/knowhow/installations-materials/how-to-reduce-solar-panel-installation-costs/</t>
  </si>
  <si>
    <t>https://www.saveonenergy.com/solar-energy/oregon/</t>
  </si>
  <si>
    <t>Brent</t>
  </si>
  <si>
    <t>bmoore@saveonenergy.com</t>
  </si>
  <si>
    <t>heba@saveonenergy.com</t>
  </si>
  <si>
    <t>https://gharpedia.com/blog/home-solar-installation-guide/</t>
  </si>
  <si>
    <t>https://www.solarfeeds.com/mag/top-10-solar-epc-companies-in-oregon/</t>
  </si>
  <si>
    <t>https://www.homecrux.com/how-to-create-energy-efficient-home/176872/</t>
  </si>
  <si>
    <t>https://thursd.com/articles/kenyas-sian-flowers-sustainability-drives-floriculture-profitability</t>
  </si>
  <si>
    <t>https://aeroleads.com/list/top-renewable-energy-companies-in-oregon</t>
  </si>
  <si>
    <t>https://businessnewsthisweek.com/business/choosing-the-right-smart-solar-energy-system-for-your-home/</t>
  </si>
  <si>
    <t>https://riverjournalonline.com/communities/solar-energy-program-turns-homes-into-virtual-power-plants/26155/</t>
  </si>
  <si>
    <t>Alain Begun</t>
  </si>
  <si>
    <t>publisher@rivertownsmedia.com</t>
  </si>
  <si>
    <t>https://guruhitech.com/the-benefits-of-working-with-local-home-solar-installers/</t>
  </si>
  <si>
    <t>https://www.otsnews.co.uk/top-reasons-to-hire-professional-home-solar-installers/</t>
  </si>
  <si>
    <t>https://pdxtoday.6amcity.com/city/residential-solar-panels-regulations-portland</t>
  </si>
  <si>
    <t>https://www.outdoorproject.com/users/solar-revolution-transforming-energy-production</t>
  </si>
  <si>
    <t>https://wgsmartsavings.com/network/home/find</t>
  </si>
  <si>
    <t>https://bellflower-grapefruit-egek.squarespace.com/apple-blog</t>
  </si>
  <si>
    <t>https://appleplumbing.applicantpro.com/jobs/</t>
  </si>
  <si>
    <t>https://carrollcountychamberofcommercemd.growthzoneapp.com/chambereventcalendar/Details/golf-tournament-598165?sourceTypeId=Website</t>
  </si>
  <si>
    <t>https://www.usboiler.net/network/md/boiler-installation-and-repair-services-in-frederick-md.html</t>
  </si>
  <si>
    <t>https://bestplumbers.com/maryland/westminster/plumbing-services/apple-plumbing</t>
  </si>
  <si>
    <t>https://wpstudents.towson.edu/rwilso27/2024/06/30/the-impact-of-hvac-systems-on-indoor-air-quality-in-universities/</t>
  </si>
  <si>
    <t>https://mylocal.carrollcountytimes.com/westminster-md/apple-plumbing-and-heating-410-840-8118</t>
  </si>
  <si>
    <t>https://www.finance-monthly.com/prevent-the-payout-why-spring-maintenance-is-a-financial-decision/</t>
  </si>
  <si>
    <t>https://southernmarylandchronicle.com/2024/08/26/common-water-quality-issues-in-maryland/</t>
  </si>
  <si>
    <t>https://housereal.net/think-your-waters-fine-think-again/</t>
  </si>
  <si>
    <t>https://www.paulteitelman.com/case-studies/apple-plumbing/</t>
  </si>
  <si>
    <t>https://mylocal.capitalgazette.com/westminster-md/apple-plumbing-and-heating-410-840-8118</t>
  </si>
  <si>
    <t>https://www.kaplanfinancial.com/</t>
  </si>
  <si>
    <t>https://www.schweser.com/</t>
  </si>
  <si>
    <t>https://ppi2pass.com/</t>
  </si>
  <si>
    <t>https://investing.io/how-many-jobs-real-estate-investment-trusts/</t>
  </si>
  <si>
    <t>Travis</t>
  </si>
  <si>
    <t>travis@investing.io</t>
  </si>
  <si>
    <t>https://www.crowdspring.com/blog/how-to-start-a-real-estate-business/</t>
  </si>
  <si>
    <t>https://www.realestateskills.com/blog/jobs-without-license</t>
  </si>
  <si>
    <t>info@realestateskills.com</t>
  </si>
  <si>
    <t>https://oop.ky.gov/education.aspx</t>
  </si>
  <si>
    <t>https://www.kaplanquizzes.com/</t>
  </si>
  <si>
    <t>https://contractortrainingcenter.com/blogs/news/how-to-apply-for-a-subcontractor-license-a-basic-guide</t>
  </si>
  <si>
    <t>support@contractortrainingcenter.com</t>
  </si>
  <si>
    <t>https://enhancv.com/resume-examples/real-estate-agent/</t>
  </si>
  <si>
    <t>https://realestate.utah.gov/real-estate/education/pre-license-schools/</t>
  </si>
  <si>
    <t>https://moneyzine.com/careers/jobs-that-pay-200k-a-year-without-a-degree/</t>
  </si>
  <si>
    <t xml:space="preserve">Derek </t>
  </si>
  <si>
    <t>dsall12000@yahoo.com</t>
  </si>
  <si>
    <t>contact@moneyzine.com</t>
  </si>
  <si>
    <t>https://arec.arkansas.gov/education/education-providers/</t>
  </si>
  <si>
    <t>https://www.uopeople.edu/blog/how-long-does-it-take-to-become-a-real-estate-agent/</t>
  </si>
  <si>
    <t>https://help.kaplanlearn.com/s/</t>
  </si>
  <si>
    <t>https://realestatelicensewizard.com/real-estate-express/</t>
  </si>
  <si>
    <t>https://theclose.com/home-inspector-training-schools/</t>
  </si>
  <si>
    <t>https://www.investopedia.com/how-to-get-a-real-estate-license-in-new-york-ny-5114757</t>
  </si>
  <si>
    <t>https://www.indeed.com/career-advice/career-development/best-online-real-estate-schools</t>
  </si>
  <si>
    <t>https://dlr.sd.gov/realestate/approved_prelicensing_education.aspx</t>
  </si>
  <si>
    <t>https://iconsofrealestate.com/why-are-agents-leaving-exp/</t>
  </si>
  <si>
    <t>icons@iconsofrealestate.com</t>
  </si>
  <si>
    <t>https://rankings.newsweek.com/americas-top-online-colleges-2026/americas-top-online-learning-providers-2026</t>
  </si>
  <si>
    <t>https://www.propstream.com/news/real-estate-agent-vs.-wholesaler-whats-the-difference</t>
  </si>
  <si>
    <t>support@propstream.com</t>
  </si>
  <si>
    <t>info@propstream.com</t>
  </si>
  <si>
    <t>https://optimoroute.com/home-inspection-business/</t>
  </si>
  <si>
    <t>support@optimoroute.com</t>
  </si>
  <si>
    <t>https://www.best-trade-schools.net/schools/bob-hogue-school-of-real-estate/</t>
  </si>
  <si>
    <t>https://www.aceableagent.com/reviews/texas/best-online-real-estate-school/</t>
  </si>
  <si>
    <t>https://www.chamberofcommerce.org/best-real-estate-schools-in-florida</t>
  </si>
  <si>
    <t>https://www.inspectionsupport.com/the-best-online-courses-for-home-inspectors/</t>
  </si>
  <si>
    <t xml:space="preserve">Ashley </t>
  </si>
  <si>
    <t>ashley@hotmail.com</t>
  </si>
  <si>
    <t>help@inspectionsupport.com</t>
  </si>
  <si>
    <t>https://www.gaar.com/blog/article/how-to-become-a-realtor</t>
  </si>
  <si>
    <t>Sarah</t>
  </si>
  <si>
    <t>sarahbernson@gmail.com</t>
  </si>
  <si>
    <t>https://www.wealthysinglemommy.com/quick-certifications-that-pay-well/</t>
  </si>
  <si>
    <t>https://www.buildsubmarines.com/careers/welder-vs-real-estate-agent</t>
  </si>
  <si>
    <t>https://fortune.com/education/articles/best-real-estate-schools/</t>
  </si>
  <si>
    <t>https://myelisting.com/commercial-real-estate-news/1654/how-become-commercial-real-estate-agent-north-carolina/</t>
  </si>
  <si>
    <t>https://kwarizona.com/kscore-the-opportunity-you-have-been-waiting-for/</t>
  </si>
  <si>
    <t xml:space="preserve">Noime </t>
  </si>
  <si>
    <t>noimecampillo@kw.com</t>
  </si>
  <si>
    <t>marketing280@kw.com</t>
  </si>
  <si>
    <t>https://www.flcaa.com/post/real-estate-course-price-in-florida-hidden-costs-you-need-to-know-2025</t>
  </si>
  <si>
    <t>https://www.homegauge.com/learning/single-or-multi-inspector-company/</t>
  </si>
  <si>
    <t>support@homegauge.com</t>
  </si>
  <si>
    <t>https://wisepelican.com/real-estate-ce-guide/</t>
  </si>
  <si>
    <t>https://www.followupboss.com/blog/review-for-2019-is-real-estate-express-the-best-of-its-kind</t>
  </si>
  <si>
    <t xml:space="preserve">Dave </t>
  </si>
  <si>
    <t>dave@followupboss.com</t>
  </si>
  <si>
    <t>https://fitsmallbusiness.com/best-online-real-estate-school-florida/</t>
  </si>
  <si>
    <t xml:space="preserve">Gina </t>
  </si>
  <si>
    <t>gmariecast22@gmail.com</t>
  </si>
  <si>
    <t>info@fitsmallbusiness.com</t>
  </si>
  <si>
    <t>https://www.myengineeringbuddy.com/blog/kaplan-reviews-features-pricing-alternatives/</t>
  </si>
  <si>
    <t>https://www.labor.maryland.gov/license/mrec/mrecproviders.shtml</t>
  </si>
  <si>
    <t>https://moneypantry.com/jobs-for-retired-teachers/</t>
  </si>
  <si>
    <t>https://www.thestreet.com/personal-finance/how-to-become-real-estate-agent-14523923</t>
  </si>
  <si>
    <t>https://pr.mo.gov/realestate-ceu-schools-detail.asp?detail=50900</t>
  </si>
  <si>
    <t>https://moseley.org/compare/florida/bob-hogue/</t>
  </si>
  <si>
    <t>https://sandiegomagazine.com/guides/the-best-california-real-estate-continuing-ed-courses/</t>
  </si>
  <si>
    <t>https://teach.com/online-ed/short-courses/online-real-estate-courses/</t>
  </si>
  <si>
    <t>https://www.dbs.ie/about-dbs/kaplan-dublin-business-school</t>
  </si>
  <si>
    <t>https://www.usrealtytraining.com/terms-conditions</t>
  </si>
  <si>
    <t>https://www.ohe.state.mn.us/sPages/closedSchoolContact.cfm</t>
  </si>
  <si>
    <t>https://ark7.com/blog/learn/cities/colorado-real-estate-wholesaling-guide/</t>
  </si>
  <si>
    <t>https://www.wwnytv.com/2024/05/27/high-school-seniors-can-now-get-real-estate-license-free-this-state/</t>
  </si>
  <si>
    <t>Zach</t>
  </si>
  <si>
    <t>zjackson@wwnytv.net</t>
  </si>
  <si>
    <t>https://www.redfin.com/guides/agent-resources/popular-real-estate-schools-by-state</t>
  </si>
  <si>
    <t>https://www.craryrealestate.com/agents/becoming-an-agent/</t>
  </si>
  <si>
    <t>https://www.actionnews5.com/2024/05/21/tenn-high-school-seniors-get-free-real-estate-licenses/</t>
  </si>
  <si>
    <t>https://community.kaplan.com/realestate</t>
  </si>
  <si>
    <t>https://www.easyresume.io/examples/real-estate-agent</t>
  </si>
  <si>
    <t>https://www.nj.gov/dobi/division_rec/licensing/schlist.html</t>
  </si>
  <si>
    <t>https://inboundrem.com/become-real-estate-agent-kentucky/</t>
  </si>
  <si>
    <t>Robert</t>
  </si>
  <si>
    <t>robert@inboundrem.com</t>
  </si>
  <si>
    <t>ben@inboundrem.com</t>
  </si>
  <si>
    <t>https://investinganswers.com/best-mortgages</t>
  </si>
  <si>
    <t>siegelcfa@gmail.com</t>
  </si>
  <si>
    <t>support@investinganswers.com</t>
  </si>
  <si>
    <t>https://www.rezi.ai/posts/how-to-become-a-real-estate-agent</t>
  </si>
  <si>
    <t>https://www.quiz-maker.com/cp-np-hardest-real-estate-exam</t>
  </si>
  <si>
    <t>https://staterequirement.com/real-estate/kaplan-real-estate-review/</t>
  </si>
  <si>
    <t xml:space="preserve">Ethan </t>
  </si>
  <si>
    <t>ethan@staterequirement.com</t>
  </si>
  <si>
    <t>https://www.edinformatics.com/real_estate/schools.htm</t>
  </si>
  <si>
    <t>https://www.dllr.state.md.us/license/mrec/mrecproviders.shtml</t>
  </si>
  <si>
    <t>https://johndecember.com/places/lv/blue.html</t>
  </si>
  <si>
    <t>https://www.unitedcountry.com/articles/sellers/is-a-career-in-real-estate-right-for-you----united-country-real-estate/1525</t>
  </si>
  <si>
    <t>https://www.thepennyhoarder.com/make-money/career/how-to-become-a-real-estate-agent/</t>
  </si>
  <si>
    <t>https://careersidekick.com/real-estate-agent/</t>
  </si>
  <si>
    <t>https://www.parkplacenetwork.com/reschools</t>
  </si>
  <si>
    <t>https://www.brittany.com.ph/blogs/what-homebuyers-value-in-a-real-estate-sales-professional/</t>
  </si>
  <si>
    <t>https://blog.cheapism.com/ways-to-make-extra-money/</t>
  </si>
  <si>
    <t>info@cheapism.com</t>
  </si>
  <si>
    <t>https://www.nucamp.co/blog/coding-bootcamp-palau-plw-real-estate-the-complete-guide-to-using-ai-in-the-real-estate-industry-in-palau-in-2025</t>
  </si>
  <si>
    <t>https://www.lendersa.com/lender/colorado-springs/red-rock-capital</t>
  </si>
  <si>
    <t>https://diversification.com/term/seller's-agent</t>
  </si>
  <si>
    <t>https://landerlab.io/blog/how-to-get-real-estate-leads-without-cold-calling</t>
  </si>
  <si>
    <t>https://pathwise.io/how-to-start-a-career-in-real-estate/</t>
  </si>
  <si>
    <t>https://legalcareerpath.com/real-estate-paralegal/</t>
  </si>
  <si>
    <t>https://structuretech.com/home-inspector-training-advice/</t>
  </si>
  <si>
    <t xml:space="preserve">Reuben </t>
  </si>
  <si>
    <t>reuben@structuretech.com</t>
  </si>
  <si>
    <t xml:space="preserve"> info@structuretech.com</t>
  </si>
  <si>
    <t>Home Imprv</t>
  </si>
  <si>
    <t>https://www.bloggang.com/mainblog.php?id=jc2002-warmfamily</t>
  </si>
  <si>
    <t>https://www.hometap.com/blog/the-best-small-business-loans-for-niche-entrepreneurs</t>
  </si>
  <si>
    <t xml:space="preserve">Jeffrey </t>
  </si>
  <si>
    <t>jeffreyglass@hometap.com</t>
  </si>
  <si>
    <t>hello@hometap.com</t>
  </si>
  <si>
    <t>https://www.rentecdirect.com/blog/10-dos-and-donts-of-real-estate-networking-events/</t>
  </si>
  <si>
    <t>Brentnie</t>
  </si>
  <si>
    <t>bdaggett@rentecdirect.com</t>
  </si>
  <si>
    <t>https://dailymom.com/shine/10-profitable-jobs-that-dont-require-a-degree/</t>
  </si>
  <si>
    <t xml:space="preserve">Elena </t>
  </si>
  <si>
    <t>contact@dailymom.com</t>
  </si>
  <si>
    <t>https://connecteam.com/start-a-real-estate-business/</t>
  </si>
  <si>
    <t>https://www.spectora.com/r/connecting-with-real-estate-agents/</t>
  </si>
  <si>
    <t>https://thrivabilitymatters.org/eco-building-concrete-ways-to-cement-net-zero-goals/</t>
  </si>
  <si>
    <t xml:space="preserve">Elsie </t>
  </si>
  <si>
    <t>elsie@strive2thrive.earth</t>
  </si>
  <si>
    <t>contact@strive2thrive.earth</t>
  </si>
  <si>
    <t>https://ppar.com/educationresources/PRE-Licensing.aspx</t>
  </si>
  <si>
    <t>https://www.amny.com/news/top-nyc-real-estate-agents-2/</t>
  </si>
  <si>
    <t>https://www.berxi.com/resources/articles/how-to-build-a-real-estate-team/</t>
  </si>
  <si>
    <t>Adam</t>
  </si>
  <si>
    <t>adam.yasan@bhspecialty.com</t>
  </si>
  <si>
    <t>Insurance</t>
  </si>
  <si>
    <t>https://www.newwestern.com/guide/real-estate-careers/</t>
  </si>
  <si>
    <t xml:space="preserve">Andrea </t>
  </si>
  <si>
    <t>andrea.merrill@newwestern.com</t>
  </si>
  <si>
    <t>info@newwestern.com</t>
  </si>
  <si>
    <t>https://blog.ict.com.mm/mobile-app-for-property-search/</t>
  </si>
  <si>
    <t>https://www.a-1locksmith.com/why-a-realtor-should-have-a-good-locksmith-reference/</t>
  </si>
  <si>
    <t>info@a-1locksmith.com</t>
  </si>
  <si>
    <t>https://www.choicehomewarranty.com/how-flip-house/</t>
  </si>
  <si>
    <t>Jim</t>
  </si>
  <si>
    <t>jim.mostofi@chartisinsurance.com</t>
  </si>
  <si>
    <t>info@choicehomewarranty.com</t>
  </si>
  <si>
    <t>https://pro-reed.com/2025/01/11/real-estate-101-what-you-need-to-know/</t>
  </si>
  <si>
    <t>https://plusrender.com/tips-on-finding-the-best-real-estate-agents-in-los-angeles/</t>
  </si>
  <si>
    <t>https://www.biggerpockets.com/blog/data-analysis-rich-real-estate-investments</t>
  </si>
  <si>
    <t>https://studybreaks.com/college/real-estate-college/</t>
  </si>
  <si>
    <t>https://maao.memberclicks.net/education-faqs</t>
  </si>
  <si>
    <t>https://internationalvanlines.com/reliable-international-movers-within-minutes/</t>
  </si>
  <si>
    <t>josh@osishipping.com</t>
  </si>
  <si>
    <t>cs@internationalvanlines.com</t>
  </si>
  <si>
    <t>https://fairygodboss.com/career-topics/how-to-become-a-real-estate-agent</t>
  </si>
  <si>
    <t>https://www.mashvisor.com/blog/how-to-be-a-realtor/</t>
  </si>
  <si>
    <t>https://leaders.com/articles/business/how-much-do-real-estate-agents-make/</t>
  </si>
  <si>
    <t>https://www.rentspree.com/blog/seniors-guide-to-becoming-a-real-estate-agent</t>
  </si>
  <si>
    <t>https://www.wvlt.tv/2024/05/21/tenn-high-school-seniors-get-free-real-estate-licenses/</t>
  </si>
  <si>
    <t>https://www.fox5vegas.com/2024/05/27/high-school-seniors-can-now-get-real-estate-license-free-this-state/</t>
  </si>
  <si>
    <t>https://www.wlbt.com/2024/05/27/high-school-seniors-can-now-get-real-estate-license-free-this-state/</t>
  </si>
  <si>
    <t>https://www.fox10tv.com/2024/05/27/high-school-seniors-can-now-get-real-estate-license-free-this-state/</t>
  </si>
  <si>
    <t>https://www.mobilemodular.com/blog/concrete-alternatives-for-greener-construction-initiatives</t>
  </si>
  <si>
    <t>https://www.wsmv.com/2024/05/27/high-school-seniors-can-now-get-real-estate-license-free-this-state/</t>
  </si>
  <si>
    <t>https://www.kptv.com/2024/05/27/high-school-seniors-can-now-get-real-estate-license-free-this-state/</t>
  </si>
  <si>
    <t>https://www.kxii.com/2024/05/27/high-school-seniors-can-now-get-real-estate-license-free-this-state/</t>
  </si>
  <si>
    <t>https://training.safetyculture.com/course-collection/inspection-courses/</t>
  </si>
  <si>
    <t>https://www.elikarealestate.com/blog/online-nyc-real-estate-license/</t>
  </si>
  <si>
    <t>info@elikaassociates.com</t>
  </si>
  <si>
    <t>https://www.upnest.com/post/selling-your-home-without-a-realtor/</t>
  </si>
  <si>
    <t>https://www.hondros.com/resources/blog/build-referral-based-business/</t>
  </si>
  <si>
    <t>https://sidehustleschool.com/episode/181/</t>
  </si>
  <si>
    <t>http://homesleuths.20m.com/memberlist/featured/n.htm</t>
  </si>
  <si>
    <t>https://www.fox8live.com/2024/05/27/high-school-seniors-can-now-get-real-estate-license-free-this-state/</t>
  </si>
  <si>
    <t>https://www.13abc.com/2024/05/27/high-school-seniors-can-now-get-real-estate-license-free-this-state/</t>
  </si>
  <si>
    <t>https://screa.theceshop.com/agent-essentials/blog/the-financial-difference-between-online-and-in-person-learning</t>
  </si>
  <si>
    <t>https://simplehomebuyers.hatenablog.com/</t>
  </si>
  <si>
    <t>https://realestateskills.mykajabi.com/blog/home-staging</t>
  </si>
  <si>
    <t>https://www.mattwardhomes.com/blog/choosing-the-right-path-exploring-the-best-nashville-tn-real-estate-schools/</t>
  </si>
  <si>
    <t>matt@themattwardgroup.com</t>
  </si>
  <si>
    <t>https://www.floridarealtors.org/events/annual-convention/exhibitors</t>
  </si>
  <si>
    <t>https://www.insurancejournal.com/magazines/mag-features/2010/08/16/160003.htm</t>
  </si>
  <si>
    <t>https://riclexel.substack.com/p/me-myself-and-i</t>
  </si>
  <si>
    <t>https://www.wave3.com/2024/05/27/high-school-seniors-can-now-get-real-estate-license-free-this-state/</t>
  </si>
  <si>
    <t>https://www.21alivenews.com/2024/05/27/high-school-seniors-can-now-get-real-estate-license-free-this-state/</t>
  </si>
  <si>
    <t>https://www.webcenterfairbanks.com/2024/05/27/high-school-seniors-can-now-get-real-estate-license-free-this-state/</t>
  </si>
  <si>
    <t>https://www.newschannel10.com/2024/05/27/high-school-seniors-can-now-get-real-estate-license-free-this-state/</t>
  </si>
  <si>
    <t>https://www.wistv.com/2024/05/27/high-school-seniors-can-now-get-real-estate-license-free-this-state/</t>
  </si>
  <si>
    <t>https://www.kgns.tv/2024/05/27/high-school-seniors-can-now-get-real-estate-license-free-this-state/</t>
  </si>
  <si>
    <t>https://www.wkyt.com/2024/05/27/high-school-seniors-can-now-get-real-estate-license-free-this-state/</t>
  </si>
  <si>
    <t>https://www.foxcarolina.com/2024/05/27/high-school-seniors-can-now-get-real-estate-license-free-this-state/</t>
  </si>
  <si>
    <t>https://pick-kart.com/5-common-home-inspection-errors-to-avoid-for-buyers/</t>
  </si>
  <si>
    <t>jsntgjrl@gmail.com</t>
  </si>
  <si>
    <t>https://www.kttc.com/2024/05/27/high-school-seniors-can-now-get-real-estate-license-free-this-state/</t>
  </si>
  <si>
    <t>https://www.hawaiinewsnow.com/2024/05/27/high-school-seniors-can-now-get-real-estate-license-free-this-state/</t>
  </si>
  <si>
    <t>https://www.cleveland19.com/2024/05/27/high-school-seniors-can-now-get-real-estate-license-free-this-state/</t>
  </si>
  <si>
    <t>https://www.kjct8.com/2024/05/27/high-school-seniors-can-now-get-real-estate-license-free-this-state/</t>
  </si>
  <si>
    <t>https://www.wabi.tv/2024/05/27/high-school-seniors-can-now-get-real-estate-license-free-this-state/</t>
  </si>
  <si>
    <t>https://www.wsaz.com/2024/05/27/high-school-seniors-can-now-get-real-estate-license-free-this-state/</t>
  </si>
  <si>
    <t>https://www.kolotv.com/2024/05/27/high-school-seniors-can-now-get-real-estate-license-free-this-state/</t>
  </si>
  <si>
    <t>https://business.providence.edu/undergraduate/friar-leadership-and-immersion-program-flip/pathways/</t>
  </si>
  <si>
    <t>https://www.knoe.com/2024/05/27/high-school-seniors-can-now-get-real-estate-license-free-this-state/</t>
  </si>
  <si>
    <t>https://www.realestateagents.com/blog/all/3-steps-to-becoming-a-real-estate-agent</t>
  </si>
  <si>
    <t>scastillo@realestateagents.com</t>
  </si>
  <si>
    <t xml:space="preserve"> support@realestateagents.com</t>
  </si>
  <si>
    <t>https://www.29news.com/2024/05/27/high-school-seniors-can-now-get-real-estate-license-free-this-state/</t>
  </si>
  <si>
    <t>https://www.wmbfnews.com/2024/05/27/high-school-seniors-can-now-get-real-estate-license-free-this-state/</t>
  </si>
  <si>
    <t>https://www.14news.com/2024/05/27/high-school-seniors-can-now-get-real-estate-license-free-this-state/</t>
  </si>
  <si>
    <t>https://www.25newsnow.com/2024/05/27/high-school-seniors-can-now-get-real-estate-license-free-this-state/</t>
  </si>
  <si>
    <t>https://www.knopnews2.com/2024/05/27/high-school-seniors-can-now-get-real-estate-license-free-this-state/</t>
  </si>
  <si>
    <t>https://www.kkco11news.com/2024/05/27/high-school-seniors-can-now-get-real-estate-license-free-this-state/</t>
  </si>
  <si>
    <t>https://www.ksla.com/2024/05/27/high-school-seniors-can-now-get-real-estate-license-free-this-state/</t>
  </si>
  <si>
    <t>https://www.kold.com/2024/05/27/high-school-seniors-can-now-get-real-estate-license-free-this-state/</t>
  </si>
  <si>
    <t>https://www.wdtv.com/2024/05/27/high-school-seniors-can-now-get-real-estate-license-free-this-state/</t>
  </si>
  <si>
    <t>https://www.newschannel6now.com/2024/05/27/high-school-seniors-can-now-get-real-estate-license-free-this-state/</t>
  </si>
  <si>
    <t>https://www.wndu.com/2024/05/27/high-school-seniors-can-now-get-real-estate-license-free-this-state/</t>
  </si>
  <si>
    <t>https://www.wymt.com/2024/05/27/high-school-seniors-can-now-get-real-estate-license-free-this-state/</t>
  </si>
  <si>
    <t>https://www.wbay.com/2024/05/27/high-school-seniors-can-now-get-real-estate-license-free-this-state/</t>
  </si>
  <si>
    <t>https://www.wflx.com/2024/05/27/high-school-seniors-can-now-get-real-estate-license-free-this-state/</t>
  </si>
  <si>
    <t>https://www.builtinla.com/articles/career-paths-entrepreneur-teens-shouldnt-overlook</t>
  </si>
  <si>
    <t>https://www.wagmtv.com/2024/05/27/high-school-seniors-can-now-get-real-estate-license-free-this-state/</t>
  </si>
  <si>
    <t>https://www.fox34.com/2024/05/27/high-school-seniors-can-now-get-real-estate-license-free-this-state/</t>
  </si>
  <si>
    <t>https://www.weau.com/2024/05/27/high-school-seniors-can-now-get-real-estate-license-free-this-state/</t>
  </si>
  <si>
    <t>https://www.kait8.com/2024/05/27/high-school-seniors-can-now-get-real-estate-license-free-this-state/</t>
  </si>
  <si>
    <t>https://www.firstalert7.com/2024/05/27/high-school-seniors-can-now-get-real-estate-license-free-this-state/</t>
  </si>
  <si>
    <t>https://www.tradersdna.com/how-to-become-a-real-estate-broker/</t>
  </si>
  <si>
    <t>editor@tradersdna.com</t>
  </si>
  <si>
    <t>https://www.dakotanewsnow.com/2024/05/27/high-school-seniors-can-now-get-real-estate-license-free-this-state/</t>
  </si>
  <si>
    <t>https://www.wifr.com/2024/05/27/high-school-seniors-can-now-get-real-estate-license-free-this-state/</t>
  </si>
  <si>
    <t>https://www.kcbd.com/2024/05/27/high-school-seniors-can-now-get-real-estate-license-free-this-state/</t>
  </si>
  <si>
    <t>https://www.wfsb.com/2024/05/27/high-school-seniors-can-now-get-real-estate-license-free-this-state/</t>
  </si>
  <si>
    <t>https://www.kmvt.com/2024/05/27/high-school-seniors-can-now-get-real-estate-license-free-this-state/</t>
  </si>
  <si>
    <t>https://www.wlox.com/2024/05/27/high-school-seniors-can-now-get-real-estate-license-free-this-state/</t>
  </si>
  <si>
    <t>https://www.ksnblocal4.com/2024/05/27/high-school-seniors-can-now-get-real-estate-license-free-this-state/</t>
  </si>
  <si>
    <t>https://www.kfvs12.com/2024/05/27/high-school-seniors-can-now-get-real-estate-license-free-this-state/</t>
  </si>
  <si>
    <t>https://www.kwch.com/2024/05/27/high-school-seniors-can-now-get-real-estate-license-free-this-state/</t>
  </si>
  <si>
    <t>https://www.wsaw.com/2024/05/27/high-school-seniors-can-now-get-real-estate-license-free-this-state/</t>
  </si>
  <si>
    <t>https://www.wtvy.com/2024/05/27/high-school-seniors-can-now-get-real-estate-license-free-this-state/</t>
  </si>
  <si>
    <t>https://www.kctv5.com/2024/05/27/high-school-seniors-can-now-get-real-estate-license-free-this-state/</t>
  </si>
  <si>
    <t>https://www.1011now.com/2024/05/27/high-school-seniors-can-now-get-real-estate-license-free-this-state/</t>
  </si>
  <si>
    <t>https://thunder1320.com/tennessees-free-real-estate-licensing-program-for-qualifying-high-school-seniors-now-accepting-applications/</t>
  </si>
  <si>
    <t>https://www.wowt.com/2024/05/27/high-school-seniors-can-now-get-real-estate-license-free-this-state/</t>
  </si>
  <si>
    <t>https://careers.kogod.american.edu/blog/2025/04/14/can-a-full-time-college-student-work-part-time-in-real-estate-sales/</t>
  </si>
  <si>
    <t>https://blogs.jobget.com/blog/unique-jobs-for-business-majors/</t>
  </si>
  <si>
    <t>https://logintutor.org/kaplan-login/</t>
  </si>
  <si>
    <t>https://www.wnem.com/2024/05/27/high-school-seniors-can-now-get-real-estate-license-free-this-state/</t>
  </si>
  <si>
    <t>https://www.fox19.com/2024/05/27/high-school-seniors-can-now-get-real-estate-license-free-this-state/</t>
  </si>
  <si>
    <t>https://www.wtok.com/2024/05/27/high-school-seniors-can-now-get-real-estate-license-free-this-state/</t>
  </si>
  <si>
    <t>https://www.wbko.com/2024/05/27/high-school-seniors-can-now-get-real-estate-license-free-this-state/</t>
  </si>
  <si>
    <t>https://www.mysuncoast.com/2024/05/27/high-school-seniors-can-now-get-real-estate-license-free-this-state/</t>
  </si>
  <si>
    <t>https://en.mehrnews.com/news/137432/Top-10-traits-of-Iranian-realtors</t>
  </si>
  <si>
    <t>https://www.entrepreneurshiplife.com/5-steps-to-take-to-get-your-dream-home/</t>
  </si>
  <si>
    <t>https://www.fsuniverse.net/forum/threads/survivor-ghost-island.103541/page-2</t>
  </si>
  <si>
    <t>https://www.romper.com/p/where-did-arie-go-to-school-the-bachelor-has-always-been-passionate-about-racing-7776517</t>
  </si>
  <si>
    <t xml:space="preserve">Elizabeth </t>
  </si>
  <si>
    <t>hello@bustle.com</t>
  </si>
  <si>
    <t>hello@romper.com</t>
  </si>
  <si>
    <t>https://c21northwest.com/blog/can-i-take-real-estate-courses-online/</t>
  </si>
  <si>
    <t>https://www.simplybusiness.com/resource/do-you-need-real-estate-certification-in-florida-2/</t>
  </si>
  <si>
    <t>https://www.valleynewslive.com/2024/05/27/high-school-seniors-can-now-get-real-estate-license-free-this-state/</t>
  </si>
  <si>
    <t>https://www.walb.com/2024/05/27/high-school-seniors-can-now-get-real-estate-license-free-this-state/</t>
  </si>
  <si>
    <t>https://expo.car.org/2016/exhibitors.html</t>
  </si>
  <si>
    <t>https://www.wtoc.com/2024/05/27/high-school-seniors-can-now-get-real-estate-license-free-this-state/</t>
  </si>
  <si>
    <t>https://www.wcjb.com/2024/05/27/high-school-seniors-can-now-get-real-estate-license-free-this-state/</t>
  </si>
  <si>
    <t>https://nextbillion.net/news/the-dirty-business-of-cement-gets-a-clean-up-from-mit/</t>
  </si>
  <si>
    <t>http://mywebsite.flipcause.com/preview/19d6df.8dk5ngk4e824b.df1439d77a00fb10d02c9725c19d22b9/395253851807823935</t>
  </si>
  <si>
    <t>https://www.kyoutv.com/2024/05/27/high-school-seniors-can-now-get-real-estate-license-free-this-state/</t>
  </si>
  <si>
    <t>https://fetzerlibrary.edgarcayce.org/search/result?keyword=private%20real%20estate</t>
  </si>
  <si>
    <t>https://www.wgem.com/2024/05/27/high-school-seniors-can-now-get-real-estate-license-free-this-state/</t>
  </si>
  <si>
    <t>https://www.kltv.com/2024/05/27/high-school-seniors-can-now-get-real-estate-license-free-this-state/</t>
  </si>
  <si>
    <t>https://www.westernmassnews.com/2024/05/27/high-school-seniors-can-now-get-real-estate-license-free-this-state/</t>
  </si>
  <si>
    <t>https://www.kcrg.com/2024/05/27/high-school-seniors-can-now-get-real-estate-license-free-this-state/</t>
  </si>
  <si>
    <t>https://www.kktv.com/2024/05/27/high-school-seniors-can-now-get-real-estate-license-free-this-state/</t>
  </si>
  <si>
    <t>https://www.wctv.tv/2024/05/27/high-school-seniors-can-now-get-real-estate-license-free-this-state/</t>
  </si>
  <si>
    <t>https://www.ktre.com/2024/05/27/high-school-seniors-can-now-get-real-estate-license-free-this-state/</t>
  </si>
  <si>
    <t>https://www.usamls.net/topsailisland/default.asp?content=links&amp;menu_id=8814</t>
  </si>
  <si>
    <t>https://www.wilx.com/2024/05/27/high-school-seniors-can-now-get-real-estate-license-free-this-state/</t>
  </si>
  <si>
    <t>https://www.kfyrtv.com/2024/05/27/high-school-seniors-can-now-get-real-estate-license-free-this-state/</t>
  </si>
  <si>
    <t>https://www.tnk12.gov/commerce/news/2025/4/21/tn-free-real-estate-licensing-program-for-qualifying-high-school-seniors-begins-accepting-applications-starting-april-21.html</t>
  </si>
  <si>
    <t>https://www.wcax.com/2024/05/27/high-school-seniors-can-now-get-real-estate-license-free-this-state/</t>
  </si>
  <si>
    <t>https://www.wtap.com/2024/05/27/high-school-seniors-can-now-get-real-estate-license-free-this-state/</t>
  </si>
  <si>
    <t>https://www.uppermichiganssource.com/2024/05/27/high-school-seniors-can-now-get-real-estate-license-free-this-state/</t>
  </si>
  <si>
    <t>https://www.tn.gov/commerce/news/2025/4/21/tn-free-real-estate-licensing-program-for-qualifying-high-school-seniors-begins-accepting-applications-starting-april-21.html</t>
  </si>
  <si>
    <t>https://www.alaskasnewssource.com/2024/05/27/high-school-seniors-can-now-get-real-estate-license-free-this-state/</t>
  </si>
  <si>
    <t>https://www.kplctv.com/2024/05/27/high-school-seniors-can-now-get-real-estate-license-free-this-state/</t>
  </si>
  <si>
    <t>https://www.mississippifreepress.org/when-schools-close-down-in-jackson/</t>
  </si>
  <si>
    <t>https://www.liveplan.com/blog/starting/real-estate-resources#marketing-and-tools</t>
  </si>
  <si>
    <t>https://www.atlantanewsfirst.com/2024/05/27/high-school-seniors-can-now-get-real-estate-license-free-this-state/</t>
  </si>
  <si>
    <t>https://www.kswo.com/2024/05/27/high-school-seniors-can-now-get-real-estate-license-free-this-state/</t>
  </si>
  <si>
    <t>https://www.wbng.com/2024/05/27/high-school-seniors-can-now-get-real-estate-license-free-this-state/</t>
  </si>
  <si>
    <t>https://www.wvva.com/2024/05/27/high-school-seniors-can-now-get-real-estate-license-free-this-state/</t>
  </si>
  <si>
    <t>https://www.wtvm.com/2024/05/27/high-school-seniors-can-now-get-real-estate-license-free-this-state/</t>
  </si>
  <si>
    <t>https://www.wmtv15news.com/2024/05/27/high-school-seniors-can-now-get-real-estate-license-free-this-state/</t>
  </si>
  <si>
    <t>https://www.waff.com/2024/05/27/high-school-seniors-can-now-get-real-estate-license-free-this-state/</t>
  </si>
  <si>
    <t>https://kaplanmena.com/kaplan-business/</t>
  </si>
  <si>
    <t>https://www.firstalert4.com/2024/05/27/high-school-seniors-can-now-get-real-estate-license-free-this-state/</t>
  </si>
  <si>
    <t>https://www.wbrc.com/2024/05/27/high-school-seniors-can-now-get-real-estate-license-free-this-state/</t>
  </si>
  <si>
    <t>https://www.wafb.com/2024/05/27/high-school-seniors-can-now-get-real-estate-license-free-this-state/</t>
  </si>
  <si>
    <t>https://theatlantavoice.com/is-a-career-in-real-estate-for-you-up-with-atl-extra/</t>
  </si>
  <si>
    <t xml:space="preserve">Donnell </t>
  </si>
  <si>
    <t>editor@theatlantavoice.com</t>
  </si>
  <si>
    <t>https://www.witn.com/2024/05/27/high-school-seniors-can-now-get-real-estate-license-free-this-state/</t>
  </si>
  <si>
    <t>https://www.kalb.com/2024/05/27/high-school-seniors-can-now-get-real-estate-license-free-this-state/</t>
  </si>
  <si>
    <t>https://www.labor.md.gov/license/mrec/mrecproviders.shtml</t>
  </si>
  <si>
    <t>https://www.wdbj7.com/2024/05/27/high-school-seniors-can-now-get-real-estate-license-free-this-state/</t>
  </si>
  <si>
    <t>https://www.edinarealty.com/real-estate-careers/start-your-career</t>
  </si>
  <si>
    <t>https://www.wjhg.com/2024/05/27/high-school-seniors-can-now-get-real-estate-license-free-this-state/</t>
  </si>
  <si>
    <t>https://www.wect.com/2024/05/27/high-school-seniors-can-now-get-real-estate-license-free-this-state/</t>
  </si>
  <si>
    <t>https://www.keyc.com/2024/05/27/high-school-seniors-can-now-get-real-estate-license-free-this-state/</t>
  </si>
  <si>
    <t>https://notoriousrob.com.dream.website/2018/01/book-review-disruptors-discounters-and-doubters/</t>
  </si>
  <si>
    <t>https://reelmind.ai/blog/real-estate-agent-license-ai-s-career-path-guidance</t>
  </si>
  <si>
    <t>https://www.ktiv.com/2024/05/27/high-school-seniors-can-now-get-real-estate-license-free-this-state/</t>
  </si>
  <si>
    <t>https://www.wrdw.com/2024/05/27/high-school-seniors-can-now-get-real-estate-license-free-this-state/</t>
  </si>
  <si>
    <t>https://www.kwqc.com/2024/05/27/high-school-seniors-can-now-get-real-estate-license-free-this-state/</t>
  </si>
  <si>
    <t>https://edukemy.com/upsc-current-affairs/daily-current-affairs/02-Dec-2021/02-12-2021</t>
  </si>
  <si>
    <t>https://www.wdam.com/2024/05/27/high-school-seniors-can-now-get-real-estate-license-free-this-state/</t>
  </si>
  <si>
    <t>https://www.kotatv.com/2024/05/27/high-school-seniors-can-now-get-real-estate-license-free-this-state/</t>
  </si>
  <si>
    <t>https://www.wsfa.com/2024/05/27/high-school-seniors-can-now-get-real-estate-license-free-this-state/</t>
  </si>
  <si>
    <t>https://www.wibw.com/2024/05/27/high-school-seniors-can-now-get-real-estate-license-free-this-state/</t>
  </si>
  <si>
    <t>https://wisewhisperagency.com/jobs-for-new-graduates-with-no-experience/</t>
  </si>
  <si>
    <t>https://www.kbtx.com/2024/05/27/high-school-seniors-can-now-get-real-estate-license-free-this-state/</t>
  </si>
  <si>
    <t>https://www.scottcountymn.gov/1335/Testing-Services</t>
  </si>
  <si>
    <t>https://digitalbranch.cmlibrary.org/business-center/getting-your-nc-real-estate-license/</t>
  </si>
  <si>
    <t>https://www.bigmarker.com/inman1/Activity-productivity-longevity-how-each-sets-you-up-for-success-in-real-estate</t>
  </si>
  <si>
    <t>https://www.ky3.com/2024/05/27/high-school-seniors-can-now-get-real-estate-license-free-this-state/</t>
  </si>
  <si>
    <t>https://www.whsv.com/2024/05/27/high-school-seniors-can-now-get-real-estate-license-free-this-state/</t>
  </si>
  <si>
    <t>https://www.northernnewsnow.com/2024/05/27/high-school-seniors-can-now-get-real-estate-license-free-this-state/</t>
  </si>
  <si>
    <t>https://donsak-cbt.sru.ac.th/images/places/evyy/texas-home-appraisal-license.html</t>
  </si>
  <si>
    <t>https://www.greenbuildermedia.com/blog/18-of-the-best-sustainable-materials-for-building</t>
  </si>
  <si>
    <t xml:space="preserve">Coye </t>
  </si>
  <si>
    <t>coye.burns@greenbuildermedia.com</t>
  </si>
  <si>
    <t>admin@greenbuildermedia.com</t>
  </si>
  <si>
    <t>https://michric.grar.com/property/mls/24010874</t>
  </si>
  <si>
    <t>https://www.iovox.com/blog/real-estate-marketing</t>
  </si>
  <si>
    <t>https://springshomes.com/apps-for-finding-your-property-lines/</t>
  </si>
  <si>
    <t>https://www.luxurypresence.com/blogs/real-estate-seo-buyers-guide/</t>
  </si>
  <si>
    <t>https://thunderbit.com/blog/zillow-leads-costs-and-how-to-find</t>
  </si>
  <si>
    <t>https://www.mtb.com/library/article/open-house-ideas</t>
  </si>
  <si>
    <t>https://www.xara.com/blog/real-estate-facebook-ads/</t>
  </si>
  <si>
    <t>https://www.ihomefinder.com/blog/agent-and-broker-resources/idx-websites/</t>
  </si>
  <si>
    <t>sales@ihomefinder.com</t>
  </si>
  <si>
    <t>https://wiseagent.com/partners.asp</t>
  </si>
  <si>
    <t>https://www.manifest.ly/blog/top-real-estate-lead-generation-strategies-2025-guide/</t>
  </si>
  <si>
    <t>https://weworkremotely.com/company/agentfire</t>
  </si>
  <si>
    <t>https://join.virtuallatinos.com/blog/real-estate-virtual-assistant-jobs/</t>
  </si>
  <si>
    <t>https://www.softkraft.co/real-estate-website-builders/</t>
  </si>
  <si>
    <t>https://www.360training.com/blog/real-estate-social-network</t>
  </si>
  <si>
    <t>https://www.wordstream.com/blog/ws/2018/07/30/design-principles</t>
  </si>
  <si>
    <t>https://www.uprinting.com/blog/signs-and-banners-statistics/</t>
  </si>
  <si>
    <t>https://www.postalytics.com/blog/real-estate-direct-mail-marketing/</t>
  </si>
  <si>
    <t>https://adespresso.com/blog/google-ads-size/</t>
  </si>
  <si>
    <t>https://blog.quuu.co/creative-ideas-for-real-estate-engagement-posts/</t>
  </si>
  <si>
    <t>https://darrylspeaks.com/how-and-when-to-build-a-next-level-real-estate-team/</t>
  </si>
  <si>
    <t>https://realestatemarket.us.com/real-estate-investment-success-guide/</t>
  </si>
  <si>
    <t>info@realestatemarket.us.com</t>
  </si>
  <si>
    <t>R.E</t>
  </si>
  <si>
    <t>https://blog.transactly.com/strategies-for-building-a-real-estate-marketing-partnership</t>
  </si>
  <si>
    <t>Bryan</t>
  </si>
  <si>
    <t>bryan@transactly.com</t>
  </si>
  <si>
    <t>support@transactly.com</t>
  </si>
  <si>
    <t>https://colorwhistle.com/real-estate-digital-marketing-case-studies/</t>
  </si>
  <si>
    <t>https://www.bloggingtips.com/best-affiliate-programs/real-estate</t>
  </si>
  <si>
    <t>https://www.feedough.com/real-estate-marketing/</t>
  </si>
  <si>
    <t>Aashish</t>
  </si>
  <si>
    <t>aashish@feedough.com</t>
  </si>
  <si>
    <t>https://www.wmtips.com/technologies/compare/agent-image-vs-agentfire/</t>
  </si>
  <si>
    <t>https://awesome.ecosyste.ms/lists/trackawesomelist%2Ftrackawesomelist</t>
  </si>
  <si>
    <t>https://blog.homesandland.com/10-best-real-estate-marketing-tools-for-agents</t>
  </si>
  <si>
    <t>https://www.dochipo.com/marketing-tips-for-realtors/</t>
  </si>
  <si>
    <t>https://www.flow20.com/blog/linkedin-ads-for-real-estate/</t>
  </si>
  <si>
    <t>create@flow20.com</t>
  </si>
  <si>
    <t>Tech</t>
  </si>
  <si>
    <t>https://www.mainelistings.com/profile/20180721152621939518000000</t>
  </si>
  <si>
    <t>https://carrot.com/blog/best-real-estate-blogs/</t>
  </si>
  <si>
    <t>https://www.jasminedirectory.com/blog/the-ultimate-checklist-for-hyperlocal-directory-optimization/</t>
  </si>
  <si>
    <t>https://investropa.com/blogs/news/barcelona-real-estate-forecasts</t>
  </si>
  <si>
    <t>https://speedprocanada.com/st-catharines/niagara-real-estate-yard-signs/</t>
  </si>
  <si>
    <t>https://shoot2sell.net/blog/virtual-open-house-blog-post/</t>
  </si>
  <si>
    <t>contact@shoot2sell.net</t>
  </si>
  <si>
    <t>https://www.propertyme.com.au/blog/property-management/how-to-grow-property-management-business-using-google</t>
  </si>
  <si>
    <t>https://www.searchenginemagazine.com/internal-linking</t>
  </si>
  <si>
    <t>https://www.greenresidential.com/the-psychology-of-home-buyers-how-to-sell-your-home-faster/</t>
  </si>
  <si>
    <t>michael@greenresidential.com</t>
  </si>
  <si>
    <t>support@greenresidential.com</t>
  </si>
  <si>
    <t>https://www.denverpost.com/2016/12/20/featured-home-mountain-ranch-cordillera/</t>
  </si>
  <si>
    <t xml:space="preserve">Lee </t>
  </si>
  <si>
    <t>lcolacioppo@denverpost.com</t>
  </si>
  <si>
    <t>https://homejab.com/10-tips-for-highlighting-key-features-in-property-photography/</t>
  </si>
  <si>
    <t>Joe</t>
  </si>
  <si>
    <t>joe@homejab.com</t>
  </si>
  <si>
    <t>support@homejab.com</t>
  </si>
  <si>
    <t>https://www.voicedrop.ai/kvcore-integration/</t>
  </si>
  <si>
    <t>https://getlatka.com/companies/agentfire.com/funding</t>
  </si>
  <si>
    <t>https://vistasocial.com/insights/20-engaging-real-estate-post-ideas-to-attract-clients/</t>
  </si>
  <si>
    <t>https://uppromote.com/blog/real-estate-affiliate-programs/</t>
  </si>
  <si>
    <t>https://www.attomdata.com/news/attom-insights/client-case-studies/attom-helps-agentfire-create-hyper-local-real-estate-websites-that-set-agents-apart-from-the-crowd/</t>
  </si>
  <si>
    <t>Kara</t>
  </si>
  <si>
    <t>kara.taylor@attomdata.com</t>
  </si>
  <si>
    <t>https://www.creatopy.com/blog/real-estate-ads/</t>
  </si>
  <si>
    <t>https://www.highperformr.ai/company/agentfire</t>
  </si>
  <si>
    <t>https://sociallifemagazine.com/the-archive/the-secret-hamptons-advertising-playbook-that-sells-10m-properties-in-48-hours/</t>
  </si>
  <si>
    <t>https://syg.ma/@renb-social/seo-services-for-real-estate-keywords-that-close-deals</t>
  </si>
  <si>
    <t>https://thehustle.co/millions-hidden-in-plain-sight</t>
  </si>
  <si>
    <t>https://viasocket.com/integrations/agentfire/proact</t>
  </si>
  <si>
    <t>https://us.fitgap.com/products/024396/agentfire</t>
  </si>
  <si>
    <t>https://the-nexus-now.beehiiv.com/p/work-home-affects</t>
  </si>
  <si>
    <t>https://newcareer.theceshop.com/agent-essentials/blog/6-unique-ways-to-market-yourself-as-a-new-agent</t>
  </si>
  <si>
    <t>https://official.lofty.com/dippidi</t>
  </si>
  <si>
    <t>https://www.bestversionmedia.com/hyper-local-marketing-tactics-for-real-estate-agents-to-stand-out/</t>
  </si>
  <si>
    <t>https://www.redx.com/blog/how-to-get-more-real-estate-listings/</t>
  </si>
  <si>
    <t>https://best-of-web.builder.io/library/lukasz-madon/awesome-remote-job</t>
  </si>
  <si>
    <t>https://www.prosemedia.com/blog/why-your-luxury-branding-is-alienating-modern-buyers</t>
  </si>
  <si>
    <t>https://ful.io/technology/CMS/agentfire</t>
  </si>
  <si>
    <t>https://www.cloudpano.com/blog/exploring-the-best-virtual-tour-software-of-2025-your-ultimate-guide</t>
  </si>
  <si>
    <t>https://www.webceo.com/blog/real-estate-seo-guide/</t>
  </si>
  <si>
    <t>https://old.sermitsiaq.ag/en/rental-listing-description-template.html</t>
  </si>
  <si>
    <t>https://agnesgaddis.journoportfolio.com/rss.xml</t>
  </si>
  <si>
    <t>https://directorist.com/blog/best-europe-classified-websites/#What_are_The_Best_Practices_for_Writing_Ad_Copy_for_Listings_on_Europe_Classified_Ads</t>
  </si>
  <si>
    <t>https://datagrid.com/blog/ai-agents-property-marketing-materials</t>
  </si>
  <si>
    <t>https://blog.rankfast.co/top-conversion-triggers-driving-growth-for-seo-for-real-estate-agents-in-2025/</t>
  </si>
  <si>
    <t>https://toolbox.silvercreekrealty.net/14-30-step-marketing-plan-step-14/</t>
  </si>
  <si>
    <t>https://curbhe.ro/real-estate-website-builder/#website-platforms</t>
  </si>
  <si>
    <t>https://www.emailsherlock.com/hosts/agentfire.com/</t>
  </si>
  <si>
    <t>https://www.resumonk.com/remote-jobs/project-manager-agentfire-com-37847</t>
  </si>
  <si>
    <t>https://theconversioncode.kit.com/posts/turn-your-list-into-listings-w-chris-smith-x-agentfire-x-labcoat-agents</t>
  </si>
  <si>
    <t>https://www.bigcommerce.com/articles/ecommerce/ecommerce-platforms/</t>
  </si>
  <si>
    <t>https://apps.apple.com/us/app/freedom-debt-relief/id6576817794</t>
  </si>
  <si>
    <t>https://venngage.com/blog/financial-reports-examples/</t>
  </si>
  <si>
    <t>https://www.bigcommerce.co.uk/articles/ecommerce/ecommerce-platforms/</t>
  </si>
  <si>
    <t>https://lendedu.com/blog/pds-debt-review/</t>
  </si>
  <si>
    <t>https://www.goforma.com/limited-company/disadvantages-of-a-private-limited-company</t>
  </si>
  <si>
    <t>https://money.com/best-debt-relief-companies/</t>
  </si>
  <si>
    <t xml:space="preserve">Julia </t>
  </si>
  <si>
    <t>julia@money.com</t>
  </si>
  <si>
    <t>mike.ayers@money.com</t>
  </si>
  <si>
    <t>https://www.bigcommerce.com.au/articles/ecommerce/ecommerce-platforms/</t>
  </si>
  <si>
    <t>https://touchstay.com/blog/airbnb-investment-guide</t>
  </si>
  <si>
    <t>https://wotnot.io/blog/chatbots-in-banking</t>
  </si>
  <si>
    <t>https://www.identityguard.com/news/what-is-credit-protection</t>
  </si>
  <si>
    <t>https://www.b2w.tv/blog/types-of-explainer-videos-examples</t>
  </si>
  <si>
    <t>https://pressofatlanticcity.com/news/</t>
  </si>
  <si>
    <t>https://leadsbridge.com/blog/how-much-does-it-cost-to-advertise-on-tiktok/</t>
  </si>
  <si>
    <t>https://www.bills.com/reviews/debt/creditassociates</t>
  </si>
  <si>
    <t>https://www.billdu.com/blog/business-finance-meaning/</t>
  </si>
  <si>
    <t>https://www.flow.ninja/blog/search-intent-types</t>
  </si>
  <si>
    <t>https://www.cherryservers.com/blog/smart-contract-development</t>
  </si>
  <si>
    <t>https://www.cognism.com/blog/lead-generation-for-financial-advisors</t>
  </si>
  <si>
    <t>https://hickoryrecord.com/news/</t>
  </si>
  <si>
    <t>https://forgeandsmith.com/blog/how-to-write-meta-description-for-seo/</t>
  </si>
  <si>
    <t>https://www.achieve.com/learn/everyday-finances/need-money-to-pay-rent-tomorrow</t>
  </si>
  <si>
    <t>https://mtstandard.com/news/</t>
  </si>
  <si>
    <t>https://ecombalance.com/long-term-liabilities/</t>
  </si>
  <si>
    <t>https://suremembers.com/resources/online-business-ideas/</t>
  </si>
  <si>
    <t>https://tapfiliate.com/blog/affiliate-marketing-compliance-gp/</t>
  </si>
  <si>
    <t>https://www.socialpilot.co/blog/target-market-vs-target-audience</t>
  </si>
  <si>
    <t>https://userp.io/seo/twitter-seo-checklist/</t>
  </si>
  <si>
    <t>https://www.creditkarma.com/debt/i/what-happens-when-you-file-for-bankruptcy</t>
  </si>
  <si>
    <t>https://independenttribune.com/news/</t>
  </si>
  <si>
    <t>https://tryascend.com/debt-relief/company/national-debt-relief/fees</t>
  </si>
  <si>
    <t>https://scnow.com/news/</t>
  </si>
  <si>
    <t>https://eller.arizona.edu/news/10-unique-career-paths-economics-masters-graduates</t>
  </si>
  <si>
    <t>https://www.storagecafe.com/blog/what-happens-if-you-leave-stuff-in-a-storage-unit/</t>
  </si>
  <si>
    <t>https://www.culturemonkey.io/employee-engagement/employee-wellness-challenges/</t>
  </si>
  <si>
    <t>https://empmonitor.com/blog/what-is-a-pay-cycle/</t>
  </si>
  <si>
    <t>https://www.ironhack.com/us/blog/top-7-coding-jobs-that-are-booming-in-2025-and-how-beginners-can-land-them</t>
  </si>
  <si>
    <t>https://www.cloudtalk.io/blog/phone-call-scripts-for-collections/</t>
  </si>
  <si>
    <t>https://muscatinejournal.com/news/</t>
  </si>
  <si>
    <t>news@muscatinejournal.com</t>
  </si>
  <si>
    <t>https://safetyculture.com/topics/risk-management/key-risk-indicators</t>
  </si>
  <si>
    <t>https://www.cflowapps.com/credit-management-process/</t>
  </si>
  <si>
    <t>https://www.legislate.ai/blog/what-is-a-partnership</t>
  </si>
  <si>
    <t>https://quaderno.io/blog/sales-tax-deduction/</t>
  </si>
  <si>
    <t>https://wacotrib.com/news/</t>
  </si>
  <si>
    <t>https://www.chatbase.co/blog/ai-project-ideas</t>
  </si>
  <si>
    <t>https://blog.nachonacho.com/saas-guides/how-to-shut-down-a-business/</t>
  </si>
  <si>
    <t>https://www.livebreathescotland.com/is-university-free-in-scotland/</t>
  </si>
  <si>
    <t>https://nativeteams.com/blog/financial-tips</t>
  </si>
  <si>
    <t>support@nteams.com</t>
  </si>
  <si>
    <t>https://play.google.com/store/apps/details?id=com.fdrmobiledashboard&amp;hl=en_IN</t>
  </si>
  <si>
    <t>https://www.autonomous.ai/ourblog/explore-ibm-employee-benefits-and-perks</t>
  </si>
  <si>
    <t>https://ossisto.com/blog/account-resolution-services/</t>
  </si>
  <si>
    <t>sales@ossisto.com</t>
  </si>
  <si>
    <t>https://peoplespheres.com/what-is-net-pay-answers-employees-most-common-questions/</t>
  </si>
  <si>
    <t>https://www.deadlinefunnel.com/blog/passive-income-from-blog</t>
  </si>
  <si>
    <t>https://martinsvillebulletin.com/news/</t>
  </si>
  <si>
    <t>https://www.omnius.so/blog/leading-us-fintech-startups</t>
  </si>
  <si>
    <t>https://www.azilen.com/blog/fintech-consulting/</t>
  </si>
  <si>
    <t>https://www.revolutionordering.com/blog/what-is-a-chain-restaurant/</t>
  </si>
  <si>
    <t>https://lickd.co/blog/advice-for-content-creators/how-to-revive-a-dead-youtube-channel</t>
  </si>
  <si>
    <t>https://www.corbado.com/blog/digital-identity-guide</t>
  </si>
  <si>
    <t>https://ceinterim.com/business-recovery-strategies-companies-crisis/</t>
  </si>
  <si>
    <t>https://washingtonparent.com/7-ways-to-save-for-christmas/</t>
  </si>
  <si>
    <t>https://www.thinkific.com/blog/lms-analytics-how-to-use-data-to-drive-smarter-learning-business-decisions/</t>
  </si>
  <si>
    <t>https://www.deskera.com/blog/monthly-net-income/</t>
  </si>
  <si>
    <t>https://www.lizzieinlace.com/the-truth-about-why-i-quit-lularoe/</t>
  </si>
  <si>
    <t>lizzieinlace@gmail.com</t>
  </si>
  <si>
    <t>https://www.activatedscale.com/blog/best-debt-relief-companies</t>
  </si>
  <si>
    <t>https://www.debt.org/settlement/companies/</t>
  </si>
  <si>
    <t>https://www.creator-hero.com/blog/most-profitable-youtube-niches</t>
  </si>
  <si>
    <t>https://www.teamgate.com/blog/what-is-deal-value/</t>
  </si>
  <si>
    <t>https://www.elliott.org/company-contacts/freedom-debt-relief-customer-service-contacts-2/</t>
  </si>
  <si>
    <t>https://www.spacebring.com/blog/productivity/coworking-space-pricing</t>
  </si>
  <si>
    <t>https://getuku.com/articles/seo-geo-aeo-accounting-firms</t>
  </si>
  <si>
    <t>https://www.designhill.com/design-blog/how-to-start-a-mobile-business-a-handy-guide/</t>
  </si>
  <si>
    <t>https://www.inbeat.co/articles/burst-campaign/</t>
  </si>
  <si>
    <t>https://www.duocircle.com/email-security/8-ways-to-protect-your-business-now-and-forever</t>
  </si>
  <si>
    <t>https://contactpoint360.com/blog/successful-debt-collection-techniques/</t>
  </si>
  <si>
    <t>https://casepacer.com/resources/how-to-write-a-demand-letter</t>
  </si>
  <si>
    <t>https://www.leaderonomics.com/articles/business/beste-kredittkort-tips-choosing-best-credit-card</t>
  </si>
  <si>
    <t>https://www.nwitimes.com/news/</t>
  </si>
  <si>
    <t>https://www.kiplinger.com/personal-finance/a-beginners-guide-to-building-wealth-in-10-years</t>
  </si>
  <si>
    <t>https://getwpfunnels.com/financial-advisor-sales-funnel/</t>
  </si>
  <si>
    <t>https://www.sotrender.com/blog/2025/11/black-friday-social-media/</t>
  </si>
  <si>
    <t>https://recruiterflow.com/blog/candidate-assessment/</t>
  </si>
  <si>
    <t>https://www.nunify.com/blogs/virtual-workshop-ideas</t>
  </si>
  <si>
    <t>https://flxpoint.com/blog/weighing-dropshipping-pros-cons-ecommerce</t>
  </si>
  <si>
    <t>https://www.outbackteambuilding.com/blog/sales-team-building-activities-to-boost-performance/</t>
  </si>
  <si>
    <t>https://digitalagencynetwork.com/how-to-write-a-business-plan-for-ecommerce/</t>
  </si>
  <si>
    <t>https://www.mailmunch.com/blog/frightfully-good-emails</t>
  </si>
  <si>
    <t>https://resume.co/blog/jobs-with-economics-degree</t>
  </si>
  <si>
    <t>https://undetectable.ai/blog/how-many-jobs-are-available-finance/</t>
  </si>
  <si>
    <t>https://cubecreative.design/blog/partners/advanced-tactics-attract-service-clients</t>
  </si>
  <si>
    <t>https://www.chargeflow.io/blog/avoid-ecommerce-chargeback-pitfalls-expert-strategies-for-2025</t>
  </si>
  <si>
    <t>https://www.entrepreneur.com/en-in/news-and-trends/freedom-debt-relief-review-what-to-know-about/494122</t>
  </si>
  <si>
    <t>https://www.agilitypr.com/pr-news/content-media-relations/7-ways-to-turn-a-one-time-media-mention-into-ongoing-press-coverage/</t>
  </si>
  <si>
    <t>https://ivyexec.com/career-advice/2025/the-hour-a-day-job-hunt-routine-that-works/</t>
  </si>
  <si>
    <t>https://debrasmouse.com/understanding-nonforfeiture-clauses-in-life-insurance-policies/</t>
  </si>
  <si>
    <t>https://www.superjoin.ai/blog/10-ways-to-choose-a-sales-commission-structure-free-calculator-included</t>
  </si>
  <si>
    <t>https://www.cheddarflow.com/blog/unveiling-the-truth-the-real-aoc-net-worth-revealed/</t>
  </si>
  <si>
    <t>https://bachbride.com/blogs/weddings/rehearsal-dinner-mistakes</t>
  </si>
  <si>
    <t>https://www.sunsama.com/blog/how-to-set-and-achieve-mid-term-goals-a-comprehensive-guide</t>
  </si>
  <si>
    <t>https://www.creditdonkey.com/national-debt-relief-complaints.html</t>
  </si>
  <si>
    <t>https://thesummitwellnessgroup.com/blog/rise-of-shopping-addiction/</t>
  </si>
  <si>
    <t>https://www.artsyltech.com/blog/Credit-Card-vs-Virtual-Credit-Card</t>
  </si>
  <si>
    <t>https://www.scarymommy.com/lifestyle/how-to-ask-for-financial-help-when-you-need-it</t>
  </si>
  <si>
    <t>https://www.qureos.com/job-desc/debt-collector</t>
  </si>
  <si>
    <t>https://richmond.com/news/nation-world/</t>
  </si>
  <si>
    <t>https://www.inkle.io/blog/what-is-bad-debt-a-guide-to-calculating-expenses</t>
  </si>
  <si>
    <t>https://www.sprintzeal.com/blog/financial-risk-and-types</t>
  </si>
  <si>
    <t xml:space="preserve"> Syed</t>
  </si>
  <si>
    <t>syed.irfan@sprintzeal.com</t>
  </si>
  <si>
    <t>info@sprintzeal.com</t>
  </si>
  <si>
    <t>https://kesq.com/stacker-money/2025/06/24/does-unemployment-affect-your-credit-score/</t>
  </si>
  <si>
    <t>https://chamberlains.com.au/taking-out-a-loan-after-bankruptcy/</t>
  </si>
  <si>
    <t>https://www.top4.com.au/article/detail/the-essential-guide-to-small-business-restructuring</t>
  </si>
  <si>
    <t>https://www.goodhousekeeping.com/holidays/tips/g733/best-holiday-shopping-tips/</t>
  </si>
  <si>
    <t>https://www.jobleads.com/career-advice/why-cant-I-find-a-job</t>
  </si>
  <si>
    <t>https://advertisers.mediaradar.com/Top_Financial_and_Real_Estate_Advertisers</t>
  </si>
  <si>
    <t>https://www.rategenius.com/about/press/</t>
  </si>
  <si>
    <t>https://auburnpub.com/news/nation-world/business/</t>
  </si>
  <si>
    <t>https://helenair.com/news/nation-world/</t>
  </si>
  <si>
    <t>https://www.solosuit.com/posts/best-debt-settlement-companies</t>
  </si>
  <si>
    <t>https://testsigma.com/blog/test-cases-for-trading-application/</t>
  </si>
  <si>
    <t>https://www.leewayhertz.com/generative-ai-in-finance-and-banking/</t>
  </si>
  <si>
    <t>https://sqmagazine.co.uk/business-loans-vs-personal-loans-statistics/</t>
  </si>
  <si>
    <t>https://www.sbcanning.com/how-to-start-a-food-business-from-home</t>
  </si>
  <si>
    <t>https://www.lingualift.com/blog/convert-your-daily-tasks-into-language-learning-opportunities/</t>
  </si>
  <si>
    <t>https://fredericksburg.com/news/nation-world/</t>
  </si>
  <si>
    <t>https://trib.com/news/nation-world/business/</t>
  </si>
  <si>
    <t>https://usa.inquirer.net/158292/best-debt-settlement-companies</t>
  </si>
  <si>
    <t xml:space="preserve">Anthony </t>
  </si>
  <si>
    <t>Anthony@Inquirer.net</t>
  </si>
  <si>
    <t>marketing@inquirer.net</t>
  </si>
  <si>
    <t>https://rentredi.com/blog/short-mid-or-long-term-rentals-how-to-choose-the-best-property-strategy/</t>
  </si>
  <si>
    <t>https://www.withconfetti.com/blog/post/cross-generational-team-building-when-20-somethings-and-50-somethings-build-together</t>
  </si>
  <si>
    <t>https://moneyconnexion.com/teach-kids-needs-vs-wants-for-money-management.htm</t>
  </si>
  <si>
    <t>https://www.outrightsystems.org/blog/fintech-apps-powering-next-generation-smart-payment-gadgets/</t>
  </si>
  <si>
    <t>https://www.banks.com/reviews/freedom-debt-relief/</t>
  </si>
  <si>
    <t>https://www.helpware.com/blog/fintech-app-development</t>
  </si>
  <si>
    <t>https://www.blackenterprise.com/wage-garnishment-for-student-loan-debt/</t>
  </si>
  <si>
    <t>https://findcontinuingcare.com/blog/3-key-facts-about-paying-for-a-ccrc</t>
  </si>
  <si>
    <t>https://www.diplomaframe.com/chc-blog/why-a-custom-diploma-frame-is-worth-the-investment-for-your-career/</t>
  </si>
  <si>
    <t>https://yourgpt.ai/blog/general/impact-of-first-30-seconds-in-customer-service</t>
  </si>
  <si>
    <t>https://www.hashmicro.com/blog/bad-debts/</t>
  </si>
  <si>
    <t>https://www.efulfillmentservice.com/2025/12/how-to-get-more-traffic-to-your-tiktok-shop-in-2026-a-fulfillment-guide/</t>
  </si>
  <si>
    <t>https://www.newsgram.com/business/2023/08/29/key-factors-to-consider-before-investing-in-a-crypto</t>
  </si>
  <si>
    <t>https://www.skytechosting.com/how-to-make-lottery-winnings-last/</t>
  </si>
  <si>
    <t>https://blog.internxt.com/identity-theft/</t>
  </si>
  <si>
    <t>https://www.upsilonit.com/blog/how-to-get-funding-for-a-startup-business</t>
  </si>
  <si>
    <t>https://theinspiringjournal.com/do-i-have-to-pay-a-debt-thats-very-old/</t>
  </si>
  <si>
    <t>https://abc17news.com/category/stacker-money/</t>
  </si>
  <si>
    <t>https://www.agrusslawfirm.com/companies-with-arbitration-clauses/freedom-debt-relief-llc/</t>
  </si>
  <si>
    <t>https://tripfrogapp.com/10-essential-tips-for-planning-a-luxury-south-america-adventure/</t>
  </si>
  <si>
    <t>https://databox.com/what-is-data-preparation-a-5-step-framework-for-analytics-ready-data</t>
  </si>
  <si>
    <t>https://screenapp.io/blog/ai-in-fintech-top-companies-applications</t>
  </si>
  <si>
    <t>https://straitsresearch.com/report/debt-settlement-market</t>
  </si>
  <si>
    <t>https://surecart.com/resources/passive-income-ideas-to-make-extra-money/</t>
  </si>
  <si>
    <t>https://www.meritline.com/why-emotions-and-money-dont-always-mix/</t>
  </si>
  <si>
    <t>https://startupnation.com/grow-your-business/gen-z-hiring-trends-you-cant-afford-to-ignore/</t>
  </si>
  <si>
    <t>https://www.credenceresearch.com/report/debt-settlement-market</t>
  </si>
  <si>
    <t>https://realwedding.co.uk/just-got-engaged-heres-what-you-need-to-do-first</t>
  </si>
  <si>
    <t>https://doms2cents.com/unmanageable-debt-and-legal-problems/</t>
  </si>
  <si>
    <t>https://eqvista.com/startup-fundraising/raise-debt-financing-startups/</t>
  </si>
  <si>
    <t>https://themoodguide.com/the-working-womans-secret-to-a-perfect-yard/</t>
  </si>
  <si>
    <t>Lara</t>
  </si>
  <si>
    <t>lara@themoodguide.com</t>
  </si>
  <si>
    <t>https://narrato.io/blog/marketing-survival-tactics-saas-coronavirus/</t>
  </si>
  <si>
    <t>https://www.brandcrowd.com/blog/10-best-freelance-websites-to-find-jobs-and-earn-cash/</t>
  </si>
  <si>
    <t>https://cartflows.com/blog/woocommerce-vs-shopify/</t>
  </si>
  <si>
    <t>https://redstaglabs.com/blog/ai-models-basics-and-applications</t>
  </si>
  <si>
    <t>https://www.finder.com/debt-relief/freedom-debt-relief</t>
  </si>
  <si>
    <t>https://www.kommunicate.io/what-is/human-handoff/</t>
  </si>
  <si>
    <t>https://www.alibabacloud.com/blog/generative-ai-in-2025-transforming-industries-with-use-cases-%26-trends_602526</t>
  </si>
  <si>
    <t>https://www.writecream.com/how-to-keep-ai-from-repeating-the-same-tired-analogies/</t>
  </si>
  <si>
    <t>https://gracker.ai/questions/does-the-avalanche-method-work</t>
  </si>
  <si>
    <t>https://www.newspressnow.com/category/stacker-money/</t>
  </si>
  <si>
    <t xml:space="preserve">Cameron </t>
  </si>
  <si>
    <t>cameron.montemayor@newspressnow.com</t>
  </si>
  <si>
    <t>https://news.bitcoin.com/freedom-debt-relief-a-trusted-solution-to-regain-financial-control/</t>
  </si>
  <si>
    <t>https://www.bigblue.co/es/blog/split-testing-shipping-offers-free-fast-or-tracked---what-converts-best</t>
  </si>
  <si>
    <t>https://tulsaworld.com/shopping/article_a896ccd8-d9ed-5503-9907-eef38bfa5326.html</t>
  </si>
  <si>
    <t>https://kvia.com/news/2025/08/19/best-ways-to-get-debt-relief/</t>
  </si>
  <si>
    <t>https://www.sphinx-solution.com/blog/iot-app-development-services/</t>
  </si>
  <si>
    <t>https://synder.com/blog/understanding-business-credit-scores/</t>
  </si>
  <si>
    <t>https://friendlyfinance.com.au/blog/is-debt-consolidation-a-good-idea/</t>
  </si>
  <si>
    <t>https://www.talked.com.au/blog/stress-vs-anxiety</t>
  </si>
  <si>
    <t>https://annamoney.au/blog/guides/how-to-pay-yourself-as-a-business-owner/</t>
  </si>
  <si>
    <t>https://sequencecommerce.com/amazon-ads-during-economic-uncertainty/</t>
  </si>
  <si>
    <t>https://newoldstamp.com/blog/basic-rules-for-writing-effective-business-emails/</t>
  </si>
  <si>
    <t>https://www.hiddenbrains.com/blog/ai-in-banking.html</t>
  </si>
  <si>
    <t>https://citrusbug.com/blog/ai-in-fintech/</t>
  </si>
  <si>
    <t>https://www.index.dev/blog/ai-startup-tech-stack</t>
  </si>
  <si>
    <t>https://trueprofit.io/blog/how-to-create-a-profit-and-loss-statement</t>
  </si>
  <si>
    <t>https://uiverse.io/blog/voice-enabled-ui-components-the-new-frontier-in-2025</t>
  </si>
  <si>
    <t>https://bleumag.com/lifestyle/easy-ways-save-for-christmas/</t>
  </si>
  <si>
    <t>info@bleulife.com</t>
  </si>
  <si>
    <t>https://www.moneylion.com/network/freedomplus/loans/compare/b9e0b935-45b8-4978-aef2-b96eb5bb250b?view=relevant</t>
  </si>
  <si>
    <t>https://lawgaze.com/common-strategies-a-debt-defense-lawyer-uses-to-stop-creditor-harassment/</t>
  </si>
  <si>
    <t>https://elasticemail.com/blog/subject-lines-that-work-10-tips-to-skyrocket-open-rates</t>
  </si>
  <si>
    <t>https://www.tradersdna.com/the-impact-of-debt-on-credit-scores/</t>
  </si>
  <si>
    <t>https://www.zazz.io/blog/guide-to-technical-recruiting/</t>
  </si>
  <si>
    <t>https://mysignature.io/blog/real-estate-marketing-plan/</t>
  </si>
  <si>
    <t>https://botscrew.com/blog/enterprise-rpa-chatbots/</t>
  </si>
  <si>
    <t>https://www.slideshare.net/Freedom_Debt_Relief</t>
  </si>
  <si>
    <t>https://www.landlordstudio.com/blog/tax-benefits-of-using-a-heloc-for-real-estate</t>
  </si>
  <si>
    <t>https://blog.designcrowd.com/article/2232/how-to-visually-capture-customers-in-new-traffic-channels-2025</t>
  </si>
  <si>
    <t>https://www.idstrong.com/sentinel/what-is-debt-relief/</t>
  </si>
  <si>
    <t>https://crowjack.com/pestle-analysis/afterpay</t>
  </si>
  <si>
    <t>https://designworklife.com/the-rise-of-online-work-a-new-era-of-employment-and-opportunity/</t>
  </si>
  <si>
    <t>https://money6x.com/how-does-debt-relief-work-your-step-by-step-path-to-zero-debt/</t>
  </si>
  <si>
    <t>admin@money6x.com</t>
  </si>
  <si>
    <t>https://makersrow.com/blog/integrating-ai-into-manufacturing-processes/</t>
  </si>
  <si>
    <t>https://blog.replug.io/influencer-marketing-campaign-steps/</t>
  </si>
  <si>
    <t>https://gethppy.com/workplace-happiness/how-hr-can-help-employees-facing-financial-difficulties</t>
  </si>
  <si>
    <t>https://awealthofcommonsense.com/2019/03/animal-spirits-episode-72-where-were-you-at-the-bottom/</t>
  </si>
  <si>
    <t>https://telnyx.com/resources/ai-loan-inquiries</t>
  </si>
  <si>
    <t>https://www.epsilontheory.com/fiat-world/</t>
  </si>
  <si>
    <t>https://flocksocial.com/blog/leveraging-instagram-for-side-income-while-studying</t>
  </si>
  <si>
    <t>https://www.creolestudios.com/ai-agentic-workflows-what-they-are-and-why-they-matter/</t>
  </si>
  <si>
    <t>https://whatstorage.co.uk/advice/storage-tenant-rights-landlords-selling-a-property-moving-fast/</t>
  </si>
  <si>
    <t>hello@whatstorage.co.uk</t>
  </si>
  <si>
    <t>https://www.abilities.com/2025/09/06/securing-your-future-comprehensive-financial-planning-for-people-with-disabilities</t>
  </si>
  <si>
    <t>https://niftypm.com/blog/stretch-goals/</t>
  </si>
  <si>
    <t>https://www.nimbleappgenie.com/blogs/ai-in-loan-lending/</t>
  </si>
  <si>
    <t>https://projectyin.com/blog/project-manager-salary/</t>
  </si>
  <si>
    <t>https://www.uniqode.com/blog/digital-business-cards-for/financial-advisors</t>
  </si>
  <si>
    <t>https://amzprep.com/asos-3pl/</t>
  </si>
  <si>
    <t>https://www.nomadichustle.com/applying-delayed-gratification-to-your-finances/</t>
  </si>
  <si>
    <t>https://www.mgt-commerce.com/blog/magento-2-missing-order/</t>
  </si>
  <si>
    <t>https://pixteller.com/blog/cost-vs-benefit-of-getting-a-degree-in-web-design-278</t>
  </si>
  <si>
    <t>https://billingsgazette.com/shopping/article_88fba787-92f3-57b9-8cb4-bec66a4947e4.html</t>
  </si>
  <si>
    <t>https://bombshellbybleu.com/p/6-essential-money-tips-for-recent-college-graduates/</t>
  </si>
  <si>
    <t>https://gretasjunkyard.com/avoiding-unplanned-and-impulsive-spending/</t>
  </si>
  <si>
    <t>https://graphically.io/blog/junior-graphic-designer-remote/</t>
  </si>
  <si>
    <t>https://www.fitnessmentors.com/personal-trainers-ready-to-open-a-gym/</t>
  </si>
  <si>
    <t>https://www.fastsoftwares.com/blog/managed-edr-small-business-worth-invest/</t>
  </si>
  <si>
    <t>https://www.brightmoney.co/learn/escape-the-debt-trap-now-find-top-debt-consolidators-near-you</t>
  </si>
  <si>
    <t>https://actionsprout.com/blog/scams-on-facebook-marketplace/</t>
  </si>
  <si>
    <t>https://www.menutiger.com/blog/tips-to-recession-proof-your-restaurant</t>
  </si>
  <si>
    <t>https://betterproposals.io/blog/how-to-handle-unpaid-invoices/</t>
  </si>
  <si>
    <t>https://www.parkingmadeeasy.com.au/blog/how-start-car-parking-rental-business</t>
  </si>
  <si>
    <t>https://targetbay.com/blog/how-to-start-a-side-hustle-ecommerce/</t>
  </si>
  <si>
    <t>https://edit.sundayriley.com/saving-money/</t>
  </si>
  <si>
    <t>https://uteach.io/choose-your-niche/niches/finance-coaching</t>
  </si>
  <si>
    <t>https://stacker.com/stories/travel/5-ways-take-affordable-family-vacation-summer</t>
  </si>
  <si>
    <t>https://www.superside.com/blog/legacy-vs-challengers</t>
  </si>
  <si>
    <t>https://upmetrics.co/business-terms/dissolution</t>
  </si>
  <si>
    <t>https://www.qrcode-tiger.com/tips-to-recession-proof-your-restaurant</t>
  </si>
  <si>
    <t>https://www.leaders-in-law.com/esg-series-cop27-achievements-and-deficiencies/</t>
  </si>
  <si>
    <t>https://www.postgrid.co.uk/financial-advertising-regulations/</t>
  </si>
  <si>
    <t>https://careerlaunch.unlv.edu/blog/2025/10/09/a-job-search-playbook-five-weekly-habits-that-deliver-results/</t>
  </si>
  <si>
    <t>https://blog.powr.io/how-to-use-ai-agents-for-marketing/</t>
  </si>
  <si>
    <t>https://surveysparrow.com/blog/upscaling-employee-retention-via-incredible-engagement-tactics/</t>
  </si>
  <si>
    <t>https://tapni.com/blogs/business-and-networking/sales-rep</t>
  </si>
  <si>
    <t>https://www.designveloper.com/blog/debt-management-software/</t>
  </si>
  <si>
    <t>https://www.ecosmob.com/ai-in-finance-industry/</t>
  </si>
  <si>
    <t>https://www.classe365.com/blog/how-schools-can-compete-through-smarter-edtech-investment/</t>
  </si>
  <si>
    <t>https://pantagraph.com/shopping/article_ab0dc2b5-9ffc-5d25-864c-59187f6696b5.html</t>
  </si>
  <si>
    <t>https://valiantceo.com/building-a-healthier-relationship-with-money/</t>
  </si>
  <si>
    <t>valiantceo@valiantceo.com</t>
  </si>
  <si>
    <t>staff@valiantceo.com</t>
  </si>
  <si>
    <t>https://convin.ai/blog/debt-recovery-tips</t>
  </si>
  <si>
    <t>https://www.beckershospitalreview.com/finance/80-of-americans-say-delaying-care-led-them-to-incur-higher-medical-bills/</t>
  </si>
  <si>
    <t>https://www.cm-alliance.com/cybersecurity-blog/can-ai-be-hacked-the-risks-of-adversarial-attacks-in-lending-models</t>
  </si>
  <si>
    <t>https://blog.designcrowd.fr/article/2232/how-to-visually-capture-customers-in-new-traffic-channels-2025</t>
  </si>
  <si>
    <t>https://www.cheapism.com/retirement-financial-planning/</t>
  </si>
  <si>
    <t>https://southfloridareporter.com/how-debt-in-collections-affects-your-credit/</t>
  </si>
  <si>
    <t>https://keyt.com/news/2025/07/03/6-ways-to-work-toward-financial-freedom-in-2025/</t>
  </si>
  <si>
    <t>https://bea-adventurous.com/how-to-travel-longer/</t>
  </si>
  <si>
    <t>https://www.stonewallinstitute.com/signs-that-loved-one-has-alcoholism/</t>
  </si>
  <si>
    <t>https://careerservices.ecpi.edu/blog/2025/10/08/a-job-search-playbook-five-weekly-habits-that-deliver-results/</t>
  </si>
  <si>
    <t>https://www.cs-cart.com/blog/monetary-relations-with-vendors/</t>
  </si>
  <si>
    <t>https://ghthanks.com/building-credit-and-financial-literacy/</t>
  </si>
  <si>
    <t>https://www.zenesys.com/how-predictive-analytics-transforms-strategic-planning-and-business-growth</t>
  </si>
  <si>
    <t>https://www.bustle.com/life/how-to-save-money-during-the-holidays-according-to-experts-13186867</t>
  </si>
  <si>
    <t>https://so.gay/life/money/how-to-create-a-bare-bones-budget-when-youre-in-debt/</t>
  </si>
  <si>
    <t>https://solidgigs.com/blog/how-to-stay-financially-resilient-when-freelance-income-is-unpredictable/</t>
  </si>
  <si>
    <t>https://joywallet.com/article/freedom-debt-relief-review/</t>
  </si>
  <si>
    <t>https://neufutur.com/2025/08/what-supportive-people-bring-to-the-table/</t>
  </si>
  <si>
    <t>https://geotargetly.com/blog/can-credit-card-fraud-be-minimised-with-ip-geolocation</t>
  </si>
  <si>
    <t>https://careers.wgu.edu/blog/2025/10/10/a-job-search-playbook-five-weekly-habits-that-deliver-results/</t>
  </si>
  <si>
    <t>https://www.onlineu.com/resources/student-debt-crisis-2021</t>
  </si>
  <si>
    <t>https://missoulian.com/shopping/article_6d8e1d71-14bd-58f7-ae32-f65cabc30623.html</t>
  </si>
  <si>
    <t>https://sportsmedicineweekly.com/blog/featured/top-career-ideas-for-people-who-love-health-and-fitness/</t>
  </si>
  <si>
    <t>https://www.aiscreen.io/retail/improve-customer-experience-digital-signage/</t>
  </si>
  <si>
    <t>https://growthfolks.io/hr/employer-branding/</t>
  </si>
  <si>
    <t>https://sweeten.com/advice-and-faq/mortgage-101-everything-need-home-loans/</t>
  </si>
  <si>
    <t>team@sweeten.com</t>
  </si>
  <si>
    <t>https://jenaroundtheworld.com/vacation-planning-tips-for-spending-wisely/</t>
  </si>
  <si>
    <t>https://www.octopusintelligence.com/the-role-of-business-loan-rates-in-the-healthcare-industrys-growth/</t>
  </si>
  <si>
    <t>https://logomakerr.ai/blog/best-ai-productivity-tools-by-category/</t>
  </si>
  <si>
    <t>https://usattorneys.com/lifes-big-decisions-how-to-protect-yourself-in-marriage-debt-and-career/</t>
  </si>
  <si>
    <t>https://www.sevenatoms.com/blog/how-to-improve-quality-score-adwords</t>
  </si>
  <si>
    <t>https://inevent.com/blog/others/go-beyond-remote-work-with-inevent.html</t>
  </si>
  <si>
    <t>https://destify.com/blog/staying-debt-smart-expert-advice-on-wedding-financing-pitfalls/</t>
  </si>
  <si>
    <t>https://madison.com/shopping/article_721badd1-5dc8-5296-9412-5a3e16b2ede6.html</t>
  </si>
  <si>
    <t>https://sellbery.com/blog/the-risks-and-benefits-of-outsourcing-supply-chain-management/</t>
  </si>
  <si>
    <t>https://www.brightonsavoy.com.au/what-do-i-need-to-know-before-buying-an-engagement-ring/</t>
  </si>
  <si>
    <t>https://helpsquad.com/6-out-of-the-box-ideas-for-small-business-reopening/</t>
  </si>
  <si>
    <t>https://soho.com.au/articles/line-of-credit-vs-offset-when-to-use-these-loan-features</t>
  </si>
  <si>
    <t>https://upjourney.com/what-is-financial-literacy-and-why-is-it-important</t>
  </si>
  <si>
    <t>https://venturz.co/blog/financial-affiliate-programs</t>
  </si>
  <si>
    <t>https://jonathonspire.com/websites-for-market-research2/</t>
  </si>
  <si>
    <t>https://mcdowellnews.com/shopping/article_aa15dfea-a369-506f-87d1-a9dfe16bcd55.html</t>
  </si>
  <si>
    <t>https://www.virtuallatinos.com/blog/best-practices-managing-remote-employees/</t>
  </si>
  <si>
    <t>https://unicornplatform.com/blog/build-an-irresistible-used-car-dealership-website-design-in-minutes/</t>
  </si>
  <si>
    <t>https://career.calvin.edu/blog/2025/10/21/a-job-search-playbook-five-weekly-habits-that-deliver-results/</t>
  </si>
  <si>
    <t>https://www.countingtoten.co.uk/2022/03/reasons-to-get-finances-in-order.html</t>
  </si>
  <si>
    <t>https://aitechfy.com/blog/ai-in-financial-services-for-better-risk-management/</t>
  </si>
  <si>
    <t>https://www.side-line.com/what-kinds-of-debt-are-tax-deductible/</t>
  </si>
  <si>
    <t xml:space="preserve">Bernard </t>
  </si>
  <si>
    <t>bernard@side-line.com</t>
  </si>
  <si>
    <t>info@side-line.com</t>
  </si>
  <si>
    <t>https://www.inventorysource.com/managing-cash-flow-as-a-dropshipper/</t>
  </si>
  <si>
    <t>https://yulys.com/blog/financial-tips-for-professionals-starting-their-career</t>
  </si>
  <si>
    <t>https://blog.designcrowd.com.au/article/2232/how-to-visually-capture-customers-in-new-traffic-channels-2025</t>
  </si>
  <si>
    <t>https://forsomethingmore.com/traveling-the-world-tips-smooth-adventures/</t>
  </si>
  <si>
    <t>https://www.atozentherapies.com/post/understanding-home-care-importance-of-assessment-and-care-plans</t>
  </si>
  <si>
    <t>https://www.alidrop.co/blogs/how-to-earn-from-home-ultimate-guide-to-online-side-hustles</t>
  </si>
  <si>
    <t>https://spotifknowledge.com/ways-to-lower-your-cost-of-living/</t>
  </si>
  <si>
    <t>https://business.tutsplus.com/tutorials/borrowing-money-to-fund-a-business--cms-19459</t>
  </si>
  <si>
    <t>https://www.travellingweasels.com/2025/02/how-to-travel-and-have-a-career.html</t>
  </si>
  <si>
    <t>https://aaronai.my.canva.site/debt-consolidation</t>
  </si>
  <si>
    <t>https://thinkcomputers.org/how-credit-card-consolidation-programs-work/</t>
  </si>
  <si>
    <t>https://www.needingadvice.co.uk/can-i-remortgage-to-pay-off-debt/</t>
  </si>
  <si>
    <t>https://makemoneywithoutajob.com/getting-more-car-for-your-money/</t>
  </si>
  <si>
    <t>https://girlboss.com/blogs/read/common-credit-card-mistakes</t>
  </si>
  <si>
    <t>https://www.theeducationmagazine.com/emotional-side-of-buying/</t>
  </si>
  <si>
    <t>https://www.cantorinjurylaw.com/blog/addressing-your-concerns-about-legal-representation/</t>
  </si>
  <si>
    <t>https://www.agicent.com/blog/key-factors-that-influence-credit-decision-making/</t>
  </si>
  <si>
    <t>https://www.thedailymeal.com/holidays/people-you-arent-gifting-gallery/</t>
  </si>
  <si>
    <t>staff@thedailymeal.com</t>
  </si>
  <si>
    <t>https://blog.loopcv.pro/career-financial-planning/</t>
  </si>
  <si>
    <t>https://www.sfexaminer.com/marketplace/is-freedom-debt-relief-legit-smarter-ways-to-vet-debt-help/article_25ae73ef-f4ce-43f0-bfe2-1622ffe25bbf.html</t>
  </si>
  <si>
    <t>https://ripenapps.com/blog/cost-to-build-a-cash-advance-app-like-moneylion/</t>
  </si>
  <si>
    <t>https://blog.solsticebenefits.com/solstice-broker-blog/hrs-new-challenge-subscription-style-benefits-for-gen-z</t>
  </si>
  <si>
    <t>https://www.cisin.com/coffee-break/how-can-users-limit-their-losses-if-a-crypto-exchange-collapses.html</t>
  </si>
  <si>
    <t>https://www.wpfastestcache.com/blog/best-4-tips-for-how-to-remote-work/</t>
  </si>
  <si>
    <t>https://www.memtime.com/blog/creating-a-work-from-home-routine</t>
  </si>
  <si>
    <t>https://uncovercounseling.com/blog/financial-literacy-and-mental-health-why-it-matters-more-than-you-think/</t>
  </si>
  <si>
    <t>https://markovate.com/blog/ai-in-banking/</t>
  </si>
  <si>
    <t>https://www.timedoctor.com/blog/contact-center-compliance/</t>
  </si>
  <si>
    <t>https://zoviz.com/blog/legally-protect-business-checklist</t>
  </si>
  <si>
    <t>https://blog.designcrowd.de/article/2232/how-to-visually-capture-customers-in-new-traffic-channels-2025</t>
  </si>
  <si>
    <t>https://siliconvalleytime.com/finance/involving-children-in-household-budgeting/</t>
  </si>
  <si>
    <t>https://www.paystubhero.com/who-claims-child-on-taxes-with-50-50-custody/</t>
  </si>
  <si>
    <t>https://www.deskflex.com/blog/integrating-visitor-management-system-in-banks-insurance-companies-and-financial-institutions-for-a-safe-office</t>
  </si>
  <si>
    <t>https://www.contactsplus.com/blog/real-estate-investment-journey/</t>
  </si>
  <si>
    <t>https://spdload.com/blog/return-on-investment/</t>
  </si>
  <si>
    <t>https://tucson.com/shopping/article_9b72c135-432f-577f-9a5b-b91ad84721c8.html</t>
  </si>
  <si>
    <t>https://www.rollo.com/blog/multi-carrier-shipping-software-tips/</t>
  </si>
  <si>
    <t>https://reviewgrower.com/how-to-check-out-a-companys-online-reputation/</t>
  </si>
  <si>
    <t>https://www.compassitc.com/blog/qr-code-package-scam-what-you-need-to-know</t>
  </si>
  <si>
    <t>https://www.readunwritten.com/2022/02/22/mistakes-avoid-erase-debt/</t>
  </si>
  <si>
    <t>https://izooto.com/blog/publishers-build-online-communities</t>
  </si>
  <si>
    <t>https://www.ghasterpaintinginc.com/blog/enhancing-your-commercial-property-maintenance-aesthetic-improvements-and-strategic-upgrades/</t>
  </si>
  <si>
    <t>info@ghasterpaintinginc.com</t>
  </si>
  <si>
    <t>https://www.derektime.com/how-to-handle-collection-calls-legally/</t>
  </si>
  <si>
    <t>https://theartofcharm.com/uncategorized/gretchen-rubin-happiness-and-the-four-tendencies/</t>
  </si>
  <si>
    <t>https://elements.envato.com/learn/how-to-manage-freelancer-finances</t>
  </si>
  <si>
    <t>https://widebaykids.com.au/making-your-dollar-stretch/</t>
  </si>
  <si>
    <t>https://tivazo.com/blogs/50-30-20-rule/</t>
  </si>
  <si>
    <t>https://curator.io/blog/how-schools-can-use-social-media-for-good</t>
  </si>
  <si>
    <t>https://www.fratantoniluxuryestates.com/blog/the-roi-of-building-a-luxury-custom-home-a-smart-investment-in-elegance-value</t>
  </si>
  <si>
    <t>info@fratantoniinteriordesigners.com</t>
  </si>
  <si>
    <t>https://flair.hr/en/blog/severance-pay/</t>
  </si>
  <si>
    <t>https://dialerhq.com/blog/how-to-start-a-virtual-call-center/</t>
  </si>
  <si>
    <t>https://blog2.roomiapp.com/us/finance/how-do-you-achieve-financial-freedom-in-your-20s/</t>
  </si>
  <si>
    <t>https://laptoptestguide.com/turning-a-hobby-into-a-career/</t>
  </si>
  <si>
    <t>https://www.psychreg.org/building-stronger-willpower-muscle/</t>
  </si>
  <si>
    <t>https://www.bbntimes.com/environment/help-after-a-hurricane-rebuilding-finances-after-a-storm</t>
  </si>
  <si>
    <t>https://honestmum.com/smart-financial-decisions-success/</t>
  </si>
  <si>
    <t>Vicki</t>
  </si>
  <si>
    <t>mum@honestmum.com</t>
  </si>
  <si>
    <t>https://www.villagevoice.com/how-to-receive-credit-card-debt-relief-without-worry/</t>
  </si>
  <si>
    <t>https://upvio.com/blog/practice-management/2024-goal-setting-tips-and-worksheets-for-practitioners</t>
  </si>
  <si>
    <t>https://luxafor.com/how-to-use-technology-to-improve-work-efficiency/</t>
  </si>
  <si>
    <t>https://careerdevelopment.acu.edu/blog/2025/11/07/a-job-search-playbook-five-weekly-habits-that-deliver-results/</t>
  </si>
  <si>
    <t>https://cuttingedgepr.com/articles/make-your-workers-aware-of-their-job-impact/</t>
  </si>
  <si>
    <t>https://www.mippin.com/disputing-a-debt-with-a-collections-agency/</t>
  </si>
  <si>
    <t>https://theindependent.com/news/nation-world/business/personal-finance/article_2b3a74d1-1f42-52a3-8886-a66063ef5aa5.html</t>
  </si>
  <si>
    <t xml:space="preserve">Victoria </t>
  </si>
  <si>
    <t>victoria.ayotte@lee.net</t>
  </si>
  <si>
    <t>newsdesk@theindependent.com</t>
  </si>
  <si>
    <t>https://www.revoyant.com/blog/ai-credit-repair-tools-improve-credit-score</t>
  </si>
  <si>
    <t>https://tourdaufuskie.com/blog/quick-sale-vs-short-sale-what-sellers-should-know/</t>
  </si>
  <si>
    <t>https://parade.com/922172/parade/tips-for-saving-money-on-holiday-gifts/</t>
  </si>
  <si>
    <t>https://joinotto.com/blog/invoice-financing-guide</t>
  </si>
  <si>
    <t>https://www.invoiceberry.com/blog/a-guide-to-small-business-loans/</t>
  </si>
  <si>
    <t>hello@invoiceberry.com</t>
  </si>
  <si>
    <t>business</t>
  </si>
  <si>
    <t>https://theyesgirls.com/the-7-most-common-wedding-planning-mistakes-and-how-to-avoid-them/</t>
  </si>
  <si>
    <t>https://www.advisoryexcellence.com/ultimate-guide-to-credit-card-consolidation-compared-to-bankruptcy-which-is-right-for-you/</t>
  </si>
  <si>
    <t>https://investorsking.com/2022/07/22/pros-and-cons-of-debt-settlement/</t>
  </si>
  <si>
    <t>https://algoscale.com/blog/how-data-analytics-is-revolutionizing-lending-decisions-credit-scoring-reinvented/</t>
  </si>
  <si>
    <t>https://www.bacancytechnology.com/blog/ai-in-debt-collection</t>
  </si>
  <si>
    <t>https://bostoninstituteofanalytics.org/blog/how-financial-analytics-can-improve-your-personal-budgeting/</t>
  </si>
  <si>
    <t>https://www.magetop.com/blog/navigating-state-tax-regulations-for-your-ecommerce-business/</t>
  </si>
  <si>
    <t>https://www.socialworktoday.com/archive/0720p28.shtml</t>
  </si>
  <si>
    <t>https://capobythesea.com/benefits-of-sobriety/</t>
  </si>
  <si>
    <t>https://kentuckycounselingcenter.com/how-do-our-finances-connect-to-our-mental-health/</t>
  </si>
  <si>
    <t>https://buggybuddys.com.au/what-every-family-needs-to-know-about-making-smart-financial-choices/</t>
  </si>
  <si>
    <t>contactus@buggybuddys.com.au</t>
  </si>
  <si>
    <t>Generic.</t>
  </si>
  <si>
    <t>https://www.alore.io/blog/growth-pe</t>
  </si>
  <si>
    <t>https://profiletree.com/financial-wellness-nick-lawlor/</t>
  </si>
  <si>
    <t>https://www.moveinconnect.com.au/guide-to-buying-a-new-house-and-setting-up-the-utilities/</t>
  </si>
  <si>
    <t>info@moveinconnnect.com.au</t>
  </si>
  <si>
    <t>https://getoutofdebt.org/113300/can-add-speedy-cash-loans-freedom-debt-relief-account</t>
  </si>
  <si>
    <t>https://www.namasteui.com/a-guide-to-business-debt-consolidation/</t>
  </si>
  <si>
    <t>https://bestcompany.com/blog/loans/millennials-and-credit-card-debt</t>
  </si>
  <si>
    <t>https://www.companionlink.com/blog/2024/08/what-are-the-benefits-of-microloans-for-small-businesses/</t>
  </si>
  <si>
    <t>https://www.giftlips.com/blog/happy-workplace</t>
  </si>
  <si>
    <t>https://www.talkehr.com/post/improving-financial-data-analytics-for-predictions-and-decision-making</t>
  </si>
  <si>
    <t>hello@talkehr.com</t>
  </si>
  <si>
    <t>https://www.hedgethink.com/spotting-tax-debt-phone-scams/</t>
  </si>
  <si>
    <t>https://www.nickdalephotography.com/blog/how-college-students-can-turn-photography-from-a-hobby-into-a-side-hustle</t>
  </si>
  <si>
    <t>https://www.uplyftcapital.com/small-business-blog/ppp-loan-forgiveness-misconceptions</t>
  </si>
  <si>
    <t>https://dothaneagle.com/news/nation-world/business/personal-finance/article_281fe2b5-e329-58f8-81e0-98a4557335ef.html</t>
  </si>
  <si>
    <t>https://filecamp.com/blog/dam-for-product-launches/</t>
  </si>
  <si>
    <t>https://thecharmingbenchcompany.com/blogs/news/how-to-calculate-budget-and-roi-for-your-landscape-renovation</t>
  </si>
  <si>
    <t>info@thecharmingbenchcompany.com</t>
  </si>
  <si>
    <t>https://fabfitfun.com/magazine/should-you-pay-debt-before-saving/</t>
  </si>
  <si>
    <t>katie@fabfitfun.com</t>
  </si>
  <si>
    <t>https://ktvz.com/stacker-money/2025/09/29/how-to-create-a-bare-bones-budget-when-youre-in-debt/</t>
  </si>
  <si>
    <t>Victoria</t>
  </si>
  <si>
    <t>victoria.dinges@ktvz.com</t>
  </si>
  <si>
    <t>https://kyma.com/stacker-money/2025/08/05/what-is-a-prepaid-debit-card-and-how-does-it-work/</t>
  </si>
  <si>
    <t xml:space="preserve">Marcos </t>
  </si>
  <si>
    <t>marcos.icahuate@kecytv.com</t>
  </si>
  <si>
    <t>https://wealthandfinance.digital/how-debt-settlement-works/</t>
  </si>
  <si>
    <t>customer-services@aiglobalmedialtd.com</t>
  </si>
  <si>
    <t>https://elevate.iit.edu/blog/2025/10/08/a-job-search-playbook-five-weekly-habits-that-deliver-results/</t>
  </si>
  <si>
    <t>https://womeninbalance.org/2025/07/30/women-thriving-in-pharmacy/</t>
  </si>
  <si>
    <t>https://techysumo.com/how-self-esteem-expands-career-options/</t>
  </si>
  <si>
    <t>https://saas-space.com/building-an-efficient-collaborative-remote-team-from-the-ground-up/</t>
  </si>
  <si>
    <t>https://www.housecallpro.com/resources/how-to-improve-business-cash-flow/</t>
  </si>
  <si>
    <t>https://lensa.com/insights/how-to-quit-your-job/</t>
  </si>
  <si>
    <t>https://hevodata.com/learn/financial-data-science/</t>
  </si>
  <si>
    <t>http://itsupplychain.com/debt-can-work-in-your-favor/</t>
  </si>
  <si>
    <t>https://www.techwyse.com/blog/digital-marketing-101/how-to-nurture-leads-and-improve-conversions-for-complex-b2b-sales</t>
  </si>
  <si>
    <t>https://www.depositfix.com/blog/how-to-recover-failed-payments-in-your-coaching-business</t>
  </si>
  <si>
    <t>https://www.ncjustice.org/nc-senate-refuses-to-bring-bill-to-floor-that-protects-borrowers-from-abusive-debt-settlement-practices/</t>
  </si>
  <si>
    <t>https://kidsonthecoast.com.au/living/family-finances-budgeting-like-a-pro/</t>
  </si>
  <si>
    <t>https://polkadotpassport.com/how-to-choose-your-dream-travel-destination/</t>
  </si>
  <si>
    <t>https://theworldonmynecklace.com/cut-down-on-stress-on-vacation/</t>
  </si>
  <si>
    <t>https://www.strategydriven.com/2022/02/10/what-are-the-most-common-debt-solutions/</t>
  </si>
  <si>
    <t>https://opportunitydesk.org/2021/03/15/how-to-qualify-for-credit-card-debt-relief-programs/</t>
  </si>
  <si>
    <t>https://recruitcrm.io/blogs/labor-hoarding/</t>
  </si>
  <si>
    <t>https://www.the-entourage.com/blog/the-importance-of-budgeting-in-debt-management-1</t>
  </si>
  <si>
    <t>https://responsiblepetbreeders.com.au/how-to-prepare-for-a-litter-of-kittens/</t>
  </si>
  <si>
    <t>https://www.legendsofamerica.com/preserving-history-modern-challenges/</t>
  </si>
  <si>
    <t>https://www.lifegag.com/how-to-know-when-you-need-credit-card-debt-relief/</t>
  </si>
  <si>
    <t>https://www.safesearchkids.com/financial-freedom-for-future-doctors-a-step-by-step-guide-to-managing-medical-school-loans/</t>
  </si>
  <si>
    <t>https://blog.designcrowd.es/article/2232/how-to-visually-capture-customers-in-new-traffic-channels-2025</t>
  </si>
  <si>
    <t>https://filtergrade.com/whats-actually-working-in-digital-marketing-right-now-summer-2025/</t>
  </si>
  <si>
    <t>https://www.themanual.com/culture/when-you-should-pay-a-credit-card-annual-fee/</t>
  </si>
  <si>
    <t>https://easternsuburbsmums.com.au/how-to-prioritize-debt-payments-while-staying-on-top-of-taxes/</t>
  </si>
  <si>
    <t>https://hollywoodlife.com/2025/05/19/how-californians-are-overcoming-financial-challenges/</t>
  </si>
  <si>
    <t>https://www.classicinformatics.com/blog/digital-experience-success-stories</t>
  </si>
  <si>
    <t>https://www.bestforbride.com/bridal-shop/08/smart-tips-and-tricks-that-you-need-to-know-when-planning-your-wedding/</t>
  </si>
  <si>
    <t>https://instawp.com/how-wordpress-teams-develop-sites-faster/</t>
  </si>
  <si>
    <t>https://hurak.com/blog/culinary-business-management</t>
  </si>
  <si>
    <t>https://careers.bridgew.edu/blog/2025/10/07/a-job-search-playbook-five-weekly-habits-that-deliver-results/</t>
  </si>
  <si>
    <t>https://herald-review.com/news/nation-world/business/personal-finance/article_4e2e061e-935c-5b35-aff6-f6e79bcde529.html</t>
  </si>
  <si>
    <t>https://phonexa.com/blog/got-low-intent-leads-heres-how-to-finish-q4-with-a-bang/</t>
  </si>
  <si>
    <t>https://trangotech.com/blog/create-mobile-app-prototype/</t>
  </si>
  <si>
    <t>https://www.jploft.com/blog/best-money-lending-apps</t>
  </si>
  <si>
    <t>https://mycreditsummit.com/debt-consolidation/arizona/</t>
  </si>
  <si>
    <t>https://softcircles.com/blog/most-important-facts-to-know-business-formation</t>
  </si>
  <si>
    <t>https://beatricedailysun.com/news/nation-world/business/personal-finance/article_6ba264c4-21fa-5e0f-9c74-1f0c05b33326.html</t>
  </si>
  <si>
    <t>https://powerdmarc.com/what-are-spam-messages/</t>
  </si>
  <si>
    <t>https://www.vbout.com/blog/8-techniques-for-using-ai-powered-chatbots-to-improve-client-communication-in-financial-services/</t>
  </si>
  <si>
    <t>https://www.momooze.com/getting-out-of-debt/</t>
  </si>
  <si>
    <t>https://www.curadebt.com/choose-debt-consolidation-in-philadelphia-pa-over-bankruptcy-heres-why/</t>
  </si>
  <si>
    <t>https://claimsbible.com/blog/general-claim-information/what-happens-if-you-lose-in-small-claims-court-uk/</t>
  </si>
  <si>
    <t>https://businesscomputingworld.co.uk/the-power-of-fintech-partnerships-in-microfinance/</t>
  </si>
  <si>
    <t>contact@businesscomputingworld.co.uk</t>
  </si>
  <si>
    <t>https://knowmax.ai/blog/webinar-recap-guided-knowledge-for-cx-transformation/</t>
  </si>
  <si>
    <t>https://www.accuweather.com/en/weather-news/dont-wait-until-its-too-late-5-expert-tips-for-getting-your-finances-in-order-before-a-natural-disaster-strikes/343225</t>
  </si>
  <si>
    <t>https://solosuit-staging.herokuapp.com/posts/best-debt-reduction-services-2022</t>
  </si>
  <si>
    <t>https://tdn.com/news/nation-world/business/personal-finance/article_337994b0-e843-5d89-a183-e9894eeded93.html</t>
  </si>
  <si>
    <t>https://fenced.ai/blogs/5-common-debt-management-mistakes-and-how-to-avoid-them/</t>
  </si>
  <si>
    <t>https://timelines.ai/whatsapp-api-vs-sms/</t>
  </si>
  <si>
    <t>https://www.hiringpeople.co.uk/blog/hiring-people-january-update-a-fresh-perspective-on-the-recruitment-landscape/</t>
  </si>
  <si>
    <t>https://insiderpaper.com/developing-a-realistic-debt-payment-plan/</t>
  </si>
  <si>
    <t>https://columbustelegram.com/news/nation-world/business/personal-finance/article_67dfb8f6-503b-529b-9c28-92546d60e701.html</t>
  </si>
  <si>
    <t>https://www.brainvire.com/blog/measures-to-mitigate-impact-of-covid-19-on-finance-sector/</t>
  </si>
  <si>
    <t>https://archeyes.com/the-importance-of-a-business-loan-calculator-for-architects-and-small-firms/</t>
  </si>
  <si>
    <t>https://careeredge.scarletknights.com/blog/2025/06/19/the-hour-a-day-job-hunt-routine-that-works/</t>
  </si>
  <si>
    <t>https://www.arcsite.com/blog/5-barriers-to-a-successful-fencing-business-0</t>
  </si>
  <si>
    <t>https://www.sms-magic.com/blog/how-taking-payments-via-messaging-can-improve-your-ar-turnover-ratio/</t>
  </si>
  <si>
    <t>https://antelope-wolf-fph9.squarespace.com/blog/tag/flat+fee+real+estate</t>
  </si>
  <si>
    <t>https://newsadvance.com/news/nation-world/business/personal-finance/article_2e572100-5696-5477-9860-43854cb01c31.html</t>
  </si>
  <si>
    <t>https://www.canarianweekly.com/posts/10-Financial-Habits-That-Will-Improve-Your-Life</t>
  </si>
  <si>
    <t>https://othership.com/newsroom/virtual-workspace-as-a-way-to-adjust-to-new-normal/</t>
  </si>
  <si>
    <t>https://graduatecoach.co.uk/blog/university/page/2/</t>
  </si>
  <si>
    <t>https://wealthylike.com/business/ditching-subscriptions-you-dont-need-recognizing-auditing-setting-limits/</t>
  </si>
  <si>
    <t>https://blog.housesitmatch.com/blog/buying-a-foreclosure-home-your-guide/</t>
  </si>
  <si>
    <t>https://roanoke.com/news/nation-world/business/personal-finance/article_369924ad-917f-58a4-9d49-a884abb3eafe.html</t>
  </si>
  <si>
    <t>https://ultahost.com/blog/mistakes-to-avoid-when-starting-your-own-business/</t>
  </si>
  <si>
    <t>https://www.theitbase.com/technology/controlling-your-digital-footprint/</t>
  </si>
  <si>
    <t>https://www.truework.com/verifications/freedom-debt-relief-employment-verification/</t>
  </si>
  <si>
    <t>https://www.creditstrong.com/how-long-does-it-take-to-rebuild-credit-after-debt-settlement/</t>
  </si>
  <si>
    <t>https://www.smartmoneymatch.com/en/Solutions-Pay-Off-Personal-Debt-Efficiently</t>
  </si>
  <si>
    <t>https://themortgagereports.com/55188/survey-shows-surge-of-refinance-activity-and-big-potential-savings</t>
  </si>
  <si>
    <t>https://www.digitaltrends.com/contributor-content/the-digital-dollar-how-ai-is-reshaping-debt-management/</t>
  </si>
  <si>
    <t>https://localnews8.com/news/2025/06/23/does-unemployment-affect-your-credit-score/</t>
  </si>
  <si>
    <t>https://predis.ai/resources/post-ideas-for-financial-advisors/</t>
  </si>
  <si>
    <t>https://mumsoftheshire.com.au/advice/mums-financial-wellbeing/</t>
  </si>
  <si>
    <t xml:space="preserve">Mia </t>
  </si>
  <si>
    <t>mia@mumsoftheshire.com.au</t>
  </si>
  <si>
    <t>hello@mumsoftheshire.com.au</t>
  </si>
  <si>
    <t>https://codiant.com/blog/how-to-build-an-effective-personal-expense-tracker-application/</t>
  </si>
  <si>
    <t>https://krdo.com/stacker-money/2025/06/26/how-to-be-debt-free-by-retirement/</t>
  </si>
  <si>
    <t>https://www.k6agency.com/tax-deadlines/</t>
  </si>
  <si>
    <t>https://ravallirepublic.com/news/nation-world/business/personal-finance/article_5472b389-6e76-500b-a5cf-dc8ef0734c6c.html</t>
  </si>
  <si>
    <t>https://gazettetimes.com/news/nation-world/business/personal-finance/article_266c4295-75e0-5be6-8db5-b08d87888e65.html</t>
  </si>
  <si>
    <t>https://journalnow.com/news/nation-world/business/personal-finance/article_59faff1a-6b99-5024-9745-afc180b3eaaf.html</t>
  </si>
  <si>
    <t>https://jobstars.com/how-your-credit-score-impacts-your-job-search/</t>
  </si>
  <si>
    <t>https://theglobalhues.com/why-youre-prone-to-compulsive-buying/</t>
  </si>
  <si>
    <t>https://www.intelligenthq.com/asserting-your-legal-protections-with-creditors/</t>
  </si>
  <si>
    <t>https://www.smallbusinesscoach.org/tag/effective-communications/page/19/</t>
  </si>
  <si>
    <t>https://www.possolutions.com.au/blog/keeping-your-terms-and-conditions-current-in-your-business</t>
  </si>
  <si>
    <t>https://siouxcityjournal.com/news/nation-world/business/</t>
  </si>
  <si>
    <t xml:space="preserve">Bruce </t>
  </si>
  <si>
    <t>bmiller@siouxcityjournal.com</t>
  </si>
  <si>
    <t>ddreeszen@siouxcityjournal.com</t>
  </si>
  <si>
    <t>https://getmarlee.com/blog/scaling-a-business</t>
  </si>
  <si>
    <t>https://poe.com/p/How-can-I-effectively-communicate-my-concerns-about-unpaid-debts-to-someone-who-seems-uninterested-in-paying</t>
  </si>
  <si>
    <t>https://www.realtytimes.com/consumeradvice/ask-the-expert/item/1046097-consumer-s-guide-to-eliminating-debt</t>
  </si>
  <si>
    <t>https://jg-tc.com/news/nation-world/business/personal-finance/article_6998366f-9e98-5673-bd0d-bd70e832cfaf.html</t>
  </si>
  <si>
    <t>https://www.fool.com/investing/2019/03/05/what-would-americans-be-willing-to-do-to-get-out-o.aspx</t>
  </si>
  <si>
    <t>https://riproar.com/common-debt-consolidation-mistakes-and-how-to-avoid-them/</t>
  </si>
  <si>
    <t>https://ssojet.com/blog/safeguarding-fintech-data-and-enhancing-user-experience-with-ssojet/</t>
  </si>
  <si>
    <t>https://journalstar.com/news/nation-world/business/</t>
  </si>
  <si>
    <t>https://houseofcoco.net/pros-and-cons-of-home-equity-as-a-debt-relief-option/</t>
  </si>
  <si>
    <t>https://tribuneonlineng.com/online-or-in-person-loans-whats-better/</t>
  </si>
  <si>
    <t>https://en.as.com/latest_news/what-are-credit-card-debt-forgiveness-programs-how-long-do-they-take-n/</t>
  </si>
  <si>
    <t>https://thebossmagazine.com/understanding-debt-relief/</t>
  </si>
  <si>
    <t>https://elkodaily.com/news/nation-world/</t>
  </si>
  <si>
    <t>https://press.farm/importance-loan-literacy-todays-financial-sphere/</t>
  </si>
  <si>
    <t>https://www.hrfuture.net/talent-management/wellness/8-things-hr-can-do-to-help-employees-who-are-struggling-with-money/</t>
  </si>
  <si>
    <t>https://calbizjournal.com/embracing-responsible-credit-habits/</t>
  </si>
  <si>
    <t>https://signalscv.com/2022/02/freedom-debt-relief-what-is-a-credit-hardship-program/</t>
  </si>
  <si>
    <t>https://nonpareilonline.com/news/state-regional/</t>
  </si>
  <si>
    <t>https://www.credit.com/blog/how-to-ensure-financial-security-in-the-future-in-12-steps/</t>
  </si>
  <si>
    <t>https://www.iuemag.com/m21/sf/how-to-use-a-debt-consolidation-calculator</t>
  </si>
  <si>
    <t>https://www.businessinitiative.org/business-tips/poor-debt-management-taking-on-too-much-debt-or-wrong-types/</t>
  </si>
  <si>
    <t>https://www.mynewsgh.com/what-to-do-with-a-financially-irresponsible-child/</t>
  </si>
  <si>
    <t>https://career.uconn.edu/blog/2025/12/19/a-job-search-playbook-five-weekly-habits-that-deliver-results/</t>
  </si>
  <si>
    <t>https://www.punjabnewsexpress.com/business/news/spotting-credit-card-relief-scams-140082.aspx</t>
  </si>
  <si>
    <t>https://smartreach.io/blog/guide-to-email-deliverability-audit/</t>
  </si>
  <si>
    <t>https://cloudcontactai.com/top-debt-relief-companies/</t>
  </si>
  <si>
    <t>https://blog.curemd.com/tips-for-physicians-student-loan-debt/</t>
  </si>
  <si>
    <t>https://careers.augustana.edu/blog/2025/07/03/the-hour-a-day-job-hunt-routine-that-works/</t>
  </si>
  <si>
    <t>https://www.expertlawfirm.com/debt-settlement-vs-legal-debt-solutions-understanding-your-options/</t>
  </si>
  <si>
    <t>https://www.theinvestorspodcast.com/business/what-to-do-if-your-car-loan-is-sold/</t>
  </si>
  <si>
    <t>https://stylecurator.com.au/saving-on-your-home-loan/</t>
  </si>
  <si>
    <t>Gina</t>
  </si>
  <si>
    <t>advertising@stylecurator.com.au</t>
  </si>
  <si>
    <t>hello@stylecurator.com.au</t>
  </si>
  <si>
    <t>https://rexsdeli.com/should-you-help-your-teen-buy-a-car/</t>
  </si>
  <si>
    <t>https://www.referralcandy.com/blog/turning-your-passion-into-an-online-business</t>
  </si>
  <si>
    <t>https://www.harlemworldmagazine.com/taking-control-of-your-financial-future/</t>
  </si>
  <si>
    <t>https://pigmancareers.uky.edu/blog/2025/11/07/a-job-search-playbook-five-weekly-habits-that-deliver-results/</t>
  </si>
  <si>
    <t>https://www.build-review.com/the-difference-between-a-mortgage-and-a-construction-loan/</t>
  </si>
  <si>
    <t>https://state-journal.com/2021/09/20/choosing-a-credit-counselor/</t>
  </si>
  <si>
    <t>https://www.filmink.com.au/equipment-indie-film/</t>
  </si>
  <si>
    <t>https://contentbase.com/blog/get-best-mortgage-rate/</t>
  </si>
  <si>
    <t>https://agirlworthsaving.net/what-exactly-is-debt-relief/</t>
  </si>
  <si>
    <t>https://www.moneygeek.com/editorial/sean-fox/</t>
  </si>
  <si>
    <t>https://www.isrgrajan.com/debt-consolidation-myths.html</t>
  </si>
  <si>
    <t>https://career.online.ou.edu/blog/2025/04/16/the-truth-about-employee-engagement-what-actually-motivates-teams/</t>
  </si>
  <si>
    <t>https://vteams.com/blog/benefits-of-remote-development-teams/</t>
  </si>
  <si>
    <t>https://t2conline.com/what-is-consolidated-credit/</t>
  </si>
  <si>
    <t xml:space="preserve">Suzanna </t>
  </si>
  <si>
    <t>suzanna@t2conline.com</t>
  </si>
  <si>
    <t>david@t2conline.com</t>
  </si>
  <si>
    <t>https://www.jobma.com/blog/this-is-what-i-was-waiting-for-transitioning-to-the-real-world/</t>
  </si>
  <si>
    <t>https://cocobutterblog.co.uk/exploring-educational-benefits-of-adventure-travel-for-college-students/</t>
  </si>
  <si>
    <t>Samantha</t>
  </si>
  <si>
    <t>samantha_wragg@hotmail.com</t>
  </si>
  <si>
    <t>hello@cocobutterblog.co.uk</t>
  </si>
  <si>
    <t>https://careerhub.ufl.edu/blog/2025/06/23/the-hour-a-day-job-hunt-routine-that-works/</t>
  </si>
  <si>
    <t>https://appscrip.com/blog/app-ideas-for-entrepreneurs/</t>
  </si>
  <si>
    <t>https://career.austincc.edu/blog/2025/06/24/the-hour-a-day-job-hunt-routine-that-works/</t>
  </si>
  <si>
    <t>https://www.lawlegalhub.com/how-your-paycheck-works/</t>
  </si>
  <si>
    <t>https://tfipost.com/2021/01/evaluating-debt-consolidation-companies/</t>
  </si>
  <si>
    <t>https://frayedpassport.com/how-to-regain-control-of-your-finances-tips-for-saving-more-and-cutting-debt/</t>
  </si>
  <si>
    <t>https://nomadisbeautiful.com/travel-blogs/how-to-manage-your-finances-as-a-digital-nomad/</t>
  </si>
  <si>
    <t>https://kahawatungu.com/should-you-refinance-your-home-to-pay-off-credit-card-debt/</t>
  </si>
  <si>
    <t>https://globalgurus.org/the-benefits-of-debt-free-living/</t>
  </si>
  <si>
    <t>https://successfulblackparenting.com/2024/02/12/smart-savings-how-to-plan-for-your-familys-financial-future/</t>
  </si>
  <si>
    <t>https://sanantonioreport.org/money-problems-how-texans-can-get-out-of-debt-without-losing-their-minds-or-dignity-sponsored/</t>
  </si>
  <si>
    <t>https://s3da-design.com/what-to-look-for-when-choosing-a-lender-for-bank-statement-loans/</t>
  </si>
  <si>
    <t>https://genial-event-305177.framer.app/blog/10-ways-to-choose-a-sales-commission-structure-free-calculator-included</t>
  </si>
  <si>
    <t>https://careers.augsburg.edu/blog/2025/04/17/the-truth-about-employee-engagement-what-actually-motivates-teams/</t>
  </si>
  <si>
    <t>https://talesofbelle.com/2025/04/05/smart-financial-moves-how-to-increase-your-income-and-secure-your-future/</t>
  </si>
  <si>
    <t>https://www.laprogressive.com/spotlight/credit-card-debt</t>
  </si>
  <si>
    <t>https://businessandpower.com/your-way-to-financial-success/</t>
  </si>
  <si>
    <t>https://ocnjdaily.com/news/2024/oct/08/tips-for-mindful-spending/</t>
  </si>
  <si>
    <t>https://careerdesignstudio.buffalo.edu/blog/2025/06/30/the-hour-a-day-job-hunt-routine-that-works/</t>
  </si>
  <si>
    <t>https://starherald.com/shopping/article_e3ad16e5-8098-55d2-bc6d-72814ee3fee5.html</t>
  </si>
  <si>
    <t>https://mytunbridgewells.com/spending-plan/</t>
  </si>
  <si>
    <t>https://www.londondaily.news/managing-your-finances-in-old-age/</t>
  </si>
  <si>
    <t>https://datarecovee.com/best-practices-and-tools-for-improving-business-cybersecurity/</t>
  </si>
  <si>
    <t>https://share.snipd.com/episode/6a7c70d3-7e4c-4018-a1f0-77f5980cb359</t>
  </si>
  <si>
    <t>https://davidicke.com/2020/08/06/disputing-credit-report-errors/</t>
  </si>
  <si>
    <t>https://www.happeo.com/contributors/30-day-employee-engagement-challenge-small-actions-big-results</t>
  </si>
  <si>
    <t>https://2amagazine.com/how-your-circle-of-friends-is-keeping-you-poor/</t>
  </si>
  <si>
    <t>https://bullocksbuzz.com/what-is-debt-consolidation-and-how-it-can-help-you/</t>
  </si>
  <si>
    <t>https://info.memorialplanning.com/finances-and-planning/debt-free-living-in-retirement-strategies-and-tips</t>
  </si>
  <si>
    <t>https://www.whatkatysaid.com/4-tips-to-improve-your-budgeting-skills/</t>
  </si>
  <si>
    <t>https://neighborhoodloans.com/how-to-get-out-of-debt/</t>
  </si>
  <si>
    <t xml:space="preserve">Reno </t>
  </si>
  <si>
    <t>reno@neighborhoodloans.com</t>
  </si>
  <si>
    <t>Loan</t>
  </si>
  <si>
    <t>https://lifestylebyps.com/blogs/b/how-debt-can-work-in-your-favor</t>
  </si>
  <si>
    <t>https://www.noupe.com/magazine/essentials/why-term-insurance-policies-are-the-best-choice-for-people-in-debt.html</t>
  </si>
  <si>
    <t>https://www.menswearstyle.co.uk/2021/03/19/buying-car/9396</t>
  </si>
  <si>
    <t>https://eventflare.io/journal/how-to-budget-your-event-like-a-pro-a-step-by-step-guide</t>
  </si>
  <si>
    <t>https://breakingac.com/news/2025/sep/17/avoiding-the-trap-of-endless-accumulation/</t>
  </si>
  <si>
    <t>https://www.lyliarose.com/blog/read_197222/spotting-a-crooked-credit-card-debt-relief-agency.html</t>
  </si>
  <si>
    <t>https://accountingbyte.com/high-interest-debt-management-strategies/</t>
  </si>
  <si>
    <t>https://orangecoast.com/contributor-content/how-california-debt-relief-programs-may-be-a-solution-for-you/</t>
  </si>
  <si>
    <t>info@orangecoast.com</t>
  </si>
  <si>
    <t>https://www.culturaldaily.com/adjusting-your-financial-plan/</t>
  </si>
  <si>
    <t>https://www.99techpost.com/building-healthy-emotional-habits-around-money/</t>
  </si>
  <si>
    <t>https://www.netnewsledger.com/2022/02/23/do-you-owe-tax-on-forgiven-debt/</t>
  </si>
  <si>
    <t>james@netnewsledger.com</t>
  </si>
  <si>
    <t>newsroom@netnewsledger.com</t>
  </si>
  <si>
    <t>https://v2cloud.com/blog/remote-work-for-parents</t>
  </si>
  <si>
    <t>https://morganton.com/shopping/article_7c91945d-c99d-5ba5-8e0d-1e86912368b4.html</t>
  </si>
  <si>
    <t>https://starexponent.com/shopping/article_be079c6e-2a72-5847-aaa0-5a822b4e465b.html</t>
  </si>
  <si>
    <t>https://www.tomedes.com/translator-hub/student-loan-debt-freelancing</t>
  </si>
  <si>
    <t>https://forums.justuseapp.com/en/post/XPVT87DCJJ/can-t-login-to-my-freedom-debt-relief-account</t>
  </si>
  <si>
    <t>https://www.cience.com/company/freedom-debt-relief/6565779458324643298</t>
  </si>
  <si>
    <t>https://www.inkl.com/news/financial-pros-provide-a-beginner-s-guide-to-building-wealth-in-10-years</t>
  </si>
  <si>
    <t>https://researchsnipers.com/understanding-value-vs-price/</t>
  </si>
  <si>
    <t>https://geeksaroundglobe.com/benefits-of-financial-education/</t>
  </si>
  <si>
    <t>https://chippewa.com/shopping/article_30d7f3c1-ff88-53dd-a0be-b9623be8c8a4.html</t>
  </si>
  <si>
    <t>https://citiesabc.com/practical-tips-for-getting-out-of-debt</t>
  </si>
  <si>
    <t>https://trans4mind.com/counterpoint/index-finance-business/get-free-money-from-government.html</t>
  </si>
  <si>
    <t>https://rachelbustin.com/personal-finance/avoiding-the-risks-of-debt-settlement/</t>
  </si>
  <si>
    <t>https://theeagle.com/shopping/article_b2ce2071-e49f-57af-ac98-3bf750a0c7d7.html</t>
  </si>
  <si>
    <t>https://loanforyours.firebaseapp.com/debt-consolidation-loans-in-jersey.html</t>
  </si>
  <si>
    <t>https://weje.io/blog/fuel-your-career-with-the-knowledge-that-matters</t>
  </si>
  <si>
    <t>https://csr.cs.uml.edu/freedom-debt-relief-log-in</t>
  </si>
  <si>
    <t>https://deliveredsocial.com/7-things-to-ask-your-digital-marketing-junior-job-applicants/</t>
  </si>
  <si>
    <t>https://amnews.com/2020/09/01/americans-should-be-free-to-pursue-financial-options-in-the-covid-battle/</t>
  </si>
  <si>
    <t>https://citationbuilderpro.com/blog/reputation-of-business-measured-in-terms-of-money/</t>
  </si>
  <si>
    <t>https://codeless.io/fintech-content-marketing/</t>
  </si>
  <si>
    <t>https://careers.newark.rutgers.edu/blog/2025/10/14/a-job-search-playbook-five-weekly-habits-that-deliver-results/</t>
  </si>
  <si>
    <t>https://www.womansday.com/life/work-money/tips/a2608/never-pay-full-price-againanywhere-123473/</t>
  </si>
  <si>
    <t>https://www.mywowhealth.com/why-wow-health-is-the-leading-tax-plan-savings-agency-with-0-healthcare-benefits/</t>
  </si>
  <si>
    <t>https://techstaunch.com/blogs/12-business-ideas-for-students</t>
  </si>
  <si>
    <t>https://paylinedata.com/blog/effective-strategies-for-reducing-a-credit-card-balance</t>
  </si>
  <si>
    <t>https://dailyprogress.com/shopping/article_6e88aa9c-7cd8-5a0e-bb1d-bb54237c9f6d.html</t>
  </si>
  <si>
    <t>https://www.hse-network.com/how-to-choose-solar-panel-installation-company/</t>
  </si>
  <si>
    <t>https://mitechnews.com/guest-columns/why-am-i-in-debt/</t>
  </si>
  <si>
    <t>https://content.unionplus.org/taxonomy_term/money</t>
  </si>
  <si>
    <t>https://www.globalbankingandfinance.com/what-is-credit-card-consolidation</t>
  </si>
  <si>
    <t>https://www.fingerlakes1.com/2022/11/21/key-details-of-debt-relief/</t>
  </si>
  <si>
    <t>https://getassist.net/set-effective-financial-goals/</t>
  </si>
  <si>
    <t>https://greensboro.com/news/nation-world/business/personal-finance/article_dcbe56a0-f64d-5c42-a92c-970c25d6b2f4.html</t>
  </si>
  <si>
    <t>https://antiguanewsroom.com/how-to-lower-your-credit-card-interest-rate/</t>
  </si>
  <si>
    <t>https://thecoachspace.com/blog/how-to-improve-your-personal-finance/</t>
  </si>
  <si>
    <t>https://kenoshanews.com/shopping/article_1be6cc3d-7507-5c75-8b3e-5bc91b38a3fa.html</t>
  </si>
  <si>
    <t>https://thecostaricanews.com/u-s-news-announces-the-best-debt-settlement-companies/</t>
  </si>
  <si>
    <t>info@thecostaricanews.com</t>
  </si>
  <si>
    <t>editor@thecostaricanews.com</t>
  </si>
  <si>
    <t>https://luxurylifestyle.com/headlines/how-financial-infidelity-affects-a-relationship.html</t>
  </si>
  <si>
    <t>https://www.webpronews.com/how-to-pay-off-credit-card-debt/</t>
  </si>
  <si>
    <t>https://www.urbansplatter.com/2025/03/why-setting-savings-goals-matters/</t>
  </si>
  <si>
    <t>https://www.captainbobcat.com/how-to-respond-to-a-debt-settlement-offer/</t>
  </si>
  <si>
    <t>https://fileproinfo.com/blog/how-to-get-credit-card-debt-relief/2023/</t>
  </si>
  <si>
    <t>https://indiapost.com/questions-to-ask-when-youre-considering-debt-consolidation/</t>
  </si>
  <si>
    <t>https://cambridgeassessment.britanico.cl/nv22z/page.php?page=military-star-card-statute-of-limitations</t>
  </si>
  <si>
    <t>https://financialpanther.com/how-to-navigate-irs-debt-relief-a-comprehensive-guide-to-the-fresh-start-program/</t>
  </si>
  <si>
    <t>https://nameswhisper.com/planning-ahead-to-avoid-the-loan-trap/</t>
  </si>
  <si>
    <t>https://careercenter.wofford.edu/blog/2025/11/07/a-job-search-playbook-five-weekly-habits-that-deliver-results/</t>
  </si>
  <si>
    <t>https://fremonttribune.com/shopping/article_637c5e59-a016-56a3-9004-53488fefb6ed.html</t>
  </si>
  <si>
    <t>https://www.mklibrary.com/the-link-between-debt-and-mental-health/</t>
  </si>
  <si>
    <t>https://www.mostlyblogging.com/understanding-credit-cards-note-taking-guide/</t>
  </si>
  <si>
    <t>https://www.readability.com/building-financial-security-without-depriving-yourself</t>
  </si>
  <si>
    <t>contact@readability.com</t>
  </si>
  <si>
    <t>https://careerservices.smumn.edu/blog/2025/10/09/a-job-search-playbook-five-weekly-habits-that-deliver-results/</t>
  </si>
  <si>
    <t>https://www.genniferrose.com/blog/epic-upgrades-to-your-home-in-auckland-transform-your-space-with-style</t>
  </si>
  <si>
    <t>https://cnycentral.com/news/local/debt-settlement-company-to-refund-defrauded-customers-under-settlement</t>
  </si>
  <si>
    <t>https://newsvirginian.com/news/nation-world/business/personal-finance/article_f9a4aa83-bfb9-5069-91de-97d08d3d3d47.html</t>
  </si>
  <si>
    <t>https://careerservices.fgcu.edu/blog/2025/06/16/the-hour-a-day-job-hunt-routine-that-works/</t>
  </si>
  <si>
    <t>https://dwellect.com/how-long-do-apartment-applications-take/</t>
  </si>
  <si>
    <t>https://cyberpanel.net/blog/bitcoin-loans-keeping-the-coin-spending-the-cash</t>
  </si>
  <si>
    <t>https://authory.com/NatashaEtzel</t>
  </si>
  <si>
    <t>https://huntr.co/job/624476e899fcc0005379d438</t>
  </si>
  <si>
    <t>https://globalcareers.brandeis.edu/blog/2025/06/30/the-hour-a-day-job-hunt-routine-that-works/</t>
  </si>
  <si>
    <t>https://bizprospex.com/leverage-data-to-secure-funding-for-your-business/</t>
  </si>
  <si>
    <t>https://cocofax.com/blog/6-challenges-for-growing-businesses-how-to-fix-them/</t>
  </si>
  <si>
    <t>https://northeast.newschannelnebraska.com/story/52973697/how-banks-make-your-money-make-money</t>
  </si>
  <si>
    <t>https://thecinnamonhollow.com/building-a-defense-against-impulse-buying/</t>
  </si>
  <si>
    <t>https://www.csptimes.com/post/onthelist-co-founder-delphine-lefay-shares-her-top-5-tips-on-sustainable-shopping</t>
  </si>
  <si>
    <t>editor@csptimes.com</t>
  </si>
  <si>
    <t>https://www.talesfromasouthernmom.com/2019/09/creditors-sold-your-debt-to-collections-what-now/</t>
  </si>
  <si>
    <t>https://www.moneytalksnews.com/slideshows/what-is-debt-settlement-and-how-does-it-work/</t>
  </si>
  <si>
    <t>Karla</t>
  </si>
  <si>
    <t>karla@moneytalksnews.com</t>
  </si>
  <si>
    <t>hello@moneytalksnews.com</t>
  </si>
  <si>
    <t>https://www.moneycrashers.com/freedom-debt-relief-review/</t>
  </si>
  <si>
    <t>https://iconnect.isenberg.umass.edu/blog/2025/06/25/the-hour-a-day-job-hunt-routine-that-works/</t>
  </si>
  <si>
    <t>https://markopolo.ai/blogs/debt-to-equity-ratio-vs-interest-coverage-ratio</t>
  </si>
  <si>
    <t>https://blog.scalefusion.com/how-we-successfully-bootstrapped-our-product-6-indomitable-ways/</t>
  </si>
  <si>
    <t>https://www.myoutdoors.co.uk/snippets/everything-you-need-to-know-about-financing-your-new-vehicle</t>
  </si>
  <si>
    <t>https://oddculture.com/effective-debt-payoff-tools-and-apps/</t>
  </si>
  <si>
    <t>billg@oddculture.com</t>
  </si>
  <si>
    <t>https://www.speakrj.com/is-owning-a-home-really-cheaper-than-renting/</t>
  </si>
  <si>
    <t>hello@gposting.com</t>
  </si>
  <si>
    <t>https://www.ourgreenhouse.com/blog/housewarming-gift-baskets/</t>
  </si>
  <si>
    <t>https://www.10news.com/news/making-it-in-san-diego/making-it-in-san-diego-getting-the-most-bang-for-your-buck-from-home-renovations</t>
  </si>
  <si>
    <t>https://cdo.som.yale.edu/blog/2025/12/19/strategic-visibility-the-skill-that-separates-managers-from-game-changing-leaders/</t>
  </si>
  <si>
    <t>https://lamag.com/contributor-content/smart-ways-to-achieve-credit-card-debt-relief-in-2025/</t>
  </si>
  <si>
    <t>letters@lamag.com</t>
  </si>
  <si>
    <t>sstarling@lamag.com</t>
  </si>
  <si>
    <t>https://statesville.com/news/nation-world/business/personal-finance/article_391ffee0-1f39-5420-983c-446cbbfc13c4.html</t>
  </si>
  <si>
    <t>https://wcfcourier.com/shopping/article_676a5138-e91a-5865-ab76-e0bb6cbffd27.html</t>
  </si>
  <si>
    <t>https://www.apiture.com/driving-financial-wellness-in-the-digital-age/</t>
  </si>
  <si>
    <t>https://www.getoutpass.com/blog/how-to-create-and-stick-to-a-budget-that-works-for-you</t>
  </si>
  <si>
    <t>https://www.thetechoutlook.com/current-affairs/business/credit-card-tips-everyone-should-know/</t>
  </si>
  <si>
    <t>https://www.citizentribune.com/news/business/7-easy-ways-to-start-saving-for-christmas/article_c0ad9383-4eb1-5464-9a2b-24340d663c46.html</t>
  </si>
  <si>
    <t>info@citizentribune.com</t>
  </si>
  <si>
    <t>https://wordstreetjournal.com/embracing-financial-wellness/</t>
  </si>
  <si>
    <t>https://www.coursesforsuccess.com/blogs/news/why-your-behaviour-is-key-to-personal-finance-success</t>
  </si>
  <si>
    <t>studentsupport@coursesforsuccess.com</t>
  </si>
  <si>
    <t>https://qconline.com/news/nation-world/business/personal-finance/article_ea32240c-ab62-5045-9460-94f2154dbff3.html</t>
  </si>
  <si>
    <t>https://www.brooklinecollege.edu/financial-aid/scholarships/</t>
  </si>
  <si>
    <t>https://www.veloceinternational.com/loan/tips-to-avoid-the-payday-loan-trap/</t>
  </si>
  <si>
    <t>https://ordersinseconds.com/inflation-grocery-price-wars-effects-on-cpg-supply-chain/</t>
  </si>
  <si>
    <t>https://techgenyz.com/tips-to-help-you-pay-off-credit-card-debt/</t>
  </si>
  <si>
    <t>https://www.workandmoney.com/s/retirement-financial-flubs-97fb15d5ecbb4b7c</t>
  </si>
  <si>
    <t>advertisement@workandmoney.com</t>
  </si>
  <si>
    <t xml:space="preserve"> info@workandmoney.com</t>
  </si>
  <si>
    <t>https://www.quirkohub.com/can-i-negotiate-with-debt-collectors/</t>
  </si>
  <si>
    <t>contact@quirkohub.com</t>
  </si>
  <si>
    <t>https://www.accessibility.com/digital-lawsuits/brian-freedom-2020-12-02</t>
  </si>
  <si>
    <t>https://www.europeanbusinessreview.com/budgeting-vs-financial-planning/</t>
  </si>
  <si>
    <t>https://www.hirewithnear.com/blog/outsource-accounts-receivable-services-for-energy-and-utilities</t>
  </si>
  <si>
    <t>https://mycareer.lincolnu.edu/blog/2025/06/23/the-hour-a-day-job-hunt-routine-that-works/</t>
  </si>
  <si>
    <t>https://onebasemedia.co.uk/steps-to-accelerate-small-business-expansion/</t>
  </si>
  <si>
    <t>https://winonadailynews.com/news/nation-world/business/personal-finance/article_58a45ac5-77b9-548d-a129-128e77861fab.html</t>
  </si>
  <si>
    <t>https://www.techgropse.com/blog/money-lending-app-development-cost/</t>
  </si>
  <si>
    <t>https://www.fwbusiness.com/news/national/article_e2b9cfa6-aca8-5d3e-a4c4-5382afeb6d77.html</t>
  </si>
  <si>
    <t xml:space="preserve">Lisa </t>
  </si>
  <si>
    <t>llong@kpcmedia.com</t>
  </si>
  <si>
    <t>https://vunela.com/the-cost-of-living-in-las-vegas/</t>
  </si>
  <si>
    <t>https://omaha.com/news/nation-world/business/personal-finance/article_60a3d92a-8bc7-5615-86f0-e3352d16b4a8.html</t>
  </si>
  <si>
    <t>https://bismarcktribune.com/news/nation-world/business/personal-finance/article_7cc3ca9a-94dc-58e9-b10b-6f8e1ce2f754.html</t>
  </si>
  <si>
    <t>https://thetandd.com/shopping/article_7904c7c7-53b8-58ee-aa90-14481d694d3e.html</t>
  </si>
  <si>
    <t>https://gateway.lafayette.edu/blog/2025/10/19/a-job-search-playbook-five-weekly-habits-that-deliver-results/</t>
  </si>
  <si>
    <t>https://leavethekey.com/blog/sell-home-with-heloc/</t>
  </si>
  <si>
    <t>bwagner@leavethekey.com</t>
  </si>
  <si>
    <t>info@leavethekey.com</t>
  </si>
  <si>
    <t>https://starlocalmedia.com/what-to-do-when-your-spouse-loses-their-job/article_9fa7ae7b-013d-5fd0-ab6f-83f343b32a52.html</t>
  </si>
  <si>
    <t xml:space="preserve">Mike </t>
  </si>
  <si>
    <t>malbanese@starlocalmedia.com</t>
  </si>
  <si>
    <t>rblaukat@starlocalmedia.com</t>
  </si>
  <si>
    <t>https://www.sosoactive.com/how-to-conduct-a-yard-sale-that-makes-money/</t>
  </si>
  <si>
    <t>emeliehyde@gmail.com</t>
  </si>
  <si>
    <t>https://mooresvilletribune.com/news/nation-world/business/personal-finance/article_40ab9e6b-916c-564c-b6ab-17a7b0bac455.html</t>
  </si>
  <si>
    <t>https://www.fundz.net/blog/what-is-a-small-business-line-of-credit-what-entrepreneurs-need-to-know</t>
  </si>
  <si>
    <t>https://kearneyhub.com/news/nation-world/business/personal-finance/article_2f13520f-48b1-50c4-adbf-a2bcfa2bd75c.html</t>
  </si>
  <si>
    <t>https://pantheonuk.org/the-top-rated-debt-relief-programs/</t>
  </si>
  <si>
    <t>https://webzeto.com/what-is-paypal-pay-later/</t>
  </si>
  <si>
    <t>https://friendlyturtle.com/blogs/blog/sustainable-living-after-bankruptcy-steps-to-rebuild-your-financial-health</t>
  </si>
  <si>
    <t>https://itexus.com/software-for-credit-unions-the-key-to-efficiency-and-compliance/</t>
  </si>
  <si>
    <t>https://monq.com/blogs/stress/simplify-for-serenity</t>
  </si>
  <si>
    <t>https://busyaussie.com/how-does-budget-billing-work/</t>
  </si>
  <si>
    <t>https://blog.softprocorp.com/cfpb-freedom-debt-relief-settlement</t>
  </si>
  <si>
    <t>https://www.easyreadernews.com/finding-debt-relief-programs-that-work/</t>
  </si>
  <si>
    <t>https://www.tahlequahdailypress.com/news/does-unemployment-affect-your-credit-score/collection_d6b39cdc-7f78-5618-9255-ce9520f55eee.html</t>
  </si>
  <si>
    <t>https://www.milople.com/blogs/essential-payroll-tips-for-small-ecommerce-teams-streamline-comply-and-grow</t>
  </si>
  <si>
    <t>https://nohoartsdistrict.com/page/134/?search</t>
  </si>
  <si>
    <t>https://somiibo.com/blog/the-ultimate-guide-what-does-a-mortgage-underwriter-actually-do</t>
  </si>
  <si>
    <t>https://www.caledonianrecord.com/what-is-a-prepaid-debit-card-and-how-does-it-work/article_65770ce1-8d18-5962-9941-b33457225a8a.html</t>
  </si>
  <si>
    <t>https://www.yuvaleizikblog.com/general/the-smart-way-to-deal-with-credit-card-debt</t>
  </si>
  <si>
    <t>https://godanriver.com/news/nation-world/business/personal-finance/article_c713cedd-e18d-5607-9a4e-d61662b4622a.html</t>
  </si>
  <si>
    <t>https://magicvalley.com/news/nation-world/business/personal-finance/article_d1a9a22b-a611-5c29-b40f-9a43993aa543.html</t>
  </si>
  <si>
    <t>https://www.tubetorial.com/setting-financial-boundaries-with-family-and-friends/</t>
  </si>
  <si>
    <t>https://www.rezerv.co/blogs/5-finance-tips-for-small-business-owners-that-elevate-company-growth</t>
  </si>
  <si>
    <t>https://nptelegraph.com/news/nation-world/business/personal-finance/article_4464950a-7de1-5c87-b2a4-8b1ff6895ae8.html</t>
  </si>
  <si>
    <t>https://www.fiftyandfab.co.uk/guest-blogs/previous/19</t>
  </si>
  <si>
    <t>michelle@fiftyandfab.co.uk</t>
  </si>
  <si>
    <t>https://ranyy.com/how-long-does-it-take-to-rebuild-a-credit-score/</t>
  </si>
  <si>
    <t>https://www.spocket.co/blogs/is-amone-legit#understanding-amone%E2%80%99s-business-model</t>
  </si>
  <si>
    <t>https://philomathnews.com/5-ways-to-take-an-affordable-family-vacation-this-summer/</t>
  </si>
  <si>
    <t>https://democratherald.com/news/nation-world/business/personal-finance/article_64644249-1427-5361-8f57-8890d3f986c7.html</t>
  </si>
  <si>
    <t>https://oanow.com/news/nation-world/business/personal-finance/article_e2ffdeca-5a39-56ff-8839-6904ee0b5ef9.html</t>
  </si>
  <si>
    <t>https://showbizztoday.com/index.php/2025/05/20/how-californians-are-overcoming-financial-challenges-hollywood-life/</t>
  </si>
  <si>
    <t>https://www.talkesport.com/guides/how-to-dispute-errors-on-your-credit-reports/</t>
  </si>
  <si>
    <t>https://swvatoday.com/news/nation-world/business/personal-finance/article_15294e7c-9657-52df-bb53-39216d4f59c4.html</t>
  </si>
  <si>
    <t>https://blog.flock.com/home-mortgage-how-does-it-affect-your-taxes</t>
  </si>
  <si>
    <t>https://www.businessfranchiseaustralia.com.au/blog/ato-debt-forgiveness-what-it-means-for-small-business-owners-facing-tax-pressure/</t>
  </si>
  <si>
    <t>https://kioncentralcoast.com/news/2025/08/11/7-easy-ways-to-start-saving-for-christmas/</t>
  </si>
  <si>
    <t>https://www.dashclicks.com/blog?8bee28e1_page=8&amp;b3850b35_page=95</t>
  </si>
  <si>
    <t>https://almostheaven.com/collections/saunas</t>
  </si>
  <si>
    <t>https://harviagroup.com/harvias-share/</t>
  </si>
  <si>
    <t>https://www.nytimes.com/2025/08/27/style/bathing-culture-trend.html</t>
  </si>
  <si>
    <t>https://www.tapsbath.com/brands-we-carry/</t>
  </si>
  <si>
    <t>https://riluxa.com/blog/guides-18/how-to-warm-up-a-cold-bathroom-154</t>
  </si>
  <si>
    <t>https://www.dezeen.com/2025/05/05/thermasol-off-grid-solar-powered-sauna/</t>
  </si>
  <si>
    <t>https://www.georgemorlan.com/products</t>
  </si>
  <si>
    <t>https://www.distributordatasolutions.com/network/our-manufacturers/</t>
  </si>
  <si>
    <t>https://showroom.coburns.com/our-brands/</t>
  </si>
  <si>
    <t>jlapoint@coburns.com</t>
  </si>
  <si>
    <t>Home Design</t>
  </si>
  <si>
    <t>https://www.twincities.com/2025/08/31/the-smoking-hot-return-of-bathing-culture/</t>
  </si>
  <si>
    <t>https://mensgear.net/thermasol-solaris/</t>
  </si>
  <si>
    <t>https://convo-by-design.blubrry.net/tag/design-hardware/</t>
  </si>
  <si>
    <t>https://www.simpleshowing.com/blog/home-additions-to-increase-home-value</t>
  </si>
  <si>
    <t>https://3rings.designerpages.com/2025/03/play-misty-for-me/</t>
  </si>
  <si>
    <t>https://www.thecoastaloak.com/bathroom-trends/</t>
  </si>
  <si>
    <t>hello@thecoastaloak.com</t>
  </si>
  <si>
    <t>https://clownfish-grapefruit-fclt.squarespace.com/linecard</t>
  </si>
  <si>
    <t>https://gushorten47.angelfire.com/setting-the-tone-of-your-own-bathroom-using-the-correct-steamshower-parts.html</t>
  </si>
  <si>
    <t>https://design-milk.com/thermasols-new-saunas-meld-scandinavian-design-with-wellness-innovation/</t>
  </si>
  <si>
    <t>info@design-milk.com</t>
  </si>
  <si>
    <t>Home design</t>
  </si>
  <si>
    <t>https://plumbingonline.ca/products/thermasol-03-6152-050</t>
  </si>
  <si>
    <t>https://homerocketrealty.com/how-to-turn-your-home-into-a-peaceful-escape-from-a-busy-life/</t>
  </si>
  <si>
    <t>https://www.bartlegibson.com/Brands/13416-thermasol-thermasol</t>
  </si>
  <si>
    <t>https://extremehowto.com/add-a-sauna-for-personal-health-and-wellness/</t>
  </si>
  <si>
    <t>https://ahouseinthehills.com/essential-renovation-projects-for-a-luxurious-home-experience/</t>
  </si>
  <si>
    <t>https://spaandbeautytoday.com/articles/pamper-yourself-at-home-with-the-best-self-care-products</t>
  </si>
  <si>
    <t>Kamala</t>
  </si>
  <si>
    <t>kamala@spaandbeautytoday.com</t>
  </si>
  <si>
    <t>lizzy@spaandbeautytoday.com</t>
  </si>
  <si>
    <t>https://blog.qualitybath.com/bathroom/win-a-steam-shower/</t>
  </si>
  <si>
    <t>https://metropolismag.com/products/metropolis-likes-at-ny-design-week/</t>
  </si>
  <si>
    <t>https://www.elledecor.com/design-decorate/room-ideas/a3985/creating-a-home-spa-a-62409/</t>
  </si>
  <si>
    <t>https://residentialdesignmagazine.com/product/182789/high-design-sauna/</t>
  </si>
  <si>
    <t xml:space="preserve">Claire </t>
  </si>
  <si>
    <t>Claire@solabrands.com</t>
  </si>
  <si>
    <t>Paul@solabrands.com</t>
  </si>
  <si>
    <t>https://www.bestplumbing.ca/Brands/13416-thermasol-thermasol</t>
  </si>
  <si>
    <t>https://michaelhelwiginteriors.com/2017-blog/2024/9/5/a-guide-to-interior-additions-that-will-complete-your-dream-luxury-home</t>
  </si>
  <si>
    <t>https://www.sheret.com/account/catalog/product/1356165</t>
  </si>
  <si>
    <t>https://s3da-design.com/5-tips-to-transform-your-bathroom-into-a-personal-sanctuary/</t>
  </si>
  <si>
    <t>https://luxuryinteriors.org/high-end-renovations-to-make-your-vacation-home-a-luxurious-retreat/</t>
  </si>
  <si>
    <t>support@luxuryinteriors.com</t>
  </si>
  <si>
    <t>https://collive.com/plumbers-haven-opens-crown-heights-showroom/</t>
  </si>
  <si>
    <t>https://www.supplyht.com/articles/97862-industry-veterans-provide-expert-bath-and-kitchen-insights</t>
  </si>
  <si>
    <t xml:space="preserve">Natalie </t>
  </si>
  <si>
    <t>Forstern@bnpmedia.com</t>
  </si>
  <si>
    <t>darlingtonconsulting@gmail.com</t>
  </si>
  <si>
    <t>https://www.lorddecor.com/blog/elevate-your-bathing-experience-by-transforming-your-tub-into-a-luxury-soak</t>
  </si>
  <si>
    <t>https://tamaracamerablog.com/the-difference-between-a-residential-steam-room-shower-kit-and-a-regular-shower/</t>
  </si>
  <si>
    <t>https://mymodernmet.com/thermasol-saunas/</t>
  </si>
  <si>
    <t>suggestions@mymodernmet.com</t>
  </si>
  <si>
    <t>https://skyryedesign.com/tutorials/exploring-modern-trends-that-are-transforming-home-interiors/</t>
  </si>
  <si>
    <t>https://www.montecito-estate.com/santa-barbara-real-estate-blog/how-santa-barbara-homeowners-can-create-a-smart-healthy-home.php</t>
  </si>
  <si>
    <t>https://www.saunaplace.com/blogs/blogs/thermasol-controllers-revolutionizing-the-steam-and-shower-experience</t>
  </si>
  <si>
    <t>info@saunaplace.com</t>
  </si>
  <si>
    <t>https://www.snyderdiamond.com/index.php?route=ripm/information/blogger&amp;blogger_id=146</t>
  </si>
  <si>
    <t>https://www.alairhomes.com/houston223/project/braeburn-drive-custom-home-2/</t>
  </si>
  <si>
    <t xml:space="preserve">Bryan </t>
  </si>
  <si>
    <t>bphillips@casongrayehomes.com</t>
  </si>
  <si>
    <t>clientcare@alairhomes.com</t>
  </si>
  <si>
    <t>https://www.phcppros.com/articles/12502-thermasol-steam-and-smart-shower-configurator</t>
  </si>
  <si>
    <t xml:space="preserve">Ruth </t>
  </si>
  <si>
    <t>ruth@tmbpublishing.com</t>
  </si>
  <si>
    <t>amalia@phcppros.com</t>
  </si>
  <si>
    <t>https://www.steamsaunabath.com/thermasol</t>
  </si>
  <si>
    <t>sales@steamsaunabath.com</t>
  </si>
  <si>
    <t>https://cm.hsvchamber.org/list/member/gls-kitchen-bath-showroom-37372</t>
  </si>
  <si>
    <t>https://www.hirsch.com/manufacturer-links</t>
  </si>
  <si>
    <t>https://www.re-thinkingthefuture.com/technologies/gp3622-how-to-give-your-bathroom-a-luxurious-feel/</t>
  </si>
  <si>
    <t>https://onekindesign.com/colonial-style-farmhouse-home-new-jersey-new-look/</t>
  </si>
  <si>
    <t>onekindesign@gmail.com</t>
  </si>
  <si>
    <t>https://www.yankodesign.com/2025/05/12/first-solar-powered-off-grid-sauna-in-the-us-combines-finnish-tradition-with-sustainable-innovation/</t>
  </si>
  <si>
    <t>Sarang</t>
  </si>
  <si>
    <t>sarang@yankodesign.com</t>
  </si>
  <si>
    <t>publication@yankodesign.com</t>
  </si>
  <si>
    <t>https://www.apartmentguide.com/blog/technology-you-must-have-in-your-apartment/2/</t>
  </si>
  <si>
    <t>https://thecinnamonhollow.com/the-ultimate-guide-to-upgrading-your-bathroom-with-a-smart-shower-system/</t>
  </si>
  <si>
    <t>https://www.accurateindustries.com/about-thermasol</t>
  </si>
  <si>
    <t>bathingspecialist@accurateindustries.com</t>
  </si>
  <si>
    <t>https://splashes.com/products/thermasol-drain-pan-for-af-by-pro-series-steam-generators-01-8406-1</t>
  </si>
  <si>
    <t>https://illustrarch.com/articles/19280-why-walk-in-showers-are-a-must-have-in-your-next-bathroom-remodel.html</t>
  </si>
  <si>
    <t>https://around-the-house-pro-insider.captivate.fm/episode/thermasol-showers</t>
  </si>
  <si>
    <t>https://hospitalitytech.com/thermasol-debuts-thermatouch-shower-lcd-touchscreen-controller</t>
  </si>
  <si>
    <t>https://hbsdealer.com/thermasol-wood-saunas</t>
  </si>
  <si>
    <t>https://flyarchitecture.net/2024/11/29/5-must-have-amenities-to-transform-your-bathroom-into-a-luxury-retreat/</t>
  </si>
  <si>
    <t>https://www.urbansplatter.com/2023/08/how-to-choose-the-right-steam-showers/</t>
  </si>
  <si>
    <t>https://ytexas.com/thermasol/</t>
  </si>
  <si>
    <t>https://hydrosystem.com/2024/06/08/an-ounce-of-prevention-creative-ways-to-take-charge-of-wellness-at-home/</t>
  </si>
  <si>
    <t>kenny@hydrosystem.com</t>
  </si>
  <si>
    <t>info@hydrosystem.com</t>
  </si>
  <si>
    <t>https://innotechtoday.com/how-to-turn-a-dumb-house-into-a-smart-sustainable-home/</t>
  </si>
  <si>
    <t>https://www.custombuilderonline.com/home/article/55173703/thermasol-modular-sauna</t>
  </si>
  <si>
    <t>https://vi.web-platforms-vi.nyti.nyt.net/2025/08/27/style/bathing-culture-trend.html</t>
  </si>
  <si>
    <t>https://galeriemagazine.com/new-year-new-goals-put-health-first-with-these-wellness-items/</t>
  </si>
  <si>
    <t xml:space="preserve">Jacqueline </t>
  </si>
  <si>
    <t>jackieterrebonne@gmail.com</t>
  </si>
  <si>
    <t>editor@galeriemagazine.com</t>
  </si>
  <si>
    <t>https://www.women.com/1542022/benefits-steam-showers-explained/</t>
  </si>
  <si>
    <t>https://designfinder.asid.org/listing/thermasol/contacts</t>
  </si>
  <si>
    <t>https://www.architecturalrecord.com/articles/14247-new-systems-for-managing-indoor-environments</t>
  </si>
  <si>
    <t>https://consolidatetimes.com/exploring-the-health-advantages-of-regular-sauna-sessions/</t>
  </si>
  <si>
    <t>https://www.californiahomedesign.com/trending/2019/07/16/next-level/</t>
  </si>
  <si>
    <t>https://dnyuz.com/2025/08/27/the-smoking-hot-return-of-bathing-culture/</t>
  </si>
  <si>
    <t>https://getpodcast.com/podcast/convo-by-design/alex-papachristidis-502-our-april-2024-design-icon-registry-inductee_8be0724142</t>
  </si>
  <si>
    <t>https://dev.robbreport.com.vn/nhung-thiet-ke-noi-that-tich-hop-cong-nghe-moi-khien-ban-tro-nen-khoe-manh-hon/</t>
  </si>
  <si>
    <t>https://inspiredhomes.uk.com/relaxing-atmosphere-of-spa-to-your-home/</t>
  </si>
  <si>
    <t>https://www.qualifiedremodeler.com/company/thermasol/</t>
  </si>
  <si>
    <t>christina@retrofitmagazine.com</t>
  </si>
  <si>
    <t>qur@omeda.com</t>
  </si>
  <si>
    <t>https://www.farrlawfirm.com/technology-findings-from-aarps-2024-tech-trends-and-adults-50/</t>
  </si>
  <si>
    <t>https://www.pmmag.com/articles/89472-thermasol-introduces-pocket-bike-promotion</t>
  </si>
  <si>
    <t>https://www.electronicdesign.com/technologies/components/article/21802499/mobile-app-summons-steam</t>
  </si>
  <si>
    <t>https://hospitalitydesign.com/products/roundups/new-bathroom-products-fixtures/</t>
  </si>
  <si>
    <t>https://www.azuremagazine.com/article/5-products-bringing-smart-home-tech-to-the-loo/</t>
  </si>
  <si>
    <t>customerservice@azureonline.com</t>
  </si>
  <si>
    <t>azure@azureonline.com</t>
  </si>
  <si>
    <t>https://interiordesign.net/designwire/thermasol-s-serenity-light-sound-rainhead-provides-therapeutic-shower-experience/</t>
  </si>
  <si>
    <t xml:space="preserve">Annie </t>
  </si>
  <si>
    <t>ablock@sandowdesign.com</t>
  </si>
  <si>
    <t>info@interiordesign.net</t>
  </si>
  <si>
    <t>https://www.miamirealestate.com/how-to-get-the-spa-experience-in-your-luxury-home/</t>
  </si>
  <si>
    <t>hello@miamirealestate.com</t>
  </si>
  <si>
    <t>https://www.fabuwood.com/blog/20-best-kitchen-accent-wall-ideas/</t>
  </si>
  <si>
    <t>Joel</t>
  </si>
  <si>
    <t>joele@fabuwood.com</t>
  </si>
  <si>
    <t>customerservice@fabuwood.com</t>
  </si>
  <si>
    <t>https://piktochart.com/blog/creative-infographics/</t>
  </si>
  <si>
    <t>https://www.odinlake.com/blogs/workspace/decorate-your-office-space-with-plants</t>
  </si>
  <si>
    <t>https://www.twpinc.com/blog/how-to-squirrel-proof-your-home--yard-with-wire-mesh-screens.html</t>
  </si>
  <si>
    <t>https://www.bromeliads.info/eplanters-coupons/</t>
  </si>
  <si>
    <t>https://jayscotts.com/retail/</t>
  </si>
  <si>
    <t>https://www.rakuten.com/shop/eplanters</t>
  </si>
  <si>
    <t>https://raisingteenstoday.com/fun-and-easy-weekend-projects-to-transform-your-teens-bedroom/</t>
  </si>
  <si>
    <t>https://www.promocodes.com/eplanters-coupons</t>
  </si>
  <si>
    <t>https://www.themarthablog.com/2024/06/potting-up-palms.html</t>
  </si>
  <si>
    <t>https://www.goodshop.com/coupons/eplanters.com</t>
  </si>
  <si>
    <t>https://www.asla.org/2014awards/593.html</t>
  </si>
  <si>
    <t>https://www.thekitchn.com/where-to-buy-planters-online-23058109</t>
  </si>
  <si>
    <t>https://www.nintendoworldreport.com/forums/index.php?action=profile;area=showposts;sa=messages;u=11321</t>
  </si>
  <si>
    <t>https://www.pinterest.es/ideas/wall-mounted-planters/894460872075/</t>
  </si>
  <si>
    <t>https://www.pinterest.it/ideas/metal-flower-pots/936366783696/</t>
  </si>
  <si>
    <t>https://forums.loaches.com/viewtopic.php?t=18203</t>
  </si>
  <si>
    <t>https://therealladywaver.fortunecity.ws/shoplinks.html</t>
  </si>
  <si>
    <t>https://www.dealdrop.com/eplanters</t>
  </si>
  <si>
    <t>https://alan-allison-88.firebaseapp.com/living-room-decor-plants.html</t>
  </si>
  <si>
    <t>https://www.glam.com/1196840/the-best-styling-tips-to-make-your-boring-dresser-look-chic/</t>
  </si>
  <si>
    <t>https://coupons.nowtolove.com.au/eplanters</t>
  </si>
  <si>
    <t>https://arillas.com/forum/index.php?topic=147.45</t>
  </si>
  <si>
    <t>https://www.flexoffers.com/affiliate-programs/eplanters-com-affiliate-program/</t>
  </si>
  <si>
    <t>http://fbsp.ftu.edu.vn/?f=237578615</t>
  </si>
  <si>
    <t>https://www.shoppirate.com/blog/best-labor-day-deals-today/</t>
  </si>
  <si>
    <t>https://plantersetcetera.com/es/blogs/planter-guides/wildlife-fiberglass-planters</t>
  </si>
  <si>
    <t>https://www.olsonhomes.com/news/ideas-for-enjoying-summer-nights-on-your-olson-home-deck/</t>
  </si>
  <si>
    <t>https://www.cityof.com/search?c=Atlanta,%20GA&amp;k%5B0%5D=AC%20Maintenance</t>
  </si>
  <si>
    <t>https://kingfish.firebaseapp.com/bait-shop-near-dania-beach.html</t>
  </si>
  <si>
    <t>https://greenbrickpartners.com/</t>
  </si>
  <si>
    <t>https://www.stjude.org/give/dream-home/atlanta.html</t>
  </si>
  <si>
    <t>https://www.dreamhomestudio.com/2023/11/20/custom-builders-milton-georgia/</t>
  </si>
  <si>
    <t>mark@dreamhomestudio.com</t>
  </si>
  <si>
    <t>hello@dreamhomestudio.com</t>
  </si>
  <si>
    <t>https://www.eventeny.com/events/2024-johns-creek-arts-festival-9844/</t>
  </si>
  <si>
    <t>https://www.century21.com/property/631-skytop-drive-cumming-ga-30040-REN033880648</t>
  </si>
  <si>
    <t>https://www.jameshardie.com/all-about-james-hardie/press-releases/performance/james-hardie-green-brick-partners-sign-exclusive/</t>
  </si>
  <si>
    <t>https://www.constructionresourcesusa.com/st-jude-dream-home-giveaway</t>
  </si>
  <si>
    <t>https://www.ecisolutions.com/blog/residential-construction/lasso-crm/osc-of-the-month-karen-reichert/</t>
  </si>
  <si>
    <t>https://scalelist.com/the-providence-group-of-georgia-llc-email-format/</t>
  </si>
  <si>
    <t>http://www.ninjacart.com/?n=65504917</t>
  </si>
  <si>
    <t>https://atlantadailyworld.com/2015/08/26/providence-group-of-georgia-named-builder-of-the-quarter/</t>
  </si>
  <si>
    <t>editorial@atlantatribune.com</t>
  </si>
  <si>
    <t>https://themountainlifeteam.com/property/631-skytop-drive-cumming-ga-30040/90035779/</t>
  </si>
  <si>
    <t>Pam</t>
  </si>
  <si>
    <t>pam@themountainlifeteam.com</t>
  </si>
  <si>
    <t>hello@themountainlifeteam.com</t>
  </si>
  <si>
    <t>https://www.tonetoatl.com/2018/04/Arrowhead-Real-Estate-Partners-Proposing-Huge-Decatur-Area-Residential-Development.html</t>
  </si>
  <si>
    <t>https://karencannon.com/listings/fmls-7597485-625-skytop-drive-cumming-ga-30040/</t>
  </si>
  <si>
    <t>Emma</t>
  </si>
  <si>
    <t>emma@karencannon.com</t>
  </si>
  <si>
    <t>info@karencannon.com</t>
  </si>
  <si>
    <t>https://lakewoodranch.com/our-villages/esplanade-at-azario/</t>
  </si>
  <si>
    <t>info@lakewoodranch.com</t>
  </si>
  <si>
    <t>https://travisso.com/</t>
  </si>
  <si>
    <t>https://indywithkids.com/indianapolis-date-ideas/</t>
  </si>
  <si>
    <t>https://justenergy.com/blog/top-home-builders-in-texas/</t>
  </si>
  <si>
    <t>https://www.lasvegashomesbyleslie.com/downtown-summerlin-shopping-directory.php</t>
  </si>
  <si>
    <t>https://www.floridaforboomers.com/taylor-morrison-esplanade-florida/</t>
  </si>
  <si>
    <t>https://www.crosscreektexas.com/bonterra</t>
  </si>
  <si>
    <t>info@crosscreektexas.com</t>
  </si>
  <si>
    <t>https://www.austinrealestate.com/travisso.php</t>
  </si>
  <si>
    <t>jim@austinrealestate.com</t>
  </si>
  <si>
    <t>https://finance.yahoo.com/quote/TMHC/</t>
  </si>
  <si>
    <t>https://esplanadeatsommersbend.communitysite.com/</t>
  </si>
  <si>
    <t>https://www.marthastewart.com/easy-home-upgrades-under-100-11863577</t>
  </si>
  <si>
    <t>https://www.harvestbyhillwood.com/new-home/builders/taylor-morrison/</t>
  </si>
  <si>
    <t>info@harvestbyhillwood.com</t>
  </si>
  <si>
    <t>https://verse.ai/blog/best-home-builder-websites-inspire-2024/</t>
  </si>
  <si>
    <t>https://bestcompaniesgroup.com/best-places-to-work-southern-california/winners/</t>
  </si>
  <si>
    <t>https://nathanbendersonpark.org/event-information/</t>
  </si>
  <si>
    <t>https://destinationdfw.com/the-ridge-at-northlake-2/</t>
  </si>
  <si>
    <t>https://www.thespruce.com/household-tips-7556405</t>
  </si>
  <si>
    <t>https://www.adweek.com/podcasts/marketing-vanguard/</t>
  </si>
  <si>
    <t>https://www.zrgpartners.com/insights/leading-voices-sheryl-palmer</t>
  </si>
  <si>
    <t>https://www.eastonparkatx.com/builder/taylor-morrison/</t>
  </si>
  <si>
    <t xml:space="preserve"> hoa@eastonparkatx.com</t>
  </si>
  <si>
    <t>https://www.cnn.com/markets/stocks/TMHC</t>
  </si>
  <si>
    <t>https://info.hyphensolutions.com/company/customer-stories/taylor-morrison-homes/</t>
  </si>
  <si>
    <t>https://wmphoenixopen.com/tournament-sponsors/</t>
  </si>
  <si>
    <t>https://www.junkluggers.com/about-us/in-the-media/47-household-tips-and-tricks-to-keep-your-home-looking-its-best/</t>
  </si>
  <si>
    <t>Ellen</t>
  </si>
  <si>
    <t>epark@junkluggers.com</t>
  </si>
  <si>
    <t>https://www.goballantyne.com/things-to-do/customer-directory</t>
  </si>
  <si>
    <t>https://globaledge.msu.edu/states/arizona/corporations</t>
  </si>
  <si>
    <t>https://nationalmortgageprofessional.com/news/72220/taylor-morrison-introduces-homeowner-insurance</t>
  </si>
  <si>
    <t>https://mpvre.com/2023/10/12/farmington-commercial-residential-progresses-in-harrisburg-charlotte-nc/</t>
  </si>
  <si>
    <t xml:space="preserve">Shelly </t>
  </si>
  <si>
    <t>sjshellyjohnson@gmail.com</t>
  </si>
  <si>
    <t>info@mpvre.com</t>
  </si>
  <si>
    <t>https://www.fixr.com/articles/largest-construction-companies-by-state</t>
  </si>
  <si>
    <t>https://www.bridgeland.com/news/bridgeland-showcases-patio-homes-in-parkland-village/</t>
  </si>
  <si>
    <t>https://stockanalysis.com/stocks/tmhc/</t>
  </si>
  <si>
    <t>https://careerfairs.charlotte.edu/details_student.php?fair=150</t>
  </si>
  <si>
    <t>https://www.foodandwine.com/chef-pet-peeves-kitchen-habits-to-avoid-2026-11870186</t>
  </si>
  <si>
    <t>https://lifestylefrisco.com/frisco-neighborhood-guide-estates-at-shaddock-park/</t>
  </si>
  <si>
    <t>https://www.riverstone.com/virtualtour</t>
  </si>
  <si>
    <t>https://www.cpr.org/sponsors/</t>
  </si>
  <si>
    <t>https://www.nailsmag.com/1092779/10-housing-and-interior-design-trends-for-2025</t>
  </si>
  <si>
    <t>https://www.gurufocus.com/stock/TMHC/summary</t>
  </si>
  <si>
    <t>https://www.bhg.com/sensory-friendly-design-trend-11738496</t>
  </si>
  <si>
    <t>https://mergr.com/companies/construction/united-states/arizona</t>
  </si>
  <si>
    <t>https://www.investorideas.com/Companies/HomebuilderStocks/HomebuilderStockList.asp</t>
  </si>
  <si>
    <t>https://citadelrs.com/homebuilders/</t>
  </si>
  <si>
    <t xml:space="preserve">Jeremy </t>
  </si>
  <si>
    <t>jfolk@citadelrs.com</t>
  </si>
  <si>
    <t>sales@citadelrs.com</t>
  </si>
  <si>
    <t>https://creekviewrealty.com/new-home-2-percent-rebate/</t>
  </si>
  <si>
    <t>https://www.realsimple.com/how-to-organize-a-walk-in-closet-7963831</t>
  </si>
  <si>
    <t>lauren.iannotti@realsimple.com</t>
  </si>
  <si>
    <t>https://taylormorrison2020ir.q4web.com/investor-relations/default.aspx</t>
  </si>
  <si>
    <t>https://www.treehugger.com/house-not-designed-aging-gracefully-4866891</t>
  </si>
  <si>
    <t>https://www.sherwin-williams.com/architects-specifiers-designers/inspiration/stir/new-residential-for-a-new-era</t>
  </si>
  <si>
    <t>https://www.coloradohomesmag.com/the-2021-mamecare-award-winners/</t>
  </si>
  <si>
    <t>Darla</t>
  </si>
  <si>
    <t>dworden@chlml.com</t>
  </si>
  <si>
    <t>info@coloradohomesmag.com</t>
  </si>
  <si>
    <t>https://www.placera.se/pressmeddelanden/taylor-morrison-home-taylor-morrison-reports-third-quarter-2025-results-20251022</t>
  </si>
  <si>
    <t>https://www.nwf.org/Magazines/National-Wildlife/2020/April-May/Gardening/Taylor-Morrison</t>
  </si>
  <si>
    <t>https://platform.reverecre.com/company/taylor.morrison</t>
  </si>
  <si>
    <t>https://business.mybaseguide.com/business/taylor-morrison-florida-jacksonville-1ffe372c-079c-457b-ad9a-6eb913b563e2</t>
  </si>
  <si>
    <t>https://www.naics.com/company-profile-page/?co=14150</t>
  </si>
  <si>
    <t>https://impact.builderonline.com/</t>
  </si>
  <si>
    <t>https://www.firstam.com/news/2019/first-american-and-taylor-morrison-500-eclosings-20190514.html</t>
  </si>
  <si>
    <t>https://austin.com/austin-family-featured-on-extreme-makeover-home-edition/</t>
  </si>
  <si>
    <t>https://www.flypgd.com/business/advertising-opportunities/</t>
  </si>
  <si>
    <t>https://azbigmedia.com/business/most-admired-companies-of-2021-charles-schwab/</t>
  </si>
  <si>
    <t>https://www.christophertodd.com/press-releases/christopher-todd-communities-built-by-taylor-morrison-invests-in-the-tampa-msa/</t>
  </si>
  <si>
    <t>https://tickernerd.com/stock/tmhc-forecast/</t>
  </si>
  <si>
    <t>https://blog.invgate.com/it-skills-in-demand</t>
  </si>
  <si>
    <t>http://pcbafl.memberzone.com/list/member/taylor-morrison-3821</t>
  </si>
  <si>
    <t>https://flaglerlive.com/final-plat-series/</t>
  </si>
  <si>
    <t>https://www.choicestock.co.kr/search/summary/TMHC</t>
  </si>
  <si>
    <t>https://www.coldwellbankerhomes.com/sc/indian-land/3133-beacon-heights-rd/pid_66407854/</t>
  </si>
  <si>
    <t>https://portfoliopilot.com/explore/security-explorer/TMHC</t>
  </si>
  <si>
    <t>https://www.myfrontpagestory.com/17-fun-december-holidays/</t>
  </si>
  <si>
    <t>https://newsantaana.com/townhome-development-proposed-for-the-empty-lot-at-2525-n-main-st/</t>
  </si>
  <si>
    <t>https://www.khou.com/article/news/brand-new-homes-in-league-city-community-plagued-with-mold-moisture-issues/285-602557603</t>
  </si>
  <si>
    <t>https://www.siennatx.com/news/2148/darling-homes-trendmaker-homes-to-bring-patio-designs-to-the-village-of-sawmill-lake</t>
  </si>
  <si>
    <t>https://estrella.com/taylor-morrison-to-bring-new-homes-to-lucero-at-estrella/</t>
  </si>
  <si>
    <t>https://salescenter.mccoy.txst.edu/corporate-partners.html</t>
  </si>
  <si>
    <t>https://www.ainvest.com/stocks/NYSE-TMHC/</t>
  </si>
  <si>
    <t>https://allreadymoving.com/blog/55-plus-communities-in-tacoma/</t>
  </si>
  <si>
    <t>contact@allreadymoving.com</t>
  </si>
  <si>
    <t>https://craft.co/taylor-morrison</t>
  </si>
  <si>
    <t>https://www.fortunechina.com/america500/1124/2023</t>
  </si>
  <si>
    <t>https://www.renaissancecapital.com/Profile/TMHC/Taylor-Morrison/IPO</t>
  </si>
  <si>
    <t>https://offcourse.co/courses/view/stonegate-golf-club-at-solivita/</t>
  </si>
  <si>
    <t>https://thelandofcolor.com/we-moved-and-set-up-a-vertical-garden-planter-day-one/</t>
  </si>
  <si>
    <t>https://www.admincolumns.com/wordpress-for-real-estate/</t>
  </si>
  <si>
    <t>https://diversityjobs.com/employer/company/1544/Taylor-Morrison</t>
  </si>
  <si>
    <t>https://www.bloomberg.com/quote/TMHC:US</t>
  </si>
  <si>
    <t>https://www.lifestoryresearch.com/insight-ideas/advocates-or-antagonists</t>
  </si>
  <si>
    <t>https://cloutrep.com/profile/cristina-maria-iaboni/</t>
  </si>
  <si>
    <t>https://informedinfrastructure.com/41235/americas-most-trusted-homebuilder-reveals-new-design-studio-in-denver/</t>
  </si>
  <si>
    <t>https://coloradoavidgolfer.com/final-opportunity-willowcroft-manor/</t>
  </si>
  <si>
    <t xml:space="preserve">Allen </t>
  </si>
  <si>
    <t>allen@coloradoavidgolfer.com</t>
  </si>
  <si>
    <t>info@coloradoavidgolfer.com</t>
  </si>
  <si>
    <t>https://woodtone.com/project/taylor-morrison-home/</t>
  </si>
  <si>
    <t>info@woodtone.com</t>
  </si>
  <si>
    <t>https://www.roic.ai/quote/TMHC</t>
  </si>
  <si>
    <t>https://business.plantcity.org/list/member/taylor-morrison-5308</t>
  </si>
  <si>
    <t>http://www.stockwatch.com/Quote/Detail?U:TMHC</t>
  </si>
  <si>
    <t>https://troon.com/press-releases/new-esplanade-at-st-marys-to-introduce-esplanade-resort-experience-to</t>
  </si>
  <si>
    <t>https://www.petage.com/taylor-morrison-expands-into-custom-pet-homes-offers-tailored-living-spaces-for-furbabies/</t>
  </si>
  <si>
    <t>https://tradesmith.com/stockdata/TMHC:NYSE</t>
  </si>
  <si>
    <t>https://www.torys.com/work/2014/12/87988df3-77a2-4146-bfc9-3c404ed2fdcc</t>
  </si>
  <si>
    <t>https://thelogocompany.net/home-builder-success-and-branding-guide/</t>
  </si>
  <si>
    <t>https://www.sumgrowth.com/stock-profile/invest-in-TMHC-stock.html</t>
  </si>
  <si>
    <t>https://ces.pugetsound.edu/events/2025/10/15/explore-internships-career-pathways-a-look-inside-taylor-morrison-homes/</t>
  </si>
  <si>
    <t>https://www.permacastwalls.com/permacast-barrier-wall-completes-taylor-morrison-job</t>
  </si>
  <si>
    <t>https://www.laughingplace.com/news-id10033570.asp</t>
  </si>
  <si>
    <t>https://fabulousarizona.com/arizona-homes/the-home-edit-partners-with-taylor-morrison-for-new-home-new-zones/</t>
  </si>
  <si>
    <t>Cynthia</t>
  </si>
  <si>
    <t>cynthia@fabulousmediagroup.com</t>
  </si>
  <si>
    <t>https://www.greatplacetowork.com/certified-company/7010937</t>
  </si>
  <si>
    <t>https://decoholic.org/10-ways-bring-elegance-bedroom/</t>
  </si>
  <si>
    <t>advertising@decoholic.org</t>
  </si>
  <si>
    <t>info@decoholic.org</t>
  </si>
  <si>
    <t>Interior Decor</t>
  </si>
  <si>
    <t>http://huttochamber.chambermaster.com/list/member/taylor-morrison-homes-4649</t>
  </si>
  <si>
    <t>https://blog.offerpad.com/how-to-buy-a-new-build-home-in-a-low-inventory-market/</t>
  </si>
  <si>
    <t>https://gocodes.com/resources/managing-construction-risks-benefits/</t>
  </si>
  <si>
    <t>https://www.pressdemocrat.com/2025/06/06/sales-momentum-continues-at-large-vacaville-housing-project-2/</t>
  </si>
  <si>
    <t>https://www.crosstimbersgazette.com/2020/02/27/large-subdivision-in-northlake-to-open-in-spring/</t>
  </si>
  <si>
    <t>https://weissratings.com/en/stock/tmhc-nyse</t>
  </si>
  <si>
    <t>https://houstonagentmagazine.com/2023/05/25/bonterra-at-woodforest-near-full-close-out/</t>
  </si>
  <si>
    <t>https://readysetsell.webador.com/guide-for-building-new-communities/bellacina</t>
  </si>
  <si>
    <t>https://sacramentomover.net/blog/new-homes-in-sacramento/</t>
  </si>
  <si>
    <t>https://www.orlandomagazine.com/best-of-orl-2022-home-shopping/</t>
  </si>
  <si>
    <t>https://www.nar.realtor/magazine/live/5g-smart-masks-emerging-tech-for-real-estate-in-2021</t>
  </si>
  <si>
    <t>https://www.onegreenplanet.org/lifestyle/how-to-invite-birds-into-your-yard/</t>
  </si>
  <si>
    <t>info@inmediacompany.com</t>
  </si>
  <si>
    <t>https://www.outbrain.com/blog/source-content-ideas/</t>
  </si>
  <si>
    <t>https://www.moneydj.com/us/basic/basic0001/tmhc</t>
  </si>
  <si>
    <t>https://www.dailycamera.com/2018/10/29/live-greater-than-your-age-at-skyestone/</t>
  </si>
  <si>
    <t>https://www.castlepinesconnection.com/coming-soon-new-homes-in-castle-pines-village/</t>
  </si>
  <si>
    <t>https://www.cartersvillechamber.com/list/member/taylor-morrison-10195</t>
  </si>
  <si>
    <t>https://inbusinessphx.com/healthcare-wellness/new-home-community-serves-cancer-center-patients</t>
  </si>
  <si>
    <t>https://www.abladvisor.com/news/32647/taylor-morrison-and-varde-partners-agree-to-land-banking-facility-and-joint-ventu</t>
  </si>
  <si>
    <t>https://www.houzeo.com/homes/2667-fernleaf-st-auburndale-fl-33823/hzid_828a2912</t>
  </si>
  <si>
    <t>https://mlq.ai/stocks/TMHC/</t>
  </si>
  <si>
    <t>https://www.newsfilecorp.com/release/40500/Taylor-Morrison-Foundation-and-HomeAid-Partner-to-Rebuild-Lives-for-Homeless</t>
  </si>
  <si>
    <t>https://www.eoddata.com/stockquote/NYSE/TMHC.htm</t>
  </si>
  <si>
    <t>https://www.firstcallgolf.com/industry-news/release/2023-07-31/taylor-morrison-selects-troon-as-national-partner-to-help-lead-operations-in-esplanade-communities-alongside-esplanade-resort-experiences</t>
  </si>
  <si>
    <t>https://treasurecoastba-gzcms.preview.gochambermaster.com/members/member/taylor-morrison-homes-190</t>
  </si>
  <si>
    <t>https://www.golfshake.com/course/view/74348/Esplanade_at_Azario.html</t>
  </si>
  <si>
    <t>https://homebuildersassociationofcentralarizona.growthzoneapp.com/member-directory/Details/taylor-morrison-arizona-inc-1617737</t>
  </si>
  <si>
    <t>https://www.thewoodlands.com/2020/07/27/model-homes-now-open-for-tour-by-darling-homes-david-weekley-homebuilders-in-east-shore-in-the-woodlands/</t>
  </si>
  <si>
    <t>info@thewoodlands.com</t>
  </si>
  <si>
    <t>https://bridgewise.com/blog/international-womens-day-2025/</t>
  </si>
  <si>
    <t>https://www.nyse.com/quote/XNYS:TMHC</t>
  </si>
  <si>
    <t>https://hrtoday.in/sandra-lamartine-appointed-as-executive-vice-president-chief-people-officer-at-taylor-morrison/</t>
  </si>
  <si>
    <t>https://www.12news.com/article/money/consumer/taylor-morrison-files-complaint-against-home-inspector-who-posts-videos-of-inspections-on-social-media/75-fc64bf74-360c-4f54-ac08-1d79f2af1d67</t>
  </si>
  <si>
    <t>https://www.constellationhb.com/blog/2015/05/taylor-morrison-is-builder-of-the-year/</t>
  </si>
  <si>
    <t>https://www.tampabay.com/life-culture/bay-magazine/2025/04/18/taylor-morrison-women-in-construction/</t>
  </si>
  <si>
    <t>https://www.muminthemadhouse.com/to-grandmothers-house-we-go/</t>
  </si>
  <si>
    <t>https://www.etfchannel.com/symbol/tmhc/</t>
  </si>
  <si>
    <t>https://www.abc15.com/news/local-news/extreme-makeover-home-edition-looking-for-volunteers-for-episode-in-the-east-valley</t>
  </si>
  <si>
    <t>https://www.devx.com/development/top-real-estate-development-companies/</t>
  </si>
  <si>
    <t>https://www.a11yjobs.com/jobs/GUHXN-digital-accessibility-auditor-12-month-fixed-term-contract-or-internal-secondment-taylor-francis-group</t>
  </si>
  <si>
    <t>https://www.c21edge.com/property/24-O6217512-4672-Ackee-Road-Kissimmee-FL-34758/</t>
  </si>
  <si>
    <t>https://www.wkyc.com/article/money/consumer/taylor-morrison-files-complaint-against-home-inspector-who-posts-videos-of-inspections-on-social-media/75-fc64bf74-360c-4f54-ac08-1d79f2af1d67</t>
  </si>
  <si>
    <t>https://www.safeaustin.org/es/a-new-drop-in-center-for-survivors-of-trafficking/</t>
  </si>
  <si>
    <t>https://myneighborhoodnews.com/taylor-morrison-partners-with-abcs-extreme-makeover-home-edition-to-build-dream-home-for-deserving-local-family-in-cypress</t>
  </si>
  <si>
    <t>https://www.theglobeandmail.com/investing/markets/stocks/TMHC-N/profile/</t>
  </si>
  <si>
    <t>https://www.orlandosentinel.com/2024/01/17/taylor-morrison-will-build-active-adult-community-at-mckinnon-groves/</t>
  </si>
  <si>
    <t>https://ycharts.com/companies/TMHC</t>
  </si>
  <si>
    <t>https://laurentaylorlaw.com/estate-planning/rock-hill/</t>
  </si>
  <si>
    <t>https://alwaysbestcare.com/rock-hill/home-care/rock-hill/</t>
  </si>
  <si>
    <t>http://faq.kavout.com/stocks/nyse-tmhc/taylor-morrison-home-corporation?page=1</t>
  </si>
  <si>
    <t>http://www.skymem.info/srch?q=rnewell@taylormorrison.com</t>
  </si>
  <si>
    <t>https://www.youarecurrent.com/2024/05/24/carmel-based-pyatt-builders-acquired-by-taylor-morrison/</t>
  </si>
  <si>
    <t>https://www.jchs.harvard.edu/about/policy-advisory-board</t>
  </si>
  <si>
    <t>https://indiacurrents.com/listings/places/taylor-morrison/</t>
  </si>
  <si>
    <t>https://thegolfwire.com/esplanade-resort-experience-jacksonville/</t>
  </si>
  <si>
    <t>https://www.wtsp.com/article/money/consumer/taylor-morrison-files-complaint-against-home-inspector-who-posts-videos-of-inspections-on-social-media/75-fc64bf74-360c-4f54-ac08-1d79f2af1d67</t>
  </si>
  <si>
    <t>https://www.cience.com/profile/jeanne-wright/6288969</t>
  </si>
  <si>
    <t>https://www.denverlifemagazine.com/denvers-new-developments/</t>
  </si>
  <si>
    <t>https://site.financialmodelingprep.com/company-profile/TMHC</t>
  </si>
  <si>
    <t>https://communities.excelsior.edu/companies/page/4/</t>
  </si>
  <si>
    <t>https://www.ksdk.com/article/news/nation-world/taylor-morrison-files-complaint-against-home-inspector-who-posts-videos-of-inspections-on-social-media/75-fc64bf74-360c-4f54-ac08-1d79f2af1d67</t>
  </si>
  <si>
    <t>https://www.wqad.com/article/money/consumer/taylor-morrison-files-complaint-against-home-inspector-who-posts-videos-of-inspections-on-social-media/75-fc64bf74-360c-4f54-ac08-1d79f2af1d67</t>
  </si>
  <si>
    <t>https://app.qwoted.com/sources/darin-rowe</t>
  </si>
  <si>
    <t>https://collider.com/extreme-makeover-home-edition-abc/</t>
  </si>
  <si>
    <t>https://www.weareiowa.com/article/money/consumer/taylor-morrison-files-complaint-against-home-inspector-who-posts-videos-of-inspections-on-social-media/75-fc64bf74-360c-4f54-ac08-1d79f2af1d67</t>
  </si>
  <si>
    <t>https://ir.tesla.com/press-release/solarcity-and-taylor-morrison-offer-solar-power-hundreds-homes</t>
  </si>
  <si>
    <t>https://www.ktnv.com/sports/golden-knights/vegas-golden-knights-fans-can-soon-live-on-golden-knights-way</t>
  </si>
  <si>
    <t>https://texasoutside.com/golfing/golf-communities/</t>
  </si>
  <si>
    <t>https://butterflies.org/gala2021/</t>
  </si>
  <si>
    <t>https://www.wfaa.com/article/money/consumer/taylor-morrison-files-complaint-against-home-inspector-who-posts-videos-of-inspections-on-social-media/75-fc64bf74-360c-4f54-ac08-1d79f2af1d67</t>
  </si>
  <si>
    <t>https://www.har.com/blog_91966_cross-creek-ranch-home-builders---new-construction-homes</t>
  </si>
  <si>
    <t>https://www.abc10.com/article/entertainment/television/programs/to-the-point/insurance-crisis-placer-county-homeowner-premium-drop/103-c21dc110-92a4-46e9-b3aa-a6de1350a6c9</t>
  </si>
  <si>
    <t>https://aimagazine.com/company/taylor-morrison</t>
  </si>
  <si>
    <t>https://procurementmag.com/company/taylor-morrison</t>
  </si>
  <si>
    <t>https://apnews.com/article/technology-lifestyle-home-buying-diseases-and-conditions-entertainment-and-media-technology-af138c183b61d4bd568436ab4794b7a5</t>
  </si>
  <si>
    <t>https://wochamber.com/new-renewed-members-january-2020/</t>
  </si>
  <si>
    <t>https://www.mountdora.com/list/member/yardly-mount-dora-2345</t>
  </si>
  <si>
    <t>https://www.barchart.com/stocks/quotes/TMHC/profile</t>
  </si>
  <si>
    <t>https://scstrti.in/media/9jx4jco/cherry-blossom-bay-area-2022</t>
  </si>
  <si>
    <t>https://skrapp.io/directory/company/taylormorrison.com</t>
  </si>
  <si>
    <t>https://www.aztechcouncil.org/most-admired-companies-of-2021-axon/</t>
  </si>
  <si>
    <t>https://www.silive.com/news/2022/08/opting-for-greener-pastures-many-staten-islanders-are-leaving-nyc-here-are-some-of-their-stories.html</t>
  </si>
  <si>
    <t>https://www.waterfront-properties.com/listing/f10479723-11834-sw-macelli-way-port-st-lucie-fl-34987/</t>
  </si>
  <si>
    <t>https://roughdraftatlanta.com/2018/11/27/real-estate-briefs-new-townhome-projects-popping-up-around-intown/</t>
  </si>
  <si>
    <t>https://www.latimes.com/business/la-xpm-2013-apr-01-la-fi-mo-taylor-morrison-ipo-20130401-story.html</t>
  </si>
  <si>
    <t>https://trust.bizjournals.com/profile/Alaina-Robertson-Division-President-Taylor-Morrison/59f02474-3509-4442-9a95-1fbe23c473b8</t>
  </si>
  <si>
    <t>https://www.flexhouse.org/tips-choosing-best-residential-home-builder-new-home/</t>
  </si>
  <si>
    <t>https://www.chicagomag.com/chicago-home/july-2016/the-top-local-design-news-and-events-this-week/</t>
  </si>
  <si>
    <t>https://discountingcashflows.com/company/TMHC/overview/</t>
  </si>
  <si>
    <t>https://dnbeiendom.no/gtm-proxy/*(d3d3Lmdvb2dsZS5jb20)*/finance/quote/TMHC:NYSE</t>
  </si>
  <si>
    <t>https://app.podcastguru.io/podcast/house-of-data-1702761260/episode/brian-juedes-building-homes-with-data-ep-8-f1bd76d92eb61552ec8f70018b5cfac5</t>
  </si>
  <si>
    <t>https://www.colliers.com/en/news/houston/56-acres-montgomery-2024-05-06</t>
  </si>
  <si>
    <t>https://www.newswire.com/news/taylor-morrison-builds-luxury-homes-in-bay-areas-prestigious-locations-20426124</t>
  </si>
  <si>
    <t>https://www.globalconstructionreview.com/44-of-our-staff-are-female-so-every-week-is-women-in-construction-week/</t>
  </si>
  <si>
    <t>https://lightyear.com/en/stock/TMHC:NYSE</t>
  </si>
  <si>
    <t>https://pages.m1.com/invest/stocks/TMHC</t>
  </si>
  <si>
    <t>https://energydigital.com/company/taylor-morrison</t>
  </si>
  <si>
    <t>https://rdcnewsadvice.wpengine.com/news/trends/donald-trump-tariffs-steel-aluminum-imports-homebuilders-outlook/</t>
  </si>
  <si>
    <t>https://www.castlegroup.com/castle-group-partners-with-taylor-morrison-for-extreme-makeover-home-edition/</t>
  </si>
  <si>
    <t>https://www.hines.com/news/hines-celebrates-the-grand-opening-of-the-lakes-of-las-colinas</t>
  </si>
  <si>
    <t>https://www.realtyinorlando.com/listing/o6326211-4749-yellow-elder-way-kissimmee-fl-34758/</t>
  </si>
  <si>
    <t>https://discovery.hgdata.com/product/planswift</t>
  </si>
  <si>
    <t>https://baynews9.com/fl/tampa/news/2024/07/29/construction-internship-program-preps-new-talent-amid-workforce-shortage</t>
  </si>
  <si>
    <t>http://content.yudu.com/A1g103/MOAA0309/resources/60.htm</t>
  </si>
  <si>
    <t>https://www.highperformr.ai/company/taylor-morrison</t>
  </si>
  <si>
    <t>https://cybermagazine.com/company/taylor-morrison</t>
  </si>
  <si>
    <t>https://www.futunn.com/en/stock/TMHC-US/company</t>
  </si>
  <si>
    <t>https://www.moen.com/press-room/press-releases/us-moen-awarded-2024-national-account-partner-of-the-year-by-homebuilder-taylor-morrison/</t>
  </si>
  <si>
    <t>https://bitscale.ai/directory/taylor-morrison</t>
  </si>
  <si>
    <t>https://business.edf.org/climate-corps/projects/taylor-morrison-sana-ouji-2014/</t>
  </si>
  <si>
    <t>https://www.mcknightsseniorliving.com/news/nahb-names-winners-of-2018-best-of-55-housing-awards/</t>
  </si>
  <si>
    <t>https://asgca.org/construction-starts-on-wilczynski-asgca-design-at-azario-lakewood-florida/</t>
  </si>
  <si>
    <t>https://houstontentsevents.com/blog/partnering-with-emhe/</t>
  </si>
  <si>
    <t>https://www.emmysmummy.com/sustainable-living-in-the-south-five-ways-to-go-greener</t>
  </si>
  <si>
    <t>https://meyka.com/stock/TMHC/</t>
  </si>
  <si>
    <t>https://www.appsruntheworld.com/customers-database/customers/view/darling-homes-united-states</t>
  </si>
  <si>
    <t>https://www.wthr.com/article/money/consumer/taylor-morrison-files-complaint-against-home-inspector-who-posts-videos-of-inspections-on-social-media/75-fc64bf74-360c-4f54-ac08-1d79f2af1d67</t>
  </si>
  <si>
    <t>https://www.harvestgreentexas.com/news/2203/homebuilders-flock-to-fort-bend-master-planned-community-of-harvest-green</t>
  </si>
  <si>
    <t>https://finalscout.com/company/taylor_morrison</t>
  </si>
  <si>
    <t>https://www.ge.com/news/press-releases/ge-builds-momentum-taylor-morrison-contract-extension</t>
  </si>
  <si>
    <t>https://fintechmagazine.com/company/taylor-morrison</t>
  </si>
  <si>
    <t>https://old.voa-ncnn.org/news_releases/taylor-morrison-partners-with-volunteers-of-america-and-homeaid-to-creat-veterans-housing</t>
  </si>
  <si>
    <t>https://www.houstonpress.com/location/darling-homes-at-parkway-terrace-8585953</t>
  </si>
  <si>
    <t>https://www.techradar.com/news/digital-home/disney-s-new-house-of-the-future-230909</t>
  </si>
  <si>
    <t>https://cyfairchamber.com/investor-listings/</t>
  </si>
  <si>
    <t>https://rss.investorbrandnetwork.com/spotlights/page/104/</t>
  </si>
  <si>
    <t>https://rocklandtimes.com/2019/01/08/loyalty-rewards-system-in-the-housing-industry-will-it-work/</t>
  </si>
  <si>
    <t>https://artdaily.com/news/40316/Local-Couple-Build-Round-House-for-Protection-Against-the-Winds</t>
  </si>
  <si>
    <t>https://www.financialcontent.com/article/ibnspotlights-2023-4-20-taylor-morrison-home-corp-nyse-tmhc-climbs-to-new-52-week-high</t>
  </si>
  <si>
    <t>http://cm.puntagordachamber.com/list/member/esplanade-at-starling-punta-gorda-3191</t>
  </si>
  <si>
    <t>https://www.9news.com/article/money/consumer/taylor-morrison-files-complaint-against-home-inspector-who-posts-videos-of-inspections-on-social-media/75-fc64bf74-360c-4f54-ac08-1d79f2af1d67</t>
  </si>
  <si>
    <t>https://untappd.com/v/cassia-at-skye-ranch-taylor-morrison/13142190/photos</t>
  </si>
  <si>
    <t>https://peopleofcolorintech.com/articles/michelle-robinson-joins-taylor-morrisons-fellowship-program/</t>
  </si>
  <si>
    <t>https://april.tempatwisataseru.com/homes-for-sale-in-florida/</t>
  </si>
  <si>
    <t>https://www.snapdocs.com/resource-center/video/road-to-adoption</t>
  </si>
  <si>
    <t>https://business.ridgwayrecord.com/ridgwayrecord/article/ibnspotlights-2023-6-12-taylor-morrison-home-corp-nyse-tmhc-is-a-stock-spotlight-on-612</t>
  </si>
  <si>
    <t>https://tmhfprod1.mymortgage-online.com/PrivacyPolicy.html</t>
  </si>
  <si>
    <t>https://www.10tv.com/article/news/nation-world/taylor-morrison-files-complaint-against-home-inspector-who-posts-videos-of-inspections-on-social-media/75-fc64bf74-360c-4f54-ac08-1d79f2af1d67</t>
  </si>
  <si>
    <t>https://cg-wp-website.azurewebsites.net/castle-group-partners-with-taylor-morrison-for-extreme-makeover-home-edition/</t>
  </si>
  <si>
    <t>https://www.thv11.com/article/syndication/spanish/inspector-de-viviendas-en-el-valle-se-hace-viral-en-redes-y-ahora-no-quieren-permitirselo/75-36c5a7b6-76e9-485c-ac6b-af1723c44a44</t>
  </si>
  <si>
    <t>https://investor.wedbush.com/wedbush/article/ibnspotlights-2023-6-12-taylor-morrison-home-corp-nyse-tmhc-is-a-stock-spotlight-on-612</t>
  </si>
  <si>
    <t>https://share.snipd.com/episode/5c6aa0c0-8dd9-4975-83dd-1fbc25a2217c</t>
  </si>
  <si>
    <t>https://www.stockmarketguides.com/dividends/TMHC</t>
  </si>
  <si>
    <t>https://docu.team/photogrid.php?action=show_item&amp;store=17968&amp;item=98239</t>
  </si>
  <si>
    <t>https://iocharts.io/ro/actiuni/TMHC</t>
  </si>
  <si>
    <t>https://realtynewsreport.com/the-business-case-for-natural-drainage-systems-in-houston-area-land-development-projects/</t>
  </si>
  <si>
    <t>https://thefreebieguy.com/sweepstakes/taylor-morrison-wm-phoenix-open-prize-giveaway/</t>
  </si>
  <si>
    <t>https://valdostadailytimes.com/2024/07/23/taylor-morrison-enlists-community-volunteers-to-help-build-two-new-homes-in-tampa-for-local-families-for-abcs-extreme-makeover-home-edition/</t>
  </si>
  <si>
    <t>https://strainer.jp/companies/6259</t>
  </si>
  <si>
    <t>https://www.databahn.com/products/taylor-morrison-home-org-chart-and-sales-intelligence-report</t>
  </si>
  <si>
    <t>https://dgai.utem.cl/yrkl3snr/viewtopic.php?id=homestead-hoa-morrison-co</t>
  </si>
  <si>
    <t>https://www.visualvisitor.com/companies/2985458/taylor_morrison</t>
  </si>
  <si>
    <t>https://getbuilt.com/blog/the-mortgage-collaborative-connect-whats-new-in-construction/</t>
  </si>
  <si>
    <t>https://www.wtol.com/article/money/consumer/taylor-morrison-files-complaint-against-home-inspector-who-posts-videos-of-inspections-on-social-media/75-fc64bf74-360c-4f54-ac08-1d79f2af1d67</t>
  </si>
  <si>
    <t>https://www.tdflorida.com/listing-stellar_sold/o6326211-aden-south-at-westview4749-yellow-elder-way-kissimmee-fl-34758craftsman/</t>
  </si>
  <si>
    <t>https://datacentremagazine.com/company/taylor-morrison</t>
  </si>
  <si>
    <t>https://www.dividendchannel.com/symbol/tmhc/</t>
  </si>
  <si>
    <t>https://www.phius.org/resnet-conference-2025-roundup</t>
  </si>
  <si>
    <t>https://www.langrealty.com/property/46-F10479723-11834-Sw-Macelli-Way-Port-St-Lucie-FL-34987/</t>
  </si>
  <si>
    <t>info@langrealty.com</t>
  </si>
  <si>
    <t>http://business.smdailypress.com/smdailypress/article/ibnspotlights-2023-4-20-taylor-morrison-home-corp-nyse-tmhc-climbs-to-new-52-week-high</t>
  </si>
  <si>
    <t>https://www.lmtonline.com/realestate/article/east-austin-homes-19356512.php</t>
  </si>
  <si>
    <t>editorial@lmtonline.com</t>
  </si>
  <si>
    <t>http://money.mymotherlode.com/clarkebroadcasting.mymotherlode/article/ibnspotlights-2024-1-18-taylor-morrison-home-corp-nyse-tmhc-making-surprising-moves-in-thursday-session</t>
  </si>
  <si>
    <t>http://markets.chroniclejournal.com/chroniclejournal/article/ibnspotlights-2023-6-12-taylor-morrison-home-corp-nyse-tmhc-is-a-stock-spotlight-on-612</t>
  </si>
  <si>
    <t>https://www.pymnts.com/real-estate/2020/homebuilders-upbeat-on-single-family-homes/</t>
  </si>
  <si>
    <t>https://business.woonsocketcall.com/woonsocketcall/article/ibnspotlights-2024-1-18-taylor-morrison-home-corp-nyse-tmhc-making-surprising-moves-in-thursday-session</t>
  </si>
  <si>
    <t>https://www.essence.com/news/rushcard-introduces-mobile-series-addressing-racial-profiling/</t>
  </si>
  <si>
    <t>https://technologymagazine.com/company/taylor-morrison</t>
  </si>
  <si>
    <t>https://www.modernsalon.com/1092757/top-10-design-trends-for-2025</t>
  </si>
  <si>
    <t>https://www.chron.com/neighborhood/fortbend/news/article/Taylor-Morrison-debuts-patio-homes-collection-in-9680620.php</t>
  </si>
  <si>
    <t>https://crej.com/news/https-crej-com-news-https-www-brookfieldresidential-com-new-homes-colorado-denver-littleton-sterling-ranch/</t>
  </si>
  <si>
    <t>https://barbarashallue.typepad.com/musing_in_long_hollow/2015/02/travisso-new-homes-on-the-north-shore-of-lake-travis.html</t>
  </si>
  <si>
    <t>https://www.sspca.org/taylormorrison</t>
  </si>
  <si>
    <t>https://blog.allentate.com/allen-tate-realtors-raise-26000-for-public-education-in-the-triangle/</t>
  </si>
  <si>
    <t>https://careerhub.sunyempire.edu/jobs/taylor-morrison-land-financial-planning-analysis-manager/</t>
  </si>
  <si>
    <t>https://www.legal.io/organizations/5480867/Taylor-Morrison</t>
  </si>
  <si>
    <t>https://www.dallasnews.com/business/2013/04/02/owner-of-frisco-based-darling-homes-sets-public-stock-sale/</t>
  </si>
  <si>
    <t>https://career.du.edu/jobs/taylor-morrison-purchasing-coordinator/</t>
  </si>
  <si>
    <t>https://twelvedata.com/markets/540981/stock/fsx/thm</t>
  </si>
  <si>
    <t>https://local.coloradocommunitymedia.com/broomfield-co/skyestone-303-325-2444</t>
  </si>
  <si>
    <t>https://www.remoterocketship.com/company/taylormorrison/</t>
  </si>
  <si>
    <t>https://www.5newsonline.com/article/money/consumer/taylor-morrison-files-complaint-against-home-inspector-who-posts-videos-of-inspections-on-social-media/75-fc64bf74-360c-4f54-ac08-1d79f2af1d67</t>
  </si>
  <si>
    <t>https://www.talentify.io/taylor-morrison</t>
  </si>
  <si>
    <t>https://mccl-impresslocal.pdqs.mobi/taylor-morrison-of-california/reviews/display/</t>
  </si>
  <si>
    <t>https://business.sarasotachamber.com/active-member-directory/Details/taylor-morrison-3821973</t>
  </si>
  <si>
    <t>https://testing.floridapolitics.com/archives/594056-time-traveling-developer-plows-forward-with-1991-era-florida-subdivision/</t>
  </si>
  <si>
    <t>https://www.king5.com/article/entertainment/television/programs/evening/building-a-more-inclusive-future/281-c0a224cd-76c4-4aa0-a38f-f9f0f2aac59f</t>
  </si>
  <si>
    <t>https://index.businessinsurance.com/businessinsurance/article/ibnspotlights-2023-6-6-taylor-morrison-home-corp-nyse-tmhc-climbs-to-new-52-week-high</t>
  </si>
  <si>
    <t>https://varde.com/taylor-morrison-and-varde-partners-scale-850-million-build-to-rent-joint-venture-with-nine-asset-closings-since-inception/</t>
  </si>
  <si>
    <t>https://business.punxsutawneyspirit.com/punxsutawneyspirit/article/ibnspotlights-2024-1-18-taylor-morrison-home-corp-nyse-tmhc-making-surprising-moves-in-thursday-session</t>
  </si>
  <si>
    <t>https://tiphero.com/6-diy-home-improvement-projects-that-wont-break-your-bank</t>
  </si>
  <si>
    <t>https://www.chicagotribune.com/2016/02/25/new-construction-value-and-large-homesite-bring-family-to-woodland-hills-in-lakewood/</t>
  </si>
  <si>
    <t>https://www.oreanda-news.com/en/promyshlennost/article978149/</t>
  </si>
  <si>
    <t>https://wswc.wa.gov/southwest-washington-girls-connect-women-building-and-manufacturing</t>
  </si>
  <si>
    <t>https://business.wapakdailynews.com/wapakdailynews/article/ibnspotlights-2023-6-12-taylor-morrison-home-corp-nyse-tmhc-is-a-stock-spotlight-on-612</t>
  </si>
  <si>
    <t>https://www.hrc.org/resources/corporations/taylor-morrison-home</t>
  </si>
  <si>
    <t>https://www.whas11.com/article/money/consumer/taylor-morrison-files-complaint-against-home-inspector-who-posts-videos-of-inspections-on-social-media/75-fc64bf74-360c-4f54-ac08-1d79f2af1d67</t>
  </si>
  <si>
    <t>https://fundamentei.com/en-US/us/tmhc</t>
  </si>
  <si>
    <t>https://supplychaindigital.com/company/taylor-morrison</t>
  </si>
  <si>
    <t>https://business.bigspringherald.com/bigspringherald/article/ibnspotlights-2023-6-6-taylor-morrison-home-corp-nyse-tmhc-climbs-to-new-52-week-high</t>
  </si>
  <si>
    <t>https://www.cabinhomes.com/ga/cabins</t>
  </si>
  <si>
    <t>https://www.meritagehomes.com/state/ga/atlanta/the-oaks-at-dawson</t>
  </si>
  <si>
    <t>https://llida.georgia.gov/contacts/lanier-islands-resort</t>
  </si>
  <si>
    <t>https://www.extraspace.com/blog/city-guides/pros-and-cons-of-living-in-atlanta/</t>
  </si>
  <si>
    <t>https://www.davidsonhomes.com/states/georgia/atlanta-market-area/buford/</t>
  </si>
  <si>
    <t>https://www.ngmcgme.org/things-to-do/</t>
  </si>
  <si>
    <t>https://www.sangfroidwebdesign.com/cumming-ga-web-design-seo/</t>
  </si>
  <si>
    <t>https://www.beavertoyotacumming.com/hours-directions-toyota-dealership-cumming/</t>
  </si>
  <si>
    <t>https://www.atlantamotorsportspark.com/about/plan-your-visit/</t>
  </si>
  <si>
    <t>-</t>
  </si>
  <si>
    <t>https://uavcoach.com/where-to-fly-drone/atlanta/</t>
  </si>
  <si>
    <t>https://www.storage-mart.com/athens/boat-storage</t>
  </si>
  <si>
    <t>https://capitalbnews.org/historic-black-towns-survival/</t>
  </si>
  <si>
    <t>https://boatzon.com/boats-for-sale/georgia</t>
  </si>
  <si>
    <t>https://wheelchairtraveling.com/wheelchair-accessible-kayak-launch-dock-pier-locations/</t>
  </si>
  <si>
    <t>https://www.kremp.com/pages/florist-flowery-branch-ga</t>
  </si>
  <si>
    <t>https://www.pulte.com/blog/pros-and-cons-of-living-in-atlanta-ga</t>
  </si>
  <si>
    <t>https://www.boatsmartexam.com/us/georgia/boating-regulations/</t>
  </si>
  <si>
    <t>https://state.1keydata.com/georgia.php</t>
  </si>
  <si>
    <t>https://www.maepole.com/cumming-ga-healthy-fast-food</t>
  </si>
  <si>
    <t>https://kiddingaroundgreenville.com/lake-lanier-ga</t>
  </si>
  <si>
    <t>https://paigemindsthegap.com/things-to-do-in-atlanta/</t>
  </si>
  <si>
    <t>https://www.arborcompany.com/locations/georgia/suwanee-south-forsyth/blog/why-suwanee-ga-is-a-nice-place-to-retire</t>
  </si>
  <si>
    <t>https://www.tenantbase.com/atlanta/</t>
  </si>
  <si>
    <t>https://365atlantatraveler.com/lakes-in-georgia-2/</t>
  </si>
  <si>
    <t>https://www.uniteddigestive.com/physician-careers/braselton-and-gainesville-career-opportunities/</t>
  </si>
  <si>
    <t>https://www.boatsetter.com/boat-rental-experiences/georgia-lakes</t>
  </si>
  <si>
    <t>https://chateauelan.com/destination/</t>
  </si>
  <si>
    <t>https://www.advenirliving.com/dawsonhills/neighborhood/</t>
  </si>
  <si>
    <t>https://styleblueprint.com/everyday/great-lakes-fun-southern-lakes-for-a-fabulous-family-getaway/</t>
  </si>
  <si>
    <t>https://hightowerfalls.com/2025/05/24/20-places-to-propose-in-georgia-this-summer/</t>
  </si>
  <si>
    <t>https://www.eastwoodhomes.com/blog/lake-lanier-homes-cambridge</t>
  </si>
  <si>
    <t>https://www.mensjournal.com/travel/best-places-visit-2022</t>
  </si>
  <si>
    <t>https://simpleshowing.ghost.io/top-new-home-communities-in-atlanta/</t>
  </si>
  <si>
    <t>https://www.thegypsynurse.com/blog/northeast-georgia/</t>
  </si>
  <si>
    <t>https://suwaneemagazine.com/25-days-of-christmas/</t>
  </si>
  <si>
    <t>https://www.diventures.com/diventures-network-of-divers-working-together-for-the-future-of-our-waterways/</t>
  </si>
  <si>
    <t>https://www.hilldrup.com/help-and-support/moving-guides/city-moving-guides/atlanta-moving-guide/</t>
  </si>
  <si>
    <t>https://www.readunwritten.com/2019/07/09/5-tales-spook-summer-bonfire/</t>
  </si>
  <si>
    <t>https://lakelanier.com/2013/05/lake-lanier-promotes-safe-boating-week/</t>
  </si>
  <si>
    <t>https://www.budgettravel.com/places/usa-georgia-lake-lanier</t>
  </si>
  <si>
    <t>https://www.bizarrecoffee.com/blogs/news/15-ways-to-celebrate-dad-this-fathers-day</t>
  </si>
  <si>
    <t>https://www.lakerabunhotel.com/spring-break-in-georgia/</t>
  </si>
  <si>
    <t>https://familydestinationsguide.com/best-day-trips-from-atlanta-ga/</t>
  </si>
  <si>
    <t>https://theprovidencegroup.com/blog/new-homes-for-sale-in-buford-ga-discover-millcroft/</t>
  </si>
  <si>
    <t>https://escapecampervans.com/blog/fun-atlanta-road-trip-ideas/</t>
  </si>
  <si>
    <t>https://upgradedpoints.com/travel/best-beaches-in-georgia/</t>
  </si>
  <si>
    <t>https://www.fox5atlanta.com/news/closures-lake-lanier-be-reduced-11-according-state-representative</t>
  </si>
  <si>
    <t>https://www.howellford.com/blogs/2529/local-parks-worth-visiting-near-cumming/</t>
  </si>
  <si>
    <t>https://news.gsu.edu/2024/04/09/national-geographic-internship-drives-history-major-to-continue-conservation-work/</t>
  </si>
  <si>
    <t>https://www.padsplit.com/blog/local-highlights/atlanta/5-of-the-best-day-trips-near-atlanta/</t>
  </si>
  <si>
    <t>https://www.frva.com/listing?category=category_campground&amp;sub=RESERVATIONREQUIRED</t>
  </si>
  <si>
    <t>https://www.thetravel.com/most-beautiful-lakes-in-the-us-with-dark-secrets/</t>
  </si>
  <si>
    <t>https://mommysnippets.com/kid-attractions-gainesville/</t>
  </si>
  <si>
    <t>marina@mommysnippets.com</t>
  </si>
  <si>
    <t>https://www.zookcabins.com/location/park-model-homes-in-georgia</t>
  </si>
  <si>
    <t>Susanne</t>
  </si>
  <si>
    <t>susannek@zookcabins.com</t>
  </si>
  <si>
    <t>info@zookcabins.com</t>
  </si>
  <si>
    <t>https://www.thrillist.com/travel/nation/best-holiday-boat-parades</t>
  </si>
  <si>
    <t>https://www.regattacentral.com/v3/cms/regatta/3118/lodging?org_id=0</t>
  </si>
  <si>
    <t>https://agenda.fbb.pt/?a=199133215</t>
  </si>
  <si>
    <t>https://givefreely.com/charity-directory/nonprofit/ein-582007320/</t>
  </si>
  <si>
    <t>https://cremedelacreme.com/blog/5-east-cobb-ga-day-trips-youll-love/</t>
  </si>
  <si>
    <t>http://eg-web.georgialibraries.org/conference/2020-evergreen-international-conference/local/</t>
  </si>
  <si>
    <t>https://pmcommunities.com/selling-your-house-make-the-move-to-wescott-suwanee/</t>
  </si>
  <si>
    <t>https://www.charitynavigator.org/ein/582007320</t>
  </si>
  <si>
    <t>https://www.discovergeorgiaoutdoors.com/trail/gainesville-solar-system-walking-tour/</t>
  </si>
  <si>
    <t>https://mommypoppins.com/atlanta-kids/community/georgia-reopening-phase-1-whats-open-and-whats-closed-in-atlanta</t>
  </si>
  <si>
    <t>https://www.mightydogroofing.com/rhode-island/resources/blog/categories/guide/gaf-vs-owens-corning-discover-why-owens-corning-/</t>
  </si>
  <si>
    <t>https://odonnellroofingco.com/blog/industrial-coating/</t>
  </si>
  <si>
    <t>Kevin</t>
  </si>
  <si>
    <t>kevin@odonnellroofingco.com</t>
  </si>
  <si>
    <t>customerservice@odonnellroofingco.com</t>
  </si>
  <si>
    <t>https://veteranscontractingllc.com/blog/bad-roofing-contractors/</t>
  </si>
  <si>
    <t>Brian</t>
  </si>
  <si>
    <t>briancotham@gmail.com</t>
  </si>
  <si>
    <t>info@veteranscontractingllc.com</t>
  </si>
  <si>
    <t>https://remingtonsolar.com/blog/solar-attic-fan-installation/</t>
  </si>
  <si>
    <t>https://dearfathers.com/2025/10/critical-home-maintenance-to-keep-families-safe/</t>
  </si>
  <si>
    <t>contact@dearfathers.com</t>
  </si>
  <si>
    <t>https://marketspread.com/vendor/151706/trust-roofing/</t>
  </si>
  <si>
    <t>https://cm.dunedinfl.com/members/ql/home-services-supplies-69</t>
  </si>
  <si>
    <t>https://designrelated.com/keep-your-roof-in-top-notch-condition/</t>
  </si>
  <si>
    <t>https://www.ceo-review.com/winners/trust-roofing-2/</t>
  </si>
  <si>
    <t>https://design.honestaberoofing.com/indianapolis/about-us/blog/2025/august/smart-budgeting-for-your-next-roof-replacement-in-indianapolis</t>
  </si>
  <si>
    <t>https://www.karensgreencleaning.com/blog/swiffer-wet-on-hardwood-floors</t>
  </si>
  <si>
    <t>support@karensgreencleaning.com</t>
  </si>
  <si>
    <t>https://shiptons.ca/humidifier-wood-floor-protection-keep-floors-safe/</t>
  </si>
  <si>
    <t>Tom</t>
  </si>
  <si>
    <t>tom@shiptons.ca</t>
  </si>
  <si>
    <t>sales@shiptons.ca</t>
  </si>
  <si>
    <t>https://cacm.org/events/fall-educational-forums-2025/</t>
  </si>
  <si>
    <t>https://www.reveriepage.com/blog/assessing-damage-and-planning-home-repairs</t>
  </si>
  <si>
    <t>https://www.intelligentliving.co/manage-sewage-without-harming-environment/</t>
  </si>
  <si>
    <t>https://www.boredmom.com/creative-home/health-hazards-linked-to-sewage-exposure-in-the-home</t>
  </si>
  <si>
    <t xml:space="preserve">Meg </t>
  </si>
  <si>
    <t>meg@boredmom.com</t>
  </si>
  <si>
    <t>https://blog.servicedirect.com/water-damage-website</t>
  </si>
  <si>
    <t>https://www.quadcities.com/other-news-of-interest/home-recovery-strategies-after-water-intrusion/</t>
  </si>
  <si>
    <t>https://www.missljbeauty.com/2025/09/how-prompt-sewage-cleanup-protects-your.html</t>
  </si>
  <si>
    <t>https://blog.bairdbrothers.com/hardwood-floor-maintenance-101-how-to-keep-your-floors-in-good-shape/</t>
  </si>
  <si>
    <t>https://www.marshmallowchallenge.com/blog/repairing-and-restoring-your-business-after-flooding/</t>
  </si>
  <si>
    <t>https://momfuse.com/flood-damage-restoration/</t>
  </si>
  <si>
    <t xml:space="preserve">Jessica </t>
  </si>
  <si>
    <t>momfuse@gmail.com</t>
  </si>
  <si>
    <t>https://kevinfrancisdesign.com/blogs/design-ideas/6-property-improvements-that-go-beyond-just-aesthetics</t>
  </si>
  <si>
    <t>https://thelittlehouseinthecityblog.com/how-to-safely-clean-up-sewage-in-your-home/</t>
  </si>
  <si>
    <t>https://www.customerlobby.com/reviews/1379/certified-restoration-inc/review/912827/</t>
  </si>
  <si>
    <t>https://techbullion.com/planning-restoration-expenses-after-water-related-incidents/</t>
  </si>
  <si>
    <t>https://labormarketinfo.edd.ca.gov/aspdotnet/databrowsing/empDetails.aspx?menuChoice=emp&amp;empid=783151198&amp;geogArea=0604000073</t>
  </si>
  <si>
    <t>https://matehope54.pythonanywhere.com/how-to-treat-wooden-floors.html</t>
  </si>
  <si>
    <t>https://firstamericanroofing.com/blog/rubber-roof-repair/</t>
  </si>
  <si>
    <t>Doug</t>
  </si>
  <si>
    <t>doug@firstamericanroofing.com</t>
  </si>
  <si>
    <t>info@firstamericanroofing.com</t>
  </si>
  <si>
    <t>https://hookagency.com/case-studies/</t>
  </si>
  <si>
    <t>https://www.floridaroof.com/DISTINCTIVE-ROOFING-INC-10-1742239.html</t>
  </si>
  <si>
    <t>https://thesiliconreview.com/2025/08/what-smart-technology-means-for-the-future-of-roofing</t>
  </si>
  <si>
    <t>https://dimgrey-horse-466048.hostingersite.com/top-hurricane-rated-shingle-brands/</t>
  </si>
  <si>
    <t>https://homegeniusexteriors.com/genius-blog/best-roofing-for-coastal-homes-a-complete-guide/</t>
  </si>
  <si>
    <t xml:space="preserve">Jeff Gunhus </t>
  </si>
  <si>
    <t>jgunhus@homegeniusexteriors.com</t>
  </si>
  <si>
    <t>info@homegeniusexteriors.com</t>
  </si>
  <si>
    <t>https://detailed-food-860226.framer.app/blog/metal-roofing-types-a-guide-to-choosing-the-best</t>
  </si>
  <si>
    <t>https://superarbor.io/blogs/blogs/metal-roofing-price-what-to-expect-in-2025</t>
  </si>
  <si>
    <t>https://davidsguide.com/post%E2%80%91holiday-maintenance-tips-every-property-owner-should-know/</t>
  </si>
  <si>
    <t>https://simplyseven.net/how-to-protect-your-roof-and-extend-its-lifespan/</t>
  </si>
  <si>
    <t>info@simplyseven.net</t>
  </si>
  <si>
    <t>https://www.onlinedesignteacher.com/2024/03/upgrading-design-durability-of-your.html</t>
  </si>
  <si>
    <t>https://www.bullz-eye.com/2025/12/07/why-good-ventilation-matters-for-your-garage-roof/</t>
  </si>
  <si>
    <t>bullzeyestaff@gmail.com</t>
  </si>
  <si>
    <t>https://constructiononline.com/profile/distinctiveroofingfl</t>
  </si>
  <si>
    <t>https://skroofingandconstruction.com/what-is-roof-flashing/</t>
  </si>
  <si>
    <t>https://www.honestaberoofing.com/indianapolis/about-us/blog/2025/october/how-to-spot-early-signs-of-roof-leaks-before-winter-in-indianapolis</t>
  </si>
  <si>
    <t>https://roofmedic.com/blog/roof-scupper/</t>
  </si>
  <si>
    <t>Jordan</t>
  </si>
  <si>
    <t>jordan@roofmedic.com</t>
  </si>
  <si>
    <t>contact@roofmedic.com</t>
  </si>
  <si>
    <t>https://bakerroofing.com/top-5-roofing-companies-in-indianapolis/</t>
  </si>
  <si>
    <t>https://getroofsmart.com/blog/workmanship-warranty-vs-manufacturers-warranty-whats-the-difference</t>
  </si>
  <si>
    <t>jim@getroofsmart.com</t>
  </si>
  <si>
    <t>jims@getroofsmart.com</t>
  </si>
  <si>
    <t>https://northfaceconstruction.com/blog/roof-scupper/</t>
  </si>
  <si>
    <t>josh@northfaceconstruction.com</t>
  </si>
  <si>
    <t>info@northfaceconstruction.com</t>
  </si>
  <si>
    <t>https://www.wishtv.com/lifestyle/lifestylelive/indy-roof-restoration-community-support/</t>
  </si>
  <si>
    <t>https://blog.featured.com/the-mistake-that-makes-homeowners-and-real-estate-investors-leave-money-on-the-table/</t>
  </si>
  <si>
    <t>https://marketingsherpa.com/article/how-to/test</t>
  </si>
  <si>
    <t>https://10web.io/blog/roofing-websites/</t>
  </si>
  <si>
    <t>https://evstudio.com/epdm-vs-tpo-roofing/</t>
  </si>
  <si>
    <t xml:space="preserve">Chantz </t>
  </si>
  <si>
    <t>chantz.wallace@evstudio.com</t>
  </si>
  <si>
    <t>Design@evstudio.com</t>
  </si>
  <si>
    <t>Architechture</t>
  </si>
  <si>
    <t>https://ibuyer.com/blog/selling-a-house-with-hail-damage/</t>
  </si>
  <si>
    <t>https://ecofreek.com/biodegradable/ultimate-guide-to-sustainable-home-repairs-and-fixes/</t>
  </si>
  <si>
    <t>https://insidea.com/blog/marketing/roofing-companies/top-website-design-ideas/</t>
  </si>
  <si>
    <t>https://secure.qgiv.com/event/fohwalk4water/sponsors/</t>
  </si>
  <si>
    <t>https://rynoss.com/podcast/episode-107-explosive-growth-in-a-new-industry-by-doing-the-right-things/</t>
  </si>
  <si>
    <t>https://weboworld.com/listings/indiana/General-Contractors</t>
  </si>
  <si>
    <t>https://leagues.teamlinkt.com/gwgsl</t>
  </si>
  <si>
    <t>https://www.roofingcontractor.com/articles/101391-late-bloomer</t>
  </si>
  <si>
    <t>https://www.mdpi.com/2076-3417/14/22/10145</t>
  </si>
  <si>
    <t>https://www.startupinspire.com/blog/safety-measures-to-prevent-potential-workplace-accidents</t>
  </si>
  <si>
    <t>https://rubberandseal.com/epdm-vs-silicone-gasket-materials-for-spiral-duct-fittings/</t>
  </si>
  <si>
    <t>https://indytoday.6amcity.com/newsletter/00000197-557b-d62b-a3ff-55fba7e00000</t>
  </si>
  <si>
    <t>https://wibc.com/132779/smile-these-are-indianapolis-top-7-most-photogenic-areas/</t>
  </si>
  <si>
    <t>https://qualityroofingsolutions.com/blog/chimney-flashing/</t>
  </si>
  <si>
    <t>ben@qualityroofingsolutions.com</t>
  </si>
  <si>
    <t>katie.farnham@qualityroofingsolutions.com</t>
  </si>
  <si>
    <t>https://www.gaf.com/en-us/roofing-contractors/residential/usa/oh/dayton/johnson-restoration-1112740</t>
  </si>
  <si>
    <t>https://indyroofandrestoration.com/exposed-fastener-metal-roof/</t>
  </si>
  <si>
    <t>Aaron</t>
  </si>
  <si>
    <t>aaron@indyroofandrestoration.com</t>
  </si>
  <si>
    <t>https://www.thearcadiaonline.com/prepare-your-home-for-the-winter-a-manual/</t>
  </si>
  <si>
    <t>https://everafterinthewoods.com/ohio-pizza-parlors-id-pick-over-dominos-any-day/</t>
  </si>
  <si>
    <t>https://lwccareers.lindsey.edu/profiles/2935867-johnson-restoration</t>
  </si>
  <si>
    <t>https://sflcn.com/top-6-renovation-projects-you-shouldnt-postpone/</t>
  </si>
  <si>
    <t>https://www.nursing.psu.edu/external-scholarship-opportunities/</t>
  </si>
  <si>
    <t>https://avalaunchmedia.com/digital-marketing-services/web-and-conversion/</t>
  </si>
  <si>
    <t>https://wsutech.edu/payingforcollege/scholarships/</t>
  </si>
  <si>
    <t>https://www.we-heart.com/2025/08/27/how-to-choose-the-right-mover-for-a-seamless-relocation/</t>
  </si>
  <si>
    <t>https://famousparenting.com/moving-to-nyc-with-three-kids-and-a-dog-what-we-learned-the-hard-way/</t>
  </si>
  <si>
    <t>contact@famousparenting.com</t>
  </si>
  <si>
    <t>https://dream.utah.edu/dream_scholarships.php</t>
  </si>
  <si>
    <t>https://www.lsc.edu/foundation/scholarship-opportunities/external-scholarship-opportunities/</t>
  </si>
  <si>
    <t>https://www.articlesfactory.com/articles/home-business/cleaning-disinfecting-while-moving-know-from-moving-companies-in-nj.html</t>
  </si>
  <si>
    <t>https://www.transportreviews.com/Company/White-Glove-Moving</t>
  </si>
  <si>
    <t>http://directory.about.us/usdir/private/?&amp;p=266</t>
  </si>
  <si>
    <t>https://support.spaceshipapp.com/en/parcel-processing-center-relocation</t>
  </si>
  <si>
    <t>https://flevy.com/blog/restaurant-relocation-timeline-a-business-guide-for-owners/</t>
  </si>
  <si>
    <t>https://test.smartcanucks.ca/?t=202609714</t>
  </si>
  <si>
    <t>https://www.carthage.edu/live/news/36759-apply-for-scholarships-over-summer-break</t>
  </si>
  <si>
    <t>https://forums.tetongravity.com/home/forum/chatter-blather-and-archives/the-hall-of-fame/6622-your-best-picture-from-this-winter/page15</t>
  </si>
  <si>
    <t>https://www.sallie.com/scholarships/scholly/white-glove-moving--storage-2025-scholarship</t>
  </si>
  <si>
    <t>https://moveforhunger.org/crunch-fitness-locations-across-country-hold-massive-thanksgiving-food-drive</t>
  </si>
  <si>
    <t>https://talk3.hairboutique.com/forum_posts.php?TID=66396&amp;LIUID=0&amp;title=Applying-egg</t>
  </si>
  <si>
    <t>https://n1a.goexposoftware.com/events/rtp24/goExpo/exhibitor/viewExhibitorProfile.php?__id=235</t>
  </si>
  <si>
    <t>https://www.homeadvisor.com/rated.IntegrityHomeExteriors.88568049.html</t>
  </si>
  <si>
    <t>https://bucketlistrewards.com/blog/2026-frontline-workers-award-rankings/</t>
  </si>
  <si>
    <t>https://www.civillead.com/roof-replacement/</t>
  </si>
  <si>
    <t>civillead18@gmail.com</t>
  </si>
  <si>
    <t>info@civillead.com</t>
  </si>
  <si>
    <t>https://koriathome.com/is-it-time-for-a-roof-repair-or-a-full-replacement/</t>
  </si>
  <si>
    <t>https://www.homepros.com/merchants/integrity-home-exteriors/364483</t>
  </si>
  <si>
    <t>https://www.repcolite.com/tag/wallpaper/page/2/</t>
  </si>
  <si>
    <t>https://ocnjdaily.com/news/2026/jan/21/what-is-rendering-in-art-understanding-the-creative-and-technical-process/</t>
  </si>
  <si>
    <t>https://celebritymagazine.co.uk/3d-rendering-of-a-house-how-modern-visualization-brings-designs-to-life/</t>
  </si>
  <si>
    <t>contact.celebritymagazine@gmail.com</t>
  </si>
  <si>
    <t>https://sportuniverse.com/Publication/Index</t>
  </si>
  <si>
    <t>https://uknewspulse.co.uk/how-3d-product-visualization-is-revolutionizing-manufacturing-and-retail-industries</t>
  </si>
  <si>
    <t>uknewspulse374@gmail.com</t>
  </si>
  <si>
    <t>https://www.theconsumersfeedback.com/guestpost/boost-your-portfolio-with-high-impact-3d-rendering-animation</t>
  </si>
  <si>
    <t>https://qoutermenia.com/how-architectural-rendering-shapes-modern-urban-planning/</t>
  </si>
  <si>
    <t>https://fourmagazine.co.uk/how-to-perform-your-product-marketing-with-3d-visualization/</t>
  </si>
  <si>
    <t>https://www.smaestimating.com/types-of-construction-drawings/</t>
  </si>
  <si>
    <t>customercare@smaestimating.com</t>
  </si>
  <si>
    <t>https://boringmagazine.net/what-is-3d-modeling-and-why-do-architects-use-it/</t>
  </si>
  <si>
    <t>info@boringmgazine.net</t>
  </si>
  <si>
    <t>https://www.educa.jcyl.es/blogs/en/leyendo/comics-on-line-poesias-gloria-fuertes</t>
  </si>
  <si>
    <t>http://godchild.keenspot.com/comic/start/</t>
  </si>
  <si>
    <t>https://www.articleted.com/article/834112/166734/Best-3d-Visualization-Software-For-Designers-In-2024</t>
  </si>
  <si>
    <t>https://www.reviewadda.com/institute/details/634636/gd-goenka-world-institute-gdgwi-gurgaon</t>
  </si>
  <si>
    <t>https://steviejackson.alboompro.com/post/Top-Rendering-Software</t>
  </si>
  <si>
    <t>https://mytravaly.com/blog/blog-read/?t=What+is+the+Process+of+Converting+CAD+2D+Drawings+to+3D+Modelling%3F</t>
  </si>
  <si>
    <t>https://concretesubmarine.activeboard.com/t49971621/concrete-submarine-current-turbines/</t>
  </si>
  <si>
    <t>https://www.myvipon.com/post/1165780/suspend_product.php</t>
  </si>
  <si>
    <t>https://armayorista.xprostore.com/blog/xprostore-mendoza</t>
  </si>
  <si>
    <t>https://members5.boardhost.com/lonestarsoftball/thread/1707789328.html</t>
  </si>
  <si>
    <t>https://blog.zamstudios.com/what-are-reinforcing-renderings-and-why-are-they-essential-in-modern-architecture/</t>
  </si>
  <si>
    <t>https://sholinkportal.microsoftcrmportals.com/blogs/community/blog-post-one/</t>
  </si>
  <si>
    <t>https://techbehemoths.com/company/smaarchviz</t>
  </si>
  <si>
    <t>https://repack-mechanics.com/games/pc_torrent_download/3rd_person/star-wars-the-force-unleashed-dilogy-2009-2010-pc-repack-ot-rg-mehaniki/4-1-0-206</t>
  </si>
  <si>
    <t>https://indibloghub.com/post/how-much-does-a-rendering-cost-of-a-3-bedroom-house</t>
  </si>
  <si>
    <t>https://paidforarticles.in/how-to-use-3d-visualization-for-site-planning-and-design-810034</t>
  </si>
  <si>
    <t>https://www.thaiticketmajor.com/10th-anniversary/chaophraya-express-boat-details.php?wid=115</t>
  </si>
  <si>
    <t>https://ventsmagazine.co.uk/free-3d-rendering-programs/</t>
  </si>
  <si>
    <t>https://asuffolkmum.co.uk/how-to-create-stunning-3d-rendering-of-a-modern-houses/</t>
  </si>
  <si>
    <t>asuffolkmum@yahoo.com</t>
  </si>
  <si>
    <t>ismayj@hotmail.co.uk</t>
  </si>
  <si>
    <t>https://velog.io/@yoon_aspyn/JavaScript-Building-Blocks-Mini-Apps-Java-Script</t>
  </si>
  <si>
    <t>https://ezine-articles.com/what-is-art-deco-architecture-and-why-is-it-iconic/</t>
  </si>
  <si>
    <t>http://pigpigmentation.indiemade.com/blog/moodboard-monday-nocturnal-nursery-moths-constellations?icon_class=angle&amp;page=9</t>
  </si>
  <si>
    <t>https://forum.programosy.pl/spolszczenie-do-gry-cossacks-art-of-war-vp1274121.html-sid=2c6d4bbbd25188d8537bacef2d64d692</t>
  </si>
  <si>
    <t>https://www.chojnow.pl/forum/thread/view/id/1818/Comment_page/3?id=1818&amp;Comment_page=3&amp;app_lang=pl</t>
  </si>
  <si>
    <t>https://www.clickbank.com/blog/best-traffic-sources-for-affiliate-marketing/</t>
  </si>
  <si>
    <t>https://artsreview.com.au/how-to-make-a-room-feel-finished-without-redecorating/</t>
  </si>
  <si>
    <t>https://au.pinterest.com/zestlighting/</t>
  </si>
  <si>
    <t>https://worldbusinessoutlook.com/the-role-of-color-temperature-in-choosing-bathroom-lighting-fixtures/</t>
  </si>
  <si>
    <t>https://www.ausff.com.au/directory-listing/</t>
  </si>
  <si>
    <t>https://www.domuslighting.com.au/online-stockist/</t>
  </si>
  <si>
    <t>https://sportnation.nz/article/setting-up-a-pool-table-at-home-heres-what-actually-matters</t>
  </si>
  <si>
    <t>https://ausdroid.net/news/oc/2025/08/27/why-lighting-shouldnt-be-overlooked-in-home-design/</t>
  </si>
  <si>
    <t>https://thezillennialzine.com/2025/09/20/lighting-for-every-mood-how-to-set-the-right-ambiance/</t>
  </si>
  <si>
    <t>thezillennialzine@gmail.com</t>
  </si>
  <si>
    <t>https://houseploy.com/style-upgrades-that-dont-require-major-renovation/</t>
  </si>
  <si>
    <t>https://appinstitute.com/5-simple-but-effective-ways-you-can-make-life-easier-for-your-customer-service-staff/</t>
  </si>
  <si>
    <t>https://interia.com.au/resource/how-to-illuminate-your-path-to-business-productivity/</t>
  </si>
  <si>
    <t>https://www.sheppnews.com.au/general/how-lighting-can-make-or-break-a-small-bathroom-design/</t>
  </si>
  <si>
    <t>editor@sheppnews.com.au</t>
  </si>
  <si>
    <t>News.</t>
  </si>
  <si>
    <t>https://foter.com/pin/13719146</t>
  </si>
  <si>
    <t>https://www.female.com.au/kitchen-glow-up-2024s-must-have-modern-pendant-lights.htm</t>
  </si>
  <si>
    <t>michelle@female.com.au</t>
  </si>
  <si>
    <t>female@female.com.au</t>
  </si>
  <si>
    <t>https://gcmag.com.au/why-scandinavian-lighting-needs-to-be-on-your-home-renovation-list/</t>
  </si>
  <si>
    <t>Owen</t>
  </si>
  <si>
    <t>owen.george@gcmag.com.au</t>
  </si>
  <si>
    <t>info@gcmag.com.au</t>
  </si>
  <si>
    <t>https://www.nfh.ca/?n=347329828</t>
  </si>
  <si>
    <t>https://www.scalingupexcellence.com/how-home-design-influences-your-daily-mood/</t>
  </si>
  <si>
    <t>https://betterbuilthomes.com.au/northwood-54-colour-selection/</t>
  </si>
  <si>
    <t xml:space="preserve">Jayden </t>
  </si>
  <si>
    <t>jayden@betterbuilthomes.com.au</t>
  </si>
  <si>
    <t>info@betterbuilthomes.com.au</t>
  </si>
  <si>
    <t>https://www.kyfreepress.com.au/general/how-lighting-can-make-or-break-a-small-bathroom-design/</t>
  </si>
  <si>
    <t xml:space="preserve">Nikala </t>
  </si>
  <si>
    <t>nikala.dixon@mmg.com.au</t>
  </si>
  <si>
    <t>https://xpressmag.com.au/how-to-use-lighting-to-change-the-mood-of-a-living-room/</t>
  </si>
  <si>
    <t>https://www.dairynewsaustralia.com.au/general/how-lighting-can-make-or-break-a-small-bathroom-design/</t>
  </si>
  <si>
    <t>editor@dairynewsaustralia.com.au</t>
  </si>
  <si>
    <t>https://www.ilounge.com/articles/nightstand-must-haves-apple-watch-apps-to-enhance-your-sleep</t>
  </si>
  <si>
    <t>https://partners.bigcommerce.com/directory/partner/2291698/metaviz-llc</t>
  </si>
  <si>
    <t>https://www.riverineherald.com.au/general/how-lighting-can-make-or-break-a-small-bathroom-design/</t>
  </si>
  <si>
    <t>editorial@riverineherald.com.au</t>
  </si>
  <si>
    <t>https://afgonline.com.au/about/lender-panel/</t>
  </si>
  <si>
    <t>https://aviyne.com/first-time-property-investment-choosing-the-right-location/</t>
  </si>
  <si>
    <t>https://vibromedia.com/emerging-markets-identifying-lucrative-property-investment-opportunities/</t>
  </si>
  <si>
    <t>https://www.acquisition-international.com/strategic-financing-how-secured-loans-can-transform-your-business-landscape/</t>
  </si>
  <si>
    <t>https://brightreads.com/long-term-growth-potential-in-residential-property-investments/</t>
  </si>
  <si>
    <t>https://theenterpriseworld.com/mortgage-investment-funds-enrich-your-real/</t>
  </si>
  <si>
    <t>https://housingmarketnews.co.uk/residential-property-investment-strategies/</t>
  </si>
  <si>
    <t>https://au.gradconnection.com/employers/australian-secure-capital-fund/jobs/</t>
  </si>
  <si>
    <t>https://www.financialstandard.com.au/little_black_book/investment-managers-8358629?letter=A&amp;page=7</t>
  </si>
  <si>
    <t>info@financialstandard.com.au</t>
  </si>
  <si>
    <t>https://www.trustfinance.com/companies/australian-secure-capital-fund-ltd</t>
  </si>
  <si>
    <t>https://www.telguarder.com/au/tel/1300269419</t>
  </si>
  <si>
    <t>https://www.forbes.com.au/brand-voice/uncategorized/mortgage-private-credit-ascf/</t>
  </si>
  <si>
    <t>https://redandwhitemagz.com/how-to-manage-invest-your-finances-6-professional-tips-to-follow/</t>
  </si>
  <si>
    <t>info@redandwhitemagz.com</t>
  </si>
  <si>
    <t>https://kdarchitects.us/complete-storm-damage-cleanup-after-wind-rain-or-hail/</t>
  </si>
  <si>
    <t>kdarchitects1122@gmail.com</t>
  </si>
  <si>
    <t>https://dutable.com/flood-damage-restoration-step-by-step-guide-with-24-hour-flood-pros/</t>
  </si>
  <si>
    <t>https://www.rawmags.com/expert-mold-removal-services-for-a-clean-healthy-home/</t>
  </si>
  <si>
    <t>rawmags1@gmail.com</t>
  </si>
  <si>
    <t>https://www.zerohedge.com/user/5uAjxA7XKKVNBf7nrc7UB7OJU6x2</t>
  </si>
  <si>
    <t>https://leetcode.com/u/weriney262/</t>
  </si>
  <si>
    <t>https://24hourfloodpros.alboompro.com/</t>
  </si>
  <si>
    <t>https://linkbio.co/7031414OoWkqp</t>
  </si>
  <si>
    <t>https://audiomack.com/floodhours</t>
  </si>
  <si>
    <t>https://oysterlink.com/company-profile/24-hour-flood-pros-1/</t>
  </si>
  <si>
    <t>https://dailytrust.com/your-guide-to-professional-flood-restoration-what-really-happens-after-water-damage/</t>
  </si>
  <si>
    <t>https://www.notebook.ai/users/1063670</t>
  </si>
  <si>
    <t>https://www.findtheneedle.co.uk/companies/24-hour-flood-pros</t>
  </si>
  <si>
    <t>https://ukconstructionblog.co.uk/2025/08/25/eliminate-mould-quickly-with-professional-mould-removal-service/</t>
  </si>
  <si>
    <t>https://network.musicdiffusion.com/read-blog/16569_how-to-remove-mold-safely-and-effectively-at-home.html</t>
  </si>
  <si>
    <t>https://24-hour-flood-pros-llc.careerplug.com/account?locale=es</t>
  </si>
  <si>
    <t>https://www.buddyprogram.org/gingerbreadhouse</t>
  </si>
  <si>
    <t>https://www.berridge.com/projects/the-sky-residences-at-w-aspen/</t>
  </si>
  <si>
    <t>http://carbondalechamber.chambermaster.com/list/category/hvac-176?o=</t>
  </si>
  <si>
    <t>https://associatedgeneralcontractorsofcolorado.growthzoneapp.com/find-a-member/Details/pacific-sheet-metal-inc-4097260</t>
  </si>
  <si>
    <t>http://agccolorado.memberzone.com/list/member/pacific-sheet-metal-inc-4444</t>
  </si>
  <si>
    <t>https://www.cadcrowd.com/blog/top-41-interior-3d-design-firms-for-3d-rendering-firms-visualization-companies-in-the-us/</t>
  </si>
  <si>
    <t>https://shedblog.com.au/shed-building-budget-control-how-3d-site-plan-rendering-prevents-costly-on-site-surprises/</t>
  </si>
  <si>
    <t xml:space="preserve">david@shedblog.com.au </t>
  </si>
  <si>
    <t>admin@shedblog.com.au</t>
  </si>
  <si>
    <t>https://din-studio.com/architectural-visualization-for-viral-real-estate-content-on-social-media/</t>
  </si>
  <si>
    <t>https://bluelinebiz.com/customer-centric-design-improving-tenant-satisfaction-via-3d-architectural-visualizations/</t>
  </si>
  <si>
    <t>hello@bluelinebiz.com</t>
  </si>
  <si>
    <t>Generic (fin)</t>
  </si>
  <si>
    <t>https://www.saudi-expatriates.com/2025/07/from-concept-to-reality-how-3d-rendering-shapes-regtail-comercial-spaces-for-expats-in-ksa.html</t>
  </si>
  <si>
    <t>https://knowff.com/choosing-the-right-partner-a-guide-to-evaluating-a-3d-visualisation-company/</t>
  </si>
  <si>
    <t>https://businesstask.co.uk/using-commercial-3d-renderings-in-bidding-competitions-and-investor-pitches/</t>
  </si>
  <si>
    <t>https://addmagazine.co.uk/global-sales-reach-selling-commercial-real-estate-to-international-buyers-through-remote-3d-walkthroughs/</t>
  </si>
  <si>
    <t>addmagazine.co.uk@gmail.com</t>
  </si>
  <si>
    <t xml:space="preserve">Generic </t>
  </si>
  <si>
    <t>https://www.myarchitectai.com/blog/architectural-rendering-companies</t>
  </si>
  <si>
    <t>Kacper</t>
  </si>
  <si>
    <t>kacper@myarchitectai.com</t>
  </si>
  <si>
    <t>support@myarchitectai.com</t>
  </si>
  <si>
    <t>Architecture</t>
  </si>
  <si>
    <t>https://sendbridge.com/marketing/beyond-the-standard-how-top-360-virtual-tour-companies-elevate-a-brands-digital-storytelling</t>
  </si>
  <si>
    <t>https://humansofglobe.com/how-3d-architectural-animation-is-changing-the-way-we-market-projects/</t>
  </si>
  <si>
    <t>https://hickmandesign.co.uk/blog/recommendations/top-countries-with-the-best-conditions-for-opening-a-3d-visualisation-studio/</t>
  </si>
  <si>
    <t xml:space="preserve">Luke </t>
  </si>
  <si>
    <t>luke@hickmandesign.co.uk</t>
  </si>
  <si>
    <t>Design</t>
  </si>
  <si>
    <t>https://designsvalley.com/architectural-3d-visualization-new-era-the-role-of-ai-in-enhancing-design-accuracy-and-efficiency/</t>
  </si>
  <si>
    <t>https://www.cgarchitect.com/companies/7a2eb02e-cylind-studio</t>
  </si>
  <si>
    <t>https://nobserver.com/the-100-million-pitch-why-luxury-real-estate-relies-on-3d-architectural-visualization-services/</t>
  </si>
  <si>
    <t>https://ordnur.com/others/california-architecture-meets-innovation/</t>
  </si>
  <si>
    <t>nahian@ordnur.com</t>
  </si>
  <si>
    <t>https://thebrandhopper.com/2024/10/12/why-virtual-tour-agencies-are-essential-for-boosting-brand-presence/</t>
  </si>
  <si>
    <t>https://retail-focus.co.uk/what-is-3d-rendering-learn-the-basics-for-beginners/</t>
  </si>
  <si>
    <t>lee@retail-focus.co.uk</t>
  </si>
  <si>
    <t>https://www.designer.tips/blog/photorealism-in-architectural-visualization</t>
  </si>
  <si>
    <t>https://www.modernistic.com/mod-blog/360-immersion-for-real-estate-and-business-virtual-tour-services-today/</t>
  </si>
  <si>
    <t>https://www.promoteproject.com/public/index.php/tag/rendering</t>
  </si>
  <si>
    <t>https://www.mindmingles.com/the-role-of-360-degree-virtual-tours-in-visual-search-optimization-for-ecommerce/</t>
  </si>
  <si>
    <t>https://www.thecwordmag.co.uk/design/pioneering-pixels-women-leading-the-charge-in-3d-rendering-companies</t>
  </si>
  <si>
    <t>https://www.patioandpizza.com/blogs/resources/planning-for-the-seasons-designs-for-year-round-outdoor-use</t>
  </si>
  <si>
    <t>customerservice@patioandpizza.com</t>
  </si>
  <si>
    <t>https://pixelixe.com/blog/page/8/</t>
  </si>
  <si>
    <t>https://e-natura.unsa.edu.ar/moodle/mod/forum/discuss.php?d=17392&amp;parent=33443</t>
  </si>
  <si>
    <t>https://archinect.com/cylind</t>
  </si>
  <si>
    <t>https://farmhousekitchenandbath.com/blogs/news/why-hiring-a-3d-rendering-company-is-necessary-for-farmhouse-kitchen-planning</t>
  </si>
  <si>
    <t>https://www.kotplanet.be/members/henriettaadkins/profile/</t>
  </si>
  <si>
    <t>https://www.pnmmedia.com/b2b-marketing-for-architects-differentiating-your-firm-with-premium-3d-architectural-visualization-services/</t>
  </si>
  <si>
    <t>manishk5351@gmail.com</t>
  </si>
  <si>
    <t>http://forums.maxperformanceinc.com/forums/member.php?u=206205</t>
  </si>
  <si>
    <t>https://cozmicway.com/natural-and-artificial-light-shifts-with-architectural-visualization/</t>
  </si>
  <si>
    <t>ashleyzaavala@gmail.com</t>
  </si>
  <si>
    <t>https://montpellier.onvasortir.com/profil_read.php?Florathompson95</t>
  </si>
  <si>
    <t>https://soulinner.com/global-reach-local-impact-using-3d-architectural-animation-to-attract-overseas-buyers-and-investors/</t>
  </si>
  <si>
    <t>https://news.gcu.edu.pk/en/virtual-staging-real-estate-benefits/</t>
  </si>
  <si>
    <t>https://www.project1999.com/forums/member.php?u=307416</t>
  </si>
  <si>
    <t>https://toddleabout.co.uk/parenting/how-3d-exterior-visualisations-can-help-you-plan-a-child-friendly-backyard/</t>
  </si>
  <si>
    <t>https://www.majalahsains.com/careers/employer/cylind/</t>
  </si>
  <si>
    <t>https://mansionfreak.com/blog/3d-architecture-studio/</t>
  </si>
  <si>
    <t>mansionfreak1@gmail.com</t>
  </si>
  <si>
    <t>https://www.fusioncash.net/forum.php?topic=97794.0</t>
  </si>
  <si>
    <t>https://techepeak.com/digital-twins-and-beyond-how-architectural-visualization-services-support-smart-city-tech/</t>
  </si>
  <si>
    <t>https://www.seo-for-jobs.com/companies/cylind/cylind-profile</t>
  </si>
  <si>
    <t>https://www.thisisant.com/forum/adopt/viewthread/9755</t>
  </si>
  <si>
    <t>https://theinspirationgrid.com/architectual-concepts-visualization-by-cylind/</t>
  </si>
  <si>
    <t>https://advids.co/agencies/15-best-3d-animated-flythrough-video-agencies-serving-germany</t>
  </si>
  <si>
    <t>https://bedoksg.com/stop-guessing-the-vibe-how-360-virtual-tours-services-let-you-test-the-mood-of-a-venue-before-booking/</t>
  </si>
  <si>
    <t>https://knowmedge.com/medical_boards_forum/viewtopic.php?f=22&amp;t=14287</t>
  </si>
  <si>
    <t>https://supremarine.com/post/kambanes-house/</t>
  </si>
  <si>
    <t>https://www.csmusic.net/artists/details/YXJ0aXN0cyU1QmlkJTVEPTA1YWJiNTdiLTg3M2EtNDg5OS1hMjE0LTg1NjM1ZmRjMjVkZg==</t>
  </si>
  <si>
    <t>https://feedback.challonge.com/forums/44455-feature-requests/suggestions/48815828-3d-architectural-animation-services</t>
  </si>
  <si>
    <t>https://northremovals.com.au/cost-of-living-in-australia/</t>
  </si>
  <si>
    <t>https://www.realestate.com.au/agency/buyers-advocate-hawthorn-NITYER</t>
  </si>
  <si>
    <t>https://www.constructionplacements.com/effective-property-management-strategies/</t>
  </si>
  <si>
    <t>https://www.allhomes.com.au/agency/buyer-s-advocate-503224/</t>
  </si>
  <si>
    <t>https://reiv.com.au/agent/Wa823fVgoxPYTopi614Q3A/paul-borovac</t>
  </si>
  <si>
    <t>https://rebaa.com.au/members/buyers-advocate/</t>
  </si>
  <si>
    <t>https://www.jbsagolf.com/blogs/building-or-buying-a-home-practical-tips-you-need-to-follow/</t>
  </si>
  <si>
    <t>https://www.domain.com.au/living/the-great-outdoors-which-areas-of-the-home-do-buyers-care-about-most-20180321-h0xpt1/</t>
  </si>
  <si>
    <t>https://bambooroutes.com/blogs/news/melbourne-property</t>
  </si>
  <si>
    <t>https://www.globenewswire.com/fr/news-release/2024/08/28/2937071/0/en/Buyers-Advocate-Launch-Property-Management-and-Vendor-Advocacy-Services-in-Melbourne.html</t>
  </si>
  <si>
    <t>https://www.thewhig.com/newsfile/235136-buyers-advocate-melbournes-trusted-vendor-advocacy-experts-report-shows-the-importance-of-professional-guidance-amid-falling-house-prices</t>
  </si>
  <si>
    <t>https://m.insidertracking.com/buyers-advocate-melbourne-s-trusted-vendor-advocacy-experts-report-shows-the-importance-of-professional-guidance-amid-falling-house-prices</t>
  </si>
  <si>
    <t>https://www.moneyhub.co.nz/reliable-house-painting-services-auckland.html</t>
  </si>
  <si>
    <t>Christopher</t>
  </si>
  <si>
    <t>christopher@moneyhub.co.nz</t>
  </si>
  <si>
    <t>https://f002.backblazeb2.com/file/aucklandpremiumpainters/house-painters-auckland.html</t>
  </si>
  <si>
    <t>https://archipro.co.nz/project/gasket-auckland-premium-painters</t>
  </si>
  <si>
    <t>https://nextgenwebs.github.io/aucklandpremiumpainters/auckland-plasterer.html</t>
  </si>
  <si>
    <t>https://aucklandpremiumpainters.sgp1.digitaloceanspaces.com/house-painters-auckland.html</t>
  </si>
  <si>
    <t>https://cloudstorage50.blob.core.windows.net/aucklandpremiumpainters/painters-auckland.html</t>
  </si>
  <si>
    <t>https://aucklandpremiumpainters.us-southeast-1.linodeobjects.com/auckland-plasterer.html</t>
  </si>
  <si>
    <t>https://www.neighbourly.co.nz/business/list/electricians-1</t>
  </si>
  <si>
    <t>https://archipro.com.au/professional/strata-electrical/case-studies?categoryLink=%2Fprojects</t>
  </si>
  <si>
    <t>https://supergold.govt.nz/offers/16033?menu%5Bdistrict%5D=&amp;menu%5Bregion%5D=Canterbury</t>
  </si>
  <si>
    <t>https://franchise.co.nz/franchise-directory/1630-perl-plumbing-perl-electrical?object=price_range&amp;object_id=1</t>
  </si>
  <si>
    <t>https://geekmamas.com/2025/03/26/why-heat-pump-servicing-is-crucial-for-year-round-comfort/</t>
  </si>
  <si>
    <t>Candy</t>
  </si>
  <si>
    <t>candy@geekmamas.com</t>
  </si>
  <si>
    <t>https://www.marinetraffic.com/it/maritime-companies/directory/industry:electronics/secind:7/sublocation:New%20Zealand</t>
  </si>
  <si>
    <t>https://yellow.co.nz/Manukau+City/Breakers</t>
  </si>
  <si>
    <t>https://www.apsense.com/user/perlelectrical</t>
  </si>
  <si>
    <t>https://www.environmental-expert.com/services/ventilation-extraction-heat-transfer-services-1147739</t>
  </si>
  <si>
    <t>https://m.finda.co.nz/electrical-supplies/15/?f=New+Zealand</t>
  </si>
  <si>
    <t>https://www.infonews.co.nz/news.cfm?id=124622</t>
  </si>
  <si>
    <t>https://www.companyhub.nz/companyDetails.cfm?nzbn=9429048782210</t>
  </si>
  <si>
    <t>https://www.countrylife.co.uk/interiors/the-pair-drove-to-belgium-in-their-mini-and-returned-with-the-chair-wrapped-in-duvets-the-mother-and-daughter-duo-that-brought-a-converted-cotswolds-barn-back-to-life</t>
  </si>
  <si>
    <t>https://www.construction.co.uk/c/538491/classic-finishes</t>
  </si>
  <si>
    <t>https://www.lukearthurwells.com/my-house/small-courtyard-garden-before-and-after</t>
  </si>
  <si>
    <t>https://www.remodelista.com/posts/trend-alert-brick-floors-interiors-edition/</t>
  </si>
  <si>
    <t>annie@nyu.edu</t>
  </si>
  <si>
    <t>julie.carlson@yahoo.com</t>
  </si>
  <si>
    <t>Mitchell</t>
  </si>
  <si>
    <t>https://www.livingetc.com/features/its-a-game-changer-this-kitchens-uniquely-shaped-island-completely-shifts-the-spaces-layout-for-the-better</t>
  </si>
  <si>
    <t>https://bloomstonehome.com/cost-effective-flooring-solutions-for-home-redesign-enthusiasts/</t>
  </si>
  <si>
    <t>help@bloomstonehome.com</t>
  </si>
  <si>
    <t>https://yorkshirewonders.co.uk/innovative-flooring-trends-for-home-remodel-projects</t>
  </si>
  <si>
    <t>https://www.buildscotland.co.uk/c/491323/c-s-joinery-ltd</t>
  </si>
  <si>
    <t>https://dailycivil.com/how-reclaimed-pine-floorboards-enhance-sustainable-home-design/</t>
  </si>
  <si>
    <t xml:space="preserve"> admin@dailycivil.com</t>
  </si>
  <si>
    <t>https://www.constructionlondon.co.uk/d_s/746/15/camden/reclaimed-flooring</t>
  </si>
  <si>
    <t>https://www.constructionireland.ie/c/589982/reaseheath-college</t>
  </si>
  <si>
    <t>https://sorry-about-the-mess.co.uk/5-benefits-of-using-reclaimed-or-antique-tiles/</t>
  </si>
  <si>
    <t>https://www.elevatedmagazines.com/single-post/rustic-flooring-design-ideas-to-transform-your-space</t>
  </si>
  <si>
    <t>https://sanders-jeantn7476.firebaseapp.com/terra-cotta-tile-kitchen.html</t>
  </si>
  <si>
    <t>https://blog.ebunoluwole.com/reclaimed-oak-flooring/</t>
  </si>
  <si>
    <t xml:space="preserve">Ebun </t>
  </si>
  <si>
    <t>ebun@ebunandlife.com</t>
  </si>
  <si>
    <t>Generic (life)</t>
  </si>
  <si>
    <t>https://cdscrapmetal.com/recycling-a-to-z/</t>
  </si>
  <si>
    <t>https://bestexteriorsinc.com/blog/nail-pops-on-roof/</t>
  </si>
  <si>
    <t>https://kea-home.com/protect-your-home-from-roof-leaks-in-lorton-easy-tips-to-keep-your-roof-safe/</t>
  </si>
  <si>
    <t>https://thehomeytrotters.com/top-roof-repair-problems-lorton-homeowners-face-every-year/</t>
  </si>
  <si>
    <t>signoxforge@gmail.com</t>
  </si>
  <si>
    <t>Generic (home)</t>
  </si>
  <si>
    <t>https://crystalbeach.com/blog/7-common-issues-that-often-require-professional-roofing-repairs/</t>
  </si>
  <si>
    <t>adv@crystalbeach.com</t>
  </si>
  <si>
    <t>Vacation rental</t>
  </si>
  <si>
    <t>https://myflashyhome.com/the-fairfax-homeowners-guide-to-weatherproofing-before-its-too-late/</t>
  </si>
  <si>
    <t>https://skywarddigital.com.au/how-to-create-a-strong-brand-identity-for-your-roofing-service-business/</t>
  </si>
  <si>
    <t>https://www.mindbodydad.com/body/maintaining-a-metal-roof-for-long-term-performance</t>
  </si>
  <si>
    <t>https://songoftruth.org/how-to-maintain-your-roof-like-a-pro-7-tips-inside/</t>
  </si>
  <si>
    <t>https://www.proven.partners/blog/capital-raising-real-estate</t>
  </si>
  <si>
    <t>https://thehometrotters.com/how-rent-management-software-can-transform-your-property-business/</t>
  </si>
  <si>
    <t>https://www.thepaintedhinge.com/things-you-should-know-before-buying-a-house/</t>
  </si>
  <si>
    <t>https://www.agencyheight.com/selling-your-home-insurance-considerations-before-you-close/</t>
  </si>
  <si>
    <t>info@agencyheight.com</t>
  </si>
  <si>
    <t>https://modernbusinesslife.com/how-to-choose-a-financial-planner-in-2025/</t>
  </si>
  <si>
    <t>https://robthecoins.com/why-is-real-estate-the-perfect-investment-what-every-beginner-should-know/</t>
  </si>
  <si>
    <t>info@robthecoins.com</t>
  </si>
  <si>
    <t>https://www.tomsguide.com/home/outdoors/i-asked-experts-if-i-can-paint-my-side-of-my-neighbors-fence-heres-what-they-say</t>
  </si>
  <si>
    <t>https://www.brightbidhomes.com/blog/what-is-seller-financing/</t>
  </si>
  <si>
    <t xml:space="preserve">Hilary </t>
  </si>
  <si>
    <t>hilary@brightbidhomes.com</t>
  </si>
  <si>
    <t>https://coststatus.com/financial-lifelines-what-to-do-when-you-need-financial-assistance-in-a-hurry/</t>
  </si>
  <si>
    <t>https://travlfi.com/blog/the-new-american-dream%20/95</t>
  </si>
  <si>
    <t>https://kdarchitects.net/investing-in-a-flipped-home-watch-out-for-these-hidden-red-flags/</t>
  </si>
  <si>
    <t>https://wealthybyte.com/companies-like-opendoor/</t>
  </si>
  <si>
    <t>wealthybyte@gmail.com</t>
  </si>
  <si>
    <t>Generic (Fin)</t>
  </si>
  <si>
    <t>https://aihomedesign.com/blog/ai-in-real-estate/ai-in-property-search/</t>
  </si>
  <si>
    <t>support@aihomedesign.com</t>
  </si>
  <si>
    <t>https://masterrealtysolutions.com/property-investment-101-a-beginner-s-guide-to-getting-started/</t>
  </si>
  <si>
    <t>https://www.apmhelp.com/blog/property-management-taxes-louisiana</t>
  </si>
  <si>
    <t>https://expatnetwork.com/dual-citizenship-and-real-estate-ownership-how-property-rights-differ-across-borders/</t>
  </si>
  <si>
    <t>https://textify.ai/revolutionizing-property-management-cansofts-home-podium-platform/</t>
  </si>
  <si>
    <t>https://www.financialsamurai.com/how-to-spot-red-flags-in-off-plan-property-investments/</t>
  </si>
  <si>
    <t>Sam</t>
  </si>
  <si>
    <t>sam@financialsamurai.com</t>
  </si>
  <si>
    <t>R.E (Fin)</t>
  </si>
  <si>
    <t>https://blog.itscovered.com/state-guides/tennessee-home-insurance-market</t>
  </si>
  <si>
    <t>https://www.benzinga.com/news/legal/25/02/43914251/rebuilding-your-credit-after-a-foreclosure</t>
  </si>
  <si>
    <t>https://huliq.com/understanding-property-taxes/</t>
  </si>
  <si>
    <t>james@huliq.com</t>
  </si>
  <si>
    <t>info@huliq.com</t>
  </si>
  <si>
    <t>https://www.bkreader.com/sponsored/what-you-need-to-know-before-buying-real-estate-in-new-york-10886878</t>
  </si>
  <si>
    <t>https://www.trianglelawns.com/</t>
  </si>
  <si>
    <t>https://myfox8.com/news/north-carolina/piedmont-triad/dangerous-creatures-to-look-out-for-this-summer-in-north-carolina/</t>
  </si>
  <si>
    <t>https://bestbeebrothers.com/blogs/blog/carpenter-bees-vs-bumble-bees</t>
  </si>
  <si>
    <t>https://web.raleighchamber.org/Pest-Control-Services/Triangle-Pest-Control-22016</t>
  </si>
  <si>
    <t>https://freshysites.com/web-design-development/best-pest-control-websites/</t>
  </si>
  <si>
    <t>https://www.mypmp.net/blogs/</t>
  </si>
  <si>
    <t>https://www.pctonline.com/news/pmps-adapt-coronavirus-covid-19-business-safety-considerations/</t>
  </si>
  <si>
    <t>http://www.athleisuremag.com/the-latest/tag/food</t>
  </si>
  <si>
    <t>https://myliberla.com/what-to-look-for-in-a-reliable-pest-control-company/</t>
  </si>
  <si>
    <t>https://expertteamname.com/emergency-pest-control-what-to-do-when-infestation-strikes/</t>
  </si>
  <si>
    <t>https://ibusinessfunding.com/resources/decide-whether-purchase-another-business</t>
  </si>
  <si>
    <t>https://www.socosy.co.uk/our-blog/support-sustainability-at-home/</t>
  </si>
  <si>
    <t>https://moz.com/case-studies/coalmarch</t>
  </si>
  <si>
    <t>https://pepperjoe.com/blogs/blog/how-growing-your-own-pepper-plants-fresh-produce-helps-combat-carbon-emissions</t>
  </si>
  <si>
    <t>https://miraclehill.org/transitional-housing-supports-path-to-recovery/</t>
  </si>
  <si>
    <t>https://www.joe.co.uk/life/giant-rats-the-size-of-cats-invading-british-homes-through-our-toilets-expert-warns-291696</t>
  </si>
  <si>
    <t>https://kimmie-smith-nn7n.squarespace.com/the-latest/tag/food</t>
  </si>
  <si>
    <t>https://newznav.com/why-choosing-a-local-exterminator-matters-for-fast-results/</t>
  </si>
  <si>
    <t>https://raleighmag.com/2022/01/raleigh-like-a-local/</t>
  </si>
  <si>
    <t xml:space="preserve">Melissa </t>
  </si>
  <si>
    <t>melissa@raleighmag.com</t>
  </si>
  <si>
    <t>lauren@raleighmag.com</t>
  </si>
  <si>
    <t>https://worldwidesciencestories.com/how-to-quickly-find-a-trusted-exterminator-near-you/</t>
  </si>
  <si>
    <t>https://insightpest.com/test/</t>
  </si>
  <si>
    <t>https://www.lawnandlandscape.com/article/ll1114-insect-control-services-addon/</t>
  </si>
  <si>
    <t>https://bobgunn.com.au/7-ways-to-prevent-ants-from-taking-over-your-kitchen/</t>
  </si>
  <si>
    <t>admin@bobgunn.com.au</t>
  </si>
  <si>
    <t>Home impv (pest)</t>
  </si>
  <si>
    <t>https://numberlina.com/choosing-the-right-pest-control-company-a-quick-guide/</t>
  </si>
  <si>
    <t>https://thomaspestservices.com/blog/post/ick-or-treat</t>
  </si>
  <si>
    <t>https://unbelievable-facts.com/list/interesting-facts/31</t>
  </si>
  <si>
    <t>https://qclife.wbtv.com/2022/03/30/keeping-pests-away-your-home-this-spring/</t>
  </si>
  <si>
    <t>https://pruittijaqtkyaht.page.tl/cleaning-apartment-Secrets.htm</t>
  </si>
  <si>
    <t>https://goodmooddotcom.com/the-benefits-of-hiring-certified-pest-control-experts/</t>
  </si>
  <si>
    <t>https://www.thecooldown.com/green-home/winter-sowing-seeds-garden-hack/</t>
  </si>
  <si>
    <t>https://www.wccbcharlotte.com/2025/07/10/above-average-summer-heat-causing-more-bugs-to-come-into-homes/</t>
  </si>
  <si>
    <t>https://a-moz.groupbuyseo.org/case-studies/coalmarch</t>
  </si>
  <si>
    <t>https://gardenculturemagazine.com/why-everyone-should-celebrate-plant-a-vegetable-garden-day/</t>
  </si>
  <si>
    <t>https://politicser.com/how-same-day-exterminators-in-charlotte-handle-urgent-infestations/</t>
  </si>
  <si>
    <t>https://quotela.net/why-concord-residents-trust-triangle-pest-control-for-long-term-relief/</t>
  </si>
  <si>
    <t>https://gorillaoverview.com/the-role-of-wood-accuracy-in-controlling-construction-budgets/</t>
  </si>
  <si>
    <t>https://fluxmagazine.co.uk/how-to-improve-estimating-accuracy-with-data-driven-insights/</t>
  </si>
  <si>
    <t>https://infodailybuzz.com/the-role-of-lumber-estimation-in-cost-control-and-profitability/</t>
  </si>
  <si>
    <t>adseo9900@gmail.com</t>
  </si>
  <si>
    <t>diliona750@gmail.com</t>
  </si>
  <si>
    <t>https://blogpioneer.co.uk/the-role-of-automation-in-modern-procurement-workflows/</t>
  </si>
  <si>
    <t>https://goldenmagazine.co.uk/aligning-cost-accuracy-with-sustainability-in-modern-construction/</t>
  </si>
  <si>
    <t>goldenmagazinee@gmail.com</t>
  </si>
  <si>
    <t>https://doopermagazine.co.uk/the-complete-guide-to-working-with-trusted-steel-stockholders/</t>
  </si>
  <si>
    <t>doopermagazine.co.uk@gmail.com</t>
  </si>
  <si>
    <t>https://r6marketplace.ca/cost-focused-resource-review-systems-designed-for-complex-build-environments/</t>
  </si>
  <si>
    <t>info.r6marketplace@gmail.com</t>
  </si>
  <si>
    <t>https://ukrtime.co.ua/redefining-efficiency-with-digital-lumber-estimating-tools/</t>
  </si>
  <si>
    <t>https://techimaging.co.uk/mastering-the-art-of-construction-estimation-tips-and-best-practices/</t>
  </si>
  <si>
    <t>https://www.utdplug.co.uk/building-with-precision-the-evolution-of-construction-cost-estimation/</t>
  </si>
  <si>
    <t>https://study4sure.com/from-lumber-takeoff-to-strategic-insight-the-role-of-data-in-construction/</t>
  </si>
  <si>
    <t>https://viralfeed.uk/real-time-estimation-the-future-of-building-accuracy/</t>
  </si>
  <si>
    <t>contactviralfeed@gmail.com</t>
  </si>
  <si>
    <t>https://braflix.org.uk/understanding-digital-tools-for-precise-lumber-takeoff/</t>
  </si>
  <si>
    <t>https://loveregards.com/cost-focused-resource-review-systems-designed-for-complex-build-environments/</t>
  </si>
  <si>
    <t>https://glowyp.com/smart-practices-that-enhance-construction-estimating/</t>
  </si>
  <si>
    <t>info.kylemark@gmail.com</t>
  </si>
  <si>
    <t>https://namescastle.com/the-rise-of-digital-estimators-technology-transforming-construction-costs/</t>
  </si>
  <si>
    <t>https://themomentsmag.com/next-level-timber-evaluation-enhancing-contractor-decision-making/</t>
  </si>
  <si>
    <t>themomentsmag1@gmail.com</t>
  </si>
  <si>
    <t>https://speculativechic.com/material-quantification/</t>
  </si>
  <si>
    <t>americanlinksorg@gmail.com</t>
  </si>
  <si>
    <t>https://visacheckqatar.com/streamlining-cost-estimation-strategies-for-smarter-project-planning/</t>
  </si>
  <si>
    <t>https://grammarpaths.com/modern-wood-measurement-intelligence-for-performance-driven-builds/</t>
  </si>
  <si>
    <t>https://www.easygrader.net/blog/the-importance-of-accurate-construction-estimation-in-modern-projects/</t>
  </si>
  <si>
    <t>wedodigitaleditor@gmail.com</t>
  </si>
  <si>
    <t>https://idiomsinsider.com/smart-wood-quantity-planning-methods-for-cost-controlled-construction/</t>
  </si>
  <si>
    <t>inquiry.idiomsinsider@gmail.com</t>
  </si>
  <si>
    <t>https://pepper0.com/strategic-timber-measurement-techniques-guiding-smarter-budgets/</t>
  </si>
  <si>
    <t>https://reelsmedia.co.uk/post-pandemic-construction-estimation-adapting-to-new-industry-norms/</t>
  </si>
  <si>
    <t>https://www.tribune.co.com/smart-timber-resource-control-for-sustainable-construction-growth/</t>
  </si>
  <si>
    <t>https://greenrecord.co.uk/how-construction-estimating-firms-help-contractors-win-more-bids/</t>
  </si>
  <si>
    <t>https://buzzcutofficial.com/innovative-2025-construction-logic-for-streamlined-material-use/</t>
  </si>
  <si>
    <t>https://rapidmagazine.co.uk/why-procurement-strategy-and-cad-drafting-matter-in-competitive-bidding/</t>
  </si>
  <si>
    <t>https://incestflox.net/the-essential-guide-to-accurate-construction-estimation-in-modern-projects/</t>
  </si>
  <si>
    <t>https://blogbuz.co.uk/innovative-tools-and-equipment-revolutionizing-the-construction-process/</t>
  </si>
  <si>
    <t>https://www.solutionhow.com/en-us/education/how-to-estimate-overhead-costs-in-construction-projects/</t>
  </si>
  <si>
    <t>https://ourcodeworld.com/articles/read/2621/automated-lumber-takeoff-technology-enhancing-speed-and-precision-in-construction</t>
  </si>
  <si>
    <t>https://newsdipper.co.uk/understanding-market-trends-their-impact-on-construction-estimation</t>
  </si>
  <si>
    <t>https://aijourn.com/the-impact-of-artificial-intelligence-on-cost-and-time-efficiency-in-estimation/</t>
  </si>
  <si>
    <t>https://www.beststartupstory.com/cost-estimation-matters-in-successful-construction-projects/</t>
  </si>
  <si>
    <t>https://dailyodyssey.co.uk/transform-project-planning-with-reliable-timber-estimates/</t>
  </si>
  <si>
    <t>blogger.sohailcherry@gmail.com</t>
  </si>
  <si>
    <t>https://newscooper.co.uk/the-role-of-digital-material-tools-in-construction-planning/</t>
  </si>
  <si>
    <t>https://primejournal.co.uk/2026/01/15/how-proactive-estimating-transforms-financial-planning-in-construction-projects/</t>
  </si>
  <si>
    <t>https://instander-official.com/top-rated-construction-estimation-services-for-your-next-build/</t>
  </si>
  <si>
    <t>https://learnlaughspeak.com/strategic-cost-planning-the-power-of-construction-estimation/</t>
  </si>
  <si>
    <t>https://vegassweeps.io/professional-construction-cost-estimation-fast-turnaround-detailed-reports/</t>
  </si>
  <si>
    <t>https://starbucks-menus.com/the-role-of-accuracy-in-construction-estimation-for-successful-projects/</t>
  </si>
  <si>
    <t>info@backlinkexplore.com</t>
  </si>
  <si>
    <t>https://punzify.com/data-driven-methods-optimizing-construction.html</t>
  </si>
  <si>
    <t>https://theblockdfw.com/why-automation-is-the-key-to-accurate-and-consistent-pricing-decisions/</t>
  </si>
  <si>
    <t>https://www.nameslection.com/from-early-budgets-to-final-costs-the-evolving-role-of-construction-estimation/</t>
  </si>
  <si>
    <t>https://iocmkt.com/life-style/the-future-of-construction-estimation-trends-and-innovations-to-watch</t>
  </si>
  <si>
    <t>https://baddieshub.co.uk/how-we-deliver-accurate-cost-estimates/</t>
  </si>
  <si>
    <t>https://kucingapk.id/why-architects-and-construction-estimators/</t>
  </si>
  <si>
    <t>https://technivorz.com/from-plans-to-profits-how-construction-estimators-shape-project-success/</t>
  </si>
  <si>
    <t>https://baddiehub.org.uk/understanding-the-importance-of-project-planning-in-the-construction-industry/</t>
  </si>
  <si>
    <t>https://socialmediagirlsforum.co.uk/top-strategies-for-reducing-construction-project-delays/</t>
  </si>
  <si>
    <t>https://dotmagazine.co.uk/how-construction-estimating-improves-project-profitability/</t>
  </si>
  <si>
    <t>contact.dotmagazine.co.uk@gmail.com</t>
  </si>
  <si>
    <t>https://indiacsr.in/roi-construction-estimation-for-financial-success/</t>
  </si>
  <si>
    <t>https://onpattison.com/news/2025/jul/08/everything-you-need-to-know-about-construction-estimation-in-2025/</t>
  </si>
  <si>
    <t>https://www.lifestylenetworth.com/master-project-accuracy-with-reliable-estimator-software/</t>
  </si>
  <si>
    <t>https://fontsarena.com/blog/the-importance-of-accurate-cost-estimation-in-construction-projects/</t>
  </si>
  <si>
    <t>https://lakelandcurrents.com/why-construction-estimation-is-crucial-for-small-contractors/</t>
  </si>
  <si>
    <t>https://simileking.com/intelligent-timber-quantity-systems-supporting-smarter-cost-control/</t>
  </si>
  <si>
    <t>https://hydrogenexec.com/accurate-cost-forecasts-for-smarter-project/</t>
  </si>
  <si>
    <t>https://appkod.com/real-estate/the-importance-of-contingency-planning-in-construction-estimation/</t>
  </si>
  <si>
    <t>https://winsetupfromusb.org/high-tech-estimation-systems-for-cost-savvy-contractors/</t>
  </si>
  <si>
    <t>https://www.toonsgod.com.dream.website/future-trends-in-construction-estimation-and-their-impact-on-projects/</t>
  </si>
  <si>
    <t>https://englishleaflet.com/how-construction-estimation-is-shaping-modern-building-practices/</t>
  </si>
  <si>
    <t>https://kongotech.org/how-to-handle-construction-delays-and-keep-your-project-on-track/</t>
  </si>
  <si>
    <t>https://www.albertleatribune.com/sponsored-content/how-modern-tools-are-shaping-the-landscape-of-construction-estimation-825297</t>
  </si>
  <si>
    <t>https://puremagazine.co.uk/understanding-the-role-of-project-managers-in-construction/</t>
  </si>
  <si>
    <t>https://howmany-ofme.com/build-stronger-and-greener-with-digital-timber-insights-solutions/</t>
  </si>
  <si>
    <t>https://todayblessings.com/softwood-vs-hardwood/</t>
  </si>
  <si>
    <t>https://taskbarx.org/the-future-of-accuracy-innovations-in-construction-estimation/</t>
  </si>
  <si>
    <t>https://magazineblogs.co.uk/best-practices-for-effective-construction-estimation-in-large-projects/</t>
  </si>
  <si>
    <t>https://influencersgonewildcom.com/construction-estimating-for-contractors-builders/</t>
  </si>
  <si>
    <t>https://redinv.upel.edu.ve/redinv/blogs/1200/Precise-Construction-Estimating-Built-on-Quality-Data</t>
  </si>
  <si>
    <t>https://team-namespot.com/precision-quantity-review-systems-supporting-complex-construction-needs/</t>
  </si>
  <si>
    <t>https://exploreclarion.co.uk/sustainable-building-starts-with-smarter-lumber-estimates/</t>
  </si>
  <si>
    <t>Inquiry.exploreclarion@gmail.com</t>
  </si>
  <si>
    <t>https://presscenter.com/strategic-cost-estimation-for-construction-success-a-comprehensive-approach/</t>
  </si>
  <si>
    <t>https://www.baddies-hub.com/smarter-material-forecasting-for-sustainable-building-growth/</t>
  </si>
  <si>
    <t>https://teatimeresults.co/the-sustainable-builder-strategies-for-eco-friendly-construction-practices/</t>
  </si>
  <si>
    <t>https://www.broadwayworld.com/westend/regional/In-the-Mat-4288702</t>
  </si>
  <si>
    <t>https://talksknow.com/transforming-construction-budgets-through-smart-quantity-analysis-systems/</t>
  </si>
  <si>
    <t>https://www.thehansindia.com/news/international/cost-estimation-challenges-in-large-scale-infrastructure-projects-984224</t>
  </si>
  <si>
    <t>https://guiformat.com/modern-wood-data-approaches-enhancing-material-accountability/</t>
  </si>
  <si>
    <t>https://droidkit.org/your-partner-construction-estimating-company-for-precise-lumber-takeoff/</t>
  </si>
  <si>
    <t>https://freezemagazine.co.uk/cost-optimization-benefits-of-structured-lumber-estimation/</t>
  </si>
  <si>
    <t>http://stocks.observer-reporter.com/observerreporter/article/worldnewswire-2025-11-8-smart-building-systems-for-future-ready-construction-teams</t>
  </si>
  <si>
    <t>https://technewstop.org/a-guid%D0%B5-to-maximizing-proj%D0%B5ct-succ%D0%B5ss-through-construction-estimating/</t>
  </si>
  <si>
    <t>https://digitalnewsalerts.org/learn-how-estimating-is-a-critical-component-of-effective-project-planning/</t>
  </si>
  <si>
    <t>https://psbios.com/revolutionizing-project-budgets-with-cutting-edge-construction-estimating/</t>
  </si>
  <si>
    <t>https://punscraze.com/smart-estimation-methods-that-improve-construction-accuracy/</t>
  </si>
  <si>
    <t>admin@webtechglob.com</t>
  </si>
  <si>
    <t>nickgoodexp@gmail.com</t>
  </si>
  <si>
    <t>https://wordleweb.io/streamline-project-budgets-efficiently-using-cost-estimator-tools</t>
  </si>
  <si>
    <t>https://creaminstaller.com/accurate-lumber-takeoff-services-for-smarter-construction-planning/</t>
  </si>
  <si>
    <t>https://erafame.com/digital-planning-engines-driving-smooth-and-predictable-construction/</t>
  </si>
  <si>
    <t>https://englishilm.com/stepwise-guide-to-speed-up-the-manual-lumber-takeoff-process/</t>
  </si>
  <si>
    <t>https://www.boorooandtiggertoo.com/we-buy-any-house-ways-to-make-your-home-hot-property/</t>
  </si>
  <si>
    <t>https://www.thedenverhousewife.com/2026/01/simple-diy-projects-colorado-homeowners-can-use-to-increase-property-value/</t>
  </si>
  <si>
    <t>https://structville.com/science-behind-roofing-innovations-materials</t>
  </si>
  <si>
    <t>https://www.ontoplist.com/roofing-companies/az/phoenix/</t>
  </si>
  <si>
    <t>https://facilityexecutive.com/how-to-prepare-a-commercial-building-roof-for-summer</t>
  </si>
  <si>
    <t>Jennifer</t>
  </si>
  <si>
    <t>jen@groupc.com</t>
  </si>
  <si>
    <t>maryellen@groupc.com</t>
  </si>
  <si>
    <t>https://www.rooferscoffeeshop.com/post/overson-roofing-earns-2019-angies-list-super-service-award</t>
  </si>
  <si>
    <t>https://thelocalproject.com.au/galleries/clifftop-house-by-joe-adsett-architects-project-archive-teneriffe-qld-australia/</t>
  </si>
  <si>
    <t>https://www.mbqld.com.au/home-owners/find-a-master-builder?collection=famb-search-dev&amp;sort=&amp;start_rank=251&amp;fmb_type=Turul%20Building%20Services&amp;fmb_location=Albany%20Creek&amp;origin=-27.35&amp;maxdist=&amp;rseed=</t>
  </si>
  <si>
    <t>https://www.seek.com.au/companies/mcd-constructions-1031555</t>
  </si>
  <si>
    <t>https://www.whitepages.com.au/mcd-construction-10168979/east-brisbane-qld-10168978B</t>
  </si>
  <si>
    <t>https://www.eco-outdoor.com/en-us/outdoor-design/pool-design-contemporary-architecture</t>
  </si>
  <si>
    <t>https://nadca.com/find-a-professional/capitol-duct-cleaning-1</t>
  </si>
  <si>
    <t>https://pinay-flix.com/property-maintenance-essentials-for-rental-home-owners/</t>
  </si>
  <si>
    <t>https://blogsternation.com/air-duct-cleaning-average-cost-what-does-air-duct-cleaning-cost/</t>
  </si>
  <si>
    <t>https://metromsk.com/top-9-benefits-of-hiring-professional-air-duct-cleaning-experts/</t>
  </si>
  <si>
    <t>samanthbentro@gmail.com</t>
  </si>
  <si>
    <t>https://bloggingheros.com/air-duct-cleaning/</t>
  </si>
  <si>
    <t>https://www.trulogsiding.com/how-much-does-new-siding-cost/</t>
  </si>
  <si>
    <t>https://www.thisisbarry.com/film/you-should-have-left-explained-plot-and-ending/</t>
  </si>
  <si>
    <t>https://homenspice.com/signs-you-need-a-roof-replacement-before-its-too-late/</t>
  </si>
  <si>
    <t>https://www.davinciroofscapes.com/projects-inspiration/project-profiles/slate-roofing-sets-off-show-home/</t>
  </si>
  <si>
    <t>salessupport@davinciroofscapes.com</t>
  </si>
  <si>
    <t>https://thegreenfortune.com/green-roofing/</t>
  </si>
  <si>
    <t>https://www.floraly.com.au/blogs/news/lotus-flower-meanings</t>
  </si>
  <si>
    <t>https://dewesoft.com/blog/volts-and-currents-explained</t>
  </si>
  <si>
    <t>https://www.weareteachers.com/egg-drop-ideas/</t>
  </si>
  <si>
    <t>https://www.nist.gov/pml/owm/si-units-electric-current</t>
  </si>
  <si>
    <t>https://www.chemicals.co.uk/blog/what-is-viscosity-in-chemistry</t>
  </si>
  <si>
    <t>https://www.iko.com/blog/17-facts-and-tips-on-how-to-pick-roof-shingle-colors/</t>
  </si>
  <si>
    <t>https://seaperch.org/page-resources/how-things-work-how-things-float/</t>
  </si>
  <si>
    <t>https://inventorsoftomorrow.com/build-a-simple-rube-goldberg/</t>
  </si>
  <si>
    <t>https://www.sciencelearn.org.nz/resources/1726-periodic-table-of-elements</t>
  </si>
  <si>
    <t>https://sphero.com/blogs/news/how-to-build-a-robot</t>
  </si>
  <si>
    <t>https://www.sciencefacts.net/inclined-plane.html</t>
  </si>
  <si>
    <t>https://www.cadencepetroleum.com/blog/how-to-reduce-friction/</t>
  </si>
  <si>
    <t>https://www.youtube.com/watch?v=u1vnSSsfwRk</t>
  </si>
  <si>
    <t>https://www.livescience.com/49106-simple-machines.html</t>
  </si>
  <si>
    <t>https://ncwit.org/</t>
  </si>
  <si>
    <t>https://www.wikihow.com/Magnetize-Metal</t>
  </si>
  <si>
    <t>https://www.earthsciweek.org/resources/classroom-activities/cookie-mining/</t>
  </si>
  <si>
    <t>https://www.sciencefriday.com/educational-resources/pop-up-book-engineering/</t>
  </si>
  <si>
    <t>https://www.veritasai.com/veritasaiblog/https/wwwveritasaicom15-engineering-projects-for-middle-school-students</t>
  </si>
  <si>
    <t>https://blog.acceleratelearning.com/9-outdoor-stem-activities-that-bring-science-learning-out-into-nature</t>
  </si>
  <si>
    <t>https://thehomeschoolscientist.com/100-engineering-projects-kids/</t>
  </si>
  <si>
    <t>https://www.pitsco.com/blogs/news/how-do-bicycles-work-the-science-behind-this-simple-machine</t>
  </si>
  <si>
    <t>https://journeyhomeschoolacademy.com/hands-on-science-activities-middle-school-stem/</t>
  </si>
  <si>
    <t>https://www.commonsense.org/education/articles/21-fun-activities-to-start-the-school-year</t>
  </si>
  <si>
    <t>https://www.collegetransitions.com/blog/last-day-of-school-activities/</t>
  </si>
  <si>
    <t>https://freedomhomeschooling.com/electives/</t>
  </si>
  <si>
    <t>https://www.next.cc/journey/tools/plants</t>
  </si>
  <si>
    <t>https://eclipse.montana.edu/education/icebreakers.html</t>
  </si>
  <si>
    <t>https://www.soinc.org/mission-possible-b</t>
  </si>
  <si>
    <t>https://www.lgcypower.com/sun-and-solar-stem-experiments-for-kids/</t>
  </si>
  <si>
    <t>https://www.steampoweredfamily.com/popsicle-stick-catapult/</t>
  </si>
  <si>
    <t>https://www.create-learn.us/blog/engineering-for-kids/</t>
  </si>
  <si>
    <t>https://themuddypuddleteacher.co.uk/understanding-centimetres-and-metres-a-comprehensive-guide/</t>
  </si>
  <si>
    <t>https://allinonehomeschool.com/zoology/</t>
  </si>
  <si>
    <t>https://artsintegration.com/2020/10/19/higher-order-thinking-questions/</t>
  </si>
  <si>
    <t>https://www.lumiere-education.com/post/10-of-the-best-engineering-projects-for-middle-school-students</t>
  </si>
  <si>
    <t>https://www.rooflife-oregon.com/blog/algae-on-roof-shingles/</t>
  </si>
  <si>
    <t xml:space="preserve">Patrick </t>
  </si>
  <si>
    <t>patrick@rooflife-oregon.com</t>
  </si>
  <si>
    <t>info@rooflife-oregon.com</t>
  </si>
  <si>
    <t>https://www.sciencing.com/modern-uses-catapult-8597229/</t>
  </si>
  <si>
    <t>https://www.sciencejournalforkids.org/articles/how-do-viruses-trick-their-hosts-into-feeding-them/</t>
  </si>
  <si>
    <t>https://www.scouts.ca/resources/activity-finder/newspaper-towers.html</t>
  </si>
  <si>
    <t>https://engineeringonline.ucr.edu/blog/use-your-environmental-engineering-degree-in-water-systems/</t>
  </si>
  <si>
    <t>https://everfi.com/blog/k-12/10-science-holidays-ways-to-celebrate/</t>
  </si>
  <si>
    <t>https://itlp.colorado.edu/</t>
  </si>
  <si>
    <t>https://sciencetrek.org/topics/csi/resources</t>
  </si>
  <si>
    <t>https://www.cde.ca.gov/ci/cr/dl/</t>
  </si>
  <si>
    <t>https://www.edutopia.org/article/guiding-students-school-success/</t>
  </si>
  <si>
    <t>https://www.calacademy.org/educators/lens-of-time-how-hummingbirds-hover</t>
  </si>
  <si>
    <t>https://solarguyspro.com/blogs/news/solar-dc-to-ac-conversion-calculator-easily-convert-solar-power-output</t>
  </si>
  <si>
    <t>https://resilienteducator.com/classroom-resources/real-world-stem-projects/</t>
  </si>
  <si>
    <t>https://njalternateroute.rutgers.edu/blog/61-peer-recommended-resources-science-teachers</t>
  </si>
  <si>
    <t>https://blog.definedlearning.com/blog/teaching-stem-the-dilemma</t>
  </si>
  <si>
    <t>https://shpe.org/engage/programs/virtual-stem-labs/</t>
  </si>
  <si>
    <t>https://www.kyscience.org/resources_for_teachers.php</t>
  </si>
  <si>
    <t>https://www.science-sparks.com/easy-electricity-projects-for-kids/</t>
  </si>
  <si>
    <t>https://blog.alliancegator.com/the-4-types-of-geotextiles-explained</t>
  </si>
  <si>
    <t>https://www.lovetoknow.com/parenting/kids/how-make-potato-battery</t>
  </si>
  <si>
    <t>https://www.schooloutfitters.com/blog/inspiring-steam-education-examples-to-use-in-the-classroom</t>
  </si>
  <si>
    <t>https://www.educationcorner.com/electricity-experiments-activities/</t>
  </si>
  <si>
    <t>https://www.coolscience.org/cool-chemistry/category/bubbles</t>
  </si>
  <si>
    <t>https://www.designnews.com/automation/friday-funny-engineers-are-problem-solvers-who-love-impossible-challenges</t>
  </si>
  <si>
    <t>https://www.theteacherscorner.net/calendars/march.php</t>
  </si>
  <si>
    <t>https://www.ucf.edu/online/engineering/news/five-stem-space-activities/</t>
  </si>
  <si>
    <t>https://outforia.com/where-is-quicksand-found/</t>
  </si>
  <si>
    <t>https://littlemedicalschool.com/treasurecoast/steam-education-2/</t>
  </si>
  <si>
    <t>https://www.physicsclassroom.com/Teacher-Toolkits/Roller-Coaster-Physics/Roller-Coaster-Physics-Complete-ToolKit</t>
  </si>
  <si>
    <t>https://www.disher.com/blog/engineering-design-process/</t>
  </si>
  <si>
    <t>https://willygoat.com/blogs/resource-center/shade-structures-for-schools-and-public-spaces</t>
  </si>
  <si>
    <t>https://www.explorelearning.com/resources/insights/introduce-engineering</t>
  </si>
  <si>
    <t>https://www.gcu.edu/blog/engineering-technology/engineering-degree-career-options</t>
  </si>
  <si>
    <t>https://populationeducation.org/five-steam-middle-school-lessons-fostering-creativity-and-innovation/</t>
  </si>
  <si>
    <t>https://ssec.si.edu/energy-forces-motion</t>
  </si>
  <si>
    <t>https://www.edweek.org/teaching-learning/opinion-the-search-for-real-world-stem-problems/2017/07</t>
  </si>
  <si>
    <t>https://www.pi-top.com/pbl/for-steam/resources</t>
  </si>
  <si>
    <t>https://practicetestgeeks.com/ibew-aptitude-test/</t>
  </si>
  <si>
    <t>https://www.nvcc.edu/academics/divisions/iet/systemic/outreach.html</t>
  </si>
  <si>
    <t>https://www.mothermag.com/free-learning-apps-for-kids/</t>
  </si>
  <si>
    <t>https://sciencespot.net/Pages/classphys.html</t>
  </si>
  <si>
    <t>https://www.nfpa.com/fluid-power-curriculum</t>
  </si>
  <si>
    <t>https://www.swimjim.com/blog/staying-afloat-understanding-buoyancy-for-beginner-swimmers</t>
  </si>
  <si>
    <t>https://www.idtech.com/blog/stem-activities-celebrate-womens-history-month</t>
  </si>
  <si>
    <t>https://carinterior.alibaba.com/question/wheel-and-axle-examples-explained</t>
  </si>
  <si>
    <t>https://www.thoughtco.com/robert-fulton-steamboat-4075444</t>
  </si>
  <si>
    <t>https://www.smithsonianmag.com/innovation/seven-scientific-discoveries-from-2022-that-may-lead-to-new-inventions-180981358/</t>
  </si>
  <si>
    <t>https://www.crimsoneducation.org/us/blog/is-biomedical-engineering-a-good-major</t>
  </si>
  <si>
    <t>https://whatihavelearnedteaching.com/teaching-ideas-for-static-electricity/</t>
  </si>
  <si>
    <t>https://www.asme.org/topics-resources/content/homeschool-engineering-students-part-2</t>
  </si>
  <si>
    <t>https://www.codewizardshq.com/homeschool-stem-elective-guide/</t>
  </si>
  <si>
    <t>https://www.studiesweekly.com/waves/</t>
  </si>
  <si>
    <t>https://outreach.engineering.utoronto.ca/educators/resources/</t>
  </si>
  <si>
    <t>https://research.rice.edu/rstem/resources/teacher/classroom-resources</t>
  </si>
  <si>
    <t>https://frugalfun4boys.com/simple-machines-kids-lego-pulleys-stem-building-challenge/</t>
  </si>
  <si>
    <t>https://www.afterschoolalliance.org/loaSTEM.cfm</t>
  </si>
  <si>
    <t>https://aroundthekampfire.com/9-activities-to-teach-engineering-design-process/</t>
  </si>
  <si>
    <t>https://indyschild.com/17-fun-snow-activities-you-can-do-with-kids/</t>
  </si>
  <si>
    <t>https://thecanadianhomeschooler.com/grade-7-learn-at-home-plan/</t>
  </si>
  <si>
    <t>https://www.inspiritai.com/blogs/ai-blog/harvard-summer-camp-opportunities</t>
  </si>
  <si>
    <t>https://www.aceonline.org/page/HandsOnActivities</t>
  </si>
  <si>
    <t>https://artsandscience.usask.ca/scienceoutreach/grade-7-resources.php</t>
  </si>
  <si>
    <t>https://gosciencegirls.com/7-9years/</t>
  </si>
  <si>
    <t>https://www.mapcon.com/us-en/kids-guide-to-engineering</t>
  </si>
  <si>
    <t>https://spaceweather.ssl.berkeley.edu/atmosphere/</t>
  </si>
  <si>
    <t>https://www.wpi.edu/academics/stem-education-center/professional-development/teacher-resources</t>
  </si>
  <si>
    <t>https://hessunacademy.com/stem-activities-high-school/</t>
  </si>
  <si>
    <t>https://classic.csunplugged.org/activities/image-representation/</t>
  </si>
  <si>
    <t>https://www.middleweb.com/5003/real-world-stem-problems/</t>
  </si>
  <si>
    <t>https://open.ocolearnok.org/biolab/chapter/fermentation-lab/</t>
  </si>
  <si>
    <t>https://spark.iop.org/properties-matter-home-experiments</t>
  </si>
  <si>
    <t>https://www.acs.org/education/celebrating-chemistry-editions/2024-ccew/build-a-battery-workshop-explore-electrolytes.html</t>
  </si>
  <si>
    <t>https://blog.planbook.com/renewable-energy-lesson-plans/</t>
  </si>
  <si>
    <t>http://blog.teachersource.com/2020/10/30/building-spaghetti-bridges/</t>
  </si>
  <si>
    <t>https://www.icnetwork.org/how-to-get-better-sleep-with-ic/</t>
  </si>
  <si>
    <t>https://cleanet.org/resources/41913.html</t>
  </si>
  <si>
    <t>https://kidsdiscover.com/teacherresources/3-reasons-water-equals-life/</t>
  </si>
  <si>
    <t>https://www.renewsysworld.com/post/understanding-maximum-power-point-of-pv-modules</t>
  </si>
  <si>
    <t>https://thewonderofscience.com/resource</t>
  </si>
  <si>
    <t>https://www.home-elevator.net/info-elevator-mechanics.php</t>
  </si>
  <si>
    <t>https://www.easyteacherworksheets.com/science/twopages-machines.html</t>
  </si>
  <si>
    <t>https://www.mathworks.com/academia/highschool/courseware.html</t>
  </si>
  <si>
    <t>https://link.springer.com/article/10.1007/s11165-024-10158-5</t>
  </si>
  <si>
    <t>https://kidsparkeducation.org/blog/3-engineering-projects-for-middle-school-stem</t>
  </si>
  <si>
    <t>https://www.sreb.org/node/6070</t>
  </si>
  <si>
    <t>https://www.simplyspecialed.com/incorporating-stem-in-special-education-hands-on-ideas-for-all/</t>
  </si>
  <si>
    <t>https://clearinghouse.starnetlibraries.org/engineering/163-windy-city-tower.html</t>
  </si>
  <si>
    <t>https://www.thetech.org/education/tech-challenge/tech-challenge/getting-started/</t>
  </si>
  <si>
    <t>https://discovere.org/engineering-activities/build-an-earthquake-resistant-structure/</t>
  </si>
  <si>
    <t>https://www.snexplores.org/article/lets-learn-about-the-future-of-smart-clothing</t>
  </si>
  <si>
    <t>https://www.mhelpdesk.com/girls-in-stem/</t>
  </si>
  <si>
    <t>https://www.kiwico.com/blog/activities-at-home/free-fun-resources-for-extended-learning-at-home</t>
  </si>
  <si>
    <t>https://www.technomaxme.com/dosing-metering-pump/</t>
  </si>
  <si>
    <t>https://teachchemistry.org/periodical/issues/november-2023/teaching-with-project-based-learning-in-the-high-school-chemistry-classroom</t>
  </si>
  <si>
    <t>https://vet.tufts.edu/news-events/news/animal-based-engineering-challenges-draw-future-vets-and-biomedical-engineers</t>
  </si>
  <si>
    <t>https://nstem.org/2024/04/eco-empowerment-3-renewable-energy-activities-for-middle-schoolers/</t>
  </si>
  <si>
    <t>https://www.invent.org/blog/trends-stem/science-in-swimming-diving</t>
  </si>
  <si>
    <t>https://www.sciencebuddies.org/about/partners</t>
  </si>
  <si>
    <t>https://bsky.app/profile/ncwit.org</t>
  </si>
  <si>
    <t>https://open.oregonstate.education/</t>
  </si>
  <si>
    <t>https://ceramics.org/career-development/communicating-science/</t>
  </si>
  <si>
    <t>https://www.neefusa.org/what-we-do/k-12-education/greening-stem-hub/greening-stem-activities-lessons-and-curricula</t>
  </si>
  <si>
    <t>https://www.uen.org/pdtv/</t>
  </si>
  <si>
    <t>https://www.cod.edu/academics/academic-opportunities/stem/stemcon/</t>
  </si>
  <si>
    <t>https://www.zenadrone.com/architecture-and-construction/</t>
  </si>
  <si>
    <t>https://kidsclubaba.com/how-mini-golf-in-west-orange-nj-teaches-kids-patience-math-skills/</t>
  </si>
  <si>
    <t>https://www.nisenet.org/faqs</t>
  </si>
  <si>
    <t>https://www.weather.gov/ffc/outreach</t>
  </si>
  <si>
    <t>https://sciencelessonsthatrock.com/earthquake-lesson-plans/</t>
  </si>
  <si>
    <t>https://getintoenergy.org/education/</t>
  </si>
  <si>
    <t>https://eng.umd.edu/careers/students/summer</t>
  </si>
  <si>
    <t>https://ext.vt.edu/4h-youth/stem-in-virginia-4h.html</t>
  </si>
  <si>
    <t>https://seagrant.whoi.edu/noaa-live-webinars/</t>
  </si>
  <si>
    <t>https://www.dcwater.com/whats-going-on/community-outreach/environmental-education/distance-learning</t>
  </si>
  <si>
    <t>https://www.hbgdiocese.org/catholic-schools/diocesan-elementary-curriculum/</t>
  </si>
  <si>
    <t>https://stelar.edc.org/resource-library-0</t>
  </si>
  <si>
    <t>https://particle.scitech.org.au/tech/the-perfect-mix-of-brains-and-beauty/</t>
  </si>
  <si>
    <t>https://asn.desire2learn.com/content/community</t>
  </si>
  <si>
    <t>https://layers-of-learning.com/unit-resources/science-resources/earth-space-resources-for-layers-of-learning/</t>
  </si>
  <si>
    <t>https://www.participatelearning.com/blog/unique-events-for-classroom-discussion/</t>
  </si>
  <si>
    <t>https://susnano.wisc.edu/nanoathome/</t>
  </si>
  <si>
    <t>https://www.echovermont.org/events-programs/echo-learning-toolbox/</t>
  </si>
  <si>
    <t>https://brittanywashburn.com/2021/07/unplugged-technology-activities/</t>
  </si>
  <si>
    <t>https://www.asor.org/resources/educational-materials/6-12/activities/</t>
  </si>
  <si>
    <t>https://cemb.upenn.edu/resources/classroom-resources/</t>
  </si>
  <si>
    <t>https://salinity.oceansciences.org/learn-circulation.htm</t>
  </si>
  <si>
    <t>https://www.mommymaestra.com/2021/02/</t>
  </si>
  <si>
    <t>https://nasaeclips.arc.nasa.gov/video/ourworld/our-world-simple-machines-here-and-in-space</t>
  </si>
  <si>
    <t>https://easc.osu.edu/resources/teaching-resources/take-go-series/modern-chinese-history/lesson-plans</t>
  </si>
  <si>
    <t>https://ash.naf.org/public/learning/pathway/engineering</t>
  </si>
  <si>
    <t>https://remc.org/21Things4Students/21/15-design-thinking/q1-what-is-design-thinking/</t>
  </si>
  <si>
    <t>https://azmesa.arizona.edu/stem-exploration</t>
  </si>
  <si>
    <t>https://feedinghk.org/education/food-banked/</t>
  </si>
  <si>
    <t>https://seedstosuccess.com/grade/9-12/</t>
  </si>
  <si>
    <t>https://www.homeschoolof1.com/homeschooling/</t>
  </si>
  <si>
    <t>https://asknature.org/resource/biomimicry-natural-designs/</t>
  </si>
  <si>
    <t>https://hu.gatech.edu/0-hu-cv-word-htm/</t>
  </si>
  <si>
    <t>https://sparkfuneducation.com/curriculum.html</t>
  </si>
  <si>
    <t>https://www.compadre.org/precollege/static/unit.cfm?sb=13&amp;course=3</t>
  </si>
  <si>
    <t>https://simplybeyondherbs.com/lotus-flower-mean/</t>
  </si>
  <si>
    <t>https://projectwet.georgia.gov/supplementary-materials</t>
  </si>
  <si>
    <t>https://www.cde.state.co.us/computerscience/instructionalsupport</t>
  </si>
  <si>
    <t>https://www.sfu.ca/cec/featured-reads/resources.html</t>
  </si>
  <si>
    <t>https://www.mylearning.org/stories/inventors-and-inventions-from-yorkshire/resources</t>
  </si>
  <si>
    <t>https://www.iu17.org/keystone-competition/</t>
  </si>
  <si>
    <t>https://geeringup.apsc.ubc.ca/stem-resources-2/</t>
  </si>
  <si>
    <t>https://qz.com/1105538/five-methods-for-turning-invisible-ranked-by-the-inventor-of-a-real-life-invisibility-cloak</t>
  </si>
  <si>
    <t>https://www.donnaisd.net/about-us/departments/energy-management/home</t>
  </si>
  <si>
    <t>https://repository.rec.gov.bt/chemistry-overview/chemistry-xi/</t>
  </si>
  <si>
    <t>https://restaurantify.com/restaurant-menu-making-from-scratch-a-complete-guide/</t>
  </si>
  <si>
    <t>https://stride.ce.ufl.edu/k-12-workforce-development/resources-for-educators/</t>
  </si>
  <si>
    <t>https://mem-c.washington.edu/k-12/lessons/evaluation-of-different-solar-cells-using-a-multimeter/</t>
  </si>
  <si>
    <t>https://engineering.jhu.edu/outreach/educators/</t>
  </si>
  <si>
    <t>https://cstem.charlotte.edu/resources/helpful-links/</t>
  </si>
  <si>
    <t>https://www.boisestate.edu/physics-cidsrsn/home/teaching-resources/</t>
  </si>
  <si>
    <t>https://www.pilgrimsoul.com/home/how-to-teach-your-child-to-think-like-a-genius-a-parents-practical-guide</t>
  </si>
  <si>
    <t>https://leftbraincraftbrain.com/pencil-stem-activities-for-kids-back-to-school/</t>
  </si>
  <si>
    <t>https://www.unbc.ca/engineering/teacher-resources</t>
  </si>
  <si>
    <t>https://gustavus.edu/events/nobelconference/2021/Teachers/index.php</t>
  </si>
  <si>
    <t>https://blog.tcea.org/tag/steam/</t>
  </si>
  <si>
    <t>https://eng.auburn.edu/counselors/</t>
  </si>
  <si>
    <t>https://go-outdoors.caltech.edu/teachers/resources-for-teachers/other-resources</t>
  </si>
  <si>
    <t>https://www.asd5.org/for-staff/helpful-web-links</t>
  </si>
  <si>
    <t>https://www.helpteaching.com/blog/the-ultimate-guide-to-teaching-science.html</t>
  </si>
  <si>
    <t>https://tbeerc.tn.edu.tw/modules/tadnews/page.php?ncsn=11&amp;nsn=81</t>
  </si>
  <si>
    <t>https://onlypassionatecuriosity.com/free-homeschool-list/</t>
  </si>
  <si>
    <t>https://www.nps.gov/teachers/classrooms/heat-light-and-sound.htm</t>
  </si>
  <si>
    <t>https://joulefellows.engr.uconn.edu/category/uncategorized/</t>
  </si>
  <si>
    <t>https://www.gentlemansflair.com/character-of-god/</t>
  </si>
  <si>
    <t>https://www.tusd.org/schools/calle-mayor/resources/gate</t>
  </si>
  <si>
    <t>https://aspire.usu.edu/research/learning-engagement/</t>
  </si>
  <si>
    <t>https://wiki.ezvid.com/best-tree-swings</t>
  </si>
  <si>
    <t>https://swe-rms.swe.org/outreach/</t>
  </si>
  <si>
    <t>https://www.codrey.com/electronic-circuits/audio-induction-loop-receiver-quirky-ideas/</t>
  </si>
  <si>
    <t>https://www.nysed.gov/edtech/digital-content-resources-career-and-technical-education-teacher-resources</t>
  </si>
  <si>
    <t>https://science.guhsd.net/ngss-resources/science-engineering-practices</t>
  </si>
  <si>
    <t>https://caeser.memphis.edu/resources/education/</t>
  </si>
  <si>
    <t>https://lifeovercs.com/stem-building-challenges-that-work-great-in-the-classroom/</t>
  </si>
  <si>
    <t>https://littlebinsforlittlehands.com/stem-activities-using-pencils/</t>
  </si>
  <si>
    <t>https://www.keystonetutors.com/news/engineering-super-curricular-activities</t>
  </si>
  <si>
    <t>https://stem.aurorak12.org/stem-resources</t>
  </si>
  <si>
    <t>https://res.tvusd.k12.ca.us/academics/student-links-and-resources</t>
  </si>
  <si>
    <t>https://clas.ucdenver.edu/denversciencefair/project-resources</t>
  </si>
  <si>
    <t>https://edusites.uregina.ca/misshartman/engaging-teaching-resources/</t>
  </si>
  <si>
    <t>https://engineering.cmu.edu/education/outreach/resources.html</t>
  </si>
  <si>
    <t>https://www.galepages.com/ewin61586</t>
  </si>
  <si>
    <t>https://scoutmasterbucky.com/nova-lab/scouts-bsa/whoosh/</t>
  </si>
  <si>
    <t>https://www.discoveryaba.com/aba-therapy/renewable-energy-for-autism-homes</t>
  </si>
  <si>
    <t>https://montessori-academy.com/blog/fun-science-activities-for-kids/</t>
  </si>
  <si>
    <t>https://css.umich.edu/page/sustainability-resources-teachers-personal-transportation</t>
  </si>
  <si>
    <t>https://creativity.psu.edu/compendium/</t>
  </si>
  <si>
    <t>https://ehrhardt.egusd.net/StudentsFamilies/Resources-by-Grade/5th-Grade-Links/index.html</t>
  </si>
  <si>
    <t>https://cms.casdonline.org/resources/student-teacher-resources</t>
  </si>
  <si>
    <t>https://sites.asee.org/precollege/teacher-resources/</t>
  </si>
  <si>
    <t>https://jonesinfortaste.com/polynesian-wayfinding-virtual-field-trip/</t>
  </si>
  <si>
    <t>https://oml.web.unc.edu/category/outreach/</t>
  </si>
  <si>
    <t>https://ryan.houstonisd.org/academics-programs/health-science-curriculum</t>
  </si>
  <si>
    <t>https://greentumble.com/types-of-solar-photovoltaic-systems</t>
  </si>
  <si>
    <t>https://education.rowan.edu/lrcsouth/online-resource-site/steam.html</t>
  </si>
  <si>
    <t>https://welcome.stevensonschool.org/middle-division/middle-division-summer-learning/</t>
  </si>
  <si>
    <t>https://www.clowns.com/blog/party-planning/2023/07/10/consideration-for-sensory-sensitive-children-at-parties/</t>
  </si>
  <si>
    <t>https://blog.uclm.es/proyectoremareemi/tag/lessonplan/</t>
  </si>
  <si>
    <t>https://www.metlink.org/experiment/more-experiments/</t>
  </si>
  <si>
    <t>https://scienceinschool.org/article/2025/explore-the-sound-waves-by-using-robotics/</t>
  </si>
  <si>
    <t>https://www.thepocketlab.com/blog/links-and-resources-from-scic14-featuring-disney-imagination-campus</t>
  </si>
  <si>
    <t>https://www.techlearning.com/news/best-free-engineering-lessons-and-activities</t>
  </si>
  <si>
    <t>https://www.gvsu.edu/mistem/stem-resources-9.htm</t>
  </si>
  <si>
    <t>https://openlab.citytech.cuny.edu/principlesofengineering/2020/05/05/engineering-design-process-and-pedagogy/</t>
  </si>
  <si>
    <t>https://pathways.mste.illinois.edu/curriculum/surface-water/resources</t>
  </si>
  <si>
    <t>https://energypedia.info/wiki/SPIS_Market</t>
  </si>
  <si>
    <t>https://www.adventuretourscostarica.com/blog/packing-tips-for-manuel-antonio-costa-rica</t>
  </si>
  <si>
    <t>https://ctl.mesacc.edu/opportunities/undergraduate-research-projects/</t>
  </si>
  <si>
    <t>https://www.appropedia.org/HISI_energy</t>
  </si>
  <si>
    <t>https://theowlteacher.com/human-body-systems/</t>
  </si>
  <si>
    <t>https://www.teachthought.com/bulletin-board/science-resources-for-teachers/</t>
  </si>
  <si>
    <t>https://www.imperialmovers.com/blog/what-is-a-furniture-lifter/</t>
  </si>
  <si>
    <t>https://nap.nationalacademies.org/read/26853/chapter/4</t>
  </si>
  <si>
    <t>https://usm.maine.edu/stem-outreach/resources/</t>
  </si>
  <si>
    <t>https://www.24houranswers.com/subjects/Physics/Fluid-Dynamics</t>
  </si>
  <si>
    <t>https://rosehill.jmcss.org/our-school/academics/stem-and-the-engineering-design-process</t>
  </si>
  <si>
    <t>https://goodnoees.crsd.org/staff/steam-mrs-molishus-mr-schmoyer/district-steam-information</t>
  </si>
  <si>
    <t>https://news.tempest.earth/stuck-at-home-heres-a-list-of-weather-resources-to-bookmark</t>
  </si>
  <si>
    <t>https://ideas.pixton.com/simple-machines</t>
  </si>
  <si>
    <t>https://vivify-stem.squarespace.com/stem-resources</t>
  </si>
  <si>
    <t>https://www.flightschoolusa.com/plane-parts-know-the-7-basics-and-their-ul/</t>
  </si>
  <si>
    <t>https://itp.nyu.edu/physcomp/labs/lab-using-a-rotary-encoder/</t>
  </si>
  <si>
    <t>https://codakid.com/homeschool-curriculum-for-stem/</t>
  </si>
  <si>
    <t>https://www.elevators.com/learn-about-engineering/</t>
  </si>
  <si>
    <t>https://www.ilpi.com/msds/ref/viscosity.html</t>
  </si>
  <si>
    <t>https://www.nhaschools.com/schools/vanderbilt-charter-academy/en/blog/sixth-graders-produce-several-pounds-of-trash</t>
  </si>
  <si>
    <t>https://www.sciencemill.org/explorer-zone-dates/2020/4/7/colossalrobotichand</t>
  </si>
  <si>
    <t>https://edgewaterpublic.vcsedu.org/academics/stem</t>
  </si>
  <si>
    <t>https://smartish.com/blogs/news/custom-design-phone-cases</t>
  </si>
  <si>
    <t>https://bookunitsteacher.com/wp/?p=8272</t>
  </si>
  <si>
    <t>https://www.nextgenscience.org/resources/middle-school-teachengineering-protect-your-body-filter-your-water</t>
  </si>
  <si>
    <t>https://www.globalspec.com/FeaturedProducts/Detail/OriginDataGlobalODG/362186/How_to_Start_with_Arduino</t>
  </si>
  <si>
    <t>https://mysteryscience.com/energy/mystery-3/energy-transfer-engineering/381</t>
  </si>
  <si>
    <t>https://coss.egr.uh.edu/ret-cot/</t>
  </si>
  <si>
    <t>https://buffalorivertruss.com/blog/ensuring-safety-and-reliability-with-steel-trusses/</t>
  </si>
  <si>
    <t>https://commodity.com/precious-metals/resources/</t>
  </si>
  <si>
    <t>https://activity-mom.com/2022/12/simple-graphing-activities-for-kindergarten/</t>
  </si>
  <si>
    <t>https://sedonasouladventures.com/articles/why-sedona-is-the-ultimate-spiritual-destination/</t>
  </si>
  <si>
    <t>https://physics.stackexchange.com/questions/389947/why-are-the-wet-patches-on-these-floor-tiles-circular</t>
  </si>
  <si>
    <t>https://homeschoolgiveaways.com/free-ways-to-learn-about-doctors/</t>
  </si>
  <si>
    <t>https://rus.hazelwoodschools.org/for-teachers/instructional-teaching-tools-for-the-classroom</t>
  </si>
  <si>
    <t>https://schoolposterprinters.com/stem-education-what-is-stem-defined-stem-in-schools-visuals/</t>
  </si>
  <si>
    <t>https://www.nea.org/professional-excellence/student-engagement/read-across-america/find-your-book/tricky-chopsticks</t>
  </si>
  <si>
    <t>https://www.dealnews.com/pages/articles/online-guide-pinhole-photography/</t>
  </si>
  <si>
    <t>http://vjes.vnies.edu.vn/en/organizing-activities-teaching-some-mathematics-topics-direction-stem-education-high-schools</t>
  </si>
  <si>
    <t>https://texadasoftware.com/blog/taking-care-of-our-kids-education-during-covid/</t>
  </si>
  <si>
    <t>https://shesc.asu.edu/centers/CleanIndoorAir/learn</t>
  </si>
  <si>
    <t>https://www.arduino.cc/education/the-benefits-of-project-based-learning-in-education/</t>
  </si>
  <si>
    <t>https://science.adventisteducation.org/resources/</t>
  </si>
  <si>
    <t>https://langleypl.okpls.org/digital-resources</t>
  </si>
  <si>
    <t>https://www.tbp.org/k12-mindset-modules.cfm</t>
  </si>
  <si>
    <t>https://www.ceoe.nesinc.com/Content/StudyGuide/OK_SG_bib_043.htm</t>
  </si>
  <si>
    <t>https://www.csulb.edu/science-education/science-teaching-methods/exploring-online-resources</t>
  </si>
  <si>
    <t>https://www.accgov.com/3927/Pre-K---12-Programs</t>
  </si>
  <si>
    <t>https://www.calstatela.edu/cetl/repositories/create-prototype</t>
  </si>
  <si>
    <t>https://www.theteachertreasury.com/good-morning-ms-williams/guest-blog-post-teaching-stem-to-students-fun-and-accessibility-suggestions</t>
  </si>
  <si>
    <t>https://engineeringmanagementinstitute.org/tsec-70-lessons-learned-from-our-top-10-structural-engineering-episodes/</t>
  </si>
  <si>
    <t>https://www.marshall.edu/sustainability/gsem/resources/</t>
  </si>
  <si>
    <t>https://www.homebuilding.co.uk/advice/do-solar-panels-work-in-winter</t>
  </si>
  <si>
    <t>https://sierraview.chicousd.org/subsites/Mrs--Bunch-Classroom/Links-and-Websites/index.html</t>
  </si>
  <si>
    <t>https://avidopenaccess.org/resource/104-engineering-student-agency-and-opportunity/</t>
  </si>
  <si>
    <t>https://www.gettingsmart.com/2024/09/05/how-to-design-schools-to-grow-thriving-adults-a-provocation/</t>
  </si>
  <si>
    <t>https://communityschooling.gseis.ucla.edu/journal-issue-2-teachers/</t>
  </si>
  <si>
    <t>https://www.lyricsgoo.com/understanding-distance-measuring-sensors/</t>
  </si>
  <si>
    <t>https://www.chpp.egr.msu.edu/?page_id=86</t>
  </si>
  <si>
    <t>https://curriculum.eleducation.org/content/remote-learning-support-families</t>
  </si>
  <si>
    <t>https://www.kirkwood.edu/workplace-learning-connection/stem-it-up</t>
  </si>
  <si>
    <t>https://theartofeducation.edu/2024/02/feb-embracing-the-magic-a-love-letter-to-pinhole-photography-in-the-art-room/</t>
  </si>
  <si>
    <t>https://www.umb.edu/library/open-education/find-oer/</t>
  </si>
  <si>
    <t>https://blog.schoolspecialty.com/play-plan-amusement-park/</t>
  </si>
  <si>
    <t>https://www.calgaryschild.com/education/support-services/2851-fun-with-steam-foster-a-love-of-science-technology-engineering-and-math</t>
  </si>
  <si>
    <t>https://www.seagrant.sunysb.edu/articles/r/2419</t>
  </si>
  <si>
    <t>https://doit.illinois.gov/initiatives/doit-steam/news-events/steam-newsletter/newsletter-june-2025.html</t>
  </si>
  <si>
    <t>https://iblog.dearbornschools.org/puchals/category/social-science-resources/</t>
  </si>
  <si>
    <t>https://serc.carleton.edu/earth_rendezvous/2017/program/roundtable/rt14.html</t>
  </si>
  <si>
    <t>https://gctlc.org/animal-adaptations-engineering-design-lesson-04-building-biomimicry</t>
  </si>
  <si>
    <t>https://towcenter.gitbooks.io/guide-to-journalism-and-design/content/citations/</t>
  </si>
  <si>
    <t>https://blogs.glowscotland.org.uk/re/stemrenfrewshire/useful-websites/stem-websites/</t>
  </si>
  <si>
    <t>https://k12.thoughtfullearning.com/inquireEL_resources</t>
  </si>
  <si>
    <t>https://pacificmedicaltraining.com/body-systems</t>
  </si>
  <si>
    <t>https://stemeducationjournal.springeropen.com/articles/10.1186/s40594-021-00310-2</t>
  </si>
  <si>
    <t>https://www.montclair.edu/prism/teacher-resources/</t>
  </si>
  <si>
    <t>https://thehalallife.co.uk/home-school-and-home-education-resources/</t>
  </si>
  <si>
    <t>https://scoutsvictoria.com.au/activities-events/activity-teams/air-activities/stem/</t>
  </si>
  <si>
    <t>https://blog.hope-education.co.uk/outdoor-science-ideas/</t>
  </si>
  <si>
    <t>https://www.alsc.ala.org/blog/2024/09/storming-the-stacks-weather-education-for-kids/</t>
  </si>
  <si>
    <t>https://extension.wsu.edu/sanjuan/4h/projects-and-programs-new/animal-science-stem-projects/</t>
  </si>
  <si>
    <t>https://blog.riversideinsights.com/spatially-talented-kids</t>
  </si>
  <si>
    <t>https://iste.org/blog/Embed-literacy-into-STEM-projects</t>
  </si>
  <si>
    <t>https://www.livinglifeandlearning.com/sea-turtle-stem-activities.html</t>
  </si>
  <si>
    <t>https://eoncoat.com/how-can-we-offer-a-30-year-warranty-when-others-dont/</t>
  </si>
  <si>
    <t>http://gk12glacier.bu.edu/pages/resources/links.php</t>
  </si>
  <si>
    <t>https://ceat.okstate.edu/stem/teacher-programs.html</t>
  </si>
  <si>
    <t>https://centerforneurotech.uw.edu/education/k-12/resources-for-teachers/neural-networks/</t>
  </si>
  <si>
    <t>https://www.ocsb.ca/2022/03/02/consider-engineering-during-steam-week-2/</t>
  </si>
  <si>
    <t>https://www.uakron.edu/education/think-tank/resources</t>
  </si>
  <si>
    <t>https://www.911metallurgist.com/blog/thickener-operating-ph-and-lime-for-flocculation-improved-settling/</t>
  </si>
  <si>
    <t>https://www.trinect.iastate.edu/resources/</t>
  </si>
  <si>
    <t>https://bop-iitk.vlabs.ac.in/exp/liquid-viscosity/references.html</t>
  </si>
  <si>
    <t>https://timberframehq.com/mortise-tenon-thread-rod/</t>
  </si>
  <si>
    <t>https://psrc.aapt.org/items/detail.cfm?ID=8228</t>
  </si>
  <si>
    <t>https://www.academicjobs.com/higher-ed-jobs/engineering/engineering-education-jobs</t>
  </si>
  <si>
    <t>https://www.reference.com/science-technology/real-life-examples-series-circuits-cb5f68412d4ca1ec</t>
  </si>
  <si>
    <t>https://www.privateschoolreview.com/blog/the-value-of-stem-programs</t>
  </si>
  <si>
    <t>https://extension.purdue.edu/4-H/volunteer/resources-and-development/stem-volunteer-resources.html</t>
  </si>
  <si>
    <t>https://www.engineeringtoolbox.com/psychrometric-chart-d_250.html</t>
  </si>
  <si>
    <t>https://ucci.ucop.edu/courses/d/physics-and-engineering.html</t>
  </si>
  <si>
    <t>https://www.teachersfirst.com/exclusives/moreless/librarian/water-water-everywhere.php</t>
  </si>
  <si>
    <t>https://evolution-outreach.biomedcentral.com/articles/10.1186/s12052-024-00211-2</t>
  </si>
  <si>
    <t>https://blog.stem-supplies.com/breaking-down-the-buzzwords-21st-century-skills-and-design-thinking/</t>
  </si>
  <si>
    <t>https://tbep-tech.github.io/tbep-refs/eduindex</t>
  </si>
  <si>
    <t>https://www.legendsoflearning.com/blog/resources-to-add-the-olympics-to-your-lesson-plan/</t>
  </si>
  <si>
    <t>https://www.windsorpubliclibrary.com/learn/index.php/grade-1-8/grade-7/grade-7-understanding-structures-and-mechanisms-form-and-function/</t>
  </si>
  <si>
    <t>https://fabulesslyfrugal.com/diy/bottle-cap-crafts/</t>
  </si>
  <si>
    <t>https://knowledgequest.aasl.org/unleashing-imagination-celebrating-crayola-creativity-week-with-misty-the-cloud-and-the-magic-of-cloud-science/</t>
  </si>
  <si>
    <t>http://chs.camas.wednet.edu/robotics/robotics-1/unit-6-gears-dragsters/</t>
  </si>
  <si>
    <t>https://blog.education.nationalgeographic.org/2018/03/18/this-week-in-geographic-history-march-19-25/</t>
  </si>
  <si>
    <t>https://www.teacherplanet.com/pages/fantastic-fossils</t>
  </si>
  <si>
    <t>https://eastbrookpto.membershiptoolkit.com/stemfair</t>
  </si>
  <si>
    <t>https://middleschoolscience.com/2025/03/31/adopt-a-city-global-winds/</t>
  </si>
  <si>
    <t>https://learningmole.com/build-your-own-anemometer-measuring/</t>
  </si>
  <si>
    <t>https://takecareoftexas.org/about-us/blog/illuminating-minds-exploring-wonders-solar-power</t>
  </si>
  <si>
    <t>https://groups.cs.umass.edu/makerspace/exceptional-reference-material/</t>
  </si>
  <si>
    <t>https://algaeresearchsupply.com/pages/algae-lesson-links</t>
  </si>
  <si>
    <t>https://diyhomeschooler.com/camping-unit-study-free/</t>
  </si>
  <si>
    <t>https://dev.epicgames.com/documentation/en-us/fortnite/sdg-sustainable-cities-lesson-plan-in-fortnite-creative</t>
  </si>
  <si>
    <t>https://blogs.vsb.bc.ca/mcarmichae/2015/10/</t>
  </si>
  <si>
    <t>https://onlinelearning.telkomuniversity.ac.id/mod/page/view.php?id=43370</t>
  </si>
  <si>
    <t>https://blog.utc.edu/news/2024/09/collaboration-involving-utc-chemical-engineering-students-and-area-high-schoolers-wins-grand-challenge-funding-to-expand-approach/</t>
  </si>
  <si>
    <t>https://qubeshub.org/community/groups/coursesource/publications?id=2669&amp;v=1</t>
  </si>
  <si>
    <t>https://racketboy.com/forum/viewtopic.php?t=27299</t>
  </si>
  <si>
    <t>https://www.knowitall.org/lessons/catapult-calamity</t>
  </si>
  <si>
    <t>https://www.watereducation.org/publication/california-project-wet-gazette-4</t>
  </si>
  <si>
    <t>https://formlabs.com/blog/fab-lab-at-the-forefront-of-advanced-manufacturing-education/</t>
  </si>
  <si>
    <t>https://obsesi.or.id/index.php/obsesi/article/view/5561</t>
  </si>
  <si>
    <t>https://www.computer.org/csdl/proceedings-article/hicss/2007/27550073b/12OmNzuIjlo</t>
  </si>
  <si>
    <t>https://bostonparentspaper.com/18847-2/</t>
  </si>
  <si>
    <t>https://education.indiana.edu/about/p-12-school-engagement/baxter-stem-challenges/index.html</t>
  </si>
  <si>
    <t>https://www.childcareed.com/a/from-marshmallows-to-mastery-hands-on-learning-for-early-childhood.html</t>
  </si>
  <si>
    <t>https://admissionsight.com/all-about-rube-goldberg-machine/</t>
  </si>
  <si>
    <t>https://www.mccrone.com/mm/investigating-the-magic-of-kinetic-sand/</t>
  </si>
  <si>
    <t>https://www.homeschool.com/blog/stem-activities-for-homeschoolers/</t>
  </si>
  <si>
    <t>https://scied.ucar.edu/activity/mountain-rescue</t>
  </si>
  <si>
    <t>https://www.americanvisionwindows.com/all-about-wind-energy/</t>
  </si>
  <si>
    <t>https://www.fisheries.noaa.gov/alaska/outreach-and-education/noaa-live-alaska-season-1-2020-21</t>
  </si>
  <si>
    <t>https://cheezburger.com/11727109/architects-designed-a-city-for-mars-and-theyre-building-it-in-the-dubai-desert</t>
  </si>
  <si>
    <t>https://elementalscience.com/blogs/resources/pls</t>
  </si>
  <si>
    <t>https://wattsupwiththat.com/2022/11/23/co2-is-innocent-but-clouds-are-guilty-new-science-has-created-a-black-swan-event/</t>
  </si>
  <si>
    <t>https://www.iowapublicradio.org/environment/2023-09-28/barges-are-very-efficient-does-that-make-them-a-good-climate-alternative-for-shipping</t>
  </si>
  <si>
    <t>https://ask.metafilter.com/353586/Elephants-on-a-Bridge</t>
  </si>
  <si>
    <t>https://www.msichicago.org/explore/whats-here/exhibits/brick-by-brick/educators/websites</t>
  </si>
  <si>
    <t>https://issnationallab.org/education-and-workforce-development/expedition-space-lab/elementary/expedition-space-lab-mission-sound-in-space/</t>
  </si>
  <si>
    <t>https://www.clemson.edu/extension/4h/program-areas/science-engineering-technology/rocketry.html</t>
  </si>
  <si>
    <t>https://www.svsu.edu/stem/k-12teachers/teachingresources/</t>
  </si>
  <si>
    <t>https://hains.rcboe.org/clubs-organizations/math-club/math-team-practice-websites</t>
  </si>
  <si>
    <t>https://www.ms.uky.edu/~lee/outreach/outreach.html</t>
  </si>
  <si>
    <t>https://onlinelibrary.wiley.com/doi/10.1002/tea.21557?cookieSet=1</t>
  </si>
  <si>
    <t>https://www.dochub.com/fillable-form/386612-reduce-reuse-and-recycle-tips-for-kids-reusethisbag</t>
  </si>
  <si>
    <t>https://www.stlpr.org/economy-business/2023-09-22/barges-are-very-efficient-does-that-make-them-a-good-climate-alternative-for-shipping</t>
  </si>
  <si>
    <t>https://intheswim.com/eguides/swimming-curriculum.html</t>
  </si>
  <si>
    <t>https://www.uaa.alaska.edu/academics/college-of-engineering/k-12-outreach/e-week-bridge-strength-competition.cshtml</t>
  </si>
  <si>
    <t>https://wilsonlab.ku.edu/mechatronics-resources-k-12-teachers-scouting-and-4h</t>
  </si>
  <si>
    <t>https://www.uslegalforms.com/form-library/114330-recycling-reading-comprehension-pdf-2020</t>
  </si>
  <si>
    <t>https://darksky.org/news/a-collection-of-light-pollution-lesson-plans-for-educators/</t>
  </si>
  <si>
    <t>https://my.schoolcraft.edu/webliography/76</t>
  </si>
  <si>
    <t>https://www.elizabethtowngas.com/conserve/back-to-school-lessons-in-energy-conservation</t>
  </si>
  <si>
    <t>https://www.candywarehouse.com/blogs/candy-blog/science-experiments-to-do-with-mentos-pop-rocks-and-other-candy</t>
  </si>
  <si>
    <t>https://www.grunge.com/794804/the-incredible-story-of-the-worlds-best-blind-mountain-biker/</t>
  </si>
  <si>
    <t>http://www.hampton.k12.va.us/news/Oct25/AberdeenWithoutWater.html</t>
  </si>
  <si>
    <t>https://makercamp.make.co/project/cardboard-prototypes/</t>
  </si>
  <si>
    <t>https://www.fizzicseducation.com.au/articles/creative-ways-to-ignite-excitement-around-engineering/</t>
  </si>
  <si>
    <t>https://ed.ted.com/lessons/the-science-of-static-electricity-anuradha-bhagwat/digdeeper</t>
  </si>
  <si>
    <t>https://osse.dc.gov/page/capital-leaf-leaders-environmental-actions-our-future-transportation-resources</t>
  </si>
  <si>
    <t>https://www.slj.com/story/honoring-h2o-teaching-resources-about-vital-importance-clean-water</t>
  </si>
  <si>
    <t>https://www.fishwildlife.org/projectwild/step-stem-and-wild-work/color-crazy</t>
  </si>
  <si>
    <t>https://chemwatch.net/blog/ever-wondered-how-insects-can-walk-on-water/</t>
  </si>
  <si>
    <t>https://extension.sdstate.edu/science-technology-engineering-and-math-stem</t>
  </si>
  <si>
    <t>https://teachersfirst.org/subjects/earth-science-geology/single.cfm?id=20108/recent/37/</t>
  </si>
  <si>
    <t>https://dos.fl.gov/library-archives/library-development/programs/florida-library-youth-program/programming-and-collections/stem/</t>
  </si>
  <si>
    <t>https://www.outrightcrm.com/blog/ultrasonic-sensor-guide/</t>
  </si>
  <si>
    <t>https://ejournals.ph/article.php?id=24788</t>
  </si>
  <si>
    <t>https://www.onshape.com/fr/blog/education-design-resources-digital-fabrication</t>
  </si>
  <si>
    <t>https://howtofunda.com/door-alarm-or-theft-alert-alarm-working-model-for-science-exhibition/</t>
  </si>
  <si>
    <t>https://www.southjerseygas.com/conserve/back-to-school-lessons-in-energy-conservation</t>
  </si>
  <si>
    <t>https://ww2.mathworks.cn/en/academia/highschool/courseware.html</t>
  </si>
  <si>
    <t>https://www.osaka-gu.ac.jp/php/nakagawa/TRIZ/eTRIZ/eWTSP/eWTSP-WorldCatalog/eWTSP-WorldCatalog-TN3B-CreativeProblemSolve/Sites-TN3B.html</t>
  </si>
  <si>
    <t>https://rvalibrary.org/kids/sol-resources/</t>
  </si>
  <si>
    <t>https://www.sepco-solarlighting.com/blog/performance-and-maintenance-of-solar-panels-in-cold-climates</t>
  </si>
  <si>
    <t>https://solidprofessor.com/blog/distance-learning-resources-engineering-teachers/</t>
  </si>
  <si>
    <t>https://www.etstatefair.com/p/academic-rodeo/ar-contests/engineering-challenge</t>
  </si>
  <si>
    <t>https://homeschoolden.com/2015/10/29/chemistry-experiments-for-kids-grade-2-mixtures-chromatography-dna-kit/</t>
  </si>
  <si>
    <t>https://www.cceionline.com/september-2022-newsletter-early-engineering-recommendations-for-engineering-activities/</t>
  </si>
  <si>
    <t>https://permies.com/t/128863/Water-chart</t>
  </si>
  <si>
    <t>https://remc-cdn.fxbrt.com/21Things4Students/21/15-design-thinking/q1-what-is-design-thinking/</t>
  </si>
  <si>
    <t>https://www.gallopade.com/Guest-Blog-5-STEM-Activities.aspx</t>
  </si>
  <si>
    <t>https://phys.org/news/2022-08-fish-reconnect-species-habitats-blocked.html</t>
  </si>
  <si>
    <t>https://it.farnell.com/en-IT/a-comprehensive-guide-to-proximity-sensors-for-industrial-applications-trc-ar</t>
  </si>
  <si>
    <t>https://crosstalk.cell.com/blog/how-i-introduced-my-kids-to-power-grids-and-engineering</t>
  </si>
  <si>
    <t>https://www.elmhurst.edu/blog/stem-teachers/</t>
  </si>
  <si>
    <t>https://ozobot.com/art-vs-stem-teachers-parents-put-steam/</t>
  </si>
  <si>
    <t>http://faculty.trinity.edu/rjensen/bookbob2-Part2.htm</t>
  </si>
  <si>
    <t>https://www.kqed.org/mindshift/24483/do-math-and-science-teachers-need-special-training</t>
  </si>
  <si>
    <t>https://www.nsta.org/science-and-children/science-and-children-february-2020/tinkering-vs-engineering</t>
  </si>
  <si>
    <t>https://www.perkins.org/resource/help-droopy-plant/</t>
  </si>
  <si>
    <t>https://assist.asta.edu.au/resource/2744/great-gravity-escape</t>
  </si>
  <si>
    <t>https://people.uis.edu/rschr1/onlinelearning/?paged=200</t>
  </si>
  <si>
    <t>http://m.visitmadison.org/site/v/default?url=https%3A%2F%2Fwww.wikihow.com%2FCalculate-Population-Density&amp;dm_device=mobile</t>
  </si>
  <si>
    <t>https://www.physics.uoguelph.ca/lemon-power</t>
  </si>
  <si>
    <t>https://minerals.nv.gov/layouts/Page_Style_1.aspx?id=195833</t>
  </si>
  <si>
    <t>https://groups.diigo.com/group/montessori-stem?view=recent&amp;type=bookmark</t>
  </si>
  <si>
    <t>https://sciencejournalforkids.substack.com/p/lesson-ideas-1-batty-for-bat-calls</t>
  </si>
  <si>
    <t>https://training.fema.gov/programs/emischool/emischool.aspx/el361toolkit/fema-emi-mit@fema.dhs.gov</t>
  </si>
  <si>
    <t>https://www.aps.org/learning-resources/bendy-light</t>
  </si>
  <si>
    <t>https://databot.us.com/breathe-experiment/</t>
  </si>
  <si>
    <t>https://udayton.edu/engineering/k-12-programs/stem-stories-for-third-grade-students/facilitators.php</t>
  </si>
  <si>
    <t>https://titanfx.com/news/train-your-mind-to-brainstorm-for-better-strategic-thinking</t>
  </si>
  <si>
    <t>https://www.springerprofessional.de/enhanced-energy-production-by-corrugated-si-solar-sells-installe/20089664</t>
  </si>
  <si>
    <t>https://ncscienceolympiad.ncsu.edu/resources/elementary/super-sleuths/</t>
  </si>
  <si>
    <t>https://www.globe.gov/web/globe-across-the-curriculum/overview/science-mathematics-and-technology</t>
  </si>
  <si>
    <t>https://studyworkgrow.com/resource/saving-a-life-heart-valve-replacement/</t>
  </si>
  <si>
    <t>https://www-dev.stem.org.uk/resources/community/collection/21586/transfer-energy-pneumatic-and-hydraulic-control-systems</t>
  </si>
  <si>
    <t>https://worldwidevoyage.hokulea.com/classroom-connections-locks-canals/</t>
  </si>
  <si>
    <t>https://www.sempersolaris.com/teaching-kids-renewable-energy/</t>
  </si>
  <si>
    <t>https://www.powershow.com/view4/81d340-ZTE5M/Pupillary_Response_powerpoint_ppt_presentation</t>
  </si>
  <si>
    <t>https://steemit.com/technology/@bitcoinparadise/71-percent-of-earth-s-surface-is-water-why-not-use-it-for-communications</t>
  </si>
  <si>
    <t>https://www.scmp.com/yp/discover/lifestyle/features/article/3067560/everything-youve-ever-wanted-know-about-blood-types</t>
  </si>
  <si>
    <t>http://web.mit.edu/blossoms/resources/engineering_resources.html</t>
  </si>
  <si>
    <t>https://sites.uml.edu/ecosonic_project/for-teachers/architecture-and-engineering/</t>
  </si>
  <si>
    <t>https://sciencewithart.ijs.si/news.php?start_from=20&amp;ucat=1</t>
  </si>
  <si>
    <t>https://forum.tfes.org/index.php?topic=3283.20</t>
  </si>
  <si>
    <t>https://mrsec.utexas.edu/news-publications</t>
  </si>
  <si>
    <t>https://www.genspark.ai/spark/%E3%81%9B%E3%82%93%E6%96%AD%E5%A4%89%E5%BD%A2%E3%81%AE%E6%80%A7%E8%B3%AA%E3%81%A8%E3%81%9B%E3%82%93%E6%96%AD%E3%81%B2%E3%81%9A%E3%81%BF%E3%81%AE%E5%AE%9A%E7%BE%A9/1da0519d-7ba2-498e-9810-c79606874415</t>
  </si>
  <si>
    <t>https://ads-coffee-supplies.co.uk/ripple-vs-double-wall-paper-cups-which-keeps-drinks-hotter/</t>
  </si>
  <si>
    <t>https://learn.k20center.ou.edu/lesson/1459</t>
  </si>
  <si>
    <t>https://www.ascd.org/el/articles/stem-on-the-cheap</t>
  </si>
  <si>
    <t>https://www.pearltrees.com/u/14000414-home-www-teachengineering-org</t>
  </si>
  <si>
    <t>https://www.infento.com/blog/staying-at-home/</t>
  </si>
  <si>
    <t>https://www.teletracnavman.com/gps-fleet-tracking-education/gps-tracking-storms-and-weather</t>
  </si>
  <si>
    <t>https://stempreacademy.hawaii.edu/toolkit/makerbot-sketch/</t>
  </si>
  <si>
    <t>https://routledgetextbooks.com/textbooks/9781032025162/resources.php</t>
  </si>
  <si>
    <t>https://www.ukclimbing.com/forums/hill_talk/contours-620981</t>
  </si>
  <si>
    <t>https://allycestegmansciencemisconception.weebly.com/magnets.html</t>
  </si>
  <si>
    <t>https://anastasialuc.wixsite.com/teacheridentity/family-resources</t>
  </si>
  <si>
    <t>https://www.publicradioeast.org/us/2017-03-27/episode-54-panic-in-the-streets-study-guide-for-middle-school</t>
  </si>
  <si>
    <t>https://freereadingprogram.com/uploads/miq8fyme/ball-rolling-down-a-ramp-simulation</t>
  </si>
  <si>
    <t>https://ztec100.com/free-technology-for-teachers-amusement-park-physics-lessons/</t>
  </si>
  <si>
    <t>https://capesteamahead.cargo.site/Further-Readings-Resources</t>
  </si>
  <si>
    <t>https://metrodetroitmommy.com/7-tips-for-including-stem-learning-for-homeschoolers/</t>
  </si>
  <si>
    <t>https://www.knoxtntoday.com/stem-camp-with-solar/</t>
  </si>
  <si>
    <t>https://www.schoollibraryjournal.com/story/honoring-h2o-teaching-resources-about-vital-importance-clean-water</t>
  </si>
  <si>
    <t>https://www.apu.apus.edu/area-of-study/electrical-engineering/resources/shipbuilding-requires-engineering-and-business-skills-to-solve-complex-problems/</t>
  </si>
  <si>
    <t>https://issuebehalf9.bitbucket.io/how-to-teach-newton-s-laws.html</t>
  </si>
  <si>
    <t>https://www.artnglow.com/blogs/news/phosphorescent-lesson-plan-for-teachers</t>
  </si>
  <si>
    <t>https://www.crestcapital.com/tax/introduction_to_hydropower</t>
  </si>
  <si>
    <t>https://miller.slps.org/old-homepage/departments/academic-instructional-coach/remote-learning-resources</t>
  </si>
  <si>
    <t>https://incubate-learning.kit.com/posts/how-to-design-schools-to-grow-thriving-adults-a-provocation</t>
  </si>
  <si>
    <t>https://eepro.naaee.org/community/blog/your-back-school-e-stem-resource-guide</t>
  </si>
  <si>
    <t>https://unit.hlc.edu.tw/eduen/index.php/component/sppagebuilder/?view=page&amp;id=70&amp;Itemid=0</t>
  </si>
  <si>
    <t>https://www.teachingchannel.com/k12-hub/blog/engineering-the-end-of-the-school-year/</t>
  </si>
  <si>
    <t>https://www.jetlearn.com/blog/building-a-smart-pet-feeder-iot-projects-for-kids-who-love-animals</t>
  </si>
  <si>
    <t>https://itep.nau.edu/eeop/saturday-academy/student-activities/</t>
  </si>
  <si>
    <t>https://www.preventionweb.net/publication/survive-tsunami-testing-model-villages-big-waves</t>
  </si>
  <si>
    <t>https://wardsworld.wardsci.com/i/1484453-ws-science-by-you-activity-crystal-radio/4</t>
  </si>
  <si>
    <t>https://www.tnstate.edu/murep/otherresources.aspx</t>
  </si>
  <si>
    <t>https://www.teq.com/4-activities-teqs-winter-solstice-series/</t>
  </si>
  <si>
    <t>https://www.mathnasium.com/math-centers/warrenton/news/2024-7-23-steam-workshops</t>
  </si>
  <si>
    <t>https://blog.walkingmountains.org/students-to-stewards/stem-at-home-outdoor-stem</t>
  </si>
  <si>
    <t>https://www.cruisersforum.com/forums/f116/tackle-mechanical-advantage-289167-2.html</t>
  </si>
  <si>
    <t>https://blog.quizalize.com/2021/04/08/earth-day-classroom-resources/</t>
  </si>
  <si>
    <t>https://blog.frontrange.edu/2022/08/03/an-unexpected-adventure-in-innovation/</t>
  </si>
  <si>
    <t>https://www.northernpolarbears.com/for-staff/stem-in-the-classroom-k-12/stem-resources</t>
  </si>
  <si>
    <t>https://oklahoma.gov/careertech/educators/stem/programs/applied-engineering.html</t>
  </si>
  <si>
    <t>https://www.newark.com/es/a-comprehensive-guide-to-proximity-sensors-for-industrial-applications-trc-ar</t>
  </si>
  <si>
    <t>https://happyplumbing.com/blog/the-truth-about-taps-insights-into-faucet-repair-and-replacement/</t>
  </si>
  <si>
    <t>https://www.quia.com/pages/ryarbrough/page8</t>
  </si>
  <si>
    <t>https://www.npr.org/2017/03/27/517505469/episode-54-panic-in-the-streets-study-guide-for-middle-school</t>
  </si>
  <si>
    <t>https://www.uts.edu.au/news/2023/07/engineering-evolution-and-exploration</t>
  </si>
  <si>
    <t>https://www.clarke.k12.va.us/our-district/curriculum-instruction/stem/2017-stem-festival</t>
  </si>
  <si>
    <t>https://www.nassp.org/engaging-girls-in-stem/</t>
  </si>
  <si>
    <t>https://www.bildungsserver.de/elixier/elixier_details.php?id=1dd2adb0d271db668d4f518cb2928c9b</t>
  </si>
  <si>
    <t>https://intellectdiscover.com/content/journals/10.1386/eta_00184_1</t>
  </si>
  <si>
    <t>https://www.sciencealert.com/pure-chaos-of-magnetic-fields-could-be-responsible-for-the-black-hole-s-intense-shine</t>
  </si>
  <si>
    <t>https://see-sciencecenter.org/listening-to-bubbles/</t>
  </si>
  <si>
    <t>https://www.designer-daily.com/how-do-you-involve-design-in-life-without-even-noticing-it-67493</t>
  </si>
  <si>
    <t>https://www.scetv.org/stories/2019/steam-education-more-engineering-pinterest-challenges</t>
  </si>
  <si>
    <t>https://zenodo.org/records/15192704</t>
  </si>
  <si>
    <t>https://www.volpe.dot.gov/work-with-us/small-business-innovation-research/141-solicitation-technical-questions-and-answers</t>
  </si>
  <si>
    <t>https://extendedstudies.ucsd.edu/news-events/extended-studies-blog/5-at-home-stem-projects-for-kids-and-adults</t>
  </si>
  <si>
    <t>https://ocw.tau.edu.ng/courses/biological-engineering/20-020-introduction-to-biological-engineering-design-spring-2009/lecture-and-studio-notes/wk08/</t>
  </si>
  <si>
    <t>https://web.uri.edu/education/curriculum-materials-library/online-tools/</t>
  </si>
  <si>
    <t>https://www.charlotteparent.com/e-learning-resources-to-supplement-your-homeschool-curriculum/</t>
  </si>
  <si>
    <t>https://www.virtuallibrary.info/stem--maker-space.html</t>
  </si>
  <si>
    <t>https://forums.atozteacherstuff.com/index.php?threads/tips-for-stretching-out-a-lesson-plan.203218/</t>
  </si>
  <si>
    <t>https://clixplatform.tiss.edu/58e604ed69602a0147642372/course/activity/detail/591030a469602a013c41ad85</t>
  </si>
  <si>
    <t>https://www.pnnl.gov/people/courtney-bottenus</t>
  </si>
  <si>
    <t>https://schoolweb.tdsb.on.ca/soes/Programs/By-Theme/Biodiversity-and-Human-Impact/Bat-Chat</t>
  </si>
  <si>
    <t>http://fmri-materials-college.eng.usf.edu/links.html</t>
  </si>
  <si>
    <t>https://scoutermom.com/20123/whoosh-scouts-bsa-nova-award-engineering/</t>
  </si>
  <si>
    <t>https://dl.acm.org/doi/abs/10.1145/3706599.3720144</t>
  </si>
  <si>
    <t>https://blogs.bend.k12.or.us/blsmentorprogram/2017/02/15/science-resources-aligned-to-ngss/</t>
  </si>
  <si>
    <t>https://eku.adventist.org/?e=406283012</t>
  </si>
  <si>
    <t>https://www.geocaching.com/geocache/GC9WMBW</t>
  </si>
  <si>
    <t>https://fredrick-jodyo7752.firebaseapp.com/dynamic-periodic-table-with-charges.html</t>
  </si>
  <si>
    <t>https://www.nextgov.com/emerging-tech/2017/10/secretly-wish-you-could-be-invisible-science-getting-close/141954/?oref=ng-next-story</t>
  </si>
  <si>
    <t>https://newsletters.naavi.com/i/RNG4lZJ/issue-3/page/8</t>
  </si>
  <si>
    <t>https://www.shorecrest.org/news/2017-12-21/sixth-grade-viking-ship-challenge-video-</t>
  </si>
  <si>
    <t>http://test.mosme.net/index.php?load=read&amp;id=2401</t>
  </si>
  <si>
    <t>https://tuhsphysics.ttsd.k12.or.us/Research/IB22/Fig/index.htm</t>
  </si>
  <si>
    <t>https://www.soils4teachers.org/lessons-and-activities/lesson/64</t>
  </si>
  <si>
    <t>https://www.envisionexperience.com/blog/anatomy-activity-models-of-the-body</t>
  </si>
  <si>
    <t>https://dca.learnquebec.ca/exploringbalance/</t>
  </si>
  <si>
    <t>https://so02.tci-thaijo.org/index.php/EDUCU/article/view/266284</t>
  </si>
  <si>
    <t>https://ncse.ngo/its-great-debate-charlie-brown-aerosols-vs-droplets</t>
  </si>
  <si>
    <t>http://www.mesa.edu.au/seaweek2007/links01.asp</t>
  </si>
  <si>
    <t>http://www.profharwood.x10host.com/NSCI101/Reading.htm</t>
  </si>
  <si>
    <t>https://oer.lib.polyu.edu.hk/concern/works/6395w711g?locale=en</t>
  </si>
  <si>
    <t>https://www.localmemphis.com/article/news/local/outreach/back-to-school/apps-and-sites-to-keep-your-kids-minds-working-and-yours-less-stressed-this-school-year/63-83bfb343-7811-47e7-9ace-f52290d7361b</t>
  </si>
  <si>
    <t>https://maineaudubon.org/news/connections-plagiarizing-nature/</t>
  </si>
  <si>
    <t>https://usborne.com/gb/quicklinks/quicklink/izzy-the-inventor-and-the-elf-inspectors</t>
  </si>
  <si>
    <t>https://makezine.com/article/education/masstec-conference/</t>
  </si>
  <si>
    <t>https://www.wholesalesuppliesplus.com/blogs/articles/chemistry-of-bath-fizzies-and-bath-bombs</t>
  </si>
  <si>
    <t>https://classwork.com/amusement-park-physics-lessons/</t>
  </si>
  <si>
    <t>https://www.inverse.com/article/12187-in-the-future-you-ll-be-a-superhero-and-here-s-how-you-ll-get-your-superpowers</t>
  </si>
  <si>
    <t>https://www.bassresource.com/bass-fishing-forums/topic/247600-does-anyone-remember-what-each-foot-increase-of-rod-length-increases-distance/</t>
  </si>
  <si>
    <t>https://ellenjmchenry.com/hpt-lesson-3/</t>
  </si>
  <si>
    <t>https://content.govdelivery.com/accounts/USNOAANOS/bulletins/3926807</t>
  </si>
  <si>
    <t>https://www.unmc.edu/mmi/education/high-school/sepa/edu-materials.html</t>
  </si>
  <si>
    <t>https://hx7.c5f.myftpupload.com/2020/04/steam-up-learning-with-50-fabulous-resources/</t>
  </si>
  <si>
    <t>https://www.theepochtimes.com/world/faster-and-less-energy-consuming-devices-in-sight-as-scientists-form-interlayer-quasiparticle-pairs-4808893</t>
  </si>
  <si>
    <t>https://boydgreenvillems.schoolinsites.com/academics</t>
  </si>
  <si>
    <t>https://www.eeworldonline.com/2159-2/</t>
  </si>
  <si>
    <t>https://mathvoices.ams.org/mathmedia/math-digests-february-2024/</t>
  </si>
  <si>
    <t>https://www.robotlab.com/blog/places-to-find-simple-yet-actionable-stem-lesson-plans</t>
  </si>
  <si>
    <t>https://app.sophia.org/tutorials/ngss-standards-5th-grade-plants-and-their-environment</t>
  </si>
  <si>
    <t>https://search.aol.com/reviews?q=the+history+of+phones+for+kids&amp;ei=UTF-8&amp;age=1m&amp;v_t=na&amp;fr2=time&amp;btf=m</t>
  </si>
  <si>
    <t>https://journals.iucr.org/j/issues/2023/05/00/gj5304/</t>
  </si>
  <si>
    <t>https://thejournal.com/articles/2022/06/17/strengthen-your-stem-program-with-these-4-elements-of-entrepreneurship.aspx?s=the_it_230622</t>
  </si>
  <si>
    <t>https://blog.dsstpublicschools.org/helix/project-create-week-2-challenge-is-here</t>
  </si>
  <si>
    <t>https://subjecttoclimate.org/external-resources/renew-a-bead-game</t>
  </si>
  <si>
    <t>https://makeymakey.com/blogs/blog/featured-educator-chris-ippolito</t>
  </si>
  <si>
    <t>https://cleanenergyforum.yale.edu/clean-energy-101</t>
  </si>
  <si>
    <t>https://elearning.coco-mat.com/essential_old/style/4yhva/article.php?tag=how-do-engineering-students-study</t>
  </si>
  <si>
    <t>https://www.imsa.edu/academics/faculty/ashwin-mohan-ph-d/neuroai-research-project/outreach-and-publications/</t>
  </si>
  <si>
    <t>http://isaac.exploratorium.edu/~pauld/summer_institute/summer_institute_materials2014.html</t>
  </si>
  <si>
    <t>https://nmt.edu/academics/psych-ed/activities/CivilEngineering.php</t>
  </si>
  <si>
    <t>https://drexel.edu/biomed/about/diversity/NSF-high-school-engineering-course/</t>
  </si>
  <si>
    <t>https://www.lessonplanet.com/collections/earthquakes-living-lab-finding-epicenters-and-measuring-magnitudes</t>
  </si>
  <si>
    <t>https://scienceinschool.web.cern.ch/article/2025/explore-the-sound-waves-by-using-robotics/</t>
  </si>
  <si>
    <t>https://avo31652.halff.com/news-insights/insights/5-days-of-do-it-yourself-stem-projects/</t>
  </si>
  <si>
    <t>https://captainplanetfoundation.org/exploration/making-models-to-demonstrate-electrostatic-precipitators/</t>
  </si>
  <si>
    <t>https://cmstest.pdst.ie/ga/node/6442</t>
  </si>
  <si>
    <t>https://atecentral.net/r31021/success</t>
  </si>
  <si>
    <t>https://archive.iyfglobal.org/blog/stem-student-kazakhstan-clean-energy-moon-isnt-sci-fi</t>
  </si>
  <si>
    <t>https://teach.com.cach3.com/blog/page/5/index.html</t>
  </si>
  <si>
    <t>https://read.bookcreator.com/Cfm7kRgnZSR4KJzYXXnUJezaQeo1/s4vjjaQSRDKiNnl7bxE5Ew/hjfQ57RXS7O6YlJFIR1Xag</t>
  </si>
  <si>
    <t>https://library.wyo.gov/news-in-brief-32/</t>
  </si>
  <si>
    <t>https://faculty.engineering.ucdavis.edu/vandergheynst/teaching/</t>
  </si>
  <si>
    <t>https://www.jerseyyards.org/certification-program/school-program/get-certified/how-to-creek/recycle/</t>
  </si>
  <si>
    <t>https://blog.sparkedu.com/blog/2023/07/06/top-3-fun-stem-activities-for-primary-4-kids/</t>
  </si>
  <si>
    <t>https://www.gadgetreview.com/from-potato-batteries-to-tesla-coils-11-gadgets-that-make-science-tangible</t>
  </si>
  <si>
    <t>https://ecency.com/hive-114308/@jacobpeacock/homesteading-resources</t>
  </si>
  <si>
    <t>http://www.crafters-choice.com/handmade101/learn-to-make-articles/chemistry-of-bath-fizzies-and-bath-bombs.aspx</t>
  </si>
  <si>
    <t>https://www.belolaw.com/faq-pages/types-of-professionals-license-defense-lawyers-represent/</t>
  </si>
  <si>
    <t>https://nationalchildrensmuseum.org/learn/steamwork/spool-racers</t>
  </si>
  <si>
    <t>https://spacedge.nss.org/course/view.php?id=293&amp;lang=es</t>
  </si>
  <si>
    <t>https://www.nu.edu/pk-12-resources/open-ed-resources/</t>
  </si>
  <si>
    <t>https://nairs.mufaculty.umsystem.edu/training-and-outreach/microcredentials-for-courses-and-self-learning</t>
  </si>
  <si>
    <t>https://en.sorumatik.co/t/grade-9-technology-projects-bridges/234378</t>
  </si>
  <si>
    <t>https://www.tu.org/magazine/science/think-tank-tracking-trout/</t>
  </si>
  <si>
    <t>https://sharemylesson.com/teaching-resource/making-spaghetti-bridges-406993</t>
  </si>
  <si>
    <t>https://awesomecolouringpages.web.app/coloring-patterns-in-the-fact-table.html</t>
  </si>
  <si>
    <t>https://efcnetwork.org/for-educators/pump-it-water-engineering-design-activity/</t>
  </si>
  <si>
    <t>https://stemfinity.com/blogs/free-stem-resources/teachengineering</t>
  </si>
  <si>
    <t>https://www.caeducatorstogether.org/resources/153862/problem-solving-lesson</t>
  </si>
  <si>
    <t>https://listserv.oneonta.edu/scripts/wa.exe?A3=2206C&amp;L=ESPRIT&amp;E=quoted-printable&amp;P=11926155&amp;B=--0000000000000827cb05e192d19d&amp;T=text%2Fhtml;%20charset=UTF-8&amp;XSS=3&amp;header=1</t>
  </si>
  <si>
    <t>https://www.youngpostclub.com/yp/discover/lifestyle/features/article/3070625/was-t-rex-hunter-or-scavenger-broken-tooth-buried</t>
  </si>
  <si>
    <t>https://fashionisk.com/home-renovation-101-how-to-plan-your-project-like-a-pro/</t>
  </si>
  <si>
    <t>https://hogfurniture.co/ha/blogs/ideas-inspiration/transform-your-living-space-how-painters-enhance-home-decor</t>
  </si>
  <si>
    <t>https://www.hillrag.com/2021/09/17/fall-home-improvement-tips-from-the-pros/</t>
  </si>
  <si>
    <t xml:space="preserve">Rindy </t>
  </si>
  <si>
    <t>rindyobrien@gmail.com</t>
  </si>
  <si>
    <t>https://www.bydesignandviz.com/post/how-to-choose-the-right-paint-colors</t>
  </si>
  <si>
    <t>https://northshoretimingonline.com/modern-farmhouse-vs-contemporary-choosing-your-custom-home-style/</t>
  </si>
  <si>
    <t>https://community.triblive.com/n%20huntingdon-pa/parry-custom-homes-724-863-0199</t>
  </si>
  <si>
    <t>https://admin.local.observer-reporter.com/irwin-pa/parry-custom-homes-724-863-0199</t>
  </si>
  <si>
    <t>https://thehometrotters.blog/career-opportunities-in-the-water-damage-restoration-industry/</t>
  </si>
  <si>
    <t>cohenclaytons@gmail.com</t>
  </si>
  <si>
    <t>javyhaidy@gmail.com</t>
  </si>
  <si>
    <t>https://www.gardenswithwings.com/knowledge-nook/excess-moisture-impact-garden</t>
  </si>
  <si>
    <t>https://www.legalbites.in/topics/articles/legal-steps-for-water-damage-claims-in-homes-1151020</t>
  </si>
  <si>
    <t>https://www.lagradaonline.com/us/damages-empty-bank-winter/</t>
  </si>
  <si>
    <t>https://londonincmagazine.ca/2025/11/22/basement-seepage-nightmares/</t>
  </si>
  <si>
    <t xml:space="preserve">Gord </t>
  </si>
  <si>
    <t>gord@londonincmagazine.ca</t>
  </si>
  <si>
    <t>kieran@londonincmagazine.ca</t>
  </si>
  <si>
    <t>https://amumreviews.co.uk/preventing-water-damage-at-home/</t>
  </si>
  <si>
    <t>https://greenbuildingcanada.ca/green-carpet-drying/</t>
  </si>
  <si>
    <t>https://mylittlebabog.com/2024/12/what-happens-to-a-family-home-after-serious-water-damage/</t>
  </si>
  <si>
    <t>https://ebnw.net/page/453/?cat=0</t>
  </si>
  <si>
    <t>https://www.dreamandtravel.com/water-damage-an-unforeseen-issue-in-travel-diaries</t>
  </si>
  <si>
    <t>https://thefurniturevilla.co.uk/protecting-your-home-furnishings-from-moisture-and-mold/</t>
  </si>
  <si>
    <t>jmarshal558@gmail.com</t>
  </si>
  <si>
    <t>https://www.socinvestigation.com/investigating-the-science-behind-water-restoration/</t>
  </si>
  <si>
    <t>https://www.techdee.com/safely-clean-up-after-minor-water-damage/</t>
  </si>
  <si>
    <t>https://www.padmagazine.co.uk/property-facilities-management/property-care-101-addressing-water-damage/25033/</t>
  </si>
  <si>
    <t>https://civildigital.com/the-crucial-steps-in-water-damage-restoration/</t>
  </si>
  <si>
    <t>https://hrnews.co.uk/workplace-water-damage-a-restoration-guide/</t>
  </si>
  <si>
    <t>editor@hrnews.co.uk</t>
  </si>
  <si>
    <t>https://www.wearebrighton.com/newsopinion/ensuring-longevity-of-sports-memorabilia-against-water-damage/</t>
  </si>
  <si>
    <t>https://www.greekexclusiveproperties.com/where-mold-hides-after-floods-in-sydney-reveals/</t>
  </si>
  <si>
    <t>info@greekexclusiveproperties.com</t>
  </si>
  <si>
    <t>ktaralas@msn.com</t>
  </si>
  <si>
    <t>https://thoughtsonlifeandlove.com/strengthening-relationships-amidst-home-repair-needs/89007/</t>
  </si>
  <si>
    <t>https://www.wikitechy.com/technology/harnessing-tech-to-combat-residential-water-damage/</t>
  </si>
  <si>
    <t>https://speedwaymedia.com/2024/01/07/revving-engines-water-damage-recovery/</t>
  </si>
  <si>
    <t>https://kevinfrancisdesign.com/blogs/design-ideas/designing-with-water-damage-prevention-in-mind</t>
  </si>
  <si>
    <t>https://www.solutionhow.com/en-us/education/professional-solutions-for-sydneys-water-damage/</t>
  </si>
  <si>
    <t>https://quintdaily.com/page/104/?start&amp;season&amp;search&amp;id=2467</t>
  </si>
  <si>
    <t>https://houseofcoco.net/luxury-living-meets-masterful-water-damage-recovery/</t>
  </si>
  <si>
    <t>https://favs.news/upholding-ethical-standards-in-water-damage-emergencies/</t>
  </si>
  <si>
    <t>https://fancyhouse-design.com/blog/expert-insights-into-water-damage-restoration/</t>
  </si>
  <si>
    <t>https://latest.thedailyguardian.com/others/guarding-your-home-from-potential-flooding/</t>
  </si>
  <si>
    <t>https://backstageviral.com/top-5-tips-for-choosing-water-damage-restoration-professionals/</t>
  </si>
  <si>
    <t>https://www.sipthestyle.com/hidden-moisture-behind-walls-drives-repeat-loss-and-litigation</t>
  </si>
  <si>
    <t>https://myflashyhome.com/revamp-your-space-after-water-damage-recovery/</t>
  </si>
  <si>
    <t>https://thursd.com/articles/floral-enthusiasts-guide-to-preventing-home-water-damage</t>
  </si>
  <si>
    <t>https://gluesticksgumdrops.com/10-home-maintenance-tasks-homeowners-often-forget/</t>
  </si>
  <si>
    <t>https://www.tinyhouse.com/post/how-much-does-hazard-insurance-cost</t>
  </si>
  <si>
    <t>https://www.otsnews.co.uk/finding-the-right-professional-for-flood-restoration/</t>
  </si>
  <si>
    <t>https://programminginsider.com/technology-in-water-damage-restoration/</t>
  </si>
  <si>
    <t>https://luxurylifestyle.com/headlines/how-to-stop-your-homes-beautiful-carpets-being-ruined-by-water-damage.html</t>
  </si>
  <si>
    <t>https://michiganmamanews.com/2025/09/03/americas-rainiest-cities-revealed-where-summer-downpours-hit-the-hardest-muskegon-leads-in-michigan/</t>
  </si>
  <si>
    <t>https://gisuser.com/2023/08/mastering-geospatial-analysis-in-flood-restoration/</t>
  </si>
  <si>
    <t>https://wemadethislife.com/family-friendly-tips-for-handling-home-water-damage/</t>
  </si>
  <si>
    <t>https://trans4mind.com/counterpoint/index-home-garden/water-damage-recovery.html</t>
  </si>
  <si>
    <t>https://contentbase.com/blog/mold-inspection-who-to-call/</t>
  </si>
  <si>
    <t>https://ultimatestatusbar.com/how-to-salvage-these-8-household-items-after-a-flood/</t>
  </si>
  <si>
    <t>https://ccr-mag.com/reviving-commercial-buildings-navigating-water-damage-restoration/</t>
  </si>
  <si>
    <t>https://homeworlddesign.com/innovative-design-tips-for-preventing-home-water-damage/</t>
  </si>
  <si>
    <t>https://www.planetveggie.co.uk/plant-lovers-guide-to-protecting-your-home-from-water-damage/</t>
  </si>
  <si>
    <t>https://stageandcinema.com/2024/05/20/floodlight-fiasco-handling-water-damaged-stage-equipment/</t>
  </si>
  <si>
    <t>https://www.bizzbuzz.news/LifeStyle/how-to-hire-a-mold-remediation-company-1352785</t>
  </si>
  <si>
    <t>https://www.rentbottomline.com/blog/optimizing-rentals-avert-water-damage-consequences</t>
  </si>
  <si>
    <t>https://www.pen2print.org/2024/07/steps-for-effective-water-damage.html</t>
  </si>
  <si>
    <t>https://suntrics.com/lifestyle-blogs/water-damage/</t>
  </si>
  <si>
    <t>https://hnmag.ca/tips/guarding-film-equipment-against-water-damage/</t>
  </si>
  <si>
    <t>https://www.talentedladiesclub.com/articles/restoration-services-a-lifesaver-in-crisis-situations/</t>
  </si>
  <si>
    <t>https://optimisticmommy.com/signs-and-solutions-of-basement-water-damage/</t>
  </si>
  <si>
    <t>https://www.theinspirationedit.com/rebuild-and-renew-with-confidence/</t>
  </si>
  <si>
    <t>https://www.techporn.ph/understanding-environmental-impact-tech-devices-flooding/</t>
  </si>
  <si>
    <t>https://www.urbansplatter.com/2022/09/how-to-deal-with-your-flood-damaged-carpets/</t>
  </si>
  <si>
    <t>https://amazingarchitecture.com/articles/restoration-services-a-lifeline-after-disasters</t>
  </si>
  <si>
    <t>https://www.thedevondaily.co.uk/news/homes-gardens/what-are-first-steps-take-after-discovering-water-damage</t>
  </si>
  <si>
    <t>https://www.sweetsofties.com/2024/05/preventing-water-damage.html?m=0</t>
  </si>
  <si>
    <t>https://constrofacilitator.com/savesubscribe.php/page/629/?name</t>
  </si>
  <si>
    <t>https://www.womansera.com/dealing-with-household-water-damage-a-moms-guide/</t>
  </si>
  <si>
    <t>https://www.europeanbusinessreview.com/reviving-your-carpets-dealing-with-water-damage/</t>
  </si>
  <si>
    <t>https://scope.bccampus.ca/tag/index.php?tc=1&amp;tag=what-are-acceptable-moisture-levels</t>
  </si>
  <si>
    <t>https://www.flexhouse.org/flexing-home-improvement-muscles-water-damage-restoration/</t>
  </si>
  <si>
    <t>https://www.mommacuisine.com/blog/foodie-s-guide-rescuing-your-kitchenware-after-a-water-mishap</t>
  </si>
  <si>
    <t>https://www.theglobalwomanleader.com/news/water-damage-restoration-a-comprehensive-guide-nwid-2677.html</t>
  </si>
  <si>
    <t>https://gemmalouise.co.uk/2024/11/safeguarding-jewellery-from-potential-water-damage.html</t>
  </si>
  <si>
    <t>https://citychicliving.com/city-living-safeguarding-chic-homes-from-water-damage/</t>
  </si>
  <si>
    <t>hello@citychicliving.com</t>
  </si>
  <si>
    <t>https://realtylink.org/en/realtors</t>
  </si>
  <si>
    <t>https://www.rew.ca/agents/216199/sachin-gupta-3</t>
  </si>
  <si>
    <t>https://threebestrated.ca/real-estate-agents-in-mississauga-on</t>
  </si>
  <si>
    <t>https://hellotars.com/case-studies/how-save-max-canada-uses-a-chatbot-agent-to-generate-1000s-of-leads</t>
  </si>
  <si>
    <t>https://savemax.in/news-details/save-max-celebrates-14-years-of-excellence-032252/</t>
  </si>
  <si>
    <t>https://storeys.com/real-estate-agents-running-ontario-provincial-election/</t>
  </si>
  <si>
    <t>https://vitamagazine.com/2022/07/08/home-prices-in-ottawa-in-2022/</t>
  </si>
  <si>
    <t>https://crypticstreet.com/theres-a-dirt-cheap-smartwatch-powering-this-adorably-useless-tiny-desktop-pc/</t>
  </si>
  <si>
    <t>https://bresdel.com/savemax</t>
  </si>
  <si>
    <t>https://markspain.com/blog/top-companies-that-buy-houses-for-cash</t>
  </si>
  <si>
    <t>markspain@markspain.com</t>
  </si>
  <si>
    <t>homes@markspain.com</t>
  </si>
  <si>
    <t>https://councils.forbes.com/profile/Jeremy-Brandt-Founder-CEO-WeBuyHouses-com/24c337ca-d982-4fa3-89c6-a6b68d2cde17</t>
  </si>
  <si>
    <t>https://www.propertyradar.com/blog/10-reasons-why-propertyradar-needs-to-be-your-next-real-estate-lead-generation-tool</t>
  </si>
  <si>
    <t>https://www.housebuyersofamerica.com/cash-home-buyers/georgia</t>
  </si>
  <si>
    <t>https://newagainhouses.com/blog/sell-your-house-fast-for-cash</t>
  </si>
  <si>
    <t>https://www.reisift.io/blog-posts/wholesaling-real-estate-ultimate-guide</t>
  </si>
  <si>
    <t>https://www.homego.com/blog/how-much-do-you-lose-selling-a-house-as-is/</t>
  </si>
  <si>
    <t>info@homego.com</t>
  </si>
  <si>
    <t>https://pressbooks.cuny.edu/mypage/chapter/what-to-do-when-you-need-to-sell-your-philly-home-quickly/</t>
  </si>
  <si>
    <t>https://mig.clubexpress.com/content.aspx?page_id=22&amp;club_id=760095&amp;module_id=360577</t>
  </si>
  <si>
    <t>https://porch.com/advice/home-sale-online-tips</t>
  </si>
  <si>
    <t>https://alaska.propertychecker.com/distressed-properties</t>
  </si>
  <si>
    <t>https://connecthomebuyers.com/7-cash-buyers-for-homebuyers-to-consider-in-charlotte/</t>
  </si>
  <si>
    <t>https://thisistucson.com/article_fbdaca16-83c2-40af-9c70-4d96b0d462b2.html</t>
  </si>
  <si>
    <t>https://www.janbaskdigitaldesign.com/blogs/real-estate-website-design-examples/</t>
  </si>
  <si>
    <t>https://www.tekedia.com/life-series-buy-home/</t>
  </si>
  <si>
    <t>info@tekedia.com</t>
  </si>
  <si>
    <t>https://managementworksmedia.com/is-it-time-to-sell-your-home-signs-you-should-go-the-cash-route/</t>
  </si>
  <si>
    <t>https://member.eonetwork.org/dallas/membernews/forbes-when-the-thrill-is-gone-four-ways-to-bring-passion-back-to-your-business</t>
  </si>
  <si>
    <t>https://holrmagazine.com/fast-and-easy-ways-to-sell-your-property/</t>
  </si>
  <si>
    <t>https://mail.realtytimes.com/consumeradvice/ask-the-expert/item/1046070-a-guide-on-the-best-time-to-sell-a-house</t>
  </si>
  <si>
    <t>https://www.clevescene.com/news/want-free-ice-cream-start-nabbing-we-buy-houses-signs-off-the-streets-of-cleveland-44127420</t>
  </si>
  <si>
    <t>https://kreafolk.com/blogs/news/why-selling-your-philadelphia-home-to-we-buy-houses-philadelphia-is-the-smart-choice</t>
  </si>
  <si>
    <t>https://sotellus.com/reviews/webuyhousescom/</t>
  </si>
  <si>
    <t>https://player.captivate.fm/episode/43477b08-2525-420c-b4e5-df314c4065bc</t>
  </si>
  <si>
    <t>https://www.merchantcircle.com/oh-cleveland/real-estate/other-real-estate</t>
  </si>
  <si>
    <t>https://cdapress.com/news/2025/oct/03/why-your-house-is-not-selling-top-reasons-explained/</t>
  </si>
  <si>
    <t>editor@cdapress.com</t>
  </si>
  <si>
    <t>https://webmail.trendswe.com/property/fsbo-vs-realtor-navigating-the-complex-landscape-of-selling-your-nevada-home/</t>
  </si>
  <si>
    <t>https://ritzherald.com/yogi-bears-jellystone-park-camp-resort-lot-sales-celebrates-50-years/</t>
  </si>
  <si>
    <t>https://ourfamilylifestyle.com/tips-for-selling-your-home-faster/</t>
  </si>
  <si>
    <t>https://zecommentaires.com/why-fast-house-buyers-are-a-game-changer-in-the-real-estate-market/</t>
  </si>
  <si>
    <t>https://clark.com/homes-real-estate/companies-buy-your-home-cash/</t>
  </si>
  <si>
    <t>https://help.carrot.com/tutorial/integrations-create-new-opportunities-from-emails/</t>
  </si>
  <si>
    <t>https://blogs.orgfree.com/should-you-sell-your-house-as-is/</t>
  </si>
  <si>
    <t>https://pgs.d22.myftpupload.com/2025/12/how-to-sell-my-house-fast-in-maine-cash-offer-options/</t>
  </si>
  <si>
    <t>https://www.expresshomebuyers.com/sell-house/best-homebuyers-in-fairfax-virginia/</t>
  </si>
  <si>
    <t xml:space="preserve">Ingrid </t>
  </si>
  <si>
    <t>ingrid@expresshomebuyers.com</t>
  </si>
  <si>
    <t>info@expresshomebuyers.com</t>
  </si>
  <si>
    <t>https://voyagedallas.com/interview/meet-jeremy-brandt-of-webuyhouses-com-housingvalet-com-cashoffer-com/</t>
  </si>
  <si>
    <t>https://www.al.com/news/2014/12/spartan_investors_to_partner_w.html</t>
  </si>
  <si>
    <t>https://newsilver.com/the-lender/list-of-companies-who-buy-houses-for-cash/#elementor-toc__heading-anchor-1</t>
  </si>
  <si>
    <t>Kirill</t>
  </si>
  <si>
    <t>kirill@newsilver.com</t>
  </si>
  <si>
    <t>sales@newsilver.com</t>
  </si>
  <si>
    <t>https://homegambit.squarespace.com/blog/we-buy-ugly-houses-a-solution-for-selling-hard-to-market-properties-s</t>
  </si>
  <si>
    <t>https://www.change.org/p/u-s-patent-trademark-office-cancel-registered-trademark-we-buy-houses</t>
  </si>
  <si>
    <t>https://www.thesun.co.uk/fabulous/34766741/lidl-elegant-garden-decor-sunny-days-parasol-cheaper-bq/</t>
  </si>
  <si>
    <t>https://www.thesun.ie/fabulous/15096728/aldi-robotic-lawnmower-shopping-launch-date-specialbuys/</t>
  </si>
  <si>
    <t>https://www.atlasceramics.co.uk/tile-ideas/patio/</t>
  </si>
  <si>
    <t>https://metro.co.uk/2025/06/24/this-long-takes-sell-a-home-uk-city-23491888/</t>
  </si>
  <si>
    <t>https://www.swlondoner.co.uk/life/31012026-kensington-and-chelsea-named-londons-most-mortgage-burdened-borough</t>
  </si>
  <si>
    <t>tholmes@swlondoner.co.uk</t>
  </si>
  <si>
    <t>newsdesk@swlondoner.co.uk</t>
  </si>
  <si>
    <t>https://www.wedmagazine.co.uk/financing-your-dream-wedding.html</t>
  </si>
  <si>
    <t>https://www.soundproofingstore.co.uk/how-to-soundproof-a-loft</t>
  </si>
  <si>
    <t>sales@soundproofingstore.co.uk</t>
  </si>
  <si>
    <t>https://wepresent.wetransfer.com/stories/is-color-disappearing</t>
  </si>
  <si>
    <t>https://www.londondoor.co.uk/front-door-colours-to-make-a-lasting-first-impression/</t>
  </si>
  <si>
    <t>https://www.springbokproperties.co.uk/blog/best-we-buy-any-house-companies-2022</t>
  </si>
  <si>
    <t>https://gosouthwestengland.co.uk/living-in-devon/</t>
  </si>
  <si>
    <t>Claire</t>
  </si>
  <si>
    <t>claire@gosouthwestengland.co.uk</t>
  </si>
  <si>
    <t>https://blog.inyourpocket.com/blog/the-most-underrated-european-countries-for-second-homes/</t>
  </si>
  <si>
    <t>editorial_enquiry@inyourpocket.com</t>
  </si>
  <si>
    <t>https://www.viessmann.co.uk/en/heating-advice/boilers/how-to-increase-value-of-your-home.html</t>
  </si>
  <si>
    <t>https://www.the-sun.com/lifestyle/11752898/expert-paint-fence-colours-make-garden-bigger-shades-avoid/</t>
  </si>
  <si>
    <t>https://moneyweek.com/personal-finance/tax/mansion-tax-home-valuations</t>
  </si>
  <si>
    <t xml:space="preserve">Kalpana </t>
  </si>
  <si>
    <t>editor@moneyweek.com</t>
  </si>
  <si>
    <t>https://www.ukstartupblog.co.uk/exit-planning-for-entrepreneurs/</t>
  </si>
  <si>
    <t>https://www.landlordzone.co.uk/news/yorkshire-borough-has-most-unsafe-private-rented-homes</t>
  </si>
  <si>
    <t>https://www.gbnews.com/lifestyle/property/property-how-to-sell-first-impressions</t>
  </si>
  <si>
    <t>https://www.bellway.co.uk/your-nest/topic/inspiration/10-best-yorkshire-commuter-towns</t>
  </si>
  <si>
    <t>https://www.ealing.news/homes-property/ealing-homeowners-spending-90-of-pay-on-mortgages/</t>
  </si>
  <si>
    <t>news@ealing.news</t>
  </si>
  <si>
    <t>https://westleedsdispatch.com/horsforth-dubbed-uks-top-commuter-town/</t>
  </si>
  <si>
    <t>https://ifamagazine.com/the-uk-areas-spending-almost-their-entire-salary-on-mortgage-repayments-revealed/</t>
  </si>
  <si>
    <t>Andy Black</t>
  </si>
  <si>
    <t>andy.black@ifamagazine.com</t>
  </si>
  <si>
    <t>peter.carey@ifamagazine.com</t>
  </si>
  <si>
    <t>https://www.chesterfield.co.uk/2026/01/why-homebuyers-are-choosing-chesterfield-for-value-connectivity-and-growth/</t>
  </si>
  <si>
    <t>Alex Baddley</t>
  </si>
  <si>
    <t>alex.baddley@chesterfield.co.uk</t>
  </si>
  <si>
    <t>https://www.guildford.org.uk/what-features-make-homes-in-surrey-sell-more-easily/</t>
  </si>
  <si>
    <t>https://www.newwavemagazine.com/single-post/the-rise-of-maximalist-interiors-why-homeowners-are-embracing-bold-designs</t>
  </si>
  <si>
    <t>https://www.galliardhomes.com/guides/buyer/crossrail-and-hs2/investing-in-property-crossrail-hotspots</t>
  </si>
  <si>
    <t>https://theculturetrip.com/europe/united-kingdom/articles/the-11-spookiest-towns-in-the-uk</t>
  </si>
  <si>
    <t>https://www.manchestereveningnews.co.uk/news/property/greater-manchesters-most-attractive-street-30228875</t>
  </si>
  <si>
    <t>https://ecomagazine.co.uk/the-hidden-environmental-cost-of-prolonged-property-sales/</t>
  </si>
  <si>
    <t>ecomagazine.media@gmail.com</t>
  </si>
  <si>
    <t>https://ukinvestormagazine.co.uk/what-do-you-need-to-know-about-investing-in-the-uk-property-market-in-2025/</t>
  </si>
  <si>
    <t>https://www.frugalfamily.co.uk/how-to-maximise-space-in-your-bedroom-on-a-budget/</t>
  </si>
  <si>
    <t>https://digitaloft.co.uk/august-2025-highlights/</t>
  </si>
  <si>
    <t>https://www.loveproperty.com/news/108090/11-mistakes-that-could-devalue-your-home</t>
  </si>
  <si>
    <t>https://blog.seeff.com/secret-weapon-that-could-help-south-african-homeowners-to-sell-property</t>
  </si>
  <si>
    <t>https://www.premiercareinbathing.co.uk/blog/lifestyle/best-smart-home-devices-for-elderly/</t>
  </si>
  <si>
    <t>https://www.londonmumsmagazine.com/whats-on/attractions-for-families-in-london/london/great-indoors/london-housing-turns-into-a-buyers-market-against-all-odds/</t>
  </si>
  <si>
    <t>info@londonmumsmagazine.com</t>
  </si>
  <si>
    <t>https://www.essentialliving.co.uk/blogs-insights/the-bedroom-colours-to-boost-your-relationship/</t>
  </si>
  <si>
    <t>https://solihullobserver.co.uk/lifestyle/what-makes-a-stress-free-home-sale-lessons-from-local-sellers/</t>
  </si>
  <si>
    <t>Ashleigh Osborne</t>
  </si>
  <si>
    <t>ashleigh.osborne@bullivantmedia.com</t>
  </si>
  <si>
    <t>editor@solihullobserver.co.uk</t>
  </si>
  <si>
    <t>https://www.countryliving.com/uk/wildlife/countryside/a34379764/scary-cities-uk/</t>
  </si>
  <si>
    <t>https://thenegotiator.co.uk/news/agencies-people-news/former-foxtons-agent-sets-up-quick-buying-property-agency/</t>
  </si>
  <si>
    <t>https://www.deeside.com/cheshire-housing-market-did-well-in-2024-with-uk-set-to-see-further-growth-in-2025/</t>
  </si>
  <si>
    <t>https://www.kbbreview.com/17267/news/global-smart-appliance-market-set-to-double-by-2019/</t>
  </si>
  <si>
    <t>https://www.themarblestore.co.uk/blog/the-benefits-of-upgrading-your-kitchen-with-a-new-worktop/</t>
  </si>
  <si>
    <t>info@themarblestore.co.uk</t>
  </si>
  <si>
    <t>https://www.mpamag.com/uk/mortgage-types/later-life-lending/why-downsizing-is-key-for-older-homeowners/546926</t>
  </si>
  <si>
    <t xml:space="preserve">Bryony </t>
  </si>
  <si>
    <t>bryony.garlick@keymedia.com</t>
  </si>
  <si>
    <t>https://www.property118.com/leasehold-system-much-alive-despite-governments-measures/</t>
  </si>
  <si>
    <t>https://www.jbkind.com/blog/should-you-renovate-the-kitchen-before-selling</t>
  </si>
  <si>
    <t>info@jbkind.com</t>
  </si>
  <si>
    <t>https://www.lawyer-monthly.com/2025/09/how-digital-platforms-are-changing-property-transactions/</t>
  </si>
  <si>
    <t>https://clubhubuk.co.uk/knowing-the-right-time-to-find-a-new-family-home-in-the-uk-market/</t>
  </si>
  <si>
    <t>https://www.moneymagpie.com/manage-your-money/alternatives-to-estate-agents-arise-amidst-a-competitive-property-market-in-2025</t>
  </si>
  <si>
    <t>https://www.granddesignsmagazine.com/self-build/construction/eco-friendly-construction-materials/</t>
  </si>
  <si>
    <t>https://www.theveganreview.com/vegan-restaurants-increase-house-prices-by-over-3000/</t>
  </si>
  <si>
    <t>https://internetchicks.co.uk/how-energy-efficiency-upgrades-can-add-value-to-your-house/</t>
  </si>
  <si>
    <t>https://katzenworld.co.uk/2019/10/13/london-most-and-least-pet-friendly-boroughs-revealed/</t>
  </si>
  <si>
    <t>https://www.ceotodaymagazine.com/2025/09/how-japanese-minimalist-design-creates-a-luxury-aesthetic-in-any-space/</t>
  </si>
  <si>
    <t>https://www.propertypriceadvice.co.uk/home-improvements/how-do-gardens-affect-house-price</t>
  </si>
  <si>
    <t>https://www.screamingfrog.co.uk/blog/turn-data-into-content-marketing-campaign/</t>
  </si>
  <si>
    <t>https://professional-electrician.com/products/smart-thermostats-top-the-list-of-smart-home-products-for-2020-esp/</t>
  </si>
  <si>
    <t>https://www.tellyexpress.com/how-to-build-your-ideal-home-cinema-for-the-best-film-and-tv-viewing-experience/</t>
  </si>
  <si>
    <t>https://www.installeronline.co.uk/news/brits-want-smart-thermostats-2020-says-new-report/</t>
  </si>
  <si>
    <t>https://startuprise.co.uk/after-tract-collapsed-uk-proptech-startup-sector-continues-to-complete-major-funding-rounds/</t>
  </si>
  <si>
    <t>https://www.romaniajournal.ro/travel/dracula-castle-among-the-most-popular-fictional-homes-for-lockdown/</t>
  </si>
  <si>
    <t>https://www.ft.com/content/0ae64e5a-ba98-11e9-8a88-aa6628ac896c</t>
  </si>
  <si>
    <t>https://www.gardenandhome.co.za/recipes/braai/why-gardens-and-braais-sell-houses/</t>
  </si>
  <si>
    <t>https://westernbusiness.co.uk/building-a-new-work-from-home-office-after-a-move/</t>
  </si>
  <si>
    <t>https://www.euronews.com/green/2019/09/05/this-community-have-turned-a-wasteland-into-an-urban-paradise</t>
  </si>
  <si>
    <t>https://bromsgrovestandard.co.uk/lifestyle/what-is-the-appeal-of-moving-out-of-birmingham-to-bromsgrove/</t>
  </si>
  <si>
    <t>https://www.techloy.com/what-technology-is-making-life-easier-for-landlords/</t>
  </si>
  <si>
    <t>https://www.totalguidetodorset.com/lifestyle/how-the-rich-and-famous-buy-and-sell-their-exorbitant-homes/</t>
  </si>
  <si>
    <t>https://radiotoday.co.uk/2024/09/top-podcast-recommendations-to-help-you-navigate-the-complex-uk-housing-market/</t>
  </si>
  <si>
    <t>https://www.theplanner.co.uk/2020/06/01/recovery-plan-what-impact-will-covid-19-have-planning-housing-and-neighbourhooods</t>
  </si>
  <si>
    <t>https://businessboostier.mn.co/posts/87397727</t>
  </si>
  <si>
    <t>https://www.marieclaire.co.uk/news/interiors-trends-2020-691859</t>
  </si>
  <si>
    <t>https://www.telegraph.co.uk/money/tax/labour-councils-25bn-funding-hole-failed-tax-crackdown/</t>
  </si>
  <si>
    <t>https://www.totalguidetowiltshire.com/property/how-the-wiltshire-property-market-is-holding-up/</t>
  </si>
  <si>
    <t>Rachael Booth</t>
  </si>
  <si>
    <t>rachael@totalguideto.com</t>
  </si>
  <si>
    <t>https://rugbyobserver.co.uk/lifestyle/assessing-the-housing-situation-between-rugby-and-coventry/</t>
  </si>
  <si>
    <t>Andy Morris</t>
  </si>
  <si>
    <t>andy.morris@bullivantmedia.com</t>
  </si>
  <si>
    <t>https://roarnews.co.uk/2019/kings-named-uks-worst-university-for-student-renters/</t>
  </si>
  <si>
    <t>https://www.expressdoorsdirect.co.uk/blog/what-colour-is-best-for-a-front-door/</t>
  </si>
  <si>
    <t>https://www.deadlinenews.co.uk/2019/11/05/two-scottish-universities-placed-at-bottom-half-of-student-rent-table-in-the-country/</t>
  </si>
  <si>
    <t>info@deadlinenews.co.uk</t>
  </si>
  <si>
    <t>https://michaelmurphy.ie/author/milkod2001/page/14/</t>
  </si>
  <si>
    <t>https://www.buyassociationgroup.com/en-us/news/leasehold-properties-made-third-homes-sold-last-year/</t>
  </si>
  <si>
    <t>Eleanor Harvey</t>
  </si>
  <si>
    <t>eleanorh@hotmail.com</t>
  </si>
  <si>
    <t>https://www.heart.co.uk/lifestyle/painting-front-door-blue-add-thousands-house/</t>
  </si>
  <si>
    <t>https://www.totalguidetobath.com/property/why-buy-to-let-properties-in-bath-are-a-popular-choice/</t>
  </si>
  <si>
    <t>https://www.ebusinessblog.co.uk/augmented-reality-for-homebuyers/</t>
  </si>
  <si>
    <t>https://www.lovemoney.com/news/456064/property-hotspots-2025-horsforth-underrated-places-to-live</t>
  </si>
  <si>
    <t>https://retailtechinnovationhub.com/home/2025/5/16/commercial-property-investing-has-changed-forever-according-to-this-real-estate-fund-manager</t>
  </si>
  <si>
    <t>https://www.propertyweek.com/features/crossrail-boosts-regeneration-as-well-as-house-prices/5077165.article</t>
  </si>
  <si>
    <t>Lem Bingley</t>
  </si>
  <si>
    <t>lem.bingley@propertyweek.com</t>
  </si>
  <si>
    <t>richard.watts@emap.com</t>
  </si>
  <si>
    <t>https://www.liverpoolecho.co.uk/news/liverpool-news/liverpool-students-addicted-fast-food-12236316</t>
  </si>
  <si>
    <t>https://www.walesonline.co.uk/news/wales-news/welsh-cities-more-species-spiders-19108180</t>
  </si>
  <si>
    <t>https://anglotopia.net/news-features/britains-favourite-energy-supplier-set-to-offer-113-more-new-zero-bills-homes-in-2025/</t>
  </si>
  <si>
    <t>info@anglotopia.net</t>
  </si>
  <si>
    <t>https://www.theboltonnews.co.uk/news/17281822.greater-manchester-hit-80-burglaries-every-day/</t>
  </si>
  <si>
    <t>https://www.wales247.co.uk/new-ons-figures-shine-spotlight-on-cardiffs-property-market</t>
  </si>
  <si>
    <t>https://www.scottishconstructionnow.com/articles/cockburn-association-edinburgh-the-residential-city</t>
  </si>
  <si>
    <t>https://rdg.today/reading-ranks-6th-in-graffiti-hotspots-new-research-shows/</t>
  </si>
  <si>
    <t>news@wokinghampaper.co.uk</t>
  </si>
  <si>
    <t>https://www.insideselfstorage.com/self-storage-industry-news/sell-house-fast-releases-uk-self-storage-statistics</t>
  </si>
  <si>
    <t>https://www.wandsworthguardian.co.uk/news/15560904.this-is-how-many-complaints-wandsworth-receives-about-partying-neighbours-every-day/</t>
  </si>
  <si>
    <t>https://theboar.org/2019/10/coventry-university-among-the-best-for-rent-prices-and-property-availability/</t>
  </si>
  <si>
    <t>https://www.artefactmagazine.com/2018/11/22/black-friday-sales-how-the-retailers-have-us-hooked/</t>
  </si>
  <si>
    <t>https://www.thecanary.co/discovery/property/2026/02/11/what-delays-a-flat-sale-common-issues-buyers-and-sellers-overlook/</t>
  </si>
  <si>
    <t>https://leamingtonobserver.co.uk/lifestyle/preparing-your-property-for-a-swift-sale/</t>
  </si>
  <si>
    <t>Ian Hughes</t>
  </si>
  <si>
    <t>ian.hughes@bullivantmedia.com</t>
  </si>
  <si>
    <t>https://www.sehbac.com/blog/how-to-soundproof-home-and-increase-value</t>
  </si>
  <si>
    <t>https://www.coventryobserver.co.uk/lifestyle/how-is-coventry-leading-the-way-with-sustainable-housing-projects-in-the-uk/</t>
  </si>
  <si>
    <t>Tristan Harris</t>
  </si>
  <si>
    <t>tristan.harris@bullivantmedia.com</t>
  </si>
  <si>
    <t>editor@coventryobserver.co.uk</t>
  </si>
  <si>
    <t>https://www.economicsonline.co.uk/all/property-market-proves-robust-despite-pre-budget-slowdown.html/</t>
  </si>
  <si>
    <t>contact@economicsonline.co.uk</t>
  </si>
  <si>
    <t>https://www.redbrick.me/uob-ranked-3rd-best-for-rental-prices-according-to-survey/</t>
  </si>
  <si>
    <t>Vidhi Bhanushali</t>
  </si>
  <si>
    <t>editor@redbrickonline.co.uk</t>
  </si>
  <si>
    <t>deputy@redbrickonline.co.uk</t>
  </si>
  <si>
    <t>https://www.lincsonline.co.uk/stamford/news/rude-street-names-increase-property-value-by-40-000-9119925/</t>
  </si>
  <si>
    <t>news@lincsonline.co.uk</t>
  </si>
  <si>
    <t>https://www.yourthurrock.com/2018/01/03/thurrock-ranked-third-home-repossession-list-uk/</t>
  </si>
  <si>
    <t>newsdesk@yourthurrock.com</t>
  </si>
  <si>
    <t>https://www.dailyrecord.co.uk/scotland-now/scotlands-fastest-slowest-house-markets-35442289</t>
  </si>
  <si>
    <t>https://insurance-edge.net/2026/02/18/quick-ways-to-unlock-the-value-of-your-home/</t>
  </si>
  <si>
    <t>https://factory.sale/most-eco-friendly-building-materials-for-2020-revealed/</t>
  </si>
  <si>
    <t>https://www-ft-com.library.ez.neoma-bs.fr/content/0ae64e5a-ba98-11e9-8a88-aa6628ac896c</t>
  </si>
  <si>
    <t>https://alldamp.co.uk/where-is-your-property-losing-the-most-value/</t>
  </si>
  <si>
    <t>info@alldamp.co.uk</t>
  </si>
  <si>
    <t>https://www.prima.co.uk/home-ideas/home-accessories-buys/a31694723/nterior-design-trend-googled/</t>
  </si>
  <si>
    <t>https://www.netlingo.com/tips/repossession.php</t>
  </si>
  <si>
    <t>https://www.southwalesargus.co.uk/news/17354633.gwent-one-lowest-burglary-figures-uk-say-new-police-stats/</t>
  </si>
  <si>
    <t>https://www.countypress.co.uk/news/16297074.isle-wight-bottom-two-number-new-build-houses-completed/</t>
  </si>
  <si>
    <t>https://www.scottishfinancialnews.com/articles/and-finallycheating-husband-returns-to-find-home-sold</t>
  </si>
  <si>
    <t>https://www.britain-visitor.com/london/city-of-westminster</t>
  </si>
  <si>
    <t>https://skintdad.co.uk/moving-abroad-cheaper-than-staying-put/</t>
  </si>
  <si>
    <t>Naomi Willis</t>
  </si>
  <si>
    <t>naomi@skintdad.co.uk</t>
  </si>
  <si>
    <t>https://fadmagazine.com/2025/01/02/tips-to-help-you-pick-between-a-frame-and-a-canvas-for-your-wall-decor/</t>
  </si>
  <si>
    <t>https://www.analyticsinsight.net/real-estate/how-could-ai-redefine-the-property-industry</t>
  </si>
  <si>
    <t>https://thelaptopadviser.com/resource-center/</t>
  </si>
  <si>
    <t>https://www-ft-com.ezproxy.brunel.ac.uk/content/0ae64e5a-ba98-11e9-8a88-aa6628ac896c</t>
  </si>
  <si>
    <t>https://furniturenews.net/resources/how-the-furniture-industry-can-adapt-to-britains-desire-for-fast-and-free-delivery</t>
  </si>
  <si>
    <t xml:space="preserve">Paul </t>
  </si>
  <si>
    <t>paul@gearingmediagroup.com</t>
  </si>
  <si>
    <t>sam@gearingmediagroup.com</t>
  </si>
  <si>
    <t>https://fintechzoom.com/business/real-estate/fintech-solutions/</t>
  </si>
  <si>
    <t>https://cuea.edu/?c=359072616</t>
  </si>
  <si>
    <t>https://www.insightdiy.co.uk/news/brits-interest-in-retailerled-services-for-home-improvement-/6853.htm</t>
  </si>
  <si>
    <t>https://www.thetelegraphandargus.co.uk/news/16229900.bradford-named-worst-hotspot-residential-fly-tipping/</t>
  </si>
  <si>
    <t>https://old.estateagenttoday.co.uk/breaking-news/2017/10/happy-friday--the-day-when-over-50-of-homes-change-hands</t>
  </si>
  <si>
    <t>https://www.scottishhousingnews.com/articles/cockburn-association-edinburgh-the-residential-city</t>
  </si>
  <si>
    <t>https://www.harrogate-news.co.uk/2024/10/07/things-to-consider-when-selling-your-house-in-harrogate/</t>
  </si>
  <si>
    <t>https://www.digit.fyi/author/theo-priestley/</t>
  </si>
  <si>
    <t>https://celebmix.com/how-to-give-your-home-the-a-list-look-without-breaking-the-bank/</t>
  </si>
  <si>
    <t>https://www.premierguarantee.com/insite/industry-professionals-offer-insight-into-eco-friendly-building/</t>
  </si>
  <si>
    <t>https://www.eureporter.co/business-information/2025/01/16/after-a-better-than-expected-year-housing-market-outlooks-for-the-uk-are-positive/</t>
  </si>
  <si>
    <t>publisher@eureporter.ie</t>
  </si>
  <si>
    <t>https://marketingstockport.co.uk/news/investment-properties-sell-fastest-in-stockport/</t>
  </si>
  <si>
    <t>news@marketingstockport.co.uk</t>
  </si>
  <si>
    <t>https://www.kentonline.co.uk/dartford/news/towns-among-worst-in-country-for-fly-tipping-183724/</t>
  </si>
  <si>
    <t>https://www.lifehack.org/481419/how-small-business-owners-can-strike-a-financially-viable-real-estate-deal</t>
  </si>
  <si>
    <t>https://www.mattressonline.co.uk/blog/family/interior-design-through-decades/</t>
  </si>
  <si>
    <t>customerservice@mattressonline.co.uk</t>
  </si>
  <si>
    <t>https://www.theregister.com/2020/02/14/something_for_the_weekend/</t>
  </si>
  <si>
    <t>https://archive.thetab.com/uk/sheffield/2019/10/31/student-houses-at-sheffield-uni-are-cheapest-in-the-uk-study-says-40675</t>
  </si>
  <si>
    <t>https://www.cipp.org.uk/resources/news/most-complained-about-professions.html</t>
  </si>
  <si>
    <t>https://www.stokesentinel.co.uk/news/stoke-on-trent-news/more-100-sightings-ghosts-staffordshire-2163790</t>
  </si>
  <si>
    <t>https://embeddedcomputing.com/application/industrial/revealed-professionals-reveal-how-they-are-benefiting-from-building-information-modelling</t>
  </si>
  <si>
    <t>https://www.scottishfield.co.uk/scotland-travel/we-list-some-of-the-most-festive-streets-in-scotland/</t>
  </si>
  <si>
    <t>https://www.mylondon.news/incoming/now-costs-96-average-income-10728554</t>
  </si>
  <si>
    <t xml:space="preserve">Deanne </t>
  </si>
  <si>
    <t>deanne.blaylock@reachplc.com</t>
  </si>
  <si>
    <t>will.twigger@reachplc.com</t>
  </si>
  <si>
    <t>https://blog.backlinker.ai/20-lessons-learned-from-pivoting-your-product-roadmap/</t>
  </si>
  <si>
    <t>https://www.collegerecruiter.com/blog/2025/10/07/how-can-an-employee-turn-a-part-time-seasonal-job-into-a-full-time-permanent-finance-career</t>
  </si>
  <si>
    <t>https://areapatch.com/protecting-your-investment-due-diligence-in-mortgage-note-transactions/</t>
  </si>
  <si>
    <t>https://nazariancareers.csun.edu/blog/2025/11/10/how-can-an-employee-turn-a-part-time-seasonal-job-into-a-full-time-permanent-finance-career/</t>
  </si>
  <si>
    <t>https://www.dumpsters.com/</t>
  </si>
  <si>
    <t>https://www.allstate.com/resources/car-insurance/repair-or-replace-cracked-windshield</t>
  </si>
  <si>
    <t>https://alluneedpest.com/</t>
  </si>
  <si>
    <t>https://www.farmersalmanac.com/calendar/gardening</t>
  </si>
  <si>
    <t>https://leviton.com/</t>
  </si>
  <si>
    <t>https://www.move.org/utility-bills-101/</t>
  </si>
  <si>
    <t>https://zlinekitchen.com/</t>
  </si>
  <si>
    <t>https://www.zimmermanmulch.com/blog/gravel-crushed-stone-buying-guide/</t>
  </si>
  <si>
    <t>https://www.mesotheliomahope.com/blog/how-can-you-tell-if-your-popcorn-ceiling-has-asbestos/</t>
  </si>
  <si>
    <t>https://www.servicechampions.net/blog/my-air-conditioner-is-leaking-water-why-its-leaking-and-what-to-do</t>
  </si>
  <si>
    <t>https://www.whittakersystem.com/blog/remove-old-stains-from-carpet/</t>
  </si>
  <si>
    <t>info@whittakersystem.com</t>
  </si>
  <si>
    <t>Home Imv</t>
  </si>
  <si>
    <t>https://toolup.com/blogs/news/the-complete-mechanic-tool-list</t>
  </si>
  <si>
    <t>https://homes.rewiringamerica.org/articles/induction/induction-stoves-vs-electric-stoves</t>
  </si>
  <si>
    <t>https://www.dodsonbros.com/termites/termite-damage-vs-wood-rot-with-pictures/</t>
  </si>
  <si>
    <t>https://www.ngwindows.com/blog/standard-door-sizes</t>
  </si>
  <si>
    <t>info@ngwindows.com</t>
  </si>
  <si>
    <t>https://www.warmzone.com/snow-melting/about-heated-driveways/</t>
  </si>
  <si>
    <t>info@warmzone.com</t>
  </si>
  <si>
    <t>https://bulwarkpestcontrol.com/getting-rid-of-ants-with-vinegar-does-it-really-work/</t>
  </si>
  <si>
    <t>https://thehoneycombhome.com/landscaping-ideas-around-tree-roots/</t>
  </si>
  <si>
    <t>Roxanne</t>
  </si>
  <si>
    <t>Roxanne@thehoneycombhome.com</t>
  </si>
  <si>
    <t>Home decor</t>
  </si>
  <si>
    <t>https://www.stikwood.com/blogs/workbench/mdf-vs-wood-the-ultimate-guide</t>
  </si>
  <si>
    <t>https://concreteflooringsolutions.co.uk/blog/how-long-does-concrete-take-to-set-expert-advice-from-concrete-specialists/</t>
  </si>
  <si>
    <t>https://shine-windowcleaning.com/westlake/cleaning-outside-windows-the-dos-and-donts/</t>
  </si>
  <si>
    <t>leads@shineinfo.com</t>
  </si>
  <si>
    <t>https://renovatedfaith.com/best-paint-for-cabinets/</t>
  </si>
  <si>
    <t>Karin</t>
  </si>
  <si>
    <t>karin@renovatedfaith.com</t>
  </si>
  <si>
    <t>contact@renovatedfaith.com</t>
  </si>
  <si>
    <t>https://sprinklersupplystore.com/blogs/learning-center/how-to-adjust-sprinkler-heads</t>
  </si>
  <si>
    <t>https://www.greenworkstools.com/blogs/greenworks-blog/how-to-pressure-wash-your-house</t>
  </si>
  <si>
    <t>https://www.vistaprint.com/hub/elements-of-branding</t>
  </si>
  <si>
    <t>https://www.today.com/series/how-often-should-you/how-often-you-should-clean-your-shower-curtain-right-way-t73991</t>
  </si>
  <si>
    <t>https://trexprotect.com/blog/can-you-paint-trex-decking-all-you-need-to-know/</t>
  </si>
  <si>
    <t>https://www.directenergy.ca/en/learn/home-improvement/electric-vs-gas-water-heater</t>
  </si>
  <si>
    <t>https://www.stickpretty.com/product-category/tile-decals/</t>
  </si>
  <si>
    <t>https://www.windriverbuilt.com/</t>
  </si>
  <si>
    <t>https://linkdolls.com/blogs/dolls-info-qustions/how-to-make-fake-pussy</t>
  </si>
  <si>
    <t>https://diy.stackexchange.com/questions/262354/how-can-i-reduce-noise-coming-in-a-window-for-under-100</t>
  </si>
  <si>
    <t>https://alen.com/blogs/usage/how-to-get-rid-of-musty-basement-smell</t>
  </si>
  <si>
    <t xml:space="preserve">Joey </t>
  </si>
  <si>
    <t>jsteger@alen.com</t>
  </si>
  <si>
    <t>https://carex.com/</t>
  </si>
  <si>
    <t>https://www.livelyroot.com/blogs/plant-care/how-to-water-a-zz-plant</t>
  </si>
  <si>
    <t>https://www.gentek.ca/product-catalog/siding/</t>
  </si>
  <si>
    <t>https://www.decorativeceilingtiles.net/blog/10-inexpensive-basement-wall-panels-to-use/</t>
  </si>
  <si>
    <t>https://monarchroofing.biz/blog/roof-eaves-overview/</t>
  </si>
  <si>
    <t>info@monarchroofing.biz</t>
  </si>
  <si>
    <t>https://www.smithsplumbingservice.com/blog/2020/august/the-top-5-ways-to-get-hair-out-of-your-drains/</t>
  </si>
  <si>
    <t>dustin@smithsplumbingservice.com</t>
  </si>
  <si>
    <t>https://www.constructelements.com/post/70-home-exterior-paint-ideas-youll-fall-in-love-with</t>
  </si>
  <si>
    <t>info@constructelements.com</t>
  </si>
  <si>
    <t>https://eforms.com/employment/independent-contractor/handyman/</t>
  </si>
  <si>
    <t>https://www.american.bank/news/applying-for-a-mortgage-do-these-six-things/</t>
  </si>
  <si>
    <t>https://evolveartisanal.com/design/10-living-room-corner-ideas-2025/</t>
  </si>
  <si>
    <t>https://www.flooringinc.com/blog/homemade-floor-cleaner</t>
  </si>
  <si>
    <t>https://westcoastsaw.com/blogs/blogs/the-ultimate-guide-to-chainsaw-bars</t>
  </si>
  <si>
    <t>https://www.proliftdoors.com/blog/garage/garage-door/how-much-does-it-cost-to-repair-a-garage-door/</t>
  </si>
  <si>
    <t>https://raynordoorauthority.com/how-much-does-it-cost-to-repair-a-garage-door/</t>
  </si>
  <si>
    <t>info@raynordoorauthority.com</t>
  </si>
  <si>
    <t>https://genzryan.com/blog/how-to-clean-a-furnace/</t>
  </si>
  <si>
    <t>https://www.newlinepainting.com.au/how-long-to-wait-between-paint-coats/</t>
  </si>
  <si>
    <t>Phi Dang</t>
  </si>
  <si>
    <t>phidang@newlinepainting.com.au</t>
  </si>
  <si>
    <t>support@newlinepainting.com.au</t>
  </si>
  <si>
    <t>https://www.thewcsupply.com/blogs/learn/how-deep-are-kitchen-cabinets</t>
  </si>
  <si>
    <t>https://www.wd40.com/useArticle/unusual-uses-wd40/</t>
  </si>
  <si>
    <t>https://www.andar.com/blogs/blog/how-to-remove-paint-from-leather</t>
  </si>
  <si>
    <t>https://www.solarreviews.com/blog/how-solar-tubes-work</t>
  </si>
  <si>
    <t>https://www.lemonthistle.com/refinishing-old-thin-hardwood-floors/</t>
  </si>
  <si>
    <t>Colleen</t>
  </si>
  <si>
    <t>colleen@lemonthistle.com</t>
  </si>
  <si>
    <t>https://alliancechemical.com/blogs/articles/diy-castor-oil-mole-repellent-natural-amp-effective-mole-control-for-your-law</t>
  </si>
  <si>
    <t>https://www.cabinetnow.com/how-to/the-complete-guide-to-keeping-white-cabinets-clean/</t>
  </si>
  <si>
    <t>https://maxablespace.com/garage-conversion-101/</t>
  </si>
  <si>
    <t>Jon</t>
  </si>
  <si>
    <t>jon@maxablespace.com</t>
  </si>
  <si>
    <t>contact@maxablespace.com</t>
  </si>
  <si>
    <t>https://colonyroofers.com/learningcenter/what-is-roof-sag</t>
  </si>
  <si>
    <t>help@colonyroofers.com</t>
  </si>
  <si>
    <t>https://www.warmup.com/blog/how-much-does-it-cost-to-replace-a-radiator</t>
  </si>
  <si>
    <t>us@warmup.com</t>
  </si>
  <si>
    <t>https://www.twz.com/about</t>
  </si>
  <si>
    <t>https://www.tileclub.com/blogs/news/can-you-install-tile-over-tile-heres-what-the-experts-say</t>
  </si>
  <si>
    <t>support@tileclub.com</t>
  </si>
  <si>
    <t>https://saviorheat.com/</t>
  </si>
  <si>
    <t>https://www.thetatteredpew.com/creative-backyard-landscaping-ideas-on-a-budget/</t>
  </si>
  <si>
    <t>https://a-z-animals.com/articles/diseases-commonly-carried-by-opossums/</t>
  </si>
  <si>
    <t>https://thehonestlocal.com/living-in-houston-texas/</t>
  </si>
  <si>
    <t>https://www.lawnstarter.com/blog/landscaping/guide-to-pergolas-types-uses-costs/</t>
  </si>
  <si>
    <t>https://www.modernhvac.com/2022/09/6-facts-you-should-know-about-the-furnace-installation-process/</t>
  </si>
  <si>
    <t>jeffreyring@yahoo.com</t>
  </si>
  <si>
    <t>web@modernhvac.com</t>
  </si>
  <si>
    <t>https://www.cliqstudios.com/blog/what-are-the-most-affordable-kitchen-countertop-materials/</t>
  </si>
  <si>
    <t>https://www.paneltown.com/what-is-the-best-vinyl-floor-cleaner/</t>
  </si>
  <si>
    <t>https://www.perchenergy.com/blog/energy/residential-wind-turbines-at-home</t>
  </si>
  <si>
    <t>https://garretyhomepros.com/about/blog/types-of-shower-glass/</t>
  </si>
  <si>
    <t>Denise</t>
  </si>
  <si>
    <t>ddeems@garretyhomepros.com</t>
  </si>
  <si>
    <t>info@garretyglass.com</t>
  </si>
  <si>
    <t>http://www.appliance411.com/news/allnews.shtml</t>
  </si>
  <si>
    <t>https://bloomboxclub.com/blogs/news/aloe-vera-plant-care-how-to-grow-them-benefits-and-care-tips</t>
  </si>
  <si>
    <t>https://www.westernstatesmetalroofing.com/blog/solar-panels-on-metal-roof</t>
  </si>
  <si>
    <t>https://structuralpanels.ca/four-types-of-wall-panels-for-showers-and-their-benefits/</t>
  </si>
  <si>
    <t>info@structuralpanels.ca</t>
  </si>
  <si>
    <t>https://www.inchcalculator.com/roof-replacement-cost/</t>
  </si>
  <si>
    <t>https://ongaroandsons.com/blog/how-to-clean-air-ducts-yourself/</t>
  </si>
  <si>
    <t>https://www.businessinitiative.org/sole-proprietorship/examples/</t>
  </si>
  <si>
    <t>https://www.theaterseatstore.com/blog/how-to-measure</t>
  </si>
  <si>
    <t>https://onsentowel.com/blogs/education/wool-vs-plastic-dryer-balls</t>
  </si>
  <si>
    <t>https://growingspaces.com/blog/growing-saffron/</t>
  </si>
  <si>
    <t>https://www.thezebra.com/resources/home/how-to-put-out-a-fire-pit/</t>
  </si>
  <si>
    <t>https://sealed.com/resources/how-to-fix-drafty-windows/</t>
  </si>
  <si>
    <t>https://www.aircare.com/product-page/ma1201</t>
  </si>
  <si>
    <t>https://www.leafsolution.com/xtreme-gutter-guard</t>
  </si>
  <si>
    <t>https://esub.com/blog/top-11-masonry-tools-to-make-your-job-easier</t>
  </si>
  <si>
    <t>https://www.budgetdumpster.com/resources/how-to-dispose-of-yard-waste.php</t>
  </si>
  <si>
    <t>https://www.taskrabbit.com/blog/can-you-paint-bathroom-tiles/</t>
  </si>
  <si>
    <t>https://shedsunlimited.net/blog/slant-roof-sheds/</t>
  </si>
  <si>
    <t>https://www.lacrema.com/diy-wine-bottle-decor-9-ways-upcycle-empty-bottles.html</t>
  </si>
  <si>
    <t>https://cielowigle.com/blog/how-to-hide-window-air-conditioner/</t>
  </si>
  <si>
    <t>https://www.retrofoamofmichigan.com/blog/what-should-the-humidity-be-in-my-house</t>
  </si>
  <si>
    <t xml:space="preserve">Mark </t>
  </si>
  <si>
    <t>mmassey@retrofoamofmichigan.com</t>
  </si>
  <si>
    <t>https://www.culinaryhill.com/best-french-fry-cutters/</t>
  </si>
  <si>
    <t>https://cedarparkgaragedoors.com/blog/blog-garage-door-cable-replacement/</t>
  </si>
  <si>
    <t>https://www.acdirect.com/high-velocity-air-conditioning/unico-hvac-systems.html</t>
  </si>
  <si>
    <t>https://blog.allentate.com/frog-real-estate/</t>
  </si>
  <si>
    <t>https://nativetrailshome.com/industrial-farmhouse-style/</t>
  </si>
  <si>
    <t>https://www.cuttingedgefirewood.com/pages/ultra-kiln-dried-firewood</t>
  </si>
  <si>
    <t>https://prudentreviews.com/liquid-plumr-vs-drano/</t>
  </si>
  <si>
    <t>https://www.ferrellgas.com/tank-talk/blog-articles/propane-vs-electric-heat-the-cost-of-heating-your-home/</t>
  </si>
  <si>
    <t>https://primeweld.com/blogs/news/garage-and-workshop-plans</t>
  </si>
  <si>
    <t>https://allalohaplumbing.com/how-much-does-repiping-a-house-cost/</t>
  </si>
  <si>
    <t>https://www.monstertreeservice.com/monster-tips/general-tips/how-to-get-sap-off-your-car-and-more/</t>
  </si>
  <si>
    <t>marketing@whymonster.com</t>
  </si>
  <si>
    <t>https://www.championwindow.com/window-buyers-guide/what-is-a-tilt-and-turn-window/</t>
  </si>
  <si>
    <t>https://www.lemonade.com/renters/explained/landlord-insurance-vs-renters-insurance/</t>
  </si>
  <si>
    <t>https://www.edwardmartin.com/blogs/information/which-type-of-bathroom-tile-is-easiest-to-clean</t>
  </si>
  <si>
    <t>https://www.guildmortgage.com/blog/how-much-does-pool-maintenance-cost/</t>
  </si>
  <si>
    <t>https://pro.porch.com/near-me/deck-builders</t>
  </si>
  <si>
    <t>https://www.pgtwindows.com/blog/when-choosing-a-window-frame/</t>
  </si>
  <si>
    <t>communications@pgtinnovations.com</t>
  </si>
  <si>
    <t>https://www.shma.co.uk/offices/birmingham-solicitors/</t>
  </si>
  <si>
    <t>https://www.udg.org.uk/directory/practices/marrons</t>
  </si>
  <si>
    <t>https://land.tech/blog/navigating-new-grey-belt-guidance-challenges-and-opportunities-for-developers</t>
  </si>
  <si>
    <t>Harry Quartermain</t>
  </si>
  <si>
    <t>hquartermain@gmail.com</t>
  </si>
  <si>
    <t>info@land.tech</t>
  </si>
  <si>
    <t>https://ihbc.org.uk/hesprdatares/marrons.html</t>
  </si>
  <si>
    <t>https://www.wired-gov.net/wg/home.nsf/listing?readform&amp;id=WGOV-9JMGGH&amp;catid=DEVV-7UDJJU&amp;client=DNWA-CDUGQL</t>
  </si>
  <si>
    <t>sales@wired-gov.org</t>
  </si>
  <si>
    <t>info@wired-gov.org</t>
  </si>
  <si>
    <t>https://selectproperty.com/insights/birminghams-need-for-over-100k-homes/</t>
  </si>
  <si>
    <t>Hannah Rockliffe-Wrigley</t>
  </si>
  <si>
    <t>hrockliffe@googlemail.com</t>
  </si>
  <si>
    <t>info@selectproperty.com</t>
  </si>
  <si>
    <t>Real State</t>
  </si>
  <si>
    <t>https://www.rtpi.org.uk/find-your-rtpi/rtpi-english-regions/rtpi-east-midlands/east-midlands-awards-for-planning-excellence/</t>
  </si>
  <si>
    <t>https://www.bbc.co.uk/news/articles/cyxznkp15nzo</t>
  </si>
  <si>
    <t>Andrew Dawkins</t>
  </si>
  <si>
    <t>andrew.dawkins@bbc.co.uk</t>
  </si>
  <si>
    <t>yourvoice@bbc.co.uk</t>
  </si>
  <si>
    <t>https://constructionwave.co.uk/2023/04/14/major-stoke-on-trent-city-regen-set-for-approval/</t>
  </si>
  <si>
    <t>Rory Butler</t>
  </si>
  <si>
    <t>rory@wavenews.co.uk</t>
  </si>
  <si>
    <t>construction@wavenews.co.uk</t>
  </si>
  <si>
    <t>https://www.localgovernmentlawyer.co.uk/projects-and-regeneration/317-projects-features/61226-all-change-the-implications-of-planning-reform-upon-regeneration-projects</t>
  </si>
  <si>
    <t>https://www.yorkshirepost.co.uk/business/marrons-launches-leeds-office-as-northern-growth-accelerates-5253266</t>
  </si>
  <si>
    <t>James Mitchinson</t>
  </si>
  <si>
    <t>james.mitchinson@iconicmediagroup.co.uk</t>
  </si>
  <si>
    <t>yp.newsdesk@ypn.co.uk</t>
  </si>
  <si>
    <t>https://feeds.bbci.co.uk/news/articles/cly6em6z3dmo</t>
  </si>
  <si>
    <t>https://www.bbc.com/news/articles/cly6em6z3dmo</t>
  </si>
  <si>
    <t>https://www.brownejacobson.com/insights/implications-of-planning-reform-upon-regeneration-projects</t>
  </si>
  <si>
    <t>Caroline Sumnall</t>
  </si>
  <si>
    <t>caroline.sumnall@brownejacobson.com</t>
  </si>
  <si>
    <t>contactus@brownejacobson.com</t>
  </si>
  <si>
    <t>https://www.leicestermercury.co.uk/news/local-news/specialist-one-one-swim-school-8837236</t>
  </si>
  <si>
    <t>Linda Steelyard</t>
  </si>
  <si>
    <t>newsdesk@leicestermercury.co.uk</t>
  </si>
  <si>
    <t>https://www.hbf.co.uk/directory/associates/marrons/</t>
  </si>
  <si>
    <t>Rianna Fry</t>
  </si>
  <si>
    <t>rianna.fry@hbf.co.uk</t>
  </si>
  <si>
    <t>info@hbf.co.uk</t>
  </si>
  <si>
    <t>https://www.inkl.com/news/more-than-100-much-needed-family-homes-to-be-built-on-bilborough-playing-fields</t>
  </si>
  <si>
    <t>https://www.propertywire.com/news/planning-application-for-major-stoke-on-trent-regeneration-scheme-submitted/</t>
  </si>
  <si>
    <t>https://fleximize.com/articles/018723/tax-deadlines-limited-company</t>
  </si>
  <si>
    <t>Lorna Munsami</t>
  </si>
  <si>
    <t>lorna.munsami@fleximize.com</t>
  </si>
  <si>
    <t>hello@fleximize.com</t>
  </si>
  <si>
    <t>https://oxfordcity.co.uk/business/ridgefield-consulting/</t>
  </si>
  <si>
    <t>https://www.taxfyle.com/blog/family-business-taxes</t>
  </si>
  <si>
    <t>Richard Lavina</t>
  </si>
  <si>
    <t>rl@taxfyle.com</t>
  </si>
  <si>
    <t>info@taxfyle.com</t>
  </si>
  <si>
    <t>https://business.clickdo.co.uk/rising-tax-pressures-push-directors-to-rethink-income-strategies-for-new-tax-year/</t>
  </si>
  <si>
    <t>https://independentoxford.com/indie-oxford-interview-ridgefield-consulting/</t>
  </si>
  <si>
    <t>Jacqui Thorndyke</t>
  </si>
  <si>
    <t>jacqui@independentoxford.com</t>
  </si>
  <si>
    <t>enquiries@independentoxford.com</t>
  </si>
  <si>
    <t>jefftricoli.fl@gmail.com</t>
  </si>
  <si>
    <t>https://www.sophisticatedcloud.com/all-blogs/5-ways-to-reinvest-in-your-business-for-growth-and-long-term-success</t>
  </si>
  <si>
    <t>https://find.icaew.com/firms/henley-on-thames/kench-and-co-ltd-bas/4I0EC</t>
  </si>
  <si>
    <t>https://iuk-business-connect.org.uk/events/digital-accountancy-matchmaking/</t>
  </si>
  <si>
    <t>https://speedtest.fastbase.com/Addreviews.aspx?cid=233627</t>
  </si>
  <si>
    <t>https://www.vatupdate.com/2022/06/01/tax-guides/</t>
  </si>
  <si>
    <t>info@vatupdate.com</t>
  </si>
  <si>
    <t>https://castro.fm/podcast/a5da93b3-4c76-4a1a-9d2e-4d30f7f60654</t>
  </si>
  <si>
    <t>Dustin Bluck</t>
  </si>
  <si>
    <t>dustin@castro.fm</t>
  </si>
  <si>
    <t>privacy@castro.fm</t>
  </si>
  <si>
    <t>https://musictune43.bitbucket.io/how-to-claim-council-tax-relief.html</t>
  </si>
  <si>
    <t>https://www.inkl.com/news/how-higher-earners-can-sidestep-jeremy-hunt-s-tax-sinkhole</t>
  </si>
  <si>
    <t>https://www.londondaily.news/chartered-accountant-shares-5-ways-to-strengthen-your-business-this-year/</t>
  </si>
  <si>
    <t>https://www.entrepreneur.com/en-gb/author/tim-allen</t>
  </si>
  <si>
    <t>https://forums.contractoruk.com/accounting-legal/144648-leeway-with-wholly-and-exclusively-for-business-use-regarding-furniture-5.html</t>
  </si>
  <si>
    <t>https://www.listedin.co.uk/search/business-profile.asp?lid=620581&amp;company=ridgefieldconsulting.co.uk</t>
  </si>
  <si>
    <t>https://unilife.co.uk/</t>
  </si>
  <si>
    <t>Louisa Gee</t>
  </si>
  <si>
    <t>louisa@unilife.co.uk</t>
  </si>
  <si>
    <t>yourspace@unilife.co.uk</t>
  </si>
  <si>
    <t>https://www.luxurystudenthomes.co.uk/</t>
  </si>
  <si>
    <t>Mark Barrow</t>
  </si>
  <si>
    <t>info@luxurystudenthomes.co.uk</t>
  </si>
  <si>
    <t>https://axostudent.co.uk/properties/paradise-student-village/</t>
  </si>
  <si>
    <t>info@axostudent.co.uk</t>
  </si>
  <si>
    <t>https://www.nicholashumphreys.com/estate-agents-and-letting-agents/branch/manchester/</t>
  </si>
  <si>
    <t>manchester@nicholashumphreys.com</t>
  </si>
  <si>
    <t>https://www.brighton.ac.uk/accommodation-and-locations/private-sector/index.aspx</t>
  </si>
  <si>
    <t>servicedesk@brighton.ac.uk</t>
  </si>
  <si>
    <t>https://almerostudent.com/properties/birmingham/b16-studios/</t>
  </si>
  <si>
    <t>enquiries@almerostudent.com</t>
  </si>
  <si>
    <t>https://knightknox.com/student-property-investment-explained/</t>
  </si>
  <si>
    <t>info@knightknox.com</t>
  </si>
  <si>
    <t>https://waterbear.org.uk/brighton/accommodation/</t>
  </si>
  <si>
    <t>https://www.uwtsd.ac.uk/study/experience-facilities/accommodation/swansea-accommodation</t>
  </si>
  <si>
    <t>info@uwtsd.ac.uk</t>
  </si>
  <si>
    <t>https://www.sussex.ac.uk/study/accommodation/off-campus</t>
  </si>
  <si>
    <t>Ms Eleanor Cartwright</t>
  </si>
  <si>
    <t>Eleanor.Cartwright@sussex.ac.uk</t>
  </si>
  <si>
    <t>housing@sussex.ac.uk</t>
  </si>
  <si>
    <t>https://www.sulets.com/building/brookland-road/</t>
  </si>
  <si>
    <t>David Holmes</t>
  </si>
  <si>
    <t>holmes_5000@hotmail.com</t>
  </si>
  <si>
    <t>enquiries@sulets.com</t>
  </si>
  <si>
    <t>https://prosperity-wealth.co.uk/news/best-places-to-invest-in-uk-property-2026/</t>
  </si>
  <si>
    <t xml:space="preserve"> Joe Billingham</t>
  </si>
  <si>
    <t xml:space="preserve">
joe.billingham@prosperity-developments.co.uk</t>
  </si>
  <si>
    <t>info@prosperity-wealth.co.uk</t>
  </si>
  <si>
    <t>https://www.parklaneproperties.com/student/8-bed-house-cardigan-road/123</t>
  </si>
  <si>
    <t>LS6@parklaneproperties.com</t>
  </si>
  <si>
    <t>info@parklaneproperties.com</t>
  </si>
  <si>
    <t>https://your.lancastersu.co.uk/living</t>
  </si>
  <si>
    <t>https://www.nescol.ac.uk/college-services/support/accommodation/</t>
  </si>
  <si>
    <t>https://warwick.ac.uk/students/life-at-warwick/living-off-campus/offcampuslivingadvice/choosing-off-campus-housing/</t>
  </si>
  <si>
    <t>https://www.postgrad.com/accommodation/providers/</t>
  </si>
  <si>
    <t xml:space="preserve"> enquiries@postgradsolutions.com</t>
  </si>
  <si>
    <t>https://www.durham.ac.uk/colleges-and-student-experience/housing-hub/student-lettings-code-of-practice/</t>
  </si>
  <si>
    <t>https://www.heyuguys.com/paranormal-activity-4-review/</t>
  </si>
  <si>
    <t>David Sztypuljak</t>
  </si>
  <si>
    <t>dave@heyuguys.co.uk</t>
  </si>
  <si>
    <t>mouthoff@heyuguys.co.uk</t>
  </si>
  <si>
    <t>https://brickflow.com/bristol</t>
  </si>
  <si>
    <t>Zoë Mills</t>
  </si>
  <si>
    <t>zoe@brickflow.com</t>
  </si>
  <si>
    <t xml:space="preserve"> info@brickflow.com</t>
  </si>
  <si>
    <t>https://globaltaiwan.org/2024/09/uk-taiwan-frontier-in-academic-innovation/</t>
  </si>
  <si>
    <t>https://app.welcometothejungle.com/companies/StuRents</t>
  </si>
  <si>
    <t>https://www.oxfordinternational.com/pre-arrivals/icd-pre-arrival/</t>
  </si>
  <si>
    <t>https://www.exeter.ac.uk/students/careers/internships/scp/</t>
  </si>
  <si>
    <t>https://www.purplefrogproperty.com/landlords/</t>
  </si>
  <si>
    <t xml:space="preserve">
Liz Roberts</t>
  </si>
  <si>
    <t>Liz.Roberts@purplefrogproperty.com</t>
  </si>
  <si>
    <t>hello@purplefrogproperty.com</t>
  </si>
  <si>
    <t>https://www.realvantage.co/insights/purpose-built-student-accommodation-pbsa-as-an-asset-class/</t>
  </si>
  <si>
    <t>Belladonnah Lim</t>
  </si>
  <si>
    <t>belladonnah.lim@realvantage.co</t>
  </si>
  <si>
    <t>support@realvantage.co</t>
  </si>
  <si>
    <t>https://www.yorkvision.co.uk/news/fairer-housing-i-hardly-know-her/17/11/2025</t>
  </si>
  <si>
    <t>Vision@yorksu.org</t>
  </si>
  <si>
    <t>https://www.realyorkshireblog.com/post/why-you-should-consider-a-university-in-these-yorkshire-cities</t>
  </si>
  <si>
    <t>https://www.yourtribe.com/buildings/southwark/your-tribe-en-suite-classic/</t>
  </si>
  <si>
    <t>Hannah</t>
  </si>
  <si>
    <t>hello@yourtribe.com</t>
  </si>
  <si>
    <t>https://www.propertytribes.com/hmo-oversaturation-warning-signs-remedies-t-127636815.html</t>
  </si>
  <si>
    <t>https://www.justpark.com/resource-centre/where-to-find-affordable-parking-near-the-university-of-leeds</t>
  </si>
  <si>
    <t>https://monitor.icef.com/2023/09/uk-student-housing-crunch-projected-to-worsen-through-2026/</t>
  </si>
  <si>
    <t>https://news.stv.tv/scotland/homeless-university-students-forced-to-sofa-surf-amid-accommodation-crisis-in-scotland</t>
  </si>
  <si>
    <t>Matthew Fulton</t>
  </si>
  <si>
    <t>Matthew.Fulton@stv.tv</t>
  </si>
  <si>
    <t>enquires@stv.tv.</t>
  </si>
  <si>
    <t>https://www.bigissue.com/news/housing/student-accommodation-boom-housing-cardiff/</t>
  </si>
  <si>
    <t>Steven MacKenzie</t>
  </si>
  <si>
    <t>steven.mackenzie@bigissue.com</t>
  </si>
  <si>
    <t>editorial@bigissue.com</t>
  </si>
  <si>
    <t>https://lendlord.io/renters-rights-bill-stage-20-26-03-2025-updates</t>
  </si>
  <si>
    <t>avirams@lendlord.io</t>
  </si>
  <si>
    <t>https://www.palatinate.org.uk/659-new-student-homes-approved-as-fees-rise-5/</t>
  </si>
  <si>
    <t>Daisy Rought-Oram</t>
  </si>
  <si>
    <t>deputy.editor@palatinate.org.uk</t>
  </si>
  <si>
    <t>news@palatinate.org.uk</t>
  </si>
  <si>
    <t>https://audiala.com/en/united-kingdom/birmingham/edgbaston-house</t>
  </si>
  <si>
    <t>https://www.thewirechina.com/2025/11/09/the-debate-around-chinese-students-in-western-colleges-is-missing-a-key-voice/</t>
  </si>
  <si>
    <t>https://www.durham.gov.uk/article/6069/Student-housing-landlord-assurance-scheme</t>
  </si>
  <si>
    <t>https://www.citymonitor.ai/analysis/british-cities-are-moving-reduce-impact-studentification-3659/</t>
  </si>
  <si>
    <t>Jake Sharp</t>
  </si>
  <si>
    <t>Jake.sharp@progressivemediainternational.com</t>
  </si>
  <si>
    <t>https://www.mytutor.co.uk/blog/students/the-true-university-costs/</t>
  </si>
  <si>
    <t>https://www.moneymagpie.com/make-money/make-and-save-money-from-renting</t>
  </si>
  <si>
    <t>https://www.diyinvestor.net/demand-for-student-accommodation-office-space-and-retail-development-fuels-uks-commercial-property-revival/</t>
  </si>
  <si>
    <t>ask@diyinvestor.net</t>
  </si>
  <si>
    <t>https://inews.co.uk/news/cash-strapped-universities-fold-new-students-graduate-3229221</t>
  </si>
  <si>
    <t>stories@theipaper.com</t>
  </si>
  <si>
    <t>newsdesk@inews.co.uk</t>
  </si>
  <si>
    <t>https://theoxfordblue.co.uk/what-are-the-antidoes-to-the-constant-rise-in-the-cost-of-living/</t>
  </si>
  <si>
    <t>Dhillon Lalji</t>
  </si>
  <si>
    <t>oxfordbluemd@gmail.com</t>
  </si>
  <si>
    <t>editoroxblue@gmail.com.</t>
  </si>
  <si>
    <t>https://www.bisnow.com/london/news/commercial-real-estate/student-accommodation-might-be-considered-recession-proof-but-you-have-to-develop-the-right-product-119347</t>
  </si>
  <si>
    <t>https://www.mishcon.com/news/the-impact-of-private-rented-sector-reforms-on-the-student-accommodation-market</t>
  </si>
  <si>
    <t>Stephen Hughes</t>
  </si>
  <si>
    <t>stephen.hughes@mishcon.com</t>
  </si>
  <si>
    <t>hilary.downes@mishcon.com</t>
  </si>
  <si>
    <t>https://www.mydeposits.co.uk/content-hub/student-move-ins-what-has-or-hasnt-changed/</t>
  </si>
  <si>
    <t>info@mydeposits.co.uk</t>
  </si>
  <si>
    <t>https://www.mortgagesolutions.co.uk/specialist-lending/commercial-finance/2025/05/14/demand-for-student-accommodation-offices-and-retail-stimulates-commercial-property-market/</t>
  </si>
  <si>
    <t>Anna Sagar</t>
  </si>
  <si>
    <t>anna.sagar@ae3media.co.uk</t>
  </si>
  <si>
    <t xml:space="preserve"> wordpress@mortgagesolutions.co.uk</t>
  </si>
  <si>
    <t>https://www.thebubble.org.uk/current-affairs/student-life/rising-rents-a-cause-for-concern-in-durham/</t>
  </si>
  <si>
    <t>https://www.lancaster.ac.uk/subtext/archive/issue129.htm</t>
  </si>
  <si>
    <t>https://www.dur.ac.uk/colleges-and-student-experience/housing-hub/student-lettings-code-of-practice/</t>
  </si>
  <si>
    <t>https://www.deloitte.com/uk/en/Industries/real-estate/research/manchester-crane-survey-2022.html</t>
  </si>
  <si>
    <t>https://prelive.instantoffices.com/blog/business-growth/growing-your-business-in-2015/</t>
  </si>
  <si>
    <t>https://www.yorkshireeveningpost.co.uk/read-this/freshers-week-costs-students-ps500-7-ways-to-save-ps360-4748950</t>
  </si>
  <si>
    <t>Laura Collins</t>
  </si>
  <si>
    <t>laura.collins@iconicmediagroup.co.uk</t>
  </si>
  <si>
    <t>multimedia.yep@jpress.co.uk</t>
  </si>
  <si>
    <t>https://www.onthemarket.com/details/17131727/</t>
  </si>
  <si>
    <t xml:space="preserve"> support@onthemarket.com</t>
  </si>
  <si>
    <t>https://www.thestar.co.uk/read-this/freshers-week-costs-students-ps500-7-ways-to-save-ps360-4749053</t>
  </si>
  <si>
    <t>Claire Lewis</t>
  </si>
  <si>
    <t>claire.lewis@iconicmediagroup.co.uk</t>
  </si>
  <si>
    <t>news@thestar.co.uk</t>
  </si>
  <si>
    <t>https://try.yorkshirepost.co.uk/read-this/freshers-week-costs-students-ps500-7-ways-to-save-ps360-4749053</t>
  </si>
  <si>
    <t>Dave O’Connell</t>
  </si>
  <si>
    <t xml:space="preserve"> dave.oconnell@ctribune.ie</t>
  </si>
  <si>
    <t>sales@ctribune.ie</t>
  </si>
  <si>
    <t>https://durham.onboard.unioncloud.org/articles/dan-lonsdale-university-accommodation-and-support-for-freshers</t>
  </si>
  <si>
    <t>Emily McMillan</t>
  </si>
  <si>
    <t>emily.mcmillan@durham.ac.uk</t>
  </si>
  <si>
    <t>ask@durhamsu.com</t>
  </si>
  <si>
    <t>https://www.edtechinnovationhub.com/news/49-of-uk-universities-lack-ai-usage-guidelines</t>
  </si>
  <si>
    <t>Emma Thompson</t>
  </si>
  <si>
    <r>
      <rPr>
        <sz val="10"/>
        <color rgb="FF000000"/>
        <rFont val="Arial"/>
      </rPr>
      <t>emmacate@edtechinnovationhub.com</t>
    </r>
  </si>
  <si>
    <t>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</t>
  </si>
  <si>
    <t>https://www.nrla.org.uk/news/renters-rights-bill-will-limit-access-to-higher-education</t>
  </si>
  <si>
    <t>Robyn Young</t>
  </si>
  <si>
    <t>robyn.young@nrla.org.uk</t>
  </si>
  <si>
    <t>info@nrla.org.uk</t>
  </si>
  <si>
    <t>https://www.worldconstructionnetwork.com/comment/why-are-singapore-based-investors-flocking-to-uk-real-estate/</t>
  </si>
  <si>
    <t>Thom Atkinson</t>
  </si>
  <si>
    <t>thom.atkinson@globaldata.com</t>
  </si>
  <si>
    <t xml:space="preserve"> editorialenquiries@globaldata.com</t>
  </si>
  <si>
    <t>https://sturents.stonly.com/kb/guide/en/how-to-search-for-accommodation-zfKsNcM7tn/Steps/1303519</t>
  </si>
  <si>
    <t>https://cherwell.org/page/1279/?author=Susannah%20Atkins&amp;mode=grid</t>
  </si>
  <si>
    <t xml:space="preserve">Amelia Coe </t>
  </si>
  <si>
    <t>editors@cherwell.org</t>
  </si>
  <si>
    <t>https://thepaymentsassociation.org/article/token-io-brings-open-banking-to-property/</t>
  </si>
  <si>
    <t>Julia Hearn</t>
  </si>
  <si>
    <t>julia.hearn@thepaymentsassociation.org</t>
  </si>
  <si>
    <t>hello@thepaymentsassociation.org</t>
  </si>
  <si>
    <t>https://www.tandfonline.com/doi/full/10.1080/10511482.2022.2137379</t>
  </si>
  <si>
    <t>Richard Delahunty</t>
  </si>
  <si>
    <t>r.delahunty@tiscali.co.uk</t>
  </si>
  <si>
    <t>tandf@hachette.co.uk</t>
  </si>
  <si>
    <t>https://www.accommodationforstudents.com/student-landlord-guides/4409</t>
  </si>
  <si>
    <t>Anna Varela</t>
  </si>
  <si>
    <t>a.varela@rss.org.uk</t>
  </si>
  <si>
    <t>support@accommodationforstudents.com</t>
  </si>
  <si>
    <t>https://www.google.co.uk/travel/hotels/entity/ChkQg9ucoOuj6f5GGg0vZy8xMXhkbjRzeGtxEAI</t>
  </si>
  <si>
    <t>https://hu6zg0fcclhktccq4kuppxhub.js.wpenginepowered.com/news/housing/student-accommodation-boom-housing-cardiff/</t>
  </si>
  <si>
    <t>https://www.londonstone.co.uk/garden-design-ideas/driveways/</t>
  </si>
  <si>
    <t>https://www.streetlist.co.uk/ls/ls22/ls22-7/ainsty-garth</t>
  </si>
  <si>
    <t>https://gacitralafeelcleanerb1.firebaseapp.com/b2/bike-storage-bingley.html</t>
  </si>
  <si>
    <t>contact@www.eluxurysall.com</t>
  </si>
  <si>
    <t>https://eridan.websrvcs.com/System/Media/play.asp?id=30216&amp;key=934CA76B-47BE-415F-AFCF-A6B339CF412E</t>
  </si>
  <si>
    <t>https://www.shakespearemarathon.org.uk/</t>
  </si>
  <si>
    <t>https://www.cicm.com/</t>
  </si>
  <si>
    <t xml:space="preserve"> info@cicm.com</t>
  </si>
  <si>
    <t>https://www.limesolicitors.co.uk/</t>
  </si>
  <si>
    <t>https://civilmediation.org/mediator-search/</t>
  </si>
  <si>
    <t>https://www.lincolnshireshowground.co.uk/all-show</t>
  </si>
  <si>
    <t>https://blog.ipleaders.in/all-about-the-solicitors-qualifying-examination-1-sqe-1/</t>
  </si>
  <si>
    <t>https://www.sra.org.uk/consumers/register/organisation/?sraNumber=442480</t>
  </si>
  <si>
    <t>https://www.reviewsolicitors.co.uk/west-midlands/birmingham/shakespeare-martineau-llp</t>
  </si>
  <si>
    <t>https://bridgeindia.org.uk/</t>
  </si>
  <si>
    <t>https://www.hepi.ac.uk/2023/03/21/are-universities-really-at-risk-of-ending-up-in-the-public-sector/</t>
  </si>
  <si>
    <t>https://www.trinitycollege.com/qualifications/SELT/bristol</t>
  </si>
  <si>
    <t>info@trinitycollege.com</t>
  </si>
  <si>
    <t>https://www.legal500.com/firms/3787-shakespeare-martineau-llp/r-england/rankings</t>
  </si>
  <si>
    <t>https://flex.legal/blog/different-types-of-law-firms</t>
  </si>
  <si>
    <t>https://www.legalcheek.com/fair/the-legal-cheek-uk-virtual-law-fair-series/</t>
  </si>
  <si>
    <t>https://debt-advisory-services.co.uk/shakespeare-martineau-debt-collection-agency/</t>
  </si>
  <si>
    <t xml:space="preserve"> contactus@debt-advisory-services.co.uk</t>
  </si>
  <si>
    <t>info@debtadvisoryservices.co.uk</t>
  </si>
  <si>
    <t>https://www.uhr.ac.uk/cpd/awards/</t>
  </si>
  <si>
    <t>https://www.personneltoday.com/hr/diversity-washing-how-to-ensure-words-translate-into-action/</t>
  </si>
  <si>
    <t>https://www.mayowynnebaxter.co.uk/latest-news/mwb-join-ampa-group/</t>
  </si>
  <si>
    <t>https://www.bristol.ac.uk/bristol-digital-futures-institute/our-partners/</t>
  </si>
  <si>
    <t>https://bira.co.uk/resources/hubs/gdpr/</t>
  </si>
  <si>
    <t>Emily Bridgewater</t>
  </si>
  <si>
    <t>emily.bridgewater@bira.co.uk</t>
  </si>
  <si>
    <t xml:space="preserve"> membership@bira.co.uk</t>
  </si>
  <si>
    <t>https://mooreks.co.uk/insights/charitepulse-captain-toms-legacy-tarnished-by-his-family-gift-aid-fraud-and-banking-woes/</t>
  </si>
  <si>
    <t>Esther Carder</t>
  </si>
  <si>
    <t>ecarder@mks.co.uk</t>
  </si>
  <si>
    <t>https://www.hinchilla.com/funder-directory/the-maud-elkington-charitable-trust</t>
  </si>
  <si>
    <t>https://www.newlawjournal.co.uk/content/shakespeare-martineau-laura-giles</t>
  </si>
  <si>
    <t>https://www.nfuonline.com/nfu-professional-services/nfu-legal-panel/</t>
  </si>
  <si>
    <t>Jo Rector</t>
  </si>
  <si>
    <t xml:space="preserve">jo.rector@nfu.org.uk , lizzy.milne@nfu.org.uk </t>
  </si>
  <si>
    <t>https://www.lboro.ac.uk/media-centre/press-releases/2025/october/taylor-coogan-settlement/</t>
  </si>
  <si>
    <t>https://www.quiltercheviot.com/news-and-events/articles/charitepulse-charity-scandals-exposed/</t>
  </si>
  <si>
    <t xml:space="preserve">Sophie Gorman </t>
  </si>
  <si>
    <t>sophie.gorman@quiltercheviot.com, sophs_49@hotmail.com</t>
  </si>
  <si>
    <t>marketing@quiltercheviot.com</t>
  </si>
  <si>
    <t>https://www.techvertu.co.uk/who-we-serve</t>
  </si>
  <si>
    <t>info@techvertu.co.uk</t>
  </si>
  <si>
    <t>https://midsummerplace.co.uk/blog/christmas-tree-festival-winners-announced</t>
  </si>
  <si>
    <t>customerservice@midsummerplace.co.uk</t>
  </si>
  <si>
    <t>https://londonlovesbusiness.com/retail-and-london-bear-the-brunt-as-business-administrations-remained-high-in-2025/</t>
  </si>
  <si>
    <t>https://www.theguardian.com/business/live/2022/mar/17/bank-of-england-interest-rates-inflation-oil-markets-sterling-russia-bond-payments-business-live</t>
  </si>
  <si>
    <t>Hannah Alaskar</t>
  </si>
  <si>
    <t>hannah.alaskar@theguardian.com</t>
  </si>
  <si>
    <t xml:space="preserve">USinfo@theguardian.com </t>
  </si>
  <si>
    <t>https://bfff.co.uk/legal/</t>
  </si>
  <si>
    <t>Kathryn Watts</t>
  </si>
  <si>
    <t xml:space="preserve"> k.watts@evopr.com</t>
  </si>
  <si>
    <t>generaladmin@bfff.co.uk ,  admin@bfff.co.uk</t>
  </si>
  <si>
    <t>https://www.r-e-a.net/our-members/our-members-directory/</t>
  </si>
  <si>
    <t>Faye Clayton</t>
  </si>
  <si>
    <t>fayec@live.co.uk</t>
  </si>
  <si>
    <t>info@r-e-a.net</t>
  </si>
  <si>
    <t>https://www.finance-monthly.com/2017/07/your-thoughts-are-immigration-concerns-damaging-the-global-economy/</t>
  </si>
  <si>
    <t>https://www.3pb.co.uk/barristers/ashley-halvorsen/</t>
  </si>
  <si>
    <t>https://www.lawsociety.org.uk/campaigns/women-in-leadership-in-law/tools/the-women-in-law-pledge</t>
  </si>
  <si>
    <t>https://www.ipla.org.uk/members/</t>
  </si>
  <si>
    <t>https://www.nottinghamworld.com/sport/grassroots-football-club-on-mission-to-become-most-purpose-led-in-britain-5360802</t>
  </si>
  <si>
    <t>Emma Walker</t>
  </si>
  <si>
    <t>emma.walker@iconicmediagroup.co.uk</t>
  </si>
  <si>
    <t>hello@nottinghamworld.com</t>
  </si>
  <si>
    <t>https://www.ntu.ac.uk/study-and-courses/academic-schools/nottingham-law-school/services-to-business/employers-board</t>
  </si>
  <si>
    <t>https://www.sbs.nhs.uk/services/framework-agreements/legal-services-for-health/</t>
  </si>
  <si>
    <t>https://www.theengineer.co.uk/content/in-depth/damage-control-how-repairability-could-help-address-the-e-waste-crisis/</t>
  </si>
  <si>
    <t>Jason Ford</t>
  </si>
  <si>
    <t>jason.ford@markallengroup.com</t>
  </si>
  <si>
    <t>dpo@markallengroup.com</t>
  </si>
  <si>
    <t>https://www.failory.com/startups/birmingham</t>
  </si>
  <si>
    <t>Nico</t>
  </si>
  <si>
    <t>nico@failory.com</t>
  </si>
  <si>
    <t>Blog</t>
  </si>
  <si>
    <t>https://med-techinsights.com/2025/10/23/a-and-b-smart-materials-wins-2025-tbat-innovation-challenge/</t>
  </si>
  <si>
    <t>Olivia Friett</t>
  </si>
  <si>
    <t>oliviamay1995@hotmail.co.uk</t>
  </si>
  <si>
    <t>subscriptions@rapidnews.com</t>
  </si>
  <si>
    <t>https://www.csa-uk.com/members/?id=55977024</t>
  </si>
  <si>
    <t>https://www.pourmoi.co.uk/blog/nowtrending-the-pants-prenup</t>
  </si>
  <si>
    <t>https://podcasts.apple.com/us/podcast/going-further-and-higher-education-podcast/id1582033658</t>
  </si>
  <si>
    <t>https://contendlegal.com/family/divorce-separation/pet-arrangements-maintenance/</t>
  </si>
  <si>
    <t>https://economicpolicygroup.com/india-week-2024/</t>
  </si>
  <si>
    <t>https://corporate.lovell.co.uk/newsroom/2025/august/housing-developer-tees-off-for-30th-time-to-raise-14550-for-welsh-charities/</t>
  </si>
  <si>
    <t>https://www.entertainmentdaily.com/soaps/exclusive-becky-swain-back-dead-coronation-street-is-lisa-married-legal-expert-gives-answers/</t>
  </si>
  <si>
    <t>Nancy Brown</t>
  </si>
  <si>
    <t>Hello@entertainmentdaily.com</t>
  </si>
  <si>
    <t>https://www.thepropertybuyingcompany.co.uk/news/can-you-sell-a-derelict-property</t>
  </si>
  <si>
    <t>John Iliopoulos</t>
  </si>
  <si>
    <t>john@thepropertybuyingcompany.co.uk</t>
  </si>
  <si>
    <t>info@thepropertybuyingcompany.co.uk</t>
  </si>
  <si>
    <t>https://www.nottingham.ac.uk/news/innovative-start-ups-national-entrepreneur-awards-seed-funding</t>
  </si>
  <si>
    <t>http://www.bailii.org/support/sponsors.html</t>
  </si>
  <si>
    <t>https://www.aoc.co.uk/events-training/events/aoc-hr-conf-2025</t>
  </si>
  <si>
    <t>https://www.offalyexpress.ie/news/lifestyle/1819658/what-pensioners-need-to-know-about-income-tax.html</t>
  </si>
  <si>
    <t>Damian Moran</t>
  </si>
  <si>
    <t>damian@offalylive.ie</t>
  </si>
  <si>
    <t>advertising@offalylive.ie, news@offalylive.ie</t>
  </si>
  <si>
    <t>https://21stcenturylab.lincoln.ac.uk/the-21st-century-lab-community/</t>
  </si>
  <si>
    <t>https://www.stir.ac.uk/people/257456</t>
  </si>
  <si>
    <t>https://trademarklawyermagazine.com/battle-of-the-brands-easyfundraising-v-easygroup/</t>
  </si>
  <si>
    <t>https://www.cooperparry.com/event/she-rocks-business-the-magnificence-of-humanity-2025/</t>
  </si>
  <si>
    <t>https://www.mha.co.uk/insights/getting-consent-for-charity-changes</t>
  </si>
  <si>
    <t>https://www.gov.uk/government/publications/the-older-peoples-housing-taskforce-report/our-future-homes-housing-that-promotes-wellbeing-and-community-for-an-ageing-population</t>
  </si>
  <si>
    <t>https://legalsolutions.thomsonreuters.co.uk/en/products-services/highq/customer-stories/client-centric-solutions.html</t>
  </si>
  <si>
    <t>https://www.breakroom.cc/en-gb/employers/shakespeare-martineau</t>
  </si>
  <si>
    <t>https://www.buildington.co.uk/companies/shakespeare-martineau/id/2958</t>
  </si>
  <si>
    <t>https://healthinnovation-em.org.uk/component/content/category/67-news/151-news?Itemid=235</t>
  </si>
  <si>
    <t>https://www.freecodecamp.org/news/generative-ai-handbook/</t>
  </si>
  <si>
    <t>https://journals.plos.org/climate/article?id=10.1371/journal.pclm.0000322</t>
  </si>
  <si>
    <t>Emily Chenette</t>
  </si>
  <si>
    <t>echenette@plos.org</t>
  </si>
  <si>
    <t>plosone@plos.org.</t>
  </si>
  <si>
    <t>https://www.caremanagementmatters.co.uk/feature/resource-finder/</t>
  </si>
  <si>
    <t>https://www.bbh-blog.de/alle-themen/internationale-auswirkungen-der-corona-pandemie-im-gespraech-mit-andrew-whitehead-von-shakespeare-martineau/</t>
  </si>
  <si>
    <t>Prof. Dr. Ines Zenke</t>
  </si>
  <si>
    <t xml:space="preserve">ines.zenke@bbh-online.de              </t>
  </si>
  <si>
    <t>blog@bbh-online.de</t>
  </si>
  <si>
    <t>https://growthbusiness.co.uk/how-do-you-value-your-business-when-you-dont-know-what-the-future-holds-18435/</t>
  </si>
  <si>
    <t>Anna Jordan</t>
  </si>
  <si>
    <t>anna.jordan@stubbenedge.com</t>
  </si>
  <si>
    <t>hello@stubbenedge.com</t>
  </si>
  <si>
    <t>https://www.peoplemanagement.co.uk/article/1745558/limiting-email-access-boosts-wellbeing</t>
  </si>
  <si>
    <t xml:space="preserve"> Islam Soliman, Sam Forsdick </t>
  </si>
  <si>
    <t xml:space="preserve"> islam.soliman@wonderly.agency,  sam.forsdick@wonderly.agency</t>
  </si>
  <si>
    <t>pmeditorial@wonderly.agency</t>
  </si>
  <si>
    <t>https://fundraising.co.uk/2019/06/06/how-to-protect-your-legacy-donations/</t>
  </si>
  <si>
    <t xml:space="preserve"> Howard Lake</t>
  </si>
  <si>
    <t>hlake@fundraising.co.uk</t>
  </si>
  <si>
    <t>news@fundraising.co.uk</t>
  </si>
  <si>
    <t>https://www.thecpc.ac.uk/services/suppliers/shakespeare-martineau-llp</t>
  </si>
  <si>
    <t>GDPR@thecpc.ac.uk</t>
  </si>
  <si>
    <t xml:space="preserve">helpdesk@thecpc.ac.uk </t>
  </si>
  <si>
    <t>https://thetab.com/2025/07/04/cardiff-university-students-threatened-with-jail-if-protests-on-campus-continue</t>
  </si>
  <si>
    <t>editor@thetab.com</t>
  </si>
  <si>
    <t>tips@thetab.com</t>
  </si>
  <si>
    <t>https://business.warwickshire.gov.uk/january-2021/print</t>
  </si>
  <si>
    <t>https://www.bisnow.com/events/london/industrial/industrial-logistics-transformation-7525</t>
  </si>
  <si>
    <t>https://www.retirementvillages.co.uk/thrive-life/business-updates-developments/later-living/how-retirement-communities-can-relieve-the-housing-market-crisis/</t>
  </si>
  <si>
    <t>Tim Seddon</t>
  </si>
  <si>
    <t>timseddon@retirementvillages.co.uk</t>
  </si>
  <si>
    <t>info@retirementvillages.co.uk</t>
  </si>
  <si>
    <t>https://adch.org.uk/supplier-catalogue/shakespeare-martineau-llp/</t>
  </si>
  <si>
    <t>https://fi.co/insight/health-tech-startup-resource-list-645-accelerators-incubators-investors-and-more</t>
  </si>
  <si>
    <t>https://bmmagazine.co.uk/opinion/tv-comedy-series-sheds-light-on-family-business-disputes/</t>
  </si>
  <si>
    <t>https://moneynerd.co.uk/shakespeare-martineau-debt-collectors/</t>
  </si>
  <si>
    <t>Scott Nelson</t>
  </si>
  <si>
    <t>scott.nelson@moneynerd.co.uk</t>
  </si>
  <si>
    <t>hello@moneynerd.co.uk</t>
  </si>
  <si>
    <t>https://startupsmagazine.co.uk/article-guide-getting-investment-ready</t>
  </si>
  <si>
    <t>Rachel Boswell</t>
  </si>
  <si>
    <t>rachel.boswell99@outlook.com , rachel.boswell@startupsmagazine.co.uk</t>
  </si>
  <si>
    <t>sales@electronicspecifier.com</t>
  </si>
  <si>
    <t>https://www.extracare.org.uk/news/moving-on-white-paper-is-retirement-living-the-answer-to-the-housing-crisis/</t>
  </si>
  <si>
    <t>https://feweek.co.uk/how-many-contracts-does-it-take-to-make-an-apprenticeship/</t>
  </si>
  <si>
    <t>https://www.resourcedm.com/resources/blog/the-unexpected-benefits-of-reducing-emissions-for-universities/</t>
  </si>
  <si>
    <t>marketing@resourcedm.com</t>
  </si>
  <si>
    <t>hello@resourcedm.com , sales@resourcedm.com</t>
  </si>
  <si>
    <t>Home Improvement</t>
  </si>
  <si>
    <t>https://academia.stackexchange.com/questions/161064/do-i-have-to-include-my-pronouns-in-a-course-outline</t>
  </si>
  <si>
    <t>https://www.crowncommercial.gov.uk/suppliers/108/shakespeare-martineau-llp</t>
  </si>
  <si>
    <t>info@crowncommercial.gov.uk</t>
  </si>
  <si>
    <t>Finane</t>
  </si>
  <si>
    <t>https://www.artificiallawyer.com/2019/08/20/the-ai-wish-list-what-tech-bosses-dream-machines-could-do/</t>
  </si>
  <si>
    <t>https://www.denplan.co.uk/dentists/denplan-expert-network/shakespeare-martineau</t>
  </si>
  <si>
    <t>https://legaltechnology.com/2022/02/15/shakespeare-martineau-goes-live-on-peppermint-crm-plus-introhive/</t>
  </si>
  <si>
    <t>https://newsletters.qs.com/california-tops-public-enrolments-dutch-healthcare-spending-mobile-users-prioritize-longer-battery-life/</t>
  </si>
  <si>
    <t>https://www.maddyness.com/uk/2020/05/12/new-platform-launches-to-help-startups-recruit/</t>
  </si>
  <si>
    <t>https://www.acquisition-international.com/the-rush-to-succession-plan/</t>
  </si>
  <si>
    <t>https://theboar.org/2025/07/warwick-among-universities-that-attended-anti-protest-coaching-webinar-hosted-by-law-firm/</t>
  </si>
  <si>
    <t>https://www.bristolworld.com/community/revealed-six-times-as-many-bristol-homes-could-be-burdened-by-inheritance-tax-freeze-5109403</t>
  </si>
  <si>
    <t>https://www.miltonkeynes.co.uk/community/six-times-as-many-mk-homes-could-be-burdened-by-inheritance-tax-freeze-5103422</t>
  </si>
  <si>
    <t>https://wonkhe.com/blogs/live-its-alive-a-one-day-conference/</t>
  </si>
  <si>
    <t>https://smallbusiness.co.uk/small-firms-win-pay-outs-in-covid-business-interruption-insurance-ruling-2551987/</t>
  </si>
  <si>
    <t>https://www.legalbusiness.co.uk/law-firms/blogs/we-have-something-to-prove-raynor-takes-the-top-role-at-shakespeares-as-wilson-departs/</t>
  </si>
  <si>
    <t>https://www.installeronline.co.uk/news/plumber-wins-supreme-court-workers-rights-case-against-pimlico-plumbers/</t>
  </si>
  <si>
    <t>https://todayswillsandprobate.co.uk/statutory-interest-on-pecuniary-legacies-within-wills/</t>
  </si>
  <si>
    <t>https://wealthandfinance.digital/divorce-jurisdiction-and-financial-relief-applications/</t>
  </si>
  <si>
    <t>https://www.lexology.com/library/detail.aspx?g=e9dadb11-cdfb-4888-9cb9-11cd00a299f4</t>
  </si>
  <si>
    <t>https://utw11297.utweb.utexas.edu/?u=348768624</t>
  </si>
  <si>
    <t>https://next-tech.com/en/construction-news-roundup-july23/</t>
  </si>
  <si>
    <t>https://bsky.app/profile/profstevenjones.bsky.social</t>
  </si>
  <si>
    <t>https://elitebusinessmagazine.co.uk/legal/item/did-theranos-mean-the-end-of-entrepreneurs-fudging-the-numbers</t>
  </si>
  <si>
    <t>https://sheerluxe.com/life/careers/everything-you-need-know-about-maternity-leave</t>
  </si>
  <si>
    <t>https://www.serlecourt.co.uk/events/details/welcome-to-the-jungle-civil-procedure-rules-and-guerilla-duels</t>
  </si>
  <si>
    <t>https://www.teamengland.org/news/uniting-staff-and-promoting-talent-development</t>
  </si>
  <si>
    <t>https://financialpost.com/legal-post/canadian-lawyer-barry-leon-judge-for-eastern-caribbean-supreme-court-and-other-legal-moves-and-grooves</t>
  </si>
  <si>
    <t>https://www.cbinsights.com/company/shakespeare-martineau</t>
  </si>
  <si>
    <t>https://www.appsruntheworld.com/customers-database/customers/view/shakespeares-llp-united-kingdom</t>
  </si>
  <si>
    <t>https://www.timeshighereducation.com/blog/ofs-framework-undermines-prevent-guidance</t>
  </si>
  <si>
    <t>https://www.inven.ai/company-lists/top-21-estate-law-companies</t>
  </si>
  <si>
    <t>https://www.thelandsite.co.uk/articles/can-the-construction-industry-afford-to-make-redundancies</t>
  </si>
  <si>
    <t>https://www.retailgazette.co.uk/blog/2022/06/whats-next-for-missguided-under-frasers-group/</t>
  </si>
  <si>
    <t>https://www.localgov.co.uk/Building-a-robust-pothole-related-injury-legal-defence/55495</t>
  </si>
  <si>
    <t>https://www.thegayuk.com/everything-you-need-to-know-about-wills-and-inheritance-if-youre-lgbt/</t>
  </si>
  <si>
    <t>https://frostbrowntodd.com/data-privacy-detective-podcast-episode-67-data-flows-after-brexit-for-now/</t>
  </si>
  <si>
    <t>https://www.globalbankingandfinance.com/shakespeare-martineau-appoints-finance-and-disputes-partner-to-grow-london-practice/</t>
  </si>
  <si>
    <t>https://www.morningadvertiser.co.uk/Article/2021/09/22/What-can-I-do-about-unpaid-rent/</t>
  </si>
  <si>
    <t>https://www.insidehousing.co.uk/comment/buyers-want-green-homes-but-the-market-and-government-need-to-catch-up-76905</t>
  </si>
  <si>
    <t>https://www.wigantoday.net/lifestyle/homes-and-gardens/shakespeare-martineau-advises-great-places-on-major-ps104m-wigan-housing-deal-5128896</t>
  </si>
  <si>
    <t>https://www.bcllegal.com/the-brief/opinion/mark-beesley-on-how-the-legal-sector-is-ever-changing</t>
  </si>
  <si>
    <t>https://www.theplanner.co.uk/2016/10/04/clarity-planning-reforms-urgently-needed-drive-development-activity</t>
  </si>
  <si>
    <t>https://blogs.bournemouth.ac.uk/research/2021/09/13/he-policy-update-w-e-10th-september-2021/</t>
  </si>
  <si>
    <t>https://app.croneri.co.uk/feature-articles/planning-change?product=139</t>
  </si>
  <si>
    <t>http://www.legal500.fr/rankings/ranking/c-yorkshire-and-the-humber/tmt-technology-media-and-telecoms/intellectual-property/3787-shakespeare-martineau-llp</t>
  </si>
  <si>
    <t>https://www.walesonline.co.uk/news/uk-news/schools-work-places-close-gets-24462790</t>
  </si>
  <si>
    <t>https://www.esmmagazine.com/retail/food-and-drink-sector-accounted-for-6-of-administrations-in-uk-181776</t>
  </si>
  <si>
    <t>https://growjo.com/company/Mayer_Electric_Supply_Co</t>
  </si>
  <si>
    <t>https://www.r3.org.uk/events-training/etemplekc@kingschambers.com/Jodie%20Wildridge,%20Barrister,%20Exchange%20Chambers,%20R3%20Yorkshire%20Vice%20Chair%20-%20view%20bio/?acc=1&amp;date=28-9-2023&amp;mth=9&amp;yr=2023&amp;region=0&amp;tag=0&amp;when=1</t>
  </si>
  <si>
    <t>https://cih.org/news/report-shows-disconnect-between-public-perception-and-the-reality-of-retirement-housing/</t>
  </si>
  <si>
    <t>https://www.podchaser.com/podcasts/going-further-and-higher-educa-1972626/episodes/freedom-of-speech-142734710</t>
  </si>
  <si>
    <t>https://thenegotiator.co.uk/uncategorised/expecting-things-to-get-litigious-purplebricks-signs-up-law-firm/</t>
  </si>
  <si>
    <t>https://www.findmassleads.com/websites/shma.co.uk?h=0884282244</t>
  </si>
  <si>
    <t>https://manufacturingdigital.com/lean-manufacturing/how-supply-chain-security-driving-deal-market-activity-advanced-manufacturing-sector</t>
  </si>
  <si>
    <t>https://podcasts.marketingsociety.com/episode/sustainability-sarahwalkersmith-shakespearemartineau</t>
  </si>
  <si>
    <t>https://www.huffingtonpost.co.uk/2013/11/22/drugs-parliament_n_4309977.html</t>
  </si>
  <si>
    <t>https://waterwise.org.uk/sustainable-finance-water-scarcity-roundtable/</t>
  </si>
  <si>
    <t>https://www.mylocalservices.co.uk/Shakespeare+Martineau+Solicitors-London-3345541.html</t>
  </si>
  <si>
    <t>https://shma.legl.com/engage/closed/</t>
  </si>
  <si>
    <t>https://jobs.privateequitylist.com/company/shakespeare-martineau</t>
  </si>
  <si>
    <t>https://www.estatesearch.co.uk/new-industry-insights/the-increasing-importance-of-will-searches/</t>
  </si>
  <si>
    <t>https://prospeo.io/t/feefo-customers</t>
  </si>
  <si>
    <t>https://ukbaa.org.uk/blog/2024/02/22/tbat-innovation-launches-2024-innovation-challenge/</t>
  </si>
  <si>
    <t>https://www.parcelpending.com/en-gb/blog/designing-a-better-student-experience-5-considerations-for-your-university-campus/</t>
  </si>
  <si>
    <t>https://lix-it.com/organisations/gl-law-part-of-shakespeare-martineau</t>
  </si>
  <si>
    <t>https://inventorybase.co.uk/blog/retail-landlords-threaten-tenants-with-legal-action-on-lack-of-rent-payments/</t>
  </si>
  <si>
    <t>https://businesschief.com/leadership-and-strategy/mutual-benefit-academia-partnerships-1</t>
  </si>
  <si>
    <t>https://www.retailsector.co.uk/637717-greenwashing-vs-greenhushing-how-can-businesses-get-it-right/</t>
  </si>
  <si>
    <t>https://www.birminghamdev.bham.ac.uk/schools/law/flag</t>
  </si>
  <si>
    <t>https://live-uk-uon.contensis.com/news/innovative-start-ups-national-entrepreneur-awards-seed-funding</t>
  </si>
  <si>
    <t>https://balkangreenenergynews.com/two-day-forum-with-experts-on-sustainable-energy/</t>
  </si>
  <si>
    <t>https://www.information-age.com/fcas-business-plan-flags-key-areas-focus-201718-5497/</t>
  </si>
  <si>
    <t>https://www.farminguk.com/news/who-is-responsible-for-flood-defence-provision-_58241.html</t>
  </si>
  <si>
    <t>https://www.step.org/industry-news/uk-government-tables-draft-regulations-protect-personal-information-public-companies</t>
  </si>
  <si>
    <t>https://buildingtalk.com/guest-article-smash-and-grab-is-here-to-stay-the-importance-of-getting-payment-notices-right/</t>
  </si>
  <si>
    <t>https://ditchcarbon.com/organizations/shakespeare-martineau</t>
  </si>
  <si>
    <t>https://www.irishnews.com/life/what-pensioners-need-to-know-about-income-tax-IRWULQV3P5LM3MYEMMCKTQ4CSA/</t>
  </si>
  <si>
    <t>https://www.lincolnshireworld.com/business/shakespeare-martineau-announces-lincoln-promotion-5088004</t>
  </si>
  <si>
    <t>https://www.nottingham.co.uk/listing/1389372-Shakespeare-Martineau/</t>
  </si>
  <si>
    <t>https://practiceguides.chambers.com/practice-guides/private-wealth-disputes-2026/uk-south-west/trends-and-developments</t>
  </si>
  <si>
    <t>https://stage.hospiceuk.org/innovation-hub/courses-conferences/national-conference/sponsors-exhibitors</t>
  </si>
  <si>
    <t>https://wiza.co/d/shakespeare-martineau/b5ac/stephanie-bate</t>
  </si>
  <si>
    <t>https://www.ainvest.com/news/regulatory-crackdown-savings-growth-investor-guide-market-share-winners-2603/</t>
  </si>
  <si>
    <t>https://www.feefo.com/en-GB/reviews/shakespeare-martineau?page=1</t>
  </si>
  <si>
    <t>https://www.ireland-live.ie/news/life/1819676/what-pensioners-need-to-know-about-income-tax.html</t>
  </si>
  <si>
    <t>https://www.nottinghampost.com/news/uk-world-news/two-key-reasons-wilko-been-8652989</t>
  </si>
  <si>
    <t>https://lifeledger.com/ledger/why-is-estate-planning-important-more-than-just-a-will/</t>
  </si>
  <si>
    <t>https://www.what-franchise.com/news/peter-manford-joins-aaron-partners</t>
  </si>
  <si>
    <t>https://reviews.birdeye.com/shakespeare-martineau-llp-171191462601570</t>
  </si>
  <si>
    <t>https://thepioneergroup.com/event/online-workshop-finance/</t>
  </si>
  <si>
    <t>https://content.yudu.com/libraryHtml/A438io/EastMidlandsChamberD/141.html</t>
  </si>
  <si>
    <t>https://www.isbl.org.uk/national-conference-exhibitors</t>
  </si>
  <si>
    <t>https://www.fwi.co.uk/business/business-management/agricultural-transition/farm-business-succession-the-way-ahead-amid-new-tax-rules</t>
  </si>
  <si>
    <t>https://www.simplylawjobs.com/career-hub/articles/insights/day-in-the-life-of/a-day-in-the-life-of-a-trainee-solicitor</t>
  </si>
  <si>
    <t>https://bpca.org.uk/News-and-Blog/new-legal-helpline-and-video-calls-for-bpca-members/252260</t>
  </si>
  <si>
    <t>https://sheffield-digital.captivate.fm/episode/everything-you-need-to-know-about-ip-at-the-beginning-of-your-tech-journey-with-kerry-russell-from-shakespeare-martineau</t>
  </si>
  <si>
    <t>https://clay.earth/profile/esther-nip</t>
  </si>
  <si>
    <t>https://www.kldiscovery.com/nl/blog/10-practical-tips-for-directors-in-litigation</t>
  </si>
  <si>
    <t>https://www.zabasearch.com/phone/6027958094/</t>
  </si>
  <si>
    <t>https://fbtgibbons.com/data-privacy-detective-podcast-episode-67-data-flows-after-brexit-for-now/</t>
  </si>
  <si>
    <t>https://www.bitc.org.uk/joanna-deffley/</t>
  </si>
  <si>
    <t>https://www.warwickshireworld.com/community/twice-as-many-stratford-upon-avon-homes-could-be-burdened-by-inheritance-tax-freeze-5103435</t>
  </si>
  <si>
    <t>https://www.restaurantonline.co.uk/Article/2021/06/29/Business-after-Brexit-how-can-hospitality-close-the-labour-gap/</t>
  </si>
  <si>
    <t>https://constructionmanagement.co.uk/ir35-where-does-the-construction-industry-stand-now/</t>
  </si>
  <si>
    <t>https://www.sanctuary-supported-living.co.uk/news/moving-white-paper-retirement-living-answer-housing-crisis</t>
  </si>
  <si>
    <t>https://www.orbithomes.org.uk/orbit-homes-plants-pear-tree-at-daventry-development-to-mark-queen-s-platinum-jubilee/</t>
  </si>
  <si>
    <t>https://www.build-review.com/home-loan-scheme-homeowners-could-be-sitting-on-inheritance-tax-time-bomb-warn-lawyers/</t>
  </si>
  <si>
    <t>https://www.clodura.ai/directory/company/gl-law-now-shakespeare-martineau</t>
  </si>
  <si>
    <t>https://goodpods.com/podcasts/reputation-onramp-281630</t>
  </si>
  <si>
    <t>https://www.corporatevision-news.com/2019-relocation-relocation-relocation-how-landowners-can-keep-protestors-at-bay/</t>
  </si>
  <si>
    <t>https://www.citma.org.uk/events-calendar/ip-inclusive-reasonable-adjustments-what-are-they-and-how-can-we-get-them-right-.html</t>
  </si>
  <si>
    <t>https://ffnews.com/newsarticle/shakespeare-martineau-supports-the-launch-of-online-internship-platform-for-startups/</t>
  </si>
  <si>
    <t>https://www.fenews.co.uk/exclusive/convenience-is-key-flexible-learning-drives-in-work-training-appeal/</t>
  </si>
  <si>
    <t>https://shma.microsoftcrmportals.com/moving-on-report/</t>
  </si>
  <si>
    <t>https://blogs.bath.ac.uk/council-digest/2022/11/11/weekly-digest-11-november/</t>
  </si>
  <si>
    <t>https://www.dailypost.co.uk/news/north-wales-news/how-hot-leave-work-24250799</t>
  </si>
  <si>
    <t>http://www.odp.org/Regional/Europe/United_Kingdom/England/Business_and_Economy/Legal_Services</t>
  </si>
  <si>
    <t>https://www.thomsonlocal.com/search/solicitors/milton-keynes-towcester-buckingham/shakespeare-martineau/2560904/01908696002</t>
  </si>
  <si>
    <t>https://www.londonworld.com/community/twice-as-many-london-homes-could-be-hit-by-inheritance-tax-freeze-5103362</t>
  </si>
  <si>
    <t>https://www.everythingbranded.co.uk/blog/round-table-meeting-building-the-brand</t>
  </si>
  <si>
    <t>https://thehubamplius.uk.engagementhq.com/tell-us-your-views-on-energy-saving-technology-in-the-home/news_feed/findings</t>
  </si>
  <si>
    <t>https://www.inkl.com/news/what-pensioners-need-to-know-about-income-tax</t>
  </si>
  <si>
    <t>https://www.impressiondigital.com/resources/white-papers/a-guide-to-digital-marketing-for-professional-services/#e-a-t-and-the-ymyl-sector</t>
  </si>
  <si>
    <t>https://www.legalfutures.co.uk/blog/lets-talk-about-money</t>
  </si>
  <si>
    <t>https://www.hulldailymail.co.uk/news/uk-world-news/schools-work-places-close-gets-7321087?service=responsive</t>
  </si>
  <si>
    <t>https://www.lawcareers.net/Explore/Diary/7914-05-07-2022-QA-Recruitment-takeover</t>
  </si>
  <si>
    <t>https://todaysconveyancer.co.uk/net-zero-the-challenges-and-the-opportunities-for-the-property-sector/</t>
  </si>
  <si>
    <t>https://www.accountancydaily.co/katherine-marshall</t>
  </si>
  <si>
    <t>https://cmdrecruitment.com/why-include-a-salary-in-job-ads/</t>
  </si>
  <si>
    <t>https://moderncampground.com/europe/united-kingdom/uk-farmers-turn-to-glamping-amid-inheritance-tax-reform-concerns/</t>
  </si>
  <si>
    <t>https://www.birminghamworld.uk/community/six-times-as-many-birmingham-homes-could-be-burdened-by-inheritance-tax-freeze-5103420</t>
  </si>
  <si>
    <t>https://www.londondaily.news/confusion-reigns-after-conflicting-court-decisions/</t>
  </si>
  <si>
    <t>https://blogs.uwe.ac.uk/sustainable-economies/water-scarcity-and-business-insights-from-the-sustainable-finance-roundtable/</t>
  </si>
  <si>
    <t>https://realbusiness.co.uk/data-protection-legislation-getting-stricter</t>
  </si>
  <si>
    <t>https://hrzone.com/bridging-the-gap-supporting-menopausal-women-in-the-workplace/</t>
  </si>
  <si>
    <t>https://www.propertywire.com/blog/guest-blog-looking-beyond-the-first-homes-initiative/</t>
  </si>
  <si>
    <t>https://www.ceotodaymagazine.com/2019/03/structuring-for-a-sale-in-uncertain-times/</t>
  </si>
  <si>
    <t>https://www.scottishlegal.com/articles/shakespeare-martineau-to-recruit-first-scottish-trainees</t>
  </si>
  <si>
    <t>https://www.fastbase.com/countryindex/United-Kingdom/R/Real-estate-attorney</t>
  </si>
  <si>
    <t>https://myemail.constantcontact.com/Kasaraneni.html?soid=1102665899193&amp;aid=4_LsepsjVX0</t>
  </si>
  <si>
    <t>https://resolution.org.uk/members/sonia-bachu/</t>
  </si>
  <si>
    <t>https://bnbmanagementlondon.co.uk/hmo-investment/</t>
  </si>
  <si>
    <t>https://www.tpos.co.uk/business-search/pure-investor/</t>
  </si>
  <si>
    <t>https://grokipedia.com/page/University_of_Liverpool</t>
  </si>
  <si>
    <t>https://www.allagents.co.uk/indlu.co.uk</t>
  </si>
  <si>
    <t>https://vocal.media/authors/mark-burns</t>
  </si>
  <si>
    <t>https://www.thepinnaclelist.com/articles/uk-property-investment-opportunities-4-predicted-buy-to-let-hotspots-for-2019/</t>
  </si>
  <si>
    <t>https://airbtics.com/airbnb-regulations-in-liverpool/</t>
  </si>
  <si>
    <t>https://aboutmanchester.co.uk/manchesters-popular-universities-contributing-to-good-rental-yields/</t>
  </si>
  <si>
    <t>https://born2invest.com/articles/student-property-buy-let-invest/</t>
  </si>
  <si>
    <t>https://www.thebusinessdesk.com/northwest/your-news/opto-is-the-newest-exciting-development-to-be-launched-in-newcastle</t>
  </si>
  <si>
    <t>https://fortuneherald.com/finance/how-the-uks-btl-property-market-is-changing/</t>
  </si>
  <si>
    <t>https://www.rocketlawyer.com/gb/en/property/property-insights/legal-guide/consumer-law-apply-landlords</t>
  </si>
  <si>
    <t>https://investropa.com/blogs/news/london-property-investment</t>
  </si>
  <si>
    <t>https://www.designingbuildings.co.uk/wiki/User:Portfolio8</t>
  </si>
  <si>
    <t>https://www.padmagazine.co.uk/business-money-legal-jobs/a-guide-to-building-regulations-for-property-investors-and-developers/11489/</t>
  </si>
  <si>
    <t>https://wonkhe.com/blogs/from-liquidity-to-solvency-what-might-a-real-bailout-look-like-2/</t>
  </si>
  <si>
    <t>https://novaramedia.com/2022/10/11/developer-landlords-are-trying-to-take-over-liverpool/</t>
  </si>
  <si>
    <t>https://www.flexhouse.org/5-top-tips-to-make-moving-house-as-stress-free-as-possible/</t>
  </si>
  <si>
    <t>https://www.estateagenttoday.co.uk/breaking-news/2018/10/new-online-agency-says-it-wants-to-expand-across-the-uk</t>
  </si>
  <si>
    <t>https://www.landlordtoday.co.uk/guides-tips/breaking-news/2018/11/liverpool-leading-the-way-for-annual-house-price-growth-and-affordability?source=related_articles</t>
  </si>
  <si>
    <t>https://www.talentedladiesclub.com/articles/getting-into-real-estate-investing-one-step-at-a-time/</t>
  </si>
  <si>
    <t>https://www.newswire.com/news/comprehensive-guide-to-property-investment-what-to-prioritise-when-20066934</t>
  </si>
  <si>
    <t>https://homebusinessmag.com/businesses/real-estate/2020-year-invest-manchester-property-market/</t>
  </si>
  <si>
    <t>https://www.ein.org.uk/blog/property-investment-and-immigration</t>
  </si>
  <si>
    <t>https://www.totalguidetomanchester.com/property/why-manchester-is-becoming-a-hotspot-for-international-property-investors/</t>
  </si>
  <si>
    <t>https://www.professionalsuk.co.uk/article/property/44615/manchesters-top-investment-hotspots-where-to-buy-in-2024</t>
  </si>
  <si>
    <t>https://www.businessfirstonline.co.uk/other-articles/why-use-an-agent-to-let-your-property/</t>
  </si>
  <si>
    <t>https://bmmagazine.co.uk/business/how-younger-property-investors-can-get-into-the-buy-to-let-market/</t>
  </si>
  <si>
    <t>https://myinteriorpalace.com/</t>
  </si>
  <si>
    <t>https://threebestrated.com/flooring-stores-in-raleigh-nc</t>
  </si>
  <si>
    <t>https://chambermaster.wakeforestchamber.org/list/searchalpha/a</t>
  </si>
  <si>
    <t>https://followtheyellowbrickhome.com/how-to-add-historic-charm-character-to-home/</t>
  </si>
  <si>
    <t>Amber</t>
  </si>
  <si>
    <t>amberlyonferguson@gmail.com</t>
  </si>
  <si>
    <t>https://www.grandmashousediy.com/how-to-strike-the-balance-between-a-modern-and-traditional-home/</t>
  </si>
  <si>
    <t>https://myinteriorpalace.com/3-flooring-options-for-home/</t>
  </si>
  <si>
    <t>https://www.terristeffes.com/2020/11/how-to-renovate-house-you-are-renting.html</t>
  </si>
  <si>
    <t>https://homebusinessmag.com/lifestyles/home-improvement/7-things-consider-when-upgrading-flooring/</t>
  </si>
  <si>
    <t>https://www.janubaba.com/c/forum/topic/156217/pg_0/JB_IT_Solutions/Support_at_accountlivecompasswordresetmicrosoft_password_reset</t>
  </si>
  <si>
    <t>https://middleclasshomes.net/5-factors-that-matter-when-choosing-hardwood-flooring/</t>
  </si>
  <si>
    <t>https://www.urbansplatter.com/2024/07/top-benefits-of-installing-hardwood-flooring-in-your-home/</t>
  </si>
  <si>
    <t>https://fly-architecture.net/hardwood-flooring-timeless-beauty/</t>
  </si>
  <si>
    <t>https://www.sweetsofties.com/2024/08/tips-for-upgrading-kids-room.html?m=0</t>
  </si>
  <si>
    <t>https://www.homelovr.com/how-to-improve-comfort-with-interior-home-upgrades/</t>
  </si>
  <si>
    <t>http://apexchamber.chambermaster.com/list/member/a1-floors-llc-7214</t>
  </si>
  <si>
    <t>https://qualitybusinessawards.com/2025/the-best-Flooring-Company-in-Raleigh-North-Carolina/A1-Floors-LLC</t>
  </si>
  <si>
    <t>https://apexchamber.preview.gochambermaster.com/list/member/a1-floors-llc-7214</t>
  </si>
  <si>
    <t>https://www.gilmedia.com/portfolio/e-commerce,websites/alda-windows-and-doors/</t>
  </si>
  <si>
    <t>https://wordable.io/add-fonts-to-google-docs/</t>
  </si>
  <si>
    <t>https://skarinlaw.com/manhattan-beach-child-custody-lawyer/</t>
  </si>
  <si>
    <t>https://lookwhatmomfound.com/favorite-25-blogs</t>
  </si>
  <si>
    <t>https://www.mastermindbehavior.com/post/the-impact-of-positive-reinforcement-on-long-term-behavior-change</t>
  </si>
  <si>
    <t>https://raffinews.com/store/childrens-music/best-of-raffi/</t>
  </si>
  <si>
    <t>https://elnacain.com/blog/know-writing-niche/</t>
  </si>
  <si>
    <t>https://ledesthetics.com/blogs/news/best-fsa-eligible-red-light-therapy-mask</t>
  </si>
  <si>
    <t>https://www.stylecraze.com/articles/best-ppd-free-hair-colors/</t>
  </si>
  <si>
    <t>https://foodmeanderings.com/15-fiddlehead-recipes/</t>
  </si>
  <si>
    <t>https://thesilentdiscocompany.co.uk/blog/top-5-halloween-silent-disco-themes/</t>
  </si>
  <si>
    <t>https://mediate.com/mediator-profile/Jay-R.-Vaughn/?id=39971</t>
  </si>
  <si>
    <t>https://momenvy.co/easy-spring-paper-crafts-kids-adults/</t>
  </si>
  <si>
    <t>momenvylaura@gmail.com</t>
  </si>
  <si>
    <t>https://www.myregistry.com/Info/press.aspx</t>
  </si>
  <si>
    <t>https://www.anniebabymonitor.com/</t>
  </si>
  <si>
    <t>https://www.freshroastedcoffee.com/pages/in-the-news</t>
  </si>
  <si>
    <t>https://www.armsreach.com/pages/in-the-news</t>
  </si>
  <si>
    <t>https://getjubileetv.com/pages/press</t>
  </si>
  <si>
    <t>https://www.news9.com/story/5e8cf9d4fa8ed3749a62c865/the-different-types-of-silver-to-know-about-before-buying-jewelry</t>
  </si>
  <si>
    <t>https://www.storypirates.com/nothing-is-impossible-album</t>
  </si>
  <si>
    <t>https://anyreasonvegans.com/the-best-vegan-green-smoothies/</t>
  </si>
  <si>
    <t>http://urasiru.s54.xrea.com/sb/sb.cgi?eid=68</t>
  </si>
  <si>
    <t>https://www.urbansplatter.com/2026/01/why-early-roof-leak-detection-is-essential-for-protecting-your-home/</t>
  </si>
  <si>
    <t>https://savingtalents.com/fun-and-free-crafts-and-earth-day-activities-for-kids-to-diy-this-spring/</t>
  </si>
  <si>
    <t>savingtalents@gmail.com</t>
  </si>
  <si>
    <t>admin@savingtalents.com</t>
  </si>
  <si>
    <t>https://spicy1.blob.core.windows.net/plumber-melbourne/plumber-melbourne-/plumber-melbourne.html</t>
  </si>
  <si>
    <t>https://twinsmommy.com/make-money-blogging/</t>
  </si>
  <si>
    <t>https://www2.archivists.org/groups/reference-access-and-outreach-section/2023-rao-section-meeting-and-marketplace-of-ideas-registration</t>
  </si>
  <si>
    <t>https://raisingarrows.net/is-there-anything-worse-than-this/</t>
  </si>
  <si>
    <t>https://artsycraftsymom.com/caterpillar-crafts-for-kids/</t>
  </si>
  <si>
    <t>https://lovechicliving.co.uk/easiest-way-add-depth-style-your-garden/</t>
  </si>
  <si>
    <t>https://desertchica.com/kid-friendly-monster-costumes/</t>
  </si>
  <si>
    <t>Karen</t>
  </si>
  <si>
    <t>Karen@DesertChica.com</t>
  </si>
  <si>
    <t>https://s3.us-east-1.wasabisys.com/plumber-melbourne/drain-relining-melbourne/melbourne-drain-relining.html</t>
  </si>
  <si>
    <t>https://sushiandgelato.com/surprising-things-japan/</t>
  </si>
  <si>
    <t>https://3boysandadog.com/super-fun-art-activities-for-boys/</t>
  </si>
  <si>
    <t>https://blog.iglcoatings.com/ceramic-coating-vs-paint-protection-film/</t>
  </si>
  <si>
    <t>https://eclipse23.com/blogs/eclipse-education/astronomy-education-through-telescopes</t>
  </si>
  <si>
    <t>https://destiny-matrix.cc/en/blog/destiny-matrix-reviews/</t>
  </si>
  <si>
    <t>https://knights-plumbing-drain.s3.us.cloud-object-storage.appdomain.cloud/index.html</t>
  </si>
  <si>
    <t>https://www.aroundmyfamilytable.com/veggie-fried-rice/</t>
  </si>
  <si>
    <t>Wendy</t>
  </si>
  <si>
    <t>aroundmyfamilytable@gmail.com</t>
  </si>
  <si>
    <t>https://serpzilla.com/blog/write-for-us-fitness-blog/</t>
  </si>
  <si>
    <t>https://www.offthemrkt.com/lifestyle/vacant-homes-and-security-a-comprehensive-guide-for-property-owners</t>
  </si>
  <si>
    <t>https://pinkzebramoving.com/blog/2024/12/17/ho-ho-home-relocation-tips-for-moving-during-the-holiday-season/</t>
  </si>
  <si>
    <t>zeke@pinkzebramoving.com</t>
  </si>
  <si>
    <t>https://totalstoragesolutions.com/blogs/creating-a-pet-friendly-home-with-self-storage/</t>
  </si>
  <si>
    <t>https://georgiaplastic.com/mommy-makeover-benefits-guide/</t>
  </si>
  <si>
    <t>https://www.melaniejadedesign.com/outdoor-light-arroyo-craftsman/</t>
  </si>
  <si>
    <t>https://farmerswiferambles.com/bacon-recipes/</t>
  </si>
  <si>
    <t>https://lizoncall.com/tortilla-crusted-tilapia-15minutesuppers-2/</t>
  </si>
  <si>
    <t>Liz</t>
  </si>
  <si>
    <t>lizoncallblog@gmail.com</t>
  </si>
  <si>
    <t>https://www.forgetfulmomma.com/2021/04/08/garden-arts-and-crafts-for-kids/</t>
  </si>
  <si>
    <t>https://myinteriorpalace.com/smart-kitchen-appliance-integration-how-expert-repair-services-keep-your-connected-home-running/</t>
  </si>
  <si>
    <t>https://soundsandcolours.com/subjects/travel/the-struggles-and-triumphs-of-being-a-latino-parent-67984/</t>
  </si>
  <si>
    <t>https://www.intelligentliving.co/importance-of-multi-engine-flight-training-in-your-aviation-career/</t>
  </si>
  <si>
    <t>https://stringlabscreative.com/precision-and-performance-why-smart-tools-digital-strategy-and-expertise-matter-more-than-ever/</t>
  </si>
  <si>
    <t>https://osgcontainers.com/en-vn/blog/shipping-container-offices-a-trend-in-flexible-workspaces/</t>
  </si>
  <si>
    <t>https://impakter.com/two-marketing-approaches-21st-century/</t>
  </si>
  <si>
    <t>sales@impakter.com</t>
  </si>
  <si>
    <t>https://s3.us-west-004.backblazeb2.com/plumber-adelaide/plumber-adelaide/plumber-adelaide.html</t>
  </si>
  <si>
    <t>https://acultivatednest.com/dollar-store-diy-spring-wreaths/</t>
  </si>
  <si>
    <t>https://hnmagazine.co.uk/travel/the-value-of-a-cultural-focused-holiday/</t>
  </si>
  <si>
    <t>https://famousparenting.com/6-reasons-why-professional-removal-services-enhance-home-life/</t>
  </si>
  <si>
    <t>https://otasteandseeblog.com/sharing-a-cup-and-a-story-with-my-favorite-veteran/</t>
  </si>
  <si>
    <t>https://theprothots.com/what-weather-actually-does-to-hard-surfaces/</t>
  </si>
  <si>
    <t>https://trans4mind.com/counterpoint/index-health-fitness/tss-menstrual-cup.html</t>
  </si>
  <si>
    <t>https://www.smithfieldtimes.com/sponsored-content/how-long-does-cbd-last-in-dogs-27036</t>
  </si>
  <si>
    <t xml:space="preserve">Steve </t>
  </si>
  <si>
    <t>steve.stewart@smithfieldtimes.com</t>
  </si>
  <si>
    <t>info@smithfieldtimes.com</t>
  </si>
  <si>
    <t>https://www.elegantwedding.ca/toronto-brides-timeline-to-radiant-wedding-day-skin/</t>
  </si>
  <si>
    <t>https://gluesticksgumdrops.com/peppermint-snow-ice-cream/</t>
  </si>
  <si>
    <t>https://www.marcieinmommyland.com/disney-frozen-treats/</t>
  </si>
  <si>
    <t>https://lifestylebyps.com/blogs/the-design-blog/the-truth-behind-the-blue-rooms-studios-are-the-reviews-too-good-to-be-true</t>
  </si>
  <si>
    <t>https://tamaracamerablog.com/brdge-meal-kit/</t>
  </si>
  <si>
    <t>https://intheplayroom.co.uk/creative-ideas-for-giving-your-home-a-summer-makeover/</t>
  </si>
  <si>
    <t>https://10kwraps.com/blog-top-5-kia-soul-accessories-youll-love-2025/</t>
  </si>
  <si>
    <t>https://mixandmatchmama.com/2012/10/slow-cooker-love-over-at-nation-of-moms/</t>
  </si>
  <si>
    <t>https://livingpristine.com/steel-doors-the-secret-to-a-consistently-pristine-home-that-stays-organized/</t>
  </si>
  <si>
    <t>https://nyc3.digitaloceanspaces.com/stub/plumber-adelaide/plumber-adelaide.html</t>
  </si>
  <si>
    <t>https://www.quirkohub.com/appreciation-at-scale-empowering-hybrid-teams-with-tech/</t>
  </si>
  <si>
    <t>https://craftsyhacks.com/seashell-crafts/</t>
  </si>
  <si>
    <t xml:space="preserve">Karolina </t>
  </si>
  <si>
    <t>karo@craftsyhacks.com</t>
  </si>
  <si>
    <t>https://thenakedchemist.com/cutibacterium-acnes-treatment/</t>
  </si>
  <si>
    <t>https://www.rasmussen.edu/degrees/education/blog/preschool-teacher-gift-ideas/</t>
  </si>
  <si>
    <t>https://www.netmums.com/coffeehouse/being-mum-794/tweens-teens-61/233065-can-you-leave-you-child-home-alone-age-12-13-a-4.html</t>
  </si>
  <si>
    <t>https://woombie.com/blog/post/navigating-urgent-roof-repairs-as-a-new-parent</t>
  </si>
  <si>
    <t>https://www.gardenspotvillage.org/blog/indoor-and-snow-day-activities/</t>
  </si>
  <si>
    <t xml:space="preserve">Scott </t>
  </si>
  <si>
    <t>smiller@gardenspotvillage.org</t>
  </si>
  <si>
    <t>info@gardenspotvillage.org</t>
  </si>
  <si>
    <t>https://classic.ptotoday.com/answers/question/15493-entire-board-calapse</t>
  </si>
  <si>
    <t>https://holrmagazine.com/4-leather-briefcase-styles-every-professional-should-consider/</t>
  </si>
  <si>
    <t>https://www.terristeffes.com/2023/08/spiritual-nourishment-blending-faith.html</t>
  </si>
  <si>
    <t>https://www.canyon-news.com/5-worst-mistakes-to-avoid-when-choosing-a-diamond-engagement-ring/</t>
  </si>
  <si>
    <t>https://livingmontessorinow.com/embracing-extended-family/</t>
  </si>
  <si>
    <t>https://www.modpodpodiatry.com.au/interesting-articles/</t>
  </si>
  <si>
    <t>https://ceolawyer.com/blog/premises-liability-for-structural-collapses-key-legal-principles/</t>
  </si>
  <si>
    <t>https://siraplimau.com/berhenti-kerja-untuk-jaga-anak/</t>
  </si>
  <si>
    <t>https://archive.ogunstate.gov.ng/amourmeet-com-the-end-of-your-dating-battles-21/</t>
  </si>
  <si>
    <t>https://smbc-comics.com/smbcforum/posting.php?mode=quote&amp;f=1&amp;p=192165</t>
  </si>
  <si>
    <t>https://impactwealth.org/how-to-recognize-the-early-signs-of-cognitive-decline-in-loved-ones/</t>
  </si>
  <si>
    <t>https://skinnedcartree.com/how-a-mobility-scooter-can-fit-into-your-active-lifestyle.html</t>
  </si>
  <si>
    <t>Corinne</t>
  </si>
  <si>
    <t>corinne@skinnedcartree.com</t>
  </si>
  <si>
    <t>https://fn29f.mssg.me/</t>
  </si>
  <si>
    <t>https://wizikey.com/media/publications/page/7854</t>
  </si>
  <si>
    <t>https://sumo.app/forum/community/windows-activators</t>
  </si>
  <si>
    <t>https://breakingac.com/news/2026/feb/22/can-diamonds-still-be-considered-a-long-term-investment/</t>
  </si>
  <si>
    <t>https://ilonas-five-star-site-e3803d.webflow.io/</t>
  </si>
  <si>
    <t>https://elearning.itkesmusidrap.ac.id/blog/index.php?entryid=4230&amp;nonjscomment=1&amp;comment_itemid=4230&amp;comment_context=75694&amp;comment_component=blog&amp;comment_area=format_blog</t>
  </si>
  <si>
    <t>https://prachinburi.doae.go.th/nadi/wp-content/uploads/wp-statistics/g2ia4l/djrb7tn/viewtopic.php?id=what-are-the-difference-between-sirens-and-mermaids</t>
  </si>
  <si>
    <t>https://www.padborgvest.dk.linux35.curanetserver.dk/?p=191985311</t>
  </si>
  <si>
    <t>https://jameswilson.livepositively.com/what-to-know-before-visiting-saudi-arabia-s-national-parks/</t>
  </si>
  <si>
    <t>https://www.inkl.com/news/8-ways-popular-home-tech-is-making-you-paranoid</t>
  </si>
  <si>
    <t>http://masterclass.infoorel.ru/otzyvy.php?id_public=4</t>
  </si>
  <si>
    <t>https://www.protopage.com/gordanbzar</t>
  </si>
  <si>
    <t>https://www.legalreader.com/finding-right-physiotherapist-for-you/</t>
  </si>
  <si>
    <t>https://steemit.com/travelfeed/@koenau/on-an-aircraft-graveyard-bare-bones-of-planes</t>
  </si>
  <si>
    <t>https://filmdaily.co/news/discover-what-motivates-david-bolno-as-a-successful-music-business-manager/</t>
  </si>
  <si>
    <t>https://metromsk.com/the-prayer-mat-a-sacred-haven-for-peace-and-spiritual-connection/</t>
  </si>
  <si>
    <t>https://www.artificialgrassliquidators.com/choose-synthetic-grass-landscaping/</t>
  </si>
  <si>
    <t>https://www.theinspirationedit.com/help-kids-love-nature-at-the-cabin/</t>
  </si>
  <si>
    <t>https://www.evite.com/c/evite-pass-the-giving</t>
  </si>
  <si>
    <t>https://livechat.theninehertz.com/en/adagio-advent-calendar.html</t>
  </si>
  <si>
    <t>https://www.gomotionapp.com/team/ohncc/page/news</t>
  </si>
  <si>
    <t>https://geeksaroundglobe.com/5-ways-david-bolno-approaches-giving-back/</t>
  </si>
  <si>
    <t>https://manage-uss.printkk.com/blog/articles/what-is-wall-art</t>
  </si>
  <si>
    <t>https://md.darmstadt.ccc.de/s/KaomXVYQn</t>
  </si>
  <si>
    <t>https://freshsends.com/blogs/fresh-sends/uplifting-get-well-flowers</t>
  </si>
  <si>
    <t>https://www.visitwichita.com/articles/post/dashing-through-the-snow-on-the-back-of-a-dino-in-wichita/</t>
  </si>
  <si>
    <t>https://horsebud99.bitbucket.io/how-to-keep-a-binder-organized.html</t>
  </si>
  <si>
    <t>https://hoptraveler.com/index.php/2023/02/16/is-las-vegas-a-good-place-to-go-with-family/</t>
  </si>
  <si>
    <t>https://flyarchitecture.net/2025/02/28/paint-perfection-the-architectural-approach-to-flawless-finishes/</t>
  </si>
  <si>
    <t>https://www.medigy.com/news/blogs/navigating-ontarios-continuous-care-shift-a-comprehensive-guide-to-workplace-mental-health-tech-stacks/</t>
  </si>
  <si>
    <t>https://blockbath71.pythonanywhere.com/how-to-tell-if-a-ring-is-real.html</t>
  </si>
  <si>
    <t>https://radiologykey.com/order-bulk-kratom-capsules-online-from-bkb-usa-reasons-how/</t>
  </si>
  <si>
    <t>https://www.writeraccess.com/blog/product-reviews-mean-increased-business/</t>
  </si>
  <si>
    <t>https://www.thatericalper.com/page/858/?attachment_id=fevvezfzdcbwox&amp;doing_wp_cron=1732046192.9152998924255371093750</t>
  </si>
  <si>
    <t>https://carinsuranseau.web.app/bubblebum-booster.html</t>
  </si>
  <si>
    <t>https://ccr-mag.com/what-services-does-a-commercial-locksmith-provide/</t>
  </si>
  <si>
    <t>https://objectstorage.us-chicago-1.oraclecloud.com/n/axhftmgjrbzl/b/plumbers-stockton/o/emergency-plumber/why-your-home-needs-a-professional-water-line-check-by-stockton.html</t>
  </si>
  <si>
    <t>https://267820.8b.io/page8.html</t>
  </si>
  <si>
    <t>https://featured.com/publication-source/anationofmoms-com</t>
  </si>
  <si>
    <t>https://www.save.ca/community/what-to-do-with-your-2014-calendar/</t>
  </si>
  <si>
    <t>https://www.womensnetwork.com.au/tips-for-creating-a-perfect-home-office-for-mumpreneurs/</t>
  </si>
  <si>
    <t xml:space="preserve">Sarah </t>
  </si>
  <si>
    <t>sarahmichelehutson@gmail.com</t>
  </si>
  <si>
    <t>wna@womensnetwork.com.au</t>
  </si>
  <si>
    <t>https://luxurylifestyle.com/headlines/beyond-beauty-how-learning-facial-techniques-enhances-skin-health-and-wellness.html</t>
  </si>
  <si>
    <t>https://airlinesofficialsite-21.webselfsite.net/blog/category/alaska-airlines</t>
  </si>
  <si>
    <t>https://deanpbhp081.godaddysites.com/f/getting-my-what-is-the-enhanced-relief-program-for-mortgages-to-w</t>
  </si>
  <si>
    <t>https://www.geekextreme.com/how-do-automatic-gate-openers-work/</t>
  </si>
  <si>
    <t>https://eugene-mcintyre8209.firebaseapp.com/cowboy-birthday-party.html</t>
  </si>
  <si>
    <t>https://geekvibesnation.com/smart-spaces-how-ai-driven-design-is-revolutionizing-home-transformations/</t>
  </si>
  <si>
    <t>https://optimisticmommy.com/4-versatile-must-have-accessories-for-women/</t>
  </si>
  <si>
    <t>https://seo.goover.ai/report/202504/go-public-report-ko-39339cf5-bc1f-4741-828e-a7983e9bd18c-0-0.html</t>
  </si>
  <si>
    <t>https://www.microfiberwholesale.com/blogs/blog/top-80-blogs-for-cleaning-inspiration</t>
  </si>
  <si>
    <t>https://eris.yabaleftonline.ng/en/adagio-advent-calendar.html</t>
  </si>
  <si>
    <t>https://storage.googleapis.com/plumber-melbourne/plumber-melbourne-/plumber-melbourne.html</t>
  </si>
  <si>
    <t>https://admin.phacility.com/feed/query/all/?after=7474858788689650444</t>
  </si>
  <si>
    <t>https://www.herotraveler.com/emma-jeff/story/how-to-travel-on-a-budget-2026-smart-ways-to-save-money-in-germany</t>
  </si>
  <si>
    <t>http://fbsp.ftu.edu.vn/?f=207055815</t>
  </si>
  <si>
    <t>https://fpgeeks.com/forum/showthread.php/46912-Windows-10-activator?p=446806</t>
  </si>
  <si>
    <t>https://www.instapaper.com/p/5922266/14</t>
  </si>
  <si>
    <t>https://bernadettesutherlandvxp.mystrikingly.com/blog/benefits-of-investing-in-quality-kid-s-garments</t>
  </si>
  <si>
    <t>https://forum.programosy.pl/finepixviewer-vt98195s160.html-st=0?sk=t&amp;sd=a&amp;view=print</t>
  </si>
  <si>
    <t>https://www.naturehike.com/fr-fr/blogs/blog/naturehike-mongar-tent-review</t>
  </si>
  <si>
    <t>https://www.prettyopinionated.com/2013/09/fall-harvest-recipes/</t>
  </si>
  <si>
    <t>http://www2.saganet.ne.jp/cgi-bin/hatto/board/wwwboard.pl/www.pelsh.forum24.ru/www.butternut-yarrow-673.notion.site/2065ec070ffb80fc82b9cbf649b5f200/k.krakenwork.cc/s%3A%2F%25Evolv.E.L.U.pc@Haedongacademy.org/www.soglasovanie-pereplanirovki-kvartiry11.ru/www.rudik-diplom9.ru/www.gidroizolyaciya-cena-8.ru/wwwboard.pl</t>
  </si>
  <si>
    <t>https://arenabg.com/en/forums/heimlich-perfectly-woke-served-arrive--t477223.html?page=391</t>
  </si>
  <si>
    <t>https://4.bing.com/images/search?q=Stamp+Seal+Icon&amp;FORM=IRMHRS</t>
  </si>
  <si>
    <t>https://espaciodca.fedace.org/comment/120660</t>
  </si>
  <si>
    <t>https://aqglassshowerdoorsphoenix-9a71f6.gitlab.io/about</t>
  </si>
  <si>
    <t>https://myinteriorpalace.com/shower-door-trends-in-phoenix-what-homeowners-are-choosing-in-2025/</t>
  </si>
  <si>
    <t>https://alittledelightful.com/how-to-measure-your-shower-space-for-perfect-door-installation/</t>
  </si>
  <si>
    <t>https://psbios.com/how-to-prepare-for-shower-door-installation-in-phoenix-with-aq-glass/</t>
  </si>
  <si>
    <t>https://opplehouse.com/why-custom-shower-doors-are-a-perfect-fit-for-your-phoenix-bathroom/</t>
  </si>
  <si>
    <t>https://www.laterza.it/autore/?idautore=4512</t>
  </si>
  <si>
    <t>https://azbigmedia.com/lifestyle/home-and-design/why-custom-glass-shower-doors-are-they-the-perfect-upgrade-for-your-home/</t>
  </si>
  <si>
    <t>https://discuss.ilw.com/forum/immigration-discussion/479687-glass-structures</t>
  </si>
  <si>
    <t>https://leeduser.buildinggreen.com/forum/water-proof-membrane-low-emitting-materials</t>
  </si>
  <si>
    <t>https://www.merchantcircle.com/az-phoenix/home-and-garden/bed-and-bath</t>
  </si>
  <si>
    <t>https://www.provenexpert.com/en-us/aq-glass-arizona-shower-doors/</t>
  </si>
  <si>
    <t>https://www.urbansplatter.com/2025/03/benefits-of-installing-shower-doors-vs-shower-curtains/</t>
  </si>
  <si>
    <t>https://resident.com/resource-guide/2025/03/18/frameless-shower-doors-and-their-impact-on-home-value</t>
  </si>
  <si>
    <t>https://aqglassshowerdoorsphoenix.pages.dev/locations/shower-doors-mccormick-ranch</t>
  </si>
  <si>
    <t>https://www.mbav.com.au/</t>
  </si>
  <si>
    <t>https://www.threebirdsrenovations.com/partners</t>
  </si>
  <si>
    <t>https://www.e-architect.com/articles/top-5-flooring-trends-for-2026</t>
  </si>
  <si>
    <t>https://opplehouse.com/best-kitchen-flooring-options/</t>
  </si>
  <si>
    <t>https://ahouseinthehills.com/how-to-achieve-a-hampton-style-home-with-hybrid-flooring/</t>
  </si>
  <si>
    <t>https://www.purelocal.com.au/embelton-flooring-melbourne-showroom-coburg</t>
  </si>
  <si>
    <t>https://myinteriorpalace.com/engineered-timber-vs-solid-timber-which-flooring-option-wins/</t>
  </si>
  <si>
    <t>https://www.criticalhit.net/technology/new-technology-changing-the-floor-covering-industry/</t>
  </si>
  <si>
    <t>https://pasoroblesdailynews.com/2022-laminate-flooring-trends-you-wont-want-to-miss/147755/</t>
  </si>
  <si>
    <t>https://www.accio.com/business/latest_wooden_floor_trends</t>
  </si>
  <si>
    <t>https://www.homeone.com.au/vic/bentleigh_east/flooring</t>
  </si>
  <si>
    <t>https://grokipedia.com/page/Floating_floor</t>
  </si>
  <si>
    <t>https://ohhappyhome.com.au/blogs/blog/natural-living-room-rugs</t>
  </si>
  <si>
    <t>https://www.sciencetimes.com/articles/44489/20230623/the-future-of-flooring-exploring-the-impact-of-emerging-technologies.htm</t>
  </si>
  <si>
    <t>https://www.bloglovin.com/blogs/a-house-in-hills-12110977/how-to-achieve-a-hampton-style-home-with-8735081564</t>
  </si>
  <si>
    <t>https://state-journal.com/2022/07/29/2022-flooring-trends-that-will-make-your-space-look-amazing/</t>
  </si>
  <si>
    <t>https://www.amazingarchitecture.com/index.php/articles/hybrid-vs-engineered-timber-flooring-which-is-the-right-choice</t>
  </si>
  <si>
    <t>https://www.lorddecor.com/blog/effortless-elegance-how-herringbone-floors-transform-simple-spaces</t>
  </si>
  <si>
    <t>https://www.servicetitan.com/blog/roofing-websites</t>
  </si>
  <si>
    <t>https://discovermass.com/church/holy-family-ashland-ky/</t>
  </si>
  <si>
    <t>https://trentonroofing.com/blog/hip-roof-vs-gable-roof-which-one-should-you-choose/</t>
  </si>
  <si>
    <t>https://comradeweb.com/blog/top-best-roofing-websites/</t>
  </si>
  <si>
    <t>https://muffingroup.com/blog/roofing-websites/</t>
  </si>
  <si>
    <t>https://ahouseinthehills.com/shielding-charm-for-your-abode-5-solid-grounds-to-embrace-vinyl-siding/</t>
  </si>
  <si>
    <t>https://amazingarchitecture.com/articles/planning-for-a-new-roof-how-to-budget-for-a-roof-replacement</t>
  </si>
  <si>
    <t>https://www.freshdesignblog.com/2023/04/how-to-make-your-roof-last-longer-roof-maintenance-tips/</t>
  </si>
  <si>
    <t>https://thearchitectsdiary.com/heres-how-to-prepare-for-a-roof-repair-or-installation/</t>
  </si>
  <si>
    <t>https://myinteriorpalace.com/average-cost-of-new-siding-installation-explained/</t>
  </si>
  <si>
    <t>https://www.terristeffes.com/2023/02/roof-repair-vs-roof-replacement-when-to.html</t>
  </si>
  <si>
    <t>https://www.thepinnaclelist.com/articles/top-roof-maintenance-tips-in-2023/</t>
  </si>
  <si>
    <t>https://www.yourgreenpal.com/blog/the-importance-of-professional-roof-snow-removal-infographic</t>
  </si>
  <si>
    <t>https://www.kevinszabojrplumbing.net/blog/2019/8/8/eco-friendly-roofing-options</t>
  </si>
  <si>
    <t>https://www.realtytimes.com/consumeradvice/ask-the-expert/item/1046594-9-signs-it-s-time-for-you-to-get-a-new-roof</t>
  </si>
  <si>
    <t>https://b2b.getemail.io/fahey-roofing-contracting-company-15309944.html</t>
  </si>
  <si>
    <t>https://famousparenting.com/heres-a-breakdown-of-how-long-siding-materials-last/</t>
  </si>
  <si>
    <t>https://directory.coldlytics.com/companies/faheyroofingcontractors</t>
  </si>
  <si>
    <t>https://www.flexhouse.org/diy-vs-professional-which-is-better-for-roof-repairs/</t>
  </si>
  <si>
    <t>https://www.offthemrkt.com/lifestyle/whats-the-best-material-for-a-garage-roof-roof-materials-explained</t>
  </si>
  <si>
    <t>https://sunnysweetdays.com/diy-vs-professional-vinyl-siding-installation-which-is-best/</t>
  </si>
  <si>
    <t>https://www.urbansplatter.com/2022/08/8-signs-you-need-to-replace-your-roof/</t>
  </si>
  <si>
    <t>https://gluesticksgumdrops.com/5-types-of-siding-material-for-your-next-home-upgrade/</t>
  </si>
  <si>
    <t>https://www.renotalk.com/article/10-exterior-home-repairs-increase-home-value</t>
  </si>
  <si>
    <t>https://www.fastbase.com/countryindex/United-States/S/Sheet-metal-contractor</t>
  </si>
  <si>
    <t>https://www.appclonescript.com/best-time-to-inspect-your-roof/</t>
  </si>
  <si>
    <t>https://www.aftconstruction.com/blog/advantages-of-silicone-roofing</t>
  </si>
  <si>
    <t>https://ghthanks.com/revamping-your-outdoors-without-breaking-the-bank-smart-tips-to-elevate-and-maintain-your-homes-curb-appeal/</t>
  </si>
  <si>
    <t>https://fluxmagazine.co.uk/elevate-your-outdoors-transforming-your-yard-with-a-beautifully-crafted-deck/</t>
  </si>
  <si>
    <t>https://dsnews.co.uk/transform-your-backyard-into-a-serene-retreat-creative-ideas-for-an-enchanting-outdoor-space/</t>
  </si>
  <si>
    <t>https://timelapsemagazine.com/designing-an-outdoor-deck-that-elevates-your-yard-into-a-vacation-style-space/</t>
  </si>
  <si>
    <t>https://homeworlddesign.com/8-outdoor-deck-styles-that-elevate-your-homes-aesthetic/</t>
  </si>
  <si>
    <t>https://myinteriorpalace.com/why-adding-a-deck-is-a-smart-choice-boost-your-outdoor-comfort-and-home-worth/</t>
  </si>
  <si>
    <t>https://tamaracamerablog.com/top-trends-in-outdoor-entertainment-areas/</t>
  </si>
  <si>
    <t>https://mossandfog.com/how-to-create-a-luxurious-outdoor-deck-for-entertaining/</t>
  </si>
  <si>
    <t>https://designrelated.com/refresh-your-yard-and-boost-your-homes-street-style/</t>
  </si>
  <si>
    <t>https://greenecodream.com/how-to-maintain-a-gorgeous-garden-and-patio-through-every-season-tips-for-year-round-appeal/</t>
  </si>
  <si>
    <t>https://moneyinc.com/outdoor-elegance-on-a-budget-affordable-ways-to-enhance-and-preserve-your-homes-exterior-charm/</t>
  </si>
  <si>
    <t>https://nyweeklyinfo.co.uk/blog/revamp-your-backyard/</t>
  </si>
  <si>
    <t>https://www.we-heart.com/2024/07/20/achieve-beautiful-functional-backyard-space/</t>
  </si>
  <si>
    <t>https://thedesigninspiration.com/news/home/modern-outdoor-entertaining-stylish-and-functional-ideas/</t>
  </si>
  <si>
    <t>https://www.omnihomeideas.com/patio-lawn-garden/how-to-design-a-backyard-that-fits-your-lifestyle/</t>
  </si>
  <si>
    <t>https://businessflare.co.uk/revamp-your-backyard-the-impact-of-a-stunning-deck-on-your-homes-aesthetic/</t>
  </si>
  <si>
    <t>https://opplehouse.com/design-a-dreamy-outdoor-escape-inspiring-tips-to-elevate-your-backyard-experience/</t>
  </si>
  <si>
    <t>https://puremagazine.co.uk/smart-strategies-to-improve-and-maintain-your-curbside-look/</t>
  </si>
  <si>
    <t>https://www.mystayathomeadventures.com/choosing-the-right-decking/</t>
  </si>
  <si>
    <t>https://www.smartbusinessdaily.com/best-outdoor-backyard-ideas</t>
  </si>
  <si>
    <t>https://osvira.com/an-expert-game-plan-for-designing-a-backyard-deck-that-feels-like-a-private-escape/</t>
  </si>
  <si>
    <t>https://blogbuz.co.uk/the-secret-to-a-stunning-outdoor-space-how-to-keep-your-garden-and-patio-beautiful-year-round/</t>
  </si>
  <si>
    <t>https://azbigmedia.com/lifestyle/home-and-design/4-creative-ways-to-turn-your-backyard-into-a-social-hub-everyone-will-love/</t>
  </si>
  <si>
    <t>https://www.notsalmon.com/2025/01/16/what-you-need-to-know-about-planning-the-perfect-outdoor-living-space/</t>
  </si>
  <si>
    <t>https://literallydarling.com/blog/2024/10/30/5-common-deck-building-mistakes-and-how-to-avoid-them/</t>
  </si>
  <si>
    <t>https://www.patioandpizza.com/blogs/resources/7-ideas-to-build-a-backyard-perfect-for-cooking-and-relaxing</t>
  </si>
  <si>
    <t>https://www.thepinnaclelist.com/articles/the-case-for-expert-help-creating-a-backyard-deck-that-truly-stands-out/</t>
  </si>
  <si>
    <t>https://decoratoradvice.com/6-transformative-design-ideas-for-your-outdoor-living-space/</t>
  </si>
  <si>
    <t>https://europeanbusinessmagazine.com/business/turn-your-backyard-into-a-serene-oasis-inspiring-ideas-for-a-captivating-outdoor-escape/</t>
  </si>
  <si>
    <t>https://magazinedreams.org/revitalize-your-yard-professional-insights-for-an-attractive-and-efficient-outdoor-area/</t>
  </si>
  <si>
    <t>https://www.sheenmagazine.com/5-stylish-additions-to-make-the-most-of-your-backyard/</t>
  </si>
  <si>
    <t>https://s3da-design.com/guest-contribution/top-5-reasons-to-upgrade-your-backyard-with-a-modern-deck/</t>
  </si>
  <si>
    <t>https://payspacemagazine.com/articles/6-ways-to-make-your-outdoor-space-more-functional/</t>
  </si>
  <si>
    <t>https://www.soup.io/why-a-deck-is-the-ultimate-home-upgrade-boost-comfort-style-and-property-appeal-outdoors</t>
  </si>
  <si>
    <t>https://www.tinyhouse.com/post/simple-tricks-to-keep-your-home-looking-its-best</t>
  </si>
  <si>
    <t>https://urbanmatter.com/adding-a-fireplace-to-your-backyard/</t>
  </si>
  <si>
    <t>https://metapress.com/how-adding-a-stylish-deck-can-significantly-boost-your-homes-worth/</t>
  </si>
  <si>
    <t>https://kahawatungu.com/how-to-transform-your-backyard-into-a-stunning-and-functional-outdoor-oasis/</t>
  </si>
  <si>
    <t>https://techepeak.com/things-to-keep-in-mind-when-planning-a-custom-outdoor-deck-for-your-property/</t>
  </si>
  <si>
    <t>https://bnonews.com/index.php/2025/03/how-outdoor-decks-can-completely-transform-your-home-benefits-design-ideas/</t>
  </si>
  <si>
    <t>https://cloudmagazine.co.uk/transform-your-yard-into-a-welcoming-retreat-tips-for-boosting-your-homes-first-impressions/</t>
  </si>
  <si>
    <t>https://www.freshdesignblog.com/2025/06/smart-curb-appeal-budget-friendly-upgrades-that-make-a-lasting-first-impression/</t>
  </si>
  <si>
    <t>https://radical.fm/elevate-home-curb-appeal/</t>
  </si>
  <si>
    <t>https://exeleonmagazine.com/the-future-of-backyard-design-5-innovative-trends/</t>
  </si>
  <si>
    <t>https://gharpedia.com/blog/year-round-outdoor-space-maintenance-tips/</t>
  </si>
  <si>
    <t>https://www.build-review.com/creative-ways-to-transform-your-backyard-into-a-breathtaking-outdoor-escape/</t>
  </si>
  <si>
    <t>https://www.sweetsofties.com/2024/06/the-future-of-outdoor-living.html?m=0</t>
  </si>
  <si>
    <t>https://www.miamilivingmagazine.com/post/top-5-styles-for-outdoor-living-areas-in-modern-homes</t>
  </si>
  <si>
    <t>https://geeksaroundglobe.com/top-10-outdoor-living-trends-for-2025/</t>
  </si>
  <si>
    <t>https://www.bullfrogspas.com/stores/new-york/keystone-custom-decks-ny-keuka-park/</t>
  </si>
  <si>
    <t>https://ovessia.com/enhance-your-outdoors-the-role-of-an-attractive-deck-in-boosting-your-homes-look/</t>
  </si>
  <si>
    <t>https://thegameland.net/registry/</t>
  </si>
  <si>
    <t>https://leosdevelopments.com/</t>
  </si>
  <si>
    <t>https://fintechzoom.com/lifestyle/fintechzoom-com-lifestyle/</t>
  </si>
  <si>
    <t>https://www.corum-watches.com/collections/heritage/coin/c082_03167-automatic-yellow-gold</t>
  </si>
  <si>
    <t>https://wanderlustwine.co.uk/a-beginners-guide-to-coravin/</t>
  </si>
  <si>
    <t>https://www.peanutbutterrunner.com/the-sanctuary-on-kiawah-island/</t>
  </si>
  <si>
    <t>https://fip.unj.ac.id/pls/stadium-general-pendidikan-masyarakat-pembelajar-sepanjang-hayat-sebagai-pilar-pemberdayaan-ekologi/</t>
  </si>
  <si>
    <t>https://grokipedia.com/page/Pearl_Thompson</t>
  </si>
  <si>
    <t>https://isleblue.co/magazine/lake-como-luxury-villas-demand/</t>
  </si>
  <si>
    <t>https://www.thealtairhotel.com/press/</t>
  </si>
  <si>
    <t>https://www.islandroutes.com/press-media</t>
  </si>
  <si>
    <t>https://www.pinterest.com/luxlifeinc/</t>
  </si>
  <si>
    <t>https://iyc.com/press/</t>
  </si>
  <si>
    <t>https://kauaiseatours.com/press/</t>
  </si>
  <si>
    <t>https://www.opalsdownunder.com.au/links-resources/</t>
  </si>
  <si>
    <t>https://www.thedesignagency.ca/press/</t>
  </si>
  <si>
    <t>https://ashadrynoodle.com/pages/press-page-pt-2</t>
  </si>
  <si>
    <t>https://expertwinestorage.co.uk/pages/about-us</t>
  </si>
  <si>
    <t>https://www.realcozy.co/pages/press</t>
  </si>
  <si>
    <t>https://www.santamargheritawines.com/newsandevents</t>
  </si>
  <si>
    <t>https://theestateagency.com/resources-partners/</t>
  </si>
  <si>
    <t>https://livepositively.com/fiera-lip-plumper-review-what-to-know-before-trying-it/</t>
  </si>
  <si>
    <t>https://www.roosevelt.edu/media-mentions</t>
  </si>
  <si>
    <t>https://www.cadillachotelmiamibeach.com/press</t>
  </si>
  <si>
    <t>https://taifatips.com/2025/11/sports-betting-casino-insights/</t>
  </si>
  <si>
    <t>https://www.setouchi.travel/de/media/</t>
  </si>
  <si>
    <t>https://www.mydearquotes.com/gambling-affiliate-programs-wildsino-portugal/</t>
  </si>
  <si>
    <t>https://www.iredellfreenews.com/lifestyles/2026/11-cultural-insights-you-must-know-before-pursuing-ukrainian-women-for-marriage/</t>
  </si>
  <si>
    <t>https://www.netnewsledger.com/2025/12/22/three-levels-of-government-join-with-terry-hui-and-concord-pacific-developments-to-advance-major-affordable-housing-in-vancouvers-false-creek/</t>
  </si>
  <si>
    <t>https://1883magazine.com/bwj-travel-delivers-unforgettable-travel-experiences-through-strategic-leadership-and-workplace-empowerment/</t>
  </si>
  <si>
    <t>https://unboxme.com/blogs/unboxme-blog/fathers-day-gift-baskets-with-personal-touch</t>
  </si>
  <si>
    <t>https://alittledelightful.com/breaking-it-down-the-qualities-that-make-a-violin-truly-great/</t>
  </si>
  <si>
    <t>https://moneyinc.com/artya-wave-crystal-sapphire-case-watch/</t>
  </si>
  <si>
    <t>https://designmode24.com/architectural-minimalism-with-maximum-output-flush-mount-solar-arrays-for-flat-nyc-roofs/</t>
  </si>
  <si>
    <t>https://luxurylaunches.com/jewelry/worlds_most_expensive_manicure_costs_51000.php</t>
  </si>
  <si>
    <t>https://www.e-architect.com/articles/laminate-flooring-gives-hardwood-look</t>
  </si>
  <si>
    <t>https://valiantceo.com/jayson-robert-pocius/</t>
  </si>
  <si>
    <t>https://fitinline.com/article/read/top-fashion-and-textile-courses-for-a-comprehensive-education-in-the-industry/</t>
  </si>
  <si>
    <t>https://myinteriorpalace.com/luxury-lofts-invisible-solar-integrating-facade-mounted-panels-into-nyc-high-rise-interiors/</t>
  </si>
  <si>
    <t>https://www.talentedladiesclub.com/articles/how-to-personalise-your-wedding-gifts-for-the-bride-and-groom/</t>
  </si>
  <si>
    <t>https://lamonts.com.au/there-is-a-new-crisis-in-modern-society-that-has-endured-from-skepticism-about-the-legitimacy-and-importance-of-the-discipline-of-philosophy-itself-when/</t>
  </si>
  <si>
    <t>https://www.accio.com/business/trending-luxury-smart-bed-2025</t>
  </si>
  <si>
    <t>https://blog.myjordanjourney.com/jordan-in-the-press/tag/luxury</t>
  </si>
  <si>
    <t>https://dsfantiquejewelry.com/blogs/time-blog/fine-jewelry-three-reasons-buying-vintage-is-the-ultimate-commitment-to-sustainability</t>
  </si>
  <si>
    <t>https://capitalexotic.com/the-best-luxury-lifestyle-capital-exotics/</t>
  </si>
  <si>
    <t>https://www.jalopnik.com/why-is-a-cockpit-called-such-a-funny-word-1846223474/</t>
  </si>
  <si>
    <t>https://livingpristine.com/pristine-home-renovations-keeping-your-project-clean-and-organized/</t>
  </si>
  <si>
    <t>https://dgmnews.com/posts/why-choose-enclosed-auto-transport/</t>
  </si>
  <si>
    <t>https://asi-globalpartitions.com/powder-coated-toilet-partitions/</t>
  </si>
  <si>
    <t>https://havokjournal.com/culture/family/life-family/covid-19-and-the-luxury-world-a-minimalists-point-of-view/</t>
  </si>
  <si>
    <t>https://www.outerreefyachts.com/news/outer-reef-780-adventure-powers-ahead/5955</t>
  </si>
  <si>
    <t>http://fbsp.ftu.edu.vn/?f=25866615</t>
  </si>
  <si>
    <t>https://www.thepinnaclelist.com/article/the-fenestration-statement-when-casement-windows-define-architectural-pedigree/</t>
  </si>
  <si>
    <t>http://goundash.free.fr/viewtopic.php?f=13&amp;t=1547</t>
  </si>
  <si>
    <t>https://www.blogger.com/profile/12946606412707767988</t>
  </si>
  <si>
    <t>https://joycerey.com/blog/experience-luxury-with-yacht-rentals-in-los-angeles/</t>
  </si>
  <si>
    <t>https://forum.gamequitters.com/?f=258336123</t>
  </si>
  <si>
    <t>https://4.bing.com/images/search?q=Squale+Top+Grade+Movement&amp;FORM=RESTAB</t>
  </si>
  <si>
    <t>https://www.instapaper.com/p/11555378/9</t>
  </si>
  <si>
    <t>https://linkplacement.com/sheet/</t>
  </si>
  <si>
    <t>http://www.linda-goodman.com/ubb/Forum1/HTML/012346.html</t>
  </si>
  <si>
    <t>https://gisuser.com/2025/04/balance-not-dependence-how-to-integrate-kratom-into-a-healthy-daily-routine/</t>
  </si>
  <si>
    <t>https://prophecynewswatch.com/article.cfm?recent_news_id=8117</t>
  </si>
  <si>
    <t>https://www.saddlebrook.com/press/luxury-lifestyle-saddlebrook/</t>
  </si>
  <si>
    <t>https://www.lotterypost.com/thread/128453</t>
  </si>
  <si>
    <t>https://www.elevatedmagazines.com/single-post/the-smart-bettor-s-playbook-how-to-make-calculated-wagers-that-actually-make-sense</t>
  </si>
  <si>
    <t>https://zeoworks.com/main/user-482493.html</t>
  </si>
  <si>
    <t>https://hauteliving.com/2012/12/lladro-opens-new-boutique-on-madison-avenue/328276/</t>
  </si>
  <si>
    <t>https://wnynewsnow.com/2025/04/30/morning-calm-to-evening-clarity-creating-a-kratom-wellness-routine-that-supports-your-day/</t>
  </si>
  <si>
    <t>https://online-casino2019.us.org/2025/11/10/the-impact-of-easy-online-casino-access-advantages-and-drawbacks/</t>
  </si>
  <si>
    <t>https://namayush.gov.in/content/whats-new-announcements?page=18135</t>
  </si>
  <si>
    <t>https://www.iuemag.com/j21/di/11-timeless-gift-ideas-for-your-other-half</t>
  </si>
  <si>
    <t>https://olive-wolverine-471793.hostingersite.com/category/gloucester-city/page/2/</t>
  </si>
  <si>
    <t>https://gracejabbaribio.com/2026/01/17/where-do-jewelers-get-their-diamonds-and-how-does-ring-metal-affect-quality/</t>
  </si>
  <si>
    <t>https://www.thesportsbank.net/the-bank/why-nashville-is-leading-the-pickleball-revolution/</t>
  </si>
  <si>
    <t>https://www.bullz-eye.com/2008/11/28/2008-holiday-gift-guide-luxury/</t>
  </si>
  <si>
    <t>https://amvisualworks.com.dream.website/?a=96938117</t>
  </si>
  <si>
    <t>https://harnessmagazine.com/the-business-of-mental-health-care-the-expanding-role-of-pmhnps/</t>
  </si>
  <si>
    <t>https://www.terristeffes.com/2024/08/5-tips-for-building-commercial-property.html</t>
  </si>
  <si>
    <t>https://mail.kroxam.com/?m=358538215</t>
  </si>
  <si>
    <t>https://gf5obk.zombeek.cz/</t>
  </si>
  <si>
    <t>https://nextluxury.com/food-travel/kratom-gummies-vs-other-edibles/</t>
  </si>
  <si>
    <t>https://www.offthemrkt.com/lifestyle/solar-energy-and-ev-charging-why-contractors-are-pairing-panels-with-home-charging-stations</t>
  </si>
  <si>
    <t>https://ragezone.com/2025/05/13/from-gut-feelings-to-smart-strategy-how-to-bet-intelligently-in-any-casino-game/</t>
  </si>
  <si>
    <t>https://resident.com/resource-guide/2025/02/26/solar-precision-the-sophisticated-art-of-maximizing-energy-elegance</t>
  </si>
  <si>
    <t>https://www.hoylesfitness.com/general/everything-you-need-to-know-about-vaping/</t>
  </si>
  <si>
    <t>https://www.finehomesandliving.com/when-the-symphony-stops-the-hidden-cost-of-range-downtime-in-luxury-homes/article_e52094a8-daf8-4a23-af6c-9485b268cce6.html</t>
  </si>
  <si>
    <t>https://telegra.ph/Esta-Usa-Check-Status-05-16-6</t>
  </si>
  <si>
    <t>https://d1cs39pa9zf28u.cloudfront.net/script/imageshop.php?f=https://telegra.ph/Esta-Visa-To-Usa-From-Uk-05-16-6</t>
  </si>
  <si>
    <t>https://eselundlandspielhof.de/redirect.php?url=https://telegra.ph/Official-Esta-Application-05-16-2</t>
  </si>
  <si>
    <t>https://rapidapi.com/cdn/images?url=https://telegra.ph/Esta-For-Usa-05-16-9</t>
  </si>
  <si>
    <t>https://sipmagazine.com/hot-spring-sanctuary-lithia-springs-resort/</t>
  </si>
  <si>
    <t>https://wanderlog.com/list/geoCategory/109032/best-baths-in-denver</t>
  </si>
  <si>
    <t>https://myinteriorpalace.com/pros-and-cons-of-saltwater-hot-tubs/</t>
  </si>
  <si>
    <t>https://safespacealliance.com/listing/mile-high-hot-tubs-2/</t>
  </si>
  <si>
    <t>https://optimisticmommy.com/hot-tubbing-the-new-way-to-relax/</t>
  </si>
  <si>
    <t>https://www.longmontleader.com/directory/hot-tubs-and-spas/mile-high-hot-tubs-88675</t>
  </si>
  <si>
    <t>https://hogfurniture.co/blogs/latest-blog/luxury-meets-security-high-security-garage-doors-for-premium-residential-properties</t>
  </si>
  <si>
    <t>https://shineyourlightblog.com/garage-door-safety-and-regular-inspections/</t>
  </si>
  <si>
    <t>https://alittledelightful.com/how-to-find-the-best-commercial-overhead-doors-or-garage-door-installation-service/</t>
  </si>
  <si>
    <t>https://www.expertise.com/home-improvement/garage-doors/illinois/evanston</t>
  </si>
  <si>
    <t>https://opplehouse.com/top-benefits-of-professional-garage-door-service-or-commercial-rolling-doors-installation/</t>
  </si>
  <si>
    <t>https://resident.com/resource-guide/2025/11/15/expert-tips-from-a-garage-door-company-on-how-to-install-a-new-garage-door-safely</t>
  </si>
  <si>
    <t>https://raynordoorauthority.com/does-an-overhead-fire-door-need-to-be-tested-annually/</t>
  </si>
  <si>
    <t>https://myinteriorpalace.com/how-modern-garage-doors-blend-style-safety-and-convenience/</t>
  </si>
  <si>
    <t>https://millennialmagazine.com/2019/09/05/road-ready-5-easy-ways-to-keep-your-car-in-top-condition/</t>
  </si>
  <si>
    <t>https://www.linearmotiontips.com/a-users-guide-to-sensors-and-switches/</t>
  </si>
  <si>
    <t>https://reviews.birdeye.com/raynor-door-company-356062448</t>
  </si>
  <si>
    <t>https://blog.housesitmatch.com/blog/garage-door-services-homeowner-guide/</t>
  </si>
  <si>
    <t>https://www.rismedia.com/2019/09/20/do-more-than-store-4-ways-to-use-your-empty-garage/</t>
  </si>
  <si>
    <t>https://directory.yext.com/en/raynor-door-company-2427865896</t>
  </si>
  <si>
    <t>https://michiganmamanews.com/2024/04/02/keeping-your-home-safe-5-tips-to-prevent-intruders/</t>
  </si>
  <si>
    <t>https://enthrallinggumption.com/glenview-garage-door-specialists-a-complete-guide-to-expert-garage-door-services/</t>
  </si>
  <si>
    <t>https://network.procore.com/p/raynor-door-company-northfield</t>
  </si>
  <si>
    <t>https://musicthinktank.squarespace.com/blog/music-venue-maintenance-4-areas-for-owners-to-focus-on.html</t>
  </si>
  <si>
    <t>https://www.cience.com/company/raynor-door-company/-703785573082151949</t>
  </si>
  <si>
    <t>https://www.gayrealestate.com/blog/2018/07/boost-your-homes-curb-appeal-this-summer-with-simple-upgrades/</t>
  </si>
  <si>
    <t>http://wilmettechamber.chambermaster.com/list/member/raynor-door-company-536</t>
  </si>
  <si>
    <t>https://appledoor.com/blog/garage-door-replacement/</t>
  </si>
  <si>
    <t>https://business.inyoregister.com/inyoregister/article/getfeatured-2025-10-10-raynor-door-company-unveils-redesigned-website-to-deliver-an-enhanced-digital-experience</t>
  </si>
  <si>
    <t>https://business.hwcoc.org/list/member/easy-garage-door-repair-16222</t>
  </si>
  <si>
    <t>https://pr.washingtoncitypaper.com/article/Easy-Garage-Door-Repair-Strengthens-247-Service-and-Community-Trust-in-Houston-TX?storyId=69178e35ee1c6c00023490a8</t>
  </si>
  <si>
    <t>https://www.jackcooper.com/practical-tips-for-improving-the-performance-of-your-garage-door-opener/</t>
  </si>
  <si>
    <t>https://the-gingerbread-house.co.uk/7-common-garage-door-spring-problems-and-how-to-fix-them/</t>
  </si>
  <si>
    <t>https://www.nikkisplate.com/garage-door-repair-companies-in-houston/</t>
  </si>
  <si>
    <t>https://whipperberry.com/category/home/</t>
  </si>
  <si>
    <t>https://blog.bay-bee.co.uk/5-common-garage-door-problems-houston-homeowners-face/</t>
  </si>
  <si>
    <t>https://www.gigwise.com/how-often-should-you-replace-garage-door-springs-in-houston-for-smooth-operation/</t>
  </si>
  <si>
    <t>https://wemadethislife.com/top-6-tips-for-keeping-your-garage-door-running-smoothly/</t>
  </si>
  <si>
    <t>https://www.quirkohub.com/right-commercial-garage-door-repair-service/</t>
  </si>
  <si>
    <t>https://interworldradio.net/5-warning-signs-your-garage-door-needs-an-inspection/</t>
  </si>
  <si>
    <t>https://nerdymamma.com/garage-door-opener-lifespan/</t>
  </si>
  <si>
    <t>https://pushyourdesign.com/how-should-you-prepare-your-garage-door-for-houstons-hurricane-season-essential-tips-for-storm-protection/</t>
  </si>
  <si>
    <t>https://snoozye.com/top-rated-3-garage-door-repair-experts-in-houston-for-fast-fixes/</t>
  </si>
  <si>
    <t>https://thestay-at-home-momsurvivalguide.com/5-steps-to-take-if-garage-door-is-not-opening/</t>
  </si>
  <si>
    <t>https://www.woodlandsonline.com/epps/epsend.cfm?epid=13445</t>
  </si>
  <si>
    <t>https://www.thepaintedhinge.com/top-5-reasons-your-garage-door-opener-stops-working-and-how-to-prevent-it/</t>
  </si>
  <si>
    <t>https://www.seasonsincolour.com/post/8-expert-garage-door-repair-companies-serving-houston-homeowners</t>
  </si>
  <si>
    <t>https://treeleftbigshop.com/leading-5-most-reliable-garage-door-technicians-in-houston-expert-choices-for-quality-service/</t>
  </si>
  <si>
    <t>https://randylemmon.com/7-best-garage-door-repair-companies-in-houston-texas/</t>
  </si>
  <si>
    <t>https://enthrallinggumption.com/6-leading-garage-door-companies-offering-emergency-repairs-in-houston/</t>
  </si>
  <si>
    <t>https://opplehouse.com/top-local-garage-door-repair-services-in-houston/</t>
  </si>
  <si>
    <t>https://amazingarchitecture.com/articles/common-home-repairs-how-to-fix-everyday-issues-around-the-house</t>
  </si>
  <si>
    <t>https://www.melaniejadedesign.com/trusted-garage-door-repair-companies/</t>
  </si>
  <si>
    <t>https://ahouseinthehills.com/top-5-garage-door-spring-repair-companies-in-houston/</t>
  </si>
  <si>
    <t>https://hookedhome.com/what-should-you-expect-from-professional-garage-door-repair-services-7-benefits/</t>
  </si>
  <si>
    <t>https://www.terristeffes.com/2024/12/what-is-average-cost-of-garage-door.html</t>
  </si>
  <si>
    <t>https://intheplayroom.co.uk/5-best-garage-door-repair-companies-in-houston-tx/</t>
  </si>
  <si>
    <t>https://thedesigninspiration.com/news/home/how-can-a-new-garage-door-increase-your-houston-homes-curb-appeal-top-reasons-to-upgrade/</t>
  </si>
  <si>
    <t>https://joyfullytreasured.com/7-expert-tips-for-keeping-a-garage-door-operating-smoothly-year-round</t>
  </si>
  <si>
    <t>https://goodnever.com/homeorganization/4-most-common-garage-door-spring-issues-and-how-to-maintain-them-effectively/</t>
  </si>
  <si>
    <t>https://shineyourlightblog.com/garage-door-repair-companies-serving-the-houston-area/</t>
  </si>
  <si>
    <t>https://housesitmatch.com/blog/maintain-garage-doors-5-top-tips/</t>
  </si>
  <si>
    <t>https://tamaracamerablog.com/reliable-garage-door-repair-houston/</t>
  </si>
  <si>
    <t>https://www.omnihomeideas.com/home-and-kitchen/best-5-emergency-garage-door-repair-services-available-in-houston/</t>
  </si>
  <si>
    <t>https://www.mystayathomeadventures.com/houston-garage-door-repair-experts/</t>
  </si>
  <si>
    <t>https://myinteriorpalace.com/3-garage-door-repair-pros-houston-homeowners-recommend-for-reliable-service/</t>
  </si>
  <si>
    <t>https://www.globenewswire.com/news-release/2024/07/14/2912751/0/en/Easy-Garage-Door-Repair-Elevates-Garage-Door-Services-in-Houston.html</t>
  </si>
  <si>
    <t>https://www.tinyhouse.com/post/top-garage-door-repair-companies</t>
  </si>
  <si>
    <t>https://bigboxratio.com/backyard-housing/leading-3-garage-door-teams-in-houston-offering-24-7-spring-replacements-reliable-experts-for-emergency-repairs/</t>
  </si>
  <si>
    <t>https://alittledelightful.com/5-most-common-garage-door-issues-and-how-to-fix-them/</t>
  </si>
  <si>
    <t>https://www.freshdesignblog.com/2024/12/how-much-does-it-cost-to-repair-an-overhead-garage-door-in-the-houston-area/</t>
  </si>
  <si>
    <t>https://tangyhouse.com/top-8-trusted-garage-door-repair-services-in-houston-tx/</t>
  </si>
  <si>
    <t>https://daltxrealestate.com/houston-garage-door-service-hiring/</t>
  </si>
  <si>
    <t>https://www.gloryofthesnow.com/garage-door-opener-repair-costs-a-breakdown-for-houston-homeowners/</t>
  </si>
  <si>
    <t>https://kdarchitects.net/5-benefits-of-installing-roll-up-garage-doors-for-homeowners-in-pasadena-tx/</t>
  </si>
  <si>
    <t>https://www.unifiedhomeremodeling.com/garage-door-essentials-tips-and-tricks-for-installation-and-repair/</t>
  </si>
  <si>
    <t>https://1883magazine.com/houstons-5-top-garage-door-repair-companies-you-can-count-on/</t>
  </si>
  <si>
    <t>https://justsimplymom.com/3-best-garage-door-companies-in-houston-for-24-7-repairs/</t>
  </si>
  <si>
    <t>https://www.yeahlifestyle.com/top-10-garage-door-repair-services-your-home-in-houston-needs-for-reliable-performance/</t>
  </si>
  <si>
    <t>https://activepropertycare.com/professional-vs-diy-ideal-choice-for-spring-replacement-in-houston/</t>
  </si>
  <si>
    <t>https://www.sweetsofties.com/2025/06/10-services-you-will-need-in-case-of-house-issues-in-houston-essential-solutions-for-homeowners.html</t>
  </si>
  <si>
    <t>https://www.thepinnaclelist.com/articles/top-10-garage-door-repair-services-in-houston-for-reliability/</t>
  </si>
  <si>
    <t>https://www.sparklesandstretchmarks.com/choosing-the-right-garage-door-repair-service-factors-to-consider-for-quality-workmanship/</t>
  </si>
  <si>
    <t>https://geekmamas.com/2025/08/12/top-3-affordable-garage-door-repair-services-in-houston-reliable-options-for-quality-repairs/</t>
  </si>
  <si>
    <t>https://sunnysweetdays.com/garage-door-mastery/</t>
  </si>
  <si>
    <t>https://livingpristine.com/6-reasons-weather-conditions-can-impact-your-garage-door-s-functionality-key-facts-explained/</t>
  </si>
  <si>
    <t>https://www.offthemrkt.com/lifestyle/5-most-widely-used-garage-door-services-in-houston-tx</t>
  </si>
  <si>
    <t>https://conservamome.com/top-5-garage-door-repair-services-in-houston-you-can-rely-on/</t>
  </si>
  <si>
    <t>https://lakeconroe.com/lake-conroe/easy-garage-door-repair/</t>
  </si>
  <si>
    <t>http://enduro.horazdovice.cz/forum.php?forum=5&amp;fpage=2&amp;msg=15376&amp;topic=266</t>
  </si>
  <si>
    <t>https://www.pearland.com/news/index.php?newstype=upbeat&amp;page=8</t>
  </si>
  <si>
    <t>https://secure2.websrvcs.com/System/Media/play.asp?id=30216&amp;key=86D5CAF7-CE9C-44DB-B517-282135AEE4F2</t>
  </si>
  <si>
    <t>https://www.elevatedmagazines.com/single-post/how-to-find-trusted-garage-door-repair-companies-in-houston</t>
  </si>
  <si>
    <t>https://www.pinuphouses.com/key-factors-to-consider-when-choosing-a-trusted-local-garage-door-company/</t>
  </si>
  <si>
    <t>https://literallydarling.com/blog/2025/01/27/average-garage-door-installation-prices-in-katy-tx/</t>
  </si>
  <si>
    <t>https://www.solutionhow.com/en-us/home-improvement/5-challenges-you-could-face-with-your-garage-door/</t>
  </si>
  <si>
    <t>https://knockoffdecor.com/garage-door-stops-working-at-night/</t>
  </si>
  <si>
    <t>https://mossandfog.com/smart-tips-for-choosing-the-best-garage-doors/</t>
  </si>
  <si>
    <t>https://farmhousekitchenandbath.com/blogs/news/how-can-homeowners-choose-a-reliable-local-garage-door-company-in-houston</t>
  </si>
  <si>
    <t>https://offcourse.co/users/activity/721062/</t>
  </si>
  <si>
    <t>https://www.provenexpert.com/en-us/easy-garage-door-repair4/</t>
  </si>
  <si>
    <t>https://homecomfortexperts.co.uk/2026/02/03/how-preventive-home-maintenance-helps-avoid-costly-garage-door-repairs/</t>
  </si>
  <si>
    <t>https://www.delightfullynotedblog.com/6-key-signs-a-garage-door-system-requires-professional-attention/</t>
  </si>
  <si>
    <t>https://www.mklibrary.com/need-a-garage-door-repair-here-are-some-handy-tips-for-homeowners/</t>
  </si>
  <si>
    <t>https://news.gcu.edu.pk/en/houston-garage-door-service-hiring/</t>
  </si>
  <si>
    <t>https://thehometrotters.com/broken-garage-doors-in-houston-costs-and-repair-tips/</t>
  </si>
  <si>
    <t>https://geebo.com/services/view/id/1934583-easy-garage-door-repair-/</t>
  </si>
  <si>
    <t>https://kevinfrancisdesign.com/blogs/design-ideas/top-6-garage-door-repair-services-with-fast-response-in-houston</t>
  </si>
  <si>
    <t>https://flyarchitecture.net/2024/12/27/most-common-garage-door-issues-and-their-repair-costs-in-houston/</t>
  </si>
  <si>
    <t>https://yourhomify.com/garage-door-installation-top-services/</t>
  </si>
  <si>
    <t>https://www.sipthestyle.com/6-expert-approved-methods-for-prolonging-garage-door-lifespan</t>
  </si>
  <si>
    <t>https://reviews.birdeye.com/easy-garage-door-repair-169873759384476</t>
  </si>
  <si>
    <t>https://www.theinspirationedit.com/garage-door-repair-experts-for-emergencies/</t>
  </si>
  <si>
    <t>https://aamstg1.wpenginepowered.com/top-5-reliable-garage-door-repair-services-in-houston-tx/</t>
  </si>
  <si>
    <t>https://citychicliving.com/how-to-choose-a-reliable-garage-door-repair-company-in-houston/</t>
  </si>
  <si>
    <t>http://galvestonchamber.chambermaster.com/list/member/easy-garage-door-repair-17700</t>
  </si>
  <si>
    <t>https://trustedhousepainter.com/garage-door-wont-close-fix/</t>
  </si>
  <si>
    <t>https://designrelated.com/how-much-does-it-cost-to-fix-garage-door-springs-in-houston/</t>
  </si>
  <si>
    <t>https://www.bloglovin.com/blogs/a-house-in-hills-12110977/top-5-garage-door-spring-repair-companies-8725180981</t>
  </si>
  <si>
    <t>https://lookwhatmomfound.org/how-often-should-you-schedule-a-garage-door-tune-up-in-houston-expert-timing-and-local-factors/</t>
  </si>
  <si>
    <t>https://clichemag.com/home-improvement/what-factors-influence-the-cost-of-garage-door-repairs/</t>
  </si>
  <si>
    <t>https://thecharmingbenchcompany.com/blogs/news/what-safety-features-should-every-garage-door-system-have</t>
  </si>
  <si>
    <t>https://houstonsuburb.com/real-estate-blog/why-seasonal-garage-door-inspections-matter-for-houston-homes/</t>
  </si>
  <si>
    <t>https://successfulblackparenting.com/2025/12/08/garage-door-remotes/</t>
  </si>
  <si>
    <t>https://whatutalkingboutfamily.com/how-can-you-find-emergency-garage-door-repairs-in-houston-after-hours-reliable-solutions-for-urgent-needs/</t>
  </si>
  <si>
    <t>https://espaciodca.fedace.org/content/embark-unforgettable-adventures-kimsatravel</t>
  </si>
  <si>
    <t>https://houseofcoco.net/5-tips-for-extending-your-garage-doors-lifespan/</t>
  </si>
  <si>
    <t>http://forum.orangepi.org/forum.php?mod=viewthread&amp;tid=3616</t>
  </si>
  <si>
    <t>https://homesteadsupplier.com/blogs/news/how-often-should-you-replace-garage-door-springs-for-smooth-operation</t>
  </si>
  <si>
    <t>https://www.homelovr.com/houstons-24-7-garage-door-replacement-companies/</t>
  </si>
  <si>
    <t>https://rentalrealestate.com/blog/how-can-homeowners-prevent-common-garage-door-malfunctions/</t>
  </si>
  <si>
    <t>https://www.erienewsnow.com/story/49188806/best-garage-door-repair-in-houston-find-quality-affordable-service</t>
  </si>
  <si>
    <t>https://sociallifemagazine.com/the-archive/common-reasons-garage-doors-start-shaking-and-safe-ways-to-resolve-them/</t>
  </si>
  <si>
    <t>https://panhandle.newschannelnebraska.com/story/49387269/why-is-my-garage-door-clicking-and-not-closing</t>
  </si>
  <si>
    <t>https://www.burlapandblue.com/what-are-the-latest-technologies-garage-door-services-are-using-in-houston-top-6-innovations-to-know/</t>
  </si>
  <si>
    <t>https://buy.nsw.gov.au/supplier/profile/182431</t>
  </si>
  <si>
    <t>https://thecleanplumber-sydney.homeone.com.au/</t>
  </si>
  <si>
    <t>https://www.yellowpages.com.au/nsw/erina/fluid-plumbing-15254217-listing.html</t>
  </si>
  <si>
    <t>https://captainbobcat.com/</t>
  </si>
  <si>
    <t>https://2amagazine.com/why-gas-appliances-need-regular-maintenance-more-than-just-a-tune-up/</t>
  </si>
  <si>
    <t>https://grokipedia.com/page/Newcastle,_New_South_Wales</t>
  </si>
  <si>
    <t>https://threebestrated.com.au/plumbers-in-newcastle-nsw</t>
  </si>
  <si>
    <t>https://www.mothersalwaysright.com/ultimate-guide-to-what-to-ask-before-purchasing-a-water-filter-system/</t>
  </si>
  <si>
    <t>https://www.mklibrary.com/gas-line-installation-factors-that-influence-the-final-price-tag/</t>
  </si>
  <si>
    <t>https://www.we-heart.com/2025/08/12/protecting-pipes-appliances-from-hard-water-at-the-source/</t>
  </si>
  <si>
    <t>https://opplehouse.com/the-hidden-contaminants-in-your-tap-water/</t>
  </si>
  <si>
    <t>https://www.oneflare.com.au/b/fluid-plumbing</t>
  </si>
  <si>
    <t>https://ahouseinthehills.com/guide-to-choosing-the-best-water-saving-appliances-for-your-home/</t>
  </si>
  <si>
    <t>https://johnnyholland.org/2025/05/is-tap-water-in-australia-safe-for-daily-consumption/</t>
  </si>
  <si>
    <t>https://wsbsport.com/en/5-things-to-know-about-the-profit-of-indoor-sport-facilities/</t>
  </si>
  <si>
    <t>https://www.soup.io/understanding-the-necessity-of-regular-fire-safety-audits-at-home</t>
  </si>
  <si>
    <t>https://alittledelightful.com/essential-insights-about-newcastles-water-quality-and-supply/</t>
  </si>
  <si>
    <t>https://mywaterfilter.com.au/blogs/learning/water-filter-installation-plumbers</t>
  </si>
  <si>
    <t>https://www.spiritedpuddlejumper.com/safe-and-environmentally-friendly-methods-for-disposing-of-old-hot-water-systems/</t>
  </si>
  <si>
    <t>https://www.lorddecor.com/blog/essential-tips-for-child-safe-electrical-outlets-and-devices</t>
  </si>
  <si>
    <t>https://greenrecord.co.uk/what-does-a-reverse-osmosis-system-do-for-your-water/</t>
  </si>
  <si>
    <t>https://tangyhouse.com/whole-house-vs-under-sink-water-filters-which-one-to-choose/</t>
  </si>
  <si>
    <t>https://myinteriorpalace.com/exploring-whole-house-water-filters-are-they-a-necessity-for-your-household/</t>
  </si>
  <si>
    <t>https://soho.com.au/articles/tap-water-safety-tips-for-central-coast-families-essential-guidelines-for-peace-of-mind</t>
  </si>
  <si>
    <t>https://ccr-mag.com/understanding-the-importance-of-regular-plumbing-inspections/</t>
  </si>
  <si>
    <t>https://shedblog.com.au/essential-holiday-electrical-safety-precautions-in-australia/</t>
  </si>
  <si>
    <t>https://siit.co/guestposts/in-depth-guide-how-long-should-your-hot-water-system-last/</t>
  </si>
  <si>
    <t>https://t2conline.com/what-are-you-paying-for-water-in-central-coast/</t>
  </si>
  <si>
    <t>https://livingpristine.com/how-to-select-the-ideal-hot-water-system-for-your-residence/</t>
  </si>
  <si>
    <t>https://customhomesonline.com.au/electric-vs-gas-vs-heat-pump/</t>
  </si>
  <si>
    <t>https://www.truelocal.com.au/nsw/erina/fluid-plumbing-15254217</t>
  </si>
  <si>
    <t>https://www.top4.com.au/article/detail/understanding-the-warning-signs-of-a-failing-hot-water-system</t>
  </si>
  <si>
    <t>https://4.bing.com/images/search?q=Whole+House+Water+Booster+Pump&amp;FORM=RESTAB&amp;qft=%2Bfilterui%3Aface-face</t>
  </si>
  <si>
    <t>https://mytunbridgewells.com/shower-water-filter/</t>
  </si>
  <si>
    <t>https://www.bloglovin.com/blogs/a-house-in-hills-12110977/guide-to-choosing-best-water-saving-appliances-8724977420</t>
  </si>
  <si>
    <t>https://bitrebels.com/technology/electrician-newcastle-addressing-7-key-compliance-issues/</t>
  </si>
  <si>
    <t>https://pick-kart.com/understanding-the-lifespan-of-hot-water-systems/</t>
  </si>
  <si>
    <t>https://subdomainfinder.c99.nl/scans/2025-01-24/fluidplumbingservices.com.au</t>
  </si>
  <si>
    <t>https://www.articlesfactory.com/articles/home-and-family/key-steps-for-electrical-fire-safety-a-guide-beyond-smoke-alarms.html</t>
  </si>
  <si>
    <t>https://thehometrotters.com/diy-plumbing-in-newcastle-when-to-tackle-it-yourself-and-when-to-call-a-professional/</t>
  </si>
  <si>
    <t>https://hometriangle.com/blogs/understanding-drain-trouble-when-to-call-a-professional/</t>
  </si>
  <si>
    <t>https://directory.coldlytics.com/companies/fluidplumbingservices</t>
  </si>
  <si>
    <t>https://www.fastbase.com/dataset/companies/Australia/Plumbing</t>
  </si>
  <si>
    <t>https://www.urbansplatter.com/2024/10/efficient-ways-to-reduce-household-water-consumption/</t>
  </si>
  <si>
    <t>https://www.kulfiy.com/life-in-queanbeyan-why-this-aussie-town-should-be-on-your-radar/</t>
  </si>
  <si>
    <t>https://blog.be.live/10-creative-stream-background-ideas-to-make-your-live-broadcasts-stand-out/</t>
  </si>
  <si>
    <t>https://www.bigoxprinting.com/blogs/color-guides/colors-that-go-with-gray</t>
  </si>
  <si>
    <t>https://www.rent.com/blog/decorating-ideas-in-a-700-square-foot-apartment/</t>
  </si>
  <si>
    <t>https://decorious.com/en/blogs/contrast-in-interior-design</t>
  </si>
  <si>
    <t>https://www.thortful.com/blog/20th-wedding-anniversary-gifts/</t>
  </si>
  <si>
    <t>https://www.decoist.com/colors-that-go-with-burgundy/</t>
  </si>
  <si>
    <t>https://lazzoni.com/blogs/all/legendary-interior-designers-from-every-decade-of-the-20th-century</t>
  </si>
  <si>
    <t>https://www.georgestreetphoto.com/blog/p/fireplace-wedding-ceremony-backdrop-ideas-for-transforming-your-winter-wedding</t>
  </si>
  <si>
    <t>https://ctolighting.co.uk/the-role-of-atmospheric-lighting-in-luxury-interiors/</t>
  </si>
  <si>
    <t>https://webinopoly.com/pages/top-30-shopify-furniture-stores</t>
  </si>
  <si>
    <t>https://www.thegoodwebguide.co.uk/article/fashion/ten-best-luxury-websites/20671</t>
  </si>
  <si>
    <t>https://www.lofficielusa.com/travel-living/french-interior-designers-to-follow-on-instagram</t>
  </si>
  <si>
    <t>https://sokahome.com/blogs/news/discover-the-top-chinese-interior-design-trends</t>
  </si>
  <si>
    <t>https://steellightingco.com/blog/black-flush-mount-light-ideas-for-any-room/</t>
  </si>
  <si>
    <t>https://blog.society6.com/how-to-style-throw-blanket-on-bed/</t>
  </si>
  <si>
    <t>https://www.thegentlemansjournal.com/article/guide-creating-ultimate-gentlemans-office/</t>
  </si>
  <si>
    <t>https://www.elledecoration.co.uk/lifestyle-culture/g34727105/best-gift-subscriptions/</t>
  </si>
  <si>
    <t>https://www.hollywoodmirrors.co.uk/pages/dressing-table</t>
  </si>
  <si>
    <t>https://www.re-thinkingthefuture.com/interior-design/a2996-20-ways-to-introduce-luxury-in-your-interiors-project/</t>
  </si>
  <si>
    <t>https://www.luxxu.net/blog/best-25-bookcases-for-a-luxurious-home-office/</t>
  </si>
  <si>
    <t>https://www.giftex.in/exhibition/a-guide-to-timeless-elegance-in-furniture/</t>
  </si>
  <si>
    <t>https://blog.canadianloghomes.com/2024/01/19/rustic-dining-room-ideas/</t>
  </si>
  <si>
    <t>https://www.seasonsincolour.com/post/minimalist-vs-modern-interior-design-what-to-consider</t>
  </si>
  <si>
    <t>https://whytile.com/2020/08/tile-color-psychology-how-your-tile-color-affects-your-mood/</t>
  </si>
  <si>
    <t>https://pourmore.com/blogs/whiskey/savoring-words-and-whisky-a-guide-for-scotch-and-literature-aficionados</t>
  </si>
  <si>
    <t>https://vincentvanduysen.com/press/publications</t>
  </si>
  <si>
    <t>https://blog.comfort-works.com/top-10-favourite-ikea-sofas/</t>
  </si>
  <si>
    <t>https://www.countryandtownhouse.com/interiors/walk-in-wardrobes/</t>
  </si>
  <si>
    <t>https://www.jancisrobinson.com/articles/where-to-buy-my-glassware</t>
  </si>
  <si>
    <t>https://www.kovifabrics.com/blog/chinese-interior-design-your-way-to-a-whole-new-vibe/</t>
  </si>
  <si>
    <t>https://www.bostonbrandmedia.com/news/6-on-trend-coffee-table-styles</t>
  </si>
  <si>
    <t>https://www.remodelista.com/posts/10-easy-pieces-colorful-mohair-throw-blankets-stylists-secret-weapon/</t>
  </si>
  <si>
    <t>https://buildingandinteriors.com/designer-beds-styles/</t>
  </si>
  <si>
    <t>https://hisforhomeblog.com/tag/bedroom/</t>
  </si>
  <si>
    <t>https://www.familydaysout.com/blog/your-guide-to-creating-cozy-corners</t>
  </si>
  <si>
    <t>https://www.kellyhoppeninteriors.com/press</t>
  </si>
  <si>
    <t>https://www.housedigest.com/870925/the-ultimate-guide-to-art-deco-decor/</t>
  </si>
  <si>
    <t>https://www.lorddecor.com/blog/transform-your-space-with-timeless-luxury-interior-design-tips</t>
  </si>
  <si>
    <t>https://poshpennies.com/cheap-home-decor-with-no-money/</t>
  </si>
  <si>
    <t>https://ahouseinthehills.com/pattern-underfoot-the-return-of-herringbone-and-parquet-laminate-flooring-2/</t>
  </si>
  <si>
    <t>https://thimpress.com/basic-graphic-design-elements/</t>
  </si>
  <si>
    <t>https://welshdesignstudio.com/coffee-table-books-for-decorating/</t>
  </si>
  <si>
    <t>https://grokipedia.com/page/The_Arts_Club</t>
  </si>
  <si>
    <t>https://brightside.me/articles/10-furniture-arrangements-to-make-the-most-of-your-small-living-room-797313/</t>
  </si>
  <si>
    <t>https://sunsgoods.com/what-is-a-sectional-sofa/</t>
  </si>
  <si>
    <t>https://www.homestratosphere.com/should-your-coffee-table-wood-match-the-wood-floor-in-the-living-room/</t>
  </si>
  <si>
    <t>https://www.homesandantiques.com/interiors/decorating/guest-bedroom-ideas</t>
  </si>
  <si>
    <t>https://theglossarymagazine.com/homes/poppy-delevingne-interiors-west-london-home/</t>
  </si>
  <si>
    <t>https://milanostyle.com/turn-any-room-into-a-style-statement/</t>
  </si>
  <si>
    <t>https://www.iwaymagazine.com/blogs/news/25-growth-in-this-interior-design-trend-thanks-to-tiktok</t>
  </si>
  <si>
    <t>https://www.standard.co.uk/shopping/esbest/home-garden/home-accessories/best-silk-bedding-sets-sheets-pillowcases-b1056463.html</t>
  </si>
  <si>
    <t>https://bodaq.com/metallic-finishes-for-luxurious-and-glamorous-interiors/</t>
  </si>
  <si>
    <t>https://www.huzzle.com/companies/luxdeco</t>
  </si>
  <si>
    <t>https://inspiredhomes.uk.com/crafting-custom-marble-dining-tables/</t>
  </si>
  <si>
    <t>https://www.payweeklyflooring.co.uk/sofa-ideas-for-small-living-rooms/</t>
  </si>
  <si>
    <t>https://livada-casino.com/loranocarter-qatar/</t>
  </si>
  <si>
    <t>https://lovechicliving.co.uk/slice-of-nature-into-the-home/</t>
  </si>
  <si>
    <t>https://robertr268.sg-host.com/martyn/sv-casa/</t>
  </si>
  <si>
    <t>https://www.crowdcube.eu/companies/luxdeco/pitches/Zpvx2q</t>
  </si>
  <si>
    <t>https://theorg.com/org/luxdeco</t>
  </si>
  <si>
    <t>https://www.dontdiewondering.com/the-kardashians-florist-shares-tips-for-decorating-your-christmas-tree/</t>
  </si>
  <si>
    <t>https://www.praytellagency.com/blog/praytell-predictions-top-digital-marketing-trends-to-watch-in-2025</t>
  </si>
  <si>
    <t>https://www.forbesafrica.com/fashion/2023/12/14/framing-elegance-the-medley-of-art-and-fashion-in-south-africa/</t>
  </si>
  <si>
    <t>https://nelsonkb.com/the-art-of-personalizing-your-home-decor-with-unique-lighting/</t>
  </si>
  <si>
    <t>https://www.accio.com/business/boucle-furniture-trend</t>
  </si>
  <si>
    <t>https://www.simshilditch.com/about-us/journal/building-a-home-to-last/</t>
  </si>
  <si>
    <t>https://www.melanielissackinteriors.com/blog/2023/7/7/7-tips-for-adding-softness-and-warmth-to-industrialist-interiors</t>
  </si>
  <si>
    <t>https://www.crowdcube.com/companies/luxdeco/pitches/Zpvx2q</t>
  </si>
  <si>
    <t>https://www.sleek-chic.co.uk/2025/02/luxury-interiors-for-high-end-living-spaces.html</t>
  </si>
  <si>
    <t>https://richardbrendon.com/blogs/journal/the-art-skill-of-glassblowing</t>
  </si>
  <si>
    <t>https://jdelite.decoratingden.com/coastal-living-room-ideas/</t>
  </si>
  <si>
    <t>https://craft.co/luxdeco</t>
  </si>
  <si>
    <t>https://www.bathroomcity.co.uk/blog/how-choose-right-colour-scheme-your-bathroom</t>
  </si>
  <si>
    <t>https://punchlist.com/article/line-definition-in-interior-design/</t>
  </si>
  <si>
    <t>https://tamaracamerablog.com/make-your-house-look-more-put-together/</t>
  </si>
  <si>
    <t>https://talesofbelle.com/2024/10/29/how-to-make-your-home-cosy-for-christmas/</t>
  </si>
  <si>
    <t>https://www.mybespokeroom.com/inspiration/shop/tracy-s-classic-and-cosy-master-bathroom</t>
  </si>
  <si>
    <t>https://www.greatbuildz.com/blog/less-is-more-6-ways-modern-minimalism/</t>
  </si>
  <si>
    <t>https://interiordesign.net/projects/first-look-tillberg-design-s-largest-luxury-suite-at-sea-for-regent-seven-seas-splendor/</t>
  </si>
  <si>
    <t>https://www.harpersbazaar.com/uk/culture/homes/g32307532/best-luxury-designer-board-games/</t>
  </si>
  <si>
    <t>https://myinteriorpalace.com/how-high-to-hang-mirror-over-dresser/</t>
  </si>
  <si>
    <t>https://lookwhatmomfound.org/the-versatility-of-beige-sofas-in-home-decor/</t>
  </si>
  <si>
    <t>https://www.bidnamic.com/en-us/case-studies/luxdeco</t>
  </si>
  <si>
    <t>https://www.we-heart.com/2019/11/22/luxury-design-tips-for-interiors-living/</t>
  </si>
  <si>
    <t>https://kitchensbedroomsandbathrooms.com/kitchens/barstools-with-backs-to-add-style-and-comfort-to-your-kitchen/</t>
  </si>
  <si>
    <t>https://www.apartmenttherapy.com/renovated-1850s-london-townhome-tour-37287030</t>
  </si>
  <si>
    <t>https://www.urbanturnip.org/what-makes-home-decor-plant-choices-classic/</t>
  </si>
  <si>
    <t>https://emmareed.net/5-ways-to-marble-to-your-home-for-a-timeless-look/</t>
  </si>
  <si>
    <t>https://www.rizz.design/news/essential-accessories-for-luxury-hospitality/</t>
  </si>
  <si>
    <t>https://ecency.com/hive-178708/@aplusd/architecture-anthologytm-24</t>
  </si>
  <si>
    <t>https://remer.com.au/mirror-shape/</t>
  </si>
  <si>
    <t>https://www.amh.com/blog/post/interior-design-inspiration-from-the-olympics?postId=1c03052e-def5-4c47-a826-67c3e8300b2b</t>
  </si>
  <si>
    <t>https://www.dailymail.co.uk/femail/article-11504213/The-best-interiors-Christmas-presents-home-lovers.html</t>
  </si>
  <si>
    <t>https://hookedhome.com/how-to-add-a-sophisticated-touch-to-your-space/</t>
  </si>
  <si>
    <t>https://luxurylaunches.com/other_stuff/versace-vanity-la-doree-tableware-collection-golden-meal-times.php</t>
  </si>
  <si>
    <t>https://chaseamie.com/my-favourite-faux-florals/</t>
  </si>
  <si>
    <t>https://khushmag.com/categories/features/features/11-home-decor-elements-to-instantly-spruce-up-your-new-home-/12325</t>
  </si>
  <si>
    <t>https://ecofurnituredesign.com/steel-and-wood-shelves/</t>
  </si>
  <si>
    <t>https://squaremile.com/property/best-drinks-cabinets/</t>
  </si>
  <si>
    <t>https://decormatters.com/blog/the-ultimate-summer-guide-for-textures-boucle-silk-and-stone</t>
  </si>
  <si>
    <t>https://wellbeingmagazine.com/positive-vibes-improve-your-wellbeing-by-improving-your-rooms/</t>
  </si>
  <si>
    <t>https://www.yankodesign.com/2023/12/12/shop-for-timeless-christmas-essentials-and-gifts-in-red-white-and-green/</t>
  </si>
  <si>
    <t>https://cheviotproducts.com/blogs/news/gilded-glamour-and-elegant-patterns-how-to-design-an-art-deco-bathroom</t>
  </si>
  <si>
    <t>https://beta.hommes.studio/contact/</t>
  </si>
  <si>
    <t>https://www.handypro.com/post/creating-a-warm-and-inviting-home-design-tips-for-older-adults</t>
  </si>
  <si>
    <t>https://www.fusionfurnitureinc.com/blog/how-to-fill-empty-spaces-in-home/</t>
  </si>
  <si>
    <t>https://furniturenews.net/interviews/why-luxdeco-went-b2b</t>
  </si>
  <si>
    <t>https://www.lovehappensmag.com/blog/2021/11/13/a-luxury-christmas-gift-guide-for-design-lovers/</t>
  </si>
  <si>
    <t>https://uk.ezilon.com/uk/shopping/furniture/index.shtml</t>
  </si>
  <si>
    <t>https://www.managementtoday.co.uk/week-jonathan-holmes-luxdeco/article/1162377</t>
  </si>
  <si>
    <t>https://www.padmagazine.co.uk/press-releases/living-room-inspiration-how-to-pick-a-coffee-table/28026/</t>
  </si>
  <si>
    <t>https://www.goodhomesmagazine.com/inspiration/bridgerton-pink-inspired-decor-ideas/</t>
  </si>
  <si>
    <t>https://www.sejasa.com/blog/12-ide-dekorasi-dinding-ini-bikin-rumah-unik-dan-artistik/</t>
  </si>
  <si>
    <t>https://hnmagazine.co.uk/home-and-garden/how-to-make-your-home-feel-cosy-and-inviting/</t>
  </si>
  <si>
    <t>https://www.brittany.com.ph/blogs/incorporating-texture-interior-design/</t>
  </si>
  <si>
    <t>https://www.camella.com.ph/the-best-interior-design-trends-that-emerged-this-2021/</t>
  </si>
  <si>
    <t>https://www.magazinehorse.com/en/sexy-fish-can-sushi-seduce-you/</t>
  </si>
  <si>
    <t>https://www.freshdesignblog.com/2022/08/the-dark-side-can-a-rooms-design-dazzle-with-moody-hues/</t>
  </si>
  <si>
    <t>https://www.offthemrkt.com/lifestyle/eating-in-like-youre-eating-out-in-2021</t>
  </si>
  <si>
    <t>https://domusnova.com/es/journal/pantone-sunshine-on-a-cloudy-day/</t>
  </si>
  <si>
    <t>https://www.humphreymunson.co.uk/interior-styling-with-luxdeco-country-house-project-hampshire/</t>
  </si>
  <si>
    <t>https://mossandfog.com/elevate-your-mood-and-confidence-with-everyday-luxuries/</t>
  </si>
  <si>
    <t>https://www.ft.com/content/714a2d24-4e82-46de-88b7-c1b708fb80f4</t>
  </si>
  <si>
    <t>https://www.onlinemoneyadvisor.co.uk/which-interior-design-style-adds-the-most-value-to-your-home/</t>
  </si>
  <si>
    <t>https://www.bocadolobo.com/en/inspiration-and-ideas/luxdeco-redefining-luxury-interiors-through-curated-design/</t>
  </si>
  <si>
    <t>https://www.edwardmartin.com/blogs/information/should-i-get-a-black-gold-or-wood-frame-for-my-arched-mirror</t>
  </si>
  <si>
    <t>http://www.caravansonnet.com/2022/11/4-ways-create-modern-contemporary-feel.html</t>
  </si>
  <si>
    <t>https://ecowhides.com/blogs/blog/romance-in-design-the-timeless-beauty-of-cowhide-rugs</t>
  </si>
  <si>
    <t>https://www.terristeffes.com/2021/02/12-ways-to-make-your-home-your-favorite.html</t>
  </si>
  <si>
    <t>https://www.designscene.net/2020/03/leading-modern-interior-designers.html</t>
  </si>
  <si>
    <t>https://www.hammonds-uk.com/blogs/neutral-bedroom-design-ideas-that-appeal-to-everyone/</t>
  </si>
  <si>
    <t>https://novaofcalifornia.com/guide-to-scandinavian-style/</t>
  </si>
  <si>
    <t>https://www.westlondonliving.co.uk/fashion-design/style/seasonal/</t>
  </si>
  <si>
    <t>https://www.cbinsights.com/company/luxdeco</t>
  </si>
  <si>
    <t>https://katharinepooley.com/a-year-in-review/</t>
  </si>
  <si>
    <t>https://www.designedbywoulfe.com/get-look/cocktail-lounge-inspired-living-room-bespoke-finishes/</t>
  </si>
  <si>
    <t>https://www.missljbeauty.com/2025/10/simple-ways-to-make-small-rooms-feel.html</t>
  </si>
  <si>
    <t>https://www.designconnected.com/fr/Seating/Armchairs/spectre-chair_p7348</t>
  </si>
  <si>
    <t>https://lovenoughty.com/blogs/news/the-inspiration-behind-our-founders-for-international-womens-day</t>
  </si>
  <si>
    <t>https://www.telegraph.co.uk/lifestyle/interiors/10414293/Design-notebook-the-best-geometric-throws.html</t>
  </si>
  <si>
    <t>https://www.topvoucherscode.co.uk/codes/luxdeco-voucher-code</t>
  </si>
  <si>
    <t>https://www.thepinnaclelist.com/articles/preparing-your-home-luxurious-holiday-celebration/</t>
  </si>
  <si>
    <t>https://www.shesweatsdiamonds.com/interior-inspiration-modern-christmas-decor/</t>
  </si>
  <si>
    <t>https://www.tinyhouse.com/post/top-bathroom-tile-trends-for-2023</t>
  </si>
  <si>
    <t>https://thecodest.co/en/blog/e-commerce-web-development-crucial-things-that-you-cant-forget/</t>
  </si>
  <si>
    <t>https://calbizjournal.com/buying-a-home-consult-these-professionals-first/</t>
  </si>
  <si>
    <t>https://www.brabbu.com/en/inspiration-and-ideas/interior-design/25-floor-lights-to-illumine-your-wintery-nights</t>
  </si>
  <si>
    <t>https://www-ft-com.ezproxy.brunel.ac.uk/content/714a2d24-4e82-46de-88b7-c1b708fb80f4</t>
  </si>
  <si>
    <t>https://oracleoftime.com/the-ultimate-isolation-bunker/</t>
  </si>
  <si>
    <t>https://pepalondon.com/en-us/blogs/news/luxury-mothers-day-gift-ideas-for-2021</t>
  </si>
  <si>
    <t>https://www.podchaser.com/podcasts/the-tastemakers-a-luxdeco-podc-1254346/episodes/episode-6-the-case-for-emotion-72969895</t>
  </si>
  <si>
    <t>https://subdomainfinder.c99.nl/scans/2024-01-03/luxdeco.com</t>
  </si>
  <si>
    <t>https://www.covetedition.com/news/4-hardware-shops-in-the-uk-you-need-to-visit/</t>
  </si>
  <si>
    <t>https://www.signatureluxurytravel.com.au/modern-palace-peninsula-paris/</t>
  </si>
  <si>
    <t>https://luxurysociety.com/en/the-latest-digital-baselworld-zegna-ferrari/</t>
  </si>
  <si>
    <t>https://elitebusinessmagazine.co.uk/sales-marketing/item/jon-sharpe-advises-on-how-creatives-stay-creative-during-lockdown</t>
  </si>
  <si>
    <t>https://www.trustprofile.com/webshop/LuxDeco_4066140</t>
  </si>
  <si>
    <t>https://www.edgeobeyond.com/blogs/news/wonderful-wedding-gifts</t>
  </si>
  <si>
    <t>https://llmrefs.com/keywords/best-interior-design-firms-furniture</t>
  </si>
  <si>
    <t>https://www.sbid.org/paris-and-the-origins-of-art-deco/</t>
  </si>
  <si>
    <t>https://www.easternaccents.com/blog/design-edge-nashville-who-to-see</t>
  </si>
  <si>
    <t>https://gartec.com/blog/luxury-lighting-to-make-you-swoon/</t>
  </si>
  <si>
    <t>https://www.wingedboots.co.uk/magazine/help-us-support-haven-house-childrens-hospice/</t>
  </si>
  <si>
    <t>http://diginest.macmillaneducation.in/mki/300zx-ac-compressor-replacement</t>
  </si>
  <si>
    <t>https://techktimes.co.uk/are-picture-rails-a-good-choice-for-displaying-art-in-your-home/</t>
  </si>
  <si>
    <t>https://www.sockgeeks.co.uk/blogs/more-about-sock-geeks/monthly-subscription-gifts-that-keep-on-giving</t>
  </si>
  <si>
    <t>https://archipro.com.au/article/a-walk-down-memory-lane-gilmore-interior-design</t>
  </si>
  <si>
    <t>https://luxe-magazine.co.uk/2017/12/festive-home-trends/</t>
  </si>
  <si>
    <t>https://www.highperformr.ai/company/luxdeco</t>
  </si>
  <si>
    <t>https://thesportshouse.net/aaron-rodgers-not-pleased-after-christian-watson-drops-easy-touchdown-pass/</t>
  </si>
  <si>
    <t>https://www.findmassleads.com/websites/luxdeco.com?h=64002822828</t>
  </si>
  <si>
    <t>https://resident.com/resource-guide/2026/02/25/luxury-living-high-end-remodels-to-make-your-home-shine</t>
  </si>
  <si>
    <t>https://wihardja.com.sg/5-foolproof-ways-to-style-your-sofa-effortlessly-with-cushions-for-a-new-look/</t>
  </si>
  <si>
    <t>https://ktvz.com/stacker-lifestyle/2024/04/30/legendary-interior-designers-from-every-decade-of-the-20th-century/</t>
  </si>
  <si>
    <t>https://www.id-medical.com/xmas-gifts-for-nurses/</t>
  </si>
  <si>
    <t>https://luxuryartcanvas.com/blogs/home-decor/color-psychology-in-ink-and-art-choosing-tattoo-inspired-palettes-for-modern-rooms</t>
  </si>
  <si>
    <t>https://eloquence.com/blogs/news/the-perfect-antique-dresser-for-your-nursery-room</t>
  </si>
  <si>
    <t>https://app.assembo.ai/blogs/light-grey-background</t>
  </si>
  <si>
    <t>https://us.aabcollection.com/blogs/journal/the-knits-you-need</t>
  </si>
  <si>
    <t>https://www.thetaste.ie/ultimate-christmas-gift-guide-foodie-gifts-for-everyone</t>
  </si>
  <si>
    <t>https://alice-buckgy9126.firebaseapp.com/black-and-copper-bedside-tables.html</t>
  </si>
  <si>
    <t>https://luxurylifestyle.com/headlines/little-touches-that-add-luxury-to-any-space.html</t>
  </si>
  <si>
    <t>https://podgorze.babinski.pl/jv3yhbl/the-arts-club-london-membership</t>
  </si>
  <si>
    <t>https://londonlovesbusiness.com/a-brave-new-world-luxdeco-ceo-jonathan-holmes-on-the-future-of-work-after-covid-19/</t>
  </si>
  <si>
    <t>https://www.dealdrop.com/luxdeco-uk</t>
  </si>
  <si>
    <t>https://localnews8.com/life/2024/04/30/legendary-interior-designers-from-every-decade-of-the-20th-century/</t>
  </si>
  <si>
    <t>https://www.stylist.co.uk/home/mixed-metal-home-accessories/595709</t>
  </si>
  <si>
    <t>https://pressgazette.co.uk/comment-analysis/press-gazette-has-found-9-new-journalism-jobs-today-including-legal-business-and-strategic-risk/</t>
  </si>
  <si>
    <t>https://captainbobcat.com/thinking-of-moving-to-italy-design-tips-for-a-beautiful-home-in-the-heart-of-the-mediterranean/</t>
  </si>
  <si>
    <t>https://sena-homefurniture.co.uk/blog/modern-interior-design-best-tips-for-2021/</t>
  </si>
  <si>
    <t>https://programminginsider.com/how-to-decorate-bedroom-walls/</t>
  </si>
  <si>
    <t>https://fabricmagazine.co.uk/homes-and-interiors/home-office-my-space/</t>
  </si>
  <si>
    <t>https://fashionisks.com/can-you-be-a-minimalist-and-still-be-trendy-yes-and-heres-how/</t>
  </si>
  <si>
    <t>https://www.clodura.ai/directory/company/luxdeco</t>
  </si>
  <si>
    <t>https://www-ft-com.library.ez.neoma-bs.fr/content/714a2d24-4e82-46de-88b7-c1b708fb80f4</t>
  </si>
  <si>
    <t>https://neufutur.com/2022/07/a-guide-to-noise-reducing-furnishings-2022/</t>
  </si>
  <si>
    <t>https://www.isprava.com/2020/02/17/how-to-decorate-a-large-living-room/</t>
  </si>
  <si>
    <t>https://javaobjects.net/newly-leaked-photo-of-lenovo-rtx-4090-model-reveals-a-huge-triple-slot-design/</t>
  </si>
  <si>
    <t>https://www.covethouse.eu/inspirations/luxury-dark-dining-roomscreating-sophistication-and-comfort/</t>
  </si>
  <si>
    <t>https://www-ft-com.ezproxy.depaul.edu/content/714a2d24-4e82-46de-88b7-c1b708fb80f4</t>
  </si>
  <si>
    <t>https://www.pinterest.de/ideas/surrey/902591305050/</t>
  </si>
  <si>
    <t>https://plushandoak.gorgias.help/en-US/performaboucle-material-guide-418681</t>
  </si>
  <si>
    <t>https://www.europeanbusinessreview.com/the-diyer-in-you-decorate-your-home-from-scratch/</t>
  </si>
  <si>
    <t>https://katykear.myportfolio.com/exposure</t>
  </si>
  <si>
    <t>https://choq.com/sleep-friendly-bedroom/</t>
  </si>
  <si>
    <t>https://www.thenationalnews.com/arts/the-hot-list-the-silver-screen-1.240912</t>
  </si>
  <si>
    <t>https://kvia.com/lifestyle/stacker-lifestyle/2024/04/30/legendary-interior-designers-from-every-decade-of-the-20th-century/</t>
  </si>
  <si>
    <t>https://emirateswoman.com/at-home-fitness-equipments-edit/</t>
  </si>
  <si>
    <t>https://www.luxuryhomemarketing.com/blog/mediocre-luxury-home-renovations-impress-clients-2017</t>
  </si>
  <si>
    <t>https://www.thetimes.com/travel/destinations/north-america-travel/us-travel/new-york-city/save-spend-splurge-perfect-pairs-9cwqsfb7d</t>
  </si>
  <si>
    <t>https://rumahhq.com/en/rahasia-lampu-mewah-yang-disembunyikan-8-tips-pilih-hiasan-lampu-premium-untuk-rekabentuk-rumah-mewah-yang-buat-jiran-cemburu-panduan-seo-terlengkap-untuk-malaysians/</t>
  </si>
  <si>
    <t>https://www.thesun.co.uk/tv/21086292/molly-mae-instagram-bedside-table-mansion/</t>
  </si>
  <si>
    <t>https://www.welshmum.co.uk/3-easy-ways-to-make-your-living-room-look-nicer/</t>
  </si>
  <si>
    <t>https://nappyvalleynet.com/community/viewtopic.php?t=98383</t>
  </si>
  <si>
    <t>https://www.thejewelleryeditor.com/jewellery/article/dottling-launches-a-virtually-indestructible-portable-safe-for-transporting-your-valuables/</t>
  </si>
  <si>
    <t>https://rachelbustin.com/interior-design/four-popular-interior-design-trends-how-to-implement-them-into-your-own-home/</t>
  </si>
  <si>
    <t>https://pinkysirondoors.com/blogs/archives/going-for-contemporary-interior-design-these-doors-are-the-perfect-fit</t>
  </si>
  <si>
    <t>https://4.bing.com/images/search?q=Designer+Floor+Lamps&amp;FORM=IRMHRS</t>
  </si>
  <si>
    <t>https://www.grandmashousediy.com/rules-for-home-space/</t>
  </si>
  <si>
    <t>https://sanssoucie.com/blog/2018/02/6-design-trends-youll-want-try-2018/</t>
  </si>
  <si>
    <t>https://www.corporatevision-news.com/the-most-productive-colour-to-paint-your-home-working-space/</t>
  </si>
  <si>
    <t>https://threadsmonthly.com/diy-gift-ideas-for-women/#loungewear</t>
  </si>
  <si>
    <t>https://www.build-review.com/art-deco-vs-ultra-modern-the-great-james-corden-debate/</t>
  </si>
  <si>
    <t>https://se.lovenoughty.co.uk/en/blogs/news/the-inspiration-behind-our-founders-for-international-womens-day</t>
  </si>
  <si>
    <t>https://www.finnavenue.com/ms-my/blogs/decorating-ideas/4-hari-raya-decoration-ideas</t>
  </si>
  <si>
    <t>https://dailynewshungary.com/cn/%E5%A6%82%E4%BD%95%E5%9C%A8%E5%AE%A4%E5%86%85%E8%AE%BE%E8%AE%A1%E4%B8%AD%E5%A2%9E%E6%B7%BB%E5%85%B6%E4%BB%96%E5%9B%BD%E5%AE%B6%E7%9A%84%E5%93%81%E5%91%B3/</t>
  </si>
  <si>
    <t>https://www.the-sun.com/entertainment/tv-old/7192255/molly-mae-instagram-bedside-table-mansion/</t>
  </si>
  <si>
    <t>https://monkeyandmouse.co.uk/essential-home-upgrades-for-a-cosy-christmas/</t>
  </si>
  <si>
    <t>https://www.buzzfeed.com/isabellalouise/shop-for-expensive-af-furniture-and-well-tell-wha-mnu9</t>
  </si>
  <si>
    <t>https://hive.blog/hive-178708/@aplusd/architecture-anthologytm-52</t>
  </si>
  <si>
    <t>https://pressreleases.responsesource.com/news/99352/luxdeco-launches-think-big-shop-small-campaign-to-support-small/</t>
  </si>
  <si>
    <t>https://www.urbansplatter.com/2023/05/3-statement-renovations-to-transform-your-home/</t>
  </si>
  <si>
    <t>http://content.yudu.com/A2k2qg/Waterfront67/resources/40.htm</t>
  </si>
  <si>
    <t>https://www.thesun.ie/tv/10092273/molly-mae-instagram-bedside-table-mansion/</t>
  </si>
  <si>
    <t>https://cms-http-proxy.stacker.com/stories/art-culture/legendary-interior-designers-every-decade-20th-century</t>
  </si>
  <si>
    <t>https://3dbrute.com/marat-boucle-sofa/</t>
  </si>
  <si>
    <t>https://www.inkl.com/news/best-furniture-deals-for-black-friday-2023-sofas-dining-tables-and-more</t>
  </si>
  <si>
    <t>https://www.ireland-live.ie/news/life/966731/15-stylish-and-affordable-gifts-for-the-home.html</t>
  </si>
  <si>
    <t>https://www.bloggang.com/viewblog.php?id=founder&amp;date=06-12-2016&amp;group=13&amp;gblog=68</t>
  </si>
  <si>
    <t>https://www.bloglovin.com/blogs/missljbeauty-9877327/simple-ways-to-make-small-rooms-feel-more-8736019069</t>
  </si>
  <si>
    <t>https://www.flexoffers.com/affiliate-programs/luxdeco-ltd-affiliate-program/</t>
  </si>
  <si>
    <t>https://www.theceo.in/blogs/sandeep-maheshwari-complete-biography-and-life-journey</t>
  </si>
  <si>
    <t>https://wattlecourt.com.au/builder/northern-beaches/</t>
  </si>
  <si>
    <t>https://archeyes.com/the-aalto-house-alvar-aalto/</t>
  </si>
  <si>
    <t>https://clennettsmitre10.com.au/products/trade/cladding/feature-timber-cladding/cedar-cladding-panelling/</t>
  </si>
  <si>
    <t>https://www.bbntimes.com/society/how-timber-cladding-performs-in-coastal-environments</t>
  </si>
  <si>
    <t>https://greenmagazine.com.au/product/modinex-group/timber-panelling/</t>
  </si>
  <si>
    <t>https://www.architectureanddesign.com.au/editorial/product-news/get-an-insight-into-modinex-s-timber-manufacturing-with-a-factory-tour</t>
  </si>
  <si>
    <t>https://www.kmew.co.jp/global/australia/agency/</t>
  </si>
  <si>
    <t>https://amazingarchitecture.com/articles/architecture-guide-to-timber-cladding</t>
  </si>
  <si>
    <t>https://www.whitepages.com.au/urbanline-architectural-10347927/ipswich-qld-10347929B</t>
  </si>
  <si>
    <t>https://citychangers.org/natural-materials-fact-file-wood/</t>
  </si>
  <si>
    <t>https://grokipedia.com/page/Corymbia</t>
  </si>
  <si>
    <t>https://greenbuildingcanada.ca/sustainable-timber-internal-wall-cladding/</t>
  </si>
  <si>
    <t>https://www.lorddecor.com/blog/feature-wall-panels-an-overview-of-styles-and-types</t>
  </si>
  <si>
    <t>https://impactwealth.org/what-adds-value-to-a-home-smart-bedroom-updates-real-estate-agents-recommend/</t>
  </si>
  <si>
    <t>https://opplehouse.com/how-to-choose-interior-wall-panels-a-builders-guide-to-materials-and-methods/</t>
  </si>
  <si>
    <t>https://customhomesonline.com.au/flinders-beach-house/</t>
  </si>
  <si>
    <t>https://parametric-architecture.com/project-considerations-timber-species-for-walls-panelling-interior-cladding/</t>
  </si>
  <si>
    <t>https://www.oneflare.com.au/b/modinex-group</t>
  </si>
  <si>
    <t>https://greenspanbuildings.com.au/resources/our-partners-in-sustainability/</t>
  </si>
  <si>
    <t>https://lektowoodfuels.co.uk/blogs/news/the-best-pizza-oven-wood-make-the-perfect-slice</t>
  </si>
  <si>
    <t>https://hidrive.com.au/case-studies/modinex-ute-fleet/</t>
  </si>
  <si>
    <t>https://www.housedigest.com/1196759/creative-ways-to-use-wood-to-transform-your-ceiling/</t>
  </si>
  <si>
    <t>https://www.nhs.trade/polymerlab-acropol-viroc-sealer-5-litre-co-vrcs-5l.html</t>
  </si>
  <si>
    <t>https://perryhomes.com.au/new-home-builder-opens-display-home-in-tweed/</t>
  </si>
  <si>
    <t>https://blog.westbuilt.com.au/the-bergen-a-modern-modular-home-by-westbuilt</t>
  </si>
  <si>
    <t>https://growjo.com/company/IceWarp</t>
  </si>
  <si>
    <t>https://ahouseinthehills.com/external-wall-cladding-designs-transform-your-exterior/</t>
  </si>
  <si>
    <t>https://homeworlddesign.com/the-benefits-of-aluminium-cladding-in-architecture/</t>
  </si>
  <si>
    <t>https://urbanmatter.com/timber-cladding-for-exterior-walls-expert-guide-to-materials-methods/</t>
  </si>
  <si>
    <t>https://myinteriorpalace.com/architectural-design-trends-shaping-australian-homes-in-2025/</t>
  </si>
  <si>
    <t>https://archidiaries.com/articles/shou-sugi-ban-charred-timber/</t>
  </si>
  <si>
    <t>https://archipro.com.au/project/charlton-house-lou-projects</t>
  </si>
  <si>
    <t>https://thearchitectsdiary.com/the-enduring-appeal-of-timber-cladding-a-blend-of-beauty-and-resilience/</t>
  </si>
  <si>
    <t>https://www.e-architect.com/australia/benefits-of-timber-ceilings</t>
  </si>
  <si>
    <t>https://thehowtohome.com/the-biggest-home-design-trends-in-australia-right-now/</t>
  </si>
  <si>
    <t>https://www.brisbane-australia.com/directory/home-services-renovation/interior-design/modinex</t>
  </si>
  <si>
    <t>https://arkular.com/sandy-point-modular-beach-house-recently-completed-modular-home/</t>
  </si>
  <si>
    <t>https://alittledelightful.com/how-to-use-wall-cladding-to-add-texture-and-warmth-to-interiors/</t>
  </si>
  <si>
    <t>https://theceoviews.com/why-your-timber-cladding-choices-matter-for-reseller-value/</t>
  </si>
  <si>
    <t>https://kiraandkira.com.au/blogs/journal/ready-set-reno</t>
  </si>
  <si>
    <t>https://www.woodsolutions.com.au/suppliers/coach-house-timbers</t>
  </si>
  <si>
    <t>https://www.designscene.net/2024/08/feature-walls.html</t>
  </si>
  <si>
    <t>https://www.enfield.gov.uk/services/your-council/grt/site-delivery</t>
  </si>
  <si>
    <t>https://www.thepinnaclelist.com/articles/best-timber-for-external-wall-cladding-top-choices-for-durability/</t>
  </si>
  <si>
    <t>https://www.yellowpages.com.au/vic/hallam/urbanline-architectural-15714809-listing.html</t>
  </si>
  <si>
    <t>https://hia.com.au/our-industry/housing/projects/2024/10/waters-edge</t>
  </si>
  <si>
    <t>https://www.lismorecitynews.com.au/story/8067428/the-queenslanders-guide-to-designing-a-coastal-style-home/</t>
  </si>
  <si>
    <t>https://www.build-review.com/the-benefits-of-architectural-cladding-products/</t>
  </si>
  <si>
    <t>https://www.urbansplatter.com/2023/05/choosing-the-right-timber-species-for-cladding/</t>
  </si>
  <si>
    <t>https://lbe.clients.squiz.net/services/your-council/grt/site-delivery</t>
  </si>
  <si>
    <t>https://4.bing.com/images/search?q=Sustainable+Timber+Logo&amp;FORM=RESTAB</t>
  </si>
  <si>
    <t>https://www.cbinsights.com/company/modinex/alternatives-competitors</t>
  </si>
  <si>
    <t>https://old.ecochoice.co.uk/news/blog/item/tropical-wood-exterior-applications</t>
  </si>
  <si>
    <t>https://tasmaniantimber.com.au/podcast/nina-schubert/</t>
  </si>
  <si>
    <t>https://www.londondaily.news/7-stunning-interior-cladding-ideas-for-modern-homes/</t>
  </si>
  <si>
    <t>https://hometriangle.com/blogs/the-beauty-of-feature-walls/</t>
  </si>
  <si>
    <t>https://www.arounddeal.com/c/coach-house-timbers-pty-ltd/y1gottowxo</t>
  </si>
  <si>
    <t>https://nationaldirectory.com.au/urbanline1/home</t>
  </si>
  <si>
    <t>https://www.indesignlive.com/uncategorized/indesign-magazine-60-dissections-directory</t>
  </si>
  <si>
    <t>https://observervoice.com/the-strength-of-stainless-steel-fabrication-73731/</t>
  </si>
  <si>
    <t>https://s3da-design.com/guest-contribution/the-role-of-exterior-cladding-in-construction-and-architecture/</t>
  </si>
  <si>
    <t>https://www.theindustryleaders.org/post/the-ultimate-homeowner-s-guide-to-exterior-cladding-options-in-2025</t>
  </si>
  <si>
    <t>https://www.fastbase.com/dataset/linkedin_companies/Australia/T/Timber</t>
  </si>
  <si>
    <t>https://www.re-thinkingthefuture.com/technologies/gp3731-external-cladding-in-modern-design-10-best-ideas-for-you/</t>
  </si>
  <si>
    <t>https://www.buzzsprout.com/1962139/episodes/15235410-nina-schubert</t>
  </si>
  <si>
    <t>https://www.imei.info/th/news/why-ipsec-still-matters-zero-trust-era/</t>
  </si>
  <si>
    <t>https://northpennnow.com/news/2025/sep/15/top-reasons-to-get-your-garage-door-fixed-before-its-too-late/</t>
  </si>
  <si>
    <t>https://www.bloglovin.com/blogs/a-house-in-hills-12110977/why-modern-garage-doors-are-a-game-changer-8735182594</t>
  </si>
  <si>
    <t>https://www.londondaily.news/what-uk-homeowners-can-learn-from-garage-door-services-in-shawnee/</t>
  </si>
  <si>
    <t>http://business.starkvilledailynews.com/starkvilledailynews/article/getfeatured-2025-8-13-raynor-garage-doors-of-kansas-city-expands-with-new-location-in-lees-summit-mo</t>
  </si>
  <si>
    <t>https://directory.coldlytics.com/companies/raynorkc</t>
  </si>
  <si>
    <t>https://index.businessinsurance.com/businessinsurance/article/getfeatured-2025-8-13-raynor-garage-doors-of-kansas-city-expands-with-new-location-in-lees-summit-mo</t>
  </si>
  <si>
    <t>https://enthrallinggumption.com/garage-door-experts-in-shawnee-area/</t>
  </si>
  <si>
    <t>https://reviews.birdeye.com/raynor-garage-doors-of-kansas-city-145480078015888</t>
  </si>
  <si>
    <t>https://breakingac.com/news/2025/aug/13/affordable-garage-door-services-in-lees-summit-quality-you-can-trust/</t>
  </si>
  <si>
    <t>http://remodelingkc.memberzone.com/list/ql/g-43?o=&amp;dm=True</t>
  </si>
  <si>
    <t>https://nerdbot.com/2025/08/11/choosing-the-right-garage-door-for-your-lees-summit-home-2025-guide/</t>
  </si>
  <si>
    <t>http://markets.chroniclejournal.com/chroniclejournal/article/getfeatured-2025-8-13-raynor-garage-doors-of-kansas-city-expands-with-new-location-in-lees-summit-mo</t>
  </si>
  <si>
    <t>https://blog.housesitmatch.com/blog/garage-door-specialists-for-design/</t>
  </si>
  <si>
    <t>https://network.procore.com/p/raynor-garage-doors-of-kc-shawnee</t>
  </si>
  <si>
    <t>https://money.mymotherlode.com/clarkebroadcasting.mymotherlode/article/getfeatured-2025-8-13-raynor-garage-doors-of-kansas-city-expands-with-new-location-in-lees-summit-mo</t>
  </si>
  <si>
    <t>http://stocks.observer-reporter.com/observerreporter/article/getfeatured-2025-8-13-raynor-garage-doors-of-kansas-city-expands-with-new-location-in-lees-summit-mo</t>
  </si>
  <si>
    <t>https://www.4specs.com/s/08/08-3618.html</t>
  </si>
  <si>
    <t>https://www.londondaily.news/choosing-the-right-garage-door-a-complete-guide-for-uk-homeowners/</t>
  </si>
  <si>
    <t>https://threebestrated.ca/garage-door-repair-in-vaughan-on</t>
  </si>
  <si>
    <t>https://shineyourlightblog.com/garage-door-experts-can-save-you-money-time-and-stress/</t>
  </si>
  <si>
    <t>https://alittledelightful.com/how-durable-doors-with-contemporary-charm-improve-security-and-aesthetics/</t>
  </si>
  <si>
    <t>https://www.thetraveler.org/jetblue-through-the-eyes-of-industry-experts/</t>
  </si>
  <si>
    <t>https://www.accio.com/business/best_selling_garage_doors</t>
  </si>
  <si>
    <t>https://grokipedia.com/page/Garage_door</t>
  </si>
  <si>
    <t>https://resident.com/resource-guide/2025/11/18/quality-garage-doors-built-to-last-reliable-garage-door-solutions-for-long-term-performance</t>
  </si>
  <si>
    <t>https://www.neighbourhoodguide.com/businesses/richards-wilcox-canada/</t>
  </si>
  <si>
    <t>https://nerdbot.com/2025/08/13/modern-doors-with-lasting-value-the-perfect-blend-of-style-strength-and-functionality/</t>
  </si>
  <si>
    <t>https://www.netnewsledger.com/2025/03/22/install-a-customized-garage-door-to-lend-a-personal-touch/</t>
  </si>
  <si>
    <t>https://theorg.com/org/richards-wilcox-canada/org-chart/antony-michelini</t>
  </si>
  <si>
    <t>https://www.career.msstate.edu/blog/2025/07/18/15-tips-for-environmental-studies-majors-who-are-mapping-their-careers/</t>
  </si>
  <si>
    <t>https://www.sweetsofties.com/2025/12/raynor-garage-doors-quality-durability-and-modern-solutions-for-your-home.html</t>
  </si>
  <si>
    <t>https://greenrecord.co.uk/elevating-home-design-with-contemporary-garage-doors-by-richards-wilcox/</t>
  </si>
  <si>
    <t>https://careerconnect.uog.edu/blog/2025/03/27/15-tips-for-environmental-studies-majors-who-are-mapping-their-careers/</t>
  </si>
  <si>
    <t>https://ahouseinthehills.com/how-to-choose-modern-garage-doors-for-the-perfect-upgrade/</t>
  </si>
  <si>
    <t>https://www.collegerecruiter.com/blog/2025/03/21/15-tips-for-environmental-studies-majors-who-are-mapping-their-careers</t>
  </si>
  <si>
    <t>https://thearchitectsdiary.com/how-future-ready-garage-doors-are-redefining-modern-home-security/</t>
  </si>
  <si>
    <t>https://opplehouse.com/why-heavy-duty-doors-with-fire-resistance-are-a-smart-investment-for-every-building/</t>
  </si>
  <si>
    <t>https://myinteriorpalace.com/why-more-homeowners-are-switching-to-custom-garage-doors/</t>
  </si>
  <si>
    <t>https://career.uml.edu/blog/2025/09/19/15-tips-for-environmental-studies-majors-who-are-mapping-their-careers/</t>
  </si>
  <si>
    <t>https://artdaily.cc/news/181452/Selecting-Overhead-Doors-for-Industrial-or-Commercial-Purposes--An-Insight</t>
  </si>
  <si>
    <t>https://azbigmedia.com/lifestyle/planning-your-first-trip-to-arizona-12-essential-tips/</t>
  </si>
  <si>
    <t>https://sweets.construction.com/manufacturer/richards-wilcox-nst154188/products/landmark--classic-l138-garage-door-nst746054-p</t>
  </si>
  <si>
    <t>https://careers.uw.edu/blog/2025/06/18/15-tips-for-environmental-studies-majors-who-are-mapping-their-careers/</t>
  </si>
  <si>
    <t>https://www.thepinnaclelist.com/articles/how-can-you-benefit-from-industrial-overhead-doors/</t>
  </si>
  <si>
    <t>https://www.realtyexecutives.com/blog/garage-door-repairs-improve-home-security</t>
  </si>
  <si>
    <t>https://northpennnow.com/news/2025/sep/15/how-to-maintain-traditional-style-garage-doors-for-longevity/</t>
  </si>
  <si>
    <t>https://www.re-thinkingthefuture.com/technologies/gp5746-why-garage-and-industrial-doors-matter-in-architecture/</t>
  </si>
  <si>
    <t>https://artdaily.com/news/181452/Selecting-Overhead-Doors-for-Industrial-or-Commercial-Purposes--An-Insight</t>
  </si>
  <si>
    <t>https://www.bloglovin.com/blogs/a-house-in-hills-12110977/how-to-choose-modern-garage-doors-for-perfect-8735182595</t>
  </si>
  <si>
    <t>https://ces.pugetsound.edu/blog/2025/05/01/15-tips-for-environmental-studies-majors-who-are-mapping-their-careers/</t>
  </si>
  <si>
    <t>https://careerservices.fgcu.edu/blog/2025/06/30/15-tips-for-environmental-studies-majors-who-are-mapping-their-careers/</t>
  </si>
  <si>
    <t>https://scecareer.nau.edu/blog/2025/08/22/15-tips-for-environmental-studies-majors-who-are-mapping-their-careers/</t>
  </si>
  <si>
    <t>https://s3da-design.com/guest-contribution/combining-strength-and-style-sectional-traditional-garage-door-solutions/</t>
  </si>
  <si>
    <t>https://career.mercer.edu/blog/2025/09/04/15-tips-for-environmental-studies-majors-who-are-mapping-their-careers/</t>
  </si>
  <si>
    <t>https://www.elevatedmagazines.com/single-post/best-modern-exterior-home-trends-you-need-to-adopt</t>
  </si>
  <si>
    <t>https://careerlaunchpad.arcadia.edu/blog/2025/03/20/19-tips-for-sociology-majors-who-are-mapping-their-careers/</t>
  </si>
  <si>
    <t>https://cdo.pomona.edu/blog/2025/10/16/15-tips-for-environmental-studies-majors-who-are-mapping-their-careers/</t>
  </si>
  <si>
    <t>https://careerlaunch.unlv.edu/blog/2025/03/17/19-tips-for-sociology-majors-who-are-mapping-their-careers/</t>
  </si>
  <si>
    <t>https://www.apsense.com/user/rwdoors</t>
  </si>
  <si>
    <t>https://creativedoor.com/blog/richards-wilcox-contemporary-rockwood-series</t>
  </si>
  <si>
    <t>https://www.provenexpert.com/en-us/richards-wilcox-canada/</t>
  </si>
  <si>
    <t>https://careerservices.smumn.edu/blog/2025/03/24/15-tips-for-environmental-studies-majors-who-are-mapping-their-careers/</t>
  </si>
  <si>
    <t>https://up.codes/manufacturer/richards-wilcox-canada</t>
  </si>
  <si>
    <t>https://www.importyeti.com/supplier/richards-wilcox-canada</t>
  </si>
  <si>
    <t>https://careers.sdstate.edu/blog/2025/04/07/15-tips-for-environmental-studies-majors-who-are-mapping-their-careers/</t>
  </si>
  <si>
    <t>https://blog.housesitmatch.com/blog/timeless-garage-doors-trapid-access-for-lasting-appeal/</t>
  </si>
  <si>
    <t>https://career.alma.edu/blog/2025/04/10/19-tips-for-sociology-majors-who-are-mapping-their-careers/</t>
  </si>
  <si>
    <t>https://tamaracamerablog.com/commercial-garage-door-repairs/</t>
  </si>
  <si>
    <t>https://www.flexhouse.org/why-are-the-services-of-the-garage-door-company-mississauga-most-important/</t>
  </si>
  <si>
    <t>https://can.ezilon.com/canada/business/industrial_goods_and_services/industrial_equipment/industrial_doors/index.shtml</t>
  </si>
  <si>
    <t>https://breakingac.com/news/2025/aug/13/exploring-carriage-style-garage-doors-a-timeless-choice-for-your-home/</t>
  </si>
  <si>
    <t>https://enthrallinggumption.com/automatic-garage-door-opener-a-complete-informational-guide-to-modern-garage-access/</t>
  </si>
  <si>
    <t>https://technewstop.org/preparing-your-garage-door-for-winter-expert-tips-and-maintenance/</t>
  </si>
  <si>
    <t>https://career.online.ou.edu/blog/2025/03/24/15-tips-for-environmental-studies-majors-who-are-mapping-their-careers/</t>
  </si>
  <si>
    <t>https://metapress.com/follow-garage-door-design-trends-to-enjoy-your-selection/</t>
  </si>
  <si>
    <t>https://www.caddetails.com/projects/richards-wilcox/5599/garage-door-installations-expectations-and-things-to-consider/5953/</t>
  </si>
  <si>
    <t>https://gadukafarmonicsb1.firebaseapp.com/b2/canadian-garage-doors-mississauga.html</t>
  </si>
  <si>
    <t>https://wiza.co/d/richards-wilcox-canada/049e/quentin-pittman</t>
  </si>
  <si>
    <t>https://internship.odu.edu/blog/2025/05/22/19-tips-for-sociology-majors-who-are-mapping-their-careers/</t>
  </si>
  <si>
    <t>https://lovechicliving.co.uk/raynor-garage-door-contemporary-design/</t>
  </si>
  <si>
    <t>https://housekeep.com/cost-guide/cleaner/carpet-cleaning/</t>
  </si>
  <si>
    <t>https://www.yorkshire.com/colton/shopping/diy-stores/united-carpets-and-beds-leeds-cross-gates</t>
  </si>
  <si>
    <t>https://www.expertreviews.co.uk/home-garden/best-carpet-for-stairs</t>
  </si>
  <si>
    <t>https://tradepriced.co.uk/compare-united-carpets-carpet-underlay/</t>
  </si>
  <si>
    <t>https://www.healthstaffdiscounts.co.uk/biz/a/44972-united-carpets-wrexham</t>
  </si>
  <si>
    <t>https://www.insightdiy.co.uk/news/united-carpets-and-beds-opens-flagship-store-in-former-bq-unit-in-altrincham/6603.htm</t>
  </si>
  <si>
    <t>http://www.cv-library.co.uk/companies/employers/U</t>
  </si>
  <si>
    <t>https://ncca.co.uk/cleaning-advice/spring-clean-survey-the-results/</t>
  </si>
  <si>
    <t>https://www.padmagazine.co.uk/home-decor/how-to-choose-between-laminate-and-vinyl-flooring-while-building-a-cosy-uk-home/32282/</t>
  </si>
  <si>
    <t>https://blog.catalink.com/category/gift-ideas/</t>
  </si>
  <si>
    <t>https://threebestrated.co.uk/mattress-stores-in-chorley</t>
  </si>
  <si>
    <t>https://www.nottingham.co.uk/listing/353118-United-Carpets-Woodfloor-Beds/</t>
  </si>
  <si>
    <t>https://www.europeanbusinessreview.com/how-to-pick-the-perfect-carpet-type-for-every-room-in-your-house/</t>
  </si>
  <si>
    <t>https://www.openingtimesin.uk/united-carpets-and-beds-bristol</t>
  </si>
  <si>
    <t>https://www.thomsonlocal.com/search/carpets/nottingham/united-carpets-beds/1875577/01159209331</t>
  </si>
  <si>
    <t>https://www.the-shops.co.uk/chainstore/677-united-carpets-and-beds</t>
  </si>
  <si>
    <t>https://www.jacksonwoodturners.co.uk/blog/post/expert-styling-advice-on-the-nations-favoured-stair-flooring</t>
  </si>
  <si>
    <t>https://www.limely.co.uk/blog/top-10-carpet-ecommerce-websites</t>
  </si>
  <si>
    <t>https://www.marketing-beat.co.uk/2025/05/06/united-carpets-beds-mccann/</t>
  </si>
  <si>
    <t>https://www.greaterbirminghamchambers.com/event-calendar/royal-sutton-coldfield-lichfield-tamworth-and-cannock-chase-awards-2024-240126.html</t>
  </si>
  <si>
    <t>https://www.cardiff.co.uk/listing/1576682-United-Carpets-Wood-Floors-Beds/</t>
  </si>
  <si>
    <t>https://www.shemightbeloved.com/bedroom-makeover-dark-moody-velvets/</t>
  </si>
  <si>
    <t>https://crewe.nub.news/news/local-news/sp8556-popular-crewe-south-shop-trials-quiet-hours-252858</t>
  </si>
  <si>
    <t>https://carolineondesign.com/how-to-choose-cut-pile-vs-loop-pile-carpet-2/</t>
  </si>
  <si>
    <t>https://craft.co/united-carpets-group</t>
  </si>
  <si>
    <t>https://amazingarchitecture.com/articles/3-factors-to-consider-when-buying-popular-bed-types</t>
  </si>
  <si>
    <t>https://blogbuz.co.uk/the-ultimate-guide-on-how-to-get-red-wine-stains-out-of-carpets/</t>
  </si>
  <si>
    <t>https://inspiredhomes.uk.com/bedroom-design-trends/</t>
  </si>
  <si>
    <t>https://inthewash.co.uk/cleaning/get-fake-tan-out-of-carpet/</t>
  </si>
  <si>
    <t>https://www.teesactive.co.uk/local-discounts/</t>
  </si>
  <si>
    <t>https://speedtest.fastbase.com/Addreviews.aspx?cid=185283</t>
  </si>
  <si>
    <t>https://blog.bay-bee.co.uk/5-key-advantages-of-choosing-carpet-for-your-flooring/</t>
  </si>
  <si>
    <t>https://www.marketbeat.com/stocks/LON/UCG/</t>
  </si>
  <si>
    <t>https://www.emmysmummy.com/3-smart-popular-bed-choices-for-busy-family-homes</t>
  </si>
  <si>
    <t>https://www.e-architect.com/articles/best-flooring-options-for-rental-properties</t>
  </si>
  <si>
    <t>https://3dbrute.com/download/perth-fabric-bed-frame/</t>
  </si>
  <si>
    <t>https://www.urbancompany.com/blog/how-to-choose-the-perfect-carpet-flooring-colour-to-match-your-walls</t>
  </si>
  <si>
    <t>https://wittymagazine.co.uk/laminate-flooring-for-busy-homes-what-makes-it-a-smart-choice/</t>
  </si>
  <si>
    <t>https://www.inkl.com/news/how-to-save-energy-at-home-31-expert-approved-tips-to-save-energy-money-and-the-planet</t>
  </si>
  <si>
    <t>https://guiseleyafc.co.uk/focus-turns-to-altrincham-visit/</t>
  </si>
  <si>
    <t>http://home.kangaroo.vn/?h=156914523</t>
  </si>
  <si>
    <t>https://www.top-rated.online/cities/Wrexham/place/p/9347193/United+Carpets+and+Beds+Wrexham</t>
  </si>
  <si>
    <t>https://amumreviews.co.uk/best-flooring-types-for-kitchens/</t>
  </si>
  <si>
    <t>https://elth.ucv.ro/?e=505760913</t>
  </si>
  <si>
    <t>https://chem-dry.net/chemdryofsanluisobispoca/blog/why-you-should-clean-your-carpets-as-soon-as-possible</t>
  </si>
  <si>
    <t>https://alan-allison-88.firebaseapp.com/living-room-with-carpet-flooring.html</t>
  </si>
  <si>
    <t>http://fbsp.ftu.edu.vn/?f=376269515</t>
  </si>
  <si>
    <t>https://mail.kroxam.com/?m=386912215</t>
  </si>
  <si>
    <t>Search Term</t>
  </si>
  <si>
    <t>Florida Interior designer</t>
  </si>
  <si>
    <t>"Florida" "guest post"</t>
  </si>
  <si>
    <t>"Texas" "Guest post"</t>
  </si>
  <si>
    <t>https://speedingticketkc.com/5-road-safety-tips-in-the-state-of-texas-guest-post/</t>
  </si>
  <si>
    <t>https://twotravelingtexans.com/texas-trippin-guest-post/</t>
  </si>
  <si>
    <t>https://equalitytexas.org/blog/guest-post-why-black-lives-should-matter-to-you/</t>
  </si>
  <si>
    <t>https://www.digitalsuccess.us/guest-blogging.html</t>
  </si>
  <si>
    <t>https://writersleague.org/community-member-guest-post-the-writers-workshop/</t>
  </si>
  <si>
    <t>https://blog.texasbar.com/2010/10/articles/people/guest-post-dell-inc-gc-shares-pro-bono-story/</t>
  </si>
  <si>
    <t>https://laurenflake.com/a-legacy-of-depression-guest-post-at-chronically-whole/</t>
  </si>
  <si>
    <t>https://unitedwayaustin.org/education-live-united-film-series-guest-post-by-jason-sabo-united-ways-of-texas/</t>
  </si>
  <si>
    <t>https://www.allwaterguides.com/blog/2017/11/1/texas-on-the-fly-day-4-of-4-guest-post-by-tony-wheeler</t>
  </si>
  <si>
    <t>https://pdwise.com/stories/a-letter-to-my-newly-diagnosed-self-guest-post-for-the-davis-phinney-foundation-for-parkinsons/</t>
  </si>
  <si>
    <t>https://dentalprofessionalsonline.com/blog/write-for-us-dental-guest-blogging-opportunities/</t>
  </si>
  <si>
    <t>https://bkvenergy.com/blog/dallas-vs-houston-cost-of-living-comparison/</t>
  </si>
  <si>
    <t>Javier</t>
  </si>
  <si>
    <t>support@bkvenergy.com</t>
  </si>
  <si>
    <t>pattrickosullivann@gmail.com</t>
  </si>
  <si>
    <t>Best by</t>
  </si>
  <si>
    <t>https://taraenergy.com/blog/texas-top-elementary-schools-educational-excellence/</t>
  </si>
  <si>
    <t>info@taraenergy.com, CustomerSupport@TaraEnergy.com, pr@taraenergy.com</t>
  </si>
  <si>
    <t>Electricity</t>
  </si>
  <si>
    <t>https://thecommondesk.com/resource/guide-how-to-network-in-coworking-space-environment/</t>
  </si>
  <si>
    <t>hello@thecommondesk.com</t>
  </si>
  <si>
    <t>https://alltimedesign.com/newsletter-design-ideas/</t>
  </si>
  <si>
    <t>support@alltimedesign.com, hello@alltimedesign.com</t>
  </si>
  <si>
    <t>https://www.brafton.com.au/blog/strategy/12-ways-to-do-real-estate-content-marketing-like-the-pros/</t>
  </si>
  <si>
    <t>techsupport@brafton.com, info@brafton.com</t>
  </si>
  <si>
    <t>https://austin.com/austin-homes-primed-to-sell/</t>
  </si>
  <si>
    <t>Lola</t>
  </si>
  <si>
    <t>editor@austin.com, lolah@austin.com</t>
  </si>
  <si>
    <t>https://jobble.com/articles/deciding-where-to-live-as-a-gig-worker/</t>
  </si>
  <si>
    <t>community@jobble.com, support@jobble.com</t>
  </si>
  <si>
    <t>https://uphomes.com/blog/moving-to-austin-tx/</t>
  </si>
  <si>
    <t>ryan@uphomes.com</t>
  </si>
  <si>
    <t>https://ibuyer.com/blog/should-you-replace-roof-before-selling-house/</t>
  </si>
  <si>
    <t>info@ibuyer.com</t>
  </si>
  <si>
    <t>hamillcreek.com</t>
  </si>
  <si>
    <t>https://www.timberhomeliving.com/floorplans/birchgrove-timber-home-plan/</t>
  </si>
  <si>
    <t>Mari, Donna</t>
  </si>
  <si>
    <t>mcampbell@aimmedia.com, dpeak@aimmedia.com</t>
  </si>
  <si>
    <t>kurtizforster@gmail.com</t>
  </si>
  <si>
    <t>Random Outreach (Kenna)</t>
  </si>
  <si>
    <t>https://www.lowimpact.org/posts/category/utilities/page/5/</t>
  </si>
  <si>
    <t>dave@lowimpact.org</t>
  </si>
  <si>
    <t>https://www.ecohome.net/en/companies/1600/hamill-creek-timber-homes/</t>
  </si>
  <si>
    <t>Mike</t>
  </si>
  <si>
    <t>info@ecohome.net, mike@ecohome.net</t>
  </si>
  <si>
    <t>jon@jonathonspire.com</t>
  </si>
  <si>
    <t>https://brennancorp.com/blog/why-timber-framing-is-the-best-option-for-your-home-in-texas/</t>
  </si>
  <si>
    <t>Kerry, Cameron</t>
  </si>
  <si>
    <t>kerry@brennancorp.com, cameron@brennancorp.com, leads@brennancorp.com</t>
  </si>
  <si>
    <t>https://www.trulogsiding.com/designing-your-log-cabin-for-climate/</t>
  </si>
  <si>
    <t>Ted</t>
  </si>
  <si>
    <t>info@trulogsiding.com</t>
  </si>
  <si>
    <t>https://biggerthanthethreeofus.com/install-baseboards-using-scarf-joint/</t>
  </si>
  <si>
    <t>Ashley</t>
  </si>
  <si>
    <t>ashley@biggerthanthethreeofus.com</t>
  </si>
  <si>
    <t>https://www.builderonline.com/firms/hamill-creek</t>
  </si>
  <si>
    <t>supportrequest@zondahome.com</t>
  </si>
  <si>
    <t>https://www.windermere.com/blog/beautiful-inside-out-timber-interiors-for-a-timber-frame-home</t>
  </si>
  <si>
    <t>John, OB, Jill</t>
  </si>
  <si>
    <t>friend@windermere.com, john@windermere.com, obj@windermere.com, jill@windermere.com</t>
  </si>
  <si>
    <t>https://www.brainzmagazine.com/post/exclusive-interview-with-rosalind-panda-on-her-business-and-what-nft-friendly-really-means</t>
  </si>
  <si>
    <t>Caroline</t>
  </si>
  <si>
    <t>content@brainzmagazine.com, contact@brainzmagazine.com</t>
  </si>
  <si>
    <t>https://archinect.com/news/article/5646/the-house-that-built-a-revolution</t>
  </si>
  <si>
    <t>Paul</t>
  </si>
  <si>
    <t>paul.p@archinect.com, paul@archinect.com, advertising@archinect.com,connect@archinect.com, ed@archinect.com</t>
  </si>
  <si>
    <t>https://modernhb.com/news/century-reveals-new-homes-in-boulder-county/</t>
  </si>
  <si>
    <t>hello@finelightmediagroup.com</t>
  </si>
  <si>
    <t>https://256today.com/online-home-buying-pioneer-brings-new-homes-to-albertville/</t>
  </si>
  <si>
    <t>Courtney</t>
  </si>
  <si>
    <t>courtney@256today.com, News@256Today.com</t>
  </si>
  <si>
    <t>https://thebamabuzz.com/century-complete-new-homesites-in-fairhope/</t>
  </si>
  <si>
    <t>Cindy</t>
  </si>
  <si>
    <t>hello@thebamabuzz.com</t>
  </si>
  <si>
    <t>https://www.bridgeland.com/bridgeland-adds-two-new-homebuilders-to-creekland-village/</t>
  </si>
  <si>
    <t>welcomecenter@bridgeland.com</t>
  </si>
  <si>
    <t>https://knowatlanta.com/find-a-home/top-5-reasons-to-consider-active-adult-living-in-metro-atlanta</t>
  </si>
  <si>
    <t>Sherry, Larry</t>
  </si>
  <si>
    <t>sherry@knowatlanta.com, lebovitz@knowatlanta.com</t>
  </si>
  <si>
    <t>https://rutherfordsource.com/new-murfreesboro-neighborhood-davenport-station-hold-grand-opening/</t>
  </si>
  <si>
    <t>Steven</t>
  </si>
  <si>
    <t>info@RutherfordSource.com, Steven.Ludwig@MiddleTennesseeSource.com</t>
  </si>
  <si>
    <t>https://westorlandonews.com/sales-open-at-the-landings-at-pecan-park-new-jacksonville-community/</t>
  </si>
  <si>
    <t>mike@westorlandonews.com</t>
  </si>
  <si>
    <t>https://wasteremovalusa.com/locations/north-carolina/indian-trail/</t>
  </si>
  <si>
    <t>https://benitolink.com/san-juan-oaks-senior-home-development-back-on-track/</t>
  </si>
  <si>
    <t>lesliedavid@benitolink.com, noemagana@benitolink.com, info@benitolink.com</t>
  </si>
  <si>
    <t>https://atlantaagentmagazine.com/2014/11/14/century-communities-acquires-peachtree-communities-atlanta-55-million/</t>
  </si>
  <si>
    <t>Anne</t>
  </si>
  <si>
    <t>anne@agentpublishing.com</t>
  </si>
  <si>
    <t>https://www.renterswarehouse.com/education/how-does-build-to-rent-work</t>
  </si>
  <si>
    <t>info@renterswarehouse.com, kevin@renterswarehouse.com</t>
  </si>
  <si>
    <t>https://bramlettresidential.com/blog/13-best-neighborhoods-in-pflugerville/</t>
  </si>
  <si>
    <t>Haval, JC</t>
  </si>
  <si>
    <t>haval@bramlettresidential.com, jc@bramlettresidential.com</t>
  </si>
  <si>
    <t>Kristin</t>
  </si>
  <si>
    <t>advertise@denverlifemagazine.com, info@denverlifemagazine.com, tom@denverlifemagazine.com</t>
  </si>
  <si>
    <t>https://orchard.com/homes/details/5140-union-hts-way-116-flowery-branch-ga-30542</t>
  </si>
  <si>
    <t>Court</t>
  </si>
  <si>
    <t>support@orchard.com, hello@orchard.com</t>
  </si>
  <si>
    <t>https://inbusinessphx.com/commercial-real-estate/colorado-builder-announces-new-home-collection-at-established-community-in-buckeye</t>
  </si>
  <si>
    <t>RaeAnne</t>
  </si>
  <si>
    <t>info@inbusinessphx.com, editor@inbusinessphx.com</t>
  </si>
  <si>
    <t>https://milehighcre.com/mixed-use-apartment-complex-breaks-ground-in-lone-tree/</t>
  </si>
  <si>
    <t>Danielle, Katie</t>
  </si>
  <si>
    <t>publisher@milehighcre.com, editor@milehighcre.com</t>
  </si>
  <si>
    <t>https://www.fcnews.net/2018/05/emser-tile-century-communities-continue-partnership/</t>
  </si>
  <si>
    <t>Dustin</t>
  </si>
  <si>
    <t>info@fcnews.net, dustin@fcnews.net</t>
  </si>
  <si>
    <t>https://candysdirt.com/2023/06/03/online-sales-pioneer-century-communities-has-two-new-single-family-developments-on-offer/</t>
  </si>
  <si>
    <t>candace@candysdirt.com, news@candysdirt.com</t>
  </si>
  <si>
    <t>https://onekindesign.com/2013/11/01/51-mesmerizing-master-bathrooms-fireplaces/</t>
  </si>
  <si>
    <t>Canuck</t>
  </si>
  <si>
    <t>https://www.mihomes.com/blog/best-home-builders</t>
  </si>
  <si>
    <t>Aisha</t>
  </si>
  <si>
    <t>SalesOrlando@mihomes.com</t>
  </si>
  <si>
    <t>https://www.lanereport.com/146470/2021/09/century-complete-national-homebuilder-enters-kentucky-market/</t>
  </si>
  <si>
    <t>kevin@lanereport.com, marketing@lanereport.com, production@lanereport.com</t>
  </si>
  <si>
    <t>https://www.timescall.com/2024/08/30/century-communities-now-selling-at-farmlore-in-brighton/</t>
  </si>
  <si>
    <t>tcnews@timescall.com</t>
  </si>
  <si>
    <t>https://thebossmagazine.com/finding-right-property-at-right-price/</t>
  </si>
  <si>
    <t>editor@digitalinkco.com, info@thebnngroup.com</t>
  </si>
  <si>
    <t>https://reiwa.com.au/the-wa-market/resources/articles/the-top-building-design-trends-to-watch-out-for-in-2022/</t>
  </si>
  <si>
    <t>Mr Slater</t>
  </si>
  <si>
    <t>infoservice@reiwa.com.au, info@reiwa.com.au</t>
  </si>
  <si>
    <t>https://anartfulmom.com/packing-your-craft-room-for-move/</t>
  </si>
  <si>
    <t>pam@anartfulmom.com</t>
  </si>
  <si>
    <t>https://www.whrg.com/blog/how-to-become-a-relocation-expert-in-four-easy-steps/</t>
  </si>
  <si>
    <t>Roger</t>
  </si>
  <si>
    <t>contactus@whrg.com, roger@whrg.com</t>
  </si>
  <si>
    <t>https://www.dakotastorage.com/blog/best-practices-for-reorganizing-your-storage-shed-garage</t>
  </si>
  <si>
    <t>Lenny</t>
  </si>
  <si>
    <t>sales@dakotastorage.com, lenny@dakotastorage.com</t>
  </si>
  <si>
    <t>https://hometechhacker.com/how-to-make-your-new-house-a-smart-home/</t>
  </si>
  <si>
    <t>Marlon</t>
  </si>
  <si>
    <t>marlon@hometechhacker.com</t>
  </si>
  <si>
    <t>https://goldenharbors.com/articles/costa-rica-residency</t>
  </si>
  <si>
    <t>Sergey, Victoria</t>
  </si>
  <si>
    <t>info@goldenharbors.com, victoria@goldenharbors.com</t>
  </si>
  <si>
    <t>https://equiton.com/category/real-estate-research/</t>
  </si>
  <si>
    <t>inquiries@equiton.com</t>
  </si>
  <si>
    <t>https://eastsidefeed.com/real-estate/rent-stabilized-apartments-planned-at-new-third-avenue-development/</t>
  </si>
  <si>
    <t>team@eastsidefeed.com</t>
  </si>
  <si>
    <t>https://gridironcapital.com/gridiron-capital-announces-colibri-groups-expansion-in-appraisal-and-real-estate-education-services/</t>
  </si>
  <si>
    <t>kjackson@gridironcapital.com</t>
  </si>
  <si>
    <t>https://utv44.com/news/local/mobile-awards-2024-first-responder-of-the-year</t>
  </si>
  <si>
    <t>mediainquiries@sbgtv.com, Contentsales@sbgtv.com</t>
  </si>
  <si>
    <t>https://roninarea.com/</t>
  </si>
  <si>
    <t>info@roninarea.com</t>
  </si>
  <si>
    <t>https://www.realestatewitch.com/we-buy-houses-for-cash-companies/california/vallejo/</t>
  </si>
  <si>
    <t>team@realestatewitch.com, kristen.herhold@movewithclever.com, thomas@movewithclever.com</t>
  </si>
  <si>
    <t>https://flyarchitecture.net/2025/05/14/how-to-get-a-better-offer-when-selling-your-home/</t>
  </si>
  <si>
    <t>Luther</t>
  </si>
  <si>
    <t>info@flyarchitecture.net</t>
  </si>
  <si>
    <t>https://middleclasshomes.net/what-makes-green-homes-a-great-choice-for-modern-homebuyers/</t>
  </si>
  <si>
    <t>movein@middleclasshomes.net</t>
  </si>
  <si>
    <t>https://bigboxratio.com/interiors/renovations-that-add-the-most-value-to-your-home/</t>
  </si>
  <si>
    <t>contact@bigboxratio.com</t>
  </si>
  <si>
    <t>https://homerocketrealty.com/smart-tactics-to-sell-a-luxury-condo-fast-without-undervaluing-it/</t>
  </si>
  <si>
    <t xml:space="preserve">Timothy </t>
  </si>
  <si>
    <t>manager@homerocketrealty.com</t>
  </si>
  <si>
    <t>https://www.neighborhoods.com/blog/should-i-renovate-or-move</t>
  </si>
  <si>
    <t>help@neighborhoods.com</t>
  </si>
  <si>
    <t>https://location.com/categories/real-estate/ca/walnut-creek/en/john-buys-bay-area-houses-557237412</t>
  </si>
  <si>
    <t>social@yext.com</t>
  </si>
  <si>
    <t>https://www.housebuyersofamerica.com/cash-home-buyers/san-jose</t>
  </si>
  <si>
    <t>info@HouseBuyersOfAmerica.com</t>
  </si>
  <si>
    <t>https://mygardenandpatio.com/the-pros-and-cons-of-relocating-for-work/</t>
  </si>
  <si>
    <t>info@mygardenandpatio.com</t>
  </si>
  <si>
    <t>Garden</t>
  </si>
  <si>
    <t>https://www.beycome.com/blog/reupholstery-increase-home-value/</t>
  </si>
  <si>
    <t>https://koriathome.com/mom-may-be-the-word-but-that-doesnt-mean-you-have-to-make-your-home-alone/</t>
  </si>
  <si>
    <t>Kori</t>
  </si>
  <si>
    <t>https://koriathome.com/contact-3/</t>
  </si>
  <si>
    <t>https://www.melanielissackinteriors.com/blog/2025/12/6/fabric-matters-science-behind-colour-and-texture-in-window-treatments</t>
  </si>
  <si>
    <t>Melanie</t>
  </si>
  <si>
    <t>melanie.lissack@gmail.com</t>
  </si>
  <si>
    <t>https://makeitright.ca/holmes-advice/guest-posts/top-5-ways-to-decorate-your-home-with-texture/</t>
  </si>
  <si>
    <t>Communications@makeitright.ca, mike@makeitright.ca</t>
  </si>
  <si>
    <t>https://kelloggsupplyco.com/resources/articles-and-buying-guides/how-tos/how-to-install-egress-windows</t>
  </si>
  <si>
    <t>Info@kelloggsupplyco.com, bobbyn@kelloggsupplyco.com, beccat@kelloggsupplyco.com, joeg@kelloggsupplyco.com</t>
  </si>
  <si>
    <t>https://saterdesign.com/blogs/news/top-8-home-decor-ideas-that-will-refresh-your-old-living-room</t>
  </si>
  <si>
    <t>Dan</t>
  </si>
  <si>
    <t>customerservice@saterdesign.com, dan@saterdesign.com</t>
  </si>
  <si>
    <t>Home Designs</t>
  </si>
  <si>
    <t>http://www.jugrnaut.com/crooks-and-castles-ss-14-delivery-available-now/</t>
  </si>
  <si>
    <t>https://www.bnbcalc.com/blog/property-management/pmc-santa-monica-california</t>
  </si>
  <si>
    <t>Jeremy</t>
  </si>
  <si>
    <t>hello@bnbcalc.com, jeremy@bnbcalc.com</t>
  </si>
  <si>
    <t>https://www.steadily.com/blog/airbnb-short-term-rental-laws-regulations-newport-beach</t>
  </si>
  <si>
    <t>Darren</t>
  </si>
  <si>
    <t>support@steadily.com, darren.n@steadily.com, darren@steadily.com, datha@steadily.com</t>
  </si>
  <si>
    <t>insurance</t>
  </si>
  <si>
    <t>https://ontariobusinessgrants.com/start-a-business/how-to-start-an-airbnb-business-in-ontario/</t>
  </si>
  <si>
    <t>Moe</t>
  </si>
  <si>
    <t>moe@ontariobusinessgrants.com, support@canadabusinessgrants.com</t>
  </si>
  <si>
    <t>https://masterhost.ca/best-airbnb-management-companies-toronto/</t>
  </si>
  <si>
    <t>Denis</t>
  </si>
  <si>
    <t>info@masterhost.ca, denis@masterhost.ca</t>
  </si>
  <si>
    <t>Airbnb</t>
  </si>
  <si>
    <t>https://www.alltherooms.com/resources/articles/the-best-vacation-rental-and-airbnb-property-management-companies-2022/</t>
  </si>
  <si>
    <t>analytics@alltherooms.com, contact@alltherooms.com</t>
  </si>
  <si>
    <t>https://indianjadibooti.com/Jadistore/blog-headlines/indianjadibooti-gud-(without-masala)-jaggery-gudh</t>
  </si>
  <si>
    <t>https://www.doorloop.com/blog/doorloop-first-annual-property-management-website-of-the-year-awards</t>
  </si>
  <si>
    <t>Ori</t>
  </si>
  <si>
    <t>ori@doorloop.com, support@doorloop.com</t>
  </si>
  <si>
    <t>Software</t>
  </si>
  <si>
    <t>https://trustanalytica.org/ca/qc/montreal/reviews/guestable-1657966323</t>
  </si>
  <si>
    <t>info@trustanalytica.com</t>
  </si>
  <si>
    <t>https://www.elikarealestate.com/blog/managing-short-term-rentals-nyc/</t>
  </si>
  <si>
    <t>Gea</t>
  </si>
  <si>
    <t>info@elikarealestate.com, gea@elikarealestate.com</t>
  </si>
  <si>
    <t>https://www.condoblackbook.com/blog/buying-a-miami-condo-for-daily-rental-or-short-term-vacation-rental-read-this/</t>
  </si>
  <si>
    <t>Sep</t>
  </si>
  <si>
    <t>contact@condoblackbook.com, connect@blackbookproperties.com, contact@blackbookproperties.com, sep@condoblackbook.com</t>
  </si>
  <si>
    <t>https://audiala.com/en/canada/toronto/maple-leaf-square</t>
  </si>
  <si>
    <t>https://www.physio-network.com/blog/kinesio-tape-negatives/</t>
  </si>
  <si>
    <t>https://tomba.io/company/guestable.com</t>
  </si>
  <si>
    <t>https://www.imnepal.com/toronto-airbnb-market/</t>
  </si>
  <si>
    <t>https://gridinsoft.com/online-virus-scanner/url/guestable-com</t>
  </si>
  <si>
    <t>https://www.igms.com/case-study-from-guestable/</t>
  </si>
  <si>
    <t>Ivan</t>
  </si>
  <si>
    <t>sales@igms.com, support@igms.com, ivan@igms.com, igor@igms.com</t>
  </si>
  <si>
    <t>https://networkustad.com/2023/04/21/toronto-airbnb-management-uncovering-the-ideal-assistance-for-your-property/</t>
  </si>
  <si>
    <t>admin@networkustad.com, fschub54@gmail.com</t>
  </si>
  <si>
    <t>https://technewstop.org/top-20-tips-for-airbnb-guests/</t>
  </si>
  <si>
    <t>https://thelatinvestor.com/blogs/news/santo-domingo-property-investment</t>
  </si>
  <si>
    <t>team@thelatinvestor.com</t>
  </si>
  <si>
    <t>https://www.caribbeannationalweekly.com/lifestyle/top-10-florida-cities-for-fine-dining-this-christmas/</t>
  </si>
  <si>
    <t>advertising@cnweeklynews.com, editor@cnweeklynews.com</t>
  </si>
  <si>
    <t>https://tripfrogapp.com/safest-places-in-mexico/</t>
  </si>
  <si>
    <t>info@tripfrogapp.com, tripfrog@redwerk.com</t>
  </si>
  <si>
    <t>https://davidsbeenhere.com/2025/12/24/an-amazing-wedding-party-at-villa-vegas-dave-in-mexico/</t>
  </si>
  <si>
    <t>David@GodandBeauty.com, david@davidsbeenhere.com, brandon@davidsbeenhere.com</t>
  </si>
  <si>
    <t>https://www.buddythetravelingmonkey.com/how-to-plan-the-perfect-beach-vacation-in-cabo-san-lucas/</t>
  </si>
  <si>
    <t>Vicky</t>
  </si>
  <si>
    <t>vickyandbuddy@gmail.com</t>
  </si>
  <si>
    <t>https://www.wanderwithwonder.com/5-most-instagrammable-spots-in-cabo-san-lucas/</t>
  </si>
  <si>
    <t>Susan</t>
  </si>
  <si>
    <t>press@wanderwithwonder.com, editorial@wanderwithwonder.com, susan@wanderwithwonder.com</t>
  </si>
  <si>
    <t>https://travellingapples.com/why-cabo-is-the-perfect-destination-for-a-solo-traveler/</t>
  </si>
  <si>
    <t>Chris</t>
  </si>
  <si>
    <t>contact@travellingapples.com</t>
  </si>
  <si>
    <t>https://growingupbilingual.com/day-of-the-dead-in-mexico-city-the-best-events-parades-and-festivals-in-2024/</t>
  </si>
  <si>
    <t>Paula</t>
  </si>
  <si>
    <t>paula@growingupbilingual.com, kyracreativo@gmail.com</t>
  </si>
  <si>
    <t>https://wanderlusters.com/how-to-plan-a-stress-free-vacation-to-cabo-the-ultimate-guide/</t>
  </si>
  <si>
    <t>Charli</t>
  </si>
  <si>
    <t>charli@wanderlusters.com</t>
  </si>
  <si>
    <t>https://vitamagazine.com/2025/04/03/why-choose-a-villa-over-a-hotel-for-your-next-trip/</t>
  </si>
  <si>
    <t>Noa</t>
  </si>
  <si>
    <t>noa@vitamindaily.com</t>
  </si>
  <si>
    <t>https://zestinatote.com/5-day-los-cabos-trip-itinerary/</t>
  </si>
  <si>
    <t>Shweta</t>
  </si>
  <si>
    <t>zestinatote@gmail.com</t>
  </si>
  <si>
    <t>https://www.themanual.com/travel/best-cities-for-luxury-new-years-eve-dinner/</t>
  </si>
  <si>
    <t>Ian</t>
  </si>
  <si>
    <t>editorial@themanual.com</t>
  </si>
  <si>
    <t>https://www.vagabondjourney.com/the-cabo-trivia-straight-out-of-an-explorers-travelogue/</t>
  </si>
  <si>
    <t>wadeshepard@protonmail.com</t>
  </si>
  <si>
    <t>https://rovology.com/mexico/top-5-things-that-will-make-your-cabo-holiday-more-memorable/</t>
  </si>
  <si>
    <t>Kristi</t>
  </si>
  <si>
    <t>kristi@kristidosh.com</t>
  </si>
  <si>
    <t>https://michiganmamanews.com/2025/05/27/michigans-detroit-metro-wayne-county-airport-ranks-among-top-10-u-s-airports-with-the-best-operational-performance/</t>
  </si>
  <si>
    <t>Lindsey</t>
  </si>
  <si>
    <t>Lindsey@michiganmamanews.com</t>
  </si>
  <si>
    <t>https://www.herotraveler.com/henry-undefined1/story/how-to-travel-smart-with-your-group-without-compromising-on-comfort</t>
  </si>
  <si>
    <t>support@herotraveler.com, info@herocollective.co</t>
  </si>
  <si>
    <t>https://thebeautraveler.com/things-to-do-in-palmilla-los-cabos/</t>
  </si>
  <si>
    <t>Marya</t>
  </si>
  <si>
    <t>contact@thebeautraveler.com</t>
  </si>
  <si>
    <t>https://travelingted.com/2012/07/26/puebla-mexico-talavera-workshop-tour-and-the-stairway-to-heaven/</t>
  </si>
  <si>
    <t>volhiker70@yahoo.com</t>
  </si>
  <si>
    <t>https://beerconnoisseur.com/articles/study-shows-u-s-airports-with-the-best-operational-performance-across-multiple-metrics/</t>
  </si>
  <si>
    <t>https://www.awaylands.com/story/12-unique-engagement-party-ideas-for-every-couple-celebrating-at-home-or-out-on-the-town/</t>
  </si>
  <si>
    <t>https://www.zilliondesigns.com/blog/what-makes-a-five-star-hotel-logo-different-from-a-one-star-logo-in-mexico/</t>
  </si>
  <si>
    <t>https://forsomethingmore.com/cabo-san-lucas-spring-break-reasons-to-visit/</t>
  </si>
  <si>
    <t>https://www.educba.com/tourist-attractions-in-cabo-san-lucas/</t>
  </si>
  <si>
    <t>https://beforeitsnews.com/travel/2024/07/indulge-in-luxury-beachfront-villas-in-cabo-san-lucas-2500539.html</t>
  </si>
  <si>
    <t>contact@beforeitsnews.com, chris@beforeitsnews.com</t>
  </si>
  <si>
    <t>https://knycxjourneying.com/are-villas-perfect-for-a-family-retreat-10-reasons-theyre-ideal/</t>
  </si>
  <si>
    <t>knycx.journeying@gmail.com</t>
  </si>
  <si>
    <t>https://twinsandtravels.com/blog-posts/budget-friendly-destinations-for-family-vacations-where-to-go-and-why/</t>
  </si>
  <si>
    <t>https://handlblogs.com/ultimate-guide-to-beach-holidays/</t>
  </si>
  <si>
    <t>https://lux-life.digital/things-to-keep-in-mind-while-traveling-to-cabo-with-kids/</t>
  </si>
  <si>
    <t>https://propertycostarica.co.uk/costa-rica-vs-cabo-for-bachelors-party-which-spot-should-you-choose/</t>
  </si>
  <si>
    <t>hello@propertycostarica.co.uk</t>
  </si>
  <si>
    <t>https://www.tapesearch.com/episode/luxury-lessons-and-lawsuits-episode-744-with-the-real-brad-lea-trbl/jeVXCamWvPLAn6pS5UXaMy</t>
  </si>
  <si>
    <t>https://idahobusinessreview.com/2025/01/23/idaho-busiest-december-airports/</t>
  </si>
  <si>
    <t>news@idahobusinessreview.com</t>
  </si>
  <si>
    <t>https://www.thearcadiaonline.com/4-things-to-do-in-los-cabos-with-your-wedding-guests/</t>
  </si>
  <si>
    <t>https://perezhilton.com/where-do-celebrities-stay-when-they-go-to-cabo/</t>
  </si>
  <si>
    <t>https://www.dollydowsie.com/2026/01/25/holiday-vacations-in-mexico-with-family-kids/</t>
  </si>
  <si>
    <t>https://www.mylifegb.com/mexico/san-jos%C3%A9-del-cabo/hotels-travel/villa-vegas-dave-3</t>
  </si>
  <si>
    <t>https://www.citybiz.co/article/681539/maryland-ranks-among-the-top-10-states-for-luxury-real-estate/</t>
  </si>
  <si>
    <t>edwin@citybiz.co</t>
  </si>
  <si>
    <t>https://www.ellecanada.com/vip/elle-extra/villa-vegas-dave-3-the-ultimate-celebrity-hideaway-in-cabo</t>
  </si>
  <si>
    <t>Sophie</t>
  </si>
  <si>
    <t>steven.kawalit@ellecanada.com, ellecanada@ko-media.ca, sbanford@ko-media.ca</t>
  </si>
  <si>
    <t>https://exploringthenorth.com/cabo-villa-areas/</t>
  </si>
  <si>
    <t>https://realpropertymanagementcolorado.com/calculating-rent-for-your-aurora-rental/</t>
  </si>
  <si>
    <t xml:space="preserve">Greg </t>
  </si>
  <si>
    <t>info@rpmcolo.com</t>
  </si>
  <si>
    <t>https://www.sloveniaestates.com/ljubljana-centre-a-shop-in-the-city-centre-rental/</t>
  </si>
  <si>
    <t>Justin</t>
  </si>
  <si>
    <t>info@sloveniaestates.com</t>
  </si>
  <si>
    <t>https://www.greatpointproperties.com/nantucket-real-estate/15-aurora-way/mls_91323</t>
  </si>
  <si>
    <t>Greg</t>
  </si>
  <si>
    <t>info@greatpointproperties.com, greg@greatpointproperties.com, bill@greatpointproperties.com</t>
  </si>
  <si>
    <t>https://www.discoverupstateny.com/blog/19/164/finding-affordable-attractions-in-city-of-albany/</t>
  </si>
  <si>
    <t>admin@discoverupstateny.com, discoverustateny@gmail.com</t>
  </si>
  <si>
    <t>https://977wmoi.com/2022/03/moving-company-study-shows-more-people-left-illinois-than-any-other-state-last-year/</t>
  </si>
  <si>
    <t>radiomonmouth@gmail.com</t>
  </si>
  <si>
    <t>https://regionriverina.com.au/best-removalists-wagga/56130/</t>
  </si>
  <si>
    <t xml:space="preserve">Tim </t>
  </si>
  <si>
    <t>gjacobs@region.com.au, editor@regionriverina.com.au</t>
  </si>
  <si>
    <t>https://moversville.com/blog/moving-supplies-checklist</t>
  </si>
  <si>
    <t>moversville@gmail.com, info@moversville.com</t>
  </si>
  <si>
    <t>https://smartcitylocating.com/blog/five-professional-tips-for-better-packing/</t>
  </si>
  <si>
    <t>info@smartcitylocating.com, dallas@smartcitylocating.com</t>
  </si>
  <si>
    <t>https://holidaybuilders.com/new-yorkers-move-to-florida/</t>
  </si>
  <si>
    <t>Bruce</t>
  </si>
  <si>
    <t>https://www.hansenbros.com/hospitality-ffe-logistics/</t>
  </si>
  <si>
    <t>Larry</t>
  </si>
  <si>
    <t>contact@hansenbros.com, admin@hansenbros.com</t>
  </si>
  <si>
    <t>https://www.firstbankrichmond.com/mortgage-articles/choosing-a-neighborhood-to-raise-a-family</t>
  </si>
  <si>
    <t>customer.service@tcmbank.com, paul@firstbankrichmond.com</t>
  </si>
  <si>
    <t>https://www.altovita.com/blog/the-relocation-revolution-why-moving-for-a-job-is-more-popular-than-ever</t>
  </si>
  <si>
    <t>Vivi</t>
  </si>
  <si>
    <t>contact@altovita.com, vivi@altovita.com, karolina@altovita.com</t>
  </si>
  <si>
    <t>https://ark7.com/blog/learn/cities/complete-house-renting-guide-for-sacramento-ca/</t>
  </si>
  <si>
    <t>Andy</t>
  </si>
  <si>
    <t>support@ark7.com, info@ark7.com, andy@ark7.com, yizhen@ark7.com, yz@ark7.com</t>
  </si>
  <si>
    <t>https://www.mortgagequote.com/improve-your-homes-curb-appeal.php</t>
  </si>
  <si>
    <t>info@ncen.com, m.williamson@yahoo.com</t>
  </si>
  <si>
    <t>https://whichrealestateagent.com.au/agent-fees/how-much-does-moving-cost/</t>
  </si>
  <si>
    <t>Thomas</t>
  </si>
  <si>
    <t>hello@wrea.com.au, tr@whichrealestateagent.com.au</t>
  </si>
  <si>
    <t>https://www.texasrealestatesource.com/blog/californians-moving-to-texas/</t>
  </si>
  <si>
    <t>Tony</t>
  </si>
  <si>
    <t>your.agent@realfx.com</t>
  </si>
  <si>
    <t>https://gmsmobility.com/blog/summertime-household-goods-moves/</t>
  </si>
  <si>
    <t>info@gmsmobility.com</t>
  </si>
  <si>
    <t>https://www.prettyopinionated.com/2024/02/full-service-vs-partial-service-customized-relocation-professionals/</t>
  </si>
  <si>
    <t>Nicole</t>
  </si>
  <si>
    <t>prettyopinionated@gmail.com, media@prettyopinionated.com</t>
  </si>
  <si>
    <t>https://www.alliedvanlines.ca/moving/from/british-columbia-to-alberta</t>
  </si>
  <si>
    <t>sales@alliedcanada.com, customerservice@alliedcanada.com</t>
  </si>
  <si>
    <t>https://richardharrislaw.com/accident-attorneys-for-moving-truck-injuries/</t>
  </si>
  <si>
    <t>Richard</t>
  </si>
  <si>
    <t>info@richardharrislaw.com</t>
  </si>
  <si>
    <t>Legal Service</t>
  </si>
  <si>
    <t>https://literallydarling.com/blog/2024/01/22/tips-and-resources-for-navigating-a-long-distance-moves-as-a-single-parent//</t>
  </si>
  <si>
    <t>Katie</t>
  </si>
  <si>
    <t>editors@literallydarling.com, submissions@literallydarling.com</t>
  </si>
  <si>
    <t>Lifestyle</t>
  </si>
  <si>
    <t>https://bozemanrealestate.group/blog/10-tips-for-moving-from-the-city-to-montana</t>
  </si>
  <si>
    <t>Andrew</t>
  </si>
  <si>
    <t>info@bozemanrealestate.group, andrew@bozemanrealestate.group</t>
  </si>
  <si>
    <t>https://securespace.com/blog/moving-out-of-your-self-storage-space/</t>
  </si>
  <si>
    <t>Jake</t>
  </si>
  <si>
    <t>hello@securespace.com, jake@securespace.com</t>
  </si>
  <si>
    <t>Storage</t>
  </si>
  <si>
    <t>https://arcrelocation.com/sell-your-house-fast-relocation/</t>
  </si>
  <si>
    <t>myconnection@arcrelocation.com</t>
  </si>
  <si>
    <t>https://followtheyellowbrickhome.com/page/62/</t>
  </si>
  <si>
    <t>https://www.springsapartments.com/blog/youre-hired-dos-and-donts-of-negotiating-a-relocation-package</t>
  </si>
  <si>
    <t>info@cproperties.com</t>
  </si>
  <si>
    <t>https://franklinis.com/moving-services/</t>
  </si>
  <si>
    <t>info@franklinis.com, marketing@franklinis.com, ken@franklinis.com</t>
  </si>
  <si>
    <t>https://www.tsishipping.com/resource-center/employee-relocation/what-is-relocation-package</t>
  </si>
  <si>
    <t>info@transitsystems.com</t>
  </si>
  <si>
    <t>https://muddyrivernews.com/politics/illinois-politics/illinois-leads-u-s-for-people-moving-out-of-state-report-marks-eighth-straight-year-of-decline/20220321104320/</t>
  </si>
  <si>
    <t>news@muddyrivernews.com</t>
  </si>
  <si>
    <t>https://www.lawyersmutualnc.com/blog/4-tips-for-associates-planning-a-lateral-move</t>
  </si>
  <si>
    <t>info@lawyersmutualnc.com, dan@lawyersmutualnc.com</t>
  </si>
  <si>
    <t>https://www.housedigest.com/818411/mistakes-everyone-makes-when-buying-outdoor-furniture/</t>
  </si>
  <si>
    <t>https://www.cyberoptik.net/blog/best-siding-website-designs/</t>
  </si>
  <si>
    <t>ron@cyberoptik.net</t>
  </si>
  <si>
    <t>https://blog.westlakeroyalbuildingproducts.com/page/5/</t>
  </si>
  <si>
    <t>ea-dl-customercare@axiall.com</t>
  </si>
  <si>
    <t>https://womanaroundtown.com/contributed/creative-ways-to-bring-more-natural-light-into-your-home/</t>
  </si>
  <si>
    <t>Debra</t>
  </si>
  <si>
    <t>WATExplorer@gmail.com, debrat@womanaroundtown.com</t>
  </si>
  <si>
    <t>https://leadiq.com/c/erdmann-exterior-designs/5a1da5842300005a00985c5f</t>
  </si>
  <si>
    <t>Mei</t>
  </si>
  <si>
    <t>support@leadiq.com, mei@leadiq.com</t>
  </si>
  <si>
    <t>https://www.qualifiedremodeler.com/firm/erdmann-exterior-designs-ltd/</t>
  </si>
  <si>
    <t>qur@omeda.com, Tim@SOLAbrands.com</t>
  </si>
  <si>
    <t>https://mariakillam.com/how-to-decorate-with-throw-pillows-5-rules-to-follow/</t>
  </si>
  <si>
    <t>Maria</t>
  </si>
  <si>
    <t>info@mariakillam.com, admin@mariakillam.com, edesign@mariakillam.com, maria@mariakillam.com</t>
  </si>
  <si>
    <t>https://snaphappytravel.com/moving-to-vancouver-everything-you-need-to-know/</t>
  </si>
  <si>
    <t>Aimee</t>
  </si>
  <si>
    <t>snaphappytraveller@gmail.com</t>
  </si>
  <si>
    <t>https://realtylink.org/en/house~for-sale~sandy-cove-west-vancouver/263020652</t>
  </si>
  <si>
    <t>reachus@gvrealtors.ca</t>
  </si>
  <si>
    <t>https://www.appsruntheworld.com/customers-database/customers/view/orca-realty-canada</t>
  </si>
  <si>
    <t xml:space="preserve">Albert </t>
  </si>
  <si>
    <t>research@appsruntheworld.com, info@appsruntheworld.com</t>
  </si>
  <si>
    <t>https://prepareforcanada.com/listings/2936-rosebery-ave-west-vancouver</t>
  </si>
  <si>
    <t>info@prepareforcanada.com</t>
  </si>
  <si>
    <t>https://homebay.com/where-should-i-move-2023/</t>
  </si>
  <si>
    <t>Kristen, Ken</t>
  </si>
  <si>
    <t>kristen.herhold@movewithclever.com, media@movewithclever.com, support@movewithclever.com, ken@homebay.com</t>
  </si>
  <si>
    <t>https://luxesource.com/liz-lambert-texas-ranch-kitchen-bath</t>
  </si>
  <si>
    <t>Jill</t>
  </si>
  <si>
    <t>hlavine@sandowdesign.com, luxedigital@sandow.com</t>
  </si>
  <si>
    <t>https://galeriemagazine.com/design-experts-outdoor-kitchen/</t>
  </si>
  <si>
    <t>Jacqueline</t>
  </si>
  <si>
    <t>digital@galeriemagazine.com, editor@galeriemagazine.com, William.Pittel@hudsononemedia.com</t>
  </si>
  <si>
    <t>https://www.jetsetmag.com/lifestyle/home-decor/latelier-paris-haute-design/</t>
  </si>
  <si>
    <t>Darrin</t>
  </si>
  <si>
    <t>digital@jetsetmag.com, darrin@jetsetmag.com</t>
  </si>
  <si>
    <t>https://luxurypools.com/our-favorite-outdoor-kitchens-for-backyard-entertaining/</t>
  </si>
  <si>
    <t>social@luxurypools.com</t>
  </si>
  <si>
    <t>https://businessofhome.com/articles/a-new-design-shop-opens-in-charleston-maharam-unveils-a-multibrand-showroom-in-chicago-and-more</t>
  </si>
  <si>
    <t>tips@businessofhome.com, info@businessofhome.com, advertising@businessofhome.com</t>
  </si>
  <si>
    <t>https://www.havredailynews.com/</t>
  </si>
  <si>
    <t>havrenews@mullennewspapers.com</t>
  </si>
  <si>
    <t>https://www.garagedoornation.com/pages/list-of-garage-door-manufacturers-in-the-united-states</t>
  </si>
  <si>
    <t>support@garagedoornation.com</t>
  </si>
  <si>
    <t>https://www.workiz.com/blog/garage-doors/top-garage-door-manufacturers-2025/</t>
  </si>
  <si>
    <t>Idan</t>
  </si>
  <si>
    <t>info@workiz.com, idan@workiz.com, saar@workiz.com, erez@workiz.com</t>
  </si>
  <si>
    <t>https://www.aprodoor.com/es/los-mejores-fabricantes-de-puertas-de-garaje/</t>
  </si>
  <si>
    <t xml:space="preserve">Jason </t>
  </si>
  <si>
    <t>info@gzapro.com</t>
  </si>
  <si>
    <t>Door</t>
  </si>
  <si>
    <t>https://raynordoor.com/residential/aspen-series/aspen-ap138/</t>
  </si>
  <si>
    <t>Ralph</t>
  </si>
  <si>
    <t>sales@raynordoor.com, ralph@raynordoor.com, john@raynordoor.com</t>
  </si>
  <si>
    <t>https://www.doorvana.com/blog/intro-to-overhead-garage-doors</t>
  </si>
  <si>
    <t>Bobby</t>
  </si>
  <si>
    <t>hello@doorvana.com, bobby@doorvana.com, matt@doorvana.com</t>
  </si>
  <si>
    <t>https://www.ciwebgroup.com/blog/popular-garage-door-brands</t>
  </si>
  <si>
    <t>jennifer@ciwebgroup.com, jazmin@ciwebgroup.com, michael@ciwebgroup.com, Sales@ciwebgroup.com</t>
  </si>
  <si>
    <t>https://ddmgaragedoors.com/springs/raynor.php</t>
  </si>
  <si>
    <t>danm@ddmgaragedoors.com</t>
  </si>
  <si>
    <t>https://aaronoverheaddoors.com/top-garage-door-brands/</t>
  </si>
  <si>
    <t>ryan@aaronoverheaddoors.com, sales@aaronoverheaddoors.com</t>
  </si>
  <si>
    <t>https://www.networx.com/article/chain-drive-openers</t>
  </si>
  <si>
    <t>Yaron</t>
  </si>
  <si>
    <t>service@networx.com, yaron@networx.com</t>
  </si>
  <si>
    <t>https://creativedoor.com/about-us/suppliers</t>
  </si>
  <si>
    <t>info@creativedoor.com</t>
  </si>
  <si>
    <t>https://www.capitallightingfixture.com/showrooms/directory/al/</t>
  </si>
  <si>
    <t>https://capitallightingfixture.com/contact-us/</t>
  </si>
  <si>
    <t>Light</t>
  </si>
  <si>
    <t>https://www.hugghall.com/parts/overview/</t>
  </si>
  <si>
    <t>marketing@hugghall.com, johnh@hugghall.com, roberth@hugghall.com</t>
  </si>
  <si>
    <t>https://www.minercorp.com/brands-we-sell-and-service/</t>
  </si>
  <si>
    <t>info@minercorp.com</t>
  </si>
  <si>
    <t>https://mosbybuildingarts.com/exterior-remodeling/garages-garage-doors/</t>
  </si>
  <si>
    <t>Judy</t>
  </si>
  <si>
    <t>info@callmosby.com, marketingadmin@callmosby.com</t>
  </si>
  <si>
    <t>https://hollywoodcrawford.com/residential-garage-doors/design-center/</t>
  </si>
  <si>
    <t>Randy</t>
  </si>
  <si>
    <t>randyo@hollywoodcrawford.com</t>
  </si>
  <si>
    <t>https://www.greenbuildingadvisor.com/article/energy-efficient-garage-doors</t>
  </si>
  <si>
    <t>https://www.makinghomebase.com/garage-lighting-ideas/</t>
  </si>
  <si>
    <t>Chelsea</t>
  </si>
  <si>
    <t>makinghomebase@gmail.com, chelsea@makinghomebase.com</t>
  </si>
  <si>
    <t>https://www.dexknows.com/springfield-il/general-contractors</t>
  </si>
  <si>
    <t>https://www.bdcnetwork.com/sponsored/article/55305509/5-top-rated-garage-doors-for-residential-home-projects-in-2025</t>
  </si>
  <si>
    <t>dbarista@sgcmail.com, jcaulfield@sgcmail.com, qpurcell@sgcmail.com, dbarista@endeavorb2b.com</t>
  </si>
  <si>
    <t>https://www.maximizemarketresearch.com/market-report/automatic-garage-door-market/214677/</t>
  </si>
  <si>
    <t>Ramesh</t>
  </si>
  <si>
    <t>dy@maximizemarketresearch.com, sales@maximizemarketresearch.com</t>
  </si>
  <si>
    <t>https://www.rhinobldg.com/blog/does-rhino-provide-the-doors-and-windows-for-its-steel-buildings</t>
  </si>
  <si>
    <t>info@rhinobldg.com</t>
  </si>
  <si>
    <t>https://www.abettergaragedoorinc.com/garage-doors/resources/six-undesirable-consequences-of-a-poor-garage-door-installation</t>
  </si>
  <si>
    <t>abgdinc@yahoo.com</t>
  </si>
  <si>
    <t>https://www.dasma.com/member/raynor-garage-doors/</t>
  </si>
  <si>
    <t>dasma@dasma.com, vicki@vjonesmedia.com</t>
  </si>
  <si>
    <t>https://www.owler.com/company/raynor</t>
  </si>
  <si>
    <t xml:space="preserve">Jim </t>
  </si>
  <si>
    <t>marketing@owler-inc.com</t>
  </si>
  <si>
    <t>http://www.aghost.net/e0003056/index.cfm?show=10&amp;mid=308</t>
  </si>
  <si>
    <t>https://ankmar.com/replacing-your-garage-door-offers-the-best-roi-return-on-investment/</t>
  </si>
  <si>
    <t>Bob</t>
  </si>
  <si>
    <t>salesankmar@dhpace.com</t>
  </si>
  <si>
    <t>https://artsandcraftshomes.com/exteriors/new-work-great-style-you-will-love</t>
  </si>
  <si>
    <t>https://artdaily.com/news/178064/Choosing-a-High-Quality-Residential-Garage-Door-to-Avoid-Common-Insulation-Problems</t>
  </si>
  <si>
    <t>https://blog.bimsmith.com/Introducing-the-Winners-of-the-2025-BIMsmith-Best-Awards</t>
  </si>
  <si>
    <t>shout@bimsmith.com</t>
  </si>
  <si>
    <t>https://www.modlar.com/brands/raynor/rolling-fire-doors-firecoil/</t>
  </si>
  <si>
    <t>info@modlar.com, scott@modlar.com</t>
  </si>
  <si>
    <t>https://hotianwindows.com/de/best-garage-door-manufacturers/</t>
  </si>
  <si>
    <t>sales888@hotiandoors.com</t>
  </si>
  <si>
    <t>Window</t>
  </si>
  <si>
    <t>https://garageforce.com/2021/12/11/garage-flooring-coating-vs-epoxy-garage-floor-coating-which-is-best/</t>
  </si>
  <si>
    <t>Patrick</t>
  </si>
  <si>
    <t>patrick@garageforce.com, mike@garageforce.com, facebook@garageforce.com, contact@garageforce.com</t>
  </si>
  <si>
    <t>Garage</t>
  </si>
  <si>
    <t>https://jayscustomcreations.com/2019/10/vlog-144-i-was-wrong/</t>
  </si>
  <si>
    <t>Jay</t>
  </si>
  <si>
    <t>jayscustomcreations@gmail.com, jay@jayscustomcreations.com</t>
  </si>
  <si>
    <t>Wood</t>
  </si>
  <si>
    <t>https://raynordoorauthority.com/buying-a-raynor-residential-garage-door/</t>
  </si>
  <si>
    <t>https://www.realtyexecutives.com/blog/the-dos-donts-of-choosing-the-best-commercial-garage-door-for-your-business</t>
  </si>
  <si>
    <t>info@RealtyExecutives.com</t>
  </si>
  <si>
    <t>https://www.kevinszabojrplumbing.net/blog/2024/7/18/innovative-garage-door-designs-for-modern-homes</t>
  </si>
  <si>
    <t>Kevinszabojrplumbing@yahoo.com, Rona@kevinszabojrplumbing.net</t>
  </si>
  <si>
    <t>Plumbing</t>
  </si>
  <si>
    <t>https://heritagedoor.com/garage-doors-for-a-farmhouse/</t>
  </si>
  <si>
    <t>https://wiza.co/d/raynor-garage-doors/8b69/staci-anderson</t>
  </si>
  <si>
    <t>https://azbigmedia.com/business/staying-trendy-how-to-use-social-media-to-stay-up-to-date/</t>
  </si>
  <si>
    <t>Michael, Amy</t>
  </si>
  <si>
    <t>info@azbigmedia.com, Michael.Gossie@azbigmedia.com, amy.lindsey@azbigmedia.com</t>
  </si>
  <si>
    <t>https://www.shanty-2-chic.com/house-update-garage-doors/</t>
  </si>
  <si>
    <t>Ashley &amp; Whitney</t>
  </si>
  <si>
    <t>shanty2chic@gmail.com</t>
  </si>
  <si>
    <t>https://www.hansenpolebuildings.com/2017/02/swing-post-doors/</t>
  </si>
  <si>
    <t>J.A.Hansen</t>
  </si>
  <si>
    <t>sales@hansenpolebuildings.com, info@hansenpolebuildings.com</t>
  </si>
  <si>
    <t>https://www.dandb.com/businessdirectory/libbysexpertdoorinstallation-millmont-pa-12767038.html</t>
  </si>
  <si>
    <t>https://tobychristie.com/nascar/cup-series/dover-to-build-new-expanded-monster-energy-nascar-cup-series-garage/</t>
  </si>
  <si>
    <t>https://www.carriersource.io/carriers/raynor-express-corp</t>
  </si>
  <si>
    <t>support@carriersource.io, clara@carriersource.io, rob@carriersource.io</t>
  </si>
  <si>
    <t>https://www.simplybare.com/press/consequatur-officia-ut-nihil-quisquam-error-qui/</t>
  </si>
  <si>
    <t>https://www.clodura.ai/directory/company/raynor-garage-doors</t>
  </si>
  <si>
    <t>https://www.lifeofdad.com/organize-your-life-garage-makeover/</t>
  </si>
  <si>
    <t>tom@lifeofdad.com</t>
  </si>
  <si>
    <t>Parenting</t>
  </si>
  <si>
    <t>https://downtownhydeparkchicago.com/opportunities/est-beatae-dicta-sapiente-distinctio/</t>
  </si>
  <si>
    <t>https://www.macraesbluebook.com/search/company.cfm?company=644702</t>
  </si>
  <si>
    <t>https://www.foxtechzone.com/2024/08/classic-style-garage-door.html</t>
  </si>
  <si>
    <t>https://oldminibikes.com/forum/index.php?threads/what-is-my-rupp-mini-bike.104914/page-4</t>
  </si>
  <si>
    <t>https://clay.earth/profile/brittany-shannon</t>
  </si>
  <si>
    <t>https://www.apsense.com/user/raynorgaragedoors</t>
  </si>
  <si>
    <t>http://www.inspectionnews.net/home_inspection/built-in-appliances-and-systems-home-inspection-and-commercial-inspection/42278-does-anyone-use-recallchek-next-thread.html</t>
  </si>
  <si>
    <t>https://www.carwashforum.com/threads/door-problem-again.6295/</t>
  </si>
  <si>
    <t>https://blog.housesitmatch.com/blog/timeless-garage-doors-trapid-access/</t>
  </si>
  <si>
    <t>Lamia</t>
  </si>
  <si>
    <t>admin@housesitmatch.com, lamia@housesitmatch.com</t>
  </si>
  <si>
    <t>https://www.razorsync.com/resources/garage-door-services/</t>
  </si>
  <si>
    <t>simplify@razorsync.com, support@razorsync.com, christopher@razorsync.com</t>
  </si>
  <si>
    <t>https://www.signalhire.com/companies/raynor-worldwide</t>
  </si>
  <si>
    <t>https://www.importyeti.com/company/raynor-mfg</t>
  </si>
  <si>
    <t>https://citylocalpro.com/biz/raynor-garage-doors</t>
  </si>
  <si>
    <t>https://www.firerescue1.com/fire-products/for-firefighters-by-firefighters/press-releases/raynor-garage-doors-donates-new-garage-door-to-city-of-dixon-replicates-classic-original-1900s-firehouse-door-O2KfqAaFuYjS7FIK/</t>
  </si>
  <si>
    <t>editor@firerescue1.com, info@lexipol.com</t>
  </si>
  <si>
    <t>https://www.cleat.ai/government/contractors/raynor-mfg-co-zmq3</t>
  </si>
  <si>
    <t>https://www.datainsightsmarket.com/reports/residential-garage-door-parts-accessories-1512184</t>
  </si>
  <si>
    <t>https://appledoor.com/blog/glass-garage-doors/</t>
  </si>
  <si>
    <t>info@appledoor.com</t>
  </si>
  <si>
    <t>https://www.eastbaytimes.com/2010/12/23/james-dulley-9/</t>
  </si>
  <si>
    <t>https://dgmnews.com/posts/exterior-excellence-top-tips-for-a-stunning-home-facade/</t>
  </si>
  <si>
    <t>https://speedwaydigest.com/index.php/news/speedway-news/49670-dover-international-speedway-to-build-new-expanded-monster-energy-nascar-cup-series-garage-following-may-3-5-tripleheader-weekend/</t>
  </si>
  <si>
    <t>https://www.zabasearch.com/phone/8709353700/</t>
  </si>
  <si>
    <t>https://nerdbot.com/2025/08/13/why-your-warehouse-needs-high-quality-loading-dock-doors/</t>
  </si>
  <si>
    <t>https://bubba.ai/trucking-companies/illinois/dixon/raynor-express-corp-471976</t>
  </si>
  <si>
    <t>https://www.idcrawl.com/mary-whelan</t>
  </si>
  <si>
    <t>https://www.engineeringplans.com/product-approvals/20-0811.04</t>
  </si>
  <si>
    <t>Frank</t>
  </si>
  <si>
    <t>support@EngineeringPlans.com</t>
  </si>
  <si>
    <t>https://almostmakesperfect.com/kid-friendly-restaurants-and-activities-in-los-angeles/</t>
  </si>
  <si>
    <t>Molly</t>
  </si>
  <si>
    <t>molly@almostmakesperfect.com</t>
  </si>
  <si>
    <t>Family</t>
  </si>
  <si>
    <t>https://palisadesnews.com/10-things-you-need-to-know-about-ucla/</t>
  </si>
  <si>
    <t>Zach@mirrormediagroupla.com, tj@mirrormediagroupla.com, info@mirrormediagroupla.com, tj@smmirror.com</t>
  </si>
  <si>
    <t>https://www.kpopstarz.com/articles/313782/20230726/k-pop-guide-to-los-angeles.htm</t>
  </si>
  <si>
    <t>https://www.woohome.com/ideas/great-ideas-for-decorating-your-apartment-this-fall</t>
  </si>
  <si>
    <t>Jonathan</t>
  </si>
  <si>
    <t>woohome.com@gmail.com</t>
  </si>
  <si>
    <t>https://www.strawhomes.com/five-differences-between-student-cities-in-canada-and-the-us/</t>
  </si>
  <si>
    <t>mls@strawhomes.com</t>
  </si>
  <si>
    <t>https://workology.com/five-ways-hr-can-support-expatriate-employees/</t>
  </si>
  <si>
    <t>https://markuphero.com/blog/increase-employee-productivity-markup-hero/</t>
  </si>
  <si>
    <t>https://samelane.com/blog/employee-well-being/</t>
  </si>
  <si>
    <t>https://www.successconsciousness.com/blog/tips-for-life/stay-calm-and-productive-for-a-big-long-distance-move/</t>
  </si>
  <si>
    <t>https://studyfinds.org/best-places-to-live-on-the-east-coast/</t>
  </si>
  <si>
    <t>https://www.corporatevision-news.com/the-logistics-of-long-distance-moving-how-to-choose-the-best-option-for-your-business/</t>
  </si>
  <si>
    <t>Boss</t>
  </si>
  <si>
    <t>Random Outreach (Boss)</t>
  </si>
  <si>
    <t>myinteriorpalace.com</t>
  </si>
  <si>
    <t>Jane</t>
  </si>
  <si>
    <t>contact@myinteriorpalace.com</t>
  </si>
  <si>
    <t>thesuccessbug.com</t>
  </si>
  <si>
    <t>Jeremiah</t>
  </si>
  <si>
    <t>success@thesuccessbug.com, jeremiah@thesuccessbug.com</t>
  </si>
  <si>
    <t>prereal.com</t>
  </si>
  <si>
    <t>james@prereal.com, info@prereal.com</t>
  </si>
  <si>
    <t>tuscanaproperties.com</t>
  </si>
  <si>
    <t>Sandy</t>
  </si>
  <si>
    <t>jamisonteam@tuscanaproperties.com, sandy@tuscanaproperties.com</t>
  </si>
  <si>
    <t>iroomit.com</t>
  </si>
  <si>
    <t>hello@iroomit.com, davidgoguen@iroomit.com</t>
  </si>
  <si>
    <t>Room Rent</t>
  </si>
  <si>
    <t>scotthardingslc1985@gmail.com</t>
  </si>
  <si>
    <t>DIY Home</t>
  </si>
  <si>
    <t>realestatelicensewizard.com</t>
  </si>
  <si>
    <t>info@realestatelicensewizard.com, partnerships@dogfoodheaven.com, marketing@realestatelicensewizard.com</t>
  </si>
  <si>
    <t>villasofdistinction.com</t>
  </si>
  <si>
    <t>villa-marketing@wth.com, customercare@villasofdistinction.com, info@villasofdistinction.com, robert@villasofdistinction.com</t>
  </si>
  <si>
    <t>Email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</si>
</sst>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74">
    <font>
      <sz val="10"/>
      <color rgb="FF000000"/>
      <name val="Arial"/>
      <scheme val="minor"/>
    </font>
    <font>
      <b/>
      <sz val="10"/>
      <color rgb="FFFFFFFF"/>
      <name val="Saira"/>
    </font>
    <font>
      <u/>
      <sz val="10"/>
      <color rgb="FF0000FF"/>
      <name val="Saira"/>
    </font>
    <font>
      <u/>
      <sz val="10"/>
      <color rgb="FF0000FF"/>
      <name val="Saira"/>
    </font>
    <font>
      <sz val="10"/>
      <color theme="1"/>
      <name val="Saira"/>
    </font>
    <font>
      <u/>
      <sz val="10"/>
      <color rgb="FF0563C1"/>
      <name val="Saira"/>
    </font>
    <font>
      <u/>
      <sz val="10"/>
      <color rgb="FF0000FF"/>
      <name val="Arial"/>
    </font>
    <font>
      <u/>
      <sz val="10"/>
      <color rgb="FF1155CC"/>
      <name val="Saira"/>
    </font>
    <font>
      <u/>
      <sz val="10"/>
      <color rgb="FF1155CC"/>
      <name val="Saira"/>
    </font>
    <font>
      <u/>
      <sz val="10"/>
      <color rgb="FF0000FF"/>
      <name val="Arial"/>
    </font>
    <font>
      <u/>
      <sz val="10"/>
      <color rgb="FF0000FF"/>
      <name val="Saira"/>
    </font>
    <font>
      <u/>
      <sz val="10"/>
      <color rgb="FF1155CC"/>
      <name val="Arial"/>
    </font>
    <font>
      <u/>
      <sz val="10"/>
      <color rgb="FF0000FF"/>
      <name val="Saira"/>
    </font>
    <font>
      <u/>
      <sz val="10"/>
      <color rgb="FF0000FF"/>
      <name val="Saira"/>
    </font>
    <font>
      <u/>
      <sz val="10"/>
      <color rgb="FF0000FF"/>
      <name val="Saira"/>
    </font>
    <font>
      <b/>
      <sz val="10"/>
      <color rgb="FFF3F3F3"/>
      <name val="Saira"/>
    </font>
    <font>
      <b/>
      <sz val="11"/>
      <color rgb="FFF3F3F3"/>
      <name val="Saira"/>
    </font>
    <font>
      <b/>
      <sz val="10"/>
      <color rgb="FFF3F3F3"/>
      <name val="Arial"/>
      <scheme val="minor"/>
    </font>
    <font>
      <sz val="10"/>
      <color rgb="FFF3F3F3"/>
      <name val="Arial"/>
      <scheme val="minor"/>
    </font>
    <font>
      <u/>
      <sz val="10"/>
      <color rgb="FF1155CC"/>
      <name val="Saira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Saira"/>
    </font>
    <font>
      <u/>
      <sz val="10"/>
      <color rgb="FF1155CC"/>
      <name val="Saira"/>
    </font>
    <font>
      <u/>
      <sz val="10"/>
      <color rgb="FF0000FF"/>
      <name val="Arial"/>
    </font>
    <font>
      <u/>
      <sz val="10"/>
      <color rgb="FF0000FF"/>
      <name val="Arial"/>
    </font>
    <font>
      <strike/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1155CC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Saira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Arial"/>
    </font>
    <font>
      <u/>
      <sz val="11"/>
      <color rgb="FF0000FF"/>
      <name val="Saira"/>
    </font>
    <font>
      <u/>
      <sz val="10"/>
      <color rgb="FF0000FF"/>
      <name val="Saira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Saira"/>
    </font>
    <font>
      <u/>
      <sz val="10"/>
      <color rgb="FF0000FF"/>
      <name val="Saira"/>
    </font>
    <font>
      <u/>
      <sz val="10"/>
      <color rgb="FF0000FF"/>
      <name val="Arial"/>
    </font>
    <font>
      <u/>
      <sz val="10"/>
      <color rgb="FF1155CC"/>
      <name val="Arial"/>
    </font>
    <font>
      <sz val="11"/>
      <color rgb="FF222222"/>
      <name val="&quot;Google Sans&quot;"/>
    </font>
    <font>
      <sz val="10"/>
      <color rgb="FF1F1F1F"/>
      <name val="&quot;Google Sans&quot;"/>
    </font>
    <font>
      <sz val="10"/>
      <color rgb="FF222222"/>
      <name val="Arial"/>
    </font>
    <font>
      <u/>
      <sz val="11"/>
      <color rgb="FF000000"/>
      <name val="Calibri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Calibri"/>
    </font>
    <font>
      <u/>
      <sz val="11"/>
      <color rgb="FF000000"/>
      <name val="Calibri"/>
    </font>
    <font>
      <u/>
      <sz val="10"/>
      <color theme="1"/>
      <name val="Arial"/>
      <scheme val="minor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0"/>
      <color rgb="FF0000FF"/>
      <name val="Saira"/>
    </font>
    <font>
      <u/>
      <sz val="11"/>
      <color rgb="FF000000"/>
      <name val="Calibri"/>
    </font>
    <font>
      <u/>
      <sz val="10"/>
      <color rgb="FF1155CC"/>
      <name val="Arial"/>
    </font>
    <font>
      <u/>
      <sz val="10"/>
      <color rgb="FF0000FF"/>
      <name val="Saira"/>
    </font>
    <font>
      <sz val="10"/>
      <color rgb="FF2E2E2E"/>
      <name val="Arial"/>
      <scheme val="minor"/>
    </font>
    <font>
      <sz val="10"/>
      <color rgb="FF1D2025"/>
      <name val="Arial"/>
      <scheme val="minor"/>
    </font>
    <font>
      <sz val="10"/>
      <color rgb="FF212121"/>
      <name val="Inter"/>
    </font>
    <font>
      <sz val="10"/>
      <color rgb="FF000000"/>
      <name val="Arial"/>
      <scheme val="minor"/>
    </font>
    <font>
      <sz val="11"/>
      <color rgb="FF050505"/>
      <name val="&quot;Segoe UI Historic&quot;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rgb="FF111111"/>
      <name val="Arial"/>
      <scheme val="minor"/>
    </font>
    <font>
      <u/>
      <sz val="10"/>
      <color rgb="FF0000FF"/>
      <name val="Saira"/>
    </font>
    <font>
      <u/>
      <sz val="11"/>
      <color theme="1"/>
      <name val="Saira"/>
    </font>
    <font>
      <sz val="11"/>
      <color theme="1"/>
      <name val="Saira"/>
    </font>
    <font>
      <u/>
      <sz val="10"/>
      <color rgb="FF0000FF"/>
      <name val="Arial"/>
    </font>
    <font>
      <b/>
      <u/>
      <sz val="10"/>
      <color rgb="FF0000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  <fill>
      <patternFill patternType="solid">
        <fgColor rgb="FFE9EEF6"/>
        <bgColor rgb="FFE9EEF6"/>
      </patternFill>
    </fill>
    <fill>
      <patternFill patternType="solid">
        <fgColor rgb="FFFAFCFF"/>
        <bgColor rgb="FFFAF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8" fillId="3" borderId="0" xfId="0" applyFont="1" applyFill="1" applyAlignment="1"/>
    <xf numFmtId="0" fontId="9" fillId="0" borderId="0" xfId="0" applyFont="1" applyAlignment="1"/>
    <xf numFmtId="0" fontId="10" fillId="3" borderId="0" xfId="0" applyFont="1" applyFill="1" applyAlignment="1"/>
    <xf numFmtId="0" fontId="1" fillId="4" borderId="0" xfId="0" applyFont="1" applyFill="1" applyAlignment="1">
      <alignment horizontal="center" vertical="center" wrapText="1"/>
    </xf>
    <xf numFmtId="0" fontId="11" fillId="0" borderId="0" xfId="0" applyFont="1" applyAlignment="1"/>
    <xf numFmtId="0" fontId="12" fillId="0" borderId="0" xfId="0" applyFont="1" applyAlignment="1"/>
    <xf numFmtId="0" fontId="13" fillId="3" borderId="0" xfId="0" applyFont="1" applyFill="1" applyAlignment="1"/>
    <xf numFmtId="0" fontId="14" fillId="5" borderId="0" xfId="0" applyFont="1" applyFill="1" applyAlignment="1"/>
    <xf numFmtId="0" fontId="4" fillId="3" borderId="0" xfId="0" applyFont="1" applyFill="1" applyAlignment="1"/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9" fillId="0" borderId="0" xfId="0" applyFont="1" applyAlignment="1"/>
    <xf numFmtId="0" fontId="20" fillId="0" borderId="0" xfId="0" applyFont="1"/>
    <xf numFmtId="0" fontId="21" fillId="0" borderId="0" xfId="0" applyFont="1"/>
    <xf numFmtId="0" fontId="21" fillId="0" borderId="0" xfId="0" applyFont="1" applyAlignment="1"/>
    <xf numFmtId="0" fontId="22" fillId="3" borderId="0" xfId="0" applyFont="1" applyFill="1" applyAlignment="1"/>
    <xf numFmtId="0" fontId="23" fillId="0" borderId="0" xfId="0" applyFont="1" applyAlignment="1"/>
    <xf numFmtId="3" fontId="21" fillId="0" borderId="0" xfId="0" applyNumberFormat="1" applyFont="1" applyAlignment="1"/>
    <xf numFmtId="0" fontId="21" fillId="6" borderId="0" xfId="0" applyFont="1" applyFill="1"/>
    <xf numFmtId="0" fontId="24" fillId="6" borderId="0" xfId="0" applyFont="1" applyFill="1" applyAlignment="1"/>
    <xf numFmtId="0" fontId="21" fillId="6" borderId="0" xfId="0" applyFont="1" applyFill="1" applyAlignment="1"/>
    <xf numFmtId="14" fontId="21" fillId="6" borderId="0" xfId="0" applyNumberFormat="1" applyFont="1" applyFill="1" applyAlignment="1"/>
    <xf numFmtId="0" fontId="25" fillId="7" borderId="0" xfId="0" applyFont="1" applyFill="1" applyAlignment="1"/>
    <xf numFmtId="0" fontId="21" fillId="3" borderId="0" xfId="0" applyFont="1" applyFill="1" applyAlignment="1"/>
    <xf numFmtId="14" fontId="21" fillId="3" borderId="0" xfId="0" applyNumberFormat="1" applyFont="1" applyFill="1" applyAlignment="1"/>
    <xf numFmtId="0" fontId="26" fillId="0" borderId="0" xfId="0" applyFont="1" applyAlignment="1"/>
    <xf numFmtId="0" fontId="21" fillId="3" borderId="0" xfId="0" applyFont="1" applyFill="1"/>
    <xf numFmtId="0" fontId="27" fillId="8" borderId="0" xfId="0" applyFont="1" applyFill="1" applyAlignment="1"/>
    <xf numFmtId="0" fontId="28" fillId="0" borderId="0" xfId="0" applyFont="1" applyAlignment="1"/>
    <xf numFmtId="0" fontId="29" fillId="0" borderId="0" xfId="0" applyFont="1" applyAlignment="1">
      <alignment horizontal="right"/>
    </xf>
    <xf numFmtId="49" fontId="29" fillId="0" borderId="0" xfId="0" applyNumberFormat="1" applyFont="1" applyAlignment="1"/>
    <xf numFmtId="0" fontId="30" fillId="7" borderId="0" xfId="0" applyFont="1" applyFill="1" applyAlignment="1"/>
    <xf numFmtId="0" fontId="31" fillId="0" borderId="0" xfId="0" applyFont="1" applyAlignment="1"/>
    <xf numFmtId="0" fontId="32" fillId="0" borderId="0" xfId="0" applyFont="1" applyAlignment="1"/>
    <xf numFmtId="0" fontId="33" fillId="7" borderId="0" xfId="0" applyFont="1" applyFill="1" applyAlignment="1"/>
    <xf numFmtId="14" fontId="21" fillId="0" borderId="0" xfId="0" applyNumberFormat="1" applyFont="1" applyAlignment="1"/>
    <xf numFmtId="0" fontId="34" fillId="0" borderId="0" xfId="0" applyFont="1" applyAlignment="1"/>
    <xf numFmtId="0" fontId="35" fillId="0" borderId="0" xfId="0" applyFont="1" applyAlignment="1"/>
    <xf numFmtId="0" fontId="29" fillId="0" borderId="0" xfId="0" applyFont="1" applyAlignment="1"/>
    <xf numFmtId="0" fontId="36" fillId="0" borderId="0" xfId="0" applyFont="1" applyAlignment="1"/>
    <xf numFmtId="0" fontId="37" fillId="9" borderId="0" xfId="0" applyFont="1" applyFill="1" applyAlignment="1"/>
    <xf numFmtId="0" fontId="38" fillId="3" borderId="0" xfId="0" applyFont="1" applyFill="1" applyAlignment="1"/>
    <xf numFmtId="14" fontId="26" fillId="0" borderId="0" xfId="0" applyNumberFormat="1" applyFont="1" applyAlignment="1"/>
    <xf numFmtId="0" fontId="39" fillId="7" borderId="0" xfId="0" applyFont="1" applyFill="1" applyAlignment="1"/>
    <xf numFmtId="0" fontId="40" fillId="5" borderId="0" xfId="0" applyFont="1" applyFill="1" applyAlignment="1"/>
    <xf numFmtId="0" fontId="41" fillId="10" borderId="0" xfId="0" applyFont="1" applyFill="1" applyAlignment="1"/>
    <xf numFmtId="0" fontId="42" fillId="10" borderId="0" xfId="0" applyFont="1" applyFill="1" applyAlignment="1"/>
    <xf numFmtId="0" fontId="43" fillId="10" borderId="0" xfId="0" applyFont="1" applyFill="1" applyAlignment="1"/>
    <xf numFmtId="0" fontId="21" fillId="10" borderId="0" xfId="0" applyFont="1" applyFill="1"/>
    <xf numFmtId="0" fontId="21" fillId="10" borderId="0" xfId="0" applyFont="1" applyFill="1" applyAlignment="1"/>
    <xf numFmtId="14" fontId="21" fillId="10" borderId="0" xfId="0" applyNumberFormat="1" applyFont="1" applyFill="1" applyAlignment="1"/>
    <xf numFmtId="0" fontId="44" fillId="3" borderId="0" xfId="0" applyFont="1" applyFill="1" applyAlignment="1"/>
    <xf numFmtId="0" fontId="45" fillId="11" borderId="0" xfId="0" applyFont="1" applyFill="1" applyAlignment="1">
      <alignment horizontal="center"/>
    </xf>
    <xf numFmtId="0" fontId="46" fillId="3" borderId="0" xfId="0" applyFont="1" applyFill="1" applyAlignment="1"/>
    <xf numFmtId="0" fontId="47" fillId="3" borderId="0" xfId="0" applyFont="1" applyFill="1" applyAlignment="1"/>
    <xf numFmtId="0" fontId="48" fillId="3" borderId="0" xfId="0" applyFont="1" applyFill="1" applyAlignment="1"/>
    <xf numFmtId="0" fontId="49" fillId="5" borderId="0" xfId="0" applyFont="1" applyFill="1" applyAlignment="1"/>
    <xf numFmtId="164" fontId="21" fillId="0" borderId="0" xfId="0" applyNumberFormat="1" applyFont="1" applyAlignment="1"/>
    <xf numFmtId="0" fontId="50" fillId="5" borderId="0" xfId="0" applyFont="1" applyFill="1" applyAlignment="1"/>
    <xf numFmtId="0" fontId="51" fillId="0" borderId="0" xfId="0" applyFont="1" applyAlignment="1">
      <alignment horizontal="right"/>
    </xf>
    <xf numFmtId="0" fontId="52" fillId="6" borderId="0" xfId="0" applyFont="1" applyFill="1" applyAlignment="1"/>
    <xf numFmtId="11" fontId="51" fillId="0" borderId="0" xfId="0" applyNumberFormat="1" applyFont="1" applyAlignment="1">
      <alignment horizontal="right"/>
    </xf>
    <xf numFmtId="0" fontId="53" fillId="0" borderId="0" xfId="0" applyFont="1" applyAlignment="1"/>
    <xf numFmtId="0" fontId="46" fillId="3" borderId="0" xfId="0" applyFont="1" applyFill="1"/>
    <xf numFmtId="0" fontId="54" fillId="3" borderId="0" xfId="0" applyFont="1" applyFill="1" applyAlignment="1"/>
    <xf numFmtId="0" fontId="51" fillId="3" borderId="0" xfId="0" applyFont="1" applyFill="1" applyAlignment="1">
      <alignment horizontal="right"/>
    </xf>
    <xf numFmtId="0" fontId="21" fillId="5" borderId="0" xfId="0" applyFont="1" applyFill="1" applyAlignment="1"/>
    <xf numFmtId="0" fontId="55" fillId="10" borderId="0" xfId="0" applyFont="1" applyFill="1" applyAlignment="1"/>
    <xf numFmtId="0" fontId="51" fillId="10" borderId="0" xfId="0" applyFont="1" applyFill="1" applyAlignment="1">
      <alignment horizontal="right"/>
    </xf>
    <xf numFmtId="14" fontId="29" fillId="0" borderId="0" xfId="0" applyNumberFormat="1" applyFont="1" applyAlignment="1">
      <alignment horizontal="right"/>
    </xf>
    <xf numFmtId="14" fontId="29" fillId="0" borderId="0" xfId="0" applyNumberFormat="1" applyFont="1" applyAlignment="1">
      <alignment horizontal="right"/>
    </xf>
    <xf numFmtId="0" fontId="56" fillId="7" borderId="0" xfId="0" applyFont="1" applyFill="1" applyAlignment="1"/>
    <xf numFmtId="0" fontId="51" fillId="0" borderId="0" xfId="0" applyFont="1" applyAlignment="1"/>
    <xf numFmtId="0" fontId="57" fillId="6" borderId="0" xfId="0" applyFont="1" applyFill="1" applyAlignment="1"/>
    <xf numFmtId="0" fontId="58" fillId="6" borderId="0" xfId="0" applyFont="1" applyFill="1" applyAlignment="1"/>
    <xf numFmtId="0" fontId="59" fillId="6" borderId="0" xfId="0" applyFont="1" applyFill="1" applyAlignment="1"/>
    <xf numFmtId="0" fontId="51" fillId="6" borderId="0" xfId="0" applyFont="1" applyFill="1" applyAlignment="1">
      <alignment horizontal="right"/>
    </xf>
    <xf numFmtId="0" fontId="60" fillId="6" borderId="0" xfId="0" applyFont="1" applyFill="1" applyAlignment="1"/>
    <xf numFmtId="0" fontId="0" fillId="12" borderId="0" xfId="0" applyFont="1" applyFill="1" applyAlignment="1"/>
    <xf numFmtId="0" fontId="61" fillId="0" borderId="0" xfId="0" applyFont="1" applyAlignment="1"/>
    <xf numFmtId="0" fontId="0" fillId="0" borderId="0" xfId="0" applyFont="1" applyAlignment="1"/>
    <xf numFmtId="0" fontId="0" fillId="3" borderId="0" xfId="0" applyFont="1" applyFill="1" applyAlignment="1"/>
    <xf numFmtId="0" fontId="62" fillId="3" borderId="0" xfId="0" applyFont="1" applyFill="1" applyAlignment="1">
      <alignment horizontal="left"/>
    </xf>
    <xf numFmtId="0" fontId="63" fillId="0" borderId="0" xfId="0" applyFont="1" applyAlignment="1"/>
    <xf numFmtId="0" fontId="64" fillId="0" borderId="0" xfId="0" applyFont="1" applyAlignment="1"/>
    <xf numFmtId="0" fontId="65" fillId="3" borderId="0" xfId="0" applyFont="1" applyFill="1" applyAlignment="1"/>
    <xf numFmtId="0" fontId="66" fillId="0" borderId="0" xfId="0" applyFont="1" applyAlignment="1"/>
    <xf numFmtId="0" fontId="67" fillId="0" borderId="0" xfId="0" applyFont="1" applyAlignment="1"/>
    <xf numFmtId="0" fontId="66" fillId="0" borderId="0" xfId="0" applyFont="1"/>
    <xf numFmtId="0" fontId="68" fillId="3" borderId="0" xfId="0" applyFont="1" applyFill="1" applyAlignment="1">
      <alignment horizontal="left"/>
    </xf>
    <xf numFmtId="0" fontId="69" fillId="0" borderId="0" xfId="0" applyFont="1" applyAlignment="1"/>
    <xf numFmtId="0" fontId="70" fillId="0" borderId="0" xfId="0" applyFont="1" applyAlignment="1"/>
    <xf numFmtId="0" fontId="29" fillId="0" borderId="0" xfId="0" applyFont="1" applyAlignment="1"/>
    <xf numFmtId="0" fontId="71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72" fillId="8" borderId="0" xfId="0" applyFont="1" applyFill="1"/>
    <xf numFmtId="0" fontId="21" fillId="0" borderId="0" xfId="0" applyFont="1" applyAlignment="1"/>
    <xf numFmtId="0" fontId="21" fillId="0" borderId="0" xfId="0" applyFont="1" applyAlignment="1">
      <alignment horizontal="center" vertical="center"/>
    </xf>
    <xf numFmtId="0" fontId="73" fillId="0" borderId="0" xfId="0" applyFont="1"/>
  </cellXfs>
  <cellStyles count="1">
    <cellStyle name="Normal" xfId="0" builtinId="0"/>
  </cellStyles>
  <dxfs count="7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139700</xdr:colOff>
      <xdr:row>4801</xdr:row>
      <xdr:rowOff>95250</xdr:rowOff>
    </xdr:from>
    <xdr:to>
      <xdr:col>13</xdr:col>
      <xdr:colOff>139700</xdr:colOff>
      <xdr:row>4807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E16CD868-BF5C-0648-FA51-F96A848FED38}"/>
            </a:ext>
          </a:extLst>
        </xdr:cNvPr>
        <xdr:cNvSpPr txBox="1">
          <a:spLocks noChangeArrowheads="1"/>
        </xdr:cNvSpPr>
      </xdr:nvSpPr>
      <xdr:spPr bwMode="auto">
        <a:xfrm>
          <a:off x="12560300" y="718572350"/>
          <a:ext cx="3632200" cy="10477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Rubel BenWil" id="{5522e53a-247a-49a6-8b0c-493709807f12}" providerId="google-sheets"/>
  <x18tc:person displayName="Ruban Benwill" id="{1ba7b336-e165-4b8e-9b89-20d85e0caead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829" dT="2026-01-26T03:54:32.00" personId="{5522e53a-247a-49a6-8b0c-493709807f12}" id="{85ee74ae-9b42-479b-834a-489e79df9aa9}" done="0">
    <x18tc:text xml:space="preserve">leslie@money.com</x18tc:text>
  </x18tc:threadedComment>
  <x18tc:threadedComment ref="I2711" dT="2026-01-29T06:42:51.00" personId="{5522e53a-247a-49a6-8b0c-493709807f12}" id="{773bd78a-9392-4d5b-8448-a621246c0e6d}" done="0">
    <x18tc:text xml:space="preserve">emehertab@chlml.com</x18tc:text>
  </x18tc:threadedComment>
  <x18tc:threadedComment ref="J1569" dT="2026-01-25T04:50:35.00" personId="{5522e53a-247a-49a6-8b0c-493709807f12}" id="{7b4ed4f1-d812-49e7-bdc5-cf07f4a50bc1}" done="0">
    <x18tc:text xml:space="preserve">press@dailymom.com</x18tc:text>
  </x18tc:threadedComment>
  <x18tc:threadedComment ref="J4898" dT="2026-03-10T07:57:20.00" personId="{1ba7b336-e165-4b8e-9b89-20d85e0caead}" id="{b9f621b1-3d63-429e-baa0-effc2a6f4d78}" done="0">
    <x18tc:text xml:space="preserve">cherwelleditor@gmail.com</x18tc:text>
  </x18tc:threadedComment>
  <x18tc:threadedComment ref="A879" dT="2026-01-11T10:26:15.00" personId="{5522e53a-247a-49a6-8b0c-493709807f12}" id="{0ffde839-7166-47a5-8842-fe517266d47b}" done="0">
    <x18tc:text xml:space="preserve">start from 8th</x18tc:text>
  </x18tc:threadedComment>
  <x18tc:threadedComment ref="I864" dT="2026-01-12T06:38:26.00" personId="{5522e53a-247a-49a6-8b0c-493709807f12}" id="{bc6ea4b3-9fef-408d-8915-53f2a3ac95f5}" done="0">
    <x18tc:text xml:space="preserve">rt@wfpcc.com</x18tc:text>
  </x18tc:threadedComment>
  <x18tc:threadedComment ref="I1514" dT="2026-01-21T10:33:44.00" personId="{5522e53a-247a-49a6-8b0c-493709807f12}" id="{ad114978-673f-4b07-9b57-85f0d1f71d94}" done="0">
    <x18tc:text xml:space="preserve">ashley_brown@outlook.com</x18tc:text>
  </x18tc:threadedComment>
  <x18tc:threadedComment ref="I4852" dT="2026-03-09T07:13:50.00" personId="{1ba7b336-e165-4b8e-9b89-20d85e0caead}" id="{ffc1ea82-2cd0-4378-ba85-ad7c26656934}" done="0">
    <x18tc:text xml:space="preserve">daveszt@gmail.com</x18tc:text>
  </x18tc:threadedComment>
  <x18tc:threadedComment ref="I1679" dT="2026-01-25T06:11:48.00" personId="{5522e53a-247a-49a6-8b0c-493709807f12}" id="{683bb263-e52d-4eee-8c7c-a7f3bd026a2d}" done="0">
    <x18tc:text xml:space="preserve">elizabethangell@gmail.com</x18tc:text>
  </x18tc:threadedComment>
  <x18tc:threadedComment ref="I1515" dT="2026-01-21T10:38:10.00" personId="{5522e53a-247a-49a6-8b0c-493709807f12}" id="{40c42c77-003e-4667-830b-1d3003f12d07}" done="0">
    <x18tc:text xml:space="preserve">sarah@gaar.com</x18tc:text>
  </x18tc:threadedComment>
  <x18tc:threadedComment ref="I2691" dT="2026-01-29T06:11:27.00" personId="{5522e53a-247a-49a6-8b0c-493709807f12}" id="{3e7692ab-1635-4f48-be27-06b1d58f12a2}" done="0">
    <x18tc:text xml:space="preserve">Kim - kyoung@mpvre.com</x18tc:text>
  </x18tc:threadedComment>
  <x18tc:threadedComment ref="I4801" dT="2026-03-08T06:01:00.00" personId="{1ba7b336-e165-4b8e-9b89-20d85e0caead}" id="{306cdc7a-2778-4810-8d5c-f2e3ce736971}" done="1">
    <x18tc:text xml:space="preserve">hquartermain@googlemail.com</x18tc:text>
  </x18tc:threadedComment>
  <x18tc:threadedComment ref="H4880" dT="2026-03-09T09:19:44.00" personId="{1ba7b336-e165-4b8e-9b89-20d85e0caead}" id="{f9e56c22-323f-480d-a1c3-7ced175a4057}" done="0">
    <x18tc:text xml:space="preserve">Hilary Downes</x18tc:text>
  </x18tc:threadedComment>
  <x18tc:threadedComment ref="I356" dT="2026-01-07T04:10:12.00" personId="{5522e53a-247a-49a6-8b0c-493709807f12}" id="{3d9a1bb3-64b7-4df4-9e49-e35f86bfd856}" done="0">
    <x18tc:text xml:space="preserve">michael.gossie@azbigmedia.com</x18tc:text>
  </x18tc:threadedComment>
  <x18tc:threadedComment ref="I4888" dT="2026-03-09T09:35:27.00" personId="{1ba7b336-e165-4b8e-9b89-20d85e0caead}" id="{4e174161-fafa-40e6-9008-9da6585c06bf}" done="0">
    <x18tc:text xml:space="preserve">jack.ramsden@iconicmediagroup.co.uk</x18tc:text>
  </x18tc:threadedComment>
  <x18tc:threadedComment ref="I4801" dT="2026-03-08T06:35:51.00" personId="{1ba7b336-e165-4b8e-9b89-20d85e0caead}" id="{d849e46c-f934-4b64-914a-1f0e4b71d041}" done="0">
    <x18tc:text xml:space="preserve">harry.quartermain@land.tech</x18tc:text>
  </x18tc:threadedComment>
  <x18tc:threadedComment ref="A528" dT="2026-01-08T09:37:15.00" personId="{5522e53a-247a-49a6-8b0c-493709807f12}" id="{d3ec400a-5c9b-4613-8255-efb94a99165f}" done="0">
    <x18tc:text xml:space="preserve">Next start from 6th page</x18tc:text>
  </x18tc:threadedComment>
  <x18tc:threadedComment ref="I4869" dT="2026-03-09T08:49:49.00" personId="{1ba7b336-e165-4b8e-9b89-20d85e0caead}" id="{728b88ab-b55f-4702-9529-15d3c74e3f64}" done="0">
    <x18tc:text xml:space="preserve">editor@palatinate.org.uk</x18tc:text>
  </x18tc:threadedComment>
  <x18tc:threadedComment ref="I2571" dT="2026-01-28T09:48:04.00" personId="{5522e53a-247a-49a6-8b0c-493709807f12}" id="{db0e008b-6215-41e3-8b44-8546c1a38ec7}" done="0">
    <x18tc:text xml:space="preserve">baylesk@bnpmedia.com</x18tc:text>
  </x18tc:threadedComment>
  <x18tc:threadedComment ref="I981" dT="2026-01-14T05:13:09.00" personId="{5522e53a-247a-49a6-8b0c-493709807f12}" id="{69e80a71-b3c8-4919-b1d1-f1b8e8460131}" done="0">
    <x18tc:text xml:space="preserve">david.oreilly@howardhughes.com</x18tc:text>
  </x18tc:threadedComment>
  <x18tc:threadedComment ref="A1357" dT="2026-01-13T07:11:21.00" personId="{5522e53a-247a-49a6-8b0c-493709807f12}" id="{371e8882-2138-4fa1-b42c-3fbb090f44e6}" done="0">
    <x18tc:text xml:space="preserve">start from 10th page</x18tc:text>
  </x18tc:threadedComment>
  <x18tc:threadedComment ref="J1398" dT="2026-01-20T09:38:39.00" personId="{5522e53a-247a-49a6-8b0c-493709807f12}" id="{80ac7f53-e552-4efa-ab9f-e44fb561d161}" done="0">
    <x18tc:text xml:space="preserve">sales@o-careusa.com</x18tc:text>
  </x18tc:threadedComment>
  <x18tc:threadedComment ref="I2602" dT="2026-01-28T10:47:45.00" personId="{5522e53a-247a-49a6-8b0c-493709807f12}" id="{806d01d1-4a89-4156-8ea5-2c5e151d5bdb}" done="0">
    <x18tc:text xml:space="preserve">william.pittel@hudsononemedia.com</x18tc:text>
  </x18tc:threadedComment>
  <x18tc:threadedComment ref="I4901" dT="2026-03-10T08:23:22.00" personId="{1ba7b336-e165-4b8e-9b89-20d85e0caead}" id="{682d3837-c77f-4df6-a773-fcf06eaf0640}" done="0">
    <x18tc:text xml:space="preserve">annavarelag@gmail.com</x18tc:text>
  </x18tc:threadedComment>
  <x18tc:threadedComment ref="I2564" dT="2026-01-28T09:37:48.00" personId="{5522e53a-247a-49a6-8b0c-493709807f12}" id="{ddbb203c-8f22-44da-ae2f-0857343e5d0f}" done="0">
    <x18tc:text xml:space="preserve">Caroline@SOLAbrands.com</x18tc:text>
  </x18tc:threadedComment>
  <x18tc:threadedComment ref="I4900" dT="2026-03-10T08:18:17.00" personId="{1ba7b336-e165-4b8e-9b89-20d85e0caead}" id="{cf7fa9f2-6aeb-44e3-815f-8b2df4bed773}" done="0">
    <x18tc:text xml:space="preserve">richard.delahunty@tandf.co.uk</x18tc:text>
  </x18tc:threadedComment>
  <x18tc:threadedComment ref="A3472" dT="2026-02-08T10:49:01.00" personId="{5522e53a-247a-49a6-8b0c-493709807f12}" id="{359f8485-8461-4680-bfeb-4a55431ac9df}" done="0">
    <x18tc:text xml:space="preserve">start from 6th page blog</x18tc:text>
  </x18tc:threadedComment>
  <x18tc:threadedComment ref="J1376" dT="2026-01-20T09:13:20.00" personId="{5522e53a-247a-49a6-8b0c-493709807f12}" id="{393a10db-62fa-4f2c-b04a-a6c18a386bb4}" done="0">
    <x18tc:text xml:space="preserve">contactus@firstforwomen.com</x18tc:text>
  </x18tc:threadedComment>
  <x18tc:threadedComment ref="J1567" dT="2026-01-25T04:43:07.00" personId="{5522e53a-247a-49a6-8b0c-493709807f12}" id="{430739a1-1cd2-49ca-bb9f-a0bf5c34dc7a}" done="0">
    <x18tc:text xml:space="preserve">homeowners@hometap.com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2" dT="2026-01-08T11:15:00.00" personId="{5522e53a-247a-49a6-8b0c-493709807f12}" id="{76bb694e-ec90-427c-a4a1-b240c4933a21}" done="0">
    <x18tc:text xml:space="preserve">start frm 16th</x18tc:text>
  </x18tc:threadedComment>
  <x18tc:threadedComment ref="B120" dT="2026-01-11T11:12:14.00" personId="{5522e53a-247a-49a6-8b0c-493709807f12}" id="{a4cb26fb-cde9-4d8e-b8cf-8271dbf0c4af}" done="0">
    <x18tc:text xml:space="preserve">start from 20th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sebuilding.com/blog/category/guest-post" TargetMode="External"/><Relationship Id="rId21" Type="http://schemas.openxmlformats.org/officeDocument/2006/relationships/hyperlink" Target="https://www.propertytalk.com/" TargetMode="External"/><Relationship Id="rId42" Type="http://schemas.openxmlformats.org/officeDocument/2006/relationships/hyperlink" Target="https://www.truesouthcoastalhomes.com/blog/7-reasons-to-have-your-home-inspected/" TargetMode="External"/><Relationship Id="rId63" Type="http://schemas.openxmlformats.org/officeDocument/2006/relationships/hyperlink" Target="https://www.jdesigngroup.com/blog/" TargetMode="External"/><Relationship Id="rId84" Type="http://schemas.openxmlformats.org/officeDocument/2006/relationships/hyperlink" Target="https://lastwordonnothing.com/2017/06/07/guest-post-ashes-ashes/" TargetMode="External"/><Relationship Id="rId138" Type="http://schemas.openxmlformats.org/officeDocument/2006/relationships/hyperlink" Target="https://traceryinteriors.wordpress.com/" TargetMode="External"/><Relationship Id="rId159" Type="http://schemas.openxmlformats.org/officeDocument/2006/relationships/hyperlink" Target="https://srqinteriordesign.com/blog/" TargetMode="External"/><Relationship Id="rId170" Type="http://schemas.openxmlformats.org/officeDocument/2006/relationships/hyperlink" Target="https://rebeccacuthbert.com/2023/03/28/writing-with-friends-a-guest-post-by-n-west-moss/" TargetMode="External"/><Relationship Id="rId191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205" Type="http://schemas.openxmlformats.org/officeDocument/2006/relationships/hyperlink" Target="https://www.beasleyandhenley.com/media/" TargetMode="External"/><Relationship Id="rId226" Type="http://schemas.openxmlformats.org/officeDocument/2006/relationships/hyperlink" Target="https://pineapplepressfl.wordpress.com/2011/03/09/guest-post-mount-dora-florida/" TargetMode="External"/><Relationship Id="rId247" Type="http://schemas.openxmlformats.org/officeDocument/2006/relationships/hyperlink" Target="https://www.hamiltoninternationalestates.com/" TargetMode="External"/><Relationship Id="rId107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11" Type="http://schemas.openxmlformats.org/officeDocument/2006/relationships/hyperlink" Target="http://futuristarchitecture.com/" TargetMode="External"/><Relationship Id="rId32" Type="http://schemas.openxmlformats.org/officeDocument/2006/relationships/hyperlink" Target="https://www.sblonginteriors.com/blog/" TargetMode="External"/><Relationship Id="rId53" Type="http://schemas.openxmlformats.org/officeDocument/2006/relationships/hyperlink" Target="https://www.decorilla.com/online-decorating/" TargetMode="External"/><Relationship Id="rId74" Type="http://schemas.openxmlformats.org/officeDocument/2006/relationships/hyperlink" Target="https://wanderthemap.com/category/guest-post/" TargetMode="External"/><Relationship Id="rId128" Type="http://schemas.openxmlformats.org/officeDocument/2006/relationships/hyperlink" Target="https://decaseconds.com/category/guest-post-2/" TargetMode="External"/><Relationship Id="rId149" Type="http://schemas.openxmlformats.org/officeDocument/2006/relationships/hyperlink" Target="https://theprofessorisin.com/pearlsofwisdom/" TargetMode="External"/><Relationship Id="rId5" Type="http://schemas.openxmlformats.org/officeDocument/2006/relationships/hyperlink" Target="http://luxurialifestyle.com/" TargetMode="External"/><Relationship Id="rId95" Type="http://schemas.openxmlformats.org/officeDocument/2006/relationships/hyperlink" Target="https://byronchandlerinteriors.com/blog/" TargetMode="External"/><Relationship Id="rId160" Type="http://schemas.openxmlformats.org/officeDocument/2006/relationships/hyperlink" Target="https://beestudios.design/design-blog" TargetMode="External"/><Relationship Id="rId181" Type="http://schemas.openxmlformats.org/officeDocument/2006/relationships/hyperlink" Target="https://www.newbreedrevenue.com/blog/4-ways-to-find-guest-blogging-opportunities-for-your-business" TargetMode="External"/><Relationship Id="rId216" Type="http://schemas.openxmlformats.org/officeDocument/2006/relationships/hyperlink" Target="https://laurenell.com/blog/" TargetMode="External"/><Relationship Id="rId237" Type="http://schemas.openxmlformats.org/officeDocument/2006/relationships/hyperlink" Target="https://walkingthroughwonderland.com/guest-post.html" TargetMode="External"/><Relationship Id="rId22" Type="http://schemas.openxmlformats.org/officeDocument/2006/relationships/hyperlink" Target="https://www.houzeo.com/" TargetMode="External"/><Relationship Id="rId43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64" Type="http://schemas.openxmlformats.org/officeDocument/2006/relationships/hyperlink" Target="https://www.baers.com/blog" TargetMode="External"/><Relationship Id="rId118" Type="http://schemas.openxmlformats.org/officeDocument/2006/relationships/hyperlink" Target="https://www.droolius.com/2013/07/guest-post-tokyo-tapas-in-oviedo-fl/" TargetMode="External"/><Relationship Id="rId139" Type="http://schemas.openxmlformats.org/officeDocument/2006/relationships/hyperlink" Target="https://www.acloreinteriors.com/blog" TargetMode="External"/><Relationship Id="rId85" Type="http://schemas.openxmlformats.org/officeDocument/2006/relationships/hyperlink" Target="https://www.familylawprotection.com/guest-post-transfer-copyright-ownership-rights/" TargetMode="External"/><Relationship Id="rId150" Type="http://schemas.openxmlformats.org/officeDocument/2006/relationships/hyperlink" Target="https://onestarrynight.com/guest-post-5-tips-to-improve-reader-usability/" TargetMode="External"/><Relationship Id="rId171" Type="http://schemas.openxmlformats.org/officeDocument/2006/relationships/hyperlink" Target="https://www.modernmami.com/guest-posts/mother-of-two-guest-post/" TargetMode="External"/><Relationship Id="rId192" Type="http://schemas.openxmlformats.org/officeDocument/2006/relationships/hyperlink" Target="https://www.karenlsargent.com/p/guest-post-1" TargetMode="External"/><Relationship Id="rId206" Type="http://schemas.openxmlformats.org/officeDocument/2006/relationships/hyperlink" Target="https://www.sarafattori.com/blog" TargetMode="External"/><Relationship Id="rId227" Type="http://schemas.openxmlformats.org/officeDocument/2006/relationships/hyperlink" Target="https://patentlyo.com/patent/2015/06/florida-program-success.html" TargetMode="External"/><Relationship Id="rId248" Type="http://schemas.openxmlformats.org/officeDocument/2006/relationships/hyperlink" Target="https://propertypressonline.co.uk/" TargetMode="External"/><Relationship Id="rId12" Type="http://schemas.openxmlformats.org/officeDocument/2006/relationships/hyperlink" Target="http://gemmalouise.co.uk/" TargetMode="External"/><Relationship Id="rId33" Type="http://schemas.openxmlformats.org/officeDocument/2006/relationships/hyperlink" Target="https://meredithmarlow.com/interior-design-articles/" TargetMode="External"/><Relationship Id="rId108" Type="http://schemas.openxmlformats.org/officeDocument/2006/relationships/hyperlink" Target="https://wilsonsociety.org/2021/10/19/guest-post-a-closer-look-at-scrub-jay-habitat/" TargetMode="External"/><Relationship Id="rId129" Type="http://schemas.openxmlformats.org/officeDocument/2006/relationships/hyperlink" Target="https://www.indetailinteriors.com/category/in-detail-says/" TargetMode="External"/><Relationship Id="rId54" Type="http://schemas.openxmlformats.org/officeDocument/2006/relationships/hyperlink" Target="https://collins-dupont.com/blog/" TargetMode="External"/><Relationship Id="rId75" Type="http://schemas.openxmlformats.org/officeDocument/2006/relationships/hyperlink" Target="https://theinsatiabletraveler.com/tag/guest-post/" TargetMode="External"/><Relationship Id="rId96" Type="http://schemas.openxmlformats.org/officeDocument/2006/relationships/hyperlink" Target="https://ds-miami.com/blog/" TargetMode="External"/><Relationship Id="rId140" Type="http://schemas.openxmlformats.org/officeDocument/2006/relationships/hyperlink" Target="https://www.jlynn-design.com/blog" TargetMode="External"/><Relationship Id="rId161" Type="http://schemas.openxmlformats.org/officeDocument/2006/relationships/hyperlink" Target="https://dewinedesign.com/blog/" TargetMode="External"/><Relationship Id="rId182" Type="http://schemas.openxmlformats.org/officeDocument/2006/relationships/hyperlink" Target="https://kirstythroughthelookingglass.com/2018/06/16/hth-orlando/" TargetMode="External"/><Relationship Id="rId217" Type="http://schemas.openxmlformats.org/officeDocument/2006/relationships/hyperlink" Target="https://blog.kravet.com/" TargetMode="External"/><Relationship Id="rId6" Type="http://schemas.openxmlformats.org/officeDocument/2006/relationships/hyperlink" Target="http://realestateko.com/" TargetMode="External"/><Relationship Id="rId238" Type="http://schemas.openxmlformats.org/officeDocument/2006/relationships/hyperlink" Target="https://hittingitsolid.com/pages/guest-post" TargetMode="External"/><Relationship Id="rId23" Type="http://schemas.openxmlformats.org/officeDocument/2006/relationships/hyperlink" Target="http://contractorsfromhell.com/" TargetMode="External"/><Relationship Id="rId119" Type="http://schemas.openxmlformats.org/officeDocument/2006/relationships/hyperlink" Target="https://www.nodeadguys.com/a-piano-blog/i-am-a-practice-room-a-guest-post-by-dr-dave-deason" TargetMode="External"/><Relationship Id="rId44" Type="http://schemas.openxmlformats.org/officeDocument/2006/relationships/hyperlink" Target="https://www.southfloridainjurylawfirm.com/blog/2015/march/will-florida-s-recent-hit-and-run-ruling-impact-/" TargetMode="External"/><Relationship Id="rId65" Type="http://schemas.openxmlformats.org/officeDocument/2006/relationships/hyperlink" Target="https://lolainteriors.com/blog/" TargetMode="External"/><Relationship Id="rId86" Type="http://schemas.openxmlformats.org/officeDocument/2006/relationships/hyperlink" Target="https://www.bookcritics.org/2010/09/21/guest-post-by-alex-sharp-i-am-so-ready-to-make-the-switch-to-e-galleys/" TargetMode="External"/><Relationship Id="rId130" Type="http://schemas.openxmlformats.org/officeDocument/2006/relationships/hyperlink" Target="https://shusterdesign.com/blog/" TargetMode="External"/><Relationship Id="rId151" Type="http://schemas.openxmlformats.org/officeDocument/2006/relationships/hyperlink" Target="https://mitadmissions.org/blogs/entry/rowing-at-mit-a-guest-post-by-connor-m-16/" TargetMode="External"/><Relationship Id="rId172" Type="http://schemas.openxmlformats.org/officeDocument/2006/relationships/hyperlink" Target="https://crewtrust.org/tag/guest-post/" TargetMode="External"/><Relationship Id="rId193" Type="http://schemas.openxmlformats.org/officeDocument/2006/relationships/hyperlink" Target="https://www.nicolepeeler.com/2011/02/guest-post-the-fabulous-sophie-littlefield/" TargetMode="External"/><Relationship Id="rId207" Type="http://schemas.openxmlformats.org/officeDocument/2006/relationships/hyperlink" Target="https://www.abidedesignsinteriors.com/blog" TargetMode="External"/><Relationship Id="rId228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13" Type="http://schemas.openxmlformats.org/officeDocument/2006/relationships/hyperlink" Target="http://benoitproperties.com/" TargetMode="External"/><Relationship Id="rId109" Type="http://schemas.openxmlformats.org/officeDocument/2006/relationships/hyperlink" Target="https://thetrek.co/florida-trail-2026-day-2-will-i-ever-get-out/" TargetMode="External"/><Relationship Id="rId34" Type="http://schemas.openxmlformats.org/officeDocument/2006/relationships/hyperlink" Target="https://www.designersmk.com/blog/" TargetMode="External"/><Relationship Id="rId55" Type="http://schemas.openxmlformats.org/officeDocument/2006/relationships/hyperlink" Target="https://www.gcinteriordesign.com/articles/" TargetMode="External"/><Relationship Id="rId76" Type="http://schemas.openxmlformats.org/officeDocument/2006/relationships/hyperlink" Target="https://katemotaung.com/2020/02/04/aching-for-home-guest-post-by-gina-butz/" TargetMode="External"/><Relationship Id="rId97" Type="http://schemas.openxmlformats.org/officeDocument/2006/relationships/hyperlink" Target="https://www.micamydesign.com/blog" TargetMode="External"/><Relationship Id="rId120" Type="http://schemas.openxmlformats.org/officeDocument/2006/relationships/hyperlink" Target="https://www.revivalchiropractic.com/guest-post-local-spotlight-revival-chiropractic/" TargetMode="External"/><Relationship Id="rId141" Type="http://schemas.openxmlformats.org/officeDocument/2006/relationships/hyperlink" Target="https://www.ninofilm.net/blog/2013/11/08/how-to-pick-your-next-project-guest-post/" TargetMode="External"/><Relationship Id="rId7" Type="http://schemas.openxmlformats.org/officeDocument/2006/relationships/hyperlink" Target="http://resident.com/" TargetMode="External"/><Relationship Id="rId162" Type="http://schemas.openxmlformats.org/officeDocument/2006/relationships/hyperlink" Target="https://www.leahmullerinteriors.com/press" TargetMode="External"/><Relationship Id="rId183" Type="http://schemas.openxmlformats.org/officeDocument/2006/relationships/hyperlink" Target="https://decorativepainterscfl.com/guest-post/" TargetMode="External"/><Relationship Id="rId218" Type="http://schemas.openxmlformats.org/officeDocument/2006/relationships/hyperlink" Target="https://www.studiominteriordesign.net/press-awards/" TargetMode="External"/><Relationship Id="rId239" Type="http://schemas.openxmlformats.org/officeDocument/2006/relationships/hyperlink" Target="https://www.barnesandnoble.com/blog/james-ponti-guest-post/" TargetMode="External"/><Relationship Id="rId24" Type="http://schemas.openxmlformats.org/officeDocument/2006/relationships/hyperlink" Target="https://www.kennarealestate.com/" TargetMode="External"/><Relationship Id="rId45" Type="http://schemas.openxmlformats.org/officeDocument/2006/relationships/hyperlink" Target="https://sarmlife.com/5-unique-tips-to-maximize-your-guest-blogging-efforts/" TargetMode="External"/><Relationship Id="rId66" Type="http://schemas.openxmlformats.org/officeDocument/2006/relationships/hyperlink" Target="https://www.floridalivingquarters.com/blog/" TargetMode="External"/><Relationship Id="rId87" Type="http://schemas.openxmlformats.org/officeDocument/2006/relationships/hyperlink" Target="http://www.christianleedesign.com/blog" TargetMode="External"/><Relationship Id="rId110" Type="http://schemas.openxmlformats.org/officeDocument/2006/relationships/hyperlink" Target="https://caamedia.org/blog/2016/10/26/life-imitating-art-imitating-life-guest-post-by-hudson-yang/" TargetMode="External"/><Relationship Id="rId131" Type="http://schemas.openxmlformats.org/officeDocument/2006/relationships/hyperlink" Target="https://interiordesignconsult.com/blog/" TargetMode="External"/><Relationship Id="rId152" Type="http://schemas.openxmlformats.org/officeDocument/2006/relationships/hyperlink" Target="https://terryambrose.com/2020/10/lena-gregory-guest-post/" TargetMode="External"/><Relationship Id="rId173" Type="http://schemas.openxmlformats.org/officeDocument/2006/relationships/hyperlink" Target="https://norml.org/blog/2021/03/03/florida-guest-post-theyre-politicians-not-physicians/" TargetMode="External"/><Relationship Id="rId194" Type="http://schemas.openxmlformats.org/officeDocument/2006/relationships/hyperlink" Target="https://www.lexology.com/library/detail.aspx?g=a8bb2822-e1a2-43df-adaa-9df8a192845b" TargetMode="External"/><Relationship Id="rId208" Type="http://schemas.openxmlformats.org/officeDocument/2006/relationships/hyperlink" Target="https://homefrosting.com/blog/" TargetMode="External"/><Relationship Id="rId229" Type="http://schemas.openxmlformats.org/officeDocument/2006/relationships/hyperlink" Target="https://www.pmpmg.com/blog/guide-to-guest-blogging-for-lawyers/" TargetMode="External"/><Relationship Id="rId240" Type="http://schemas.openxmlformats.org/officeDocument/2006/relationships/hyperlink" Target="https://growlaw.co/blog/law-firm-marketing-strategy" TargetMode="External"/><Relationship Id="rId14" Type="http://schemas.openxmlformats.org/officeDocument/2006/relationships/hyperlink" Target="http://howardhanna.com/" TargetMode="External"/><Relationship Id="rId35" Type="http://schemas.openxmlformats.org/officeDocument/2006/relationships/hyperlink" Target="https://camila.decoratingden.com/blog/" TargetMode="External"/><Relationship Id="rId56" Type="http://schemas.openxmlformats.org/officeDocument/2006/relationships/hyperlink" Target="https://kristahome.com/designpalmbeach/" TargetMode="External"/><Relationship Id="rId77" Type="http://schemas.openxmlformats.org/officeDocument/2006/relationships/hyperlink" Target="https://www.cos.io/blog/concrete-models-for-educational-data-sharing" TargetMode="External"/><Relationship Id="rId100" Type="http://schemas.openxmlformats.org/officeDocument/2006/relationships/hyperlink" Target="https://www.chinottohouse.com/press" TargetMode="External"/><Relationship Id="rId8" Type="http://schemas.openxmlformats.org/officeDocument/2006/relationships/hyperlink" Target="http://skyfiveproperties.com/" TargetMode="External"/><Relationship Id="rId98" Type="http://schemas.openxmlformats.org/officeDocument/2006/relationships/hyperlink" Target="https://www.thedesignstudio.com/blog-interior-design-st-johns-fl/" TargetMode="External"/><Relationship Id="rId121" Type="http://schemas.openxmlformats.org/officeDocument/2006/relationships/hyperlink" Target="https://kristenwynnphotography.com/2012/05/guest-post-for-kristen-wynn-photography-amy-and-mike-married-in-harmony-florida.html" TargetMode="External"/><Relationship Id="rId142" Type="http://schemas.openxmlformats.org/officeDocument/2006/relationships/hyperlink" Target="https://www.debbimack.com/blog/general/crime-cafe-guest-post-denise-wallace/" TargetMode="External"/><Relationship Id="rId163" Type="http://schemas.openxmlformats.org/officeDocument/2006/relationships/hyperlink" Target="https://www.hshcollective.com/blog" TargetMode="External"/><Relationship Id="rId184" Type="http://schemas.openxmlformats.org/officeDocument/2006/relationships/hyperlink" Target="https://helpfulhomemade.com/diy-marc-jacobs-earrings/" TargetMode="External"/><Relationship Id="rId219" Type="http://schemas.openxmlformats.org/officeDocument/2006/relationships/hyperlink" Target="https://www.benjaminmoore.com/en-us/project-ideas-inspiration/interiors/ceiling-ideas-inspiration" TargetMode="External"/><Relationship Id="rId230" Type="http://schemas.openxmlformats.org/officeDocument/2006/relationships/hyperlink" Target="https://newswirejet.com/pr-guest-posting-sites-boost-your-brand-visibility-today/" TargetMode="External"/><Relationship Id="rId25" Type="http://schemas.openxmlformats.org/officeDocument/2006/relationships/hyperlink" Target="https://www.rentbottomline.com/blog" TargetMode="External"/><Relationship Id="rId46" Type="http://schemas.openxmlformats.org/officeDocument/2006/relationships/hyperlink" Target="https://homeia.com/sponsored-post-examples/" TargetMode="External"/><Relationship Id="rId67" Type="http://schemas.openxmlformats.org/officeDocument/2006/relationships/hyperlink" Target="https://www.sarahzdesigns.com/our-blog/" TargetMode="External"/><Relationship Id="rId88" Type="http://schemas.openxmlformats.org/officeDocument/2006/relationships/hyperlink" Target="https://trademarkinteriordesign.com/blog/" TargetMode="External"/><Relationship Id="rId111" Type="http://schemas.openxmlformats.org/officeDocument/2006/relationships/hyperlink" Target="https://jimmcdonaldcool.com/blog/tag/guest-post" TargetMode="External"/><Relationship Id="rId132" Type="http://schemas.openxmlformats.org/officeDocument/2006/relationships/hyperlink" Target="https://www.smithinteriordesignfl.com/designblog" TargetMode="External"/><Relationship Id="rId153" Type="http://schemas.openxmlformats.org/officeDocument/2006/relationships/hyperlink" Target="https://www.tabbysplace.org/guest-post-sayings/" TargetMode="External"/><Relationship Id="rId174" Type="http://schemas.openxmlformats.org/officeDocument/2006/relationships/hyperlink" Target="https://www.aplu.org/news-and-media/blog/2015/12/07/guest-post-jack-payne-on-why-land-grant-universities-must-lead-on-climate-science/" TargetMode="External"/><Relationship Id="rId195" Type="http://schemas.openxmlformats.org/officeDocument/2006/relationships/hyperlink" Target="https://laughing-stalk.blogspot.com/2021/03/guest-post-what-my-best-friend-has-done.html" TargetMode="External"/><Relationship Id="rId209" Type="http://schemas.openxmlformats.org/officeDocument/2006/relationships/hyperlink" Target="https://www.leoneinteriordesigns.com/blog" TargetMode="External"/><Relationship Id="rId220" Type="http://schemas.openxmlformats.org/officeDocument/2006/relationships/hyperlink" Target="https://www.khov.com/blog/" TargetMode="External"/><Relationship Id="rId241" Type="http://schemas.openxmlformats.org/officeDocument/2006/relationships/hyperlink" Target="https://www.erininthemorning.com/p/many-colorado-trans-youth-stranded" TargetMode="External"/><Relationship Id="rId15" Type="http://schemas.openxmlformats.org/officeDocument/2006/relationships/hyperlink" Target="http://blog.herrealtors.com/" TargetMode="External"/><Relationship Id="rId36" Type="http://schemas.openxmlformats.org/officeDocument/2006/relationships/hyperlink" Target="https://lisagilmoredesign.com/interior-design-trends" TargetMode="External"/><Relationship Id="rId57" Type="http://schemas.openxmlformats.org/officeDocument/2006/relationships/hyperlink" Target="https://www.idlawshop.com/interior-design-law-blog" TargetMode="External"/><Relationship Id="rId10" Type="http://schemas.openxmlformats.org/officeDocument/2006/relationships/hyperlink" Target="https://www.build-review.com/" TargetMode="External"/><Relationship Id="rId31" Type="http://schemas.openxmlformats.org/officeDocument/2006/relationships/hyperlink" Target="https://www.francescamorganinteriors.com/blog" TargetMode="External"/><Relationship Id="rId52" Type="http://schemas.openxmlformats.org/officeDocument/2006/relationships/hyperlink" Target="https://www.pamelaharveyinteriors.com/blog" TargetMode="External"/><Relationship Id="rId73" Type="http://schemas.openxmlformats.org/officeDocument/2006/relationships/hyperlink" Target="https://discoverfortmose.com/2024/06/guest-post-may-our-stories-endure-at-fort-mose-by-george-mckenzie-jr/" TargetMode="External"/><Relationship Id="rId78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94" Type="http://schemas.openxmlformats.org/officeDocument/2006/relationships/hyperlink" Target="https://www.brittocharette.com/blog/" TargetMode="External"/><Relationship Id="rId99" Type="http://schemas.openxmlformats.org/officeDocument/2006/relationships/hyperlink" Target="https://www.ellenkavanaugh.com/press" TargetMode="External"/><Relationship Id="rId101" Type="http://schemas.openxmlformats.org/officeDocument/2006/relationships/hyperlink" Target="https://www.vogueinteriors.com/news/" TargetMode="External"/><Relationship Id="rId122" Type="http://schemas.openxmlformats.org/officeDocument/2006/relationships/hyperlink" Target="https://bethfinke.com/blog/2020/04/18/saturdays-with-seniors-guest-post-by-jane-gallagher/" TargetMode="External"/><Relationship Id="rId143" Type="http://schemas.openxmlformats.org/officeDocument/2006/relationships/hyperlink" Target="https://aliciapollard.com/2020/03/21/the-magic-of-late-winter-part-vi-guest-post-by-hope-henchey/" TargetMode="External"/><Relationship Id="rId148" Type="http://schemas.openxmlformats.org/officeDocument/2006/relationships/hyperlink" Target="https://leekofman.com.au/the-writer-laid-bare/guest-post-charles-bane-poet-laureate-florida-learned-writing-poetry/" TargetMode="External"/><Relationship Id="rId164" Type="http://schemas.openxmlformats.org/officeDocument/2006/relationships/hyperlink" Target="https://elizabetherindesigns.com/blog/" TargetMode="External"/><Relationship Id="rId169" Type="http://schemas.openxmlformats.org/officeDocument/2006/relationships/hyperlink" Target="https://earlyamericanists.com/2015/12/11/guest-post-what-happens-at-the-southern/" TargetMode="External"/><Relationship Id="rId185" Type="http://schemas.openxmlformats.org/officeDocument/2006/relationships/hyperlink" Target="https://mapleleafmommy.com/tag/guest-post/" TargetMode="External"/><Relationship Id="rId4" Type="http://schemas.openxmlformats.org/officeDocument/2006/relationships/hyperlink" Target="https://ahouseinthehills.com/" TargetMode="External"/><Relationship Id="rId9" Type="http://schemas.openxmlformats.org/officeDocument/2006/relationships/hyperlink" Target="https://www.dreamlandestate.com/" TargetMode="External"/><Relationship Id="rId180" Type="http://schemas.openxmlformats.org/officeDocument/2006/relationships/hyperlink" Target="https://www.everywhereist.com/2010/06/five-weird-ways-to-prepare-for-a-trip-with-a-baby-guest-post/" TargetMode="External"/><Relationship Id="rId210" Type="http://schemas.openxmlformats.org/officeDocument/2006/relationships/hyperlink" Target="https://theartcareerproject.com/blog/" TargetMode="External"/><Relationship Id="rId215" Type="http://schemas.openxmlformats.org/officeDocument/2006/relationships/hyperlink" Target="https://coin.decoratingden.com/blog/" TargetMode="External"/><Relationship Id="rId236" Type="http://schemas.openxmlformats.org/officeDocument/2006/relationships/hyperlink" Target="https://thecapitolist.com/guest-post-hurricane-michael-showed-how-we-bend-but-dont-break/" TargetMode="External"/><Relationship Id="rId26" Type="http://schemas.openxmlformats.org/officeDocument/2006/relationships/hyperlink" Target="https://www.lorddecor.com/" TargetMode="External"/><Relationship Id="rId231" Type="http://schemas.openxmlformats.org/officeDocument/2006/relationships/hyperlink" Target="https://oneims.com/blog/still-accept-guest-posts-website" TargetMode="External"/><Relationship Id="rId47" Type="http://schemas.openxmlformats.org/officeDocument/2006/relationships/hyperlink" Target="https://wppopupmaker.com/write-guest-post/" TargetMode="External"/><Relationship Id="rId68" Type="http://schemas.openxmlformats.org/officeDocument/2006/relationships/hyperlink" Target="https://www.studioidc.com/blog" TargetMode="External"/><Relationship Id="rId89" Type="http://schemas.openxmlformats.org/officeDocument/2006/relationships/hyperlink" Target="https://www.theartisticelements.com/blog/" TargetMode="External"/><Relationship Id="rId112" Type="http://schemas.openxmlformats.org/officeDocument/2006/relationships/hyperlink" Target="https://www.localpassportfamily.com/2021/07/guest-post-living-working-in-an-rv.html" TargetMode="External"/><Relationship Id="rId133" Type="http://schemas.openxmlformats.org/officeDocument/2006/relationships/hyperlink" Target="https://orangemooninteriors.com/blog/" TargetMode="External"/><Relationship Id="rId154" Type="http://schemas.openxmlformats.org/officeDocument/2006/relationships/hyperlink" Target="https://qrper.com/2024/07/guest-post-combining-pota-with-an-fbla-national-competition-road-trip/" TargetMode="External"/><Relationship Id="rId175" Type="http://schemas.openxmlformats.org/officeDocument/2006/relationships/hyperlink" Target="https://www.bogleheads.org/blog/tag/guest-post/" TargetMode="External"/><Relationship Id="rId196" Type="http://schemas.openxmlformats.org/officeDocument/2006/relationships/hyperlink" Target="https://www.suredividend.com/non-ai-dividend-stocks/" TargetMode="External"/><Relationship Id="rId200" Type="http://schemas.openxmlformats.org/officeDocument/2006/relationships/hyperlink" Target="https://havebabywilltravel.com/guest-post-orlandos-coco-key-water-park-resort/" TargetMode="External"/><Relationship Id="rId16" Type="http://schemas.openxmlformats.org/officeDocument/2006/relationships/hyperlink" Target="http://homewaresinsider.com/" TargetMode="External"/><Relationship Id="rId221" Type="http://schemas.openxmlformats.org/officeDocument/2006/relationships/hyperlink" Target="https://news.mdcwall.com/" TargetMode="External"/><Relationship Id="rId242" Type="http://schemas.openxmlformats.org/officeDocument/2006/relationships/hyperlink" Target="https://news.outsourceaccelerator.com/u-s-states-aca-subsidies/" TargetMode="External"/><Relationship Id="rId37" Type="http://schemas.openxmlformats.org/officeDocument/2006/relationships/hyperlink" Target="https://dkorinteriors.com/dkor-interior-design-blog/" TargetMode="External"/><Relationship Id="rId58" Type="http://schemas.openxmlformats.org/officeDocument/2006/relationships/hyperlink" Target="https://splendidhomedesign.com/" TargetMode="External"/><Relationship Id="rId79" Type="http://schemas.openxmlformats.org/officeDocument/2006/relationships/hyperlink" Target="https://www.floridasmart.com/why-guest-posts-generic-social-media-are-dead-and-what-florida-businesses-should-do-instead" TargetMode="External"/><Relationship Id="rId102" Type="http://schemas.openxmlformats.org/officeDocument/2006/relationships/hyperlink" Target="https://www.crespodesigngroup.com/tampa-interior-design-press" TargetMode="External"/><Relationship Id="rId123" Type="http://schemas.openxmlformats.org/officeDocument/2006/relationships/hyperlink" Target="https://votewater.org/farewell_rick_scott/" TargetMode="External"/><Relationship Id="rId144" Type="http://schemas.openxmlformats.org/officeDocument/2006/relationships/hyperlink" Target="https://www.kitchenbutterfly.com/2013/guest-post-on-meyer-lemons-the-joys-and-sorrows/" TargetMode="External"/><Relationship Id="rId90" Type="http://schemas.openxmlformats.org/officeDocument/2006/relationships/hyperlink" Target="https://avanzatodesign.com/blog" TargetMode="External"/><Relationship Id="rId165" Type="http://schemas.openxmlformats.org/officeDocument/2006/relationships/hyperlink" Target="https://www.paladinorudd.com/paladino-rudd-interior-design-recent-blog-articles/" TargetMode="External"/><Relationship Id="rId186" Type="http://schemas.openxmlformats.org/officeDocument/2006/relationships/hyperlink" Target="https://mathbabe.org/2016/11/14/guest-post-the-foreclosure-vote/" TargetMode="External"/><Relationship Id="rId211" Type="http://schemas.openxmlformats.org/officeDocument/2006/relationships/hyperlink" Target="https://www.mralextate.com/blog" TargetMode="External"/><Relationship Id="rId232" Type="http://schemas.openxmlformats.org/officeDocument/2006/relationships/hyperlink" Target="https://cyclingindustry.news/cannondale-founder-joe-montgomery-passes-away/" TargetMode="External"/><Relationship Id="rId27" Type="http://schemas.openxmlformats.org/officeDocument/2006/relationships/hyperlink" Target="https://propertiesmiami.com/blog" TargetMode="External"/><Relationship Id="rId48" Type="http://schemas.openxmlformats.org/officeDocument/2006/relationships/hyperlink" Target="https://speedingticketkc.com/do-i-need-to-have-a-front-license-plate-in-florida-guest-post/" TargetMode="External"/><Relationship Id="rId69" Type="http://schemas.openxmlformats.org/officeDocument/2006/relationships/hyperlink" Target="https://www.2idinteriors.com/blog" TargetMode="External"/><Relationship Id="rId113" Type="http://schemas.openxmlformats.org/officeDocument/2006/relationships/hyperlink" Target="https://carolnewmancronin.com/guest-post-where-books-meet-boats/" TargetMode="External"/><Relationship Id="rId134" Type="http://schemas.openxmlformats.org/officeDocument/2006/relationships/hyperlink" Target="https://www.jntinteriors.com/blog" TargetMode="External"/><Relationship Id="rId80" Type="http://schemas.openxmlformats.org/officeDocument/2006/relationships/hyperlink" Target="https://myshingle.com/2019/04/articles/profiles/make-money-mondays-learn-a-new-language-guest-post-by-russell-d-knight/" TargetMode="External"/><Relationship Id="rId155" Type="http://schemas.openxmlformats.org/officeDocument/2006/relationships/hyperlink" Target="https://blog.downloadyouthministry.com/guest-post-tim-wadsworth-1/" TargetMode="External"/><Relationship Id="rId176" Type="http://schemas.openxmlformats.org/officeDocument/2006/relationships/hyperlink" Target="https://confessionsofafitnessinstructor.com/category/guest-post/" TargetMode="External"/><Relationship Id="rId197" Type="http://schemas.openxmlformats.org/officeDocument/2006/relationships/hyperlink" Target="https://storeybookreviews.com/2023/10/guest-post-giveaway-her-secret-protector/" TargetMode="External"/><Relationship Id="rId201" Type="http://schemas.openxmlformats.org/officeDocument/2006/relationships/hyperlink" Target="https://schultedesign.com/blog/" TargetMode="External"/><Relationship Id="rId222" Type="http://schemas.openxmlformats.org/officeDocument/2006/relationships/hyperlink" Target="https://authoraddisonalbright.com/2025/06/04/guest-post-the-players-encore-audiobook-by-joe-cosentino-guestpost/" TargetMode="External"/><Relationship Id="rId243" Type="http://schemas.openxmlformats.org/officeDocument/2006/relationships/hyperlink" Target="https://www.brandburp.com/guest-blogging-services" TargetMode="External"/><Relationship Id="rId17" Type="http://schemas.openxmlformats.org/officeDocument/2006/relationships/hyperlink" Target="http://propertyunder50k.com/" TargetMode="External"/><Relationship Id="rId38" Type="http://schemas.openxmlformats.org/officeDocument/2006/relationships/hyperlink" Target="https://www.interiorsbysteveng.com/blog/" TargetMode="External"/><Relationship Id="rId59" Type="http://schemas.openxmlformats.org/officeDocument/2006/relationships/hyperlink" Target="https://www.captivahomedesign.com/blog" TargetMode="External"/><Relationship Id="rId103" Type="http://schemas.openxmlformats.org/officeDocument/2006/relationships/hyperlink" Target="https://www.exclusivelytodesign.com/blog" TargetMode="External"/><Relationship Id="rId124" Type="http://schemas.openxmlformats.org/officeDocument/2006/relationships/hyperlink" Target="https://www.frostscience.org/guest-post-fpl-bringing-power-sun-closer/" TargetMode="External"/><Relationship Id="rId70" Type="http://schemas.openxmlformats.org/officeDocument/2006/relationships/hyperlink" Target="https://yourdesignpartner.com/blog-page/" TargetMode="External"/><Relationship Id="rId91" Type="http://schemas.openxmlformats.org/officeDocument/2006/relationships/hyperlink" Target="https://www.chanceydesign.com/press-blog" TargetMode="External"/><Relationship Id="rId145" Type="http://schemas.openxmlformats.org/officeDocument/2006/relationships/hyperlink" Target="https://dailyhodl.com/2026/01/10/23-year-old-allegedly-masterminds-203000-theft-from-womans-fidelity-account-heres-how/" TargetMode="External"/><Relationship Id="rId166" Type="http://schemas.openxmlformats.org/officeDocument/2006/relationships/hyperlink" Target="https://bridgetinteriors.com/resources/" TargetMode="External"/><Relationship Id="rId187" Type="http://schemas.openxmlformats.org/officeDocument/2006/relationships/hyperlink" Target="https://mdpl.org/news/2021/01/guest-post-from-liverpool-to-miami-beach-a-beatles-legacy-shared/" TargetMode="External"/><Relationship Id="rId1" Type="http://schemas.openxmlformats.org/officeDocument/2006/relationships/hyperlink" Target="http://allaroundmoving.com/" TargetMode="External"/><Relationship Id="rId212" Type="http://schemas.openxmlformats.org/officeDocument/2006/relationships/hyperlink" Target="https://colorsofdesign.com/interior-design-blog/" TargetMode="External"/><Relationship Id="rId233" Type="http://schemas.openxmlformats.org/officeDocument/2006/relationships/hyperlink" Target="https://www.tinyhousetinyfootprint.com/blogposts/international-perspective-on-us-travel" TargetMode="External"/><Relationship Id="rId28" Type="http://schemas.openxmlformats.org/officeDocument/2006/relationships/hyperlink" Target="http://www.tarasa.com/" TargetMode="External"/><Relationship Id="rId49" Type="http://schemas.openxmlformats.org/officeDocument/2006/relationships/hyperlink" Target="https://www.legalfuel.com/law-firm-computer-system-security/" TargetMode="External"/><Relationship Id="rId114" Type="http://schemas.openxmlformats.org/officeDocument/2006/relationships/hyperlink" Target="https://www.als.org/blog/guest-post-als-what-i-have-not-who-i-am" TargetMode="External"/><Relationship Id="rId60" Type="http://schemas.openxmlformats.org/officeDocument/2006/relationships/hyperlink" Target="https://www.studio790.com/blog" TargetMode="External"/><Relationship Id="rId81" Type="http://schemas.openxmlformats.org/officeDocument/2006/relationships/hyperlink" Target="https://www.honeybeesuite.com/guest-post-a-day-in-the-world-around-me/" TargetMode="External"/><Relationship Id="rId135" Type="http://schemas.openxmlformats.org/officeDocument/2006/relationships/hyperlink" Target="https://emilymossdesigns.com/blog" TargetMode="External"/><Relationship Id="rId156" Type="http://schemas.openxmlformats.org/officeDocument/2006/relationships/hyperlink" Target="https://mackmediagroup.com/5-ways-guest-blogging-can-boost-your-websites-visibility-insights-from-an-seo-agency/" TargetMode="External"/><Relationship Id="rId177" Type="http://schemas.openxmlformats.org/officeDocument/2006/relationships/hyperlink" Target="https://seomarketexpert.com/best-guest-posting-services-in-fort-lauderdale-florida/" TargetMode="External"/><Relationship Id="rId198" Type="http://schemas.openxmlformats.org/officeDocument/2006/relationships/hyperlink" Target="https://www.orangeseo.net/guest-blogging" TargetMode="External"/><Relationship Id="rId202" Type="http://schemas.openxmlformats.org/officeDocument/2006/relationships/hyperlink" Target="https://interiorsbythalia.com/blog-design" TargetMode="External"/><Relationship Id="rId223" Type="http://schemas.openxmlformats.org/officeDocument/2006/relationships/hyperlink" Target="https://thefloridavillager.com/author/tfv-guestpost/" TargetMode="External"/><Relationship Id="rId244" Type="http://schemas.openxmlformats.org/officeDocument/2006/relationships/hyperlink" Target="https://www.thedevyroyale.com/p/early-look-2026-c2c-quarterback-rankings" TargetMode="External"/><Relationship Id="rId18" Type="http://schemas.openxmlformats.org/officeDocument/2006/relationships/hyperlink" Target="http://homeeguide.com/" TargetMode="External"/><Relationship Id="rId39" Type="http://schemas.openxmlformats.org/officeDocument/2006/relationships/hyperlink" Target="https://collinsandcointeriors.com/blog/" TargetMode="External"/><Relationship Id="rId50" Type="http://schemas.openxmlformats.org/officeDocument/2006/relationships/hyperlink" Target="https://www.haimolaw.com/the-fall-of-floridas-gay-adoption-ban-guest-post-by-adam-cordover/" TargetMode="External"/><Relationship Id="rId104" Type="http://schemas.openxmlformats.org/officeDocument/2006/relationships/hyperlink" Target="https://nestingplaceinteriors.com/media/" TargetMode="External"/><Relationship Id="rId125" Type="http://schemas.openxmlformats.org/officeDocument/2006/relationships/hyperlink" Target="https://www.heysigmund.com/living-with-anxiety-and-depression/" TargetMode="External"/><Relationship Id="rId146" Type="http://schemas.openxmlformats.org/officeDocument/2006/relationships/hyperlink" Target="https://www.thisdetailedlife.com/post/guest-post-jessica-miles" TargetMode="External"/><Relationship Id="rId167" Type="http://schemas.openxmlformats.org/officeDocument/2006/relationships/hyperlink" Target="https://thehometrotters.com/7-expert-guest-post-providers-in-florida-for-seo-and-content-solutions/" TargetMode="External"/><Relationship Id="rId188" Type="http://schemas.openxmlformats.org/officeDocument/2006/relationships/hyperlink" Target="https://www.thatartsyreadergirl.com/2012/05/the-summer-my-life-began-book-review-author-guest-post/" TargetMode="External"/><Relationship Id="rId71" Type="http://schemas.openxmlformats.org/officeDocument/2006/relationships/hyperlink" Target="https://www.spectacularspaces.com/blog" TargetMode="External"/><Relationship Id="rId92" Type="http://schemas.openxmlformats.org/officeDocument/2006/relationships/hyperlink" Target="https://www.gagemartin.com/press" TargetMode="External"/><Relationship Id="rId213" Type="http://schemas.openxmlformats.org/officeDocument/2006/relationships/hyperlink" Target="https://www.domadesign.co/blog" TargetMode="External"/><Relationship Id="rId234" Type="http://schemas.openxmlformats.org/officeDocument/2006/relationships/hyperlink" Target="https://www.aeologic.com/write-for-us/" TargetMode="External"/><Relationship Id="rId2" Type="http://schemas.openxmlformats.org/officeDocument/2006/relationships/hyperlink" Target="http://sdhouseguys.com/" TargetMode="External"/><Relationship Id="rId29" Type="http://schemas.openxmlformats.org/officeDocument/2006/relationships/hyperlink" Target="https://www.simpleshowing.com/" TargetMode="External"/><Relationship Id="rId40" Type="http://schemas.openxmlformats.org/officeDocument/2006/relationships/hyperlink" Target="https://blog.mrsteam.com/how-to-transform-a-bathroom-into-a-vacation-spot" TargetMode="External"/><Relationship Id="rId115" Type="http://schemas.openxmlformats.org/officeDocument/2006/relationships/hyperlink" Target="https://mineralsmakelife.org/blog/guest-post-reflections-on-the-mining-industry-and-how-it-sustains-so-many-i/" TargetMode="External"/><Relationship Id="rId136" Type="http://schemas.openxmlformats.org/officeDocument/2006/relationships/hyperlink" Target="https://www.natalianeverko.com/blog/" TargetMode="External"/><Relationship Id="rId157" Type="http://schemas.openxmlformats.org/officeDocument/2006/relationships/hyperlink" Target="https://www.bontempsinteriors.com/blog" TargetMode="External"/><Relationship Id="rId178" Type="http://schemas.openxmlformats.org/officeDocument/2006/relationships/hyperlink" Target="https://www.roadtripsforfamilies.com/category/guest-post/page/14/" TargetMode="External"/><Relationship Id="rId61" Type="http://schemas.openxmlformats.org/officeDocument/2006/relationships/hyperlink" Target="https://margaritabravo.com/blog/" TargetMode="External"/><Relationship Id="rId82" Type="http://schemas.openxmlformats.org/officeDocument/2006/relationships/hyperlink" Target="https://www.projectwet.org/blog/guest-post-making-splash-floridas-crystal-springs-preserve" TargetMode="External"/><Relationship Id="rId199" Type="http://schemas.openxmlformats.org/officeDocument/2006/relationships/hyperlink" Target="https://ethosroasters.com/blog/tag/guest+post?srsltid=AfmBOorEVdHIPtqaFipkLYKcrABD8J0HXcBQ_4uDXWiusS6TIkxOEoL2" TargetMode="External"/><Relationship Id="rId203" Type="http://schemas.openxmlformats.org/officeDocument/2006/relationships/hyperlink" Target="https://www.distinctiveinteriorsdesign.com/news" TargetMode="External"/><Relationship Id="rId19" Type="http://schemas.openxmlformats.org/officeDocument/2006/relationships/hyperlink" Target="http://homelovr.com/" TargetMode="External"/><Relationship Id="rId224" Type="http://schemas.openxmlformats.org/officeDocument/2006/relationships/hyperlink" Target="https://www.blackrapid.com/blackrapid-guest-post-by-marc-serota-photographing-hurricane-irma-in-the-florida-keys/" TargetMode="External"/><Relationship Id="rId245" Type="http://schemas.openxmlformats.org/officeDocument/2006/relationships/hyperlink" Target="https://travelita-blog.com/guest-post-tampa-bay-more-than-sea/" TargetMode="External"/><Relationship Id="rId30" Type="http://schemas.openxmlformats.org/officeDocument/2006/relationships/hyperlink" Target="https://nikkilevyinteriors.com/blog/" TargetMode="External"/><Relationship Id="rId105" Type="http://schemas.openxmlformats.org/officeDocument/2006/relationships/hyperlink" Target="https://acdis.org/articles/guest-post-notes-south-pole-adventure" TargetMode="External"/><Relationship Id="rId126" Type="http://schemas.openxmlformats.org/officeDocument/2006/relationships/hyperlink" Target="https://firstcoastcardio.com/guest-post-nourish-juice-cafe-juicing-vs-blending/" TargetMode="External"/><Relationship Id="rId147" Type="http://schemas.openxmlformats.org/officeDocument/2006/relationships/hyperlink" Target="https://godfullyknown.blog/2025/06/18/traveling-gods-road-from-parked-to-published-guest-post/" TargetMode="External"/><Relationship Id="rId168" Type="http://schemas.openxmlformats.org/officeDocument/2006/relationships/hyperlink" Target="https://livswonderfulescape.wordpress.com/2021/05/15/guest-post-by-casie-bazay/" TargetMode="External"/><Relationship Id="rId51" Type="http://schemas.openxmlformats.org/officeDocument/2006/relationships/hyperlink" Target="https://goodmenproject.com/everyday-life-2/the-vision-of-itzhak-ezratti-how-purpose-and-principles-built-gl-homes/" TargetMode="External"/><Relationship Id="rId72" Type="http://schemas.openxmlformats.org/officeDocument/2006/relationships/hyperlink" Target="https://www.brew-hound.com/blog/categories/guest-post" TargetMode="External"/><Relationship Id="rId93" Type="http://schemas.openxmlformats.org/officeDocument/2006/relationships/hyperlink" Target="https://kaelynschmidtdesign.com/blog/" TargetMode="External"/><Relationship Id="rId189" Type="http://schemas.openxmlformats.org/officeDocument/2006/relationships/hyperlink" Target="https://blogs.loc.gov/loc/2011/04/gateway-to-knowledge-guest-post-19/" TargetMode="External"/><Relationship Id="rId3" Type="http://schemas.openxmlformats.org/officeDocument/2006/relationships/hyperlink" Target="http://diyhomecomfort.com/" TargetMode="External"/><Relationship Id="rId214" Type="http://schemas.openxmlformats.org/officeDocument/2006/relationships/hyperlink" Target="https://www.architecturaldigest.com/story/wellness-clubs-that-look-like-nightclubs" TargetMode="External"/><Relationship Id="rId235" Type="http://schemas.openxmlformats.org/officeDocument/2006/relationships/hyperlink" Target="https://www.netreputation.com/what-is-a-guest-post/" TargetMode="External"/><Relationship Id="rId116" Type="http://schemas.openxmlformats.org/officeDocument/2006/relationships/hyperlink" Target="https://blogs.ethnos360.org/joel-potter/category/guest-post/" TargetMode="External"/><Relationship Id="rId137" Type="http://schemas.openxmlformats.org/officeDocument/2006/relationships/hyperlink" Target="https://twinteriors.com/blog/" TargetMode="External"/><Relationship Id="rId158" Type="http://schemas.openxmlformats.org/officeDocument/2006/relationships/hyperlink" Target="https://www.miamiluxuryhomes.com/category/luxury-condos/" TargetMode="External"/><Relationship Id="rId20" Type="http://schemas.openxmlformats.org/officeDocument/2006/relationships/hyperlink" Target="https://365businesstips.com/" TargetMode="External"/><Relationship Id="rId41" Type="http://schemas.openxmlformats.org/officeDocument/2006/relationships/hyperlink" Target="https://huntingforrubies.com/romantic-getaway-florida-boca-resort/1559.html" TargetMode="External"/><Relationship Id="rId62" Type="http://schemas.openxmlformats.org/officeDocument/2006/relationships/hyperlink" Target="https://dwest.com/articles/" TargetMode="External"/><Relationship Id="rId83" Type="http://schemas.openxmlformats.org/officeDocument/2006/relationships/hyperlink" Target="https://weekendtimes.com.au/business-news/10553-top-5-providers-of-seo-focused-guest-posts-in-florida-you-can-count-on" TargetMode="External"/><Relationship Id="rId179" Type="http://schemas.openxmlformats.org/officeDocument/2006/relationships/hyperlink" Target="https://www.theguytravel.com/guest-post-guide-key-west-florida-keys-united-states/" TargetMode="External"/><Relationship Id="rId190" Type="http://schemas.openxmlformats.org/officeDocument/2006/relationships/hyperlink" Target="https://nanaswhimsies.com/2015/04/23/guest-post-reluctant-traveler-life-is-good/" TargetMode="External"/><Relationship Id="rId204" Type="http://schemas.openxmlformats.org/officeDocument/2006/relationships/hyperlink" Target="https://gulfshoreinteriordesign.com/gulfshore-interior-design-blog/" TargetMode="External"/><Relationship Id="rId225" Type="http://schemas.openxmlformats.org/officeDocument/2006/relationships/hyperlink" Target="https://www.thisismysouth.com/tag/guest-post/" TargetMode="External"/><Relationship Id="rId246" Type="http://schemas.openxmlformats.org/officeDocument/2006/relationships/hyperlink" Target="https://www.pinoyeplans.com/" TargetMode="External"/><Relationship Id="rId106" Type="http://schemas.openxmlformats.org/officeDocument/2006/relationships/hyperlink" Target="https://petersvalley.org/guest-post-angelina-parrino-artist-in-residence/" TargetMode="External"/><Relationship Id="rId127" Type="http://schemas.openxmlformats.org/officeDocument/2006/relationships/hyperlink" Target="https://floatoncounseling.com/relationships/guest-post-alicia-divico-on-relationship-traps/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withroam.com/" TargetMode="External"/><Relationship Id="rId170" Type="http://schemas.openxmlformats.org/officeDocument/2006/relationships/hyperlink" Target="https://www.homeone.com.au/" TargetMode="External"/><Relationship Id="rId987" Type="http://schemas.openxmlformats.org/officeDocument/2006/relationships/hyperlink" Target="https://www.seattlegreencleaningfairy.com/" TargetMode="External"/><Relationship Id="rId847" Type="http://schemas.openxmlformats.org/officeDocument/2006/relationships/hyperlink" Target="https://www.fabricuk.com/" TargetMode="External"/><Relationship Id="rId1477" Type="http://schemas.openxmlformats.org/officeDocument/2006/relationships/hyperlink" Target="http://hapahomebuyers.com/" TargetMode="External"/><Relationship Id="rId1684" Type="http://schemas.openxmlformats.org/officeDocument/2006/relationships/hyperlink" Target="http://bostonbestrate.com/" TargetMode="External"/><Relationship Id="rId1891" Type="http://schemas.openxmlformats.org/officeDocument/2006/relationships/hyperlink" Target="http://magiclinen.com/" TargetMode="External"/><Relationship Id="rId2528" Type="http://schemas.openxmlformats.org/officeDocument/2006/relationships/hyperlink" Target="https://happy2movelondon.co.uk/r" TargetMode="External"/><Relationship Id="rId707" Type="http://schemas.openxmlformats.org/officeDocument/2006/relationships/hyperlink" Target="https://arizonapaintingcompany.com/" TargetMode="External"/><Relationship Id="rId914" Type="http://schemas.openxmlformats.org/officeDocument/2006/relationships/hyperlink" Target="https://www.conradmartens.com.au/" TargetMode="External"/><Relationship Id="rId1337" Type="http://schemas.openxmlformats.org/officeDocument/2006/relationships/hyperlink" Target="https://extensionarchitecture.co.uk/" TargetMode="External"/><Relationship Id="rId1544" Type="http://schemas.openxmlformats.org/officeDocument/2006/relationships/hyperlink" Target="http://multiglassoftexas.com/" TargetMode="External"/><Relationship Id="rId1751" Type="http://schemas.openxmlformats.org/officeDocument/2006/relationships/hyperlink" Target="http://rakkausfurniture.co.uk/" TargetMode="External"/><Relationship Id="rId43" Type="http://schemas.openxmlformats.org/officeDocument/2006/relationships/hyperlink" Target="https://pinnaclehomeimprovements.com/" TargetMode="External"/><Relationship Id="rId1404" Type="http://schemas.openxmlformats.org/officeDocument/2006/relationships/hyperlink" Target="https://vodaland.ca/" TargetMode="External"/><Relationship Id="rId1611" Type="http://schemas.openxmlformats.org/officeDocument/2006/relationships/hyperlink" Target="http://lauriereader.com/" TargetMode="External"/><Relationship Id="rId497" Type="http://schemas.openxmlformats.org/officeDocument/2006/relationships/hyperlink" Target="https://luxuryflooring.co.uk/" TargetMode="External"/><Relationship Id="rId2178" Type="http://schemas.openxmlformats.org/officeDocument/2006/relationships/hyperlink" Target="http://grace.com.au/" TargetMode="External"/><Relationship Id="rId2385" Type="http://schemas.openxmlformats.org/officeDocument/2006/relationships/hyperlink" Target="http://cwoodsco.com/" TargetMode="External"/><Relationship Id="rId357" Type="http://schemas.openxmlformats.org/officeDocument/2006/relationships/hyperlink" Target="https://www.designerliving.com/" TargetMode="External"/><Relationship Id="rId1194" Type="http://schemas.openxmlformats.org/officeDocument/2006/relationships/hyperlink" Target="https://www.globalexteriorexperts.com/" TargetMode="External"/><Relationship Id="rId2038" Type="http://schemas.openxmlformats.org/officeDocument/2006/relationships/hyperlink" Target="http://fixmyhome.com/" TargetMode="External"/><Relationship Id="rId2592" Type="http://schemas.openxmlformats.org/officeDocument/2006/relationships/hyperlink" Target="https://www.waterdamagespecialist.com.au/" TargetMode="External"/><Relationship Id="rId217" Type="http://schemas.openxmlformats.org/officeDocument/2006/relationships/hyperlink" Target="https://www.prospa.com/" TargetMode="External"/><Relationship Id="rId564" Type="http://schemas.openxmlformats.org/officeDocument/2006/relationships/hyperlink" Target="https://www.craft-child.com/" TargetMode="External"/><Relationship Id="rId771" Type="http://schemas.openxmlformats.org/officeDocument/2006/relationships/hyperlink" Target="https://www.pittsburghpowerwash.com/" TargetMode="External"/><Relationship Id="rId2245" Type="http://schemas.openxmlformats.org/officeDocument/2006/relationships/hyperlink" Target="http://metropha.com/" TargetMode="External"/><Relationship Id="rId2452" Type="http://schemas.openxmlformats.org/officeDocument/2006/relationships/hyperlink" Target="http://sprayfoamsys.com/" TargetMode="External"/><Relationship Id="rId424" Type="http://schemas.openxmlformats.org/officeDocument/2006/relationships/hyperlink" Target="https://www.hifkitchens.co.uk/" TargetMode="External"/><Relationship Id="rId631" Type="http://schemas.openxmlformats.org/officeDocument/2006/relationships/hyperlink" Target="https://www.wallstreetzen.com/" TargetMode="External"/><Relationship Id="rId1054" Type="http://schemas.openxmlformats.org/officeDocument/2006/relationships/hyperlink" Target="https://thehomeloanexpert.com/" TargetMode="External"/><Relationship Id="rId1261" Type="http://schemas.openxmlformats.org/officeDocument/2006/relationships/hyperlink" Target="https://www.okfoundationsolutions.com/" TargetMode="External"/><Relationship Id="rId2105" Type="http://schemas.openxmlformats.org/officeDocument/2006/relationships/hyperlink" Target="http://gilbertburke.ca/" TargetMode="External"/><Relationship Id="rId2312" Type="http://schemas.openxmlformats.org/officeDocument/2006/relationships/hyperlink" Target="http://illumination.co.uk/" TargetMode="External"/><Relationship Id="rId1121" Type="http://schemas.openxmlformats.org/officeDocument/2006/relationships/hyperlink" Target="https://www.northamerican.com/" TargetMode="External"/><Relationship Id="rId1938" Type="http://schemas.openxmlformats.org/officeDocument/2006/relationships/hyperlink" Target="http://harcourts.net/" TargetMode="External"/><Relationship Id="rId281" Type="http://schemas.openxmlformats.org/officeDocument/2006/relationships/hyperlink" Target="https://www.lovevsdesign.com/" TargetMode="External"/><Relationship Id="rId141" Type="http://schemas.openxmlformats.org/officeDocument/2006/relationships/hyperlink" Target="https://seattlewindowsdoors.com/" TargetMode="External"/><Relationship Id="rId7" Type="http://schemas.openxmlformats.org/officeDocument/2006/relationships/hyperlink" Target="https://www.bintheredumpthatusa.com/" TargetMode="External"/><Relationship Id="rId958" Type="http://schemas.openxmlformats.org/officeDocument/2006/relationships/hyperlink" Target="https://www.colibrirealestate.com/" TargetMode="External"/><Relationship Id="rId1588" Type="http://schemas.openxmlformats.org/officeDocument/2006/relationships/hyperlink" Target="http://ontopoftheworldcommunities.com/" TargetMode="External"/><Relationship Id="rId1795" Type="http://schemas.openxmlformats.org/officeDocument/2006/relationships/hyperlink" Target="http://richardsonandstarling.co.uk/" TargetMode="External"/><Relationship Id="rId87" Type="http://schemas.openxmlformats.org/officeDocument/2006/relationships/hyperlink" Target="https://www.landbrokermls.com/" TargetMode="External"/><Relationship Id="rId818" Type="http://schemas.openxmlformats.org/officeDocument/2006/relationships/hyperlink" Target="https://foxmoving.com/" TargetMode="External"/><Relationship Id="rId1448" Type="http://schemas.openxmlformats.org/officeDocument/2006/relationships/hyperlink" Target="http://ssrelocation.com/" TargetMode="External"/><Relationship Id="rId1655" Type="http://schemas.openxmlformats.org/officeDocument/2006/relationships/hyperlink" Target="http://harcourtspurbabali.com/" TargetMode="External"/><Relationship Id="rId1308" Type="http://schemas.openxmlformats.org/officeDocument/2006/relationships/hyperlink" Target="https://traviscountyappliancerepair.com/" TargetMode="External"/><Relationship Id="rId1862" Type="http://schemas.openxmlformats.org/officeDocument/2006/relationships/hyperlink" Target="http://sellyourhousetogreg.com/" TargetMode="External"/><Relationship Id="rId1515" Type="http://schemas.openxmlformats.org/officeDocument/2006/relationships/hyperlink" Target="http://biggerequity.com/" TargetMode="External"/><Relationship Id="rId1722" Type="http://schemas.openxmlformats.org/officeDocument/2006/relationships/hyperlink" Target="http://comparemymove.com/" TargetMode="External"/><Relationship Id="rId14" Type="http://schemas.openxmlformats.org/officeDocument/2006/relationships/hyperlink" Target="https://www.parlunbuilding.com/" TargetMode="External"/><Relationship Id="rId2289" Type="http://schemas.openxmlformats.org/officeDocument/2006/relationships/hyperlink" Target="http://kennarealestate.com/" TargetMode="External"/><Relationship Id="rId2496" Type="http://schemas.openxmlformats.org/officeDocument/2006/relationships/hyperlink" Target="http://pearlscore.com/" TargetMode="External"/><Relationship Id="rId468" Type="http://schemas.openxmlformats.org/officeDocument/2006/relationships/hyperlink" Target="https://thecromeenslawfirm.com/" TargetMode="External"/><Relationship Id="rId675" Type="http://schemas.openxmlformats.org/officeDocument/2006/relationships/hyperlink" Target="https://primotly.com/" TargetMode="External"/><Relationship Id="rId882" Type="http://schemas.openxmlformats.org/officeDocument/2006/relationships/hyperlink" Target="https://thegreenfortune.com/" TargetMode="External"/><Relationship Id="rId1098" Type="http://schemas.openxmlformats.org/officeDocument/2006/relationships/hyperlink" Target="https://rateseeker.com.au/" TargetMode="External"/><Relationship Id="rId2149" Type="http://schemas.openxmlformats.org/officeDocument/2006/relationships/hyperlink" Target="http://lodproperties.com/" TargetMode="External"/><Relationship Id="rId2356" Type="http://schemas.openxmlformats.org/officeDocument/2006/relationships/hyperlink" Target="http://militaryplumbing.com/" TargetMode="External"/><Relationship Id="rId2563" Type="http://schemas.openxmlformats.org/officeDocument/2006/relationships/hyperlink" Target="https://distinctiveroofing.net/" TargetMode="External"/><Relationship Id="rId328" Type="http://schemas.openxmlformats.org/officeDocument/2006/relationships/hyperlink" Target="https://www.brabantia.com/" TargetMode="External"/><Relationship Id="rId535" Type="http://schemas.openxmlformats.org/officeDocument/2006/relationships/hyperlink" Target="https://mywfcu.ca/" TargetMode="External"/><Relationship Id="rId742" Type="http://schemas.openxmlformats.org/officeDocument/2006/relationships/hyperlink" Target="https://wsri.org/" TargetMode="External"/><Relationship Id="rId1165" Type="http://schemas.openxmlformats.org/officeDocument/2006/relationships/hyperlink" Target="https://www.michaelegerbercompanies.com/" TargetMode="External"/><Relationship Id="rId1372" Type="http://schemas.openxmlformats.org/officeDocument/2006/relationships/hyperlink" Target="https://plumberoftucson.com/" TargetMode="External"/><Relationship Id="rId2009" Type="http://schemas.openxmlformats.org/officeDocument/2006/relationships/hyperlink" Target="http://utahstyleanddesign.com/" TargetMode="External"/><Relationship Id="rId2216" Type="http://schemas.openxmlformats.org/officeDocument/2006/relationships/hyperlink" Target="http://homeguide.com/" TargetMode="External"/><Relationship Id="rId2423" Type="http://schemas.openxmlformats.org/officeDocument/2006/relationships/hyperlink" Target="http://havenly.com/" TargetMode="External"/><Relationship Id="rId602" Type="http://schemas.openxmlformats.org/officeDocument/2006/relationships/hyperlink" Target="https://www.modernbathroom.com/" TargetMode="External"/><Relationship Id="rId1025" Type="http://schemas.openxmlformats.org/officeDocument/2006/relationships/hyperlink" Target="https://didyouknowhomes.com/" TargetMode="External"/><Relationship Id="rId1232" Type="http://schemas.openxmlformats.org/officeDocument/2006/relationships/hyperlink" Target="https://revivalist.com/" TargetMode="External"/><Relationship Id="rId185" Type="http://schemas.openxmlformats.org/officeDocument/2006/relationships/hyperlink" Target="https://www.topnotchroofingkilleentx.com/" TargetMode="External"/><Relationship Id="rId1909" Type="http://schemas.openxmlformats.org/officeDocument/2006/relationships/hyperlink" Target="http://rebusinessonline.com/" TargetMode="External"/><Relationship Id="rId392" Type="http://schemas.openxmlformats.org/officeDocument/2006/relationships/hyperlink" Target="https://www.bhhsgeorgia.com/" TargetMode="External"/><Relationship Id="rId2073" Type="http://schemas.openxmlformats.org/officeDocument/2006/relationships/hyperlink" Target="http://sodhg.com/" TargetMode="External"/><Relationship Id="rId2280" Type="http://schemas.openxmlformats.org/officeDocument/2006/relationships/hyperlink" Target="http://superiorstoneandcabinet.com/" TargetMode="External"/><Relationship Id="rId252" Type="http://schemas.openxmlformats.org/officeDocument/2006/relationships/hyperlink" Target="https://www.lushdecor.com/" TargetMode="External"/><Relationship Id="rId2140" Type="http://schemas.openxmlformats.org/officeDocument/2006/relationships/hyperlink" Target="http://webuyanykindahouse.com/" TargetMode="External"/><Relationship Id="rId112" Type="http://schemas.openxmlformats.org/officeDocument/2006/relationships/hyperlink" Target="https://www.accurateleak.com/" TargetMode="External"/><Relationship Id="rId1699" Type="http://schemas.openxmlformats.org/officeDocument/2006/relationships/hyperlink" Target="http://vmcstone.com/" TargetMode="External"/><Relationship Id="rId2000" Type="http://schemas.openxmlformats.org/officeDocument/2006/relationships/hyperlink" Target="http://calldoctorfixit.com/" TargetMode="External"/><Relationship Id="rId929" Type="http://schemas.openxmlformats.org/officeDocument/2006/relationships/hyperlink" Target="https://www.doorpros.com/" TargetMode="External"/><Relationship Id="rId1559" Type="http://schemas.openxmlformats.org/officeDocument/2006/relationships/hyperlink" Target="http://ragsdaleroofing.com/" TargetMode="External"/><Relationship Id="rId1766" Type="http://schemas.openxmlformats.org/officeDocument/2006/relationships/hyperlink" Target="http://socaldirtbroker.com/" TargetMode="External"/><Relationship Id="rId1973" Type="http://schemas.openxmlformats.org/officeDocument/2006/relationships/hyperlink" Target="http://thepoolstainremovers.com.au/" TargetMode="External"/><Relationship Id="rId58" Type="http://schemas.openxmlformats.org/officeDocument/2006/relationships/hyperlink" Target="https://hpotter.com/" TargetMode="External"/><Relationship Id="rId1419" Type="http://schemas.openxmlformats.org/officeDocument/2006/relationships/hyperlink" Target="https://aurafiresafety.com/" TargetMode="External"/><Relationship Id="rId1626" Type="http://schemas.openxmlformats.org/officeDocument/2006/relationships/hyperlink" Target="http://homeguidemyrtlebeach.com/" TargetMode="External"/><Relationship Id="rId1833" Type="http://schemas.openxmlformats.org/officeDocument/2006/relationships/hyperlink" Target="http://jonasconstruction.com/" TargetMode="External"/><Relationship Id="rId1900" Type="http://schemas.openxmlformats.org/officeDocument/2006/relationships/hyperlink" Target="http://mymove.com/" TargetMode="External"/><Relationship Id="rId579" Type="http://schemas.openxmlformats.org/officeDocument/2006/relationships/hyperlink" Target="https://www.happybeds.co.uk/" TargetMode="External"/><Relationship Id="rId786" Type="http://schemas.openxmlformats.org/officeDocument/2006/relationships/hyperlink" Target="https://butcherblockco.com/" TargetMode="External"/><Relationship Id="rId993" Type="http://schemas.openxmlformats.org/officeDocument/2006/relationships/hyperlink" Target="https://www.entrepreneurshiplife.com/" TargetMode="External"/><Relationship Id="rId2467" Type="http://schemas.openxmlformats.org/officeDocument/2006/relationships/hyperlink" Target="http://goipme.com/" TargetMode="External"/><Relationship Id="rId439" Type="http://schemas.openxmlformats.org/officeDocument/2006/relationships/hyperlink" Target="https://www.americanflat.com/" TargetMode="External"/><Relationship Id="rId646" Type="http://schemas.openxmlformats.org/officeDocument/2006/relationships/hyperlink" Target="https://www.prohomebuyersolutions.com/" TargetMode="External"/><Relationship Id="rId1069" Type="http://schemas.openxmlformats.org/officeDocument/2006/relationships/hyperlink" Target="https://www.handykith.com/" TargetMode="External"/><Relationship Id="rId1276" Type="http://schemas.openxmlformats.org/officeDocument/2006/relationships/hyperlink" Target="https://acremodeling.com/" TargetMode="External"/><Relationship Id="rId1483" Type="http://schemas.openxmlformats.org/officeDocument/2006/relationships/hyperlink" Target="http://integrafl.com/" TargetMode="External"/><Relationship Id="rId2327" Type="http://schemas.openxmlformats.org/officeDocument/2006/relationships/hyperlink" Target="http://bonfe.com/" TargetMode="External"/><Relationship Id="rId506" Type="http://schemas.openxmlformats.org/officeDocument/2006/relationships/hyperlink" Target="https://www.globalcitizensolutions.com/" TargetMode="External"/><Relationship Id="rId853" Type="http://schemas.openxmlformats.org/officeDocument/2006/relationships/hyperlink" Target="https://trevorfulmerdesign.com/" TargetMode="External"/><Relationship Id="rId1136" Type="http://schemas.openxmlformats.org/officeDocument/2006/relationships/hyperlink" Target="https://fhfca.org/" TargetMode="External"/><Relationship Id="rId1690" Type="http://schemas.openxmlformats.org/officeDocument/2006/relationships/hyperlink" Target="http://notarize.com/" TargetMode="External"/><Relationship Id="rId2534" Type="http://schemas.openxmlformats.org/officeDocument/2006/relationships/hyperlink" Target="https://www.fidelityrealestate.com/" TargetMode="External"/><Relationship Id="rId713" Type="http://schemas.openxmlformats.org/officeDocument/2006/relationships/hyperlink" Target="https://iconbydesign.com/" TargetMode="External"/><Relationship Id="rId920" Type="http://schemas.openxmlformats.org/officeDocument/2006/relationships/hyperlink" Target="https://completedetail.net/" TargetMode="External"/><Relationship Id="rId1343" Type="http://schemas.openxmlformats.org/officeDocument/2006/relationships/hyperlink" Target="https://www.artisanmovers.com/" TargetMode="External"/><Relationship Id="rId1550" Type="http://schemas.openxmlformats.org/officeDocument/2006/relationships/hyperlink" Target="http://procleanairductcleaning.com/" TargetMode="External"/><Relationship Id="rId2601" Type="http://schemas.openxmlformats.org/officeDocument/2006/relationships/hyperlink" Target="https://sellhousefast.uk/" TargetMode="External"/><Relationship Id="rId1203" Type="http://schemas.openxmlformats.org/officeDocument/2006/relationships/hyperlink" Target="https://simplicitybath.com/" TargetMode="External"/><Relationship Id="rId1410" Type="http://schemas.openxmlformats.org/officeDocument/2006/relationships/hyperlink" Target="https://fhiaremodeling.com/" TargetMode="External"/><Relationship Id="rId296" Type="http://schemas.openxmlformats.org/officeDocument/2006/relationships/hyperlink" Target="https://www.armbrustermoving.com/" TargetMode="External"/><Relationship Id="rId2184" Type="http://schemas.openxmlformats.org/officeDocument/2006/relationships/hyperlink" Target="http://watertankfactory.com.au/" TargetMode="External"/><Relationship Id="rId2391" Type="http://schemas.openxmlformats.org/officeDocument/2006/relationships/hyperlink" Target="http://spidexx.com/" TargetMode="External"/><Relationship Id="rId156" Type="http://schemas.openxmlformats.org/officeDocument/2006/relationships/hyperlink" Target="https://www.operationtinyhome.org/" TargetMode="External"/><Relationship Id="rId363" Type="http://schemas.openxmlformats.org/officeDocument/2006/relationships/hyperlink" Target="https://www.rollex.com/" TargetMode="External"/><Relationship Id="rId570" Type="http://schemas.openxmlformats.org/officeDocument/2006/relationships/hyperlink" Target="https://www.owenscorning.com/" TargetMode="External"/><Relationship Id="rId2044" Type="http://schemas.openxmlformats.org/officeDocument/2006/relationships/hyperlink" Target="http://rivervalleyac.com/" TargetMode="External"/><Relationship Id="rId2251" Type="http://schemas.openxmlformats.org/officeDocument/2006/relationships/hyperlink" Target="http://dadzelectrical.com/" TargetMode="External"/><Relationship Id="rId223" Type="http://schemas.openxmlformats.org/officeDocument/2006/relationships/hyperlink" Target="https://www.thelockup.com/" TargetMode="External"/><Relationship Id="rId430" Type="http://schemas.openxmlformats.org/officeDocument/2006/relationships/hyperlink" Target="https://www.thepropertybuyingcompany.co.uk/" TargetMode="External"/><Relationship Id="rId1060" Type="http://schemas.openxmlformats.org/officeDocument/2006/relationships/hyperlink" Target="https://justo.ca/" TargetMode="External"/><Relationship Id="rId2111" Type="http://schemas.openxmlformats.org/officeDocument/2006/relationships/hyperlink" Target="http://superior-service.com/" TargetMode="External"/><Relationship Id="rId1877" Type="http://schemas.openxmlformats.org/officeDocument/2006/relationships/hyperlink" Target="http://got2move.com/" TargetMode="External"/><Relationship Id="rId1737" Type="http://schemas.openxmlformats.org/officeDocument/2006/relationships/hyperlink" Target="http://homeadviceguide.com/" TargetMode="External"/><Relationship Id="rId1944" Type="http://schemas.openxmlformats.org/officeDocument/2006/relationships/hyperlink" Target="http://newjerseyrealestatenetwork.com/" TargetMode="External"/><Relationship Id="rId29" Type="http://schemas.openxmlformats.org/officeDocument/2006/relationships/hyperlink" Target="https://www.doorsdirect.com.au/" TargetMode="External"/><Relationship Id="rId1804" Type="http://schemas.openxmlformats.org/officeDocument/2006/relationships/hyperlink" Target="http://sellinboston.com/" TargetMode="External"/><Relationship Id="rId897" Type="http://schemas.openxmlformats.org/officeDocument/2006/relationships/hyperlink" Target="http://richardharrislaw.com/" TargetMode="External"/><Relationship Id="rId2578" Type="http://schemas.openxmlformats.org/officeDocument/2006/relationships/hyperlink" Target="https://lubelska.co.uk/" TargetMode="External"/><Relationship Id="rId757" Type="http://schemas.openxmlformats.org/officeDocument/2006/relationships/hyperlink" Target="https://www.protouchcleaners.com/" TargetMode="External"/><Relationship Id="rId964" Type="http://schemas.openxmlformats.org/officeDocument/2006/relationships/hyperlink" Target="https://www.allhomeslasvegas.com/" TargetMode="External"/><Relationship Id="rId1387" Type="http://schemas.openxmlformats.org/officeDocument/2006/relationships/hyperlink" Target="https://www.mywindowwashing.com/" TargetMode="External"/><Relationship Id="rId1594" Type="http://schemas.openxmlformats.org/officeDocument/2006/relationships/hyperlink" Target="http://understandconstruction.com/" TargetMode="External"/><Relationship Id="rId2438" Type="http://schemas.openxmlformats.org/officeDocument/2006/relationships/hyperlink" Target="http://womentriangle.com/" TargetMode="External"/><Relationship Id="rId93" Type="http://schemas.openxmlformats.org/officeDocument/2006/relationships/hyperlink" Target="https://alscometals.com/" TargetMode="External"/><Relationship Id="rId617" Type="http://schemas.openxmlformats.org/officeDocument/2006/relationships/hyperlink" Target="https://www.sunsquare.co.uk/" TargetMode="External"/><Relationship Id="rId824" Type="http://schemas.openxmlformats.org/officeDocument/2006/relationships/hyperlink" Target="https://securespace.com/" TargetMode="External"/><Relationship Id="rId1247" Type="http://schemas.openxmlformats.org/officeDocument/2006/relationships/hyperlink" Target="https://www.honestaberoofing.com/" TargetMode="External"/><Relationship Id="rId1454" Type="http://schemas.openxmlformats.org/officeDocument/2006/relationships/hyperlink" Target="http://cartonhouse.com/" TargetMode="External"/><Relationship Id="rId1661" Type="http://schemas.openxmlformats.org/officeDocument/2006/relationships/hyperlink" Target="http://mystonefloor.com/" TargetMode="External"/><Relationship Id="rId2505" Type="http://schemas.openxmlformats.org/officeDocument/2006/relationships/hyperlink" Target="http://californiamoversusa.com/" TargetMode="External"/><Relationship Id="rId1107" Type="http://schemas.openxmlformats.org/officeDocument/2006/relationships/hyperlink" Target="https://honestpainters.co.nz/" TargetMode="External"/><Relationship Id="rId1314" Type="http://schemas.openxmlformats.org/officeDocument/2006/relationships/hyperlink" Target="https://rmcpainting.co.nz/" TargetMode="External"/><Relationship Id="rId1521" Type="http://schemas.openxmlformats.org/officeDocument/2006/relationships/hyperlink" Target="http://secondopinionplumbingaz.com/" TargetMode="External"/><Relationship Id="rId20" Type="http://schemas.openxmlformats.org/officeDocument/2006/relationships/hyperlink" Target="https://buywholesalecabinets.com/" TargetMode="External"/><Relationship Id="rId2088" Type="http://schemas.openxmlformats.org/officeDocument/2006/relationships/hyperlink" Target="http://maids2match.com/" TargetMode="External"/><Relationship Id="rId2295" Type="http://schemas.openxmlformats.org/officeDocument/2006/relationships/hyperlink" Target="http://foothillsanitary.com/" TargetMode="External"/><Relationship Id="rId267" Type="http://schemas.openxmlformats.org/officeDocument/2006/relationships/hyperlink" Target="https://preschoolequipment.com.au/" TargetMode="External"/><Relationship Id="rId474" Type="http://schemas.openxmlformats.org/officeDocument/2006/relationships/hyperlink" Target="https://whataroom.com/" TargetMode="External"/><Relationship Id="rId2155" Type="http://schemas.openxmlformats.org/officeDocument/2006/relationships/hyperlink" Target="http://texascashhousebuyer.com/" TargetMode="External"/><Relationship Id="rId127" Type="http://schemas.openxmlformats.org/officeDocument/2006/relationships/hyperlink" Target="https://www.gatheradu.com/" TargetMode="External"/><Relationship Id="rId681" Type="http://schemas.openxmlformats.org/officeDocument/2006/relationships/hyperlink" Target="https://zeromaxmoving.com/" TargetMode="External"/><Relationship Id="rId2362" Type="http://schemas.openxmlformats.org/officeDocument/2006/relationships/hyperlink" Target="http://coretecfloors.com/" TargetMode="External"/><Relationship Id="rId334" Type="http://schemas.openxmlformats.org/officeDocument/2006/relationships/hyperlink" Target="https://www.theroofdoctor.com/" TargetMode="External"/><Relationship Id="rId541" Type="http://schemas.openxmlformats.org/officeDocument/2006/relationships/hyperlink" Target="https://www.budgetinsurance.com/" TargetMode="External"/><Relationship Id="rId1171" Type="http://schemas.openxmlformats.org/officeDocument/2006/relationships/hyperlink" Target="https://www.homeserve.com/" TargetMode="External"/><Relationship Id="rId2015" Type="http://schemas.openxmlformats.org/officeDocument/2006/relationships/hyperlink" Target="http://umistone.com/" TargetMode="External"/><Relationship Id="rId2222" Type="http://schemas.openxmlformats.org/officeDocument/2006/relationships/hyperlink" Target="http://paultheplumbernh.com/" TargetMode="External"/><Relationship Id="rId401" Type="http://schemas.openxmlformats.org/officeDocument/2006/relationships/hyperlink" Target="https://palmako.co.uk/" TargetMode="External"/><Relationship Id="rId1031" Type="http://schemas.openxmlformats.org/officeDocument/2006/relationships/hyperlink" Target="https://www.hatchrealty.com/" TargetMode="External"/><Relationship Id="rId1988" Type="http://schemas.openxmlformats.org/officeDocument/2006/relationships/hyperlink" Target="http://completewindowcare.com/" TargetMode="External"/><Relationship Id="rId1848" Type="http://schemas.openxmlformats.org/officeDocument/2006/relationships/hyperlink" Target="http://adventurouskate.com/" TargetMode="External"/><Relationship Id="rId191" Type="http://schemas.openxmlformats.org/officeDocument/2006/relationships/hyperlink" Target="https://www.trianglehousehunter.com/" TargetMode="External"/><Relationship Id="rId1708" Type="http://schemas.openxmlformats.org/officeDocument/2006/relationships/hyperlink" Target="http://wrenkitchens.com/" TargetMode="External"/><Relationship Id="rId1915" Type="http://schemas.openxmlformats.org/officeDocument/2006/relationships/hyperlink" Target="http://move.org/" TargetMode="External"/><Relationship Id="rId868" Type="http://schemas.openxmlformats.org/officeDocument/2006/relationships/hyperlink" Target="https://stlouismaidservice.com/" TargetMode="External"/><Relationship Id="rId1498" Type="http://schemas.openxmlformats.org/officeDocument/2006/relationships/hyperlink" Target="http://matouk.com/" TargetMode="External"/><Relationship Id="rId2549" Type="http://schemas.openxmlformats.org/officeDocument/2006/relationships/hyperlink" Target="https://www.eplanters.com/blog/" TargetMode="External"/><Relationship Id="rId728" Type="http://schemas.openxmlformats.org/officeDocument/2006/relationships/hyperlink" Target="https://hammerandhand.com/" TargetMode="External"/><Relationship Id="rId935" Type="http://schemas.openxmlformats.org/officeDocument/2006/relationships/hyperlink" Target="https://www.calalaw.com/" TargetMode="External"/><Relationship Id="rId1358" Type="http://schemas.openxmlformats.org/officeDocument/2006/relationships/hyperlink" Target="https://london-refurbishment-company.co.uk/" TargetMode="External"/><Relationship Id="rId1565" Type="http://schemas.openxmlformats.org/officeDocument/2006/relationships/hyperlink" Target="http://fcprop.net/" TargetMode="External"/><Relationship Id="rId1772" Type="http://schemas.openxmlformats.org/officeDocument/2006/relationships/hyperlink" Target="http://roofresto.com.au/" TargetMode="External"/><Relationship Id="rId2409" Type="http://schemas.openxmlformats.org/officeDocument/2006/relationships/hyperlink" Target="http://mydecorative.com/" TargetMode="External"/><Relationship Id="rId2616" Type="http://schemas.openxmlformats.org/officeDocument/2006/relationships/hyperlink" Target="https://keystonecustomdecksny.com/" TargetMode="External"/><Relationship Id="rId64" Type="http://schemas.openxmlformats.org/officeDocument/2006/relationships/hyperlink" Target="https://amstillroofing.com/" TargetMode="External"/><Relationship Id="rId1218" Type="http://schemas.openxmlformats.org/officeDocument/2006/relationships/hyperlink" Target="https://www.21oak.com/" TargetMode="External"/><Relationship Id="rId1425" Type="http://schemas.openxmlformats.org/officeDocument/2006/relationships/hyperlink" Target="https://www.locate2u.com/" TargetMode="External"/><Relationship Id="rId1632" Type="http://schemas.openxmlformats.org/officeDocument/2006/relationships/hyperlink" Target="http://brizolisjanzen.com/" TargetMode="External"/><Relationship Id="rId2199" Type="http://schemas.openxmlformats.org/officeDocument/2006/relationships/hyperlink" Target="http://undergrads.com/" TargetMode="External"/><Relationship Id="rId378" Type="http://schemas.openxmlformats.org/officeDocument/2006/relationships/hyperlink" Target="https://www.kingheating.com/" TargetMode="External"/><Relationship Id="rId585" Type="http://schemas.openxmlformats.org/officeDocument/2006/relationships/hyperlink" Target="https://www.zippyshell.com/" TargetMode="External"/><Relationship Id="rId792" Type="http://schemas.openxmlformats.org/officeDocument/2006/relationships/hyperlink" Target="https://www.patioproductions.com/" TargetMode="External"/><Relationship Id="rId2059" Type="http://schemas.openxmlformats.org/officeDocument/2006/relationships/hyperlink" Target="http://easyshed.com.au/" TargetMode="External"/><Relationship Id="rId2266" Type="http://schemas.openxmlformats.org/officeDocument/2006/relationships/hyperlink" Target="http://callhydraclean.com/" TargetMode="External"/><Relationship Id="rId2473" Type="http://schemas.openxmlformats.org/officeDocument/2006/relationships/hyperlink" Target="http://harriswatermainandsewers.com/" TargetMode="External"/><Relationship Id="rId238" Type="http://schemas.openxmlformats.org/officeDocument/2006/relationships/hyperlink" Target="https://h3homebuyers.com/" TargetMode="External"/><Relationship Id="rId445" Type="http://schemas.openxmlformats.org/officeDocument/2006/relationships/hyperlink" Target="https://stackedhomes.com/" TargetMode="External"/><Relationship Id="rId652" Type="http://schemas.openxmlformats.org/officeDocument/2006/relationships/hyperlink" Target="https://lanescontracting.com/" TargetMode="External"/><Relationship Id="rId1075" Type="http://schemas.openxmlformats.org/officeDocument/2006/relationships/hyperlink" Target="https://www.oldeworldmovers.com/" TargetMode="External"/><Relationship Id="rId1282" Type="http://schemas.openxmlformats.org/officeDocument/2006/relationships/hyperlink" Target="https://florida.realestate/" TargetMode="External"/><Relationship Id="rId2126" Type="http://schemas.openxmlformats.org/officeDocument/2006/relationships/hyperlink" Target="http://faircashoffersforhomes.com/" TargetMode="External"/><Relationship Id="rId2333" Type="http://schemas.openxmlformats.org/officeDocument/2006/relationships/hyperlink" Target="http://tilersonline.com.au/" TargetMode="External"/><Relationship Id="rId2540" Type="http://schemas.openxmlformats.org/officeDocument/2006/relationships/hyperlink" Target="https://www.overheaddoors.com/" TargetMode="External"/><Relationship Id="rId305" Type="http://schemas.openxmlformats.org/officeDocument/2006/relationships/hyperlink" Target="https://www.getmovedtoday.com/" TargetMode="External"/><Relationship Id="rId512" Type="http://schemas.openxmlformats.org/officeDocument/2006/relationships/hyperlink" Target="https://allsecure.co.nz/" TargetMode="External"/><Relationship Id="rId1142" Type="http://schemas.openxmlformats.org/officeDocument/2006/relationships/hyperlink" Target="https://www.tampabuyersbroker.com/" TargetMode="External"/><Relationship Id="rId2400" Type="http://schemas.openxmlformats.org/officeDocument/2006/relationships/hyperlink" Target="http://drroof.com/" TargetMode="External"/><Relationship Id="rId1002" Type="http://schemas.openxmlformats.org/officeDocument/2006/relationships/hyperlink" Target="https://austinrenc.com/" TargetMode="External"/><Relationship Id="rId1959" Type="http://schemas.openxmlformats.org/officeDocument/2006/relationships/hyperlink" Target="http://oasisleisure.com/" TargetMode="External"/><Relationship Id="rId1819" Type="http://schemas.openxmlformats.org/officeDocument/2006/relationships/hyperlink" Target="http://tsimpsonroofing.ca/" TargetMode="External"/><Relationship Id="rId2190" Type="http://schemas.openxmlformats.org/officeDocument/2006/relationships/hyperlink" Target="http://transunion.com/" TargetMode="External"/><Relationship Id="rId162" Type="http://schemas.openxmlformats.org/officeDocument/2006/relationships/hyperlink" Target="https://www.livingonthecotedazur.com/" TargetMode="External"/><Relationship Id="rId2050" Type="http://schemas.openxmlformats.org/officeDocument/2006/relationships/hyperlink" Target="http://zomasleep.com/" TargetMode="External"/><Relationship Id="rId979" Type="http://schemas.openxmlformats.org/officeDocument/2006/relationships/hyperlink" Target="https://www.3menmovers.com/" TargetMode="External"/><Relationship Id="rId839" Type="http://schemas.openxmlformats.org/officeDocument/2006/relationships/hyperlink" Target="https://www.bumblebeeblinds.com/" TargetMode="External"/><Relationship Id="rId1469" Type="http://schemas.openxmlformats.org/officeDocument/2006/relationships/hyperlink" Target="http://highlandcabinetry.com/" TargetMode="External"/><Relationship Id="rId1676" Type="http://schemas.openxmlformats.org/officeDocument/2006/relationships/hyperlink" Target="http://andrewgconstruction.com/" TargetMode="External"/><Relationship Id="rId1883" Type="http://schemas.openxmlformats.org/officeDocument/2006/relationships/hyperlink" Target="http://realtytimes.com/" TargetMode="External"/><Relationship Id="rId906" Type="http://schemas.openxmlformats.org/officeDocument/2006/relationships/hyperlink" Target="https://www.lioxclean.com/" TargetMode="External"/><Relationship Id="rId1329" Type="http://schemas.openxmlformats.org/officeDocument/2006/relationships/hyperlink" Target="https://www.parachutehome.com/" TargetMode="External"/><Relationship Id="rId1536" Type="http://schemas.openxmlformats.org/officeDocument/2006/relationships/hyperlink" Target="http://innercitymoving.ca/" TargetMode="External"/><Relationship Id="rId1743" Type="http://schemas.openxmlformats.org/officeDocument/2006/relationships/hyperlink" Target="http://wpldesign.com/" TargetMode="External"/><Relationship Id="rId1950" Type="http://schemas.openxmlformats.org/officeDocument/2006/relationships/hyperlink" Target="http://ngpest.com/" TargetMode="External"/><Relationship Id="rId35" Type="http://schemas.openxmlformats.org/officeDocument/2006/relationships/hyperlink" Target="https://qshark-moving.com/" TargetMode="External"/><Relationship Id="rId1603" Type="http://schemas.openxmlformats.org/officeDocument/2006/relationships/hyperlink" Target="http://thediyplaybook.com/" TargetMode="External"/><Relationship Id="rId1810" Type="http://schemas.openxmlformats.org/officeDocument/2006/relationships/hyperlink" Target="http://mortgagelane.com/" TargetMode="External"/><Relationship Id="rId489" Type="http://schemas.openxmlformats.org/officeDocument/2006/relationships/hyperlink" Target="https://ladesignconcepts.com/" TargetMode="External"/><Relationship Id="rId696" Type="http://schemas.openxmlformats.org/officeDocument/2006/relationships/hyperlink" Target="https://www.powerhome.com/" TargetMode="External"/><Relationship Id="rId2377" Type="http://schemas.openxmlformats.org/officeDocument/2006/relationships/hyperlink" Target="http://topinspired.com/" TargetMode="External"/><Relationship Id="rId2584" Type="http://schemas.openxmlformats.org/officeDocument/2006/relationships/hyperlink" Target="https://www.bobvila.com/" TargetMode="External"/><Relationship Id="rId349" Type="http://schemas.openxmlformats.org/officeDocument/2006/relationships/hyperlink" Target="https://starkmovers.com/" TargetMode="External"/><Relationship Id="rId556" Type="http://schemas.openxmlformats.org/officeDocument/2006/relationships/hyperlink" Target="https://www.msllegal.com/" TargetMode="External"/><Relationship Id="rId763" Type="http://schemas.openxmlformats.org/officeDocument/2006/relationships/hyperlink" Target="https://hamilton-ex.com/" TargetMode="External"/><Relationship Id="rId1186" Type="http://schemas.openxmlformats.org/officeDocument/2006/relationships/hyperlink" Target="https://www.noradarealestate.com/" TargetMode="External"/><Relationship Id="rId1393" Type="http://schemas.openxmlformats.org/officeDocument/2006/relationships/hyperlink" Target="https://www.meatheadmovers.com/" TargetMode="External"/><Relationship Id="rId2237" Type="http://schemas.openxmlformats.org/officeDocument/2006/relationships/hyperlink" Target="http://accessdoorcompany.com/" TargetMode="External"/><Relationship Id="rId2444" Type="http://schemas.openxmlformats.org/officeDocument/2006/relationships/hyperlink" Target="http://schumacherhomes.com/" TargetMode="External"/><Relationship Id="rId209" Type="http://schemas.openxmlformats.org/officeDocument/2006/relationships/hyperlink" Target="https://callwaynes.com/" TargetMode="External"/><Relationship Id="rId416" Type="http://schemas.openxmlformats.org/officeDocument/2006/relationships/hyperlink" Target="https://www.qualityglassblock.com/" TargetMode="External"/><Relationship Id="rId970" Type="http://schemas.openxmlformats.org/officeDocument/2006/relationships/hyperlink" Target="https://moversdev.com/" TargetMode="External"/><Relationship Id="rId1046" Type="http://schemas.openxmlformats.org/officeDocument/2006/relationships/hyperlink" Target="https://www.smartbox.com.au/" TargetMode="External"/><Relationship Id="rId1253" Type="http://schemas.openxmlformats.org/officeDocument/2006/relationships/hyperlink" Target="https://aaagaragedoorswa.com/" TargetMode="External"/><Relationship Id="rId623" Type="http://schemas.openxmlformats.org/officeDocument/2006/relationships/hyperlink" Target="https://denvermaids.com/" TargetMode="External"/><Relationship Id="rId830" Type="http://schemas.openxmlformats.org/officeDocument/2006/relationships/hyperlink" Target="https://oblist.com/" TargetMode="External"/><Relationship Id="rId1460" Type="http://schemas.openxmlformats.org/officeDocument/2006/relationships/hyperlink" Target="http://luxuryflooring.co.uk/" TargetMode="External"/><Relationship Id="rId2304" Type="http://schemas.openxmlformats.org/officeDocument/2006/relationships/hyperlink" Target="http://missljbeauty.com/" TargetMode="External"/><Relationship Id="rId2511" Type="http://schemas.openxmlformats.org/officeDocument/2006/relationships/hyperlink" Target="https://www.housemax.com/" TargetMode="External"/><Relationship Id="rId1113" Type="http://schemas.openxmlformats.org/officeDocument/2006/relationships/hyperlink" Target="https://www.lorddecor.com/" TargetMode="External"/><Relationship Id="rId1320" Type="http://schemas.openxmlformats.org/officeDocument/2006/relationships/hyperlink" Target="https://www.stelrad.com/" TargetMode="External"/><Relationship Id="rId2094" Type="http://schemas.openxmlformats.org/officeDocument/2006/relationships/hyperlink" Target="http://sportsrec.com/" TargetMode="External"/><Relationship Id="rId273" Type="http://schemas.openxmlformats.org/officeDocument/2006/relationships/hyperlink" Target="https://www.mrsparky.com.au/" TargetMode="External"/><Relationship Id="rId480" Type="http://schemas.openxmlformats.org/officeDocument/2006/relationships/hyperlink" Target="https://www.neonsigns.ca/" TargetMode="External"/><Relationship Id="rId2161" Type="http://schemas.openxmlformats.org/officeDocument/2006/relationships/hyperlink" Target="http://thecashoffercompany.com/" TargetMode="External"/><Relationship Id="rId133" Type="http://schemas.openxmlformats.org/officeDocument/2006/relationships/hyperlink" Target="https://www.kennarealestate.com/" TargetMode="External"/><Relationship Id="rId340" Type="http://schemas.openxmlformats.org/officeDocument/2006/relationships/hyperlink" Target="https://aihomedesign.com/" TargetMode="External"/><Relationship Id="rId2021" Type="http://schemas.openxmlformats.org/officeDocument/2006/relationships/hyperlink" Target="http://templeandwebster.com.au/" TargetMode="External"/><Relationship Id="rId200" Type="http://schemas.openxmlformats.org/officeDocument/2006/relationships/hyperlink" Target="https://districtlending.com/" TargetMode="External"/><Relationship Id="rId1787" Type="http://schemas.openxmlformats.org/officeDocument/2006/relationships/hyperlink" Target="http://foryourlittleone.com/" TargetMode="External"/><Relationship Id="rId1994" Type="http://schemas.openxmlformats.org/officeDocument/2006/relationships/hyperlink" Target="http://bravarooftile.com/" TargetMode="External"/><Relationship Id="rId79" Type="http://schemas.openxmlformats.org/officeDocument/2006/relationships/hyperlink" Target="https://eshinecleaning.com/" TargetMode="External"/><Relationship Id="rId1647" Type="http://schemas.openxmlformats.org/officeDocument/2006/relationships/hyperlink" Target="http://goodbyejunk.com.au/" TargetMode="External"/><Relationship Id="rId1854" Type="http://schemas.openxmlformats.org/officeDocument/2006/relationships/hyperlink" Target="http://srhomes.com/" TargetMode="External"/><Relationship Id="rId1507" Type="http://schemas.openxmlformats.org/officeDocument/2006/relationships/hyperlink" Target="http://alliance-investments.com/" TargetMode="External"/><Relationship Id="rId1714" Type="http://schemas.openxmlformats.org/officeDocument/2006/relationships/hyperlink" Target="http://eaglecarports.com/" TargetMode="External"/><Relationship Id="rId1921" Type="http://schemas.openxmlformats.org/officeDocument/2006/relationships/hyperlink" Target="http://lazysusanfurniture.co.uk/" TargetMode="External"/><Relationship Id="rId2488" Type="http://schemas.openxmlformats.org/officeDocument/2006/relationships/hyperlink" Target="http://gologic.us/" TargetMode="External"/><Relationship Id="rId1297" Type="http://schemas.openxmlformats.org/officeDocument/2006/relationships/hyperlink" Target="https://www.blingle.com/" TargetMode="External"/><Relationship Id="rId667" Type="http://schemas.openxmlformats.org/officeDocument/2006/relationships/hyperlink" Target="https://www.londondaily.news/" TargetMode="External"/><Relationship Id="rId874" Type="http://schemas.openxmlformats.org/officeDocument/2006/relationships/hyperlink" Target="https://quickpickmovers.com.au/" TargetMode="External"/><Relationship Id="rId2348" Type="http://schemas.openxmlformats.org/officeDocument/2006/relationships/hyperlink" Target="http://edwardsguttercleaning.com/" TargetMode="External"/><Relationship Id="rId2555" Type="http://schemas.openxmlformats.org/officeDocument/2006/relationships/hyperlink" Target="http://prestigedecor.ca/" TargetMode="External"/><Relationship Id="rId527" Type="http://schemas.openxmlformats.org/officeDocument/2006/relationships/hyperlink" Target="https://www.flickingerglassworks.com/" TargetMode="External"/><Relationship Id="rId734" Type="http://schemas.openxmlformats.org/officeDocument/2006/relationships/hyperlink" Target="https://titanroofingsolutions.com/" TargetMode="External"/><Relationship Id="rId941" Type="http://schemas.openxmlformats.org/officeDocument/2006/relationships/hyperlink" Target="https://www.homeinsurancerates.com/" TargetMode="External"/><Relationship Id="rId1157" Type="http://schemas.openxmlformats.org/officeDocument/2006/relationships/hyperlink" Target="https://seascapecapital.com/" TargetMode="External"/><Relationship Id="rId1364" Type="http://schemas.openxmlformats.org/officeDocument/2006/relationships/hyperlink" Target="https://www.vanisleglass.com/" TargetMode="External"/><Relationship Id="rId1571" Type="http://schemas.openxmlformats.org/officeDocument/2006/relationships/hyperlink" Target="http://americanhomecontractors.com/" TargetMode="External"/><Relationship Id="rId2208" Type="http://schemas.openxmlformats.org/officeDocument/2006/relationships/hyperlink" Target="http://propertysolvers.co.uk/" TargetMode="External"/><Relationship Id="rId2415" Type="http://schemas.openxmlformats.org/officeDocument/2006/relationships/hyperlink" Target="http://homecarecontractors.com/" TargetMode="External"/><Relationship Id="rId2622" Type="http://schemas.openxmlformats.org/officeDocument/2006/relationships/hyperlink" Target="https://www.fluidplumbingservices.com.au/" TargetMode="External"/><Relationship Id="rId70" Type="http://schemas.openxmlformats.org/officeDocument/2006/relationships/hyperlink" Target="https://dundeedeco.com/" TargetMode="External"/><Relationship Id="rId801" Type="http://schemas.openxmlformats.org/officeDocument/2006/relationships/hyperlink" Target="https://ultimateflags.com/" TargetMode="External"/><Relationship Id="rId1017" Type="http://schemas.openxmlformats.org/officeDocument/2006/relationships/hyperlink" Target="https://theurbanavenue.com/" TargetMode="External"/><Relationship Id="rId1224" Type="http://schemas.openxmlformats.org/officeDocument/2006/relationships/hyperlink" Target="https://www.snooze.com.au/" TargetMode="External"/><Relationship Id="rId1431" Type="http://schemas.openxmlformats.org/officeDocument/2006/relationships/hyperlink" Target="http://openpropertygroup.com/" TargetMode="External"/><Relationship Id="rId177" Type="http://schemas.openxmlformats.org/officeDocument/2006/relationships/hyperlink" Target="https://www.eatonrealty.com/" TargetMode="External"/><Relationship Id="rId384" Type="http://schemas.openxmlformats.org/officeDocument/2006/relationships/hyperlink" Target="https://www.bluecrestpropertygroup.com/" TargetMode="External"/><Relationship Id="rId591" Type="http://schemas.openxmlformats.org/officeDocument/2006/relationships/hyperlink" Target="https://cocoonfurnishings.ca/" TargetMode="External"/><Relationship Id="rId2065" Type="http://schemas.openxmlformats.org/officeDocument/2006/relationships/hyperlink" Target="http://abvplumbing.com/" TargetMode="External"/><Relationship Id="rId2272" Type="http://schemas.openxmlformats.org/officeDocument/2006/relationships/hyperlink" Target="http://pureairllc.com/" TargetMode="External"/><Relationship Id="rId244" Type="http://schemas.openxmlformats.org/officeDocument/2006/relationships/hyperlink" Target="https://www.decorativeceilingtiles.net/" TargetMode="External"/><Relationship Id="rId1081" Type="http://schemas.openxmlformats.org/officeDocument/2006/relationships/hyperlink" Target="https://houseofcoco.net/" TargetMode="External"/><Relationship Id="rId451" Type="http://schemas.openxmlformats.org/officeDocument/2006/relationships/hyperlink" Target="https://moldtesting-houston.com/" TargetMode="External"/><Relationship Id="rId2132" Type="http://schemas.openxmlformats.org/officeDocument/2006/relationships/hyperlink" Target="http://cliveemson.co.uk/" TargetMode="External"/><Relationship Id="rId104" Type="http://schemas.openxmlformats.org/officeDocument/2006/relationships/hyperlink" Target="https://janusintl.au/" TargetMode="External"/><Relationship Id="rId311" Type="http://schemas.openxmlformats.org/officeDocument/2006/relationships/hyperlink" Target="https://propertymeld.com/" TargetMode="External"/><Relationship Id="rId1898" Type="http://schemas.openxmlformats.org/officeDocument/2006/relationships/hyperlink" Target="http://threemovers.com/" TargetMode="External"/><Relationship Id="rId1758" Type="http://schemas.openxmlformats.org/officeDocument/2006/relationships/hyperlink" Target="http://kin.com/" TargetMode="External"/><Relationship Id="rId1965" Type="http://schemas.openxmlformats.org/officeDocument/2006/relationships/hyperlink" Target="http://waterattack.com.au/" TargetMode="External"/><Relationship Id="rId1618" Type="http://schemas.openxmlformats.org/officeDocument/2006/relationships/hyperlink" Target="http://finimpact.com/" TargetMode="External"/><Relationship Id="rId1825" Type="http://schemas.openxmlformats.org/officeDocument/2006/relationships/hyperlink" Target="http://tomadamswc.com/" TargetMode="External"/><Relationship Id="rId2599" Type="http://schemas.openxmlformats.org/officeDocument/2006/relationships/hyperlink" Target="https://www.buymortgage.com/" TargetMode="External"/><Relationship Id="rId778" Type="http://schemas.openxmlformats.org/officeDocument/2006/relationships/hyperlink" Target="https://doncasterlockandkey.co.uk/" TargetMode="External"/><Relationship Id="rId985" Type="http://schemas.openxmlformats.org/officeDocument/2006/relationships/hyperlink" Target="https://hensleylegal.com/" TargetMode="External"/><Relationship Id="rId2459" Type="http://schemas.openxmlformats.org/officeDocument/2006/relationships/hyperlink" Target="http://cmpionline.com/" TargetMode="External"/><Relationship Id="rId638" Type="http://schemas.openxmlformats.org/officeDocument/2006/relationships/hyperlink" Target="http://highlandcabinetry.com/" TargetMode="External"/><Relationship Id="rId845" Type="http://schemas.openxmlformats.org/officeDocument/2006/relationships/hyperlink" Target="https://youandmepps.com.au/" TargetMode="External"/><Relationship Id="rId1268" Type="http://schemas.openxmlformats.org/officeDocument/2006/relationships/hyperlink" Target="https://www.metrie.com/" TargetMode="External"/><Relationship Id="rId1475" Type="http://schemas.openxmlformats.org/officeDocument/2006/relationships/hyperlink" Target="http://revivalhomebuyers.com/" TargetMode="External"/><Relationship Id="rId1682" Type="http://schemas.openxmlformats.org/officeDocument/2006/relationships/hyperlink" Target="http://sellingwarnerrobins.com/" TargetMode="External"/><Relationship Id="rId2319" Type="http://schemas.openxmlformats.org/officeDocument/2006/relationships/hyperlink" Target="http://thisoldhouse.com/" TargetMode="External"/><Relationship Id="rId2526" Type="http://schemas.openxmlformats.org/officeDocument/2006/relationships/hyperlink" Target="https://ritewindow.com/blog/3-indicators-its-time-to-upgrade-your-shower-or-bath/" TargetMode="External"/><Relationship Id="rId705" Type="http://schemas.openxmlformats.org/officeDocument/2006/relationships/hyperlink" Target="https://www.binskyhome.com/" TargetMode="External"/><Relationship Id="rId1128" Type="http://schemas.openxmlformats.org/officeDocument/2006/relationships/hyperlink" Target="https://www.top10.com/" TargetMode="External"/><Relationship Id="rId1335" Type="http://schemas.openxmlformats.org/officeDocument/2006/relationships/hyperlink" Target="https://www.bigcitywindows.com/" TargetMode="External"/><Relationship Id="rId1542" Type="http://schemas.openxmlformats.org/officeDocument/2006/relationships/hyperlink" Target="http://dengarden.com/" TargetMode="External"/><Relationship Id="rId912" Type="http://schemas.openxmlformats.org/officeDocument/2006/relationships/hyperlink" Target="https://pinpointcres.com/" TargetMode="External"/><Relationship Id="rId41" Type="http://schemas.openxmlformats.org/officeDocument/2006/relationships/hyperlink" Target="https://outbacksleepers.com.au/" TargetMode="External"/><Relationship Id="rId1402" Type="http://schemas.openxmlformats.org/officeDocument/2006/relationships/hyperlink" Target="https://zomasleep.com/" TargetMode="External"/><Relationship Id="rId288" Type="http://schemas.openxmlformats.org/officeDocument/2006/relationships/hyperlink" Target="https://www.mcconeproperties.com/" TargetMode="External"/><Relationship Id="rId495" Type="http://schemas.openxmlformats.org/officeDocument/2006/relationships/hyperlink" Target="https://portugalbuyersagent.com/" TargetMode="External"/><Relationship Id="rId2176" Type="http://schemas.openxmlformats.org/officeDocument/2006/relationships/hyperlink" Target="http://nycrestoration.com/" TargetMode="External"/><Relationship Id="rId2383" Type="http://schemas.openxmlformats.org/officeDocument/2006/relationships/hyperlink" Target="http://shelbycountyreporter.com/" TargetMode="External"/><Relationship Id="rId2590" Type="http://schemas.openxmlformats.org/officeDocument/2006/relationships/hyperlink" Target="https://imagepainting.com/" TargetMode="External"/><Relationship Id="rId148" Type="http://schemas.openxmlformats.org/officeDocument/2006/relationships/hyperlink" Target="https://www.angliadecor.co.uk/" TargetMode="External"/><Relationship Id="rId355" Type="http://schemas.openxmlformats.org/officeDocument/2006/relationships/hyperlink" Target="https://norsteelbuildings.com/" TargetMode="External"/><Relationship Id="rId562" Type="http://schemas.openxmlformats.org/officeDocument/2006/relationships/hyperlink" Target="https://amerinotexchange.com/" TargetMode="External"/><Relationship Id="rId1192" Type="http://schemas.openxmlformats.org/officeDocument/2006/relationships/hyperlink" Target="https://premiergrouproofs.com/" TargetMode="External"/><Relationship Id="rId2036" Type="http://schemas.openxmlformats.org/officeDocument/2006/relationships/hyperlink" Target="http://mcwilliamsandson.com/" TargetMode="External"/><Relationship Id="rId2243" Type="http://schemas.openxmlformats.org/officeDocument/2006/relationships/hyperlink" Target="http://insulation4less.com/" TargetMode="External"/><Relationship Id="rId2450" Type="http://schemas.openxmlformats.org/officeDocument/2006/relationships/hyperlink" Target="http://reecebuilders.com/" TargetMode="External"/><Relationship Id="rId215" Type="http://schemas.openxmlformats.org/officeDocument/2006/relationships/hyperlink" Target="https://propertyrescue.co.uk/" TargetMode="External"/><Relationship Id="rId422" Type="http://schemas.openxmlformats.org/officeDocument/2006/relationships/hyperlink" Target="https://www.holdstorage.co.uk/" TargetMode="External"/><Relationship Id="rId1052" Type="http://schemas.openxmlformats.org/officeDocument/2006/relationships/hyperlink" Target="https://www.theblueground.com/" TargetMode="External"/><Relationship Id="rId2103" Type="http://schemas.openxmlformats.org/officeDocument/2006/relationships/hyperlink" Target="http://custtom.co.uk/" TargetMode="External"/><Relationship Id="rId2310" Type="http://schemas.openxmlformats.org/officeDocument/2006/relationships/hyperlink" Target="http://idahowood.com/" TargetMode="External"/><Relationship Id="rId1869" Type="http://schemas.openxmlformats.org/officeDocument/2006/relationships/hyperlink" Target="http://branchright.com/" TargetMode="External"/><Relationship Id="rId1729" Type="http://schemas.openxmlformats.org/officeDocument/2006/relationships/hyperlink" Target="http://contractornerd.com/" TargetMode="External"/><Relationship Id="rId1936" Type="http://schemas.openxmlformats.org/officeDocument/2006/relationships/hyperlink" Target="http://coworkingchicago.net/" TargetMode="External"/><Relationship Id="rId5" Type="http://schemas.openxmlformats.org/officeDocument/2006/relationships/hyperlink" Target="https://ntltrust.com/" TargetMode="External"/><Relationship Id="rId889" Type="http://schemas.openxmlformats.org/officeDocument/2006/relationships/hyperlink" Target="https://theladcollective.com/" TargetMode="External"/><Relationship Id="rId749" Type="http://schemas.openxmlformats.org/officeDocument/2006/relationships/hyperlink" Target="https://www.leisurebuildings.com/" TargetMode="External"/><Relationship Id="rId1379" Type="http://schemas.openxmlformats.org/officeDocument/2006/relationships/hyperlink" Target="https://wickerpark.ca/" TargetMode="External"/><Relationship Id="rId1586" Type="http://schemas.openxmlformats.org/officeDocument/2006/relationships/hyperlink" Target="http://jlconline.com/" TargetMode="External"/><Relationship Id="rId609" Type="http://schemas.openxmlformats.org/officeDocument/2006/relationships/hyperlink" Target="https://www.fantastichomes.com/" TargetMode="External"/><Relationship Id="rId956" Type="http://schemas.openxmlformats.org/officeDocument/2006/relationships/hyperlink" Target="https://www.levinrinkerealty.com/" TargetMode="External"/><Relationship Id="rId1239" Type="http://schemas.openxmlformats.org/officeDocument/2006/relationships/hyperlink" Target="https://www.happilyinspired.com/" TargetMode="External"/><Relationship Id="rId1793" Type="http://schemas.openxmlformats.org/officeDocument/2006/relationships/hyperlink" Target="http://cbsolarshading.co.uk/" TargetMode="External"/><Relationship Id="rId85" Type="http://schemas.openxmlformats.org/officeDocument/2006/relationships/hyperlink" Target="https://www.ukcompositedoors.co.uk/" TargetMode="External"/><Relationship Id="rId816" Type="http://schemas.openxmlformats.org/officeDocument/2006/relationships/hyperlink" Target="https://proficientpatios.com/" TargetMode="External"/><Relationship Id="rId1446" Type="http://schemas.openxmlformats.org/officeDocument/2006/relationships/hyperlink" Target="http://instantroofer.com/" TargetMode="External"/><Relationship Id="rId1653" Type="http://schemas.openxmlformats.org/officeDocument/2006/relationships/hyperlink" Target="http://civilmart.com.au/" TargetMode="External"/><Relationship Id="rId1860" Type="http://schemas.openxmlformats.org/officeDocument/2006/relationships/hyperlink" Target="http://virginiacashrealestate.com/" TargetMode="External"/><Relationship Id="rId1306" Type="http://schemas.openxmlformats.org/officeDocument/2006/relationships/hyperlink" Target="https://eloquence.com/" TargetMode="External"/><Relationship Id="rId1513" Type="http://schemas.openxmlformats.org/officeDocument/2006/relationships/hyperlink" Target="http://fidi.org/" TargetMode="External"/><Relationship Id="rId1720" Type="http://schemas.openxmlformats.org/officeDocument/2006/relationships/hyperlink" Target="http://nthdegree.co.uk/" TargetMode="External"/><Relationship Id="rId12" Type="http://schemas.openxmlformats.org/officeDocument/2006/relationships/hyperlink" Target="https://ipropertymanagement.com/" TargetMode="External"/><Relationship Id="rId399" Type="http://schemas.openxmlformats.org/officeDocument/2006/relationships/hyperlink" Target="https://enjoythewood.com/" TargetMode="External"/><Relationship Id="rId2287" Type="http://schemas.openxmlformats.org/officeDocument/2006/relationships/hyperlink" Target="http://finlaybrewer.co.uk/" TargetMode="External"/><Relationship Id="rId2494" Type="http://schemas.openxmlformats.org/officeDocument/2006/relationships/hyperlink" Target="http://barkhouse.com/" TargetMode="External"/><Relationship Id="rId259" Type="http://schemas.openxmlformats.org/officeDocument/2006/relationships/hyperlink" Target="https://www.withflitch.com/" TargetMode="External"/><Relationship Id="rId466" Type="http://schemas.openxmlformats.org/officeDocument/2006/relationships/hyperlink" Target="https://www.luxurypresence.com/" TargetMode="External"/><Relationship Id="rId673" Type="http://schemas.openxmlformats.org/officeDocument/2006/relationships/hyperlink" Target="https://www.customhomegroup.com/" TargetMode="External"/><Relationship Id="rId880" Type="http://schemas.openxmlformats.org/officeDocument/2006/relationships/hyperlink" Target="https://mojogaragedoors.com/" TargetMode="External"/><Relationship Id="rId1096" Type="http://schemas.openxmlformats.org/officeDocument/2006/relationships/hyperlink" Target="https://gudcapital.com/" TargetMode="External"/><Relationship Id="rId2147" Type="http://schemas.openxmlformats.org/officeDocument/2006/relationships/hyperlink" Target="http://illinoisrealestatebuyersinc.com/" TargetMode="External"/><Relationship Id="rId2354" Type="http://schemas.openxmlformats.org/officeDocument/2006/relationships/hyperlink" Target="http://miamialuminumpergola.com/" TargetMode="External"/><Relationship Id="rId2561" Type="http://schemas.openxmlformats.org/officeDocument/2006/relationships/hyperlink" Target="https://trustroofing.com/" TargetMode="External"/><Relationship Id="rId119" Type="http://schemas.openxmlformats.org/officeDocument/2006/relationships/hyperlink" Target="http://carolinapublicpress.org/" TargetMode="External"/><Relationship Id="rId326" Type="http://schemas.openxmlformats.org/officeDocument/2006/relationships/hyperlink" Target="https://blueravensolar.com/" TargetMode="External"/><Relationship Id="rId533" Type="http://schemas.openxmlformats.org/officeDocument/2006/relationships/hyperlink" Target="https://www.kellylegalgroup.com/" TargetMode="External"/><Relationship Id="rId1163" Type="http://schemas.openxmlformats.org/officeDocument/2006/relationships/hyperlink" Target="https://www.upnest.com/" TargetMode="External"/><Relationship Id="rId1370" Type="http://schemas.openxmlformats.org/officeDocument/2006/relationships/hyperlink" Target="https://www.milkcan.com.au/" TargetMode="External"/><Relationship Id="rId2007" Type="http://schemas.openxmlformats.org/officeDocument/2006/relationships/hyperlink" Target="http://americaneagleservicesinc.com/" TargetMode="External"/><Relationship Id="rId2214" Type="http://schemas.openxmlformats.org/officeDocument/2006/relationships/hyperlink" Target="http://movingauthority.com/" TargetMode="External"/><Relationship Id="rId740" Type="http://schemas.openxmlformats.org/officeDocument/2006/relationships/hyperlink" Target="https://octaneseating.com/" TargetMode="External"/><Relationship Id="rId1023" Type="http://schemas.openxmlformats.org/officeDocument/2006/relationships/hyperlink" Target="https://www.superstormrestoration.com/" TargetMode="External"/><Relationship Id="rId2421" Type="http://schemas.openxmlformats.org/officeDocument/2006/relationships/hyperlink" Target="http://roomfortuesday.com/" TargetMode="External"/><Relationship Id="rId600" Type="http://schemas.openxmlformats.org/officeDocument/2006/relationships/hyperlink" Target="https://toucantoco.com/" TargetMode="External"/><Relationship Id="rId1230" Type="http://schemas.openxmlformats.org/officeDocument/2006/relationships/hyperlink" Target="https://www.pinkelephantsonthemove.com/" TargetMode="External"/><Relationship Id="rId34" Type="http://schemas.openxmlformats.org/officeDocument/2006/relationships/hyperlink" Target="https://doorservicescorporation.com/" TargetMode="External"/><Relationship Id="rId1602" Type="http://schemas.openxmlformats.org/officeDocument/2006/relationships/hyperlink" Target="http://carmackmoving.com/" TargetMode="External"/><Relationship Id="rId183" Type="http://schemas.openxmlformats.org/officeDocument/2006/relationships/hyperlink" Target="https://orlandorealtyconsultants.com/" TargetMode="External"/><Relationship Id="rId390" Type="http://schemas.openxmlformats.org/officeDocument/2006/relationships/hyperlink" Target="https://www.fieldstonehomes.com/" TargetMode="External"/><Relationship Id="rId1907" Type="http://schemas.openxmlformats.org/officeDocument/2006/relationships/hyperlink" Target="http://twomenandatruck.com/" TargetMode="External"/><Relationship Id="rId2071" Type="http://schemas.openxmlformats.org/officeDocument/2006/relationships/hyperlink" Target="http://virginiashowerandbath.com/" TargetMode="External"/><Relationship Id="rId250" Type="http://schemas.openxmlformats.org/officeDocument/2006/relationships/hyperlink" Target="https://peakbuilderssd.com/" TargetMode="External"/><Relationship Id="rId488" Type="http://schemas.openxmlformats.org/officeDocument/2006/relationships/hyperlink" Target="https://www.betenbough.com/" TargetMode="External"/><Relationship Id="rId695" Type="http://schemas.openxmlformats.org/officeDocument/2006/relationships/hyperlink" Target="https://www.fixitrightplumbing.com.au/" TargetMode="External"/><Relationship Id="rId2169" Type="http://schemas.openxmlformats.org/officeDocument/2006/relationships/hyperlink" Target="http://webuynkyhouses.com/" TargetMode="External"/><Relationship Id="rId2376" Type="http://schemas.openxmlformats.org/officeDocument/2006/relationships/hyperlink" Target="http://michaelbellarchitects.com/" TargetMode="External"/><Relationship Id="rId2583" Type="http://schemas.openxmlformats.org/officeDocument/2006/relationships/hyperlink" Target="https://theatlasportfolio.com/" TargetMode="External"/><Relationship Id="rId110" Type="http://schemas.openxmlformats.org/officeDocument/2006/relationships/hyperlink" Target="https://www.selfstore.com.au/" TargetMode="External"/><Relationship Id="rId348" Type="http://schemas.openxmlformats.org/officeDocument/2006/relationships/hyperlink" Target="https://www.mrcentralheating.co.uk/" TargetMode="External"/><Relationship Id="rId555" Type="http://schemas.openxmlformats.org/officeDocument/2006/relationships/hyperlink" Target="https://customsolarandleisure.com/" TargetMode="External"/><Relationship Id="rId762" Type="http://schemas.openxmlformats.org/officeDocument/2006/relationships/hyperlink" Target="https://www.firststarlogistics.com/" TargetMode="External"/><Relationship Id="rId1185" Type="http://schemas.openxmlformats.org/officeDocument/2006/relationships/hyperlink" Target="https://www.rentecdirect.com/" TargetMode="External"/><Relationship Id="rId1392" Type="http://schemas.openxmlformats.org/officeDocument/2006/relationships/hyperlink" Target="https://www.trusttiger.com/" TargetMode="External"/><Relationship Id="rId2029" Type="http://schemas.openxmlformats.org/officeDocument/2006/relationships/hyperlink" Target="http://gorillamovers.com/" TargetMode="External"/><Relationship Id="rId2236" Type="http://schemas.openxmlformats.org/officeDocument/2006/relationships/hyperlink" Target="http://fencingandlandscapesupplies.co.uk/" TargetMode="External"/><Relationship Id="rId2443" Type="http://schemas.openxmlformats.org/officeDocument/2006/relationships/hyperlink" Target="http://vaned.com/" TargetMode="External"/><Relationship Id="rId208" Type="http://schemas.openxmlformats.org/officeDocument/2006/relationships/hyperlink" Target="https://www.lajaunies.com/" TargetMode="External"/><Relationship Id="rId415" Type="http://schemas.openxmlformats.org/officeDocument/2006/relationships/hyperlink" Target="https://www.paramountstone.co.uk/" TargetMode="External"/><Relationship Id="rId622" Type="http://schemas.openxmlformats.org/officeDocument/2006/relationships/hyperlink" Target="https://tailoredmechanical.com/" TargetMode="External"/><Relationship Id="rId1045" Type="http://schemas.openxmlformats.org/officeDocument/2006/relationships/hyperlink" Target="https://dakineservicesinc.com/" TargetMode="External"/><Relationship Id="rId1252" Type="http://schemas.openxmlformats.org/officeDocument/2006/relationships/hyperlink" Target="https://www.bluebirdcfw.com/" TargetMode="External"/><Relationship Id="rId1697" Type="http://schemas.openxmlformats.org/officeDocument/2006/relationships/hyperlink" Target="http://hugeecorporation.com/" TargetMode="External"/><Relationship Id="rId2303" Type="http://schemas.openxmlformats.org/officeDocument/2006/relationships/hyperlink" Target="http://doornmore.com/" TargetMode="External"/><Relationship Id="rId2510" Type="http://schemas.openxmlformats.org/officeDocument/2006/relationships/hyperlink" Target="https://www.gosummer.com/" TargetMode="External"/><Relationship Id="rId927" Type="http://schemas.openxmlformats.org/officeDocument/2006/relationships/hyperlink" Target="https://ppssa.com.au/" TargetMode="External"/><Relationship Id="rId1112" Type="http://schemas.openxmlformats.org/officeDocument/2006/relationships/hyperlink" Target="https://www.landofrugs.com/" TargetMode="External"/><Relationship Id="rId1557" Type="http://schemas.openxmlformats.org/officeDocument/2006/relationships/hyperlink" Target="http://familyhomeplans.com/" TargetMode="External"/><Relationship Id="rId1764" Type="http://schemas.openxmlformats.org/officeDocument/2006/relationships/hyperlink" Target="http://crddesignbuild.com/" TargetMode="External"/><Relationship Id="rId1971" Type="http://schemas.openxmlformats.org/officeDocument/2006/relationships/hyperlink" Target="http://precisionlandscaping.ca/" TargetMode="External"/><Relationship Id="rId2608" Type="http://schemas.openxmlformats.org/officeDocument/2006/relationships/hyperlink" Target="https://www.ridgefieldconsulting.co.uk/" TargetMode="External"/><Relationship Id="rId56" Type="http://schemas.openxmlformats.org/officeDocument/2006/relationships/hyperlink" Target="https://helmuthroofing.com/" TargetMode="External"/><Relationship Id="rId1417" Type="http://schemas.openxmlformats.org/officeDocument/2006/relationships/hyperlink" Target="https://tilecloud.com.au/" TargetMode="External"/><Relationship Id="rId1624" Type="http://schemas.openxmlformats.org/officeDocument/2006/relationships/hyperlink" Target="http://willowdaleequity.com/" TargetMode="External"/><Relationship Id="rId1831" Type="http://schemas.openxmlformats.org/officeDocument/2006/relationships/hyperlink" Target="http://premierevanlines.com/" TargetMode="External"/><Relationship Id="rId1929" Type="http://schemas.openxmlformats.org/officeDocument/2006/relationships/hyperlink" Target="http://scerriauctions.com.au/" TargetMode="External"/><Relationship Id="rId2093" Type="http://schemas.openxmlformats.org/officeDocument/2006/relationships/hyperlink" Target="http://easydonationpickup.com/" TargetMode="External"/><Relationship Id="rId2398" Type="http://schemas.openxmlformats.org/officeDocument/2006/relationships/hyperlink" Target="http://clerawindows.com/" TargetMode="External"/><Relationship Id="rId272" Type="http://schemas.openxmlformats.org/officeDocument/2006/relationships/hyperlink" Target="https://regentcre.com/" TargetMode="External"/><Relationship Id="rId577" Type="http://schemas.openxmlformats.org/officeDocument/2006/relationships/hyperlink" Target="https://pandalondon.com/" TargetMode="External"/><Relationship Id="rId2160" Type="http://schemas.openxmlformats.org/officeDocument/2006/relationships/hyperlink" Target="http://homeinc.com/" TargetMode="External"/><Relationship Id="rId2258" Type="http://schemas.openxmlformats.org/officeDocument/2006/relationships/hyperlink" Target="http://morrisjenkins.com/" TargetMode="External"/><Relationship Id="rId132" Type="http://schemas.openxmlformats.org/officeDocument/2006/relationships/hyperlink" Target="https://www.getbsafe.com/" TargetMode="External"/><Relationship Id="rId784" Type="http://schemas.openxmlformats.org/officeDocument/2006/relationships/hyperlink" Target="https://americanvintagehome.com/" TargetMode="External"/><Relationship Id="rId991" Type="http://schemas.openxmlformats.org/officeDocument/2006/relationships/hyperlink" Target="https://move-central.com/" TargetMode="External"/><Relationship Id="rId1067" Type="http://schemas.openxmlformats.org/officeDocument/2006/relationships/hyperlink" Target="https://www.101apartmentforrent.com/" TargetMode="External"/><Relationship Id="rId2020" Type="http://schemas.openxmlformats.org/officeDocument/2006/relationships/hyperlink" Target="http://123junk.com/" TargetMode="External"/><Relationship Id="rId2465" Type="http://schemas.openxmlformats.org/officeDocument/2006/relationships/hyperlink" Target="http://cleanmanagement.com/" TargetMode="External"/><Relationship Id="rId437" Type="http://schemas.openxmlformats.org/officeDocument/2006/relationships/hyperlink" Target="https://edenbraehomes.com.au/" TargetMode="External"/><Relationship Id="rId644" Type="http://schemas.openxmlformats.org/officeDocument/2006/relationships/hyperlink" Target="https://bhug.com/" TargetMode="External"/><Relationship Id="rId851" Type="http://schemas.openxmlformats.org/officeDocument/2006/relationships/hyperlink" Target="https://www.theacademicpapers.co.uk/" TargetMode="External"/><Relationship Id="rId1274" Type="http://schemas.openxmlformats.org/officeDocument/2006/relationships/hyperlink" Target="https://ocusafe.com/" TargetMode="External"/><Relationship Id="rId1481" Type="http://schemas.openxmlformats.org/officeDocument/2006/relationships/hyperlink" Target="http://rockwellgroup.com/" TargetMode="External"/><Relationship Id="rId1579" Type="http://schemas.openxmlformats.org/officeDocument/2006/relationships/hyperlink" Target="http://sonshineroofing.com/" TargetMode="External"/><Relationship Id="rId2118" Type="http://schemas.openxmlformats.org/officeDocument/2006/relationships/hyperlink" Target="http://policygenius.com/" TargetMode="External"/><Relationship Id="rId2325" Type="http://schemas.openxmlformats.org/officeDocument/2006/relationships/hyperlink" Target="http://mspplumbingheatingair.com/" TargetMode="External"/><Relationship Id="rId2532" Type="http://schemas.openxmlformats.org/officeDocument/2006/relationships/hyperlink" Target="https://albertamountainair.com/" TargetMode="External"/><Relationship Id="rId504" Type="http://schemas.openxmlformats.org/officeDocument/2006/relationships/hyperlink" Target="https://www.radikalneonsigns.com/" TargetMode="External"/><Relationship Id="rId711" Type="http://schemas.openxmlformats.org/officeDocument/2006/relationships/hyperlink" Target="https://unitedairtemp.com/" TargetMode="External"/><Relationship Id="rId949" Type="http://schemas.openxmlformats.org/officeDocument/2006/relationships/hyperlink" Target="https://www.kelownahomes.com/" TargetMode="External"/><Relationship Id="rId1134" Type="http://schemas.openxmlformats.org/officeDocument/2006/relationships/hyperlink" Target="https://www.cincinkyrealestate.com/" TargetMode="External"/><Relationship Id="rId1341" Type="http://schemas.openxmlformats.org/officeDocument/2006/relationships/hyperlink" Target="https://zen-renovations.com/" TargetMode="External"/><Relationship Id="rId1786" Type="http://schemas.openxmlformats.org/officeDocument/2006/relationships/hyperlink" Target="http://compusoftgroup.com/" TargetMode="External"/><Relationship Id="rId1993" Type="http://schemas.openxmlformats.org/officeDocument/2006/relationships/hyperlink" Target="http://clearway.co.uk/" TargetMode="External"/><Relationship Id="rId78" Type="http://schemas.openxmlformats.org/officeDocument/2006/relationships/hyperlink" Target="https://www.justcovers.com.au/" TargetMode="External"/><Relationship Id="rId809" Type="http://schemas.openxmlformats.org/officeDocument/2006/relationships/hyperlink" Target="https://abcfinance.co.uk/" TargetMode="External"/><Relationship Id="rId1201" Type="http://schemas.openxmlformats.org/officeDocument/2006/relationships/hyperlink" Target="https://gropius.house/" TargetMode="External"/><Relationship Id="rId1439" Type="http://schemas.openxmlformats.org/officeDocument/2006/relationships/hyperlink" Target="http://verifiedmovers.com/" TargetMode="External"/><Relationship Id="rId1646" Type="http://schemas.openxmlformats.org/officeDocument/2006/relationships/hyperlink" Target="http://maxfunding.com.au/" TargetMode="External"/><Relationship Id="rId1853" Type="http://schemas.openxmlformats.org/officeDocument/2006/relationships/hyperlink" Target="http://woodworkersuk.co.uk/" TargetMode="External"/><Relationship Id="rId1506" Type="http://schemas.openxmlformats.org/officeDocument/2006/relationships/hyperlink" Target="http://doradobeach.com/" TargetMode="External"/><Relationship Id="rId1713" Type="http://schemas.openxmlformats.org/officeDocument/2006/relationships/hyperlink" Target="http://thelivinghouse.co.uk/" TargetMode="External"/><Relationship Id="rId1920" Type="http://schemas.openxmlformats.org/officeDocument/2006/relationships/hyperlink" Target="http://northernpatio.com/" TargetMode="External"/><Relationship Id="rId294" Type="http://schemas.openxmlformats.org/officeDocument/2006/relationships/hyperlink" Target="https://evolutionmoving.com/" TargetMode="External"/><Relationship Id="rId2182" Type="http://schemas.openxmlformats.org/officeDocument/2006/relationships/hyperlink" Target="http://dansplumbing.com.au/" TargetMode="External"/><Relationship Id="rId154" Type="http://schemas.openxmlformats.org/officeDocument/2006/relationships/hyperlink" Target="https://stayofftheroof.com/" TargetMode="External"/><Relationship Id="rId361" Type="http://schemas.openxmlformats.org/officeDocument/2006/relationships/hyperlink" Target="https://www.ecotelligenthomes.com/" TargetMode="External"/><Relationship Id="rId599" Type="http://schemas.openxmlformats.org/officeDocument/2006/relationships/hyperlink" Target="https://cinergi.co.uk/" TargetMode="External"/><Relationship Id="rId2042" Type="http://schemas.openxmlformats.org/officeDocument/2006/relationships/hyperlink" Target="http://totalhomesupply.com/" TargetMode="External"/><Relationship Id="rId2487" Type="http://schemas.openxmlformats.org/officeDocument/2006/relationships/hyperlink" Target="http://bambooliving.com/" TargetMode="External"/><Relationship Id="rId459" Type="http://schemas.openxmlformats.org/officeDocument/2006/relationships/hyperlink" Target="https://insulationcommandos.com/" TargetMode="External"/><Relationship Id="rId666" Type="http://schemas.openxmlformats.org/officeDocument/2006/relationships/hyperlink" Target="https://bmmagazine.co.uk/" TargetMode="External"/><Relationship Id="rId873" Type="http://schemas.openxmlformats.org/officeDocument/2006/relationships/hyperlink" Target="https://crownroofing.com/" TargetMode="External"/><Relationship Id="rId1089" Type="http://schemas.openxmlformats.org/officeDocument/2006/relationships/hyperlink" Target="https://www.storquest.com/" TargetMode="External"/><Relationship Id="rId1296" Type="http://schemas.openxmlformats.org/officeDocument/2006/relationships/hyperlink" Target="https://www.outbackfencing.com.au/" TargetMode="External"/><Relationship Id="rId2347" Type="http://schemas.openxmlformats.org/officeDocument/2006/relationships/hyperlink" Target="http://diy.com/" TargetMode="External"/><Relationship Id="rId2554" Type="http://schemas.openxmlformats.org/officeDocument/2006/relationships/hyperlink" Target="http://johnbuysbayareahouses.com/" TargetMode="External"/><Relationship Id="rId221" Type="http://schemas.openxmlformats.org/officeDocument/2006/relationships/hyperlink" Target="https://silentbeacon.com/" TargetMode="External"/><Relationship Id="rId319" Type="http://schemas.openxmlformats.org/officeDocument/2006/relationships/hyperlink" Target="https://www.houseandgarden.co.uk/" TargetMode="External"/><Relationship Id="rId526" Type="http://schemas.openxmlformats.org/officeDocument/2006/relationships/hyperlink" Target="https://www.bytefederal.com/" TargetMode="External"/><Relationship Id="rId1156" Type="http://schemas.openxmlformats.org/officeDocument/2006/relationships/hyperlink" Target="https://springshomes.com/" TargetMode="External"/><Relationship Id="rId1363" Type="http://schemas.openxmlformats.org/officeDocument/2006/relationships/hyperlink" Target="https://www.greenchildmagazine.com/" TargetMode="External"/><Relationship Id="rId2207" Type="http://schemas.openxmlformats.org/officeDocument/2006/relationships/hyperlink" Target="http://manhattanmiami.com/" TargetMode="External"/><Relationship Id="rId733" Type="http://schemas.openxmlformats.org/officeDocument/2006/relationships/hyperlink" Target="https://www.worldcoppersmith.com/" TargetMode="External"/><Relationship Id="rId940" Type="http://schemas.openxmlformats.org/officeDocument/2006/relationships/hyperlink" Target="https://www.bondi38.com.au/" TargetMode="External"/><Relationship Id="rId1016" Type="http://schemas.openxmlformats.org/officeDocument/2006/relationships/hyperlink" Target="https://www.simplyspotless.com.au/" TargetMode="External"/><Relationship Id="rId1570" Type="http://schemas.openxmlformats.org/officeDocument/2006/relationships/hyperlink" Target="http://mywindowwashing.com/" TargetMode="External"/><Relationship Id="rId1668" Type="http://schemas.openxmlformats.org/officeDocument/2006/relationships/hyperlink" Target="http://greenleafpestcontrol.com/" TargetMode="External"/><Relationship Id="rId1875" Type="http://schemas.openxmlformats.org/officeDocument/2006/relationships/hyperlink" Target="http://truebluesheds.com.au/" TargetMode="External"/><Relationship Id="rId2414" Type="http://schemas.openxmlformats.org/officeDocument/2006/relationships/hyperlink" Target="http://leafhome.com/" TargetMode="External"/><Relationship Id="rId2621" Type="http://schemas.openxmlformats.org/officeDocument/2006/relationships/hyperlink" Target="https://aldawindows.com/" TargetMode="External"/><Relationship Id="rId800" Type="http://schemas.openxmlformats.org/officeDocument/2006/relationships/hyperlink" Target="https://lorenzphac.com/" TargetMode="External"/><Relationship Id="rId1223" Type="http://schemas.openxmlformats.org/officeDocument/2006/relationships/hyperlink" Target="https://charmedbycamille.com/" TargetMode="External"/><Relationship Id="rId1430" Type="http://schemas.openxmlformats.org/officeDocument/2006/relationships/hyperlink" Target="http://poshtradingcompany.com/" TargetMode="External"/><Relationship Id="rId1528" Type="http://schemas.openxmlformats.org/officeDocument/2006/relationships/hyperlink" Target="http://moderndigsfurniture.com/" TargetMode="External"/><Relationship Id="rId1735" Type="http://schemas.openxmlformats.org/officeDocument/2006/relationships/hyperlink" Target="http://erectarack.com.au/" TargetMode="External"/><Relationship Id="rId1942" Type="http://schemas.openxmlformats.org/officeDocument/2006/relationships/hyperlink" Target="http://loyalhomes.ca/" TargetMode="External"/><Relationship Id="rId27" Type="http://schemas.openxmlformats.org/officeDocument/2006/relationships/hyperlink" Target="https://brechbilltrailers.com/" TargetMode="External"/><Relationship Id="rId1802" Type="http://schemas.openxmlformats.org/officeDocument/2006/relationships/hyperlink" Target="http://financialmirror.com/" TargetMode="External"/><Relationship Id="rId176" Type="http://schemas.openxmlformats.org/officeDocument/2006/relationships/hyperlink" Target="https://roofrepairquote.com.au/" TargetMode="External"/><Relationship Id="rId383" Type="http://schemas.openxmlformats.org/officeDocument/2006/relationships/hyperlink" Target="https://tomadamswc.com/" TargetMode="External"/><Relationship Id="rId590" Type="http://schemas.openxmlformats.org/officeDocument/2006/relationships/hyperlink" Target="https://www.captaincookelectrical.com.au/" TargetMode="External"/><Relationship Id="rId2064" Type="http://schemas.openxmlformats.org/officeDocument/2006/relationships/hyperlink" Target="http://tilecloud.com.au/" TargetMode="External"/><Relationship Id="rId2271" Type="http://schemas.openxmlformats.org/officeDocument/2006/relationships/hyperlink" Target="http://summersphc.com/" TargetMode="External"/><Relationship Id="rId243" Type="http://schemas.openxmlformats.org/officeDocument/2006/relationships/hyperlink" Target="https://us.swann.com/" TargetMode="External"/><Relationship Id="rId450" Type="http://schemas.openxmlformats.org/officeDocument/2006/relationships/hyperlink" Target="https://saunadepot.ca/" TargetMode="External"/><Relationship Id="rId688" Type="http://schemas.openxmlformats.org/officeDocument/2006/relationships/hyperlink" Target="https://www.urevo.com/" TargetMode="External"/><Relationship Id="rId895" Type="http://schemas.openxmlformats.org/officeDocument/2006/relationships/hyperlink" Target="http://sanaliving.com.au/" TargetMode="External"/><Relationship Id="rId1080" Type="http://schemas.openxmlformats.org/officeDocument/2006/relationships/hyperlink" Target="https://cyprus-real.estate/" TargetMode="External"/><Relationship Id="rId2131" Type="http://schemas.openxmlformats.org/officeDocument/2006/relationships/hyperlink" Target="http://finehomebuilding.com/" TargetMode="External"/><Relationship Id="rId2369" Type="http://schemas.openxmlformats.org/officeDocument/2006/relationships/hyperlink" Target="http://legacyhandcraft.com/" TargetMode="External"/><Relationship Id="rId2576" Type="http://schemas.openxmlformats.org/officeDocument/2006/relationships/hyperlink" Target="https://aucklandpremiumpainters.co.nz/" TargetMode="External"/><Relationship Id="rId103" Type="http://schemas.openxmlformats.org/officeDocument/2006/relationships/hyperlink" Target="https://www.thelocalelectrician.com.au/" TargetMode="External"/><Relationship Id="rId310" Type="http://schemas.openxmlformats.org/officeDocument/2006/relationships/hyperlink" Target="https://www.neighborhoodscout.com/" TargetMode="External"/><Relationship Id="rId548" Type="http://schemas.openxmlformats.org/officeDocument/2006/relationships/hyperlink" Target="https://www.thehenhousecollection.com/" TargetMode="External"/><Relationship Id="rId755" Type="http://schemas.openxmlformats.org/officeDocument/2006/relationships/hyperlink" Target="https://www.niagaramachine.com/" TargetMode="External"/><Relationship Id="rId962" Type="http://schemas.openxmlformats.org/officeDocument/2006/relationships/hyperlink" Target="https://www.steamboatsprings-realestate.com/" TargetMode="External"/><Relationship Id="rId1178" Type="http://schemas.openxmlformats.org/officeDocument/2006/relationships/hyperlink" Target="https://getflex.com/" TargetMode="External"/><Relationship Id="rId1385" Type="http://schemas.openxmlformats.org/officeDocument/2006/relationships/hyperlink" Target="https://www.millcityhomebuyers.com/" TargetMode="External"/><Relationship Id="rId1592" Type="http://schemas.openxmlformats.org/officeDocument/2006/relationships/hyperlink" Target="http://freemangeneralcontracting.com/" TargetMode="External"/><Relationship Id="rId2229" Type="http://schemas.openxmlformats.org/officeDocument/2006/relationships/hyperlink" Target="http://measuremanage.com.au/" TargetMode="External"/><Relationship Id="rId2436" Type="http://schemas.openxmlformats.org/officeDocument/2006/relationships/hyperlink" Target="http://ltcnews.com/" TargetMode="External"/><Relationship Id="rId91" Type="http://schemas.openxmlformats.org/officeDocument/2006/relationships/hyperlink" Target="https://www.sippycupmom.com/" TargetMode="External"/><Relationship Id="rId408" Type="http://schemas.openxmlformats.org/officeDocument/2006/relationships/hyperlink" Target="https://renderartstudio.com/" TargetMode="External"/><Relationship Id="rId615" Type="http://schemas.openxmlformats.org/officeDocument/2006/relationships/hyperlink" Target="https://safetyculture.com/" TargetMode="External"/><Relationship Id="rId822" Type="http://schemas.openxmlformats.org/officeDocument/2006/relationships/hyperlink" Target="https://www.pssremovals.com/" TargetMode="External"/><Relationship Id="rId1038" Type="http://schemas.openxmlformats.org/officeDocument/2006/relationships/hyperlink" Target="https://bighornirondoors.com/" TargetMode="External"/><Relationship Id="rId1245" Type="http://schemas.openxmlformats.org/officeDocument/2006/relationships/hyperlink" Target="https://www.livingetc.com/" TargetMode="External"/><Relationship Id="rId1452" Type="http://schemas.openxmlformats.org/officeDocument/2006/relationships/hyperlink" Target="http://voyagemaison.com/" TargetMode="External"/><Relationship Id="rId1897" Type="http://schemas.openxmlformats.org/officeDocument/2006/relationships/hyperlink" Target="http://movinghub.com/" TargetMode="External"/><Relationship Id="rId2503" Type="http://schemas.openxmlformats.org/officeDocument/2006/relationships/hyperlink" Target="http://extremepanel.com/" TargetMode="External"/><Relationship Id="rId1105" Type="http://schemas.openxmlformats.org/officeDocument/2006/relationships/hyperlink" Target="https://www.mypaydayloan.com/" TargetMode="External"/><Relationship Id="rId1312" Type="http://schemas.openxmlformats.org/officeDocument/2006/relationships/hyperlink" Target="https://neotimber.com/" TargetMode="External"/><Relationship Id="rId1757" Type="http://schemas.openxmlformats.org/officeDocument/2006/relationships/hyperlink" Target="http://gocamsolar.com/" TargetMode="External"/><Relationship Id="rId1964" Type="http://schemas.openxmlformats.org/officeDocument/2006/relationships/hyperlink" Target="http://judgemobilewash.com/" TargetMode="External"/><Relationship Id="rId49" Type="http://schemas.openxmlformats.org/officeDocument/2006/relationships/hyperlink" Target="https://cellphonedeal.com/" TargetMode="External"/><Relationship Id="rId1617" Type="http://schemas.openxmlformats.org/officeDocument/2006/relationships/hyperlink" Target="http://shawnlepp.com/" TargetMode="External"/><Relationship Id="rId1824" Type="http://schemas.openxmlformats.org/officeDocument/2006/relationships/hyperlink" Target="http://macfineart.com/" TargetMode="External"/><Relationship Id="rId198" Type="http://schemas.openxmlformats.org/officeDocument/2006/relationships/hyperlink" Target="https://www.agedcareguide.com.au/" TargetMode="External"/><Relationship Id="rId2086" Type="http://schemas.openxmlformats.org/officeDocument/2006/relationships/hyperlink" Target="http://chloescleaningcompany.com/" TargetMode="External"/><Relationship Id="rId2293" Type="http://schemas.openxmlformats.org/officeDocument/2006/relationships/hyperlink" Target="http://helitechonline.com/" TargetMode="External"/><Relationship Id="rId2598" Type="http://schemas.openxmlformats.org/officeDocument/2006/relationships/hyperlink" Target="https://coastaledgehomebuyers.com/" TargetMode="External"/><Relationship Id="rId265" Type="http://schemas.openxmlformats.org/officeDocument/2006/relationships/hyperlink" Target="https://vestright.com/" TargetMode="External"/><Relationship Id="rId472" Type="http://schemas.openxmlformats.org/officeDocument/2006/relationships/hyperlink" Target="https://www.sierrainteractive.com/" TargetMode="External"/><Relationship Id="rId2153" Type="http://schemas.openxmlformats.org/officeDocument/2006/relationships/hyperlink" Target="http://sandiahomebuyers.com/" TargetMode="External"/><Relationship Id="rId2360" Type="http://schemas.openxmlformats.org/officeDocument/2006/relationships/hyperlink" Target="http://mdsheatingandair.com/" TargetMode="External"/><Relationship Id="rId125" Type="http://schemas.openxmlformats.org/officeDocument/2006/relationships/hyperlink" Target="https://www.aaarfg.com/" TargetMode="External"/><Relationship Id="rId332" Type="http://schemas.openxmlformats.org/officeDocument/2006/relationships/hyperlink" Target="https://www.hhinsgroup.com/" TargetMode="External"/><Relationship Id="rId777" Type="http://schemas.openxmlformats.org/officeDocument/2006/relationships/hyperlink" Target="https://essentialfoodhygiene.co.uk/" TargetMode="External"/><Relationship Id="rId984" Type="http://schemas.openxmlformats.org/officeDocument/2006/relationships/hyperlink" Target="https://www.aguirrelawpllc.com/" TargetMode="External"/><Relationship Id="rId2013" Type="http://schemas.openxmlformats.org/officeDocument/2006/relationships/hyperlink" Target="http://bedinabox.com/" TargetMode="External"/><Relationship Id="rId2220" Type="http://schemas.openxmlformats.org/officeDocument/2006/relationships/hyperlink" Target="http://nationalhomeimprovement.com/" TargetMode="External"/><Relationship Id="rId2458" Type="http://schemas.openxmlformats.org/officeDocument/2006/relationships/hyperlink" Target="http://a-rite.com/" TargetMode="External"/><Relationship Id="rId637" Type="http://schemas.openxmlformats.org/officeDocument/2006/relationships/hyperlink" Target="https://www.mortgagekw.com/" TargetMode="External"/><Relationship Id="rId844" Type="http://schemas.openxmlformats.org/officeDocument/2006/relationships/hyperlink" Target="https://www.ransfordpc.com/" TargetMode="External"/><Relationship Id="rId1267" Type="http://schemas.openxmlformats.org/officeDocument/2006/relationships/hyperlink" Target="https://www.metal-building-homes.com/" TargetMode="External"/><Relationship Id="rId1474" Type="http://schemas.openxmlformats.org/officeDocument/2006/relationships/hyperlink" Target="http://exotiqproperty.com/" TargetMode="External"/><Relationship Id="rId1681" Type="http://schemas.openxmlformats.org/officeDocument/2006/relationships/hyperlink" Target="http://fantasticcleaners.com/" TargetMode="External"/><Relationship Id="rId2318" Type="http://schemas.openxmlformats.org/officeDocument/2006/relationships/hyperlink" Target="http://abcfinance.co.uk/" TargetMode="External"/><Relationship Id="rId2525" Type="http://schemas.openxmlformats.org/officeDocument/2006/relationships/hyperlink" Target="https://www.matrixbasements.com/" TargetMode="External"/><Relationship Id="rId704" Type="http://schemas.openxmlformats.org/officeDocument/2006/relationships/hyperlink" Target="https://ukradiators.com/" TargetMode="External"/><Relationship Id="rId911" Type="http://schemas.openxmlformats.org/officeDocument/2006/relationships/hyperlink" Target="https://allmastersplumbing.com/" TargetMode="External"/><Relationship Id="rId1127" Type="http://schemas.openxmlformats.org/officeDocument/2006/relationships/hyperlink" Target="https://www.visionretirement.com/" TargetMode="External"/><Relationship Id="rId1334" Type="http://schemas.openxmlformats.org/officeDocument/2006/relationships/hyperlink" Target="https://www.windowscanada.com/" TargetMode="External"/><Relationship Id="rId1541" Type="http://schemas.openxmlformats.org/officeDocument/2006/relationships/hyperlink" Target="http://verraterra.com/" TargetMode="External"/><Relationship Id="rId1779" Type="http://schemas.openxmlformats.org/officeDocument/2006/relationships/hyperlink" Target="http://denelli.co.uk/" TargetMode="External"/><Relationship Id="rId1986" Type="http://schemas.openxmlformats.org/officeDocument/2006/relationships/hyperlink" Target="http://ductdudes.com/" TargetMode="External"/><Relationship Id="rId40" Type="http://schemas.openxmlformats.org/officeDocument/2006/relationships/hyperlink" Target="https://www.centralhtg.com/" TargetMode="External"/><Relationship Id="rId1401" Type="http://schemas.openxmlformats.org/officeDocument/2006/relationships/hyperlink" Target="https://www.cherryandclarkroofing.ca/" TargetMode="External"/><Relationship Id="rId1639" Type="http://schemas.openxmlformats.org/officeDocument/2006/relationships/hyperlink" Target="http://landbrokermls.com/" TargetMode="External"/><Relationship Id="rId1846" Type="http://schemas.openxmlformats.org/officeDocument/2006/relationships/hyperlink" Target="http://bedkingdom.co.uk/" TargetMode="External"/><Relationship Id="rId1706" Type="http://schemas.openxmlformats.org/officeDocument/2006/relationships/hyperlink" Target="http://eclisse.co.uk/" TargetMode="External"/><Relationship Id="rId1913" Type="http://schemas.openxmlformats.org/officeDocument/2006/relationships/hyperlink" Target="http://greatguysmove.com/" TargetMode="External"/><Relationship Id="rId287" Type="http://schemas.openxmlformats.org/officeDocument/2006/relationships/hyperlink" Target="https://eazyhousesale.com/" TargetMode="External"/><Relationship Id="rId494" Type="http://schemas.openxmlformats.org/officeDocument/2006/relationships/hyperlink" Target="https://www.wholesalenurseryco.com/" TargetMode="External"/><Relationship Id="rId2175" Type="http://schemas.openxmlformats.org/officeDocument/2006/relationships/hyperlink" Target="http://wallstreetzen.com/" TargetMode="External"/><Relationship Id="rId2382" Type="http://schemas.openxmlformats.org/officeDocument/2006/relationships/hyperlink" Target="http://egkw.co.uk/" TargetMode="External"/><Relationship Id="rId147" Type="http://schemas.openxmlformats.org/officeDocument/2006/relationships/hyperlink" Target="https://www.homecrux.com/" TargetMode="External"/><Relationship Id="rId354" Type="http://schemas.openxmlformats.org/officeDocument/2006/relationships/hyperlink" Target="https://abodewindowfilms.co.uk/" TargetMode="External"/><Relationship Id="rId799" Type="http://schemas.openxmlformats.org/officeDocument/2006/relationships/hyperlink" Target="https://buildinginstitute.edu.au/" TargetMode="External"/><Relationship Id="rId1191" Type="http://schemas.openxmlformats.org/officeDocument/2006/relationships/hyperlink" Target="https://abestroofing.com/" TargetMode="External"/><Relationship Id="rId2035" Type="http://schemas.openxmlformats.org/officeDocument/2006/relationships/hyperlink" Target="http://iheat.co.uk/" TargetMode="External"/><Relationship Id="rId561" Type="http://schemas.openxmlformats.org/officeDocument/2006/relationships/hyperlink" Target="https://www.logan-inc.com/" TargetMode="External"/><Relationship Id="rId659" Type="http://schemas.openxmlformats.org/officeDocument/2006/relationships/hyperlink" Target="https://www.bolair.ca/" TargetMode="External"/><Relationship Id="rId866" Type="http://schemas.openxmlformats.org/officeDocument/2006/relationships/hyperlink" Target="https://www.lemongrovelane.com/" TargetMode="External"/><Relationship Id="rId1289" Type="http://schemas.openxmlformats.org/officeDocument/2006/relationships/hyperlink" Target="https://www.puckermob.com/" TargetMode="External"/><Relationship Id="rId1496" Type="http://schemas.openxmlformats.org/officeDocument/2006/relationships/hyperlink" Target="http://relatedgroup.com/" TargetMode="External"/><Relationship Id="rId2242" Type="http://schemas.openxmlformats.org/officeDocument/2006/relationships/hyperlink" Target="http://plymold.com/" TargetMode="External"/><Relationship Id="rId2547" Type="http://schemas.openxmlformats.org/officeDocument/2006/relationships/hyperlink" Target="https://www.freedomdebtrelief.com/" TargetMode="External"/><Relationship Id="rId214" Type="http://schemas.openxmlformats.org/officeDocument/2006/relationships/hyperlink" Target="https://superiorhomesupplies.com/" TargetMode="External"/><Relationship Id="rId421" Type="http://schemas.openxmlformats.org/officeDocument/2006/relationships/hyperlink" Target="https://www.tinyhouseplans.com/" TargetMode="External"/><Relationship Id="rId519" Type="http://schemas.openxmlformats.org/officeDocument/2006/relationships/hyperlink" Target="https://www.hiltonplumbing.com.au/" TargetMode="External"/><Relationship Id="rId1051" Type="http://schemas.openxmlformats.org/officeDocument/2006/relationships/hyperlink" Target="https://www.oahumilitaryrealestate.com/" TargetMode="External"/><Relationship Id="rId1149" Type="http://schemas.openxmlformats.org/officeDocument/2006/relationships/hyperlink" Target="https://springshomesforrent.com/" TargetMode="External"/><Relationship Id="rId1356" Type="http://schemas.openxmlformats.org/officeDocument/2006/relationships/hyperlink" Target="https://armstrongwatermoldcleanup.com/" TargetMode="External"/><Relationship Id="rId2102" Type="http://schemas.openxmlformats.org/officeDocument/2006/relationships/hyperlink" Target="http://smithandgray.com.au/" TargetMode="External"/><Relationship Id="rId726" Type="http://schemas.openxmlformats.org/officeDocument/2006/relationships/hyperlink" Target="https://jakemainesrealtor.com/" TargetMode="External"/><Relationship Id="rId933" Type="http://schemas.openxmlformats.org/officeDocument/2006/relationships/hyperlink" Target="https://www.spvmortgages.co.uk/" TargetMode="External"/><Relationship Id="rId1009" Type="http://schemas.openxmlformats.org/officeDocument/2006/relationships/hyperlink" Target="https://www.johnsontaylorlaw.com/" TargetMode="External"/><Relationship Id="rId1563" Type="http://schemas.openxmlformats.org/officeDocument/2006/relationships/hyperlink" Target="http://east-westelectric.com/" TargetMode="External"/><Relationship Id="rId1770" Type="http://schemas.openxmlformats.org/officeDocument/2006/relationships/hyperlink" Target="http://solartexinc.com/" TargetMode="External"/><Relationship Id="rId1868" Type="http://schemas.openxmlformats.org/officeDocument/2006/relationships/hyperlink" Target="http://alabamarealestateclass.com/" TargetMode="External"/><Relationship Id="rId2407" Type="http://schemas.openxmlformats.org/officeDocument/2006/relationships/hyperlink" Target="http://eonenergy.com/" TargetMode="External"/><Relationship Id="rId2614" Type="http://schemas.openxmlformats.org/officeDocument/2006/relationships/hyperlink" Target="https://www.raynorkc.com/" TargetMode="External"/><Relationship Id="rId62" Type="http://schemas.openxmlformats.org/officeDocument/2006/relationships/hyperlink" Target="https://valueofficefurniture.com.au/" TargetMode="External"/><Relationship Id="rId1216" Type="http://schemas.openxmlformats.org/officeDocument/2006/relationships/hyperlink" Target="https://www.marylandrealestateadvantage.com/" TargetMode="External"/><Relationship Id="rId1423" Type="http://schemas.openxmlformats.org/officeDocument/2006/relationships/hyperlink" Target="https://www.standstrongfencing.com/" TargetMode="External"/><Relationship Id="rId1630" Type="http://schemas.openxmlformats.org/officeDocument/2006/relationships/hyperlink" Target="http://lgihomes.com/" TargetMode="External"/><Relationship Id="rId1728" Type="http://schemas.openxmlformats.org/officeDocument/2006/relationships/hyperlink" Target="http://windows-doors-uk.co.uk/" TargetMode="External"/><Relationship Id="rId1935" Type="http://schemas.openxmlformats.org/officeDocument/2006/relationships/hyperlink" Target="http://reiadallas.com/" TargetMode="External"/><Relationship Id="rId2197" Type="http://schemas.openxmlformats.org/officeDocument/2006/relationships/hyperlink" Target="http://ontarioductcleaning.ca/" TargetMode="External"/><Relationship Id="rId169" Type="http://schemas.openxmlformats.org/officeDocument/2006/relationships/hyperlink" Target="https://www.nexushomebuyers.com/" TargetMode="External"/><Relationship Id="rId376" Type="http://schemas.openxmlformats.org/officeDocument/2006/relationships/hyperlink" Target="https://alansfactoryoutlet.com/" TargetMode="External"/><Relationship Id="rId583" Type="http://schemas.openxmlformats.org/officeDocument/2006/relationships/hyperlink" Target="https://www.robgolfi.com/" TargetMode="External"/><Relationship Id="rId790" Type="http://schemas.openxmlformats.org/officeDocument/2006/relationships/hyperlink" Target="https://www.boltstorage.com/" TargetMode="External"/><Relationship Id="rId2057" Type="http://schemas.openxmlformats.org/officeDocument/2006/relationships/hyperlink" Target="http://schots.com.au/" TargetMode="External"/><Relationship Id="rId2264" Type="http://schemas.openxmlformats.org/officeDocument/2006/relationships/hyperlink" Target="http://clearmaxwindows.com/" TargetMode="External"/><Relationship Id="rId2471" Type="http://schemas.openxmlformats.org/officeDocument/2006/relationships/hyperlink" Target="http://aquaprovac.com/" TargetMode="External"/><Relationship Id="rId4" Type="http://schemas.openxmlformats.org/officeDocument/2006/relationships/hyperlink" Target="https://runway.is/" TargetMode="External"/><Relationship Id="rId236" Type="http://schemas.openxmlformats.org/officeDocument/2006/relationships/hyperlink" Target="https://www.nationsroof.com/" TargetMode="External"/><Relationship Id="rId443" Type="http://schemas.openxmlformats.org/officeDocument/2006/relationships/hyperlink" Target="https://www.angi.com/" TargetMode="External"/><Relationship Id="rId650" Type="http://schemas.openxmlformats.org/officeDocument/2006/relationships/hyperlink" Target="https://omtech.com/" TargetMode="External"/><Relationship Id="rId888" Type="http://schemas.openxmlformats.org/officeDocument/2006/relationships/hyperlink" Target="https://www.bizcover.com.au/" TargetMode="External"/><Relationship Id="rId1073" Type="http://schemas.openxmlformats.org/officeDocument/2006/relationships/hyperlink" Target="https://www.thestoragebox.com/" TargetMode="External"/><Relationship Id="rId1280" Type="http://schemas.openxmlformats.org/officeDocument/2006/relationships/hyperlink" Target="https://freshspacecleaning.com/" TargetMode="External"/><Relationship Id="rId2124" Type="http://schemas.openxmlformats.org/officeDocument/2006/relationships/hyperlink" Target="http://rocket.com/" TargetMode="External"/><Relationship Id="rId2331" Type="http://schemas.openxmlformats.org/officeDocument/2006/relationships/hyperlink" Target="http://openhouseaustin.co/" TargetMode="External"/><Relationship Id="rId2569" Type="http://schemas.openxmlformats.org/officeDocument/2006/relationships/hyperlink" Target="https://smaarchviz.com/" TargetMode="External"/><Relationship Id="rId303" Type="http://schemas.openxmlformats.org/officeDocument/2006/relationships/hyperlink" Target="https://bates-electric.com/" TargetMode="External"/><Relationship Id="rId748" Type="http://schemas.openxmlformats.org/officeDocument/2006/relationships/hyperlink" Target="https://www.leaserunner.com/" TargetMode="External"/><Relationship Id="rId955" Type="http://schemas.openxmlformats.org/officeDocument/2006/relationships/hyperlink" Target="https://safestorecontainers.co.nz/" TargetMode="External"/><Relationship Id="rId1140" Type="http://schemas.openxmlformats.org/officeDocument/2006/relationships/hyperlink" Target="https://www.divorcenet.com/" TargetMode="External"/><Relationship Id="rId1378" Type="http://schemas.openxmlformats.org/officeDocument/2006/relationships/hyperlink" Target="https://qanvast.com/" TargetMode="External"/><Relationship Id="rId1585" Type="http://schemas.openxmlformats.org/officeDocument/2006/relationships/hyperlink" Target="http://mymortgageinsider.com/" TargetMode="External"/><Relationship Id="rId1792" Type="http://schemas.openxmlformats.org/officeDocument/2006/relationships/hyperlink" Target="http://thewoodveneerhub.co.uk/" TargetMode="External"/><Relationship Id="rId2429" Type="http://schemas.openxmlformats.org/officeDocument/2006/relationships/hyperlink" Target="http://blacktiemoving.com/" TargetMode="External"/><Relationship Id="rId84" Type="http://schemas.openxmlformats.org/officeDocument/2006/relationships/hyperlink" Target="https://www.westlandinsurance.ca/" TargetMode="External"/><Relationship Id="rId510" Type="http://schemas.openxmlformats.org/officeDocument/2006/relationships/hyperlink" Target="https://www.spyglassrealty.com/" TargetMode="External"/><Relationship Id="rId608" Type="http://schemas.openxmlformats.org/officeDocument/2006/relationships/hyperlink" Target="https://www.restorationroofingco.com/" TargetMode="External"/><Relationship Id="rId815" Type="http://schemas.openxmlformats.org/officeDocument/2006/relationships/hyperlink" Target="https://www.justcoglobal.com/" TargetMode="External"/><Relationship Id="rId1238" Type="http://schemas.openxmlformats.org/officeDocument/2006/relationships/hyperlink" Target="https://majesticcabinetsllc.com/" TargetMode="External"/><Relationship Id="rId1445" Type="http://schemas.openxmlformats.org/officeDocument/2006/relationships/hyperlink" Target="http://loaconstruction.com/" TargetMode="External"/><Relationship Id="rId1652" Type="http://schemas.openxmlformats.org/officeDocument/2006/relationships/hyperlink" Target="http://contentrally.com/" TargetMode="External"/><Relationship Id="rId1000" Type="http://schemas.openxmlformats.org/officeDocument/2006/relationships/hyperlink" Target="https://www.calibrecleaning.com.au/" TargetMode="External"/><Relationship Id="rId1305" Type="http://schemas.openxmlformats.org/officeDocument/2006/relationships/hyperlink" Target="https://cottonable.com/" TargetMode="External"/><Relationship Id="rId1957" Type="http://schemas.openxmlformats.org/officeDocument/2006/relationships/hyperlink" Target="http://servicetoday.com.au/" TargetMode="External"/><Relationship Id="rId1512" Type="http://schemas.openxmlformats.org/officeDocument/2006/relationships/hyperlink" Target="http://surfcorestoration.com/" TargetMode="External"/><Relationship Id="rId1817" Type="http://schemas.openxmlformats.org/officeDocument/2006/relationships/hyperlink" Target="http://1stprioritymortgage.com/" TargetMode="External"/><Relationship Id="rId11" Type="http://schemas.openxmlformats.org/officeDocument/2006/relationships/hyperlink" Target="https://renewalbyandersenreplacement.com/" TargetMode="External"/><Relationship Id="rId398" Type="http://schemas.openxmlformats.org/officeDocument/2006/relationships/hyperlink" Target="https://www.portlandrealestate.com/" TargetMode="External"/><Relationship Id="rId2079" Type="http://schemas.openxmlformats.org/officeDocument/2006/relationships/hyperlink" Target="http://ecosa.com.au/" TargetMode="External"/><Relationship Id="rId160" Type="http://schemas.openxmlformats.org/officeDocument/2006/relationships/hyperlink" Target="https://tinyhouseexpedition.com/" TargetMode="External"/><Relationship Id="rId2286" Type="http://schemas.openxmlformats.org/officeDocument/2006/relationships/hyperlink" Target="http://momentumjanitorial.com/" TargetMode="External"/><Relationship Id="rId2493" Type="http://schemas.openxmlformats.org/officeDocument/2006/relationships/hyperlink" Target="http://construction.com/" TargetMode="External"/><Relationship Id="rId258" Type="http://schemas.openxmlformats.org/officeDocument/2006/relationships/hyperlink" Target="https://finquery.com/" TargetMode="External"/><Relationship Id="rId465" Type="http://schemas.openxmlformats.org/officeDocument/2006/relationships/hyperlink" Target="https://theclose.com/" TargetMode="External"/><Relationship Id="rId672" Type="http://schemas.openxmlformats.org/officeDocument/2006/relationships/hyperlink" Target="https://www.webuyhouseshere.com/" TargetMode="External"/><Relationship Id="rId1095" Type="http://schemas.openxmlformats.org/officeDocument/2006/relationships/hyperlink" Target="https://www.cashforhomesarizona.com/" TargetMode="External"/><Relationship Id="rId2146" Type="http://schemas.openxmlformats.org/officeDocument/2006/relationships/hyperlink" Target="http://restorationmasterfinder.com/" TargetMode="External"/><Relationship Id="rId2353" Type="http://schemas.openxmlformats.org/officeDocument/2006/relationships/hyperlink" Target="http://lightopia.com/" TargetMode="External"/><Relationship Id="rId2560" Type="http://schemas.openxmlformats.org/officeDocument/2006/relationships/hyperlink" Target="http://raynor.com/" TargetMode="External"/><Relationship Id="rId118" Type="http://schemas.openxmlformats.org/officeDocument/2006/relationships/hyperlink" Target="https://tributaryidaho.com/" TargetMode="External"/><Relationship Id="rId325" Type="http://schemas.openxmlformats.org/officeDocument/2006/relationships/hyperlink" Target="https://www.lighthouseman.com/" TargetMode="External"/><Relationship Id="rId532" Type="http://schemas.openxmlformats.org/officeDocument/2006/relationships/hyperlink" Target="https://mauirealestate.com/" TargetMode="External"/><Relationship Id="rId977" Type="http://schemas.openxmlformats.org/officeDocument/2006/relationships/hyperlink" Target="https://www.kelownahomes.ca/" TargetMode="External"/><Relationship Id="rId1162" Type="http://schemas.openxmlformats.org/officeDocument/2006/relationships/hyperlink" Target="https://www.alldrybearriver.com/" TargetMode="External"/><Relationship Id="rId2006" Type="http://schemas.openxmlformats.org/officeDocument/2006/relationships/hyperlink" Target="http://greentekps.com/" TargetMode="External"/><Relationship Id="rId2213" Type="http://schemas.openxmlformats.org/officeDocument/2006/relationships/hyperlink" Target="http://mytrustedcontractor.com/" TargetMode="External"/><Relationship Id="rId2420" Type="http://schemas.openxmlformats.org/officeDocument/2006/relationships/hyperlink" Target="http://nowaluminium.co.uk/" TargetMode="External"/><Relationship Id="rId837" Type="http://schemas.openxmlformats.org/officeDocument/2006/relationships/hyperlink" Target="https://www.groovyhues.com/" TargetMode="External"/><Relationship Id="rId1022" Type="http://schemas.openxmlformats.org/officeDocument/2006/relationships/hyperlink" Target="https://interest.com/" TargetMode="External"/><Relationship Id="rId1467" Type="http://schemas.openxmlformats.org/officeDocument/2006/relationships/hyperlink" Target="http://marygrove.com/" TargetMode="External"/><Relationship Id="rId1674" Type="http://schemas.openxmlformats.org/officeDocument/2006/relationships/hyperlink" Target="http://citiquiet.com/" TargetMode="External"/><Relationship Id="rId1881" Type="http://schemas.openxmlformats.org/officeDocument/2006/relationships/hyperlink" Target="http://watsons.com/" TargetMode="External"/><Relationship Id="rId2518" Type="http://schemas.openxmlformats.org/officeDocument/2006/relationships/hyperlink" Target="https://backlinkexpress.com/" TargetMode="External"/><Relationship Id="rId904" Type="http://schemas.openxmlformats.org/officeDocument/2006/relationships/hyperlink" Target="https://www.jll.co.uk/" TargetMode="External"/><Relationship Id="rId1327" Type="http://schemas.openxmlformats.org/officeDocument/2006/relationships/hyperlink" Target="https://fixappliances.ca/" TargetMode="External"/><Relationship Id="rId1534" Type="http://schemas.openxmlformats.org/officeDocument/2006/relationships/hyperlink" Target="http://roadhaugs.com/" TargetMode="External"/><Relationship Id="rId1741" Type="http://schemas.openxmlformats.org/officeDocument/2006/relationships/hyperlink" Target="http://jrcglasssolutions.com/" TargetMode="External"/><Relationship Id="rId1979" Type="http://schemas.openxmlformats.org/officeDocument/2006/relationships/hyperlink" Target="http://dryprosystems.com/" TargetMode="External"/><Relationship Id="rId33" Type="http://schemas.openxmlformats.org/officeDocument/2006/relationships/hyperlink" Target="https://familyclean.com.au/" TargetMode="External"/><Relationship Id="rId1601" Type="http://schemas.openxmlformats.org/officeDocument/2006/relationships/hyperlink" Target="http://mikeotranto.com/" TargetMode="External"/><Relationship Id="rId1839" Type="http://schemas.openxmlformats.org/officeDocument/2006/relationships/hyperlink" Target="http://ritzplumbing.com/" TargetMode="External"/><Relationship Id="rId182" Type="http://schemas.openxmlformats.org/officeDocument/2006/relationships/hyperlink" Target="https://www.daepumps.com/" TargetMode="External"/><Relationship Id="rId1906" Type="http://schemas.openxmlformats.org/officeDocument/2006/relationships/hyperlink" Target="http://visiolending.com/" TargetMode="External"/><Relationship Id="rId487" Type="http://schemas.openxmlformats.org/officeDocument/2006/relationships/hyperlink" Target="https://www.vitcas.com/" TargetMode="External"/><Relationship Id="rId694" Type="http://schemas.openxmlformats.org/officeDocument/2006/relationships/hyperlink" Target="https://deerbusters.com/" TargetMode="External"/><Relationship Id="rId2070" Type="http://schemas.openxmlformats.org/officeDocument/2006/relationships/hyperlink" Target="http://onlineflooringstore.com.au/" TargetMode="External"/><Relationship Id="rId2168" Type="http://schemas.openxmlformats.org/officeDocument/2006/relationships/hyperlink" Target="http://jeffsealsremodeling.com/" TargetMode="External"/><Relationship Id="rId2375" Type="http://schemas.openxmlformats.org/officeDocument/2006/relationships/hyperlink" Target="http://houselogic.com/" TargetMode="External"/><Relationship Id="rId347" Type="http://schemas.openxmlformats.org/officeDocument/2006/relationships/hyperlink" Target="https://mmihomeimprovement.com/" TargetMode="External"/><Relationship Id="rId999" Type="http://schemas.openxmlformats.org/officeDocument/2006/relationships/hyperlink" Target="https://www.revealhomestyle.com/" TargetMode="External"/><Relationship Id="rId1184" Type="http://schemas.openxmlformats.org/officeDocument/2006/relationships/hyperlink" Target="https://blueheron.com/" TargetMode="External"/><Relationship Id="rId2028" Type="http://schemas.openxmlformats.org/officeDocument/2006/relationships/hyperlink" Target="http://housedigest.com/" TargetMode="External"/><Relationship Id="rId2582" Type="http://schemas.openxmlformats.org/officeDocument/2006/relationships/hyperlink" Target="https://nycestimating.us/" TargetMode="External"/><Relationship Id="rId554" Type="http://schemas.openxmlformats.org/officeDocument/2006/relationships/hyperlink" Target="https://vacationaruba.com/" TargetMode="External"/><Relationship Id="rId761" Type="http://schemas.openxmlformats.org/officeDocument/2006/relationships/hyperlink" Target="https://www.gvdrenovationsinc.com/" TargetMode="External"/><Relationship Id="rId859" Type="http://schemas.openxmlformats.org/officeDocument/2006/relationships/hyperlink" Target="https://www.rmfp.com/" TargetMode="External"/><Relationship Id="rId1391" Type="http://schemas.openxmlformats.org/officeDocument/2006/relationships/hyperlink" Target="https://sumerinnovations.com/" TargetMode="External"/><Relationship Id="rId1489" Type="http://schemas.openxmlformats.org/officeDocument/2006/relationships/hyperlink" Target="http://buildmat.com.au/" TargetMode="External"/><Relationship Id="rId1696" Type="http://schemas.openxmlformats.org/officeDocument/2006/relationships/hyperlink" Target="http://goodmove.co.uk/" TargetMode="External"/><Relationship Id="rId2235" Type="http://schemas.openxmlformats.org/officeDocument/2006/relationships/hyperlink" Target="http://northlandfence.com/" TargetMode="External"/><Relationship Id="rId2442" Type="http://schemas.openxmlformats.org/officeDocument/2006/relationships/hyperlink" Target="http://landlordstudio.com/" TargetMode="External"/><Relationship Id="rId207" Type="http://schemas.openxmlformats.org/officeDocument/2006/relationships/hyperlink" Target="https://medistik.com/" TargetMode="External"/><Relationship Id="rId414" Type="http://schemas.openxmlformats.org/officeDocument/2006/relationships/hyperlink" Target="https://shop.vitcas.com/" TargetMode="External"/><Relationship Id="rId621" Type="http://schemas.openxmlformats.org/officeDocument/2006/relationships/hyperlink" Target="https://www.sourgum.com/" TargetMode="External"/><Relationship Id="rId1044" Type="http://schemas.openxmlformats.org/officeDocument/2006/relationships/hyperlink" Target="https://www.residedfw.com/" TargetMode="External"/><Relationship Id="rId1251" Type="http://schemas.openxmlformats.org/officeDocument/2006/relationships/hyperlink" Target="https://www.openpropertygroup.com/" TargetMode="External"/><Relationship Id="rId1349" Type="http://schemas.openxmlformats.org/officeDocument/2006/relationships/hyperlink" Target="https://trendstyle.com.au/" TargetMode="External"/><Relationship Id="rId2302" Type="http://schemas.openxmlformats.org/officeDocument/2006/relationships/hyperlink" Target="http://technal.com/" TargetMode="External"/><Relationship Id="rId719" Type="http://schemas.openxmlformats.org/officeDocument/2006/relationships/hyperlink" Target="https://www.recostseg.com/" TargetMode="External"/><Relationship Id="rId926" Type="http://schemas.openxmlformats.org/officeDocument/2006/relationships/hyperlink" Target="https://pbphomerepair.com/" TargetMode="External"/><Relationship Id="rId1111" Type="http://schemas.openxmlformats.org/officeDocument/2006/relationships/hyperlink" Target="https://premiumhardware.net/" TargetMode="External"/><Relationship Id="rId1556" Type="http://schemas.openxmlformats.org/officeDocument/2006/relationships/hyperlink" Target="http://riverpoolsandspas.com/" TargetMode="External"/><Relationship Id="rId1763" Type="http://schemas.openxmlformats.org/officeDocument/2006/relationships/hyperlink" Target="http://montanstahl.com/" TargetMode="External"/><Relationship Id="rId1970" Type="http://schemas.openxmlformats.org/officeDocument/2006/relationships/hyperlink" Target="http://spachem.co.uk/" TargetMode="External"/><Relationship Id="rId2607" Type="http://schemas.openxmlformats.org/officeDocument/2006/relationships/hyperlink" Target="https://sturents.com/" TargetMode="External"/><Relationship Id="rId55" Type="http://schemas.openxmlformats.org/officeDocument/2006/relationships/hyperlink" Target="https://whitneylandcompany.com/" TargetMode="External"/><Relationship Id="rId1209" Type="http://schemas.openxmlformats.org/officeDocument/2006/relationships/hyperlink" Target="https://www.movingmountainsdesign.com/" TargetMode="External"/><Relationship Id="rId1416" Type="http://schemas.openxmlformats.org/officeDocument/2006/relationships/hyperlink" Target="https://www.americanvanlines.com/" TargetMode="External"/><Relationship Id="rId1623" Type="http://schemas.openxmlformats.org/officeDocument/2006/relationships/hyperlink" Target="http://cabinetset.com/" TargetMode="External"/><Relationship Id="rId1830" Type="http://schemas.openxmlformats.org/officeDocument/2006/relationships/hyperlink" Target="http://flexfence.com/" TargetMode="External"/><Relationship Id="rId1928" Type="http://schemas.openxmlformats.org/officeDocument/2006/relationships/hyperlink" Target="http://realtymogul.com/" TargetMode="External"/><Relationship Id="rId2092" Type="http://schemas.openxmlformats.org/officeDocument/2006/relationships/hyperlink" Target="http://barbend.com/" TargetMode="External"/><Relationship Id="rId271" Type="http://schemas.openxmlformats.org/officeDocument/2006/relationships/hyperlink" Target="https://northwestexteriors.com/" TargetMode="External"/><Relationship Id="rId2397" Type="http://schemas.openxmlformats.org/officeDocument/2006/relationships/hyperlink" Target="http://whatsnewfurniture.com/" TargetMode="External"/><Relationship Id="rId131" Type="http://schemas.openxmlformats.org/officeDocument/2006/relationships/hyperlink" Target="https://doordesignlab.com/" TargetMode="External"/><Relationship Id="rId369" Type="http://schemas.openxmlformats.org/officeDocument/2006/relationships/hyperlink" Target="https://globalresidenceindex.com/" TargetMode="External"/><Relationship Id="rId576" Type="http://schemas.openxmlformats.org/officeDocument/2006/relationships/hyperlink" Target="https://www.homeplannerapp.com/" TargetMode="External"/><Relationship Id="rId783" Type="http://schemas.openxmlformats.org/officeDocument/2006/relationships/hyperlink" Target="https://azenco-outdoor.com/" TargetMode="External"/><Relationship Id="rId990" Type="http://schemas.openxmlformats.org/officeDocument/2006/relationships/hyperlink" Target="https://www.sakamotoproperties.com/" TargetMode="External"/><Relationship Id="rId2257" Type="http://schemas.openxmlformats.org/officeDocument/2006/relationships/hyperlink" Target="http://flashpackingfamily.com/" TargetMode="External"/><Relationship Id="rId2464" Type="http://schemas.openxmlformats.org/officeDocument/2006/relationships/hyperlink" Target="http://bins4less.com/" TargetMode="External"/><Relationship Id="rId229" Type="http://schemas.openxmlformats.org/officeDocument/2006/relationships/hyperlink" Target="https://www.accessdoorsandpanels.com/" TargetMode="External"/><Relationship Id="rId436" Type="http://schemas.openxmlformats.org/officeDocument/2006/relationships/hyperlink" Target="https://renuityhome.com/" TargetMode="External"/><Relationship Id="rId643" Type="http://schemas.openxmlformats.org/officeDocument/2006/relationships/hyperlink" Target="https://espressoagent.com/" TargetMode="External"/><Relationship Id="rId1066" Type="http://schemas.openxmlformats.org/officeDocument/2006/relationships/hyperlink" Target="https://junkmastersmn.com/" TargetMode="External"/><Relationship Id="rId1273" Type="http://schemas.openxmlformats.org/officeDocument/2006/relationships/hyperlink" Target="https://www.alderandtweed.com/" TargetMode="External"/><Relationship Id="rId1480" Type="http://schemas.openxmlformats.org/officeDocument/2006/relationships/hyperlink" Target="http://ytech.com/" TargetMode="External"/><Relationship Id="rId2117" Type="http://schemas.openxmlformats.org/officeDocument/2006/relationships/hyperlink" Target="http://fastlandoffers.com/" TargetMode="External"/><Relationship Id="rId2324" Type="http://schemas.openxmlformats.org/officeDocument/2006/relationships/hyperlink" Target="http://arcadium3d.com/" TargetMode="External"/><Relationship Id="rId850" Type="http://schemas.openxmlformats.org/officeDocument/2006/relationships/hyperlink" Target="https://www.affordable-dissertation.co.uk/" TargetMode="External"/><Relationship Id="rId948" Type="http://schemas.openxmlformats.org/officeDocument/2006/relationships/hyperlink" Target="https://foldingdoors.com.au/" TargetMode="External"/><Relationship Id="rId1133" Type="http://schemas.openxmlformats.org/officeDocument/2006/relationships/hyperlink" Target="https://moneytips.com/" TargetMode="External"/><Relationship Id="rId1578" Type="http://schemas.openxmlformats.org/officeDocument/2006/relationships/hyperlink" Target="http://creamcityhomebuyers.com/" TargetMode="External"/><Relationship Id="rId1785" Type="http://schemas.openxmlformats.org/officeDocument/2006/relationships/hyperlink" Target="http://luxaflex.co.uk/" TargetMode="External"/><Relationship Id="rId1992" Type="http://schemas.openxmlformats.org/officeDocument/2006/relationships/hyperlink" Target="http://lucidfiresecurity.co.uk/" TargetMode="External"/><Relationship Id="rId2531" Type="http://schemas.openxmlformats.org/officeDocument/2006/relationships/hyperlink" Target="https://www.tulsahomesforcash.com/" TargetMode="External"/><Relationship Id="rId77" Type="http://schemas.openxmlformats.org/officeDocument/2006/relationships/hyperlink" Target="https://www.greenhomepest.com/" TargetMode="External"/><Relationship Id="rId503" Type="http://schemas.openxmlformats.org/officeDocument/2006/relationships/hyperlink" Target="https://alivinghome.com/" TargetMode="External"/><Relationship Id="rId710" Type="http://schemas.openxmlformats.org/officeDocument/2006/relationships/hyperlink" Target="https://tlcinteriors.com.au/" TargetMode="External"/><Relationship Id="rId808" Type="http://schemas.openxmlformats.org/officeDocument/2006/relationships/hyperlink" Target="https://reallycheapfloors.com/" TargetMode="External"/><Relationship Id="rId1340" Type="http://schemas.openxmlformats.org/officeDocument/2006/relationships/hyperlink" Target="https://zenithdesignbuild.com/" TargetMode="External"/><Relationship Id="rId1438" Type="http://schemas.openxmlformats.org/officeDocument/2006/relationships/hyperlink" Target="http://royaloakstair.ca/" TargetMode="External"/><Relationship Id="rId1645" Type="http://schemas.openxmlformats.org/officeDocument/2006/relationships/hyperlink" Target="http://getcashfairoffernc.com/" TargetMode="External"/><Relationship Id="rId1200" Type="http://schemas.openxmlformats.org/officeDocument/2006/relationships/hyperlink" Target="https://rivergumhomes.com.au/" TargetMode="External"/><Relationship Id="rId1852" Type="http://schemas.openxmlformats.org/officeDocument/2006/relationships/hyperlink" Target="http://huntergalloway.com.au/" TargetMode="External"/><Relationship Id="rId1505" Type="http://schemas.openxmlformats.org/officeDocument/2006/relationships/hyperlink" Target="http://creditninja.com/" TargetMode="External"/><Relationship Id="rId1712" Type="http://schemas.openxmlformats.org/officeDocument/2006/relationships/hyperlink" Target="http://stonesuperstore.co.uk/" TargetMode="External"/><Relationship Id="rId293" Type="http://schemas.openxmlformats.org/officeDocument/2006/relationships/hyperlink" Target="https://www.antonsmovers.com/" TargetMode="External"/><Relationship Id="rId2181" Type="http://schemas.openxmlformats.org/officeDocument/2006/relationships/hyperlink" Target="http://integrumservices.co.uk/" TargetMode="External"/><Relationship Id="rId153" Type="http://schemas.openxmlformats.org/officeDocument/2006/relationships/hyperlink" Target="https://www.bhhsmichiganrealestate.com/" TargetMode="External"/><Relationship Id="rId360" Type="http://schemas.openxmlformats.org/officeDocument/2006/relationships/hyperlink" Target="https://www.cityfurniture.com/" TargetMode="External"/><Relationship Id="rId598" Type="http://schemas.openxmlformats.org/officeDocument/2006/relationships/hyperlink" Target="https://www.doornmore.com/" TargetMode="External"/><Relationship Id="rId2041" Type="http://schemas.openxmlformats.org/officeDocument/2006/relationships/hyperlink" Target="http://lexairconditioning.com/" TargetMode="External"/><Relationship Id="rId2279" Type="http://schemas.openxmlformats.org/officeDocument/2006/relationships/hyperlink" Target="http://adpgaragedoors.com/" TargetMode="External"/><Relationship Id="rId2486" Type="http://schemas.openxmlformats.org/officeDocument/2006/relationships/hyperlink" Target="http://plantprefab.com/" TargetMode="External"/><Relationship Id="rId220" Type="http://schemas.openxmlformats.org/officeDocument/2006/relationships/hyperlink" Target="https://truebluesheds.com.au/" TargetMode="External"/><Relationship Id="rId458" Type="http://schemas.openxmlformats.org/officeDocument/2006/relationships/hyperlink" Target="http://www.worldwildlife.org/" TargetMode="External"/><Relationship Id="rId665" Type="http://schemas.openxmlformats.org/officeDocument/2006/relationships/hyperlink" Target="https://aquadecorbackgrounds.com/" TargetMode="External"/><Relationship Id="rId872" Type="http://schemas.openxmlformats.org/officeDocument/2006/relationships/hyperlink" Target="https://www.beca.com/" TargetMode="External"/><Relationship Id="rId1088" Type="http://schemas.openxmlformats.org/officeDocument/2006/relationships/hyperlink" Target="https://fundingguru.com/" TargetMode="External"/><Relationship Id="rId1295" Type="http://schemas.openxmlformats.org/officeDocument/2006/relationships/hyperlink" Target="https://www.vacayaz.com/" TargetMode="External"/><Relationship Id="rId2139" Type="http://schemas.openxmlformats.org/officeDocument/2006/relationships/hyperlink" Target="http://kingfisherre.com/" TargetMode="External"/><Relationship Id="rId2346" Type="http://schemas.openxmlformats.org/officeDocument/2006/relationships/hyperlink" Target="http://spectraguttersystems.com/" TargetMode="External"/><Relationship Id="rId2553" Type="http://schemas.openxmlformats.org/officeDocument/2006/relationships/hyperlink" Target="https://discoverlakelanier.com/" TargetMode="External"/><Relationship Id="rId318" Type="http://schemas.openxmlformats.org/officeDocument/2006/relationships/hyperlink" Target="https://www.theinteriordesigninstitute.com/" TargetMode="External"/><Relationship Id="rId525" Type="http://schemas.openxmlformats.org/officeDocument/2006/relationships/hyperlink" Target="https://www.flexfence.com/" TargetMode="External"/><Relationship Id="rId732" Type="http://schemas.openxmlformats.org/officeDocument/2006/relationships/hyperlink" Target="https://faraneshlv.com/" TargetMode="External"/><Relationship Id="rId1155" Type="http://schemas.openxmlformats.org/officeDocument/2006/relationships/hyperlink" Target="https://frederickrealestateonline.com/" TargetMode="External"/><Relationship Id="rId1362" Type="http://schemas.openxmlformats.org/officeDocument/2006/relationships/hyperlink" Target="https://www.allied.com/" TargetMode="External"/><Relationship Id="rId2206" Type="http://schemas.openxmlformats.org/officeDocument/2006/relationships/hyperlink" Target="http://1800packrat.com/" TargetMode="External"/><Relationship Id="rId2413" Type="http://schemas.openxmlformats.org/officeDocument/2006/relationships/hyperlink" Target="http://encorecoatings.com/" TargetMode="External"/><Relationship Id="rId2620" Type="http://schemas.openxmlformats.org/officeDocument/2006/relationships/hyperlink" Target="https://a1floorsnc.com/" TargetMode="External"/><Relationship Id="rId99" Type="http://schemas.openxmlformats.org/officeDocument/2006/relationships/hyperlink" Target="https://retainingwallsupplies.com.au/" TargetMode="External"/><Relationship Id="rId1015" Type="http://schemas.openxmlformats.org/officeDocument/2006/relationships/hyperlink" Target="https://plexusrd.com/" TargetMode="External"/><Relationship Id="rId1222" Type="http://schemas.openxmlformats.org/officeDocument/2006/relationships/hyperlink" Target="https://noeljones.com.au/" TargetMode="External"/><Relationship Id="rId1667" Type="http://schemas.openxmlformats.org/officeDocument/2006/relationships/hyperlink" Target="http://clarkroofingandsiding.com/" TargetMode="External"/><Relationship Id="rId1874" Type="http://schemas.openxmlformats.org/officeDocument/2006/relationships/hyperlink" Target="http://servicemarket.com/" TargetMode="External"/><Relationship Id="rId1527" Type="http://schemas.openxmlformats.org/officeDocument/2006/relationships/hyperlink" Target="http://samedayrubbishremovalmelbourne.com.au/" TargetMode="External"/><Relationship Id="rId1734" Type="http://schemas.openxmlformats.org/officeDocument/2006/relationships/hyperlink" Target="http://dotsidewalkrepairnyc.com/" TargetMode="External"/><Relationship Id="rId1941" Type="http://schemas.openxmlformats.org/officeDocument/2006/relationships/hyperlink" Target="http://fastlanerealestate.com/" TargetMode="External"/><Relationship Id="rId26" Type="http://schemas.openxmlformats.org/officeDocument/2006/relationships/hyperlink" Target="https://avalonpropertymanagement.net/" TargetMode="External"/><Relationship Id="rId175" Type="http://schemas.openxmlformats.org/officeDocument/2006/relationships/hyperlink" Target="https://www.spacer.com/" TargetMode="External"/><Relationship Id="rId1801" Type="http://schemas.openxmlformats.org/officeDocument/2006/relationships/hyperlink" Target="http://cypruspropertygallery.com/" TargetMode="External"/><Relationship Id="rId382" Type="http://schemas.openxmlformats.org/officeDocument/2006/relationships/hyperlink" Target="https://www.gnprealty.com/" TargetMode="External"/><Relationship Id="rId687" Type="http://schemas.openxmlformats.org/officeDocument/2006/relationships/hyperlink" Target="https://liv.rent/" TargetMode="External"/><Relationship Id="rId2063" Type="http://schemas.openxmlformats.org/officeDocument/2006/relationships/hyperlink" Target="http://bestaccessdoors.com/" TargetMode="External"/><Relationship Id="rId2270" Type="http://schemas.openxmlformats.org/officeDocument/2006/relationships/hyperlink" Target="http://updowndesk.com.au/" TargetMode="External"/><Relationship Id="rId2368" Type="http://schemas.openxmlformats.org/officeDocument/2006/relationships/hyperlink" Target="http://brindabella.net.au/" TargetMode="External"/><Relationship Id="rId242" Type="http://schemas.openxmlformats.org/officeDocument/2006/relationships/hyperlink" Target="https://www.ascbp.com/" TargetMode="External"/><Relationship Id="rId894" Type="http://schemas.openxmlformats.org/officeDocument/2006/relationships/hyperlink" Target="https://reconroof.com/" TargetMode="External"/><Relationship Id="rId1177" Type="http://schemas.openxmlformats.org/officeDocument/2006/relationships/hyperlink" Target="https://organisemyhouse.com/" TargetMode="External"/><Relationship Id="rId2130" Type="http://schemas.openxmlformats.org/officeDocument/2006/relationships/hyperlink" Target="http://plomberie5etoiles.com/" TargetMode="External"/><Relationship Id="rId2575" Type="http://schemas.openxmlformats.org/officeDocument/2006/relationships/hyperlink" Target="https://www.buyersadvocate.com.au/" TargetMode="External"/><Relationship Id="rId102" Type="http://schemas.openxmlformats.org/officeDocument/2006/relationships/hyperlink" Target="https://www.beltwaymovers.com/" TargetMode="External"/><Relationship Id="rId547" Type="http://schemas.openxmlformats.org/officeDocument/2006/relationships/hyperlink" Target="https://dumbomoving.com/" TargetMode="External"/><Relationship Id="rId754" Type="http://schemas.openxmlformats.org/officeDocument/2006/relationships/hyperlink" Target="https://puetzconstruction.com/" TargetMode="External"/><Relationship Id="rId961" Type="http://schemas.openxmlformats.org/officeDocument/2006/relationships/hyperlink" Target="https://www.miramarspeedcircuit.com/" TargetMode="External"/><Relationship Id="rId1384" Type="http://schemas.openxmlformats.org/officeDocument/2006/relationships/hyperlink" Target="https://nordicinformer.com/" TargetMode="External"/><Relationship Id="rId1591" Type="http://schemas.openxmlformats.org/officeDocument/2006/relationships/hyperlink" Target="http://trubilt.com.au/" TargetMode="External"/><Relationship Id="rId1689" Type="http://schemas.openxmlformats.org/officeDocument/2006/relationships/hyperlink" Target="http://thelockup.com/" TargetMode="External"/><Relationship Id="rId2228" Type="http://schemas.openxmlformats.org/officeDocument/2006/relationships/hyperlink" Target="http://insectekpest.com/" TargetMode="External"/><Relationship Id="rId2435" Type="http://schemas.openxmlformats.org/officeDocument/2006/relationships/hyperlink" Target="http://smartmoneymatch.com/" TargetMode="External"/><Relationship Id="rId90" Type="http://schemas.openxmlformats.org/officeDocument/2006/relationships/hyperlink" Target="https://bretts.com.au/" TargetMode="External"/><Relationship Id="rId407" Type="http://schemas.openxmlformats.org/officeDocument/2006/relationships/hyperlink" Target="https://mykitchenandbath.com/" TargetMode="External"/><Relationship Id="rId614" Type="http://schemas.openxmlformats.org/officeDocument/2006/relationships/hyperlink" Target="https://www.progressiveautomations.com/" TargetMode="External"/><Relationship Id="rId821" Type="http://schemas.openxmlformats.org/officeDocument/2006/relationships/hyperlink" Target="https://kvconstruction.net/" TargetMode="External"/><Relationship Id="rId1037" Type="http://schemas.openxmlformats.org/officeDocument/2006/relationships/hyperlink" Target="https://www.storagecafe.com/" TargetMode="External"/><Relationship Id="rId1244" Type="http://schemas.openxmlformats.org/officeDocument/2006/relationships/hyperlink" Target="https://www.masterclasskitchens.co.uk/" TargetMode="External"/><Relationship Id="rId1451" Type="http://schemas.openxmlformats.org/officeDocument/2006/relationships/hyperlink" Target="http://moneylion.com/" TargetMode="External"/><Relationship Id="rId1896" Type="http://schemas.openxmlformats.org/officeDocument/2006/relationships/hyperlink" Target="http://rocketmortgage.com/" TargetMode="External"/><Relationship Id="rId2502" Type="http://schemas.openxmlformats.org/officeDocument/2006/relationships/hyperlink" Target="http://cernogroup.com/" TargetMode="External"/><Relationship Id="rId919" Type="http://schemas.openxmlformats.org/officeDocument/2006/relationships/hyperlink" Target="https://apexelectricms.com/" TargetMode="External"/><Relationship Id="rId1104" Type="http://schemas.openxmlformats.org/officeDocument/2006/relationships/hyperlink" Target="https://www.dsldmortgage.com/" TargetMode="External"/><Relationship Id="rId1311" Type="http://schemas.openxmlformats.org/officeDocument/2006/relationships/hyperlink" Target="https://thefurnituregallery.com.au/" TargetMode="External"/><Relationship Id="rId1549" Type="http://schemas.openxmlformats.org/officeDocument/2006/relationships/hyperlink" Target="http://palmerrealty.net/" TargetMode="External"/><Relationship Id="rId1756" Type="http://schemas.openxmlformats.org/officeDocument/2006/relationships/hyperlink" Target="http://freedomroofingmaine.com/" TargetMode="External"/><Relationship Id="rId1963" Type="http://schemas.openxmlformats.org/officeDocument/2006/relationships/hyperlink" Target="http://fox-pest.com/" TargetMode="External"/><Relationship Id="rId48" Type="http://schemas.openxmlformats.org/officeDocument/2006/relationships/hyperlink" Target="https://inhaven.com/" TargetMode="External"/><Relationship Id="rId1409" Type="http://schemas.openxmlformats.org/officeDocument/2006/relationships/hyperlink" Target="https://austinfenceanddeck.com/" TargetMode="External"/><Relationship Id="rId1616" Type="http://schemas.openxmlformats.org/officeDocument/2006/relationships/hyperlink" Target="http://maserat.ca/" TargetMode="External"/><Relationship Id="rId1823" Type="http://schemas.openxmlformats.org/officeDocument/2006/relationships/hyperlink" Target="http://bates-electric.com/" TargetMode="External"/><Relationship Id="rId197" Type="http://schemas.openxmlformats.org/officeDocument/2006/relationships/hyperlink" Target="https://stproperties.com/" TargetMode="External"/><Relationship Id="rId2085" Type="http://schemas.openxmlformats.org/officeDocument/2006/relationships/hyperlink" Target="http://gutterprovac.com/" TargetMode="External"/><Relationship Id="rId2292" Type="http://schemas.openxmlformats.org/officeDocument/2006/relationships/hyperlink" Target="http://richfieldblacktop.com/" TargetMode="External"/><Relationship Id="rId264" Type="http://schemas.openxmlformats.org/officeDocument/2006/relationships/hyperlink" Target="https://www.bestaccessdoors.ca/" TargetMode="External"/><Relationship Id="rId471" Type="http://schemas.openxmlformats.org/officeDocument/2006/relationships/hyperlink" Target="https://canadaimmigrants.com/" TargetMode="External"/><Relationship Id="rId2152" Type="http://schemas.openxmlformats.org/officeDocument/2006/relationships/hyperlink" Target="http://bythesearesorts.com/" TargetMode="External"/><Relationship Id="rId2597" Type="http://schemas.openxmlformats.org/officeDocument/2006/relationships/hyperlink" Target="https://www.jplhomebuyers.ca/" TargetMode="External"/><Relationship Id="rId124" Type="http://schemas.openxmlformats.org/officeDocument/2006/relationships/hyperlink" Target="https://www.simpurelife.com/" TargetMode="External"/><Relationship Id="rId569" Type="http://schemas.openxmlformats.org/officeDocument/2006/relationships/hyperlink" Target="https://lahomes.com/" TargetMode="External"/><Relationship Id="rId776" Type="http://schemas.openxmlformats.org/officeDocument/2006/relationships/hyperlink" Target="https://www.familyleisure.com/" TargetMode="External"/><Relationship Id="rId983" Type="http://schemas.openxmlformats.org/officeDocument/2006/relationships/hyperlink" Target="https://techvestor.com/" TargetMode="External"/><Relationship Id="rId1199" Type="http://schemas.openxmlformats.org/officeDocument/2006/relationships/hyperlink" Target="https://salmonhealth.com/" TargetMode="External"/><Relationship Id="rId2457" Type="http://schemas.openxmlformats.org/officeDocument/2006/relationships/hyperlink" Target="http://varcopumper.com/" TargetMode="External"/><Relationship Id="rId331" Type="http://schemas.openxmlformats.org/officeDocument/2006/relationships/hyperlink" Target="https://www.pureparima.com/" TargetMode="External"/><Relationship Id="rId429" Type="http://schemas.openxmlformats.org/officeDocument/2006/relationships/hyperlink" Target="https://homesteadingfamily.com/" TargetMode="External"/><Relationship Id="rId636" Type="http://schemas.openxmlformats.org/officeDocument/2006/relationships/hyperlink" Target="https://keystonecustomdecks.com/" TargetMode="External"/><Relationship Id="rId1059" Type="http://schemas.openxmlformats.org/officeDocument/2006/relationships/hyperlink" Target="https://www.iamcashbuyer.com/" TargetMode="External"/><Relationship Id="rId1266" Type="http://schemas.openxmlformats.org/officeDocument/2006/relationships/hyperlink" Target="https://fullcolorcleaners.com/" TargetMode="External"/><Relationship Id="rId1473" Type="http://schemas.openxmlformats.org/officeDocument/2006/relationships/hyperlink" Target="http://luxuriavacations.com/" TargetMode="External"/><Relationship Id="rId2012" Type="http://schemas.openxmlformats.org/officeDocument/2006/relationships/hyperlink" Target="http://housebeautiful.com/" TargetMode="External"/><Relationship Id="rId2317" Type="http://schemas.openxmlformats.org/officeDocument/2006/relationships/hyperlink" Target="http://perkinsonhomes.com/" TargetMode="External"/><Relationship Id="rId843" Type="http://schemas.openxmlformats.org/officeDocument/2006/relationships/hyperlink" Target="https://thearchiology.com/" TargetMode="External"/><Relationship Id="rId1126" Type="http://schemas.openxmlformats.org/officeDocument/2006/relationships/hyperlink" Target="https://sanibelrealestateguide.com/" TargetMode="External"/><Relationship Id="rId1680" Type="http://schemas.openxmlformats.org/officeDocument/2006/relationships/hyperlink" Target="http://hellamaid.ca/" TargetMode="External"/><Relationship Id="rId1778" Type="http://schemas.openxmlformats.org/officeDocument/2006/relationships/hyperlink" Target="http://smelscerplumbing.com/" TargetMode="External"/><Relationship Id="rId1985" Type="http://schemas.openxmlformats.org/officeDocument/2006/relationships/hyperlink" Target="http://sacramentopress.com/" TargetMode="External"/><Relationship Id="rId2524" Type="http://schemas.openxmlformats.org/officeDocument/2006/relationships/hyperlink" Target="https://www.absolutepestmgmt.com/" TargetMode="External"/><Relationship Id="rId703" Type="http://schemas.openxmlformats.org/officeDocument/2006/relationships/hyperlink" Target="https://sevenseaswater.com/" TargetMode="External"/><Relationship Id="rId910" Type="http://schemas.openxmlformats.org/officeDocument/2006/relationships/hyperlink" Target="https://cleanzen.com/" TargetMode="External"/><Relationship Id="rId1333" Type="http://schemas.openxmlformats.org/officeDocument/2006/relationships/hyperlink" Target="https://www.mystonefloor.com/" TargetMode="External"/><Relationship Id="rId1540" Type="http://schemas.openxmlformats.org/officeDocument/2006/relationships/hyperlink" Target="http://stephaniekratzinteriors.co/" TargetMode="External"/><Relationship Id="rId1638" Type="http://schemas.openxmlformats.org/officeDocument/2006/relationships/hyperlink" Target="http://pickardroofing.com/" TargetMode="External"/><Relationship Id="rId1400" Type="http://schemas.openxmlformats.org/officeDocument/2006/relationships/hyperlink" Target="https://nextdimensionroofing.com/" TargetMode="External"/><Relationship Id="rId1845" Type="http://schemas.openxmlformats.org/officeDocument/2006/relationships/hyperlink" Target="http://911applianceemt.com/" TargetMode="External"/><Relationship Id="rId1705" Type="http://schemas.openxmlformats.org/officeDocument/2006/relationships/hyperlink" Target="http://tubcoaters.com/" TargetMode="External"/><Relationship Id="rId1912" Type="http://schemas.openxmlformats.org/officeDocument/2006/relationships/hyperlink" Target="http://thanmerrill.com/" TargetMode="External"/><Relationship Id="rId286" Type="http://schemas.openxmlformats.org/officeDocument/2006/relationships/hyperlink" Target="https://www.lighthouseco.ca/" TargetMode="External"/><Relationship Id="rId493" Type="http://schemas.openxmlformats.org/officeDocument/2006/relationships/hyperlink" Target="https://critterstop.com/" TargetMode="External"/><Relationship Id="rId2174" Type="http://schemas.openxmlformats.org/officeDocument/2006/relationships/hyperlink" Target="http://valleyresidentialgroup.com/" TargetMode="External"/><Relationship Id="rId2381" Type="http://schemas.openxmlformats.org/officeDocument/2006/relationships/hyperlink" Target="http://pacificoutdoorliving.com/" TargetMode="External"/><Relationship Id="rId146" Type="http://schemas.openxmlformats.org/officeDocument/2006/relationships/hyperlink" Target="https://www.beycome.com/" TargetMode="External"/><Relationship Id="rId353" Type="http://schemas.openxmlformats.org/officeDocument/2006/relationships/hyperlink" Target="https://www.mars-hydro.com/" TargetMode="External"/><Relationship Id="rId560" Type="http://schemas.openxmlformats.org/officeDocument/2006/relationships/hyperlink" Target="https://techeroroofing.com/" TargetMode="External"/><Relationship Id="rId798" Type="http://schemas.openxmlformats.org/officeDocument/2006/relationships/hyperlink" Target="https://smockhvac.com/" TargetMode="External"/><Relationship Id="rId1190" Type="http://schemas.openxmlformats.org/officeDocument/2006/relationships/hyperlink" Target="https://bardi.com/" TargetMode="External"/><Relationship Id="rId2034" Type="http://schemas.openxmlformats.org/officeDocument/2006/relationships/hyperlink" Target="http://bwheatcool.com/" TargetMode="External"/><Relationship Id="rId2241" Type="http://schemas.openxmlformats.org/officeDocument/2006/relationships/hyperlink" Target="http://mightydogroofing.com/" TargetMode="External"/><Relationship Id="rId2479" Type="http://schemas.openxmlformats.org/officeDocument/2006/relationships/hyperlink" Target="http://mobilehomeoutfitters.com/" TargetMode="External"/><Relationship Id="rId213" Type="http://schemas.openxmlformats.org/officeDocument/2006/relationships/hyperlink" Target="https://getasiteplan.com/" TargetMode="External"/><Relationship Id="rId420" Type="http://schemas.openxmlformats.org/officeDocument/2006/relationships/hyperlink" Target="https://miamitopcleaning.com/" TargetMode="External"/><Relationship Id="rId658" Type="http://schemas.openxmlformats.org/officeDocument/2006/relationships/hyperlink" Target="https://www.renoduck.com/" TargetMode="External"/><Relationship Id="rId865" Type="http://schemas.openxmlformats.org/officeDocument/2006/relationships/hyperlink" Target="https://scubby.com/" TargetMode="External"/><Relationship Id="rId1050" Type="http://schemas.openxmlformats.org/officeDocument/2006/relationships/hyperlink" Target="https://www.hippo.com/" TargetMode="External"/><Relationship Id="rId1288" Type="http://schemas.openxmlformats.org/officeDocument/2006/relationships/hyperlink" Target="https://www.nourishyourglow.com/" TargetMode="External"/><Relationship Id="rId1495" Type="http://schemas.openxmlformats.org/officeDocument/2006/relationships/hyperlink" Target="http://serhant.com/" TargetMode="External"/><Relationship Id="rId2101" Type="http://schemas.openxmlformats.org/officeDocument/2006/relationships/hyperlink" Target="http://lovevsdesign.com/" TargetMode="External"/><Relationship Id="rId2339" Type="http://schemas.openxmlformats.org/officeDocument/2006/relationships/hyperlink" Target="http://everest.co.uk/" TargetMode="External"/><Relationship Id="rId2546" Type="http://schemas.openxmlformats.org/officeDocument/2006/relationships/hyperlink" Target="https://agentfire.com/" TargetMode="External"/><Relationship Id="rId518" Type="http://schemas.openxmlformats.org/officeDocument/2006/relationships/hyperlink" Target="https://www.shipsmart.com/" TargetMode="External"/><Relationship Id="rId725" Type="http://schemas.openxmlformats.org/officeDocument/2006/relationships/hyperlink" Target="https://www.serviceprofessor.com/" TargetMode="External"/><Relationship Id="rId932" Type="http://schemas.openxmlformats.org/officeDocument/2006/relationships/hyperlink" Target="https://www.cwarch.design/" TargetMode="External"/><Relationship Id="rId1148" Type="http://schemas.openxmlformats.org/officeDocument/2006/relationships/hyperlink" Target="https://www.rochesterrealestateblog.com/" TargetMode="External"/><Relationship Id="rId1355" Type="http://schemas.openxmlformats.org/officeDocument/2006/relationships/hyperlink" Target="https://mammamiacovers.com/" TargetMode="External"/><Relationship Id="rId1562" Type="http://schemas.openxmlformats.org/officeDocument/2006/relationships/hyperlink" Target="http://benjaminfranklinplumbing.com/" TargetMode="External"/><Relationship Id="rId2406" Type="http://schemas.openxmlformats.org/officeDocument/2006/relationships/hyperlink" Target="http://maloneslandscape.com/" TargetMode="External"/><Relationship Id="rId2613" Type="http://schemas.openxmlformats.org/officeDocument/2006/relationships/hyperlink" Target="https://raynordoor.com/" TargetMode="External"/><Relationship Id="rId1008" Type="http://schemas.openxmlformats.org/officeDocument/2006/relationships/hyperlink" Target="https://www.readysteadysell.co.uk/" TargetMode="External"/><Relationship Id="rId1215" Type="http://schemas.openxmlformats.org/officeDocument/2006/relationships/hyperlink" Target="https://dupaint.com.au/" TargetMode="External"/><Relationship Id="rId1422" Type="http://schemas.openxmlformats.org/officeDocument/2006/relationships/hyperlink" Target="https://www.alpinefencing.co/" TargetMode="External"/><Relationship Id="rId1867" Type="http://schemas.openxmlformats.org/officeDocument/2006/relationships/hyperlink" Target="http://associateshomeloan.com/" TargetMode="External"/><Relationship Id="rId61" Type="http://schemas.openxmlformats.org/officeDocument/2006/relationships/hyperlink" Target="https://www.cvcpdx.com/" TargetMode="External"/><Relationship Id="rId1727" Type="http://schemas.openxmlformats.org/officeDocument/2006/relationships/hyperlink" Target="http://armstone.com.au/" TargetMode="External"/><Relationship Id="rId1934" Type="http://schemas.openxmlformats.org/officeDocument/2006/relationships/hyperlink" Target="http://forbel.com/" TargetMode="External"/><Relationship Id="rId19" Type="http://schemas.openxmlformats.org/officeDocument/2006/relationships/hyperlink" Target="https://customgardenrooms.com/" TargetMode="External"/><Relationship Id="rId2196" Type="http://schemas.openxmlformats.org/officeDocument/2006/relationships/hyperlink" Target="http://tridel.com/" TargetMode="External"/><Relationship Id="rId168" Type="http://schemas.openxmlformats.org/officeDocument/2006/relationships/hyperlink" Target="https://www.ecolinewindows.ca/" TargetMode="External"/><Relationship Id="rId375" Type="http://schemas.openxmlformats.org/officeDocument/2006/relationships/hyperlink" Target="https://www.premierrange.co.uk/" TargetMode="External"/><Relationship Id="rId582" Type="http://schemas.openxmlformats.org/officeDocument/2006/relationships/hyperlink" Target="https://foxfamilyhvac.com/" TargetMode="External"/><Relationship Id="rId2056" Type="http://schemas.openxmlformats.org/officeDocument/2006/relationships/hyperlink" Target="http://roomservice360.com/" TargetMode="External"/><Relationship Id="rId2263" Type="http://schemas.openxmlformats.org/officeDocument/2006/relationships/hyperlink" Target="http://ewingelectricco.com/" TargetMode="External"/><Relationship Id="rId2470" Type="http://schemas.openxmlformats.org/officeDocument/2006/relationships/hyperlink" Target="http://concretecamouflage.com/" TargetMode="External"/><Relationship Id="rId3" Type="http://schemas.openxmlformats.org/officeDocument/2006/relationships/hyperlink" Target="https://www.moving.com/" TargetMode="External"/><Relationship Id="rId235" Type="http://schemas.openxmlformats.org/officeDocument/2006/relationships/hyperlink" Target="https://www.newlinepainting.com.au/" TargetMode="External"/><Relationship Id="rId442" Type="http://schemas.openxmlformats.org/officeDocument/2006/relationships/hyperlink" Target="https://visualgrip.com/" TargetMode="External"/><Relationship Id="rId887" Type="http://schemas.openxmlformats.org/officeDocument/2006/relationships/hyperlink" Target="https://lbcmortgage.com/" TargetMode="External"/><Relationship Id="rId1072" Type="http://schemas.openxmlformats.org/officeDocument/2006/relationships/hyperlink" Target="https://moveonremovals.com.au/" TargetMode="External"/><Relationship Id="rId2123" Type="http://schemas.openxmlformats.org/officeDocument/2006/relationships/hyperlink" Target="http://clevelandhousebuyers.com/" TargetMode="External"/><Relationship Id="rId2330" Type="http://schemas.openxmlformats.org/officeDocument/2006/relationships/hyperlink" Target="http://nyrpcorp.com/" TargetMode="External"/><Relationship Id="rId2568" Type="http://schemas.openxmlformats.org/officeDocument/2006/relationships/hyperlink" Target="https://snowdenbuilders.com/" TargetMode="External"/><Relationship Id="rId302" Type="http://schemas.openxmlformats.org/officeDocument/2006/relationships/hyperlink" Target="https://inthelightroofing.com/" TargetMode="External"/><Relationship Id="rId747" Type="http://schemas.openxmlformats.org/officeDocument/2006/relationships/hyperlink" Target="https://letsgetmovingusa.com/" TargetMode="External"/><Relationship Id="rId954" Type="http://schemas.openxmlformats.org/officeDocument/2006/relationships/hyperlink" Target="https://absoluteestatesales.net/" TargetMode="External"/><Relationship Id="rId1377" Type="http://schemas.openxmlformats.org/officeDocument/2006/relationships/hyperlink" Target="https://www.834hans.com/" TargetMode="External"/><Relationship Id="rId1584" Type="http://schemas.openxmlformats.org/officeDocument/2006/relationships/hyperlink" Target="http://trilliumteam.ca/" TargetMode="External"/><Relationship Id="rId1791" Type="http://schemas.openxmlformats.org/officeDocument/2006/relationships/hyperlink" Target="http://floorstowalls.co.uk/" TargetMode="External"/><Relationship Id="rId2428" Type="http://schemas.openxmlformats.org/officeDocument/2006/relationships/hyperlink" Target="http://interior-design3d.com/" TargetMode="External"/><Relationship Id="rId83" Type="http://schemas.openxmlformats.org/officeDocument/2006/relationships/hyperlink" Target="https://creationhomes.com.au/" TargetMode="External"/><Relationship Id="rId607" Type="http://schemas.openxmlformats.org/officeDocument/2006/relationships/hyperlink" Target="https://www.furl.co.uk/" TargetMode="External"/><Relationship Id="rId814" Type="http://schemas.openxmlformats.org/officeDocument/2006/relationships/hyperlink" Target="https://theworkproject.com/" TargetMode="External"/><Relationship Id="rId1237" Type="http://schemas.openxmlformats.org/officeDocument/2006/relationships/hyperlink" Target="https://thecoolingco.com/" TargetMode="External"/><Relationship Id="rId1444" Type="http://schemas.openxmlformats.org/officeDocument/2006/relationships/hyperlink" Target="http://lakegenevaarearealty.com/" TargetMode="External"/><Relationship Id="rId1651" Type="http://schemas.openxmlformats.org/officeDocument/2006/relationships/hyperlink" Target="http://movingastute.com/" TargetMode="External"/><Relationship Id="rId1889" Type="http://schemas.openxmlformats.org/officeDocument/2006/relationships/hyperlink" Target="http://verifiedmarketreports.com/" TargetMode="External"/><Relationship Id="rId1304" Type="http://schemas.openxmlformats.org/officeDocument/2006/relationships/hyperlink" Target="https://settmovers.com/" TargetMode="External"/><Relationship Id="rId1511" Type="http://schemas.openxmlformats.org/officeDocument/2006/relationships/hyperlink" Target="http://newearthres.com/" TargetMode="External"/><Relationship Id="rId1749" Type="http://schemas.openxmlformats.org/officeDocument/2006/relationships/hyperlink" Target="http://sgaltd.co.nz/" TargetMode="External"/><Relationship Id="rId1956" Type="http://schemas.openxmlformats.org/officeDocument/2006/relationships/hyperlink" Target="http://plushbeds.com/" TargetMode="External"/><Relationship Id="rId1609" Type="http://schemas.openxmlformats.org/officeDocument/2006/relationships/hyperlink" Target="http://adlamtransport.com.au/" TargetMode="External"/><Relationship Id="rId1816" Type="http://schemas.openxmlformats.org/officeDocument/2006/relationships/hyperlink" Target="http://dreamvillarentals.com/" TargetMode="External"/><Relationship Id="rId10" Type="http://schemas.openxmlformats.org/officeDocument/2006/relationships/hyperlink" Target="https://www.mossyoakproperties.com/" TargetMode="External"/><Relationship Id="rId397" Type="http://schemas.openxmlformats.org/officeDocument/2006/relationships/hyperlink" Target="https://www.fineandcountry.co.uk/" TargetMode="External"/><Relationship Id="rId2078" Type="http://schemas.openxmlformats.org/officeDocument/2006/relationships/hyperlink" Target="http://housetrends.com/" TargetMode="External"/><Relationship Id="rId2285" Type="http://schemas.openxmlformats.org/officeDocument/2006/relationships/hyperlink" Target="http://prohousekeepers.com/" TargetMode="External"/><Relationship Id="rId2492" Type="http://schemas.openxmlformats.org/officeDocument/2006/relationships/hyperlink" Target="http://fischersips.com/" TargetMode="External"/><Relationship Id="rId257" Type="http://schemas.openxmlformats.org/officeDocument/2006/relationships/hyperlink" Target="https://metarealtyinc.ca/" TargetMode="External"/><Relationship Id="rId464" Type="http://schemas.openxmlformats.org/officeDocument/2006/relationships/hyperlink" Target="https://nationalmortgageprofessional.com/" TargetMode="External"/><Relationship Id="rId1094" Type="http://schemas.openxmlformats.org/officeDocument/2006/relationships/hyperlink" Target="https://1firstcashadvance.org/" TargetMode="External"/><Relationship Id="rId2145" Type="http://schemas.openxmlformats.org/officeDocument/2006/relationships/hyperlink" Target="http://theturnerhometeam.com/" TargetMode="External"/><Relationship Id="rId117" Type="http://schemas.openxmlformats.org/officeDocument/2006/relationships/hyperlink" Target="https://ioi.realtor/" TargetMode="External"/><Relationship Id="rId671" Type="http://schemas.openxmlformats.org/officeDocument/2006/relationships/hyperlink" Target="https://lentheplumber.com/" TargetMode="External"/><Relationship Id="rId769" Type="http://schemas.openxmlformats.org/officeDocument/2006/relationships/hyperlink" Target="https://www.sparefoot.com/" TargetMode="External"/><Relationship Id="rId976" Type="http://schemas.openxmlformats.org/officeDocument/2006/relationships/hyperlink" Target="https://swankyden.com/" TargetMode="External"/><Relationship Id="rId1399" Type="http://schemas.openxmlformats.org/officeDocument/2006/relationships/hyperlink" Target="https://therugdistrict.ca/" TargetMode="External"/><Relationship Id="rId2352" Type="http://schemas.openxmlformats.org/officeDocument/2006/relationships/hyperlink" Target="http://rustica.com/" TargetMode="External"/><Relationship Id="rId324" Type="http://schemas.openxmlformats.org/officeDocument/2006/relationships/hyperlink" Target="https://www.intersectpower.com/" TargetMode="External"/><Relationship Id="rId531" Type="http://schemas.openxmlformats.org/officeDocument/2006/relationships/hyperlink" Target="https://www.elledecor.com/" TargetMode="External"/><Relationship Id="rId629" Type="http://schemas.openxmlformats.org/officeDocument/2006/relationships/hyperlink" Target="https://www.farmco.ag/" TargetMode="External"/><Relationship Id="rId1161" Type="http://schemas.openxmlformats.org/officeDocument/2006/relationships/hyperlink" Target="https://www.petesoutflow.com/" TargetMode="External"/><Relationship Id="rId1259" Type="http://schemas.openxmlformats.org/officeDocument/2006/relationships/hyperlink" Target="https://okcroofers.com/" TargetMode="External"/><Relationship Id="rId1466" Type="http://schemas.openxmlformats.org/officeDocument/2006/relationships/hyperlink" Target="http://allied.com/" TargetMode="External"/><Relationship Id="rId2005" Type="http://schemas.openxmlformats.org/officeDocument/2006/relationships/hyperlink" Target="http://taylor-gutter-cleaning-and-repairs.co.uk/" TargetMode="External"/><Relationship Id="rId2212" Type="http://schemas.openxmlformats.org/officeDocument/2006/relationships/hyperlink" Target="http://raincitymaids.com/" TargetMode="External"/><Relationship Id="rId836" Type="http://schemas.openxmlformats.org/officeDocument/2006/relationships/hyperlink" Target="https://mightydogroofing.com/" TargetMode="External"/><Relationship Id="rId1021" Type="http://schemas.openxmlformats.org/officeDocument/2006/relationships/hyperlink" Target="https://leavethekey.com/" TargetMode="External"/><Relationship Id="rId1119" Type="http://schemas.openxmlformats.org/officeDocument/2006/relationships/hyperlink" Target="https://perthcheapmovers.com.au/" TargetMode="External"/><Relationship Id="rId1673" Type="http://schemas.openxmlformats.org/officeDocument/2006/relationships/hyperlink" Target="http://fantastic-removals.co.uk/" TargetMode="External"/><Relationship Id="rId1880" Type="http://schemas.openxmlformats.org/officeDocument/2006/relationships/hyperlink" Target="http://daraagrussdesign.com/" TargetMode="External"/><Relationship Id="rId1978" Type="http://schemas.openxmlformats.org/officeDocument/2006/relationships/hyperlink" Target="http://thepattisallgroup.com/" TargetMode="External"/><Relationship Id="rId2517" Type="http://schemas.openxmlformats.org/officeDocument/2006/relationships/hyperlink" Target="http://coloradorealtors.com/" TargetMode="External"/><Relationship Id="rId903" Type="http://schemas.openxmlformats.org/officeDocument/2006/relationships/hyperlink" Target="https://searchnwa.com/" TargetMode="External"/><Relationship Id="rId1326" Type="http://schemas.openxmlformats.org/officeDocument/2006/relationships/hyperlink" Target="https://sembrodesigns.com/" TargetMode="External"/><Relationship Id="rId1533" Type="http://schemas.openxmlformats.org/officeDocument/2006/relationships/hyperlink" Target="http://paystubs.net/" TargetMode="External"/><Relationship Id="rId1740" Type="http://schemas.openxmlformats.org/officeDocument/2006/relationships/hyperlink" Target="http://salvoweb.com/" TargetMode="External"/><Relationship Id="rId32" Type="http://schemas.openxmlformats.org/officeDocument/2006/relationships/hyperlink" Target="https://www.absolutedomestics.com.au/" TargetMode="External"/><Relationship Id="rId1600" Type="http://schemas.openxmlformats.org/officeDocument/2006/relationships/hyperlink" Target="http://heinscontracting.com/" TargetMode="External"/><Relationship Id="rId1838" Type="http://schemas.openxmlformats.org/officeDocument/2006/relationships/hyperlink" Target="http://iopsa.org/" TargetMode="External"/><Relationship Id="rId181" Type="http://schemas.openxmlformats.org/officeDocument/2006/relationships/hyperlink" Target="https://presidioroof.com/" TargetMode="External"/><Relationship Id="rId1905" Type="http://schemas.openxmlformats.org/officeDocument/2006/relationships/hyperlink" Target="http://hineighbor.com/" TargetMode="External"/><Relationship Id="rId279" Type="http://schemas.openxmlformats.org/officeDocument/2006/relationships/hyperlink" Target="https://reliantpest.com/" TargetMode="External"/><Relationship Id="rId486" Type="http://schemas.openxmlformats.org/officeDocument/2006/relationships/hyperlink" Target="https://goflooring.com/" TargetMode="External"/><Relationship Id="rId693" Type="http://schemas.openxmlformats.org/officeDocument/2006/relationships/hyperlink" Target="https://allcongroup.com.au/" TargetMode="External"/><Relationship Id="rId2167" Type="http://schemas.openxmlformats.org/officeDocument/2006/relationships/hyperlink" Target="http://reliablecashhousebuyers.com/" TargetMode="External"/><Relationship Id="rId2374" Type="http://schemas.openxmlformats.org/officeDocument/2006/relationships/hyperlink" Target="http://broussardservices.com/" TargetMode="External"/><Relationship Id="rId2581" Type="http://schemas.openxmlformats.org/officeDocument/2006/relationships/hyperlink" Target="https://www.trianglepest.com/" TargetMode="External"/><Relationship Id="rId139" Type="http://schemas.openxmlformats.org/officeDocument/2006/relationships/hyperlink" Target="https://freightbrokerbootcamp.com/" TargetMode="External"/><Relationship Id="rId346" Type="http://schemas.openxmlformats.org/officeDocument/2006/relationships/hyperlink" Target="https://bloomboxclub.com/" TargetMode="External"/><Relationship Id="rId553" Type="http://schemas.openxmlformats.org/officeDocument/2006/relationships/hyperlink" Target="https://deshaieselectricalservices.com/" TargetMode="External"/><Relationship Id="rId760" Type="http://schemas.openxmlformats.org/officeDocument/2006/relationships/hyperlink" Target="https://www.roofsbywarren.com/" TargetMode="External"/><Relationship Id="rId998" Type="http://schemas.openxmlformats.org/officeDocument/2006/relationships/hyperlink" Target="https://www.henfieldstorage.co.uk/" TargetMode="External"/><Relationship Id="rId1183" Type="http://schemas.openxmlformats.org/officeDocument/2006/relationships/hyperlink" Target="https://www.sheahomes.com/" TargetMode="External"/><Relationship Id="rId1390" Type="http://schemas.openxmlformats.org/officeDocument/2006/relationships/hyperlink" Target="https://www.evolutionmoney.co.uk/" TargetMode="External"/><Relationship Id="rId2027" Type="http://schemas.openxmlformats.org/officeDocument/2006/relationships/hyperlink" Target="http://marichinc.com/" TargetMode="External"/><Relationship Id="rId2234" Type="http://schemas.openxmlformats.org/officeDocument/2006/relationships/hyperlink" Target="http://connectukauctions.co.uk/" TargetMode="External"/><Relationship Id="rId2441" Type="http://schemas.openxmlformats.org/officeDocument/2006/relationships/hyperlink" Target="http://greenresidential.com/" TargetMode="External"/><Relationship Id="rId206" Type="http://schemas.openxmlformats.org/officeDocument/2006/relationships/hyperlink" Target="https://www.janefischer.com/" TargetMode="External"/><Relationship Id="rId413" Type="http://schemas.openxmlformats.org/officeDocument/2006/relationships/hyperlink" Target="https://lights.com/" TargetMode="External"/><Relationship Id="rId858" Type="http://schemas.openxmlformats.org/officeDocument/2006/relationships/hyperlink" Target="https://rapidhomedirect.com/" TargetMode="External"/><Relationship Id="rId1043" Type="http://schemas.openxmlformats.org/officeDocument/2006/relationships/hyperlink" Target="https://www.provincialhomes.com.au/" TargetMode="External"/><Relationship Id="rId1488" Type="http://schemas.openxmlformats.org/officeDocument/2006/relationships/hyperlink" Target="http://flagluxury.com/" TargetMode="External"/><Relationship Id="rId1695" Type="http://schemas.openxmlformats.org/officeDocument/2006/relationships/hyperlink" Target="http://magnushomeproducts.com/" TargetMode="External"/><Relationship Id="rId2539" Type="http://schemas.openxmlformats.org/officeDocument/2006/relationships/hyperlink" Target="https://cheapplumber.ca/" TargetMode="External"/><Relationship Id="rId620" Type="http://schemas.openxmlformats.org/officeDocument/2006/relationships/hyperlink" Target="https://udcparts.com/" TargetMode="External"/><Relationship Id="rId718" Type="http://schemas.openxmlformats.org/officeDocument/2006/relationships/hyperlink" Target="https://www.woodshopdiaries.com/" TargetMode="External"/><Relationship Id="rId925" Type="http://schemas.openxmlformats.org/officeDocument/2006/relationships/hyperlink" Target="https://www.sweetrefinishing.com/" TargetMode="External"/><Relationship Id="rId1250" Type="http://schemas.openxmlformats.org/officeDocument/2006/relationships/hyperlink" Target="https://www.fairdinkumbuilds.com.au/" TargetMode="External"/><Relationship Id="rId1348" Type="http://schemas.openxmlformats.org/officeDocument/2006/relationships/hyperlink" Target="https://thefirebird.com/" TargetMode="External"/><Relationship Id="rId1555" Type="http://schemas.openxmlformats.org/officeDocument/2006/relationships/hyperlink" Target="http://premiercabinetpainting.com/" TargetMode="External"/><Relationship Id="rId1762" Type="http://schemas.openxmlformats.org/officeDocument/2006/relationships/hyperlink" Target="http://harlowbros.co.uk/" TargetMode="External"/><Relationship Id="rId2301" Type="http://schemas.openxmlformats.org/officeDocument/2006/relationships/hyperlink" Target="http://trustdale.com/" TargetMode="External"/><Relationship Id="rId2606" Type="http://schemas.openxmlformats.org/officeDocument/2006/relationships/hyperlink" Target="https://thepropertysellingcompany.co.uk/" TargetMode="External"/><Relationship Id="rId1110" Type="http://schemas.openxmlformats.org/officeDocument/2006/relationships/hyperlink" Target="https://ourhumbleabodeblog.com/" TargetMode="External"/><Relationship Id="rId1208" Type="http://schemas.openxmlformats.org/officeDocument/2006/relationships/hyperlink" Target="https://www.nulookhomedesign.com/" TargetMode="External"/><Relationship Id="rId1415" Type="http://schemas.openxmlformats.org/officeDocument/2006/relationships/hyperlink" Target="https://reliaheat.co.uk/" TargetMode="External"/><Relationship Id="rId54" Type="http://schemas.openxmlformats.org/officeDocument/2006/relationships/hyperlink" Target="https://polebarnkits.org/" TargetMode="External"/><Relationship Id="rId1622" Type="http://schemas.openxmlformats.org/officeDocument/2006/relationships/hyperlink" Target="http://teamgoran.com/" TargetMode="External"/><Relationship Id="rId1927" Type="http://schemas.openxmlformats.org/officeDocument/2006/relationships/hyperlink" Target="http://hardmoneylendersarizona.com/" TargetMode="External"/><Relationship Id="rId2091" Type="http://schemas.openxmlformats.org/officeDocument/2006/relationships/hyperlink" Target="http://saelapest.com/" TargetMode="External"/><Relationship Id="rId2189" Type="http://schemas.openxmlformats.org/officeDocument/2006/relationships/hyperlink" Target="http://griffinfunding.com/" TargetMode="External"/><Relationship Id="rId270" Type="http://schemas.openxmlformats.org/officeDocument/2006/relationships/hyperlink" Target="https://www.bintheredumpthat.com/" TargetMode="External"/><Relationship Id="rId2396" Type="http://schemas.openxmlformats.org/officeDocument/2006/relationships/hyperlink" Target="http://zintex.com/" TargetMode="External"/><Relationship Id="rId130" Type="http://schemas.openxmlformats.org/officeDocument/2006/relationships/hyperlink" Target="https://nedesestimating.com/" TargetMode="External"/><Relationship Id="rId368" Type="http://schemas.openxmlformats.org/officeDocument/2006/relationships/hyperlink" Target="https://navarravenues.com.au/" TargetMode="External"/><Relationship Id="rId575" Type="http://schemas.openxmlformats.org/officeDocument/2006/relationships/hyperlink" Target="https://www.restaurant-furniture.com/" TargetMode="External"/><Relationship Id="rId782" Type="http://schemas.openxmlformats.org/officeDocument/2006/relationships/hyperlink" Target="https://www.aircontrolaz.com/" TargetMode="External"/><Relationship Id="rId2049" Type="http://schemas.openxmlformats.org/officeDocument/2006/relationships/hyperlink" Target="http://goodygaragedoors.com/" TargetMode="External"/><Relationship Id="rId2256" Type="http://schemas.openxmlformats.org/officeDocument/2006/relationships/hyperlink" Target="http://thebossmagazine.com/" TargetMode="External"/><Relationship Id="rId2463" Type="http://schemas.openxmlformats.org/officeDocument/2006/relationships/hyperlink" Target="http://bestsheds.com.au/" TargetMode="External"/><Relationship Id="rId228" Type="http://schemas.openxmlformats.org/officeDocument/2006/relationships/hyperlink" Target="https://auckland.plumbing/" TargetMode="External"/><Relationship Id="rId435" Type="http://schemas.openxmlformats.org/officeDocument/2006/relationships/hyperlink" Target="https://www.architecturaldepot.com/" TargetMode="External"/><Relationship Id="rId642" Type="http://schemas.openxmlformats.org/officeDocument/2006/relationships/hyperlink" Target="https://www.theengineeringchoice.com/" TargetMode="External"/><Relationship Id="rId1065" Type="http://schemas.openxmlformats.org/officeDocument/2006/relationships/hyperlink" Target="https://homes-for-sale.smokymountainhomesforsale.com/" TargetMode="External"/><Relationship Id="rId1272" Type="http://schemas.openxmlformats.org/officeDocument/2006/relationships/hyperlink" Target="https://sohopainters.com/" TargetMode="External"/><Relationship Id="rId2116" Type="http://schemas.openxmlformats.org/officeDocument/2006/relationships/hyperlink" Target="http://pricebusters.com/" TargetMode="External"/><Relationship Id="rId2323" Type="http://schemas.openxmlformats.org/officeDocument/2006/relationships/hyperlink" Target="http://cookandbathe.com.au/" TargetMode="External"/><Relationship Id="rId2530" Type="http://schemas.openxmlformats.org/officeDocument/2006/relationships/hyperlink" Target="https://markspain.com/" TargetMode="External"/><Relationship Id="rId502" Type="http://schemas.openxmlformats.org/officeDocument/2006/relationships/hyperlink" Target="https://floriansunrooms.ca/" TargetMode="External"/><Relationship Id="rId947" Type="http://schemas.openxmlformats.org/officeDocument/2006/relationships/hyperlink" Target="https://friendsfamilyhomecare.com/" TargetMode="External"/><Relationship Id="rId1132" Type="http://schemas.openxmlformats.org/officeDocument/2006/relationships/hyperlink" Target="https://stuccco.com/" TargetMode="External"/><Relationship Id="rId1577" Type="http://schemas.openxmlformats.org/officeDocument/2006/relationships/hyperlink" Target="http://budgetdumpster.com/" TargetMode="External"/><Relationship Id="rId1784" Type="http://schemas.openxmlformats.org/officeDocument/2006/relationships/hyperlink" Target="http://vekauk.com/" TargetMode="External"/><Relationship Id="rId1991" Type="http://schemas.openxmlformats.org/officeDocument/2006/relationships/hyperlink" Target="http://customdraperyandshades.com/" TargetMode="External"/><Relationship Id="rId76" Type="http://schemas.openxmlformats.org/officeDocument/2006/relationships/hyperlink" Target="https://nychousecleaners.net/" TargetMode="External"/><Relationship Id="rId807" Type="http://schemas.openxmlformats.org/officeDocument/2006/relationships/hyperlink" Target="https://desenio.com/" TargetMode="External"/><Relationship Id="rId1437" Type="http://schemas.openxmlformats.org/officeDocument/2006/relationships/hyperlink" Target="http://thehirerealty.com/" TargetMode="External"/><Relationship Id="rId1644" Type="http://schemas.openxmlformats.org/officeDocument/2006/relationships/hyperlink" Target="http://windowcitypros.com/" TargetMode="External"/><Relationship Id="rId1851" Type="http://schemas.openxmlformats.org/officeDocument/2006/relationships/hyperlink" Target="http://lopriore.com/" TargetMode="External"/><Relationship Id="rId1504" Type="http://schemas.openxmlformats.org/officeDocument/2006/relationships/hyperlink" Target="http://dltinteriordesigns.com/" TargetMode="External"/><Relationship Id="rId1711" Type="http://schemas.openxmlformats.org/officeDocument/2006/relationships/hyperlink" Target="http://barkerandstonehouse.co.uk/" TargetMode="External"/><Relationship Id="rId1949" Type="http://schemas.openxmlformats.org/officeDocument/2006/relationships/hyperlink" Target="http://clearlightdesigns.com.au/" TargetMode="External"/><Relationship Id="rId292" Type="http://schemas.openxmlformats.org/officeDocument/2006/relationships/hyperlink" Target="https://superiorapplianceservice.ca/" TargetMode="External"/><Relationship Id="rId1809" Type="http://schemas.openxmlformats.org/officeDocument/2006/relationships/hyperlink" Target="http://fabcosanctuary.com/" TargetMode="External"/><Relationship Id="rId597" Type="http://schemas.openxmlformats.org/officeDocument/2006/relationships/hyperlink" Target="https://www.clevelandrealestatetopagent.com/" TargetMode="External"/><Relationship Id="rId2180" Type="http://schemas.openxmlformats.org/officeDocument/2006/relationships/hyperlink" Target="http://dirtcheaprubbishremoval.com.au/" TargetMode="External"/><Relationship Id="rId2278" Type="http://schemas.openxmlformats.org/officeDocument/2006/relationships/hyperlink" Target="http://thesmartergarage.com/" TargetMode="External"/><Relationship Id="rId2485" Type="http://schemas.openxmlformats.org/officeDocument/2006/relationships/hyperlink" Target="http://dvele.com/" TargetMode="External"/><Relationship Id="rId152" Type="http://schemas.openxmlformats.org/officeDocument/2006/relationships/hyperlink" Target="https://electrodry.com.au/" TargetMode="External"/><Relationship Id="rId457" Type="http://schemas.openxmlformats.org/officeDocument/2006/relationships/hyperlink" Target="https://www.pods.com/" TargetMode="External"/><Relationship Id="rId1087" Type="http://schemas.openxmlformats.org/officeDocument/2006/relationships/hyperlink" Target="https://www.earnest.com/" TargetMode="External"/><Relationship Id="rId1294" Type="http://schemas.openxmlformats.org/officeDocument/2006/relationships/hyperlink" Target="https://clden.com/" TargetMode="External"/><Relationship Id="rId2040" Type="http://schemas.openxmlformats.org/officeDocument/2006/relationships/hyperlink" Target="http://seasoncontrolhvac.com/" TargetMode="External"/><Relationship Id="rId2138" Type="http://schemas.openxmlformats.org/officeDocument/2006/relationships/hyperlink" Target="http://mobilehomecashoffer.com/" TargetMode="External"/><Relationship Id="rId664" Type="http://schemas.openxmlformats.org/officeDocument/2006/relationships/hyperlink" Target="https://fabcosanctuary.com/" TargetMode="External"/><Relationship Id="rId871" Type="http://schemas.openxmlformats.org/officeDocument/2006/relationships/hyperlink" Target="https://griffinfunding.com/" TargetMode="External"/><Relationship Id="rId969" Type="http://schemas.openxmlformats.org/officeDocument/2006/relationships/hyperlink" Target="https://luckyalan.com/" TargetMode="External"/><Relationship Id="rId1599" Type="http://schemas.openxmlformats.org/officeDocument/2006/relationships/hyperlink" Target="http://detailcleanings.com/" TargetMode="External"/><Relationship Id="rId2345" Type="http://schemas.openxmlformats.org/officeDocument/2006/relationships/hyperlink" Target="http://aztecplumbing.net/" TargetMode="External"/><Relationship Id="rId2552" Type="http://schemas.openxmlformats.org/officeDocument/2006/relationships/hyperlink" Target="https://www.taylormorrison.com/" TargetMode="External"/><Relationship Id="rId317" Type="http://schemas.openxmlformats.org/officeDocument/2006/relationships/hyperlink" Target="https://sampleboard.com/" TargetMode="External"/><Relationship Id="rId524" Type="http://schemas.openxmlformats.org/officeDocument/2006/relationships/hyperlink" Target="https://www.kendrafoundit.com/" TargetMode="External"/><Relationship Id="rId731" Type="http://schemas.openxmlformats.org/officeDocument/2006/relationships/hyperlink" Target="https://www.worldwidelandtransfer.com/" TargetMode="External"/><Relationship Id="rId1154" Type="http://schemas.openxmlformats.org/officeDocument/2006/relationships/hyperlink" Target="https://homebay.com/" TargetMode="External"/><Relationship Id="rId1361" Type="http://schemas.openxmlformats.org/officeDocument/2006/relationships/hyperlink" Target="https://mastermaid.ca/" TargetMode="External"/><Relationship Id="rId1459" Type="http://schemas.openxmlformats.org/officeDocument/2006/relationships/hyperlink" Target="http://northamerican.com/" TargetMode="External"/><Relationship Id="rId2205" Type="http://schemas.openxmlformats.org/officeDocument/2006/relationships/hyperlink" Target="http://fmb.org.uk/" TargetMode="External"/><Relationship Id="rId2412" Type="http://schemas.openxmlformats.org/officeDocument/2006/relationships/hyperlink" Target="http://accoya.com/" TargetMode="External"/><Relationship Id="rId98" Type="http://schemas.openxmlformats.org/officeDocument/2006/relationships/hyperlink" Target="https://mydolphin.com.au/" TargetMode="External"/><Relationship Id="rId829" Type="http://schemas.openxmlformats.org/officeDocument/2006/relationships/hyperlink" Target="https://www.machines4u.com.au/" TargetMode="External"/><Relationship Id="rId1014" Type="http://schemas.openxmlformats.org/officeDocument/2006/relationships/hyperlink" Target="https://www.thecotocongroup.com/" TargetMode="External"/><Relationship Id="rId1221" Type="http://schemas.openxmlformats.org/officeDocument/2006/relationships/hyperlink" Target="https://www.guardianplumbing.net.au/" TargetMode="External"/><Relationship Id="rId1666" Type="http://schemas.openxmlformats.org/officeDocument/2006/relationships/hyperlink" Target="http://doorsplus.com.au/" TargetMode="External"/><Relationship Id="rId1873" Type="http://schemas.openxmlformats.org/officeDocument/2006/relationships/hyperlink" Target="http://1031crowdfunding.com/" TargetMode="External"/><Relationship Id="rId1319" Type="http://schemas.openxmlformats.org/officeDocument/2006/relationships/hyperlink" Target="https://www.makeanentrance.com/" TargetMode="External"/><Relationship Id="rId1526" Type="http://schemas.openxmlformats.org/officeDocument/2006/relationships/hyperlink" Target="http://officialpestprevention.com/" TargetMode="External"/><Relationship Id="rId1733" Type="http://schemas.openxmlformats.org/officeDocument/2006/relationships/hyperlink" Target="http://redskyit.com/" TargetMode="External"/><Relationship Id="rId1940" Type="http://schemas.openxmlformats.org/officeDocument/2006/relationships/hyperlink" Target="http://texassellmyhouse.com/" TargetMode="External"/><Relationship Id="rId25" Type="http://schemas.openxmlformats.org/officeDocument/2006/relationships/hyperlink" Target="https://theskyretreat.com/" TargetMode="External"/><Relationship Id="rId1800" Type="http://schemas.openxmlformats.org/officeDocument/2006/relationships/hyperlink" Target="http://keystonecustomdecks.com/" TargetMode="External"/><Relationship Id="rId174" Type="http://schemas.openxmlformats.org/officeDocument/2006/relationships/hyperlink" Target="https://jzplumbing.ca/" TargetMode="External"/><Relationship Id="rId381" Type="http://schemas.openxmlformats.org/officeDocument/2006/relationships/hyperlink" Target="https://www.ulmaarchitectural.com/" TargetMode="External"/><Relationship Id="rId2062" Type="http://schemas.openxmlformats.org/officeDocument/2006/relationships/hyperlink" Target="http://spokanecabinetsplus.com/" TargetMode="External"/><Relationship Id="rId241" Type="http://schemas.openxmlformats.org/officeDocument/2006/relationships/hyperlink" Target="https://www.boomnow.com/" TargetMode="External"/><Relationship Id="rId479" Type="http://schemas.openxmlformats.org/officeDocument/2006/relationships/hyperlink" Target="https://deltaplumbersinc.com/" TargetMode="External"/><Relationship Id="rId686" Type="http://schemas.openxmlformats.org/officeDocument/2006/relationships/hyperlink" Target="https://www.flooringstores.com/" TargetMode="External"/><Relationship Id="rId893" Type="http://schemas.openxmlformats.org/officeDocument/2006/relationships/hyperlink" Target="https://activedoor.ca/" TargetMode="External"/><Relationship Id="rId2367" Type="http://schemas.openxmlformats.org/officeDocument/2006/relationships/hyperlink" Target="http://toulmincabinetry.com/" TargetMode="External"/><Relationship Id="rId2574" Type="http://schemas.openxmlformats.org/officeDocument/2006/relationships/hyperlink" Target="https://www.cylind.com/" TargetMode="External"/><Relationship Id="rId339" Type="http://schemas.openxmlformats.org/officeDocument/2006/relationships/hyperlink" Target="https://softframedesigns.com/" TargetMode="External"/><Relationship Id="rId546" Type="http://schemas.openxmlformats.org/officeDocument/2006/relationships/hyperlink" Target="https://www.lindenhomes.co.uk/" TargetMode="External"/><Relationship Id="rId753" Type="http://schemas.openxmlformats.org/officeDocument/2006/relationships/hyperlink" Target="https://keepsafestorage.com.au/" TargetMode="External"/><Relationship Id="rId1176" Type="http://schemas.openxmlformats.org/officeDocument/2006/relationships/hyperlink" Target="https://fordhamobserver.com/" TargetMode="External"/><Relationship Id="rId1383" Type="http://schemas.openxmlformats.org/officeDocument/2006/relationships/hyperlink" Target="https://mymoonstonekitchen.com/" TargetMode="External"/><Relationship Id="rId2227" Type="http://schemas.openxmlformats.org/officeDocument/2006/relationships/hyperlink" Target="http://qualityaffordablepestcontrol.ca/" TargetMode="External"/><Relationship Id="rId2434" Type="http://schemas.openxmlformats.org/officeDocument/2006/relationships/hyperlink" Target="http://frederickrealestateonline.com/" TargetMode="External"/><Relationship Id="rId101" Type="http://schemas.openxmlformats.org/officeDocument/2006/relationships/hyperlink" Target="https://www.samedayrubbishremoval.com.au/" TargetMode="External"/><Relationship Id="rId406" Type="http://schemas.openxmlformats.org/officeDocument/2006/relationships/hyperlink" Target="https://www.pushorpull.com.au/" TargetMode="External"/><Relationship Id="rId960" Type="http://schemas.openxmlformats.org/officeDocument/2006/relationships/hyperlink" Target="https://www.pavelbuyshouses.com/" TargetMode="External"/><Relationship Id="rId1036" Type="http://schemas.openxmlformats.org/officeDocument/2006/relationships/hyperlink" Target="https://myhomemyglobe.com/" TargetMode="External"/><Relationship Id="rId1243" Type="http://schemas.openxmlformats.org/officeDocument/2006/relationships/hyperlink" Target="https://www.highstuff.com/" TargetMode="External"/><Relationship Id="rId1590" Type="http://schemas.openxmlformats.org/officeDocument/2006/relationships/hyperlink" Target="http://myelitemetalstructures.com/" TargetMode="External"/><Relationship Id="rId1688" Type="http://schemas.openxmlformats.org/officeDocument/2006/relationships/hyperlink" Target="http://rent360.com.au/" TargetMode="External"/><Relationship Id="rId1895" Type="http://schemas.openxmlformats.org/officeDocument/2006/relationships/hyperlink" Target="http://obieinsurance.com/" TargetMode="External"/><Relationship Id="rId613" Type="http://schemas.openxmlformats.org/officeDocument/2006/relationships/hyperlink" Target="https://cookssimplepainting.com/" TargetMode="External"/><Relationship Id="rId820" Type="http://schemas.openxmlformats.org/officeDocument/2006/relationships/hyperlink" Target="https://eastatlanticplumbing.net/" TargetMode="External"/><Relationship Id="rId918" Type="http://schemas.openxmlformats.org/officeDocument/2006/relationships/hyperlink" Target="https://h2hmovers.com/" TargetMode="External"/><Relationship Id="rId1450" Type="http://schemas.openxmlformats.org/officeDocument/2006/relationships/hyperlink" Target="http://mobilehomebuyerfl.com/" TargetMode="External"/><Relationship Id="rId1548" Type="http://schemas.openxmlformats.org/officeDocument/2006/relationships/hyperlink" Target="http://austinroofingandconstruction.com/" TargetMode="External"/><Relationship Id="rId1755" Type="http://schemas.openxmlformats.org/officeDocument/2006/relationships/hyperlink" Target="http://armstrongflooring.au/" TargetMode="External"/><Relationship Id="rId2501" Type="http://schemas.openxmlformats.org/officeDocument/2006/relationships/hyperlink" Target="http://recolorpaints.com/" TargetMode="External"/><Relationship Id="rId1103" Type="http://schemas.openxmlformats.org/officeDocument/2006/relationships/hyperlink" Target="https://wemertgrouprealty.com/" TargetMode="External"/><Relationship Id="rId1310" Type="http://schemas.openxmlformats.org/officeDocument/2006/relationships/hyperlink" Target="https://joywallet.com/" TargetMode="External"/><Relationship Id="rId1408" Type="http://schemas.openxmlformats.org/officeDocument/2006/relationships/hyperlink" Target="https://www.kitchendistributors.com/" TargetMode="External"/><Relationship Id="rId1962" Type="http://schemas.openxmlformats.org/officeDocument/2006/relationships/hyperlink" Target="http://windwarddesigngroup.com/" TargetMode="External"/><Relationship Id="rId47" Type="http://schemas.openxmlformats.org/officeDocument/2006/relationships/hyperlink" Target="https://nesthub.com/" TargetMode="External"/><Relationship Id="rId1615" Type="http://schemas.openxmlformats.org/officeDocument/2006/relationships/hyperlink" Target="http://hammer-services.com/" TargetMode="External"/><Relationship Id="rId1822" Type="http://schemas.openxmlformats.org/officeDocument/2006/relationships/hyperlink" Target="http://hemlane.com/" TargetMode="External"/><Relationship Id="rId196" Type="http://schemas.openxmlformats.org/officeDocument/2006/relationships/hyperlink" Target="https://movingproz.com/" TargetMode="External"/><Relationship Id="rId2084" Type="http://schemas.openxmlformats.org/officeDocument/2006/relationships/hyperlink" Target="http://zerowastegroup.co.uk/" TargetMode="External"/><Relationship Id="rId2291" Type="http://schemas.openxmlformats.org/officeDocument/2006/relationships/hyperlink" Target="http://resindriveways.co.uk/" TargetMode="External"/><Relationship Id="rId263" Type="http://schemas.openxmlformats.org/officeDocument/2006/relationships/hyperlink" Target="https://allyearcooling.com/" TargetMode="External"/><Relationship Id="rId470" Type="http://schemas.openxmlformats.org/officeDocument/2006/relationships/hyperlink" Target="https://www.hsbsales.com/" TargetMode="External"/><Relationship Id="rId2151" Type="http://schemas.openxmlformats.org/officeDocument/2006/relationships/hyperlink" Target="http://thepanhandlehomebuyer.com/" TargetMode="External"/><Relationship Id="rId2389" Type="http://schemas.openxmlformats.org/officeDocument/2006/relationships/hyperlink" Target="http://centralhomesroofing.com/" TargetMode="External"/><Relationship Id="rId2596" Type="http://schemas.openxmlformats.org/officeDocument/2006/relationships/hyperlink" Target="https://tarheelmobilehomebuyers.com/" TargetMode="External"/><Relationship Id="rId123" Type="http://schemas.openxmlformats.org/officeDocument/2006/relationships/hyperlink" Target="https://rocketcert.com/" TargetMode="External"/><Relationship Id="rId330" Type="http://schemas.openxmlformats.org/officeDocument/2006/relationships/hyperlink" Target="https://brick-anew.com/" TargetMode="External"/><Relationship Id="rId568" Type="http://schemas.openxmlformats.org/officeDocument/2006/relationships/hyperlink" Target="https://www.surplusfurniture.com/" TargetMode="External"/><Relationship Id="rId775" Type="http://schemas.openxmlformats.org/officeDocument/2006/relationships/hyperlink" Target="https://nyceiling.com/" TargetMode="External"/><Relationship Id="rId982" Type="http://schemas.openxmlformats.org/officeDocument/2006/relationships/hyperlink" Target="https://www.singletonschreiber.com/" TargetMode="External"/><Relationship Id="rId1198" Type="http://schemas.openxmlformats.org/officeDocument/2006/relationships/hyperlink" Target="https://flcselect.com/" TargetMode="External"/><Relationship Id="rId2011" Type="http://schemas.openxmlformats.org/officeDocument/2006/relationships/hyperlink" Target="http://dot-furniture.com/" TargetMode="External"/><Relationship Id="rId2249" Type="http://schemas.openxmlformats.org/officeDocument/2006/relationships/hyperlink" Target="http://kerb.com/" TargetMode="External"/><Relationship Id="rId2456" Type="http://schemas.openxmlformats.org/officeDocument/2006/relationships/hyperlink" Target="http://ez-rails.com/" TargetMode="External"/><Relationship Id="rId428" Type="http://schemas.openxmlformats.org/officeDocument/2006/relationships/hyperlink" Target="https://www.americanvisionwindows.com/" TargetMode="External"/><Relationship Id="rId635" Type="http://schemas.openxmlformats.org/officeDocument/2006/relationships/hyperlink" Target="https://shillingexcavation.com/" TargetMode="External"/><Relationship Id="rId842" Type="http://schemas.openxmlformats.org/officeDocument/2006/relationships/hyperlink" Target="https://zonlihome.com/" TargetMode="External"/><Relationship Id="rId1058" Type="http://schemas.openxmlformats.org/officeDocument/2006/relationships/hyperlink" Target="https://bensiggins.co.uk/" TargetMode="External"/><Relationship Id="rId1265" Type="http://schemas.openxmlformats.org/officeDocument/2006/relationships/hyperlink" Target="https://www.affordablewindowscreens.com/" TargetMode="External"/><Relationship Id="rId1472" Type="http://schemas.openxmlformats.org/officeDocument/2006/relationships/hyperlink" Target="http://neatbeach.com/" TargetMode="External"/><Relationship Id="rId2109" Type="http://schemas.openxmlformats.org/officeDocument/2006/relationships/hyperlink" Target="http://tdgenvironmental.com/" TargetMode="External"/><Relationship Id="rId2316" Type="http://schemas.openxmlformats.org/officeDocument/2006/relationships/hyperlink" Target="http://vietduc.co.nz/" TargetMode="External"/><Relationship Id="rId2523" Type="http://schemas.openxmlformats.org/officeDocument/2006/relationships/hyperlink" Target="https://www.schaafsma.com/" TargetMode="External"/><Relationship Id="rId702" Type="http://schemas.openxmlformats.org/officeDocument/2006/relationships/hyperlink" Target="https://securedroofingandrestoration.com/" TargetMode="External"/><Relationship Id="rId1125" Type="http://schemas.openxmlformats.org/officeDocument/2006/relationships/hyperlink" Target="https://penn-jersey.com/" TargetMode="External"/><Relationship Id="rId1332" Type="http://schemas.openxmlformats.org/officeDocument/2006/relationships/hyperlink" Target="https://www.absolutehomeservices.ca/" TargetMode="External"/><Relationship Id="rId1777" Type="http://schemas.openxmlformats.org/officeDocument/2006/relationships/hyperlink" Target="http://renterswarehouse.com/" TargetMode="External"/><Relationship Id="rId1984" Type="http://schemas.openxmlformats.org/officeDocument/2006/relationships/hyperlink" Target="http://apollocover.com/" TargetMode="External"/><Relationship Id="rId69" Type="http://schemas.openxmlformats.org/officeDocument/2006/relationships/hyperlink" Target="https://makerflocrafts.com/" TargetMode="External"/><Relationship Id="rId1637" Type="http://schemas.openxmlformats.org/officeDocument/2006/relationships/hyperlink" Target="http://roofadvisor.com/" TargetMode="External"/><Relationship Id="rId1844" Type="http://schemas.openxmlformats.org/officeDocument/2006/relationships/hyperlink" Target="http://apollopatios.com.au/" TargetMode="External"/><Relationship Id="rId1704" Type="http://schemas.openxmlformats.org/officeDocument/2006/relationships/hyperlink" Target="http://superbrothers.com/" TargetMode="External"/><Relationship Id="rId285" Type="http://schemas.openxmlformats.org/officeDocument/2006/relationships/hyperlink" Target="https://www.saltlakeroofing.com/" TargetMode="External"/><Relationship Id="rId1911" Type="http://schemas.openxmlformats.org/officeDocument/2006/relationships/hyperlink" Target="http://gatsbyinvestment.com/" TargetMode="External"/><Relationship Id="rId492" Type="http://schemas.openxmlformats.org/officeDocument/2006/relationships/hyperlink" Target="https://thehues.com/" TargetMode="External"/><Relationship Id="rId797" Type="http://schemas.openxmlformats.org/officeDocument/2006/relationships/hyperlink" Target="https://aptnewsinc.com/" TargetMode="External"/><Relationship Id="rId2173" Type="http://schemas.openxmlformats.org/officeDocument/2006/relationships/hyperlink" Target="http://servicetitan.com/" TargetMode="External"/><Relationship Id="rId2380" Type="http://schemas.openxmlformats.org/officeDocument/2006/relationships/hyperlink" Target="http://gatsbyglass.com/" TargetMode="External"/><Relationship Id="rId2478" Type="http://schemas.openxmlformats.org/officeDocument/2006/relationships/hyperlink" Target="http://doorandfencestore.com/" TargetMode="External"/><Relationship Id="rId145" Type="http://schemas.openxmlformats.org/officeDocument/2006/relationships/hyperlink" Target="https://www.skyhub.ca/" TargetMode="External"/><Relationship Id="rId352" Type="http://schemas.openxmlformats.org/officeDocument/2006/relationships/hyperlink" Target="https://www.thehues.com/" TargetMode="External"/><Relationship Id="rId1287" Type="http://schemas.openxmlformats.org/officeDocument/2006/relationships/hyperlink" Target="https://www.cricketpavers.com/" TargetMode="External"/><Relationship Id="rId2033" Type="http://schemas.openxmlformats.org/officeDocument/2006/relationships/hyperlink" Target="http://moving.com/" TargetMode="External"/><Relationship Id="rId2240" Type="http://schemas.openxmlformats.org/officeDocument/2006/relationships/hyperlink" Target="http://linkdhome.com/" TargetMode="External"/><Relationship Id="rId212" Type="http://schemas.openxmlformats.org/officeDocument/2006/relationships/hyperlink" Target="https://www.1300rubbish.com.au/" TargetMode="External"/><Relationship Id="rId657" Type="http://schemas.openxmlformats.org/officeDocument/2006/relationships/hyperlink" Target="https://emergencyfurnacerepaircalgary.com/" TargetMode="External"/><Relationship Id="rId864" Type="http://schemas.openxmlformats.org/officeDocument/2006/relationships/hyperlink" Target="https://www.steadily.com/" TargetMode="External"/><Relationship Id="rId1494" Type="http://schemas.openxmlformats.org/officeDocument/2006/relationships/hyperlink" Target="http://paintit.ai/" TargetMode="External"/><Relationship Id="rId1799" Type="http://schemas.openxmlformats.org/officeDocument/2006/relationships/hyperlink" Target="http://little-loans.com/" TargetMode="External"/><Relationship Id="rId2100" Type="http://schemas.openxmlformats.org/officeDocument/2006/relationships/hyperlink" Target="http://wallapainting.com/" TargetMode="External"/><Relationship Id="rId2338" Type="http://schemas.openxmlformats.org/officeDocument/2006/relationships/hyperlink" Target="http://levonixhomes.com.au/" TargetMode="External"/><Relationship Id="rId2545" Type="http://schemas.openxmlformats.org/officeDocument/2006/relationships/hyperlink" Target="https://www.kapre.com/" TargetMode="External"/><Relationship Id="rId517" Type="http://schemas.openxmlformats.org/officeDocument/2006/relationships/hyperlink" Target="https://rulonco.com/" TargetMode="External"/><Relationship Id="rId724" Type="http://schemas.openxmlformats.org/officeDocument/2006/relationships/hyperlink" Target="https://heartlandflags.com/" TargetMode="External"/><Relationship Id="rId931" Type="http://schemas.openxmlformats.org/officeDocument/2006/relationships/hyperlink" Target="https://www.mdsquaredpropertygroup.com/" TargetMode="External"/><Relationship Id="rId1147" Type="http://schemas.openxmlformats.org/officeDocument/2006/relationships/hyperlink" Target="https://www.useelko.com/" TargetMode="External"/><Relationship Id="rId1354" Type="http://schemas.openxmlformats.org/officeDocument/2006/relationships/hyperlink" Target="https://www.hanselstone.com/" TargetMode="External"/><Relationship Id="rId1561" Type="http://schemas.openxmlformats.org/officeDocument/2006/relationships/hyperlink" Target="http://expresspropertysolutions.com/" TargetMode="External"/><Relationship Id="rId2405" Type="http://schemas.openxmlformats.org/officeDocument/2006/relationships/hyperlink" Target="http://freshcoatpainters.com/" TargetMode="External"/><Relationship Id="rId2612" Type="http://schemas.openxmlformats.org/officeDocument/2006/relationships/hyperlink" Target="https://faheyroofingcontractors.com/" TargetMode="External"/><Relationship Id="rId60" Type="http://schemas.openxmlformats.org/officeDocument/2006/relationships/hyperlink" Target="https://uptowncharlotte.com/" TargetMode="External"/><Relationship Id="rId1007" Type="http://schemas.openxmlformats.org/officeDocument/2006/relationships/hyperlink" Target="https://beautifultouches.com/" TargetMode="External"/><Relationship Id="rId1214" Type="http://schemas.openxmlformats.org/officeDocument/2006/relationships/hyperlink" Target="https://www.hardwaresource.com/" TargetMode="External"/><Relationship Id="rId1421" Type="http://schemas.openxmlformats.org/officeDocument/2006/relationships/hyperlink" Target="https://precisionlandscaping.ca/" TargetMode="External"/><Relationship Id="rId1659" Type="http://schemas.openxmlformats.org/officeDocument/2006/relationships/hyperlink" Target="http://highgrovebathrooms.com.au/" TargetMode="External"/><Relationship Id="rId1866" Type="http://schemas.openxmlformats.org/officeDocument/2006/relationships/hyperlink" Target="http://pezonproperties.com/" TargetMode="External"/><Relationship Id="rId1519" Type="http://schemas.openxmlformats.org/officeDocument/2006/relationships/hyperlink" Target="http://samedayrubbishremoval.com.au/" TargetMode="External"/><Relationship Id="rId1726" Type="http://schemas.openxmlformats.org/officeDocument/2006/relationships/hyperlink" Target="http://propertytaxloanpros.com/" TargetMode="External"/><Relationship Id="rId1933" Type="http://schemas.openxmlformats.org/officeDocument/2006/relationships/hyperlink" Target="http://jsenterprise1.com/" TargetMode="External"/><Relationship Id="rId18" Type="http://schemas.openxmlformats.org/officeDocument/2006/relationships/hyperlink" Target="https://www.viprealestate.com/" TargetMode="External"/><Relationship Id="rId2195" Type="http://schemas.openxmlformats.org/officeDocument/2006/relationships/hyperlink" Target="http://safehomeoffer.com/" TargetMode="External"/><Relationship Id="rId167" Type="http://schemas.openxmlformats.org/officeDocument/2006/relationships/hyperlink" Target="https://www.fencingandlandscapesupplies.co.uk/" TargetMode="External"/><Relationship Id="rId374" Type="http://schemas.openxmlformats.org/officeDocument/2006/relationships/hyperlink" Target="https://jmkcontractor.com/" TargetMode="External"/><Relationship Id="rId581" Type="http://schemas.openxmlformats.org/officeDocument/2006/relationships/hyperlink" Target="https://www.homfurniture.com/" TargetMode="External"/><Relationship Id="rId2055" Type="http://schemas.openxmlformats.org/officeDocument/2006/relationships/hyperlink" Target="http://resin-expert.com/" TargetMode="External"/><Relationship Id="rId2262" Type="http://schemas.openxmlformats.org/officeDocument/2006/relationships/hyperlink" Target="http://vacaway.com/" TargetMode="External"/><Relationship Id="rId234" Type="http://schemas.openxmlformats.org/officeDocument/2006/relationships/hyperlink" Target="https://parkpl.co/" TargetMode="External"/><Relationship Id="rId679" Type="http://schemas.openxmlformats.org/officeDocument/2006/relationships/hyperlink" Target="https://modern-maids.com/" TargetMode="External"/><Relationship Id="rId886" Type="http://schemas.openxmlformats.org/officeDocument/2006/relationships/hyperlink" Target="https://www.unitedairtemp.com/" TargetMode="External"/><Relationship Id="rId2567" Type="http://schemas.openxmlformats.org/officeDocument/2006/relationships/hyperlink" Target="https://integrityhomeexteriors.com/" TargetMode="External"/><Relationship Id="rId2" Type="http://schemas.openxmlformats.org/officeDocument/2006/relationships/hyperlink" Target="https://www.cartersmyplumber.com/" TargetMode="External"/><Relationship Id="rId441" Type="http://schemas.openxmlformats.org/officeDocument/2006/relationships/hyperlink" Target="https://www.toscanacc.com/" TargetMode="External"/><Relationship Id="rId539" Type="http://schemas.openxmlformats.org/officeDocument/2006/relationships/hyperlink" Target="https://www.webbsestateagents.co.uk/" TargetMode="External"/><Relationship Id="rId746" Type="http://schemas.openxmlformats.org/officeDocument/2006/relationships/hyperlink" Target="https://www.discountfilters.com/" TargetMode="External"/><Relationship Id="rId1071" Type="http://schemas.openxmlformats.org/officeDocument/2006/relationships/hyperlink" Target="https://crosscountrymovers.com/" TargetMode="External"/><Relationship Id="rId1169" Type="http://schemas.openxmlformats.org/officeDocument/2006/relationships/hyperlink" Target="https://www.destinpropertyexpert.com/" TargetMode="External"/><Relationship Id="rId1376" Type="http://schemas.openxmlformats.org/officeDocument/2006/relationships/hyperlink" Target="https://kitchenmore.com/" TargetMode="External"/><Relationship Id="rId1583" Type="http://schemas.openxmlformats.org/officeDocument/2006/relationships/hyperlink" Target="http://millerpublicadjusters.com/" TargetMode="External"/><Relationship Id="rId2122" Type="http://schemas.openxmlformats.org/officeDocument/2006/relationships/hyperlink" Target="http://propertymax.com/" TargetMode="External"/><Relationship Id="rId2427" Type="http://schemas.openxmlformats.org/officeDocument/2006/relationships/hyperlink" Target="http://christiedustman.com/" TargetMode="External"/><Relationship Id="rId301" Type="http://schemas.openxmlformats.org/officeDocument/2006/relationships/hyperlink" Target="https://northfaceconstruction.com/" TargetMode="External"/><Relationship Id="rId953" Type="http://schemas.openxmlformats.org/officeDocument/2006/relationships/hyperlink" Target="https://cabinetiq.com/" TargetMode="External"/><Relationship Id="rId1029" Type="http://schemas.openxmlformats.org/officeDocument/2006/relationships/hyperlink" Target="https://theearnesthomes.com/" TargetMode="External"/><Relationship Id="rId1236" Type="http://schemas.openxmlformats.org/officeDocument/2006/relationships/hyperlink" Target="https://www.cavaliermoving.com/" TargetMode="External"/><Relationship Id="rId1790" Type="http://schemas.openxmlformats.org/officeDocument/2006/relationships/hyperlink" Target="http://granitetransformations.co.uk/" TargetMode="External"/><Relationship Id="rId1888" Type="http://schemas.openxmlformats.org/officeDocument/2006/relationships/hyperlink" Target="http://gitnux.org/" TargetMode="External"/><Relationship Id="rId82" Type="http://schemas.openxmlformats.org/officeDocument/2006/relationships/hyperlink" Target="https://goodbyejunk.com.au/" TargetMode="External"/><Relationship Id="rId606" Type="http://schemas.openxmlformats.org/officeDocument/2006/relationships/hyperlink" Target="https://bestpriceskipbins.com.au/" TargetMode="External"/><Relationship Id="rId813" Type="http://schemas.openxmlformats.org/officeDocument/2006/relationships/hyperlink" Target="https://www.andrewvannyplumbing.com.au/" TargetMode="External"/><Relationship Id="rId1443" Type="http://schemas.openxmlformats.org/officeDocument/2006/relationships/hyperlink" Target="http://thinkaidium.com/" TargetMode="External"/><Relationship Id="rId1650" Type="http://schemas.openxmlformats.org/officeDocument/2006/relationships/hyperlink" Target="http://beachlifeoceancity.com/" TargetMode="External"/><Relationship Id="rId1748" Type="http://schemas.openxmlformats.org/officeDocument/2006/relationships/hyperlink" Target="http://epoxyguys.com/" TargetMode="External"/><Relationship Id="rId1303" Type="http://schemas.openxmlformats.org/officeDocument/2006/relationships/hyperlink" Target="https://www.goallinemoving.com/" TargetMode="External"/><Relationship Id="rId1510" Type="http://schemas.openxmlformats.org/officeDocument/2006/relationships/hyperlink" Target="http://v1tours.com/" TargetMode="External"/><Relationship Id="rId1955" Type="http://schemas.openxmlformats.org/officeDocument/2006/relationships/hyperlink" Target="http://givans.co.uk/" TargetMode="External"/><Relationship Id="rId1608" Type="http://schemas.openxmlformats.org/officeDocument/2006/relationships/hyperlink" Target="http://buildmykitchen.com/" TargetMode="External"/><Relationship Id="rId1815" Type="http://schemas.openxmlformats.org/officeDocument/2006/relationships/hyperlink" Target="http://interiormoderna.com/" TargetMode="External"/><Relationship Id="rId189" Type="http://schemas.openxmlformats.org/officeDocument/2006/relationships/hyperlink" Target="https://www.northernvirginiahomepro.com/" TargetMode="External"/><Relationship Id="rId396" Type="http://schemas.openxmlformats.org/officeDocument/2006/relationships/hyperlink" Target="https://rtrsells.com/" TargetMode="External"/><Relationship Id="rId2077" Type="http://schemas.openxmlformats.org/officeDocument/2006/relationships/hyperlink" Target="http://jtspas.co.uk/" TargetMode="External"/><Relationship Id="rId2284" Type="http://schemas.openxmlformats.org/officeDocument/2006/relationships/hyperlink" Target="http://bhg.com/" TargetMode="External"/><Relationship Id="rId2491" Type="http://schemas.openxmlformats.org/officeDocument/2006/relationships/hyperlink" Target="http://deltechomes.com/" TargetMode="External"/><Relationship Id="rId256" Type="http://schemas.openxmlformats.org/officeDocument/2006/relationships/hyperlink" Target="https://www.opespartners.co.nz/" TargetMode="External"/><Relationship Id="rId463" Type="http://schemas.openxmlformats.org/officeDocument/2006/relationships/hyperlink" Target="https://www.cottonlogistics.com/" TargetMode="External"/><Relationship Id="rId670" Type="http://schemas.openxmlformats.org/officeDocument/2006/relationships/hyperlink" Target="https://donsgaragedoors.com/" TargetMode="External"/><Relationship Id="rId1093" Type="http://schemas.openxmlformats.org/officeDocument/2006/relationships/hyperlink" Target="https://www.credello.com/" TargetMode="External"/><Relationship Id="rId2144" Type="http://schemas.openxmlformats.org/officeDocument/2006/relationships/hyperlink" Target="http://yellowcardproperties.com/" TargetMode="External"/><Relationship Id="rId2351" Type="http://schemas.openxmlformats.org/officeDocument/2006/relationships/hyperlink" Target="http://etodoors.com/" TargetMode="External"/><Relationship Id="rId2589" Type="http://schemas.openxmlformats.org/officeDocument/2006/relationships/hyperlink" Target="https://www.teachengineering.org/" TargetMode="External"/><Relationship Id="rId116" Type="http://schemas.openxmlformats.org/officeDocument/2006/relationships/hyperlink" Target="https://www.reedyandcompany.com/" TargetMode="External"/><Relationship Id="rId323" Type="http://schemas.openxmlformats.org/officeDocument/2006/relationships/hyperlink" Target="https://akuwoodpanel.com/" TargetMode="External"/><Relationship Id="rId530" Type="http://schemas.openxmlformats.org/officeDocument/2006/relationships/hyperlink" Target="https://zzonehomes.ca/" TargetMode="External"/><Relationship Id="rId768" Type="http://schemas.openxmlformats.org/officeDocument/2006/relationships/hyperlink" Target="https://www.limetreealfresco.com.au/" TargetMode="External"/><Relationship Id="rId975" Type="http://schemas.openxmlformats.org/officeDocument/2006/relationships/hyperlink" Target="https://acarchitects.biz/" TargetMode="External"/><Relationship Id="rId1160" Type="http://schemas.openxmlformats.org/officeDocument/2006/relationships/hyperlink" Target="https://grantsseptictechs.com/" TargetMode="External"/><Relationship Id="rId1398" Type="http://schemas.openxmlformats.org/officeDocument/2006/relationships/hyperlink" Target="https://nazmiyalantiquerugs.com/" TargetMode="External"/><Relationship Id="rId2004" Type="http://schemas.openxmlformats.org/officeDocument/2006/relationships/hyperlink" Target="http://834hans.com/" TargetMode="External"/><Relationship Id="rId2211" Type="http://schemas.openxmlformats.org/officeDocument/2006/relationships/hyperlink" Target="http://onehourheatandair.com/" TargetMode="External"/><Relationship Id="rId2449" Type="http://schemas.openxmlformats.org/officeDocument/2006/relationships/hyperlink" Target="http://a2zbuilders.com/" TargetMode="External"/><Relationship Id="rId628" Type="http://schemas.openxmlformats.org/officeDocument/2006/relationships/hyperlink" Target="https://www.genense.com/" TargetMode="External"/><Relationship Id="rId835" Type="http://schemas.openxmlformats.org/officeDocument/2006/relationships/hyperlink" Target="https://neonsigns.com/" TargetMode="External"/><Relationship Id="rId1258" Type="http://schemas.openxmlformats.org/officeDocument/2006/relationships/hyperlink" Target="https://www.prosourcewholesale.com/" TargetMode="External"/><Relationship Id="rId1465" Type="http://schemas.openxmlformats.org/officeDocument/2006/relationships/hyperlink" Target="http://mauieliteproperty.com/" TargetMode="External"/><Relationship Id="rId1672" Type="http://schemas.openxmlformats.org/officeDocument/2006/relationships/hyperlink" Target="http://lancasterlogcabins.com/" TargetMode="External"/><Relationship Id="rId2309" Type="http://schemas.openxmlformats.org/officeDocument/2006/relationships/hyperlink" Target="http://greatwayroofing.com/" TargetMode="External"/><Relationship Id="rId2516" Type="http://schemas.openxmlformats.org/officeDocument/2006/relationships/hyperlink" Target="http://www.squarefoothomes.com/" TargetMode="External"/><Relationship Id="rId1020" Type="http://schemas.openxmlformats.org/officeDocument/2006/relationships/hyperlink" Target="https://www.rosenbauminjuryfirm.com/" TargetMode="External"/><Relationship Id="rId1118" Type="http://schemas.openxmlformats.org/officeDocument/2006/relationships/hyperlink" Target="https://www.livelovemissouri.com/" TargetMode="External"/><Relationship Id="rId1325" Type="http://schemas.openxmlformats.org/officeDocument/2006/relationships/hyperlink" Target="https://www.belledorm.co.uk/" TargetMode="External"/><Relationship Id="rId1532" Type="http://schemas.openxmlformats.org/officeDocument/2006/relationships/hyperlink" Target="http://buellelectric.com/" TargetMode="External"/><Relationship Id="rId1977" Type="http://schemas.openxmlformats.org/officeDocument/2006/relationships/hyperlink" Target="http://servleader.com/" TargetMode="External"/><Relationship Id="rId902" Type="http://schemas.openxmlformats.org/officeDocument/2006/relationships/hyperlink" Target="https://homeofcozy.com/" TargetMode="External"/><Relationship Id="rId1837" Type="http://schemas.openxmlformats.org/officeDocument/2006/relationships/hyperlink" Target="http://samara.com/" TargetMode="External"/><Relationship Id="rId31" Type="http://schemas.openxmlformats.org/officeDocument/2006/relationships/hyperlink" Target="https://buynnnproperties.com/" TargetMode="External"/><Relationship Id="rId2099" Type="http://schemas.openxmlformats.org/officeDocument/2006/relationships/hyperlink" Target="http://summerclassics.com/" TargetMode="External"/><Relationship Id="rId180" Type="http://schemas.openxmlformats.org/officeDocument/2006/relationships/hyperlink" Target="https://www.garagecabinets.com/" TargetMode="External"/><Relationship Id="rId278" Type="http://schemas.openxmlformats.org/officeDocument/2006/relationships/hyperlink" Target="https://www.apartments.com/" TargetMode="External"/><Relationship Id="rId1904" Type="http://schemas.openxmlformats.org/officeDocument/2006/relationships/hyperlink" Target="http://texasrealestatesource.com/" TargetMode="External"/><Relationship Id="rId485" Type="http://schemas.openxmlformats.org/officeDocument/2006/relationships/hyperlink" Target="https://www.plantplan.co.uk/" TargetMode="External"/><Relationship Id="rId692" Type="http://schemas.openxmlformats.org/officeDocument/2006/relationships/hyperlink" Target="https://fsg.com/" TargetMode="External"/><Relationship Id="rId2166" Type="http://schemas.openxmlformats.org/officeDocument/2006/relationships/hyperlink" Target="http://kcpropertyconnection.com/" TargetMode="External"/><Relationship Id="rId2373" Type="http://schemas.openxmlformats.org/officeDocument/2006/relationships/hyperlink" Target="http://blingle.com/" TargetMode="External"/><Relationship Id="rId2580" Type="http://schemas.openxmlformats.org/officeDocument/2006/relationships/hyperlink" Target="https://propertychecker.com/" TargetMode="External"/><Relationship Id="rId138" Type="http://schemas.openxmlformats.org/officeDocument/2006/relationships/hyperlink" Target="https://springfieldroofing.com/" TargetMode="External"/><Relationship Id="rId345" Type="http://schemas.openxmlformats.org/officeDocument/2006/relationships/hyperlink" Target="https://superiorhvacservice.ca/" TargetMode="External"/><Relationship Id="rId552" Type="http://schemas.openxmlformats.org/officeDocument/2006/relationships/hyperlink" Target="https://hollowayremovals.com.au/" TargetMode="External"/><Relationship Id="rId997" Type="http://schemas.openxmlformats.org/officeDocument/2006/relationships/hyperlink" Target="https://stoprentingperth.com/" TargetMode="External"/><Relationship Id="rId1182" Type="http://schemas.openxmlformats.org/officeDocument/2006/relationships/hyperlink" Target="https://www.pashafunding.com/" TargetMode="External"/><Relationship Id="rId2026" Type="http://schemas.openxmlformats.org/officeDocument/2006/relationships/hyperlink" Target="http://artisticstonedesign.com/" TargetMode="External"/><Relationship Id="rId2233" Type="http://schemas.openxmlformats.org/officeDocument/2006/relationships/hyperlink" Target="http://creditkarma.com/" TargetMode="External"/><Relationship Id="rId2440" Type="http://schemas.openxmlformats.org/officeDocument/2006/relationships/hyperlink" Target="http://shabbychicboho.com/" TargetMode="External"/><Relationship Id="rId205" Type="http://schemas.openxmlformats.org/officeDocument/2006/relationships/hyperlink" Target="https://www.woodbridgehomesolutions.com/" TargetMode="External"/><Relationship Id="rId412" Type="http://schemas.openxmlformats.org/officeDocument/2006/relationships/hyperlink" Target="https://www.buildmat.com.au/" TargetMode="External"/><Relationship Id="rId857" Type="http://schemas.openxmlformats.org/officeDocument/2006/relationships/hyperlink" Target="https://www.thewhitewindowcurtains.co.uk/" TargetMode="External"/><Relationship Id="rId1042" Type="http://schemas.openxmlformats.org/officeDocument/2006/relationships/hyperlink" Target="https://www.getmultifamily.com/" TargetMode="External"/><Relationship Id="rId1487" Type="http://schemas.openxmlformats.org/officeDocument/2006/relationships/hyperlink" Target="http://studiomunge.com/" TargetMode="External"/><Relationship Id="rId1694" Type="http://schemas.openxmlformats.org/officeDocument/2006/relationships/hyperlink" Target="http://kenlow.com.au/" TargetMode="External"/><Relationship Id="rId2300" Type="http://schemas.openxmlformats.org/officeDocument/2006/relationships/hyperlink" Target="http://plumbersinsyracuseny.com/" TargetMode="External"/><Relationship Id="rId2538" Type="http://schemas.openxmlformats.org/officeDocument/2006/relationships/hyperlink" Target="https://www.collectionforsyth.com/" TargetMode="External"/><Relationship Id="rId717" Type="http://schemas.openxmlformats.org/officeDocument/2006/relationships/hyperlink" Target="https://www.winnings.com.au/" TargetMode="External"/><Relationship Id="rId924" Type="http://schemas.openxmlformats.org/officeDocument/2006/relationships/hyperlink" Target="https://newmanilasanjuan.com/" TargetMode="External"/><Relationship Id="rId1347" Type="http://schemas.openxmlformats.org/officeDocument/2006/relationships/hyperlink" Target="https://brisklandscaping.com.au/" TargetMode="External"/><Relationship Id="rId1554" Type="http://schemas.openxmlformats.org/officeDocument/2006/relationships/hyperlink" Target="http://cityhomecomfort.ca/" TargetMode="External"/><Relationship Id="rId1761" Type="http://schemas.openxmlformats.org/officeDocument/2006/relationships/hyperlink" Target="http://phta.org/" TargetMode="External"/><Relationship Id="rId1999" Type="http://schemas.openxmlformats.org/officeDocument/2006/relationships/hyperlink" Target="http://trentonroofing.com/" TargetMode="External"/><Relationship Id="rId2605" Type="http://schemas.openxmlformats.org/officeDocument/2006/relationships/hyperlink" Target="https://www.shma.co.uk/" TargetMode="External"/><Relationship Id="rId53" Type="http://schemas.openxmlformats.org/officeDocument/2006/relationships/hyperlink" Target="https://corporateofficeint.com/" TargetMode="External"/><Relationship Id="rId1207" Type="http://schemas.openxmlformats.org/officeDocument/2006/relationships/hyperlink" Target="https://gbdmagazine.com/" TargetMode="External"/><Relationship Id="rId1414" Type="http://schemas.openxmlformats.org/officeDocument/2006/relationships/hyperlink" Target="https://www.decasacollections.com/" TargetMode="External"/><Relationship Id="rId1621" Type="http://schemas.openxmlformats.org/officeDocument/2006/relationships/hyperlink" Target="http://williamscomfortair.com/" TargetMode="External"/><Relationship Id="rId1859" Type="http://schemas.openxmlformats.org/officeDocument/2006/relationships/hyperlink" Target="http://storiesflooring.co.uk/" TargetMode="External"/><Relationship Id="rId1719" Type="http://schemas.openxmlformats.org/officeDocument/2006/relationships/hyperlink" Target="http://louvretec.com.au/" TargetMode="External"/><Relationship Id="rId1926" Type="http://schemas.openxmlformats.org/officeDocument/2006/relationships/hyperlink" Target="http://creditlink.com/" TargetMode="External"/><Relationship Id="rId2090" Type="http://schemas.openxmlformats.org/officeDocument/2006/relationships/hyperlink" Target="http://realhomes.com/" TargetMode="External"/><Relationship Id="rId2188" Type="http://schemas.openxmlformats.org/officeDocument/2006/relationships/hyperlink" Target="http://webuyhousesinbayarea.com/" TargetMode="External"/><Relationship Id="rId2395" Type="http://schemas.openxmlformats.org/officeDocument/2006/relationships/hyperlink" Target="http://adviseretax.com/" TargetMode="External"/><Relationship Id="rId367" Type="http://schemas.openxmlformats.org/officeDocument/2006/relationships/hyperlink" Target="https://www.chicagospropertymanagement.com/" TargetMode="External"/><Relationship Id="rId574" Type="http://schemas.openxmlformats.org/officeDocument/2006/relationships/hyperlink" Target="https://scf.com.au/" TargetMode="External"/><Relationship Id="rId2048" Type="http://schemas.openxmlformats.org/officeDocument/2006/relationships/hyperlink" Target="http://lifetimegreencoatings.com/" TargetMode="External"/><Relationship Id="rId2255" Type="http://schemas.openxmlformats.org/officeDocument/2006/relationships/hyperlink" Target="http://atoz-construction.com/" TargetMode="External"/><Relationship Id="rId227" Type="http://schemas.openxmlformats.org/officeDocument/2006/relationships/hyperlink" Target="https://www.viewhomes.ca/" TargetMode="External"/><Relationship Id="rId781" Type="http://schemas.openxmlformats.org/officeDocument/2006/relationships/hyperlink" Target="https://coastalvanlines.com/" TargetMode="External"/><Relationship Id="rId879" Type="http://schemas.openxmlformats.org/officeDocument/2006/relationships/hyperlink" Target="https://pauldavis.com/" TargetMode="External"/><Relationship Id="rId2462" Type="http://schemas.openxmlformats.org/officeDocument/2006/relationships/hyperlink" Target="http://marylandrealestatelenders.com/" TargetMode="External"/><Relationship Id="rId434" Type="http://schemas.openxmlformats.org/officeDocument/2006/relationships/hyperlink" Target="https://www.ukoakdoors.co.uk/" TargetMode="External"/><Relationship Id="rId641" Type="http://schemas.openxmlformats.org/officeDocument/2006/relationships/hyperlink" Target="https://madcitywindows.com/" TargetMode="External"/><Relationship Id="rId739" Type="http://schemas.openxmlformats.org/officeDocument/2006/relationships/hyperlink" Target="https://www.smartlifeco.com/" TargetMode="External"/><Relationship Id="rId1064" Type="http://schemas.openxmlformats.org/officeDocument/2006/relationships/hyperlink" Target="https://moverscrosscanada.ca/" TargetMode="External"/><Relationship Id="rId1271" Type="http://schemas.openxmlformats.org/officeDocument/2006/relationships/hyperlink" Target="https://www.replacewindowslimited.co.uk/" TargetMode="External"/><Relationship Id="rId1369" Type="http://schemas.openxmlformats.org/officeDocument/2006/relationships/hyperlink" Target="https://happly.com.au/" TargetMode="External"/><Relationship Id="rId1576" Type="http://schemas.openxmlformats.org/officeDocument/2006/relationships/hyperlink" Target="http://abis.com.au/" TargetMode="External"/><Relationship Id="rId2115" Type="http://schemas.openxmlformats.org/officeDocument/2006/relationships/hyperlink" Target="http://shopy.co.uk/" TargetMode="External"/><Relationship Id="rId2322" Type="http://schemas.openxmlformats.org/officeDocument/2006/relationships/hyperlink" Target="http://gotchacovered.com/" TargetMode="External"/><Relationship Id="rId501" Type="http://schemas.openxmlformats.org/officeDocument/2006/relationships/hyperlink" Target="https://neighbourhoodplumbing.com.au/" TargetMode="External"/><Relationship Id="rId946" Type="http://schemas.openxmlformats.org/officeDocument/2006/relationships/hyperlink" Target="https://www.ownerly.com/" TargetMode="External"/><Relationship Id="rId1131" Type="http://schemas.openxmlformats.org/officeDocument/2006/relationships/hyperlink" Target="https://deluxemovingsolutions.com/" TargetMode="External"/><Relationship Id="rId1229" Type="http://schemas.openxmlformats.org/officeDocument/2006/relationships/hyperlink" Target="https://mjengineeringprojects.com.au/" TargetMode="External"/><Relationship Id="rId1783" Type="http://schemas.openxmlformats.org/officeDocument/2006/relationships/hyperlink" Target="http://tulipinterior.co.uk/" TargetMode="External"/><Relationship Id="rId1990" Type="http://schemas.openxmlformats.org/officeDocument/2006/relationships/hyperlink" Target="http://vacuumelevators.com/" TargetMode="External"/><Relationship Id="rId75" Type="http://schemas.openxmlformats.org/officeDocument/2006/relationships/hyperlink" Target="https://versahomes.com/" TargetMode="External"/><Relationship Id="rId806" Type="http://schemas.openxmlformats.org/officeDocument/2006/relationships/hyperlink" Target="https://www.propertymanagementto.com/" TargetMode="External"/><Relationship Id="rId1436" Type="http://schemas.openxmlformats.org/officeDocument/2006/relationships/hyperlink" Target="http://hgtv.co.uk/" TargetMode="External"/><Relationship Id="rId1643" Type="http://schemas.openxmlformats.org/officeDocument/2006/relationships/hyperlink" Target="http://skyblinds.ca/" TargetMode="External"/><Relationship Id="rId1850" Type="http://schemas.openxmlformats.org/officeDocument/2006/relationships/hyperlink" Target="http://ownup.com/" TargetMode="External"/><Relationship Id="rId1503" Type="http://schemas.openxmlformats.org/officeDocument/2006/relationships/hyperlink" Target="http://brisbaneplumbinganddrainage.com.au/" TargetMode="External"/><Relationship Id="rId1710" Type="http://schemas.openxmlformats.org/officeDocument/2006/relationships/hyperlink" Target="http://flooringking.co.uk/" TargetMode="External"/><Relationship Id="rId1948" Type="http://schemas.openxmlformats.org/officeDocument/2006/relationships/hyperlink" Target="http://puffy.com/" TargetMode="External"/><Relationship Id="rId291" Type="http://schemas.openxmlformats.org/officeDocument/2006/relationships/hyperlink" Target="https://realestateu.com/" TargetMode="External"/><Relationship Id="rId1808" Type="http://schemas.openxmlformats.org/officeDocument/2006/relationships/hyperlink" Target="http://glassexpertsfl.com/" TargetMode="External"/><Relationship Id="rId151" Type="http://schemas.openxmlformats.org/officeDocument/2006/relationships/hyperlink" Target="https://www.amberbook.com/" TargetMode="External"/><Relationship Id="rId389" Type="http://schemas.openxmlformats.org/officeDocument/2006/relationships/hyperlink" Target="https://www.totalhomesupply.com/" TargetMode="External"/><Relationship Id="rId596" Type="http://schemas.openxmlformats.org/officeDocument/2006/relationships/hyperlink" Target="https://addictivesound.eu/" TargetMode="External"/><Relationship Id="rId2277" Type="http://schemas.openxmlformats.org/officeDocument/2006/relationships/hyperlink" Target="http://hdrgarage.com/" TargetMode="External"/><Relationship Id="rId2484" Type="http://schemas.openxmlformats.org/officeDocument/2006/relationships/hyperlink" Target="http://zeroenergyproject.com/" TargetMode="External"/><Relationship Id="rId249" Type="http://schemas.openxmlformats.org/officeDocument/2006/relationships/hyperlink" Target="https://omegarender.com/" TargetMode="External"/><Relationship Id="rId456" Type="http://schemas.openxmlformats.org/officeDocument/2006/relationships/hyperlink" Target="https://dtroofing.net/" TargetMode="External"/><Relationship Id="rId663" Type="http://schemas.openxmlformats.org/officeDocument/2006/relationships/hyperlink" Target="https://www.blinds-n-shutters.com.au/" TargetMode="External"/><Relationship Id="rId870" Type="http://schemas.openxmlformats.org/officeDocument/2006/relationships/hyperlink" Target="https://lancasterlogcabins.com/" TargetMode="External"/><Relationship Id="rId1086" Type="http://schemas.openxmlformats.org/officeDocument/2006/relationships/hyperlink" Target="https://www.thepackagingcompany.com/" TargetMode="External"/><Relationship Id="rId1293" Type="http://schemas.openxmlformats.org/officeDocument/2006/relationships/hyperlink" Target="https://braytoninteriors.com/" TargetMode="External"/><Relationship Id="rId2137" Type="http://schemas.openxmlformats.org/officeDocument/2006/relationships/hyperlink" Target="http://sellsoonbluemoon.com/" TargetMode="External"/><Relationship Id="rId2344" Type="http://schemas.openxmlformats.org/officeDocument/2006/relationships/hyperlink" Target="http://vipdrainservices.com/" TargetMode="External"/><Relationship Id="rId2551" Type="http://schemas.openxmlformats.org/officeDocument/2006/relationships/hyperlink" Target="https://theprovidencegroup.com/" TargetMode="External"/><Relationship Id="rId109" Type="http://schemas.openxmlformats.org/officeDocument/2006/relationships/hyperlink" Target="https://www.outdoorfountainpros.com/" TargetMode="External"/><Relationship Id="rId316" Type="http://schemas.openxmlformats.org/officeDocument/2006/relationships/hyperlink" Target="https://www.idealhome.co.uk/" TargetMode="External"/><Relationship Id="rId523" Type="http://schemas.openxmlformats.org/officeDocument/2006/relationships/hyperlink" Target="https://spydermoving.com/" TargetMode="External"/><Relationship Id="rId968" Type="http://schemas.openxmlformats.org/officeDocument/2006/relationships/hyperlink" Target="https://www.vracommercial.com/" TargetMode="External"/><Relationship Id="rId1153" Type="http://schemas.openxmlformats.org/officeDocument/2006/relationships/hyperlink" Target="https://pacificalocals.com/" TargetMode="External"/><Relationship Id="rId1598" Type="http://schemas.openxmlformats.org/officeDocument/2006/relationships/hyperlink" Target="http://homehelpersgroup.com/" TargetMode="External"/><Relationship Id="rId2204" Type="http://schemas.openxmlformats.org/officeDocument/2006/relationships/hyperlink" Target="http://laylasleep.com/" TargetMode="External"/><Relationship Id="rId97" Type="http://schemas.openxmlformats.org/officeDocument/2006/relationships/hyperlink" Target="https://www.candsins.com/" TargetMode="External"/><Relationship Id="rId730" Type="http://schemas.openxmlformats.org/officeDocument/2006/relationships/hyperlink" Target="https://www.fantasticservices.com/" TargetMode="External"/><Relationship Id="rId828" Type="http://schemas.openxmlformats.org/officeDocument/2006/relationships/hyperlink" Target="https://www.planeks.net/" TargetMode="External"/><Relationship Id="rId1013" Type="http://schemas.openxmlformats.org/officeDocument/2006/relationships/hyperlink" Target="https://www.expatriatehealthcare.com/" TargetMode="External"/><Relationship Id="rId1360" Type="http://schemas.openxmlformats.org/officeDocument/2006/relationships/hyperlink" Target="https://inhomeflooring.com/" TargetMode="External"/><Relationship Id="rId1458" Type="http://schemas.openxmlformats.org/officeDocument/2006/relationships/hyperlink" Target="http://pricebailey.co.uk/" TargetMode="External"/><Relationship Id="rId1665" Type="http://schemas.openxmlformats.org/officeDocument/2006/relationships/hyperlink" Target="http://onepointpartitions.com/" TargetMode="External"/><Relationship Id="rId1872" Type="http://schemas.openxmlformats.org/officeDocument/2006/relationships/hyperlink" Target="http://allcountyprop.com/" TargetMode="External"/><Relationship Id="rId2411" Type="http://schemas.openxmlformats.org/officeDocument/2006/relationships/hyperlink" Target="http://majesticfountains.com/" TargetMode="External"/><Relationship Id="rId2509" Type="http://schemas.openxmlformats.org/officeDocument/2006/relationships/hyperlink" Target="https://www.bankforeclosuressale.com/" TargetMode="External"/><Relationship Id="rId1220" Type="http://schemas.openxmlformats.org/officeDocument/2006/relationships/hyperlink" Target="https://architecturebeast.com/" TargetMode="External"/><Relationship Id="rId1318" Type="http://schemas.openxmlformats.org/officeDocument/2006/relationships/hyperlink" Target="https://www.fabglassandmirror.com/" TargetMode="External"/><Relationship Id="rId1525" Type="http://schemas.openxmlformats.org/officeDocument/2006/relationships/hyperlink" Target="http://benjaminfranklinplumbing.com/" TargetMode="External"/><Relationship Id="rId1732" Type="http://schemas.openxmlformats.org/officeDocument/2006/relationships/hyperlink" Target="http://smartpm.com/" TargetMode="External"/><Relationship Id="rId24" Type="http://schemas.openxmlformats.org/officeDocument/2006/relationships/hyperlink" Target="https://myintellirent.com/" TargetMode="External"/><Relationship Id="rId2299" Type="http://schemas.openxmlformats.org/officeDocument/2006/relationships/hyperlink" Target="http://critterstop.com/" TargetMode="External"/><Relationship Id="rId173" Type="http://schemas.openxmlformats.org/officeDocument/2006/relationships/hyperlink" Target="https://www.propertysolvers.co.uk/" TargetMode="External"/><Relationship Id="rId380" Type="http://schemas.openxmlformats.org/officeDocument/2006/relationships/hyperlink" Target="https://www.lowdernewhomes.com/" TargetMode="External"/><Relationship Id="rId2061" Type="http://schemas.openxmlformats.org/officeDocument/2006/relationships/hyperlink" Target="http://renotitan.com/" TargetMode="External"/><Relationship Id="rId240" Type="http://schemas.openxmlformats.org/officeDocument/2006/relationships/hyperlink" Target="https://multiquotetime.co.uk/" TargetMode="External"/><Relationship Id="rId478" Type="http://schemas.openxmlformats.org/officeDocument/2006/relationships/hyperlink" Target="https://globepm.ca/" TargetMode="External"/><Relationship Id="rId685" Type="http://schemas.openxmlformats.org/officeDocument/2006/relationships/hyperlink" Target="https://www.thebackyardnbeyond.com/" TargetMode="External"/><Relationship Id="rId892" Type="http://schemas.openxmlformats.org/officeDocument/2006/relationships/hyperlink" Target="https://www.storeallpurpose.com/" TargetMode="External"/><Relationship Id="rId2159" Type="http://schemas.openxmlformats.org/officeDocument/2006/relationships/hyperlink" Target="http://housebuyinggirls.com/" TargetMode="External"/><Relationship Id="rId2366" Type="http://schemas.openxmlformats.org/officeDocument/2006/relationships/hyperlink" Target="http://valueofficefurniture.com.au/" TargetMode="External"/><Relationship Id="rId2573" Type="http://schemas.openxmlformats.org/officeDocument/2006/relationships/hyperlink" Target="https://www.pacificsheetmetal.net/" TargetMode="External"/><Relationship Id="rId100" Type="http://schemas.openxmlformats.org/officeDocument/2006/relationships/hyperlink" Target="https://casasecurity.com.au/" TargetMode="External"/><Relationship Id="rId338" Type="http://schemas.openxmlformats.org/officeDocument/2006/relationships/hyperlink" Target="https://www.seuslighting.com/" TargetMode="External"/><Relationship Id="rId545" Type="http://schemas.openxmlformats.org/officeDocument/2006/relationships/hyperlink" Target="https://mkfurnishings.co.uk/" TargetMode="External"/><Relationship Id="rId752" Type="http://schemas.openxmlformats.org/officeDocument/2006/relationships/hyperlink" Target="https://www.pureecoinc.com/" TargetMode="External"/><Relationship Id="rId1175" Type="http://schemas.openxmlformats.org/officeDocument/2006/relationships/hyperlink" Target="https://www.reeapartments.com/" TargetMode="External"/><Relationship Id="rId1382" Type="http://schemas.openxmlformats.org/officeDocument/2006/relationships/hyperlink" Target="https://permasol.ca/" TargetMode="External"/><Relationship Id="rId2019" Type="http://schemas.openxmlformats.org/officeDocument/2006/relationships/hyperlink" Target="http://artofkitchens.com.au/" TargetMode="External"/><Relationship Id="rId2226" Type="http://schemas.openxmlformats.org/officeDocument/2006/relationships/hyperlink" Target="http://pestcontrolexperts.com/" TargetMode="External"/><Relationship Id="rId2433" Type="http://schemas.openxmlformats.org/officeDocument/2006/relationships/hyperlink" Target="http://livepositively.com/" TargetMode="External"/><Relationship Id="rId405" Type="http://schemas.openxmlformats.org/officeDocument/2006/relationships/hyperlink" Target="https://brickwoodhomes.com.au/" TargetMode="External"/><Relationship Id="rId612" Type="http://schemas.openxmlformats.org/officeDocument/2006/relationships/hyperlink" Target="https://carolinapremierhandyman.com/" TargetMode="External"/><Relationship Id="rId1035" Type="http://schemas.openxmlformats.org/officeDocument/2006/relationships/hyperlink" Target="https://saintinvestment.com/" TargetMode="External"/><Relationship Id="rId1242" Type="http://schemas.openxmlformats.org/officeDocument/2006/relationships/hyperlink" Target="https://www.homebuilding.co.uk/" TargetMode="External"/><Relationship Id="rId1687" Type="http://schemas.openxmlformats.org/officeDocument/2006/relationships/hyperlink" Target="http://1dayrefinishing.com/" TargetMode="External"/><Relationship Id="rId1894" Type="http://schemas.openxmlformats.org/officeDocument/2006/relationships/hyperlink" Target="http://getgenea.com/" TargetMode="External"/><Relationship Id="rId2500" Type="http://schemas.openxmlformats.org/officeDocument/2006/relationships/hyperlink" Target="http://fireclaytile.com/" TargetMode="External"/><Relationship Id="rId917" Type="http://schemas.openxmlformats.org/officeDocument/2006/relationships/hyperlink" Target="https://polstontax.com/" TargetMode="External"/><Relationship Id="rId1102" Type="http://schemas.openxmlformats.org/officeDocument/2006/relationships/hyperlink" Target="https://empowerhome-team.com/" TargetMode="External"/><Relationship Id="rId1547" Type="http://schemas.openxmlformats.org/officeDocument/2006/relationships/hyperlink" Target="http://display-cabinets-direct.co.uk/" TargetMode="External"/><Relationship Id="rId1754" Type="http://schemas.openxmlformats.org/officeDocument/2006/relationships/hyperlink" Target="http://homefire.co.uk/" TargetMode="External"/><Relationship Id="rId1961" Type="http://schemas.openxmlformats.org/officeDocument/2006/relationships/hyperlink" Target="http://puremodern.com/" TargetMode="External"/><Relationship Id="rId46" Type="http://schemas.openxmlformats.org/officeDocument/2006/relationships/hyperlink" Target="https://www.inspirecommunities.com/" TargetMode="External"/><Relationship Id="rId1407" Type="http://schemas.openxmlformats.org/officeDocument/2006/relationships/hyperlink" Target="https://www.tantiv4.com/" TargetMode="External"/><Relationship Id="rId1614" Type="http://schemas.openxmlformats.org/officeDocument/2006/relationships/hyperlink" Target="http://justo.ca/" TargetMode="External"/><Relationship Id="rId1821" Type="http://schemas.openxmlformats.org/officeDocument/2006/relationships/hyperlink" Target="http://fastenmaster.com/" TargetMode="External"/><Relationship Id="rId195" Type="http://schemas.openxmlformats.org/officeDocument/2006/relationships/hyperlink" Target="https://www.dijones.com.au/" TargetMode="External"/><Relationship Id="rId1919" Type="http://schemas.openxmlformats.org/officeDocument/2006/relationships/hyperlink" Target="http://dayton247now.com/" TargetMode="External"/><Relationship Id="rId2083" Type="http://schemas.openxmlformats.org/officeDocument/2006/relationships/hyperlink" Target="http://hushblankets.com/" TargetMode="External"/><Relationship Id="rId2290" Type="http://schemas.openxmlformats.org/officeDocument/2006/relationships/hyperlink" Target="http://nlscleaning.net/" TargetMode="External"/><Relationship Id="rId2388" Type="http://schemas.openxmlformats.org/officeDocument/2006/relationships/hyperlink" Target="http://resnickroof.com/" TargetMode="External"/><Relationship Id="rId2595" Type="http://schemas.openxmlformats.org/officeDocument/2006/relationships/hyperlink" Target="http://webuyhouses.com/" TargetMode="External"/><Relationship Id="rId262" Type="http://schemas.openxmlformats.org/officeDocument/2006/relationships/hyperlink" Target="https://www.skylinesolar.com.au/" TargetMode="External"/><Relationship Id="rId567" Type="http://schemas.openxmlformats.org/officeDocument/2006/relationships/hyperlink" Target="https://cgifurniture.com/" TargetMode="External"/><Relationship Id="rId1197" Type="http://schemas.openxmlformats.org/officeDocument/2006/relationships/hyperlink" Target="https://archicgi.com/" TargetMode="External"/><Relationship Id="rId2150" Type="http://schemas.openxmlformats.org/officeDocument/2006/relationships/hyperlink" Target="http://kentuckysellnow.com/" TargetMode="External"/><Relationship Id="rId2248" Type="http://schemas.openxmlformats.org/officeDocument/2006/relationships/hyperlink" Target="http://webuyhousesinatlanta.com/" TargetMode="External"/><Relationship Id="rId122" Type="http://schemas.openxmlformats.org/officeDocument/2006/relationships/hyperlink" Target="https://www.catchmaster.com/" TargetMode="External"/><Relationship Id="rId774" Type="http://schemas.openxmlformats.org/officeDocument/2006/relationships/hyperlink" Target="https://www.cahillheating.com/" TargetMode="External"/><Relationship Id="rId981" Type="http://schemas.openxmlformats.org/officeDocument/2006/relationships/hyperlink" Target="https://breezeful.com/" TargetMode="External"/><Relationship Id="rId1057" Type="http://schemas.openxmlformats.org/officeDocument/2006/relationships/hyperlink" Target="https://www.robbrealtyatlanta.com/" TargetMode="External"/><Relationship Id="rId2010" Type="http://schemas.openxmlformats.org/officeDocument/2006/relationships/hyperlink" Target="http://thewalllightingcompany.co.uk/" TargetMode="External"/><Relationship Id="rId2455" Type="http://schemas.openxmlformats.org/officeDocument/2006/relationships/hyperlink" Target="http://alpharod.co.uk/" TargetMode="External"/><Relationship Id="rId427" Type="http://schemas.openxmlformats.org/officeDocument/2006/relationships/hyperlink" Target="https://letsgetmoving.ca/" TargetMode="External"/><Relationship Id="rId634" Type="http://schemas.openxmlformats.org/officeDocument/2006/relationships/hyperlink" Target="https://impact.ca/" TargetMode="External"/><Relationship Id="rId841" Type="http://schemas.openxmlformats.org/officeDocument/2006/relationships/hyperlink" Target="https://westontable.com/" TargetMode="External"/><Relationship Id="rId1264" Type="http://schemas.openxmlformats.org/officeDocument/2006/relationships/hyperlink" Target="https://serenitymovingservices.com/" TargetMode="External"/><Relationship Id="rId1471" Type="http://schemas.openxmlformats.org/officeDocument/2006/relationships/hyperlink" Target="http://newportrentals.com/" TargetMode="External"/><Relationship Id="rId1569" Type="http://schemas.openxmlformats.org/officeDocument/2006/relationships/hyperlink" Target="http://dardenbuildingmaterial.com/" TargetMode="External"/><Relationship Id="rId2108" Type="http://schemas.openxmlformats.org/officeDocument/2006/relationships/hyperlink" Target="http://homestratosphere.com/" TargetMode="External"/><Relationship Id="rId2315" Type="http://schemas.openxmlformats.org/officeDocument/2006/relationships/hyperlink" Target="http://elledecor.com/" TargetMode="External"/><Relationship Id="rId2522" Type="http://schemas.openxmlformats.org/officeDocument/2006/relationships/hyperlink" Target="https://ruddertx.com/writeforus/" TargetMode="External"/><Relationship Id="rId701" Type="http://schemas.openxmlformats.org/officeDocument/2006/relationships/hyperlink" Target="https://homelet.co.uk/" TargetMode="External"/><Relationship Id="rId939" Type="http://schemas.openxmlformats.org/officeDocument/2006/relationships/hyperlink" Target="https://www.lanewaymagazine.com.au/" TargetMode="External"/><Relationship Id="rId1124" Type="http://schemas.openxmlformats.org/officeDocument/2006/relationships/hyperlink" Target="https://welovejunkphilly.com/" TargetMode="External"/><Relationship Id="rId1331" Type="http://schemas.openxmlformats.org/officeDocument/2006/relationships/hyperlink" Target="https://apexwindowwerks.com/" TargetMode="External"/><Relationship Id="rId1776" Type="http://schemas.openxmlformats.org/officeDocument/2006/relationships/hyperlink" Target="http://uniquevanities.com/" TargetMode="External"/><Relationship Id="rId1983" Type="http://schemas.openxmlformats.org/officeDocument/2006/relationships/hyperlink" Target="http://zumperrentals.com/" TargetMode="External"/><Relationship Id="rId68" Type="http://schemas.openxmlformats.org/officeDocument/2006/relationships/hyperlink" Target="https://www.energync.org/" TargetMode="External"/><Relationship Id="rId1429" Type="http://schemas.openxmlformats.org/officeDocument/2006/relationships/hyperlink" Target="https://that1painter.com/" TargetMode="External"/><Relationship Id="rId1636" Type="http://schemas.openxmlformats.org/officeDocument/2006/relationships/hyperlink" Target="http://kanga-roof.com/" TargetMode="External"/><Relationship Id="rId1843" Type="http://schemas.openxmlformats.org/officeDocument/2006/relationships/hyperlink" Target="http://infinitybuildersaz.com/" TargetMode="External"/><Relationship Id="rId1703" Type="http://schemas.openxmlformats.org/officeDocument/2006/relationships/hyperlink" Target="http://kitsaphomepro.com/" TargetMode="External"/><Relationship Id="rId1910" Type="http://schemas.openxmlformats.org/officeDocument/2006/relationships/hyperlink" Target="http://storagecafe.com/" TargetMode="External"/><Relationship Id="rId284" Type="http://schemas.openxmlformats.org/officeDocument/2006/relationships/hyperlink" Target="https://furnitureinfashion.net/" TargetMode="External"/><Relationship Id="rId491" Type="http://schemas.openxmlformats.org/officeDocument/2006/relationships/hyperlink" Target="https://www.gatsbyglass.com/" TargetMode="External"/><Relationship Id="rId2172" Type="http://schemas.openxmlformats.org/officeDocument/2006/relationships/hyperlink" Target="http://aramendia.com/" TargetMode="External"/><Relationship Id="rId144" Type="http://schemas.openxmlformats.org/officeDocument/2006/relationships/hyperlink" Target="https://neatcleaning.com.au/" TargetMode="External"/><Relationship Id="rId589" Type="http://schemas.openxmlformats.org/officeDocument/2006/relationships/hyperlink" Target="https://www.thehairpinlegcompany.co.uk/" TargetMode="External"/><Relationship Id="rId796" Type="http://schemas.openxmlformats.org/officeDocument/2006/relationships/hyperlink" Target="https://roofomega.com/" TargetMode="External"/><Relationship Id="rId2477" Type="http://schemas.openxmlformats.org/officeDocument/2006/relationships/hyperlink" Target="http://dutchcraftfurniture.com/" TargetMode="External"/><Relationship Id="rId351" Type="http://schemas.openxmlformats.org/officeDocument/2006/relationships/hyperlink" Target="https://www.chartersestateagents.co.uk/" TargetMode="External"/><Relationship Id="rId449" Type="http://schemas.openxmlformats.org/officeDocument/2006/relationships/hyperlink" Target="https://arcadium3d.com/" TargetMode="External"/><Relationship Id="rId656" Type="http://schemas.openxmlformats.org/officeDocument/2006/relationships/hyperlink" Target="https://www.canadasafetytraining.com/" TargetMode="External"/><Relationship Id="rId863" Type="http://schemas.openxmlformats.org/officeDocument/2006/relationships/hyperlink" Target="https://ark7.com/" TargetMode="External"/><Relationship Id="rId1079" Type="http://schemas.openxmlformats.org/officeDocument/2006/relationships/hyperlink" Target="https://www.contractorbond.org/" TargetMode="External"/><Relationship Id="rId1286" Type="http://schemas.openxmlformats.org/officeDocument/2006/relationships/hyperlink" Target="https://www.bigdaddykreativ.ca/" TargetMode="External"/><Relationship Id="rId1493" Type="http://schemas.openxmlformats.org/officeDocument/2006/relationships/hyperlink" Target="http://kipsbaydecoratorshowhouse.org/" TargetMode="External"/><Relationship Id="rId2032" Type="http://schemas.openxmlformats.org/officeDocument/2006/relationships/hyperlink" Target="http://solidstoneworktops.co.uk/" TargetMode="External"/><Relationship Id="rId2337" Type="http://schemas.openxmlformats.org/officeDocument/2006/relationships/hyperlink" Target="http://metalceilingexpress.com/" TargetMode="External"/><Relationship Id="rId2544" Type="http://schemas.openxmlformats.org/officeDocument/2006/relationships/hyperlink" Target="https://appleplumbing.com/" TargetMode="External"/><Relationship Id="rId211" Type="http://schemas.openxmlformats.org/officeDocument/2006/relationships/hyperlink" Target="https://www.williamslumber.com/" TargetMode="External"/><Relationship Id="rId309" Type="http://schemas.openxmlformats.org/officeDocument/2006/relationships/hyperlink" Target="https://tenantturner.com/" TargetMode="External"/><Relationship Id="rId516" Type="http://schemas.openxmlformats.org/officeDocument/2006/relationships/hyperlink" Target="https://stairhoppers.com/" TargetMode="External"/><Relationship Id="rId1146" Type="http://schemas.openxmlformats.org/officeDocument/2006/relationships/hyperlink" Target="https://www.handle.com/" TargetMode="External"/><Relationship Id="rId1798" Type="http://schemas.openxmlformats.org/officeDocument/2006/relationships/hyperlink" Target="http://rebornrenovations.com/" TargetMode="External"/><Relationship Id="rId723" Type="http://schemas.openxmlformats.org/officeDocument/2006/relationships/hyperlink" Target="https://worldcoppersmith.com/" TargetMode="External"/><Relationship Id="rId930" Type="http://schemas.openxmlformats.org/officeDocument/2006/relationships/hyperlink" Target="https://www.raylyonrealty.com/" TargetMode="External"/><Relationship Id="rId1006" Type="http://schemas.openxmlformats.org/officeDocument/2006/relationships/hyperlink" Target="https://starvingstudents.com/" TargetMode="External"/><Relationship Id="rId1353" Type="http://schemas.openxmlformats.org/officeDocument/2006/relationships/hyperlink" Target="https://www.ozlighting.com.au/" TargetMode="External"/><Relationship Id="rId1560" Type="http://schemas.openxmlformats.org/officeDocument/2006/relationships/hyperlink" Target="http://organizedinteriors.com/" TargetMode="External"/><Relationship Id="rId1658" Type="http://schemas.openxmlformats.org/officeDocument/2006/relationships/hyperlink" Target="http://easyrenovation.ca/" TargetMode="External"/><Relationship Id="rId1865" Type="http://schemas.openxmlformats.org/officeDocument/2006/relationships/hyperlink" Target="http://martinlegacyholdings.com/" TargetMode="External"/><Relationship Id="rId2404" Type="http://schemas.openxmlformats.org/officeDocument/2006/relationships/hyperlink" Target="http://artincontext.org/" TargetMode="External"/><Relationship Id="rId2611" Type="http://schemas.openxmlformats.org/officeDocument/2006/relationships/hyperlink" Target="https://www.luxdeco.com/" TargetMode="External"/><Relationship Id="rId1213" Type="http://schemas.openxmlformats.org/officeDocument/2006/relationships/hyperlink" Target="https://prairieexteriors.com/" TargetMode="External"/><Relationship Id="rId1420" Type="http://schemas.openxmlformats.org/officeDocument/2006/relationships/hyperlink" Target="https://barrierreefpools.com/" TargetMode="External"/><Relationship Id="rId1518" Type="http://schemas.openxmlformats.org/officeDocument/2006/relationships/hyperlink" Target="http://paystubcreator.net/" TargetMode="External"/><Relationship Id="rId1725" Type="http://schemas.openxmlformats.org/officeDocument/2006/relationships/hyperlink" Target="http://architectsjournal.co.uk/" TargetMode="External"/><Relationship Id="rId1932" Type="http://schemas.openxmlformats.org/officeDocument/2006/relationships/hyperlink" Target="http://lightingnewyork.com/" TargetMode="External"/><Relationship Id="rId17" Type="http://schemas.openxmlformats.org/officeDocument/2006/relationships/hyperlink" Target="https://cleanercleaner.co.uk/" TargetMode="External"/><Relationship Id="rId2194" Type="http://schemas.openxmlformats.org/officeDocument/2006/relationships/hyperlink" Target="http://condocontrol.com/" TargetMode="External"/><Relationship Id="rId166" Type="http://schemas.openxmlformats.org/officeDocument/2006/relationships/hyperlink" Target="https://imaginemaids.com/" TargetMode="External"/><Relationship Id="rId373" Type="http://schemas.openxmlformats.org/officeDocument/2006/relationships/hyperlink" Target="https://goldcoastplumbingexperts.com.au/" TargetMode="External"/><Relationship Id="rId580" Type="http://schemas.openxmlformats.org/officeDocument/2006/relationships/hyperlink" Target="https://www.christiansonco.com/" TargetMode="External"/><Relationship Id="rId2054" Type="http://schemas.openxmlformats.org/officeDocument/2006/relationships/hyperlink" Target="http://padaura.com/" TargetMode="External"/><Relationship Id="rId2261" Type="http://schemas.openxmlformats.org/officeDocument/2006/relationships/hyperlink" Target="http://brendacoulter.ca/" TargetMode="External"/><Relationship Id="rId2499" Type="http://schemas.openxmlformats.org/officeDocument/2006/relationships/hyperlink" Target="http://amywax.com/" TargetMode="External"/><Relationship Id="rId1" Type="http://schemas.openxmlformats.org/officeDocument/2006/relationships/hyperlink" Target="https://cashhomebuyerguide.com/" TargetMode="External"/><Relationship Id="rId233" Type="http://schemas.openxmlformats.org/officeDocument/2006/relationships/hyperlink" Target="https://aquariushomeservices.com/" TargetMode="External"/><Relationship Id="rId440" Type="http://schemas.openxmlformats.org/officeDocument/2006/relationships/hyperlink" Target="https://www.imoving.com/" TargetMode="External"/><Relationship Id="rId678" Type="http://schemas.openxmlformats.org/officeDocument/2006/relationships/hyperlink" Target="https://www.digitalbluefoam.com/" TargetMode="External"/><Relationship Id="rId885" Type="http://schemas.openxmlformats.org/officeDocument/2006/relationships/hyperlink" Target="https://appleroof.com/" TargetMode="External"/><Relationship Id="rId1070" Type="http://schemas.openxmlformats.org/officeDocument/2006/relationships/hyperlink" Target="https://www.storagebuildingcentral.com/" TargetMode="External"/><Relationship Id="rId2121" Type="http://schemas.openxmlformats.org/officeDocument/2006/relationships/hyperlink" Target="http://henryhomebuyer.com/" TargetMode="External"/><Relationship Id="rId2359" Type="http://schemas.openxmlformats.org/officeDocument/2006/relationships/hyperlink" Target="http://hoa.org.uk/" TargetMode="External"/><Relationship Id="rId2566" Type="http://schemas.openxmlformats.org/officeDocument/2006/relationships/hyperlink" Target="https://whiteglovemoving.us/" TargetMode="External"/><Relationship Id="rId300" Type="http://schemas.openxmlformats.org/officeDocument/2006/relationships/hyperlink" Target="https://webuyanyvegashouse.com/" TargetMode="External"/><Relationship Id="rId538" Type="http://schemas.openxmlformats.org/officeDocument/2006/relationships/hyperlink" Target="https://mypinnacleroofing.com/" TargetMode="External"/><Relationship Id="rId745" Type="http://schemas.openxmlformats.org/officeDocument/2006/relationships/hyperlink" Target="https://www.traderadiators.com/" TargetMode="External"/><Relationship Id="rId952" Type="http://schemas.openxmlformats.org/officeDocument/2006/relationships/hyperlink" Target="https://loans2go.co.uk/" TargetMode="External"/><Relationship Id="rId1168" Type="http://schemas.openxmlformats.org/officeDocument/2006/relationships/hyperlink" Target="https://www.realestatewords.com/" TargetMode="External"/><Relationship Id="rId1375" Type="http://schemas.openxmlformats.org/officeDocument/2006/relationships/hyperlink" Target="https://fencingquotesonline.com.au/" TargetMode="External"/><Relationship Id="rId1582" Type="http://schemas.openxmlformats.org/officeDocument/2006/relationships/hyperlink" Target="http://kindhousebuyers.com/" TargetMode="External"/><Relationship Id="rId2219" Type="http://schemas.openxmlformats.org/officeDocument/2006/relationships/hyperlink" Target="http://barnettelectrical.com/" TargetMode="External"/><Relationship Id="rId2426" Type="http://schemas.openxmlformats.org/officeDocument/2006/relationships/hyperlink" Target="http://roofmaxx.com/" TargetMode="External"/><Relationship Id="rId81" Type="http://schemas.openxmlformats.org/officeDocument/2006/relationships/hyperlink" Target="https://www.fieldcircle.com/" TargetMode="External"/><Relationship Id="rId605" Type="http://schemas.openxmlformats.org/officeDocument/2006/relationships/hyperlink" Target="https://klinecollective.com/" TargetMode="External"/><Relationship Id="rId812" Type="http://schemas.openxmlformats.org/officeDocument/2006/relationships/hyperlink" Target="https://www.simplelighting.co.uk/" TargetMode="External"/><Relationship Id="rId1028" Type="http://schemas.openxmlformats.org/officeDocument/2006/relationships/hyperlink" Target="https://www.carolinarealestatecentral.com/" TargetMode="External"/><Relationship Id="rId1235" Type="http://schemas.openxmlformats.org/officeDocument/2006/relationships/hyperlink" Target="https://www.eyringmovers.com/" TargetMode="External"/><Relationship Id="rId1442" Type="http://schemas.openxmlformats.org/officeDocument/2006/relationships/hyperlink" Target="http://tusseylandscaping.com/" TargetMode="External"/><Relationship Id="rId1887" Type="http://schemas.openxmlformats.org/officeDocument/2006/relationships/hyperlink" Target="http://humberviewinsurance.ca/" TargetMode="External"/><Relationship Id="rId1302" Type="http://schemas.openxmlformats.org/officeDocument/2006/relationships/hyperlink" Target="https://canadoorsystems.com/" TargetMode="External"/><Relationship Id="rId1747" Type="http://schemas.openxmlformats.org/officeDocument/2006/relationships/hyperlink" Target="http://a-abel.com/" TargetMode="External"/><Relationship Id="rId1954" Type="http://schemas.openxmlformats.org/officeDocument/2006/relationships/hyperlink" Target="http://myfittedbedroom.com/" TargetMode="External"/><Relationship Id="rId39" Type="http://schemas.openxmlformats.org/officeDocument/2006/relationships/hyperlink" Target="https://rentprep.com/" TargetMode="External"/><Relationship Id="rId1607" Type="http://schemas.openxmlformats.org/officeDocument/2006/relationships/hyperlink" Target="http://earnest.com/" TargetMode="External"/><Relationship Id="rId1814" Type="http://schemas.openxmlformats.org/officeDocument/2006/relationships/hyperlink" Target="http://hiltonheadrealtysales.com/" TargetMode="External"/><Relationship Id="rId188" Type="http://schemas.openxmlformats.org/officeDocument/2006/relationships/hyperlink" Target="https://www.mrroof.com/" TargetMode="External"/><Relationship Id="rId395" Type="http://schemas.openxmlformats.org/officeDocument/2006/relationships/hyperlink" Target="https://rtrlaw.com/" TargetMode="External"/><Relationship Id="rId2076" Type="http://schemas.openxmlformats.org/officeDocument/2006/relationships/hyperlink" Target="http://birnieplumbinganddrains.ca/" TargetMode="External"/><Relationship Id="rId2283" Type="http://schemas.openxmlformats.org/officeDocument/2006/relationships/hyperlink" Target="http://watertight-homes.co.uk/" TargetMode="External"/><Relationship Id="rId2490" Type="http://schemas.openxmlformats.org/officeDocument/2006/relationships/hyperlink" Target="http://brightbuilthome.com/" TargetMode="External"/><Relationship Id="rId2588" Type="http://schemas.openxmlformats.org/officeDocument/2006/relationships/hyperlink" Target="https://scgmn.com/" TargetMode="External"/><Relationship Id="rId255" Type="http://schemas.openxmlformats.org/officeDocument/2006/relationships/hyperlink" Target="https://www.luvanto.com/" TargetMode="External"/><Relationship Id="rId462" Type="http://schemas.openxmlformats.org/officeDocument/2006/relationships/hyperlink" Target="https://www.housingwire.com/" TargetMode="External"/><Relationship Id="rId1092" Type="http://schemas.openxmlformats.org/officeDocument/2006/relationships/hyperlink" Target="https://www.theinvestorsedge.com/" TargetMode="External"/><Relationship Id="rId1397" Type="http://schemas.openxmlformats.org/officeDocument/2006/relationships/hyperlink" Target="https://rochestercp.com/" TargetMode="External"/><Relationship Id="rId2143" Type="http://schemas.openxmlformats.org/officeDocument/2006/relationships/hyperlink" Target="http://joehomebuyersocalmetro.com/" TargetMode="External"/><Relationship Id="rId2350" Type="http://schemas.openxmlformats.org/officeDocument/2006/relationships/hyperlink" Target="http://krosswood.com/" TargetMode="External"/><Relationship Id="rId115" Type="http://schemas.openxmlformats.org/officeDocument/2006/relationships/hyperlink" Target="https://charlottelegaladvocacy.org/" TargetMode="External"/><Relationship Id="rId322" Type="http://schemas.openxmlformats.org/officeDocument/2006/relationships/hyperlink" Target="https://www.hunterfan.com/" TargetMode="External"/><Relationship Id="rId767" Type="http://schemas.openxmlformats.org/officeDocument/2006/relationships/hyperlink" Target="https://www.floornmoresouthlake.com/" TargetMode="External"/><Relationship Id="rId974" Type="http://schemas.openxmlformats.org/officeDocument/2006/relationships/hyperlink" Target="https://ndms.com/" TargetMode="External"/><Relationship Id="rId2003" Type="http://schemas.openxmlformats.org/officeDocument/2006/relationships/hyperlink" Target="http://infinitytxair.com/" TargetMode="External"/><Relationship Id="rId2210" Type="http://schemas.openxmlformats.org/officeDocument/2006/relationships/hyperlink" Target="http://theoriginalplumber.com/" TargetMode="External"/><Relationship Id="rId2448" Type="http://schemas.openxmlformats.org/officeDocument/2006/relationships/hyperlink" Target="http://radonpds.com/" TargetMode="External"/><Relationship Id="rId627" Type="http://schemas.openxmlformats.org/officeDocument/2006/relationships/hyperlink" Target="https://www.solarandgreenenergysolutions.com/" TargetMode="External"/><Relationship Id="rId834" Type="http://schemas.openxmlformats.org/officeDocument/2006/relationships/hyperlink" Target="https://www.supanet.com/" TargetMode="External"/><Relationship Id="rId1257" Type="http://schemas.openxmlformats.org/officeDocument/2006/relationships/hyperlink" Target="https://www.haltonstairliftsltd.co.uk/" TargetMode="External"/><Relationship Id="rId1464" Type="http://schemas.openxmlformats.org/officeDocument/2006/relationships/hyperlink" Target="http://floridahomefinder.com/" TargetMode="External"/><Relationship Id="rId1671" Type="http://schemas.openxmlformats.org/officeDocument/2006/relationships/hyperlink" Target="http://delrentals.com/" TargetMode="External"/><Relationship Id="rId2308" Type="http://schemas.openxmlformats.org/officeDocument/2006/relationships/hyperlink" Target="http://10kconstruction.com/" TargetMode="External"/><Relationship Id="rId2515" Type="http://schemas.openxmlformats.org/officeDocument/2006/relationships/hyperlink" Target="http://www.kimlee.ca/" TargetMode="External"/><Relationship Id="rId901" Type="http://schemas.openxmlformats.org/officeDocument/2006/relationships/hyperlink" Target="https://www.stpro.com.au/" TargetMode="External"/><Relationship Id="rId1117" Type="http://schemas.openxmlformats.org/officeDocument/2006/relationships/hyperlink" Target="https://www.realestate-idahofalls.com/" TargetMode="External"/><Relationship Id="rId1324" Type="http://schemas.openxmlformats.org/officeDocument/2006/relationships/hyperlink" Target="https://www.welchdesignstudio.com/" TargetMode="External"/><Relationship Id="rId1531" Type="http://schemas.openxmlformats.org/officeDocument/2006/relationships/hyperlink" Target="http://levelyourhouse.com/" TargetMode="External"/><Relationship Id="rId1769" Type="http://schemas.openxmlformats.org/officeDocument/2006/relationships/hyperlink" Target="http://cdgai.com/" TargetMode="External"/><Relationship Id="rId1976" Type="http://schemas.openxmlformats.org/officeDocument/2006/relationships/hyperlink" Target="http://lockpickworld.com/" TargetMode="External"/><Relationship Id="rId30" Type="http://schemas.openxmlformats.org/officeDocument/2006/relationships/hyperlink" Target="https://dreamworxexteriors.com/" TargetMode="External"/><Relationship Id="rId1629" Type="http://schemas.openxmlformats.org/officeDocument/2006/relationships/hyperlink" Target="http://ozclean.com.au/" TargetMode="External"/><Relationship Id="rId1836" Type="http://schemas.openxmlformats.org/officeDocument/2006/relationships/hyperlink" Target="http://justenergy.com/" TargetMode="External"/><Relationship Id="rId1903" Type="http://schemas.openxmlformats.org/officeDocument/2006/relationships/hyperlink" Target="http://landmarkroof.com/" TargetMode="External"/><Relationship Id="rId2098" Type="http://schemas.openxmlformats.org/officeDocument/2006/relationships/hyperlink" Target="http://lodgify.com/" TargetMode="External"/><Relationship Id="rId277" Type="http://schemas.openxmlformats.org/officeDocument/2006/relationships/hyperlink" Target="https://framelessshowerdoors.com/" TargetMode="External"/><Relationship Id="rId484" Type="http://schemas.openxmlformats.org/officeDocument/2006/relationships/hyperlink" Target="https://www.gardeneros.com/" TargetMode="External"/><Relationship Id="rId2165" Type="http://schemas.openxmlformats.org/officeDocument/2006/relationships/hyperlink" Target="http://revivalhomebuyer.com/" TargetMode="External"/><Relationship Id="rId137" Type="http://schemas.openxmlformats.org/officeDocument/2006/relationships/hyperlink" Target="https://prosuperiorconstruction.com/" TargetMode="External"/><Relationship Id="rId344" Type="http://schemas.openxmlformats.org/officeDocument/2006/relationships/hyperlink" Target="https://www.victorystore.com/" TargetMode="External"/><Relationship Id="rId691" Type="http://schemas.openxmlformats.org/officeDocument/2006/relationships/hyperlink" Target="https://ourtop10.com.au/" TargetMode="External"/><Relationship Id="rId789" Type="http://schemas.openxmlformats.org/officeDocument/2006/relationships/hyperlink" Target="https://thegoatwallart.com/" TargetMode="External"/><Relationship Id="rId996" Type="http://schemas.openxmlformats.org/officeDocument/2006/relationships/hyperlink" Target="https://gokcecapital.com/" TargetMode="External"/><Relationship Id="rId2025" Type="http://schemas.openxmlformats.org/officeDocument/2006/relationships/hyperlink" Target="http://excelbuilders.com/" TargetMode="External"/><Relationship Id="rId2372" Type="http://schemas.openxmlformats.org/officeDocument/2006/relationships/hyperlink" Target="http://grandrenovations.ca/" TargetMode="External"/><Relationship Id="rId551" Type="http://schemas.openxmlformats.org/officeDocument/2006/relationships/hyperlink" Target="https://christiankleinerluxuryrealestate.com/" TargetMode="External"/><Relationship Id="rId649" Type="http://schemas.openxmlformats.org/officeDocument/2006/relationships/hyperlink" Target="https://www.legacyhealing.com/" TargetMode="External"/><Relationship Id="rId856" Type="http://schemas.openxmlformats.org/officeDocument/2006/relationships/hyperlink" Target="https://www.sipthestyle.com/" TargetMode="External"/><Relationship Id="rId1181" Type="http://schemas.openxmlformats.org/officeDocument/2006/relationships/hyperlink" Target="https://www.california.com/" TargetMode="External"/><Relationship Id="rId1279" Type="http://schemas.openxmlformats.org/officeDocument/2006/relationships/hyperlink" Target="https://the-tech-trend.com/reviews/" TargetMode="External"/><Relationship Id="rId1486" Type="http://schemas.openxmlformats.org/officeDocument/2006/relationships/hyperlink" Target="http://clfarchitects.com/" TargetMode="External"/><Relationship Id="rId2232" Type="http://schemas.openxmlformats.org/officeDocument/2006/relationships/hyperlink" Target="http://designerdeck.ca/" TargetMode="External"/><Relationship Id="rId2537" Type="http://schemas.openxmlformats.org/officeDocument/2006/relationships/hyperlink" Target="https://heatherlandhomes.com/" TargetMode="External"/><Relationship Id="rId204" Type="http://schemas.openxmlformats.org/officeDocument/2006/relationships/hyperlink" Target="https://theownerbuildernetwork.co/" TargetMode="External"/><Relationship Id="rId411" Type="http://schemas.openxmlformats.org/officeDocument/2006/relationships/hyperlink" Target="https://www.fortisvaults.com.au/" TargetMode="External"/><Relationship Id="rId509" Type="http://schemas.openxmlformats.org/officeDocument/2006/relationships/hyperlink" Target="https://superiorplumbing.ca/" TargetMode="External"/><Relationship Id="rId1041" Type="http://schemas.openxmlformats.org/officeDocument/2006/relationships/hyperlink" Target="https://jome.com/" TargetMode="External"/><Relationship Id="rId1139" Type="http://schemas.openxmlformats.org/officeDocument/2006/relationships/hyperlink" Target="https://www.amazingmoves.com/" TargetMode="External"/><Relationship Id="rId1346" Type="http://schemas.openxmlformats.org/officeDocument/2006/relationships/hyperlink" Target="https://www.centralglass.com/" TargetMode="External"/><Relationship Id="rId1693" Type="http://schemas.openxmlformats.org/officeDocument/2006/relationships/hyperlink" Target="http://movesandmore.com/" TargetMode="External"/><Relationship Id="rId1998" Type="http://schemas.openxmlformats.org/officeDocument/2006/relationships/hyperlink" Target="http://dynamichomeremodel.com/" TargetMode="External"/><Relationship Id="rId716" Type="http://schemas.openxmlformats.org/officeDocument/2006/relationships/hyperlink" Target="https://www.ruvati.com/" TargetMode="External"/><Relationship Id="rId923" Type="http://schemas.openxmlformats.org/officeDocument/2006/relationships/hyperlink" Target="https://www.27estore.com/" TargetMode="External"/><Relationship Id="rId1553" Type="http://schemas.openxmlformats.org/officeDocument/2006/relationships/hyperlink" Target="http://pittsburghcashhomebuyers.com/" TargetMode="External"/><Relationship Id="rId1760" Type="http://schemas.openxmlformats.org/officeDocument/2006/relationships/hyperlink" Target="http://blackhawkfloors.com/" TargetMode="External"/><Relationship Id="rId1858" Type="http://schemas.openxmlformats.org/officeDocument/2006/relationships/hyperlink" Target="http://houseandgarden.co.uk/" TargetMode="External"/><Relationship Id="rId2604" Type="http://schemas.openxmlformats.org/officeDocument/2006/relationships/hyperlink" Target="https://www.pureinvestor.co.uk/" TargetMode="External"/><Relationship Id="rId52" Type="http://schemas.openxmlformats.org/officeDocument/2006/relationships/hyperlink" Target="https://thegorgezipline.com/" TargetMode="External"/><Relationship Id="rId1206" Type="http://schemas.openxmlformats.org/officeDocument/2006/relationships/hyperlink" Target="https://thedgbuilders.com/" TargetMode="External"/><Relationship Id="rId1413" Type="http://schemas.openxmlformats.org/officeDocument/2006/relationships/hyperlink" Target="https://www.advisorhub.com/" TargetMode="External"/><Relationship Id="rId1620" Type="http://schemas.openxmlformats.org/officeDocument/2006/relationships/hyperlink" Target="http://newamericanfunding.com/" TargetMode="External"/><Relationship Id="rId1718" Type="http://schemas.openxmlformats.org/officeDocument/2006/relationships/hyperlink" Target="http://tapi.co.uk/" TargetMode="External"/><Relationship Id="rId1925" Type="http://schemas.openxmlformats.org/officeDocument/2006/relationships/hyperlink" Target="http://halifax.co.uk/" TargetMode="External"/><Relationship Id="rId299" Type="http://schemas.openxmlformats.org/officeDocument/2006/relationships/hyperlink" Target="https://dycoventures.com/" TargetMode="External"/><Relationship Id="rId2187" Type="http://schemas.openxmlformats.org/officeDocument/2006/relationships/hyperlink" Target="http://montgomeryhomes.com.au/" TargetMode="External"/><Relationship Id="rId2394" Type="http://schemas.openxmlformats.org/officeDocument/2006/relationships/hyperlink" Target="http://roofingcalc.com/" TargetMode="External"/><Relationship Id="rId159" Type="http://schemas.openxmlformats.org/officeDocument/2006/relationships/hyperlink" Target="https://buildingcodetrainer.com/" TargetMode="External"/><Relationship Id="rId366" Type="http://schemas.openxmlformats.org/officeDocument/2006/relationships/hyperlink" Target="https://www.houstonproperties.com/" TargetMode="External"/><Relationship Id="rId573" Type="http://schemas.openxmlformats.org/officeDocument/2006/relationships/hyperlink" Target="https://www.boxstarmovers.com/" TargetMode="External"/><Relationship Id="rId780" Type="http://schemas.openxmlformats.org/officeDocument/2006/relationships/hyperlink" Target="https://www.inovayt.com.au/" TargetMode="External"/><Relationship Id="rId2047" Type="http://schemas.openxmlformats.org/officeDocument/2006/relationships/hyperlink" Target="http://aaagaragedoorswa.com/" TargetMode="External"/><Relationship Id="rId2254" Type="http://schemas.openxmlformats.org/officeDocument/2006/relationships/hyperlink" Target="http://gen819.com/" TargetMode="External"/><Relationship Id="rId2461" Type="http://schemas.openxmlformats.org/officeDocument/2006/relationships/hyperlink" Target="http://drillbitwarehouse.com/" TargetMode="External"/><Relationship Id="rId226" Type="http://schemas.openxmlformats.org/officeDocument/2006/relationships/hyperlink" Target="https://www.visiolending.com/" TargetMode="External"/><Relationship Id="rId433" Type="http://schemas.openxmlformats.org/officeDocument/2006/relationships/hyperlink" Target="https://www.roofingcontractor.com/" TargetMode="External"/><Relationship Id="rId878" Type="http://schemas.openxmlformats.org/officeDocument/2006/relationships/hyperlink" Target="https://realnyproperties.com/" TargetMode="External"/><Relationship Id="rId1063" Type="http://schemas.openxmlformats.org/officeDocument/2006/relationships/hyperlink" Target="https://www.lemonlawlawyerscalifornia.com/" TargetMode="External"/><Relationship Id="rId1270" Type="http://schemas.openxmlformats.org/officeDocument/2006/relationships/hyperlink" Target="https://ismartgate.com/" TargetMode="External"/><Relationship Id="rId2114" Type="http://schemas.openxmlformats.org/officeDocument/2006/relationships/hyperlink" Target="http://majesticstairs.com.au/" TargetMode="External"/><Relationship Id="rId2559" Type="http://schemas.openxmlformats.org/officeDocument/2006/relationships/hyperlink" Target="http://orcarealty.ca/" TargetMode="External"/><Relationship Id="rId640" Type="http://schemas.openxmlformats.org/officeDocument/2006/relationships/hyperlink" Target="https://getbatsout.com/" TargetMode="External"/><Relationship Id="rId738" Type="http://schemas.openxmlformats.org/officeDocument/2006/relationships/hyperlink" Target="https://www.perthwindowreplacement.com.au/" TargetMode="External"/><Relationship Id="rId945" Type="http://schemas.openxmlformats.org/officeDocument/2006/relationships/hyperlink" Target="https://www.heathersellshouses.com/" TargetMode="External"/><Relationship Id="rId1368" Type="http://schemas.openxmlformats.org/officeDocument/2006/relationships/hyperlink" Target="https://www.cabinetset.com/" TargetMode="External"/><Relationship Id="rId1575" Type="http://schemas.openxmlformats.org/officeDocument/2006/relationships/hyperlink" Target="http://floridacashhomebuyers.com/" TargetMode="External"/><Relationship Id="rId1782" Type="http://schemas.openxmlformats.org/officeDocument/2006/relationships/hyperlink" Target="http://slidingdoorwardrobe.uk/" TargetMode="External"/><Relationship Id="rId2321" Type="http://schemas.openxmlformats.org/officeDocument/2006/relationships/hyperlink" Target="http://usnews.com/" TargetMode="External"/><Relationship Id="rId2419" Type="http://schemas.openxmlformats.org/officeDocument/2006/relationships/hyperlink" Target="http://logicstics.com/" TargetMode="External"/><Relationship Id="rId2626" Type="http://schemas.openxmlformats.org/officeDocument/2006/relationships/hyperlink" Target="https://anationofmoms.com/" TargetMode="External"/><Relationship Id="rId74" Type="http://schemas.openxmlformats.org/officeDocument/2006/relationships/hyperlink" Target="https://wanbridge.com/" TargetMode="External"/><Relationship Id="rId500" Type="http://schemas.openxmlformats.org/officeDocument/2006/relationships/hyperlink" Target="https://officefurnitureonline.co.uk/" TargetMode="External"/><Relationship Id="rId805" Type="http://schemas.openxmlformats.org/officeDocument/2006/relationships/hyperlink" Target="https://www.goldstarbuildings.com/" TargetMode="External"/><Relationship Id="rId1130" Type="http://schemas.openxmlformats.org/officeDocument/2006/relationships/hyperlink" Target="https://metropolitan.realestate/" TargetMode="External"/><Relationship Id="rId1228" Type="http://schemas.openxmlformats.org/officeDocument/2006/relationships/hyperlink" Target="https://urbankitchens.co.uk/" TargetMode="External"/><Relationship Id="rId1435" Type="http://schemas.openxmlformats.org/officeDocument/2006/relationships/hyperlink" Target="http://cworkshop.co.uk/" TargetMode="External"/><Relationship Id="rId1642" Type="http://schemas.openxmlformats.org/officeDocument/2006/relationships/hyperlink" Target="http://triodoors.ca/" TargetMode="External"/><Relationship Id="rId1947" Type="http://schemas.openxmlformats.org/officeDocument/2006/relationships/hyperlink" Target="http://landhub.com/" TargetMode="External"/><Relationship Id="rId1502" Type="http://schemas.openxmlformats.org/officeDocument/2006/relationships/hyperlink" Target="http://companionmaids.com/" TargetMode="External"/><Relationship Id="rId1807" Type="http://schemas.openxmlformats.org/officeDocument/2006/relationships/hyperlink" Target="http://orchard.com/" TargetMode="External"/><Relationship Id="rId290" Type="http://schemas.openxmlformats.org/officeDocument/2006/relationships/hyperlink" Target="https://www.creditninja.com/" TargetMode="External"/><Relationship Id="rId388" Type="http://schemas.openxmlformats.org/officeDocument/2006/relationships/hyperlink" Target="https://enhancedhome.com.au/" TargetMode="External"/><Relationship Id="rId2069" Type="http://schemas.openxmlformats.org/officeDocument/2006/relationships/hyperlink" Target="http://belktile.com/" TargetMode="External"/><Relationship Id="rId150" Type="http://schemas.openxmlformats.org/officeDocument/2006/relationships/hyperlink" Target="https://blindstyle.co.uk/" TargetMode="External"/><Relationship Id="rId595" Type="http://schemas.openxmlformats.org/officeDocument/2006/relationships/hyperlink" Target="https://constructiontraininggroup.com.au/" TargetMode="External"/><Relationship Id="rId2276" Type="http://schemas.openxmlformats.org/officeDocument/2006/relationships/hyperlink" Target="http://neutypechic.com/" TargetMode="External"/><Relationship Id="rId2483" Type="http://schemas.openxmlformats.org/officeDocument/2006/relationships/hyperlink" Target="http://belfurniture.com/" TargetMode="External"/><Relationship Id="rId248" Type="http://schemas.openxmlformats.org/officeDocument/2006/relationships/hyperlink" Target="https://sealed.com/" TargetMode="External"/><Relationship Id="rId455" Type="http://schemas.openxmlformats.org/officeDocument/2006/relationships/hyperlink" Target="https://www.martinlegacyholdings.com/" TargetMode="External"/><Relationship Id="rId662" Type="http://schemas.openxmlformats.org/officeDocument/2006/relationships/hyperlink" Target="https://mypieceofcakemove.com/" TargetMode="External"/><Relationship Id="rId1085" Type="http://schemas.openxmlformats.org/officeDocument/2006/relationships/hyperlink" Target="https://shedplans.org/" TargetMode="External"/><Relationship Id="rId1292" Type="http://schemas.openxmlformats.org/officeDocument/2006/relationships/hyperlink" Target="https://www.thededicatedhouse.com/" TargetMode="External"/><Relationship Id="rId2136" Type="http://schemas.openxmlformats.org/officeDocument/2006/relationships/hyperlink" Target="http://ateambuyshomes.com/" TargetMode="External"/><Relationship Id="rId2343" Type="http://schemas.openxmlformats.org/officeDocument/2006/relationships/hyperlink" Target="http://budgetheating.com/" TargetMode="External"/><Relationship Id="rId2550" Type="http://schemas.openxmlformats.org/officeDocument/2006/relationships/hyperlink" Target="https://www.rocklynhomes.com/" TargetMode="External"/><Relationship Id="rId108" Type="http://schemas.openxmlformats.org/officeDocument/2006/relationships/hyperlink" Target="https://dgiwaterproofing.ca/" TargetMode="External"/><Relationship Id="rId315" Type="http://schemas.openxmlformats.org/officeDocument/2006/relationships/hyperlink" Target="https://internationalliving.com/" TargetMode="External"/><Relationship Id="rId522" Type="http://schemas.openxmlformats.org/officeDocument/2006/relationships/hyperlink" Target="https://www.homeguidemyrtlebeach.com/" TargetMode="External"/><Relationship Id="rId967" Type="http://schemas.openxmlformats.org/officeDocument/2006/relationships/hyperlink" Target="https://www.safestore.co.uk/" TargetMode="External"/><Relationship Id="rId1152" Type="http://schemas.openxmlformats.org/officeDocument/2006/relationships/hyperlink" Target="https://lajolla.com/" TargetMode="External"/><Relationship Id="rId1597" Type="http://schemas.openxmlformats.org/officeDocument/2006/relationships/hyperlink" Target="http://aboveroofing.com/" TargetMode="External"/><Relationship Id="rId2203" Type="http://schemas.openxmlformats.org/officeDocument/2006/relationships/hyperlink" Target="http://365businesstips.com/" TargetMode="External"/><Relationship Id="rId2410" Type="http://schemas.openxmlformats.org/officeDocument/2006/relationships/hyperlink" Target="http://austina.com.au/" TargetMode="External"/><Relationship Id="rId96" Type="http://schemas.openxmlformats.org/officeDocument/2006/relationships/hyperlink" Target="https://nelsonwesterberg.com/" TargetMode="External"/><Relationship Id="rId827" Type="http://schemas.openxmlformats.org/officeDocument/2006/relationships/hyperlink" Target="https://notrianglestudio.com/" TargetMode="External"/><Relationship Id="rId1012" Type="http://schemas.openxmlformats.org/officeDocument/2006/relationships/hyperlink" Target="https://restrightmattress.com/" TargetMode="External"/><Relationship Id="rId1457" Type="http://schemas.openxmlformats.org/officeDocument/2006/relationships/hyperlink" Target="http://nucleuscommercialfinance.com/" TargetMode="External"/><Relationship Id="rId1664" Type="http://schemas.openxmlformats.org/officeDocument/2006/relationships/hyperlink" Target="http://professionalroofers.com/" TargetMode="External"/><Relationship Id="rId1871" Type="http://schemas.openxmlformats.org/officeDocument/2006/relationships/hyperlink" Target="http://sunseekerdoors.co.uk/" TargetMode="External"/><Relationship Id="rId2508" Type="http://schemas.openxmlformats.org/officeDocument/2006/relationships/hyperlink" Target="https://www.agentadvice.com/" TargetMode="External"/><Relationship Id="rId1317" Type="http://schemas.openxmlformats.org/officeDocument/2006/relationships/hyperlink" Target="https://iheat.co.uk/" TargetMode="External"/><Relationship Id="rId1524" Type="http://schemas.openxmlformats.org/officeDocument/2006/relationships/hyperlink" Target="http://fairpricehousesale.com/" TargetMode="External"/><Relationship Id="rId1731" Type="http://schemas.openxmlformats.org/officeDocument/2006/relationships/hyperlink" Target="http://revolutionized.com/" TargetMode="External"/><Relationship Id="rId1969" Type="http://schemas.openxmlformats.org/officeDocument/2006/relationships/hyperlink" Target="http://absolutehomeservices.ca/" TargetMode="External"/><Relationship Id="rId23" Type="http://schemas.openxmlformats.org/officeDocument/2006/relationships/hyperlink" Target="https://houstonsuburb.com/" TargetMode="External"/><Relationship Id="rId1829" Type="http://schemas.openxmlformats.org/officeDocument/2006/relationships/hyperlink" Target="http://panes.com/" TargetMode="External"/><Relationship Id="rId2298" Type="http://schemas.openxmlformats.org/officeDocument/2006/relationships/hyperlink" Target="http://tanlertermite.com/" TargetMode="External"/><Relationship Id="rId172" Type="http://schemas.openxmlformats.org/officeDocument/2006/relationships/hyperlink" Target="https://debtbusters.com.au/" TargetMode="External"/><Relationship Id="rId477" Type="http://schemas.openxmlformats.org/officeDocument/2006/relationships/hyperlink" Target="https://shieldcoart.com/" TargetMode="External"/><Relationship Id="rId684" Type="http://schemas.openxmlformats.org/officeDocument/2006/relationships/hyperlink" Target="https://www.marshallwhite.com.au/" TargetMode="External"/><Relationship Id="rId2060" Type="http://schemas.openxmlformats.org/officeDocument/2006/relationships/hyperlink" Target="http://kitchenandbath.ca/" TargetMode="External"/><Relationship Id="rId2158" Type="http://schemas.openxmlformats.org/officeDocument/2006/relationships/hyperlink" Target="http://southernhillshomebuyers.com/" TargetMode="External"/><Relationship Id="rId2365" Type="http://schemas.openxmlformats.org/officeDocument/2006/relationships/hyperlink" Target="http://optimisedplumbingservices.com.au/" TargetMode="External"/><Relationship Id="rId337" Type="http://schemas.openxmlformats.org/officeDocument/2006/relationships/hyperlink" Target="https://debesto.com/en/" TargetMode="External"/><Relationship Id="rId891" Type="http://schemas.openxmlformats.org/officeDocument/2006/relationships/hyperlink" Target="https://www.americanstoragenc.com/" TargetMode="External"/><Relationship Id="rId989" Type="http://schemas.openxmlformats.org/officeDocument/2006/relationships/hyperlink" Target="https://www.ars.com/" TargetMode="External"/><Relationship Id="rId2018" Type="http://schemas.openxmlformats.org/officeDocument/2006/relationships/hyperlink" Target="http://kitchencabinetscalgary.ca/" TargetMode="External"/><Relationship Id="rId2572" Type="http://schemas.openxmlformats.org/officeDocument/2006/relationships/hyperlink" Target="https://24hourfloodpros.com/" TargetMode="External"/><Relationship Id="rId544" Type="http://schemas.openxmlformats.org/officeDocument/2006/relationships/hyperlink" Target="https://emperormarble.co.uk/" TargetMode="External"/><Relationship Id="rId751" Type="http://schemas.openxmlformats.org/officeDocument/2006/relationships/hyperlink" Target="https://lockandkeysheffield.co.uk/" TargetMode="External"/><Relationship Id="rId849" Type="http://schemas.openxmlformats.org/officeDocument/2006/relationships/hyperlink" Target="https://www.mightydogroofing.com/" TargetMode="External"/><Relationship Id="rId1174" Type="http://schemas.openxmlformats.org/officeDocument/2006/relationships/hyperlink" Target="https://www.calassoc-hoa.com/" TargetMode="External"/><Relationship Id="rId1381" Type="http://schemas.openxmlformats.org/officeDocument/2006/relationships/hyperlink" Target="https://sunvek.com/" TargetMode="External"/><Relationship Id="rId1479" Type="http://schemas.openxmlformats.org/officeDocument/2006/relationships/hyperlink" Target="http://1428brickell.com/" TargetMode="External"/><Relationship Id="rId1686" Type="http://schemas.openxmlformats.org/officeDocument/2006/relationships/hyperlink" Target="http://realpropertymgt.com/" TargetMode="External"/><Relationship Id="rId2225" Type="http://schemas.openxmlformats.org/officeDocument/2006/relationships/hyperlink" Target="http://acplumbing.com.au/" TargetMode="External"/><Relationship Id="rId2432" Type="http://schemas.openxmlformats.org/officeDocument/2006/relationships/hyperlink" Target="http://suddath.com/" TargetMode="External"/><Relationship Id="rId404" Type="http://schemas.openxmlformats.org/officeDocument/2006/relationships/hyperlink" Target="https://countrybrookdesign.com/" TargetMode="External"/><Relationship Id="rId611" Type="http://schemas.openxmlformats.org/officeDocument/2006/relationships/hyperlink" Target="https://bosshogbarndos.com/" TargetMode="External"/><Relationship Id="rId1034" Type="http://schemas.openxmlformats.org/officeDocument/2006/relationships/hyperlink" Target="https://www.landhub.com/" TargetMode="External"/><Relationship Id="rId1241" Type="http://schemas.openxmlformats.org/officeDocument/2006/relationships/hyperlink" Target="https://www.kgraberco.com/" TargetMode="External"/><Relationship Id="rId1339" Type="http://schemas.openxmlformats.org/officeDocument/2006/relationships/hyperlink" Target="https://www.slghomebuyer.ca/" TargetMode="External"/><Relationship Id="rId1893" Type="http://schemas.openxmlformats.org/officeDocument/2006/relationships/hyperlink" Target="http://trustedstays.co.uk/" TargetMode="External"/><Relationship Id="rId709" Type="http://schemas.openxmlformats.org/officeDocument/2006/relationships/hyperlink" Target="https://gaincity.com/" TargetMode="External"/><Relationship Id="rId916" Type="http://schemas.openxmlformats.org/officeDocument/2006/relationships/hyperlink" Target="https://www.spoolah.com/" TargetMode="External"/><Relationship Id="rId1101" Type="http://schemas.openxmlformats.org/officeDocument/2006/relationships/hyperlink" Target="https://www.housedigest.com/" TargetMode="External"/><Relationship Id="rId1546" Type="http://schemas.openxmlformats.org/officeDocument/2006/relationships/hyperlink" Target="http://northeastfactorydirect.com/" TargetMode="External"/><Relationship Id="rId1753" Type="http://schemas.openxmlformats.org/officeDocument/2006/relationships/hyperlink" Target="http://mortgagesolutions.net/" TargetMode="External"/><Relationship Id="rId1960" Type="http://schemas.openxmlformats.org/officeDocument/2006/relationships/hyperlink" Target="http://movingapt.com/" TargetMode="External"/><Relationship Id="rId45" Type="http://schemas.openxmlformats.org/officeDocument/2006/relationships/hyperlink" Target="https://housecashin.com/" TargetMode="External"/><Relationship Id="rId1406" Type="http://schemas.openxmlformats.org/officeDocument/2006/relationships/hyperlink" Target="https://www.factorypoolsperth.com.au/" TargetMode="External"/><Relationship Id="rId1613" Type="http://schemas.openxmlformats.org/officeDocument/2006/relationships/hyperlink" Target="http://propertymanagementto.com/" TargetMode="External"/><Relationship Id="rId1820" Type="http://schemas.openxmlformats.org/officeDocument/2006/relationships/hyperlink" Target="http://affordablecomfort.org/" TargetMode="External"/><Relationship Id="rId194" Type="http://schemas.openxmlformats.org/officeDocument/2006/relationships/hyperlink" Target="https://accessdoorcompany.com/" TargetMode="External"/><Relationship Id="rId1918" Type="http://schemas.openxmlformats.org/officeDocument/2006/relationships/hyperlink" Target="http://appraisalbuzz.com/" TargetMode="External"/><Relationship Id="rId2082" Type="http://schemas.openxmlformats.org/officeDocument/2006/relationships/hyperlink" Target="http://aginginplace.org/" TargetMode="External"/><Relationship Id="rId261" Type="http://schemas.openxmlformats.org/officeDocument/2006/relationships/hyperlink" Target="https://cheapstairparts.com/" TargetMode="External"/><Relationship Id="rId499" Type="http://schemas.openxmlformats.org/officeDocument/2006/relationships/hyperlink" Target="https://www.hollywoodmirrors.co.uk/" TargetMode="External"/><Relationship Id="rId2387" Type="http://schemas.openxmlformats.org/officeDocument/2006/relationships/hyperlink" Target="http://floor360.com/" TargetMode="External"/><Relationship Id="rId2594" Type="http://schemas.openxmlformats.org/officeDocument/2006/relationships/hyperlink" Target="https://ibuymichigan.com/" TargetMode="External"/><Relationship Id="rId359" Type="http://schemas.openxmlformats.org/officeDocument/2006/relationships/hyperlink" Target="https://www.nationaltoolwarehouse.com/" TargetMode="External"/><Relationship Id="rId566" Type="http://schemas.openxmlformats.org/officeDocument/2006/relationships/hyperlink" Target="https://thestoragecenter.com/" TargetMode="External"/><Relationship Id="rId773" Type="http://schemas.openxmlformats.org/officeDocument/2006/relationships/hyperlink" Target="https://clarksvilleconstruction.net/" TargetMode="External"/><Relationship Id="rId1196" Type="http://schemas.openxmlformats.org/officeDocument/2006/relationships/hyperlink" Target="https://boboates.com/" TargetMode="External"/><Relationship Id="rId2247" Type="http://schemas.openxmlformats.org/officeDocument/2006/relationships/hyperlink" Target="http://camheating.com/" TargetMode="External"/><Relationship Id="rId2454" Type="http://schemas.openxmlformats.org/officeDocument/2006/relationships/hyperlink" Target="http://paragon-protection.com/" TargetMode="External"/><Relationship Id="rId121" Type="http://schemas.openxmlformats.org/officeDocument/2006/relationships/hyperlink" Target="https://www.sabinehill.com/" TargetMode="External"/><Relationship Id="rId219" Type="http://schemas.openxmlformats.org/officeDocument/2006/relationships/hyperlink" Target="https://gopaschal.com/" TargetMode="External"/><Relationship Id="rId426" Type="http://schemas.openxmlformats.org/officeDocument/2006/relationships/hyperlink" Target="https://www.joinhomebase.com/" TargetMode="External"/><Relationship Id="rId633" Type="http://schemas.openxmlformats.org/officeDocument/2006/relationships/hyperlink" Target="https://elementmoving.com/" TargetMode="External"/><Relationship Id="rId980" Type="http://schemas.openxmlformats.org/officeDocument/2006/relationships/hyperlink" Target="https://teamenoch.com/" TargetMode="External"/><Relationship Id="rId1056" Type="http://schemas.openxmlformats.org/officeDocument/2006/relationships/hyperlink" Target="https://ecmservice.com/" TargetMode="External"/><Relationship Id="rId1263" Type="http://schemas.openxmlformats.org/officeDocument/2006/relationships/hyperlink" Target="https://lamunyon.com/" TargetMode="External"/><Relationship Id="rId2107" Type="http://schemas.openxmlformats.org/officeDocument/2006/relationships/hyperlink" Target="http://picturehangingsystems.com/" TargetMode="External"/><Relationship Id="rId2314" Type="http://schemas.openxmlformats.org/officeDocument/2006/relationships/hyperlink" Target="http://envirovent.com/" TargetMode="External"/><Relationship Id="rId840" Type="http://schemas.openxmlformats.org/officeDocument/2006/relationships/hyperlink" Target="https://www.ifoam.com/" TargetMode="External"/><Relationship Id="rId938" Type="http://schemas.openxmlformats.org/officeDocument/2006/relationships/hyperlink" Target="https://chadschwendeman.com/" TargetMode="External"/><Relationship Id="rId1470" Type="http://schemas.openxmlformats.org/officeDocument/2006/relationships/hyperlink" Target="http://yabby.com.au/" TargetMode="External"/><Relationship Id="rId1568" Type="http://schemas.openxmlformats.org/officeDocument/2006/relationships/hyperlink" Target="http://getencircle.com/" TargetMode="External"/><Relationship Id="rId1775" Type="http://schemas.openxmlformats.org/officeDocument/2006/relationships/hyperlink" Target="http://longdistancemoving.com/" TargetMode="External"/><Relationship Id="rId2521" Type="http://schemas.openxmlformats.org/officeDocument/2006/relationships/hyperlink" Target="https://www.carolinadesigns.com/" TargetMode="External"/><Relationship Id="rId2619" Type="http://schemas.openxmlformats.org/officeDocument/2006/relationships/hyperlink" Target="https://www.unitedcarpetsandbeds.com/" TargetMode="External"/><Relationship Id="rId67" Type="http://schemas.openxmlformats.org/officeDocument/2006/relationships/hyperlink" Target="https://hwpartstore.com/" TargetMode="External"/><Relationship Id="rId700" Type="http://schemas.openxmlformats.org/officeDocument/2006/relationships/hyperlink" Target="https://www.unitseastbay.com/" TargetMode="External"/><Relationship Id="rId1123" Type="http://schemas.openxmlformats.org/officeDocument/2006/relationships/hyperlink" Target="https://www.growingseedsofchange.com/" TargetMode="External"/><Relationship Id="rId1330" Type="http://schemas.openxmlformats.org/officeDocument/2006/relationships/hyperlink" Target="https://www.nationalappliancerepairs.com.au/" TargetMode="External"/><Relationship Id="rId1428" Type="http://schemas.openxmlformats.org/officeDocument/2006/relationships/hyperlink" Target="https://www.edenconstructionny.com/" TargetMode="External"/><Relationship Id="rId1635" Type="http://schemas.openxmlformats.org/officeDocument/2006/relationships/hyperlink" Target="http://asbestosaustraliaremovalist.com.au/" TargetMode="External"/><Relationship Id="rId1982" Type="http://schemas.openxmlformats.org/officeDocument/2006/relationships/hyperlink" Target="http://smiththompson.com/" TargetMode="External"/><Relationship Id="rId1842" Type="http://schemas.openxmlformats.org/officeDocument/2006/relationships/hyperlink" Target="http://mnnice.com/" TargetMode="External"/><Relationship Id="rId1702" Type="http://schemas.openxmlformats.org/officeDocument/2006/relationships/hyperlink" Target="http://iwillbuyyourhouseforcash.com/" TargetMode="External"/><Relationship Id="rId283" Type="http://schemas.openxmlformats.org/officeDocument/2006/relationships/hyperlink" Target="https://honeypotfurniture.co.uk/" TargetMode="External"/><Relationship Id="rId490" Type="http://schemas.openxmlformats.org/officeDocument/2006/relationships/hyperlink" Target="https://rubiomonocoat.co.uk/" TargetMode="External"/><Relationship Id="rId2171" Type="http://schemas.openxmlformats.org/officeDocument/2006/relationships/hyperlink" Target="http://sellmyhousefastforcash.com/" TargetMode="External"/><Relationship Id="rId143" Type="http://schemas.openxmlformats.org/officeDocument/2006/relationships/hyperlink" Target="https://www.mcap.com/" TargetMode="External"/><Relationship Id="rId350" Type="http://schemas.openxmlformats.org/officeDocument/2006/relationships/hyperlink" Target="https://royalbathrooms.co.uk/" TargetMode="External"/><Relationship Id="rId588" Type="http://schemas.openxmlformats.org/officeDocument/2006/relationships/hyperlink" Target="https://www.nationalfloorsdirect.com/" TargetMode="External"/><Relationship Id="rId795" Type="http://schemas.openxmlformats.org/officeDocument/2006/relationships/hyperlink" Target="https://trenchlesspedia.com/" TargetMode="External"/><Relationship Id="rId2031" Type="http://schemas.openxmlformats.org/officeDocument/2006/relationships/hyperlink" Target="http://ixlbuild.com/" TargetMode="External"/><Relationship Id="rId2269" Type="http://schemas.openxmlformats.org/officeDocument/2006/relationships/hyperlink" Target="http://boilercentral.com/" TargetMode="External"/><Relationship Id="rId2476" Type="http://schemas.openxmlformats.org/officeDocument/2006/relationships/hyperlink" Target="http://syntheticturfnorthwest.com/" TargetMode="External"/><Relationship Id="rId9" Type="http://schemas.openxmlformats.org/officeDocument/2006/relationships/hyperlink" Target="https://www.propertyware.com/" TargetMode="External"/><Relationship Id="rId210" Type="http://schemas.openxmlformats.org/officeDocument/2006/relationships/hyperlink" Target="https://guardiansafeandvault.com/" TargetMode="External"/><Relationship Id="rId448" Type="http://schemas.openxmlformats.org/officeDocument/2006/relationships/hyperlink" Target="https://printpanoramics.co.uk/" TargetMode="External"/><Relationship Id="rId655" Type="http://schemas.openxmlformats.org/officeDocument/2006/relationships/hyperlink" Target="https://buymovingleads.co/" TargetMode="External"/><Relationship Id="rId862" Type="http://schemas.openxmlformats.org/officeDocument/2006/relationships/hyperlink" Target="https://www.thecuriouslycreative.com/" TargetMode="External"/><Relationship Id="rId1078" Type="http://schemas.openxmlformats.org/officeDocument/2006/relationships/hyperlink" Target="https://www.mattwardhomes.com/" TargetMode="External"/><Relationship Id="rId1285" Type="http://schemas.openxmlformats.org/officeDocument/2006/relationships/hyperlink" Target="https://divinemagazine.biz/" TargetMode="External"/><Relationship Id="rId1492" Type="http://schemas.openxmlformats.org/officeDocument/2006/relationships/hyperlink" Target="http://arclinea.com/" TargetMode="External"/><Relationship Id="rId2129" Type="http://schemas.openxmlformats.org/officeDocument/2006/relationships/hyperlink" Target="http://turningpointhomebuyers.com/" TargetMode="External"/><Relationship Id="rId2336" Type="http://schemas.openxmlformats.org/officeDocument/2006/relationships/hyperlink" Target="http://elitelocksmiths.us/" TargetMode="External"/><Relationship Id="rId2543" Type="http://schemas.openxmlformats.org/officeDocument/2006/relationships/hyperlink" Target="https://www.smartsolarenergyco.com/" TargetMode="External"/><Relationship Id="rId308" Type="http://schemas.openxmlformats.org/officeDocument/2006/relationships/hyperlink" Target="https://kotohomes.com/" TargetMode="External"/><Relationship Id="rId515" Type="http://schemas.openxmlformats.org/officeDocument/2006/relationships/hyperlink" Target="https://commercialglasspartitions.com/" TargetMode="External"/><Relationship Id="rId722" Type="http://schemas.openxmlformats.org/officeDocument/2006/relationships/hyperlink" Target="https://nycsidewalkviolations.com/" TargetMode="External"/><Relationship Id="rId1145" Type="http://schemas.openxmlformats.org/officeDocument/2006/relationships/hyperlink" Target="https://www.ironhorsepropertymanagement.com/" TargetMode="External"/><Relationship Id="rId1352" Type="http://schemas.openxmlformats.org/officeDocument/2006/relationships/hyperlink" Target="https://judgemobilewash.com/" TargetMode="External"/><Relationship Id="rId1797" Type="http://schemas.openxmlformats.org/officeDocument/2006/relationships/hyperlink" Target="http://moneyfarm.com/" TargetMode="External"/><Relationship Id="rId2403" Type="http://schemas.openxmlformats.org/officeDocument/2006/relationships/hyperlink" Target="http://metarealtyinc.ca/" TargetMode="External"/><Relationship Id="rId89" Type="http://schemas.openxmlformats.org/officeDocument/2006/relationships/hyperlink" Target="https://zandawealth.com.au/" TargetMode="External"/><Relationship Id="rId1005" Type="http://schemas.openxmlformats.org/officeDocument/2006/relationships/hyperlink" Target="https://www.solidconstructiondesign.com/" TargetMode="External"/><Relationship Id="rId1212" Type="http://schemas.openxmlformats.org/officeDocument/2006/relationships/hyperlink" Target="https://www.exclusivemetalroofing.com.au/" TargetMode="External"/><Relationship Id="rId1657" Type="http://schemas.openxmlformats.org/officeDocument/2006/relationships/hyperlink" Target="http://certifiedmortgagebroker.com/" TargetMode="External"/><Relationship Id="rId1864" Type="http://schemas.openxmlformats.org/officeDocument/2006/relationships/hyperlink" Target="http://realestatestagingassociation.com/" TargetMode="External"/><Relationship Id="rId2610" Type="http://schemas.openxmlformats.org/officeDocument/2006/relationships/hyperlink" Target="https://milehighhottub.com/" TargetMode="External"/><Relationship Id="rId1517" Type="http://schemas.openxmlformats.org/officeDocument/2006/relationships/hyperlink" Target="http://sanibel-captiva.org/" TargetMode="External"/><Relationship Id="rId1724" Type="http://schemas.openxmlformats.org/officeDocument/2006/relationships/hyperlink" Target="http://bigcabin.com/" TargetMode="External"/><Relationship Id="rId16" Type="http://schemas.openxmlformats.org/officeDocument/2006/relationships/hyperlink" Target="https://www.lakehouses4sale.net/" TargetMode="External"/><Relationship Id="rId1931" Type="http://schemas.openxmlformats.org/officeDocument/2006/relationships/hyperlink" Target="http://woodevo.com.au/" TargetMode="External"/><Relationship Id="rId2193" Type="http://schemas.openxmlformats.org/officeDocument/2006/relationships/hyperlink" Target="http://luxurypropertycare.com/" TargetMode="External"/><Relationship Id="rId2498" Type="http://schemas.openxmlformats.org/officeDocument/2006/relationships/hyperlink" Target="http://solatube.com/" TargetMode="External"/><Relationship Id="rId165" Type="http://schemas.openxmlformats.org/officeDocument/2006/relationships/hyperlink" Target="https://www.propertyme.com.au/" TargetMode="External"/><Relationship Id="rId372" Type="http://schemas.openxmlformats.org/officeDocument/2006/relationships/hyperlink" Target="https://coloradopainting.com/" TargetMode="External"/><Relationship Id="rId677" Type="http://schemas.openxmlformats.org/officeDocument/2006/relationships/hyperlink" Target="https://www.askthemoldgirl.com/" TargetMode="External"/><Relationship Id="rId2053" Type="http://schemas.openxmlformats.org/officeDocument/2006/relationships/hyperlink" Target="http://universalfurniture.com/" TargetMode="External"/><Relationship Id="rId2260" Type="http://schemas.openxmlformats.org/officeDocument/2006/relationships/hyperlink" Target="http://homebuilding.co.uk/" TargetMode="External"/><Relationship Id="rId2358" Type="http://schemas.openxmlformats.org/officeDocument/2006/relationships/hyperlink" Target="http://epmpestcontrol.com.au/" TargetMode="External"/><Relationship Id="rId232" Type="http://schemas.openxmlformats.org/officeDocument/2006/relationships/hyperlink" Target="https://belcofp.com/" TargetMode="External"/><Relationship Id="rId884" Type="http://schemas.openxmlformats.org/officeDocument/2006/relationships/hyperlink" Target="https://tylerestimating.com/" TargetMode="External"/><Relationship Id="rId2120" Type="http://schemas.openxmlformats.org/officeDocument/2006/relationships/hyperlink" Target="http://freedomchoiceinvestments.com/" TargetMode="External"/><Relationship Id="rId2565" Type="http://schemas.openxmlformats.org/officeDocument/2006/relationships/hyperlink" Target="https://indyroofandrestoration.com/" TargetMode="External"/><Relationship Id="rId537" Type="http://schemas.openxmlformats.org/officeDocument/2006/relationships/hyperlink" Target="https://delmanorelginmills.com/" TargetMode="External"/><Relationship Id="rId744" Type="http://schemas.openxmlformats.org/officeDocument/2006/relationships/hyperlink" Target="https://montereycompany.com/" TargetMode="External"/><Relationship Id="rId951" Type="http://schemas.openxmlformats.org/officeDocument/2006/relationships/hyperlink" Target="https://homecleaning.nyc/" TargetMode="External"/><Relationship Id="rId1167" Type="http://schemas.openxmlformats.org/officeDocument/2006/relationships/hyperlink" Target="https://newportbeachrealestatecafe.com/" TargetMode="External"/><Relationship Id="rId1374" Type="http://schemas.openxmlformats.org/officeDocument/2006/relationships/hyperlink" Target="https://www.atlanticbay.com/" TargetMode="External"/><Relationship Id="rId1581" Type="http://schemas.openxmlformats.org/officeDocument/2006/relationships/hyperlink" Target="http://mrrogerswindows.com/" TargetMode="External"/><Relationship Id="rId1679" Type="http://schemas.openxmlformats.org/officeDocument/2006/relationships/hyperlink" Target="http://dspacestudio.com/" TargetMode="External"/><Relationship Id="rId2218" Type="http://schemas.openxmlformats.org/officeDocument/2006/relationships/hyperlink" Target="http://dotcomblinds.com/" TargetMode="External"/><Relationship Id="rId2425" Type="http://schemas.openxmlformats.org/officeDocument/2006/relationships/hyperlink" Target="http://webuyhouseshere.com/" TargetMode="External"/><Relationship Id="rId80" Type="http://schemas.openxmlformats.org/officeDocument/2006/relationships/hyperlink" Target="https://www.nativepestmanagement.com/" TargetMode="External"/><Relationship Id="rId604" Type="http://schemas.openxmlformats.org/officeDocument/2006/relationships/hyperlink" Target="https://homeguidemyrtlebeach.com/" TargetMode="External"/><Relationship Id="rId811" Type="http://schemas.openxmlformats.org/officeDocument/2006/relationships/hyperlink" Target="https://granitegaragefloors.com/" TargetMode="External"/><Relationship Id="rId1027" Type="http://schemas.openxmlformats.org/officeDocument/2006/relationships/hyperlink" Target="https://www.creativemetalmd.com/" TargetMode="External"/><Relationship Id="rId1234" Type="http://schemas.openxmlformats.org/officeDocument/2006/relationships/hyperlink" Target="https://renovationcapital.com.au/" TargetMode="External"/><Relationship Id="rId1441" Type="http://schemas.openxmlformats.org/officeDocument/2006/relationships/hyperlink" Target="http://martinsflooring.com/" TargetMode="External"/><Relationship Id="rId1886" Type="http://schemas.openxmlformats.org/officeDocument/2006/relationships/hyperlink" Target="http://cabolaestancia.com/" TargetMode="External"/><Relationship Id="rId909" Type="http://schemas.openxmlformats.org/officeDocument/2006/relationships/hyperlink" Target="https://www.res-qlocksmiths.com.au/" TargetMode="External"/><Relationship Id="rId1301" Type="http://schemas.openxmlformats.org/officeDocument/2006/relationships/hyperlink" Target="https://nicetown.com/" TargetMode="External"/><Relationship Id="rId1539" Type="http://schemas.openxmlformats.org/officeDocument/2006/relationships/hyperlink" Target="http://royalnettoyage.com/" TargetMode="External"/><Relationship Id="rId1746" Type="http://schemas.openxmlformats.org/officeDocument/2006/relationships/hyperlink" Target="http://kbbonline.com/" TargetMode="External"/><Relationship Id="rId1953" Type="http://schemas.openxmlformats.org/officeDocument/2006/relationships/hyperlink" Target="http://allisonjaffe.com/" TargetMode="External"/><Relationship Id="rId38" Type="http://schemas.openxmlformats.org/officeDocument/2006/relationships/hyperlink" Target="https://raiseandrelevel.com/" TargetMode="External"/><Relationship Id="rId1606" Type="http://schemas.openxmlformats.org/officeDocument/2006/relationships/hyperlink" Target="http://jacobrealtytx.com/" TargetMode="External"/><Relationship Id="rId1813" Type="http://schemas.openxmlformats.org/officeDocument/2006/relationships/hyperlink" Target="http://luxurybathcfl.com/" TargetMode="External"/><Relationship Id="rId187" Type="http://schemas.openxmlformats.org/officeDocument/2006/relationships/hyperlink" Target="https://marchesepartners.com/" TargetMode="External"/><Relationship Id="rId394" Type="http://schemas.openxmlformats.org/officeDocument/2006/relationships/hyperlink" Target="https://halespropertymanagement.com/" TargetMode="External"/><Relationship Id="rId2075" Type="http://schemas.openxmlformats.org/officeDocument/2006/relationships/hyperlink" Target="http://johnsonsepticservice.com/" TargetMode="External"/><Relationship Id="rId2282" Type="http://schemas.openxmlformats.org/officeDocument/2006/relationships/hyperlink" Target="http://garmanbuilders.com/" TargetMode="External"/><Relationship Id="rId254" Type="http://schemas.openxmlformats.org/officeDocument/2006/relationships/hyperlink" Target="https://www.mobilehomebuyerfl.com/" TargetMode="External"/><Relationship Id="rId699" Type="http://schemas.openxmlformats.org/officeDocument/2006/relationships/hyperlink" Target="https://thefauxflowercompany.com/" TargetMode="External"/><Relationship Id="rId1091" Type="http://schemas.openxmlformats.org/officeDocument/2006/relationships/hyperlink" Target="https://boltstorage.com/" TargetMode="External"/><Relationship Id="rId2587" Type="http://schemas.openxmlformats.org/officeDocument/2006/relationships/hyperlink" Target="https://capitolductcleaning.com/" TargetMode="External"/><Relationship Id="rId114" Type="http://schemas.openxmlformats.org/officeDocument/2006/relationships/hyperlink" Target="https://riverwalkphiladelphia.com/" TargetMode="External"/><Relationship Id="rId461" Type="http://schemas.openxmlformats.org/officeDocument/2006/relationships/hyperlink" Target="https://www.clio.com/" TargetMode="External"/><Relationship Id="rId559" Type="http://schemas.openxmlformats.org/officeDocument/2006/relationships/hyperlink" Target="https://elderlawgroupwa.com/" TargetMode="External"/><Relationship Id="rId766" Type="http://schemas.openxmlformats.org/officeDocument/2006/relationships/hyperlink" Target="https://rugsource.com/" TargetMode="External"/><Relationship Id="rId1189" Type="http://schemas.openxmlformats.org/officeDocument/2006/relationships/hyperlink" Target="https://greenleafair.com/" TargetMode="External"/><Relationship Id="rId1396" Type="http://schemas.openxmlformats.org/officeDocument/2006/relationships/hyperlink" Target="https://kcwaterproofing.com/" TargetMode="External"/><Relationship Id="rId2142" Type="http://schemas.openxmlformats.org/officeDocument/2006/relationships/hyperlink" Target="http://southernskyhomebuyers.com/" TargetMode="External"/><Relationship Id="rId2447" Type="http://schemas.openxmlformats.org/officeDocument/2006/relationships/hyperlink" Target="http://shaferservices.com/" TargetMode="External"/><Relationship Id="rId321" Type="http://schemas.openxmlformats.org/officeDocument/2006/relationships/hyperlink" Target="https://visiolending.com/" TargetMode="External"/><Relationship Id="rId419" Type="http://schemas.openxmlformats.org/officeDocument/2006/relationships/hyperlink" Target="https://www.siteprep.com/" TargetMode="External"/><Relationship Id="rId626" Type="http://schemas.openxmlformats.org/officeDocument/2006/relationships/hyperlink" Target="https://www.mystatemls.com/" TargetMode="External"/><Relationship Id="rId973" Type="http://schemas.openxmlformats.org/officeDocument/2006/relationships/hyperlink" Target="https://www.addressscoop.com/" TargetMode="External"/><Relationship Id="rId1049" Type="http://schemas.openxmlformats.org/officeDocument/2006/relationships/hyperlink" Target="https://www.zipmoving.us/" TargetMode="External"/><Relationship Id="rId1256" Type="http://schemas.openxmlformats.org/officeDocument/2006/relationships/hyperlink" Target="https://paramountbuilders.com/" TargetMode="External"/><Relationship Id="rId2002" Type="http://schemas.openxmlformats.org/officeDocument/2006/relationships/hyperlink" Target="http://kitsaproofpros.com/" TargetMode="External"/><Relationship Id="rId2307" Type="http://schemas.openxmlformats.org/officeDocument/2006/relationships/hyperlink" Target="http://allisajacobs.com/" TargetMode="External"/><Relationship Id="rId833" Type="http://schemas.openxmlformats.org/officeDocument/2006/relationships/hyperlink" Target="https://unmask.com/" TargetMode="External"/><Relationship Id="rId1116" Type="http://schemas.openxmlformats.org/officeDocument/2006/relationships/hyperlink" Target="https://fixifyappliancerepair.com/" TargetMode="External"/><Relationship Id="rId1463" Type="http://schemas.openxmlformats.org/officeDocument/2006/relationships/hyperlink" Target="http://ceoweekly.com/" TargetMode="External"/><Relationship Id="rId1670" Type="http://schemas.openxmlformats.org/officeDocument/2006/relationships/hyperlink" Target="http://sterlingedmonton.com/" TargetMode="External"/><Relationship Id="rId1768" Type="http://schemas.openxmlformats.org/officeDocument/2006/relationships/hyperlink" Target="http://auramodernhome.com/" TargetMode="External"/><Relationship Id="rId2514" Type="http://schemas.openxmlformats.org/officeDocument/2006/relationships/hyperlink" Target="http://modernhousenumbers.com/" TargetMode="External"/><Relationship Id="rId900" Type="http://schemas.openxmlformats.org/officeDocument/2006/relationships/hyperlink" Target="https://www.mydirectblinds.com.au/" TargetMode="External"/><Relationship Id="rId1323" Type="http://schemas.openxmlformats.org/officeDocument/2006/relationships/hyperlink" Target="https://whytile.com/" TargetMode="External"/><Relationship Id="rId1530" Type="http://schemas.openxmlformats.org/officeDocument/2006/relationships/hyperlink" Target="http://bayshorehomesales.com/" TargetMode="External"/><Relationship Id="rId1628" Type="http://schemas.openxmlformats.org/officeDocument/2006/relationships/hyperlink" Target="http://home-security.com/" TargetMode="External"/><Relationship Id="rId1975" Type="http://schemas.openxmlformats.org/officeDocument/2006/relationships/hyperlink" Target="http://vivint.com/" TargetMode="External"/><Relationship Id="rId1835" Type="http://schemas.openxmlformats.org/officeDocument/2006/relationships/hyperlink" Target="http://cmsmortgages.ca/" TargetMode="External"/><Relationship Id="rId1902" Type="http://schemas.openxmlformats.org/officeDocument/2006/relationships/hyperlink" Target="http://levelengineering.com/" TargetMode="External"/><Relationship Id="rId2097" Type="http://schemas.openxmlformats.org/officeDocument/2006/relationships/hyperlink" Target="http://biotechtermiteandpest.com/" TargetMode="External"/><Relationship Id="rId276" Type="http://schemas.openxmlformats.org/officeDocument/2006/relationships/hyperlink" Target="https://www.thepittsburghroofer.com/" TargetMode="External"/><Relationship Id="rId483" Type="http://schemas.openxmlformats.org/officeDocument/2006/relationships/hyperlink" Target="https://thwindowsdoors.com/" TargetMode="External"/><Relationship Id="rId690" Type="http://schemas.openxmlformats.org/officeDocument/2006/relationships/hyperlink" Target="https://thehappyhousecleaning.co.uk/" TargetMode="External"/><Relationship Id="rId2164" Type="http://schemas.openxmlformats.org/officeDocument/2006/relationships/hyperlink" Target="http://photoup.net/" TargetMode="External"/><Relationship Id="rId2371" Type="http://schemas.openxmlformats.org/officeDocument/2006/relationships/hyperlink" Target="http://a1garage.com/" TargetMode="External"/><Relationship Id="rId136" Type="http://schemas.openxmlformats.org/officeDocument/2006/relationships/hyperlink" Target="https://www.industrialdoorsolution.com/" TargetMode="External"/><Relationship Id="rId343" Type="http://schemas.openxmlformats.org/officeDocument/2006/relationships/hyperlink" Target="https://www.texassellmyhouse.com/" TargetMode="External"/><Relationship Id="rId550" Type="http://schemas.openxmlformats.org/officeDocument/2006/relationships/hyperlink" Target="https://cunninghamrec.com/" TargetMode="External"/><Relationship Id="rId788" Type="http://schemas.openxmlformats.org/officeDocument/2006/relationships/hyperlink" Target="https://ustoreit.ie/" TargetMode="External"/><Relationship Id="rId995" Type="http://schemas.openxmlformats.org/officeDocument/2006/relationships/hyperlink" Target="https://breathemaids.com/" TargetMode="External"/><Relationship Id="rId1180" Type="http://schemas.openxmlformats.org/officeDocument/2006/relationships/hyperlink" Target="https://www.tinyhouseallianceusa.org/" TargetMode="External"/><Relationship Id="rId2024" Type="http://schemas.openxmlformats.org/officeDocument/2006/relationships/hyperlink" Target="http://homesandgardens.com/" TargetMode="External"/><Relationship Id="rId2231" Type="http://schemas.openxmlformats.org/officeDocument/2006/relationships/hyperlink" Target="http://ars.com/" TargetMode="External"/><Relationship Id="rId2469" Type="http://schemas.openxmlformats.org/officeDocument/2006/relationships/hyperlink" Target="http://detroitdiamondtools.com/" TargetMode="External"/><Relationship Id="rId203" Type="http://schemas.openxmlformats.org/officeDocument/2006/relationships/hyperlink" Target="https://www.wilsonplumbingandheating.com/" TargetMode="External"/><Relationship Id="rId648" Type="http://schemas.openxmlformats.org/officeDocument/2006/relationships/hyperlink" Target="https://www.polyandbark.com/" TargetMode="External"/><Relationship Id="rId855" Type="http://schemas.openxmlformats.org/officeDocument/2006/relationships/hyperlink" Target="https://fabricuk.com/" TargetMode="External"/><Relationship Id="rId1040" Type="http://schemas.openxmlformats.org/officeDocument/2006/relationships/hyperlink" Target="https://sellwithstroud.com/" TargetMode="External"/><Relationship Id="rId1278" Type="http://schemas.openxmlformats.org/officeDocument/2006/relationships/hyperlink" Target="https://www.renovationkingdom.com.au/" TargetMode="External"/><Relationship Id="rId1485" Type="http://schemas.openxmlformats.org/officeDocument/2006/relationships/hyperlink" Target="http://1508london.com/" TargetMode="External"/><Relationship Id="rId1692" Type="http://schemas.openxmlformats.org/officeDocument/2006/relationships/hyperlink" Target="http://libertyhousebuyinggroup.com/" TargetMode="External"/><Relationship Id="rId2329" Type="http://schemas.openxmlformats.org/officeDocument/2006/relationships/hyperlink" Target="http://touchwithcare.com/" TargetMode="External"/><Relationship Id="rId2536" Type="http://schemas.openxmlformats.org/officeDocument/2006/relationships/hyperlink" Target="https://www.pulte.com/" TargetMode="External"/><Relationship Id="rId410" Type="http://schemas.openxmlformats.org/officeDocument/2006/relationships/hyperlink" Target="https://www.nestapple.com/" TargetMode="External"/><Relationship Id="rId508" Type="http://schemas.openxmlformats.org/officeDocument/2006/relationships/hyperlink" Target="https://www.visitutah.com/" TargetMode="External"/><Relationship Id="rId715" Type="http://schemas.openxmlformats.org/officeDocument/2006/relationships/hyperlink" Target="https://cullenjewellery.com/" TargetMode="External"/><Relationship Id="rId922" Type="http://schemas.openxmlformats.org/officeDocument/2006/relationships/hyperlink" Target="https://www.metrovancouverhomesource.com/" TargetMode="External"/><Relationship Id="rId1138" Type="http://schemas.openxmlformats.org/officeDocument/2006/relationships/hyperlink" Target="https://www.underwood.law/" TargetMode="External"/><Relationship Id="rId1345" Type="http://schemas.openxmlformats.org/officeDocument/2006/relationships/hyperlink" Target="https://advancedrestorationcolorado.com/" TargetMode="External"/><Relationship Id="rId1552" Type="http://schemas.openxmlformats.org/officeDocument/2006/relationships/hyperlink" Target="http://apexwindows.info/" TargetMode="External"/><Relationship Id="rId1997" Type="http://schemas.openxmlformats.org/officeDocument/2006/relationships/hyperlink" Target="http://smardbuild.com/" TargetMode="External"/><Relationship Id="rId2603" Type="http://schemas.openxmlformats.org/officeDocument/2006/relationships/hyperlink" Target="http://americanremodeling.net/" TargetMode="External"/><Relationship Id="rId1205" Type="http://schemas.openxmlformats.org/officeDocument/2006/relationships/hyperlink" Target="https://voyagemaison.com/" TargetMode="External"/><Relationship Id="rId1857" Type="http://schemas.openxmlformats.org/officeDocument/2006/relationships/hyperlink" Target="http://rowlandbroughton.com/" TargetMode="External"/><Relationship Id="rId51" Type="http://schemas.openxmlformats.org/officeDocument/2006/relationships/hyperlink" Target="https://charlotteregion.com/" TargetMode="External"/><Relationship Id="rId1412" Type="http://schemas.openxmlformats.org/officeDocument/2006/relationships/hyperlink" Target="https://www.clearchoiceroofingatx.com/" TargetMode="External"/><Relationship Id="rId1717" Type="http://schemas.openxmlformats.org/officeDocument/2006/relationships/hyperlink" Target="http://propertywire.com/" TargetMode="External"/><Relationship Id="rId1924" Type="http://schemas.openxmlformats.org/officeDocument/2006/relationships/hyperlink" Target="http://mfsuk.com/" TargetMode="External"/><Relationship Id="rId298" Type="http://schemas.openxmlformats.org/officeDocument/2006/relationships/hyperlink" Target="https://365villas.com/" TargetMode="External"/><Relationship Id="rId158" Type="http://schemas.openxmlformats.org/officeDocument/2006/relationships/hyperlink" Target="https://www.1agaragedoors.net/" TargetMode="External"/><Relationship Id="rId2186" Type="http://schemas.openxmlformats.org/officeDocument/2006/relationships/hyperlink" Target="http://thelocalelectrician.com.au/" TargetMode="External"/><Relationship Id="rId2393" Type="http://schemas.openxmlformats.org/officeDocument/2006/relationships/hyperlink" Target="http://canadoorsystems.com/" TargetMode="External"/><Relationship Id="rId365" Type="http://schemas.openxmlformats.org/officeDocument/2006/relationships/hyperlink" Target="https://www.ocalahorseproperties.com/" TargetMode="External"/><Relationship Id="rId572" Type="http://schemas.openxmlformats.org/officeDocument/2006/relationships/hyperlink" Target="https://www.staticelectrics.com.au/" TargetMode="External"/><Relationship Id="rId2046" Type="http://schemas.openxmlformats.org/officeDocument/2006/relationships/hyperlink" Target="http://miragescreensystems.com/" TargetMode="External"/><Relationship Id="rId2253" Type="http://schemas.openxmlformats.org/officeDocument/2006/relationships/hyperlink" Target="http://amburneyexteriors.com/" TargetMode="External"/><Relationship Id="rId2460" Type="http://schemas.openxmlformats.org/officeDocument/2006/relationships/hyperlink" Target="http://distinctivedesignremodelinginc.com/" TargetMode="External"/><Relationship Id="rId225" Type="http://schemas.openxmlformats.org/officeDocument/2006/relationships/hyperlink" Target="https://allphaserestore.com/" TargetMode="External"/><Relationship Id="rId432" Type="http://schemas.openxmlformats.org/officeDocument/2006/relationships/hyperlink" Target="https://mccarthyhomes.com.au/" TargetMode="External"/><Relationship Id="rId877" Type="http://schemas.openxmlformats.org/officeDocument/2006/relationships/hyperlink" Target="https://www.garagedoorrepairsindy.com/" TargetMode="External"/><Relationship Id="rId1062" Type="http://schemas.openxmlformats.org/officeDocument/2006/relationships/hyperlink" Target="https://www.aireserv.com/" TargetMode="External"/><Relationship Id="rId2113" Type="http://schemas.openxmlformats.org/officeDocument/2006/relationships/hyperlink" Target="http://completestairsystems.co.uk/" TargetMode="External"/><Relationship Id="rId2320" Type="http://schemas.openxmlformats.org/officeDocument/2006/relationships/hyperlink" Target="http://proprli.com/" TargetMode="External"/><Relationship Id="rId2558" Type="http://schemas.openxmlformats.org/officeDocument/2006/relationships/hyperlink" Target="http://cabovillavegasdave.com/" TargetMode="External"/><Relationship Id="rId737" Type="http://schemas.openxmlformats.org/officeDocument/2006/relationships/hyperlink" Target="https://www.creditonebank.com/" TargetMode="External"/><Relationship Id="rId944" Type="http://schemas.openxmlformats.org/officeDocument/2006/relationships/hyperlink" Target="https://www.myfinancialshape.com/" TargetMode="External"/><Relationship Id="rId1367" Type="http://schemas.openxmlformats.org/officeDocument/2006/relationships/hyperlink" Target="https://thetruecolors.org/" TargetMode="External"/><Relationship Id="rId1574" Type="http://schemas.openxmlformats.org/officeDocument/2006/relationships/hyperlink" Target="http://fordewindowsandremodeling.com/" TargetMode="External"/><Relationship Id="rId1781" Type="http://schemas.openxmlformats.org/officeDocument/2006/relationships/hyperlink" Target="http://tuffxglass.co.uk/" TargetMode="External"/><Relationship Id="rId2418" Type="http://schemas.openxmlformats.org/officeDocument/2006/relationships/hyperlink" Target="http://bestplumberqueensny.com/" TargetMode="External"/><Relationship Id="rId2625" Type="http://schemas.openxmlformats.org/officeDocument/2006/relationships/hyperlink" Target="https://luxurylifestyle.com/" TargetMode="External"/><Relationship Id="rId73" Type="http://schemas.openxmlformats.org/officeDocument/2006/relationships/hyperlink" Target="https://sundaygolf.com/" TargetMode="External"/><Relationship Id="rId804" Type="http://schemas.openxmlformats.org/officeDocument/2006/relationships/hyperlink" Target="https://shapescaper.com.au/" TargetMode="External"/><Relationship Id="rId1227" Type="http://schemas.openxmlformats.org/officeDocument/2006/relationships/hyperlink" Target="https://prepsmartpainting.com/" TargetMode="External"/><Relationship Id="rId1434" Type="http://schemas.openxmlformats.org/officeDocument/2006/relationships/hyperlink" Target="http://cladcodecking.co.uk/" TargetMode="External"/><Relationship Id="rId1641" Type="http://schemas.openxmlformats.org/officeDocument/2006/relationships/hyperlink" Target="http://leehvac.com/" TargetMode="External"/><Relationship Id="rId1879" Type="http://schemas.openxmlformats.org/officeDocument/2006/relationships/hyperlink" Target="http://logan-inc.com/" TargetMode="External"/><Relationship Id="rId1501" Type="http://schemas.openxmlformats.org/officeDocument/2006/relationships/hyperlink" Target="http://securespace.com/" TargetMode="External"/><Relationship Id="rId1739" Type="http://schemas.openxmlformats.org/officeDocument/2006/relationships/hyperlink" Target="http://aluprof.com/" TargetMode="External"/><Relationship Id="rId1946" Type="http://schemas.openxmlformats.org/officeDocument/2006/relationships/hyperlink" Target="http://portlandrealestate.com/" TargetMode="External"/><Relationship Id="rId1806" Type="http://schemas.openxmlformats.org/officeDocument/2006/relationships/hyperlink" Target="http://omfurniture.co.uk/" TargetMode="External"/><Relationship Id="rId387" Type="http://schemas.openxmlformats.org/officeDocument/2006/relationships/hyperlink" Target="https://www.fastofficefurniture.com.au/" TargetMode="External"/><Relationship Id="rId594" Type="http://schemas.openxmlformats.org/officeDocument/2006/relationships/hyperlink" Target="https://brickwholesale.co.uk/" TargetMode="External"/><Relationship Id="rId2068" Type="http://schemas.openxmlformats.org/officeDocument/2006/relationships/hyperlink" Target="http://mineraltiles.com/" TargetMode="External"/><Relationship Id="rId2275" Type="http://schemas.openxmlformats.org/officeDocument/2006/relationships/hyperlink" Target="http://premierpoolsandspas.com/" TargetMode="External"/><Relationship Id="rId247" Type="http://schemas.openxmlformats.org/officeDocument/2006/relationships/hyperlink" Target="https://www.fastenere.com/" TargetMode="External"/><Relationship Id="rId899" Type="http://schemas.openxmlformats.org/officeDocument/2006/relationships/hyperlink" Target="https://phinmaproperties.com/" TargetMode="External"/><Relationship Id="rId1084" Type="http://schemas.openxmlformats.org/officeDocument/2006/relationships/hyperlink" Target="https://www.sellitmike.com/" TargetMode="External"/><Relationship Id="rId2482" Type="http://schemas.openxmlformats.org/officeDocument/2006/relationships/hyperlink" Target="http://wfsmith.com/" TargetMode="External"/><Relationship Id="rId107" Type="http://schemas.openxmlformats.org/officeDocument/2006/relationships/hyperlink" Target="https://www.luxurytravelmagazine.com/" TargetMode="External"/><Relationship Id="rId454" Type="http://schemas.openxmlformats.org/officeDocument/2006/relationships/hyperlink" Target="https://www.1000bulbs.com/" TargetMode="External"/><Relationship Id="rId661" Type="http://schemas.openxmlformats.org/officeDocument/2006/relationships/hyperlink" Target="https://www.vulcan7.com/" TargetMode="External"/><Relationship Id="rId759" Type="http://schemas.openxmlformats.org/officeDocument/2006/relationships/hyperlink" Target="https://render-vision.com/" TargetMode="External"/><Relationship Id="rId966" Type="http://schemas.openxmlformats.org/officeDocument/2006/relationships/hyperlink" Target="https://www.meridiantrust.com/" TargetMode="External"/><Relationship Id="rId1291" Type="http://schemas.openxmlformats.org/officeDocument/2006/relationships/hyperlink" Target="https://actionairduct.net/" TargetMode="External"/><Relationship Id="rId1389" Type="http://schemas.openxmlformats.org/officeDocument/2006/relationships/hyperlink" Target="https://www.chainsawspares.com.au/" TargetMode="External"/><Relationship Id="rId1596" Type="http://schemas.openxmlformats.org/officeDocument/2006/relationships/hyperlink" Target="http://lisabuysaustinhouses.com/" TargetMode="External"/><Relationship Id="rId2135" Type="http://schemas.openxmlformats.org/officeDocument/2006/relationships/hyperlink" Target="http://invoca.com/" TargetMode="External"/><Relationship Id="rId2342" Type="http://schemas.openxmlformats.org/officeDocument/2006/relationships/hyperlink" Target="http://thefurnaceoutlet.com/" TargetMode="External"/><Relationship Id="rId314" Type="http://schemas.openxmlformats.org/officeDocument/2006/relationships/hyperlink" Target="https://www.homely.com.au/" TargetMode="External"/><Relationship Id="rId521" Type="http://schemas.openxmlformats.org/officeDocument/2006/relationships/hyperlink" Target="https://astropak.com/" TargetMode="External"/><Relationship Id="rId619" Type="http://schemas.openxmlformats.org/officeDocument/2006/relationships/hyperlink" Target="https://bens.plumbing/" TargetMode="External"/><Relationship Id="rId1151" Type="http://schemas.openxmlformats.org/officeDocument/2006/relationships/hyperlink" Target="https://quadwalls.com/" TargetMode="External"/><Relationship Id="rId1249" Type="http://schemas.openxmlformats.org/officeDocument/2006/relationships/hyperlink" Target="https://redstickroofing.com/" TargetMode="External"/><Relationship Id="rId2202" Type="http://schemas.openxmlformats.org/officeDocument/2006/relationships/hyperlink" Target="http://netpayadvance.com/" TargetMode="External"/><Relationship Id="rId95" Type="http://schemas.openxmlformats.org/officeDocument/2006/relationships/hyperlink" Target="https://propertypressonline.co.uk/" TargetMode="External"/><Relationship Id="rId826" Type="http://schemas.openxmlformats.org/officeDocument/2006/relationships/hyperlink" Target="https://southeastrigging.com/" TargetMode="External"/><Relationship Id="rId1011" Type="http://schemas.openxmlformats.org/officeDocument/2006/relationships/hyperlink" Target="https://www.texasrealestate.com/" TargetMode="External"/><Relationship Id="rId1109" Type="http://schemas.openxmlformats.org/officeDocument/2006/relationships/hyperlink" Target="https://southernillinoisepoxy.com/" TargetMode="External"/><Relationship Id="rId1456" Type="http://schemas.openxmlformats.org/officeDocument/2006/relationships/hyperlink" Target="http://hunterhome.co.nz/" TargetMode="External"/><Relationship Id="rId1663" Type="http://schemas.openxmlformats.org/officeDocument/2006/relationships/hyperlink" Target="http://homeflippers.ca/" TargetMode="External"/><Relationship Id="rId1870" Type="http://schemas.openxmlformats.org/officeDocument/2006/relationships/hyperlink" Target="http://elevateconstructionil.com/" TargetMode="External"/><Relationship Id="rId1968" Type="http://schemas.openxmlformats.org/officeDocument/2006/relationships/hyperlink" Target="http://westcoastpoolspa.com/" TargetMode="External"/><Relationship Id="rId2507" Type="http://schemas.openxmlformats.org/officeDocument/2006/relationships/hyperlink" Target="https://ppshousebuyers.com/" TargetMode="External"/><Relationship Id="rId1316" Type="http://schemas.openxmlformats.org/officeDocument/2006/relationships/hyperlink" Target="https://homedesigns.ai/" TargetMode="External"/><Relationship Id="rId1523" Type="http://schemas.openxmlformats.org/officeDocument/2006/relationships/hyperlink" Target="http://theseniorlist.com/" TargetMode="External"/><Relationship Id="rId1730" Type="http://schemas.openxmlformats.org/officeDocument/2006/relationships/hyperlink" Target="http://greenroofs.org/" TargetMode="External"/><Relationship Id="rId22" Type="http://schemas.openxmlformats.org/officeDocument/2006/relationships/hyperlink" Target="https://www.jacksplumbing.net/" TargetMode="External"/><Relationship Id="rId1828" Type="http://schemas.openxmlformats.org/officeDocument/2006/relationships/hyperlink" Target="http://aptivepestcontrol.com/" TargetMode="External"/><Relationship Id="rId171" Type="http://schemas.openxmlformats.org/officeDocument/2006/relationships/hyperlink" Target="https://www.boomermagazine.com/" TargetMode="External"/><Relationship Id="rId2297" Type="http://schemas.openxmlformats.org/officeDocument/2006/relationships/hyperlink" Target="http://thousandpoundbend.com.au/" TargetMode="External"/><Relationship Id="rId269" Type="http://schemas.openxmlformats.org/officeDocument/2006/relationships/hyperlink" Target="https://www.roofrepairspecialist.com/" TargetMode="External"/><Relationship Id="rId476" Type="http://schemas.openxmlformats.org/officeDocument/2006/relationships/hyperlink" Target="https://sohnne.com/" TargetMode="External"/><Relationship Id="rId683" Type="http://schemas.openxmlformats.org/officeDocument/2006/relationships/hyperlink" Target="https://www.nor-calmoving.com/" TargetMode="External"/><Relationship Id="rId890" Type="http://schemas.openxmlformats.org/officeDocument/2006/relationships/hyperlink" Target="https://buildops.com/" TargetMode="External"/><Relationship Id="rId2157" Type="http://schemas.openxmlformats.org/officeDocument/2006/relationships/hyperlink" Target="http://sellmyhousecompany.com/" TargetMode="External"/><Relationship Id="rId2364" Type="http://schemas.openxmlformats.org/officeDocument/2006/relationships/hyperlink" Target="http://premierpropertybuyers.com/" TargetMode="External"/><Relationship Id="rId2571" Type="http://schemas.openxmlformats.org/officeDocument/2006/relationships/hyperlink" Target="https://australiansecurecapital.com.au/" TargetMode="External"/><Relationship Id="rId129" Type="http://schemas.openxmlformats.org/officeDocument/2006/relationships/hyperlink" Target="https://alamoroofingcontractors.com/" TargetMode="External"/><Relationship Id="rId336" Type="http://schemas.openxmlformats.org/officeDocument/2006/relationships/hyperlink" Target="https://tlsenergysavers.com/" TargetMode="External"/><Relationship Id="rId543" Type="http://schemas.openxmlformats.org/officeDocument/2006/relationships/hyperlink" Target="https://therooftiger.com/" TargetMode="External"/><Relationship Id="rId988" Type="http://schemas.openxmlformats.org/officeDocument/2006/relationships/hyperlink" Target="https://www.nybrite.com/" TargetMode="External"/><Relationship Id="rId1173" Type="http://schemas.openxmlformats.org/officeDocument/2006/relationships/hyperlink" Target="https://listwithclever.com/" TargetMode="External"/><Relationship Id="rId1380" Type="http://schemas.openxmlformats.org/officeDocument/2006/relationships/hyperlink" Target="https://doughtysfurniture.net/" TargetMode="External"/><Relationship Id="rId2017" Type="http://schemas.openxmlformats.org/officeDocument/2006/relationships/hyperlink" Target="http://studyfinds.org/" TargetMode="External"/><Relationship Id="rId2224" Type="http://schemas.openxmlformats.org/officeDocument/2006/relationships/hyperlink" Target="http://thesuperplumber.com/" TargetMode="External"/><Relationship Id="rId403" Type="http://schemas.openxmlformats.org/officeDocument/2006/relationships/hyperlink" Target="https://www.lexairconditioning.com/" TargetMode="External"/><Relationship Id="rId750" Type="http://schemas.openxmlformats.org/officeDocument/2006/relationships/hyperlink" Target="https://www.dutchhausfurniture.com/" TargetMode="External"/><Relationship Id="rId848" Type="http://schemas.openxmlformats.org/officeDocument/2006/relationships/hyperlink" Target="https://fleecefun.com/" TargetMode="External"/><Relationship Id="rId1033" Type="http://schemas.openxmlformats.org/officeDocument/2006/relationships/hyperlink" Target="https://gotartwork.com/" TargetMode="External"/><Relationship Id="rId1478" Type="http://schemas.openxmlformats.org/officeDocument/2006/relationships/hyperlink" Target="http://activemetal.com.au/" TargetMode="External"/><Relationship Id="rId1685" Type="http://schemas.openxmlformats.org/officeDocument/2006/relationships/hyperlink" Target="http://lawdepot.com/" TargetMode="External"/><Relationship Id="rId1892" Type="http://schemas.openxmlformats.org/officeDocument/2006/relationships/hyperlink" Target="http://ezlandlordforms.com/" TargetMode="External"/><Relationship Id="rId2431" Type="http://schemas.openxmlformats.org/officeDocument/2006/relationships/hyperlink" Target="http://colemanallied.com/" TargetMode="External"/><Relationship Id="rId2529" Type="http://schemas.openxmlformats.org/officeDocument/2006/relationships/hyperlink" Target="https://wolfriverelectric.com/" TargetMode="External"/><Relationship Id="rId610" Type="http://schemas.openxmlformats.org/officeDocument/2006/relationships/hyperlink" Target="https://www.kurahome.com/" TargetMode="External"/><Relationship Id="rId708" Type="http://schemas.openxmlformats.org/officeDocument/2006/relationships/hyperlink" Target="https://ranchroofing.com/" TargetMode="External"/><Relationship Id="rId915" Type="http://schemas.openxmlformats.org/officeDocument/2006/relationships/hyperlink" Target="https://www.myopenadvisors.com/" TargetMode="External"/><Relationship Id="rId1240" Type="http://schemas.openxmlformats.org/officeDocument/2006/relationships/hyperlink" Target="https://www.mauieliteproperty.com/" TargetMode="External"/><Relationship Id="rId1338" Type="http://schemas.openxmlformats.org/officeDocument/2006/relationships/hyperlink" Target="https://artleon.com/" TargetMode="External"/><Relationship Id="rId1545" Type="http://schemas.openxmlformats.org/officeDocument/2006/relationships/hyperlink" Target="http://zoocasa.com/" TargetMode="External"/><Relationship Id="rId1100" Type="http://schemas.openxmlformats.org/officeDocument/2006/relationships/hyperlink" Target="https://georgeapapinc.com/" TargetMode="External"/><Relationship Id="rId1405" Type="http://schemas.openxmlformats.org/officeDocument/2006/relationships/hyperlink" Target="https://www.closetamerica.com/" TargetMode="External"/><Relationship Id="rId1752" Type="http://schemas.openxmlformats.org/officeDocument/2006/relationships/hyperlink" Target="http://hornetpestcontrol.net/" TargetMode="External"/><Relationship Id="rId44" Type="http://schemas.openxmlformats.org/officeDocument/2006/relationships/hyperlink" Target="https://firefighterinsider.com/" TargetMode="External"/><Relationship Id="rId1612" Type="http://schemas.openxmlformats.org/officeDocument/2006/relationships/hyperlink" Target="http://blythwoodhomes.ca/" TargetMode="External"/><Relationship Id="rId1917" Type="http://schemas.openxmlformats.org/officeDocument/2006/relationships/hyperlink" Target="http://loanbase.com/" TargetMode="External"/><Relationship Id="rId193" Type="http://schemas.openxmlformats.org/officeDocument/2006/relationships/hyperlink" Target="https://theroofmentors.com/" TargetMode="External"/><Relationship Id="rId498" Type="http://schemas.openxmlformats.org/officeDocument/2006/relationships/hyperlink" Target="https://hydrobuilder.com/" TargetMode="External"/><Relationship Id="rId2081" Type="http://schemas.openxmlformats.org/officeDocument/2006/relationships/hyperlink" Target="http://housing.com/" TargetMode="External"/><Relationship Id="rId2179" Type="http://schemas.openxmlformats.org/officeDocument/2006/relationships/hyperlink" Target="http://zicklincontracting.com/" TargetMode="External"/><Relationship Id="rId260" Type="http://schemas.openxmlformats.org/officeDocument/2006/relationships/hyperlink" Target="https://californiamobility.com/" TargetMode="External"/><Relationship Id="rId2386" Type="http://schemas.openxmlformats.org/officeDocument/2006/relationships/hyperlink" Target="http://legacyremodeling.com/" TargetMode="External"/><Relationship Id="rId2593" Type="http://schemas.openxmlformats.org/officeDocument/2006/relationships/hyperlink" Target="https://www.savemax.com/" TargetMode="External"/><Relationship Id="rId120" Type="http://schemas.openxmlformats.org/officeDocument/2006/relationships/hyperlink" Target="https://nearmeroofingcompany.com/" TargetMode="External"/><Relationship Id="rId358" Type="http://schemas.openxmlformats.org/officeDocument/2006/relationships/hyperlink" Target="https://unionlighting.com/" TargetMode="External"/><Relationship Id="rId565" Type="http://schemas.openxmlformats.org/officeDocument/2006/relationships/hyperlink" Target="https://canvasbynumbers.com/" TargetMode="External"/><Relationship Id="rId772" Type="http://schemas.openxmlformats.org/officeDocument/2006/relationships/hyperlink" Target="https://insuranceclaimhq.com/" TargetMode="External"/><Relationship Id="rId1195" Type="http://schemas.openxmlformats.org/officeDocument/2006/relationships/hyperlink" Target="https://seadmokwater.com/" TargetMode="External"/><Relationship Id="rId2039" Type="http://schemas.openxmlformats.org/officeDocument/2006/relationships/hyperlink" Target="http://homeserve.com/" TargetMode="External"/><Relationship Id="rId2246" Type="http://schemas.openxmlformats.org/officeDocument/2006/relationships/hyperlink" Target="http://burichvac.com/" TargetMode="External"/><Relationship Id="rId2453" Type="http://schemas.openxmlformats.org/officeDocument/2006/relationships/hyperlink" Target="http://lagrangecrane.com/" TargetMode="External"/><Relationship Id="rId218" Type="http://schemas.openxmlformats.org/officeDocument/2006/relationships/hyperlink" Target="https://www.advantageremodelingandroofing.com/" TargetMode="External"/><Relationship Id="rId425" Type="http://schemas.openxmlformats.org/officeDocument/2006/relationships/hyperlink" Target="https://www.smaestimating.com/" TargetMode="External"/><Relationship Id="rId632" Type="http://schemas.openxmlformats.org/officeDocument/2006/relationships/hyperlink" Target="https://www.culligan.com/" TargetMode="External"/><Relationship Id="rId1055" Type="http://schemas.openxmlformats.org/officeDocument/2006/relationships/hyperlink" Target="https://www.mainlinephillyhomes.com/" TargetMode="External"/><Relationship Id="rId1262" Type="http://schemas.openxmlformats.org/officeDocument/2006/relationships/hyperlink" Target="https://www.expressgaragedoordfw.com/" TargetMode="External"/><Relationship Id="rId2106" Type="http://schemas.openxmlformats.org/officeDocument/2006/relationships/hyperlink" Target="http://bhid.com/" TargetMode="External"/><Relationship Id="rId2313" Type="http://schemas.openxmlformats.org/officeDocument/2006/relationships/hyperlink" Target="http://jm.com/" TargetMode="External"/><Relationship Id="rId2520" Type="http://schemas.openxmlformats.org/officeDocument/2006/relationships/hyperlink" Target="https://hamillcreek.com/" TargetMode="External"/><Relationship Id="rId937" Type="http://schemas.openxmlformats.org/officeDocument/2006/relationships/hyperlink" Target="https://www.homeaglow.com/" TargetMode="External"/><Relationship Id="rId1122" Type="http://schemas.openxmlformats.org/officeDocument/2006/relationships/hyperlink" Target="https://www.rtcfencing.co.uk/" TargetMode="External"/><Relationship Id="rId1567" Type="http://schemas.openxmlformats.org/officeDocument/2006/relationships/hyperlink" Target="http://mcmahonagency.com/" TargetMode="External"/><Relationship Id="rId1774" Type="http://schemas.openxmlformats.org/officeDocument/2006/relationships/hyperlink" Target="http://dandenonggaragedoors.com.au/" TargetMode="External"/><Relationship Id="rId1981" Type="http://schemas.openxmlformats.org/officeDocument/2006/relationships/hyperlink" Target="http://safesmartliving.com/" TargetMode="External"/><Relationship Id="rId2618" Type="http://schemas.openxmlformats.org/officeDocument/2006/relationships/hyperlink" Target="https://embeltonflooring.com/" TargetMode="External"/><Relationship Id="rId66" Type="http://schemas.openxmlformats.org/officeDocument/2006/relationships/hyperlink" Target="https://firstamericanroofing.com/" TargetMode="External"/><Relationship Id="rId1427" Type="http://schemas.openxmlformats.org/officeDocument/2006/relationships/hyperlink" Target="https://forrestsmallhomes.com.au/" TargetMode="External"/><Relationship Id="rId1634" Type="http://schemas.openxmlformats.org/officeDocument/2006/relationships/hyperlink" Target="http://modscape.com.au/" TargetMode="External"/><Relationship Id="rId1841" Type="http://schemas.openxmlformats.org/officeDocument/2006/relationships/hyperlink" Target="http://keensbuildings.com/" TargetMode="External"/><Relationship Id="rId1939" Type="http://schemas.openxmlformats.org/officeDocument/2006/relationships/hyperlink" Target="http://defymortgage.com/" TargetMode="External"/><Relationship Id="rId1701" Type="http://schemas.openxmlformats.org/officeDocument/2006/relationships/hyperlink" Target="http://heatherallendesigngroup.com/" TargetMode="External"/><Relationship Id="rId282" Type="http://schemas.openxmlformats.org/officeDocument/2006/relationships/hyperlink" Target="https://www.elho.com/en/" TargetMode="External"/><Relationship Id="rId587" Type="http://schemas.openxmlformats.org/officeDocument/2006/relationships/hyperlink" Target="https://www.pape-dawson.com/" TargetMode="External"/><Relationship Id="rId2170" Type="http://schemas.openxmlformats.org/officeDocument/2006/relationships/hyperlink" Target="http://wecanhelp.ca/" TargetMode="External"/><Relationship Id="rId2268" Type="http://schemas.openxmlformats.org/officeDocument/2006/relationships/hyperlink" Target="http://purcorpest.com/" TargetMode="External"/><Relationship Id="rId8" Type="http://schemas.openxmlformats.org/officeDocument/2006/relationships/hyperlink" Target="https://www.dignam.com/" TargetMode="External"/><Relationship Id="rId142" Type="http://schemas.openxmlformats.org/officeDocument/2006/relationships/hyperlink" Target="https://www.viprealtyinfo.com/" TargetMode="External"/><Relationship Id="rId447" Type="http://schemas.openxmlformats.org/officeDocument/2006/relationships/hyperlink" Target="https://eddypump.com/" TargetMode="External"/><Relationship Id="rId794" Type="http://schemas.openxmlformats.org/officeDocument/2006/relationships/hyperlink" Target="https://rhinorooter.net/" TargetMode="External"/><Relationship Id="rId1077" Type="http://schemas.openxmlformats.org/officeDocument/2006/relationships/hyperlink" Target="https://discountdumpsterco.com/" TargetMode="External"/><Relationship Id="rId2030" Type="http://schemas.openxmlformats.org/officeDocument/2006/relationships/hyperlink" Target="http://carpetwarehouse.co.uk/" TargetMode="External"/><Relationship Id="rId2128" Type="http://schemas.openxmlformats.org/officeDocument/2006/relationships/hyperlink" Target="http://northalabamahousebuyer.com/" TargetMode="External"/><Relationship Id="rId2475" Type="http://schemas.openxmlformats.org/officeDocument/2006/relationships/hyperlink" Target="http://lanescontracting.com/" TargetMode="External"/><Relationship Id="rId654" Type="http://schemas.openxmlformats.org/officeDocument/2006/relationships/hyperlink" Target="https://ezconnectfloats.com/" TargetMode="External"/><Relationship Id="rId861" Type="http://schemas.openxmlformats.org/officeDocument/2006/relationships/hyperlink" Target="https://www.mynd.co/" TargetMode="External"/><Relationship Id="rId959" Type="http://schemas.openxmlformats.org/officeDocument/2006/relationships/hyperlink" Target="https://www.henrybuyshomes.com/" TargetMode="External"/><Relationship Id="rId1284" Type="http://schemas.openxmlformats.org/officeDocument/2006/relationships/hyperlink" Target="https://homesteadsupplier.com/" TargetMode="External"/><Relationship Id="rId1491" Type="http://schemas.openxmlformats.org/officeDocument/2006/relationships/hyperlink" Target="http://bh-3.com/" TargetMode="External"/><Relationship Id="rId1589" Type="http://schemas.openxmlformats.org/officeDocument/2006/relationships/hyperlink" Target="http://globalsteelbuildings.ca/" TargetMode="External"/><Relationship Id="rId2335" Type="http://schemas.openxmlformats.org/officeDocument/2006/relationships/hyperlink" Target="http://steamcommander.com/" TargetMode="External"/><Relationship Id="rId2542" Type="http://schemas.openxmlformats.org/officeDocument/2006/relationships/hyperlink" Target="https://amjmetalroofing.com.au/" TargetMode="External"/><Relationship Id="rId307" Type="http://schemas.openxmlformats.org/officeDocument/2006/relationships/hyperlink" Target="https://www.propertymanagerwebsites.com/" TargetMode="External"/><Relationship Id="rId514" Type="http://schemas.openxmlformats.org/officeDocument/2006/relationships/hyperlink" Target="https://www.contractorsischool.com/" TargetMode="External"/><Relationship Id="rId721" Type="http://schemas.openxmlformats.org/officeDocument/2006/relationships/hyperlink" Target="https://kdarchitects.net/" TargetMode="External"/><Relationship Id="rId1144" Type="http://schemas.openxmlformats.org/officeDocument/2006/relationships/hyperlink" Target="https://www.westromgroup.com/" TargetMode="External"/><Relationship Id="rId1351" Type="http://schemas.openxmlformats.org/officeDocument/2006/relationships/hyperlink" Target="https://allcountyexteriors.com/" TargetMode="External"/><Relationship Id="rId1449" Type="http://schemas.openxmlformats.org/officeDocument/2006/relationships/hyperlink" Target="http://joist.com/" TargetMode="External"/><Relationship Id="rId1796" Type="http://schemas.openxmlformats.org/officeDocument/2006/relationships/hyperlink" Target="http://onlyradiators.co.uk/" TargetMode="External"/><Relationship Id="rId2402" Type="http://schemas.openxmlformats.org/officeDocument/2006/relationships/hyperlink" Target="http://jollygoatgaragedoors.com/" TargetMode="External"/><Relationship Id="rId88" Type="http://schemas.openxmlformats.org/officeDocument/2006/relationships/hyperlink" Target="https://fairdealhomebuyers.com/" TargetMode="External"/><Relationship Id="rId819" Type="http://schemas.openxmlformats.org/officeDocument/2006/relationships/hyperlink" Target="https://olympiamoving.com/" TargetMode="External"/><Relationship Id="rId1004" Type="http://schemas.openxmlformats.org/officeDocument/2006/relationships/hyperlink" Target="https://landlordtips.com/" TargetMode="External"/><Relationship Id="rId1211" Type="http://schemas.openxmlformats.org/officeDocument/2006/relationships/hyperlink" Target="https://kay2.ca/" TargetMode="External"/><Relationship Id="rId1656" Type="http://schemas.openxmlformats.org/officeDocument/2006/relationships/hyperlink" Target="http://thepropertybuyingcompany.co.uk/" TargetMode="External"/><Relationship Id="rId1863" Type="http://schemas.openxmlformats.org/officeDocument/2006/relationships/hyperlink" Target="http://essentialequityrealestate.com/" TargetMode="External"/><Relationship Id="rId1309" Type="http://schemas.openxmlformats.org/officeDocument/2006/relationships/hyperlink" Target="https://missamara.com.au/" TargetMode="External"/><Relationship Id="rId1516" Type="http://schemas.openxmlformats.org/officeDocument/2006/relationships/hyperlink" Target="http://cincinnatihistorichomes.com/" TargetMode="External"/><Relationship Id="rId1723" Type="http://schemas.openxmlformats.org/officeDocument/2006/relationships/hyperlink" Target="http://buildguardian.com/" TargetMode="External"/><Relationship Id="rId1930" Type="http://schemas.openxmlformats.org/officeDocument/2006/relationships/hyperlink" Target="http://propertypeople.net.au/" TargetMode="External"/><Relationship Id="rId15" Type="http://schemas.openxmlformats.org/officeDocument/2006/relationships/hyperlink" Target="https://syndicationpro.com/" TargetMode="External"/><Relationship Id="rId2192" Type="http://schemas.openxmlformats.org/officeDocument/2006/relationships/hyperlink" Target="http://propertyroad.co.uk/" TargetMode="External"/><Relationship Id="rId164" Type="http://schemas.openxmlformats.org/officeDocument/2006/relationships/hyperlink" Target="https://www.beauchamp.com/" TargetMode="External"/><Relationship Id="rId371" Type="http://schemas.openxmlformats.org/officeDocument/2006/relationships/hyperlink" Target="https://www.highgrovebathrooms.com.au/" TargetMode="External"/><Relationship Id="rId2052" Type="http://schemas.openxmlformats.org/officeDocument/2006/relationships/hyperlink" Target="http://2modern.com/" TargetMode="External"/><Relationship Id="rId2497" Type="http://schemas.openxmlformats.org/officeDocument/2006/relationships/hyperlink" Target="http://margaritabravo.com/" TargetMode="External"/><Relationship Id="rId469" Type="http://schemas.openxmlformats.org/officeDocument/2006/relationships/hyperlink" Target="https://www.fowlerexteriors.com/" TargetMode="External"/><Relationship Id="rId676" Type="http://schemas.openxmlformats.org/officeDocument/2006/relationships/hyperlink" Target="https://trueworksroofing.com/" TargetMode="External"/><Relationship Id="rId883" Type="http://schemas.openxmlformats.org/officeDocument/2006/relationships/hyperlink" Target="https://morrisjenkins.com/" TargetMode="External"/><Relationship Id="rId1099" Type="http://schemas.openxmlformats.org/officeDocument/2006/relationships/hyperlink" Target="https://intipainting.com/" TargetMode="External"/><Relationship Id="rId2357" Type="http://schemas.openxmlformats.org/officeDocument/2006/relationships/hyperlink" Target="http://myapluspest.com/" TargetMode="External"/><Relationship Id="rId2564" Type="http://schemas.openxmlformats.org/officeDocument/2006/relationships/hyperlink" Target="https://johnsonrestoration.net/" TargetMode="External"/><Relationship Id="rId231" Type="http://schemas.openxmlformats.org/officeDocument/2006/relationships/hyperlink" Target="https://www.unloadmyhome.com/" TargetMode="External"/><Relationship Id="rId329" Type="http://schemas.openxmlformats.org/officeDocument/2006/relationships/hyperlink" Target="https://www.moderngroup.com.au/" TargetMode="External"/><Relationship Id="rId536" Type="http://schemas.openxmlformats.org/officeDocument/2006/relationships/hyperlink" Target="https://www.foxyhome.com/" TargetMode="External"/><Relationship Id="rId1166" Type="http://schemas.openxmlformats.org/officeDocument/2006/relationships/hyperlink" Target="https://www.dallairerealty.com/" TargetMode="External"/><Relationship Id="rId1373" Type="http://schemas.openxmlformats.org/officeDocument/2006/relationships/hyperlink" Target="https://www.cliftonpf.co.uk/" TargetMode="External"/><Relationship Id="rId2217" Type="http://schemas.openxmlformats.org/officeDocument/2006/relationships/hyperlink" Target="http://mcarthurhomes.com/" TargetMode="External"/><Relationship Id="rId743" Type="http://schemas.openxmlformats.org/officeDocument/2006/relationships/hyperlink" Target="https://www.ironcompany.com/" TargetMode="External"/><Relationship Id="rId950" Type="http://schemas.openxmlformats.org/officeDocument/2006/relationships/hyperlink" Target="https://www.hiltonheadrealtysales.com/" TargetMode="External"/><Relationship Id="rId1026" Type="http://schemas.openxmlformats.org/officeDocument/2006/relationships/hyperlink" Target="https://web-don.com/" TargetMode="External"/><Relationship Id="rId1580" Type="http://schemas.openxmlformats.org/officeDocument/2006/relationships/hyperlink" Target="http://ezhangdoor.com/" TargetMode="External"/><Relationship Id="rId1678" Type="http://schemas.openxmlformats.org/officeDocument/2006/relationships/hyperlink" Target="http://luxurybathnjpa.com/" TargetMode="External"/><Relationship Id="rId1885" Type="http://schemas.openxmlformats.org/officeDocument/2006/relationships/hyperlink" Target="http://movebms.com/" TargetMode="External"/><Relationship Id="rId2424" Type="http://schemas.openxmlformats.org/officeDocument/2006/relationships/hyperlink" Target="http://americanvisionwindowsaz.com/" TargetMode="External"/><Relationship Id="rId603" Type="http://schemas.openxmlformats.org/officeDocument/2006/relationships/hyperlink" Target="https://fabglassandmirror.com/" TargetMode="External"/><Relationship Id="rId810" Type="http://schemas.openxmlformats.org/officeDocument/2006/relationships/hyperlink" Target="https://www.lifespankids.com.au/" TargetMode="External"/><Relationship Id="rId908" Type="http://schemas.openxmlformats.org/officeDocument/2006/relationships/hyperlink" Target="https://kitchencabinetkings.com/" TargetMode="External"/><Relationship Id="rId1233" Type="http://schemas.openxmlformats.org/officeDocument/2006/relationships/hyperlink" Target="https://www.vacuumelevators.com/" TargetMode="External"/><Relationship Id="rId1440" Type="http://schemas.openxmlformats.org/officeDocument/2006/relationships/hyperlink" Target="http://grenadier.co.nz/" TargetMode="External"/><Relationship Id="rId1538" Type="http://schemas.openxmlformats.org/officeDocument/2006/relationships/hyperlink" Target="http://comfortecphc.com/" TargetMode="External"/><Relationship Id="rId1300" Type="http://schemas.openxmlformats.org/officeDocument/2006/relationships/hyperlink" Target="https://www.bolsterbuilt.com/" TargetMode="External"/><Relationship Id="rId1745" Type="http://schemas.openxmlformats.org/officeDocument/2006/relationships/hyperlink" Target="http://inmotionrealestate.com/" TargetMode="External"/><Relationship Id="rId1952" Type="http://schemas.openxmlformats.org/officeDocument/2006/relationships/hyperlink" Target="http://saatva.com/" TargetMode="External"/><Relationship Id="rId37" Type="http://schemas.openxmlformats.org/officeDocument/2006/relationships/hyperlink" Target="https://www.uspatriotsteel.com/" TargetMode="External"/><Relationship Id="rId1605" Type="http://schemas.openxmlformats.org/officeDocument/2006/relationships/hyperlink" Target="http://servpro.com/" TargetMode="External"/><Relationship Id="rId1812" Type="http://schemas.openxmlformats.org/officeDocument/2006/relationships/hyperlink" Target="http://joycefactorydirect.com/" TargetMode="External"/><Relationship Id="rId186" Type="http://schemas.openxmlformats.org/officeDocument/2006/relationships/hyperlink" Target="https://bossdesigncenter.com/" TargetMode="External"/><Relationship Id="rId393" Type="http://schemas.openxmlformats.org/officeDocument/2006/relationships/hyperlink" Target="https://www.thisoldhouse.com/" TargetMode="External"/><Relationship Id="rId2074" Type="http://schemas.openxmlformats.org/officeDocument/2006/relationships/hyperlink" Target="http://acremodeling.com/" TargetMode="External"/><Relationship Id="rId2281" Type="http://schemas.openxmlformats.org/officeDocument/2006/relationships/hyperlink" Target="http://lovech.ca/" TargetMode="External"/><Relationship Id="rId253" Type="http://schemas.openxmlformats.org/officeDocument/2006/relationships/hyperlink" Target="https://boilercoveruk.co.uk/" TargetMode="External"/><Relationship Id="rId460" Type="http://schemas.openxmlformats.org/officeDocument/2006/relationships/hyperlink" Target="https://www.golansmoving.com/" TargetMode="External"/><Relationship Id="rId698" Type="http://schemas.openxmlformats.org/officeDocument/2006/relationships/hyperlink" Target="https://www.mrhandyman.com/" TargetMode="External"/><Relationship Id="rId1090" Type="http://schemas.openxmlformats.org/officeDocument/2006/relationships/hyperlink" Target="https://www.flexstorage.com/" TargetMode="External"/><Relationship Id="rId2141" Type="http://schemas.openxmlformats.org/officeDocument/2006/relationships/hyperlink" Target="http://cityofmalden.org/" TargetMode="External"/><Relationship Id="rId2379" Type="http://schemas.openxmlformats.org/officeDocument/2006/relationships/hyperlink" Target="http://safeharborexteriors.com/" TargetMode="External"/><Relationship Id="rId2586" Type="http://schemas.openxmlformats.org/officeDocument/2006/relationships/hyperlink" Target="https://mcd.net.au/" TargetMode="External"/><Relationship Id="rId113" Type="http://schemas.openxmlformats.org/officeDocument/2006/relationships/hyperlink" Target="https://sandiegocountyroofing.com/" TargetMode="External"/><Relationship Id="rId320" Type="http://schemas.openxmlformats.org/officeDocument/2006/relationships/hyperlink" Target="https://5-starplumbing.com/" TargetMode="External"/><Relationship Id="rId558" Type="http://schemas.openxmlformats.org/officeDocument/2006/relationships/hyperlink" Target="https://www.1800gotjunk.com.au/" TargetMode="External"/><Relationship Id="rId765" Type="http://schemas.openxmlformats.org/officeDocument/2006/relationships/hyperlink" Target="https://ftworthrefinishing.com/" TargetMode="External"/><Relationship Id="rId972" Type="http://schemas.openxmlformats.org/officeDocument/2006/relationships/hyperlink" Target="https://www.bigtrailerrentals.com/" TargetMode="External"/><Relationship Id="rId1188" Type="http://schemas.openxmlformats.org/officeDocument/2006/relationships/hyperlink" Target="https://airandenergynwfl.com/" TargetMode="External"/><Relationship Id="rId1395" Type="http://schemas.openxmlformats.org/officeDocument/2006/relationships/hyperlink" Target="https://bicconstructionllc.com/" TargetMode="External"/><Relationship Id="rId2001" Type="http://schemas.openxmlformats.org/officeDocument/2006/relationships/hyperlink" Target="http://trane.com/" TargetMode="External"/><Relationship Id="rId2239" Type="http://schemas.openxmlformats.org/officeDocument/2006/relationships/hyperlink" Target="http://insurancehero.org.uk/" TargetMode="External"/><Relationship Id="rId2446" Type="http://schemas.openxmlformats.org/officeDocument/2006/relationships/hyperlink" Target="http://realestatequeen.com/" TargetMode="External"/><Relationship Id="rId418" Type="http://schemas.openxmlformats.org/officeDocument/2006/relationships/hyperlink" Target="https://home.howstuffworks.com/" TargetMode="External"/><Relationship Id="rId625" Type="http://schemas.openxmlformats.org/officeDocument/2006/relationships/hyperlink" Target="https://www.landrymechanical.com/" TargetMode="External"/><Relationship Id="rId832" Type="http://schemas.openxmlformats.org/officeDocument/2006/relationships/hyperlink" Target="https://www.sedarglobal.com/" TargetMode="External"/><Relationship Id="rId1048" Type="http://schemas.openxmlformats.org/officeDocument/2006/relationships/hyperlink" Target="https://www.budgetdumpster.com/" TargetMode="External"/><Relationship Id="rId1255" Type="http://schemas.openxmlformats.org/officeDocument/2006/relationships/hyperlink" Target="https://www.tubchairs.com/" TargetMode="External"/><Relationship Id="rId1462" Type="http://schemas.openxmlformats.org/officeDocument/2006/relationships/hyperlink" Target="http://theperfectrug.com/" TargetMode="External"/><Relationship Id="rId2306" Type="http://schemas.openxmlformats.org/officeDocument/2006/relationships/hyperlink" Target="http://sohohome.com/" TargetMode="External"/><Relationship Id="rId2513" Type="http://schemas.openxmlformats.org/officeDocument/2006/relationships/hyperlink" Target="https://www.summithomes.com.au/" TargetMode="External"/><Relationship Id="rId1115" Type="http://schemas.openxmlformats.org/officeDocument/2006/relationships/hyperlink" Target="https://shedsunlimited.net/" TargetMode="External"/><Relationship Id="rId1322" Type="http://schemas.openxmlformats.org/officeDocument/2006/relationships/hyperlink" Target="https://www.housepro.net/" TargetMode="External"/><Relationship Id="rId1767" Type="http://schemas.openxmlformats.org/officeDocument/2006/relationships/hyperlink" Target="http://americanpavingtn.com/" TargetMode="External"/><Relationship Id="rId1974" Type="http://schemas.openxmlformats.org/officeDocument/2006/relationships/hyperlink" Target="http://clksupplies.com/" TargetMode="External"/><Relationship Id="rId59" Type="http://schemas.openxmlformats.org/officeDocument/2006/relationships/hyperlink" Target="https://www.catseyepest.com/" TargetMode="External"/><Relationship Id="rId1627" Type="http://schemas.openxmlformats.org/officeDocument/2006/relationships/hyperlink" Target="http://groundsguys.ca/" TargetMode="External"/><Relationship Id="rId1834" Type="http://schemas.openxmlformats.org/officeDocument/2006/relationships/hyperlink" Target="http://slghomebuyer.ca/" TargetMode="External"/><Relationship Id="rId2096" Type="http://schemas.openxmlformats.org/officeDocument/2006/relationships/hyperlink" Target="http://cactuscarpetcare.ca/" TargetMode="External"/><Relationship Id="rId1901" Type="http://schemas.openxmlformats.org/officeDocument/2006/relationships/hyperlink" Target="http://homestarfinance.com.au/" TargetMode="External"/><Relationship Id="rId275" Type="http://schemas.openxmlformats.org/officeDocument/2006/relationships/hyperlink" Target="https://www.compositepanel.org/" TargetMode="External"/><Relationship Id="rId482" Type="http://schemas.openxmlformats.org/officeDocument/2006/relationships/hyperlink" Target="https://activeplumbingandair.com/" TargetMode="External"/><Relationship Id="rId2163" Type="http://schemas.openxmlformats.org/officeDocument/2006/relationships/hyperlink" Target="http://readyhousebuyer.com/" TargetMode="External"/><Relationship Id="rId2370" Type="http://schemas.openxmlformats.org/officeDocument/2006/relationships/hyperlink" Target="http://bensoleimani.com/" TargetMode="External"/><Relationship Id="rId135" Type="http://schemas.openxmlformats.org/officeDocument/2006/relationships/hyperlink" Target="https://www.muval.com.au/" TargetMode="External"/><Relationship Id="rId342" Type="http://schemas.openxmlformats.org/officeDocument/2006/relationships/hyperlink" Target="https://fastofficefurniture.com.au/" TargetMode="External"/><Relationship Id="rId787" Type="http://schemas.openxmlformats.org/officeDocument/2006/relationships/hyperlink" Target="https://goldcoastschools.com/" TargetMode="External"/><Relationship Id="rId994" Type="http://schemas.openxmlformats.org/officeDocument/2006/relationships/hyperlink" Target="https://roboticpoolcleanerscompared.com/" TargetMode="External"/><Relationship Id="rId2023" Type="http://schemas.openxmlformats.org/officeDocument/2006/relationships/hyperlink" Target="http://kitchenwarehouseltd.com/" TargetMode="External"/><Relationship Id="rId2230" Type="http://schemas.openxmlformats.org/officeDocument/2006/relationships/hyperlink" Target="http://acind.com.au/" TargetMode="External"/><Relationship Id="rId2468" Type="http://schemas.openxmlformats.org/officeDocument/2006/relationships/hyperlink" Target="http://mortgagecalculator.org/" TargetMode="External"/><Relationship Id="rId202" Type="http://schemas.openxmlformats.org/officeDocument/2006/relationships/hyperlink" Target="https://physicianbanks.com/" TargetMode="External"/><Relationship Id="rId647" Type="http://schemas.openxmlformats.org/officeDocument/2006/relationships/hyperlink" Target="https://harveykalles.com/" TargetMode="External"/><Relationship Id="rId854" Type="http://schemas.openxmlformats.org/officeDocument/2006/relationships/hyperlink" Target="https://www.giarenovations.com.au/" TargetMode="External"/><Relationship Id="rId1277" Type="http://schemas.openxmlformats.org/officeDocument/2006/relationships/hyperlink" Target="https://www.newjerseyrealestatenetwork.com/" TargetMode="External"/><Relationship Id="rId1484" Type="http://schemas.openxmlformats.org/officeDocument/2006/relationships/hyperlink" Target="http://onesothebysrealty.com/" TargetMode="External"/><Relationship Id="rId1691" Type="http://schemas.openxmlformats.org/officeDocument/2006/relationships/hyperlink" Target="http://getmovedtoday.com/" TargetMode="External"/><Relationship Id="rId2328" Type="http://schemas.openxmlformats.org/officeDocument/2006/relationships/hyperlink" Target="http://mrrooter.com/" TargetMode="External"/><Relationship Id="rId2535" Type="http://schemas.openxmlformats.org/officeDocument/2006/relationships/hyperlink" Target="https://oylerhines.com/" TargetMode="External"/><Relationship Id="rId507" Type="http://schemas.openxmlformats.org/officeDocument/2006/relationships/hyperlink" Target="https://yourelegantbar.com/" TargetMode="External"/><Relationship Id="rId714" Type="http://schemas.openxmlformats.org/officeDocument/2006/relationships/hyperlink" Target="https://discovertheburgh.com/" TargetMode="External"/><Relationship Id="rId921" Type="http://schemas.openxmlformats.org/officeDocument/2006/relationships/hyperlink" Target="https://betterhousebuyers.com/" TargetMode="External"/><Relationship Id="rId1137" Type="http://schemas.openxmlformats.org/officeDocument/2006/relationships/hyperlink" Target="https://attorneysre.com/" TargetMode="External"/><Relationship Id="rId1344" Type="http://schemas.openxmlformats.org/officeDocument/2006/relationships/hyperlink" Target="https://fittra.co.uk/" TargetMode="External"/><Relationship Id="rId1551" Type="http://schemas.openxmlformats.org/officeDocument/2006/relationships/hyperlink" Target="http://sandiegopaintingcompany.com/" TargetMode="External"/><Relationship Id="rId1789" Type="http://schemas.openxmlformats.org/officeDocument/2006/relationships/hyperlink" Target="http://simplifystuff.co.uk/" TargetMode="External"/><Relationship Id="rId1996" Type="http://schemas.openxmlformats.org/officeDocument/2006/relationships/hyperlink" Target="http://groovyhues.com/" TargetMode="External"/><Relationship Id="rId2602" Type="http://schemas.openxmlformats.org/officeDocument/2006/relationships/hyperlink" Target="http://turtlebackmountaingolfandresort.com/" TargetMode="External"/><Relationship Id="rId50" Type="http://schemas.openxmlformats.org/officeDocument/2006/relationships/hyperlink" Target="https://woodlandwindows.com/" TargetMode="External"/><Relationship Id="rId1204" Type="http://schemas.openxmlformats.org/officeDocument/2006/relationships/hyperlink" Target="https://johntheplumber.ca/" TargetMode="External"/><Relationship Id="rId1411" Type="http://schemas.openxmlformats.org/officeDocument/2006/relationships/hyperlink" Target="https://austinroofingandwaterdamage.com/" TargetMode="External"/><Relationship Id="rId1649" Type="http://schemas.openxmlformats.org/officeDocument/2006/relationships/hyperlink" Target="http://premiersothebysrealty.com/" TargetMode="External"/><Relationship Id="rId1856" Type="http://schemas.openxmlformats.org/officeDocument/2006/relationships/hyperlink" Target="http://andalusiacc.com/" TargetMode="External"/><Relationship Id="rId1509" Type="http://schemas.openxmlformats.org/officeDocument/2006/relationships/hyperlink" Target="http://mycoastalwindows.com/" TargetMode="External"/><Relationship Id="rId1716" Type="http://schemas.openxmlformats.org/officeDocument/2006/relationships/hyperlink" Target="http://bagnalls.co.uk/" TargetMode="External"/><Relationship Id="rId1923" Type="http://schemas.openxmlformats.org/officeDocument/2006/relationships/hyperlink" Target="http://hansohome.com/" TargetMode="External"/><Relationship Id="rId297" Type="http://schemas.openxmlformats.org/officeDocument/2006/relationships/hyperlink" Target="https://www.redcarpetmovingcompany.com/" TargetMode="External"/><Relationship Id="rId2185" Type="http://schemas.openxmlformats.org/officeDocument/2006/relationships/hyperlink" Target="http://listproperty4free.com/" TargetMode="External"/><Relationship Id="rId2392" Type="http://schemas.openxmlformats.org/officeDocument/2006/relationships/hyperlink" Target="http://poolguardusa.com/" TargetMode="External"/><Relationship Id="rId157" Type="http://schemas.openxmlformats.org/officeDocument/2006/relationships/hyperlink" Target="https://www.mineraltiles.com/" TargetMode="External"/><Relationship Id="rId364" Type="http://schemas.openxmlformats.org/officeDocument/2006/relationships/hyperlink" Target="https://h2scan.com/" TargetMode="External"/><Relationship Id="rId2045" Type="http://schemas.openxmlformats.org/officeDocument/2006/relationships/hyperlink" Target="http://trusthomesense.com/" TargetMode="External"/><Relationship Id="rId571" Type="http://schemas.openxmlformats.org/officeDocument/2006/relationships/hyperlink" Target="https://greentekps.com/" TargetMode="External"/><Relationship Id="rId669" Type="http://schemas.openxmlformats.org/officeDocument/2006/relationships/hyperlink" Target="https://fortes.vision/" TargetMode="External"/><Relationship Id="rId876" Type="http://schemas.openxmlformats.org/officeDocument/2006/relationships/hyperlink" Target="https://www.madisoncountyhousebuyers.com/" TargetMode="External"/><Relationship Id="rId1299" Type="http://schemas.openxmlformats.org/officeDocument/2006/relationships/hyperlink" Target="https://sdhstudio.com/" TargetMode="External"/><Relationship Id="rId2252" Type="http://schemas.openxmlformats.org/officeDocument/2006/relationships/hyperlink" Target="http://brownboysroofing.com/" TargetMode="External"/><Relationship Id="rId2557" Type="http://schemas.openxmlformats.org/officeDocument/2006/relationships/hyperlink" Target="http://primeworkconstructionca.com/" TargetMode="External"/><Relationship Id="rId224" Type="http://schemas.openxmlformats.org/officeDocument/2006/relationships/hyperlink" Target="https://www.mannlakeltd.com/" TargetMode="External"/><Relationship Id="rId431" Type="http://schemas.openxmlformats.org/officeDocument/2006/relationships/hyperlink" Target="https://bdsdrainage.co.uk/" TargetMode="External"/><Relationship Id="rId529" Type="http://schemas.openxmlformats.org/officeDocument/2006/relationships/hyperlink" Target="https://highstreammoving.com/" TargetMode="External"/><Relationship Id="rId736" Type="http://schemas.openxmlformats.org/officeDocument/2006/relationships/hyperlink" Target="https://www.ssrelocation.com/" TargetMode="External"/><Relationship Id="rId1061" Type="http://schemas.openxmlformats.org/officeDocument/2006/relationships/hyperlink" Target="https://www.manhattanmiami.com/" TargetMode="External"/><Relationship Id="rId1159" Type="http://schemas.openxmlformats.org/officeDocument/2006/relationships/hyperlink" Target="https://www.myseattlehomesearch.com/" TargetMode="External"/><Relationship Id="rId1366" Type="http://schemas.openxmlformats.org/officeDocument/2006/relationships/hyperlink" Target="https://apopsiclestand.com/" TargetMode="External"/><Relationship Id="rId2112" Type="http://schemas.openxmlformats.org/officeDocument/2006/relationships/hyperlink" Target="http://frontdoor.com/" TargetMode="External"/><Relationship Id="rId2417" Type="http://schemas.openxmlformats.org/officeDocument/2006/relationships/hyperlink" Target="http://hunker.com/" TargetMode="External"/><Relationship Id="rId943" Type="http://schemas.openxmlformats.org/officeDocument/2006/relationships/hyperlink" Target="https://chadschwendeman.com/baxter-mn/" TargetMode="External"/><Relationship Id="rId1019" Type="http://schemas.openxmlformats.org/officeDocument/2006/relationships/hyperlink" Target="https://artilux.com.au/" TargetMode="External"/><Relationship Id="rId1573" Type="http://schemas.openxmlformats.org/officeDocument/2006/relationships/hyperlink" Target="http://nationalfloorsdirect.com/" TargetMode="External"/><Relationship Id="rId1780" Type="http://schemas.openxmlformats.org/officeDocument/2006/relationships/hyperlink" Target="http://sena-homefurniture.co.uk/" TargetMode="External"/><Relationship Id="rId1878" Type="http://schemas.openxmlformats.org/officeDocument/2006/relationships/hyperlink" Target="http://zakladyboleslawiec.com/" TargetMode="External"/><Relationship Id="rId2624" Type="http://schemas.openxmlformats.org/officeDocument/2006/relationships/hyperlink" Target="https://www.easygaragedoorrepair.com/" TargetMode="External"/><Relationship Id="rId72" Type="http://schemas.openxmlformats.org/officeDocument/2006/relationships/hyperlink" Target="https://reallycheapfloors.com/" TargetMode="External"/><Relationship Id="rId803" Type="http://schemas.openxmlformats.org/officeDocument/2006/relationships/hyperlink" Target="https://www.watkinsheating.com/" TargetMode="External"/><Relationship Id="rId1226" Type="http://schemas.openxmlformats.org/officeDocument/2006/relationships/hyperlink" Target="https://blueandgreentomorrow.com/" TargetMode="External"/><Relationship Id="rId1433" Type="http://schemas.openxmlformats.org/officeDocument/2006/relationships/hyperlink" Target="http://windowscanada.com/" TargetMode="External"/><Relationship Id="rId1640" Type="http://schemas.openxmlformats.org/officeDocument/2006/relationships/hyperlink" Target="http://neatspaces.ca/" TargetMode="External"/><Relationship Id="rId1738" Type="http://schemas.openxmlformats.org/officeDocument/2006/relationships/hyperlink" Target="http://pbctoday.co.uk/" TargetMode="External"/><Relationship Id="rId1500" Type="http://schemas.openxmlformats.org/officeDocument/2006/relationships/hyperlink" Target="http://chiswickplumbing.com.au/" TargetMode="External"/><Relationship Id="rId1945" Type="http://schemas.openxmlformats.org/officeDocument/2006/relationships/hyperlink" Target="http://libertyhomeguard.com/" TargetMode="External"/><Relationship Id="rId1805" Type="http://schemas.openxmlformats.org/officeDocument/2006/relationships/hyperlink" Target="http://innago.com/" TargetMode="External"/><Relationship Id="rId179" Type="http://schemas.openxmlformats.org/officeDocument/2006/relationships/hyperlink" Target="https://homoper.com/" TargetMode="External"/><Relationship Id="rId386" Type="http://schemas.openxmlformats.org/officeDocument/2006/relationships/hyperlink" Target="https://www.officefurnitureonline.co.uk/" TargetMode="External"/><Relationship Id="rId593" Type="http://schemas.openxmlformats.org/officeDocument/2006/relationships/hyperlink" Target="https://www.williamsonsfactoryshop.co.uk/" TargetMode="External"/><Relationship Id="rId2067" Type="http://schemas.openxmlformats.org/officeDocument/2006/relationships/hyperlink" Target="http://wholesaledomestic.com/" TargetMode="External"/><Relationship Id="rId2274" Type="http://schemas.openxmlformats.org/officeDocument/2006/relationships/hyperlink" Target="http://protegrityrestoration.com/" TargetMode="External"/><Relationship Id="rId2481" Type="http://schemas.openxmlformats.org/officeDocument/2006/relationships/hyperlink" Target="http://legacycabinets.com/" TargetMode="External"/><Relationship Id="rId246" Type="http://schemas.openxmlformats.org/officeDocument/2006/relationships/hyperlink" Target="https://www.webuyanyhome.com/" TargetMode="External"/><Relationship Id="rId453" Type="http://schemas.openxmlformats.org/officeDocument/2006/relationships/hyperlink" Target="https://awvs.com/" TargetMode="External"/><Relationship Id="rId660" Type="http://schemas.openxmlformats.org/officeDocument/2006/relationships/hyperlink" Target="https://castelblanco.com/" TargetMode="External"/><Relationship Id="rId898" Type="http://schemas.openxmlformats.org/officeDocument/2006/relationships/hyperlink" Target="https://homefrontbuys.com/" TargetMode="External"/><Relationship Id="rId1083" Type="http://schemas.openxmlformats.org/officeDocument/2006/relationships/hyperlink" Target="https://marbellapropertysrm.com/" TargetMode="External"/><Relationship Id="rId1290" Type="http://schemas.openxmlformats.org/officeDocument/2006/relationships/hyperlink" Target="https://capitalupvc.co.uk/" TargetMode="External"/><Relationship Id="rId2134" Type="http://schemas.openxmlformats.org/officeDocument/2006/relationships/hyperlink" Target="http://natran.com/" TargetMode="External"/><Relationship Id="rId2341" Type="http://schemas.openxmlformats.org/officeDocument/2006/relationships/hyperlink" Target="http://pbphomerepair.com/" TargetMode="External"/><Relationship Id="rId2579" Type="http://schemas.openxmlformats.org/officeDocument/2006/relationships/hyperlink" Target="https://roof-troopers.com/" TargetMode="External"/><Relationship Id="rId106" Type="http://schemas.openxmlformats.org/officeDocument/2006/relationships/hyperlink" Target="https://www.interlocking-toronto.ca/" TargetMode="External"/><Relationship Id="rId313" Type="http://schemas.openxmlformats.org/officeDocument/2006/relationships/hyperlink" Target="https://www.charlottesgotalot.com/" TargetMode="External"/><Relationship Id="rId758" Type="http://schemas.openxmlformats.org/officeDocument/2006/relationships/hyperlink" Target="https://www.alekoproducts.com/" TargetMode="External"/><Relationship Id="rId965" Type="http://schemas.openxmlformats.org/officeDocument/2006/relationships/hyperlink" Target="https://okcrestorations.com/" TargetMode="External"/><Relationship Id="rId1150" Type="http://schemas.openxmlformats.org/officeDocument/2006/relationships/hyperlink" Target="https://www.rentspree.com/" TargetMode="External"/><Relationship Id="rId1388" Type="http://schemas.openxmlformats.org/officeDocument/2006/relationships/hyperlink" Target="https://www.frelanhardware.co.uk/" TargetMode="External"/><Relationship Id="rId1595" Type="http://schemas.openxmlformats.org/officeDocument/2006/relationships/hyperlink" Target="http://goldengatehomeinspections.com/" TargetMode="External"/><Relationship Id="rId2439" Type="http://schemas.openxmlformats.org/officeDocument/2006/relationships/hyperlink" Target="http://profitbooks.net/" TargetMode="External"/><Relationship Id="rId94" Type="http://schemas.openxmlformats.org/officeDocument/2006/relationships/hyperlink" Target="https://click4storage.com/" TargetMode="External"/><Relationship Id="rId520" Type="http://schemas.openxmlformats.org/officeDocument/2006/relationships/hyperlink" Target="https://www.halfpricepackaging.com/" TargetMode="External"/><Relationship Id="rId618" Type="http://schemas.openxmlformats.org/officeDocument/2006/relationships/hyperlink" Target="https://180contractors.com/" TargetMode="External"/><Relationship Id="rId825" Type="http://schemas.openxmlformats.org/officeDocument/2006/relationships/hyperlink" Target="https://hbno.com/" TargetMode="External"/><Relationship Id="rId1248" Type="http://schemas.openxmlformats.org/officeDocument/2006/relationships/hyperlink" Target="https://www.sheds.com.au/" TargetMode="External"/><Relationship Id="rId1455" Type="http://schemas.openxmlformats.org/officeDocument/2006/relationships/hyperlink" Target="http://capstgeorges.com/" TargetMode="External"/><Relationship Id="rId1662" Type="http://schemas.openxmlformats.org/officeDocument/2006/relationships/hyperlink" Target="http://greenhomegnome.com/" TargetMode="External"/><Relationship Id="rId2201" Type="http://schemas.openxmlformats.org/officeDocument/2006/relationships/hyperlink" Target="http://h2horganizing.com/" TargetMode="External"/><Relationship Id="rId2506" Type="http://schemas.openxmlformats.org/officeDocument/2006/relationships/hyperlink" Target="http://allstarhome.com/" TargetMode="External"/><Relationship Id="rId1010" Type="http://schemas.openxmlformats.org/officeDocument/2006/relationships/hyperlink" Target="https://vaughanandvaughan.com/" TargetMode="External"/><Relationship Id="rId1108" Type="http://schemas.openxmlformats.org/officeDocument/2006/relationships/hyperlink" Target="https://volcanobuilders.com/" TargetMode="External"/><Relationship Id="rId1315" Type="http://schemas.openxmlformats.org/officeDocument/2006/relationships/hyperlink" Target="https://matrak.com/" TargetMode="External"/><Relationship Id="rId1967" Type="http://schemas.openxmlformats.org/officeDocument/2006/relationships/hyperlink" Target="http://pureturfllc.com/" TargetMode="External"/><Relationship Id="rId1522" Type="http://schemas.openxmlformats.org/officeDocument/2006/relationships/hyperlink" Target="http://ageinplace.com/" TargetMode="External"/><Relationship Id="rId21" Type="http://schemas.openxmlformats.org/officeDocument/2006/relationships/hyperlink" Target="https://embrysroofing.com/" TargetMode="External"/><Relationship Id="rId2089" Type="http://schemas.openxmlformats.org/officeDocument/2006/relationships/hyperlink" Target="http://themaidcrew.com/" TargetMode="External"/><Relationship Id="rId2296" Type="http://schemas.openxmlformats.org/officeDocument/2006/relationships/hyperlink" Target="http://us.sundaysupply.co/" TargetMode="External"/><Relationship Id="rId268" Type="http://schemas.openxmlformats.org/officeDocument/2006/relationships/hyperlink" Target="https://www.realpha.com/" TargetMode="External"/><Relationship Id="rId475" Type="http://schemas.openxmlformats.org/officeDocument/2006/relationships/hyperlink" Target="https://www.homegambit.com/" TargetMode="External"/><Relationship Id="rId682" Type="http://schemas.openxmlformats.org/officeDocument/2006/relationships/hyperlink" Target="https://mentorsmoving.com/" TargetMode="External"/><Relationship Id="rId2156" Type="http://schemas.openxmlformats.org/officeDocument/2006/relationships/hyperlink" Target="http://satxwebuyhouses.com/" TargetMode="External"/><Relationship Id="rId2363" Type="http://schemas.openxmlformats.org/officeDocument/2006/relationships/hyperlink" Target="http://sydneywardrobe.com.au/" TargetMode="External"/><Relationship Id="rId2570" Type="http://schemas.openxmlformats.org/officeDocument/2006/relationships/hyperlink" Target="https://www.zestlighting.com.au/" TargetMode="External"/><Relationship Id="rId128" Type="http://schemas.openxmlformats.org/officeDocument/2006/relationships/hyperlink" Target="https://storemasta.com.au/" TargetMode="External"/><Relationship Id="rId335" Type="http://schemas.openxmlformats.org/officeDocument/2006/relationships/hyperlink" Target="https://wasteremovalusa.com/" TargetMode="External"/><Relationship Id="rId542" Type="http://schemas.openxmlformats.org/officeDocument/2006/relationships/hyperlink" Target="https://www.cardinalfinancial.com/" TargetMode="External"/><Relationship Id="rId1172" Type="http://schemas.openxmlformats.org/officeDocument/2006/relationships/hyperlink" Target="https://baeareaandbeyond.com/" TargetMode="External"/><Relationship Id="rId2016" Type="http://schemas.openxmlformats.org/officeDocument/2006/relationships/hyperlink" Target="http://belonghome.com/" TargetMode="External"/><Relationship Id="rId2223" Type="http://schemas.openxmlformats.org/officeDocument/2006/relationships/hyperlink" Target="http://osullivaninstalls.com/" TargetMode="External"/><Relationship Id="rId2430" Type="http://schemas.openxmlformats.org/officeDocument/2006/relationships/hyperlink" Target="http://commercialpestcontrol.net.nz/" TargetMode="External"/><Relationship Id="rId402" Type="http://schemas.openxmlformats.org/officeDocument/2006/relationships/hyperlink" Target="https://www.easyframe.co.uk/" TargetMode="External"/><Relationship Id="rId1032" Type="http://schemas.openxmlformats.org/officeDocument/2006/relationships/hyperlink" Target="https://horizonmoversqc.com/" TargetMode="External"/><Relationship Id="rId1989" Type="http://schemas.openxmlformats.org/officeDocument/2006/relationships/hyperlink" Target="http://advantage-construction.com/" TargetMode="External"/><Relationship Id="rId1849" Type="http://schemas.openxmlformats.org/officeDocument/2006/relationships/hyperlink" Target="http://primestreet.io/" TargetMode="External"/><Relationship Id="rId192" Type="http://schemas.openxmlformats.org/officeDocument/2006/relationships/hyperlink" Target="https://www.homeevolution.net/" TargetMode="External"/><Relationship Id="rId1709" Type="http://schemas.openxmlformats.org/officeDocument/2006/relationships/hyperlink" Target="http://kitchensredefined.com/" TargetMode="External"/><Relationship Id="rId1916" Type="http://schemas.openxmlformats.org/officeDocument/2006/relationships/hyperlink" Target="http://heersmanagement.com/" TargetMode="External"/><Relationship Id="rId2080" Type="http://schemas.openxmlformats.org/officeDocument/2006/relationships/hyperlink" Target="http://pandalondon.com/" TargetMode="External"/><Relationship Id="rId869" Type="http://schemas.openxmlformats.org/officeDocument/2006/relationships/hyperlink" Target="https://keystonecustomdeckstn.com/" TargetMode="External"/><Relationship Id="rId1499" Type="http://schemas.openxmlformats.org/officeDocument/2006/relationships/hyperlink" Target="http://ezstorit.com/" TargetMode="External"/><Relationship Id="rId729" Type="http://schemas.openxmlformats.org/officeDocument/2006/relationships/hyperlink" Target="https://sunlightcleaningny.com/" TargetMode="External"/><Relationship Id="rId1359" Type="http://schemas.openxmlformats.org/officeDocument/2006/relationships/hyperlink" Target="https://www.reeveandco.com/" TargetMode="External"/><Relationship Id="rId936" Type="http://schemas.openxmlformats.org/officeDocument/2006/relationships/hyperlink" Target="https://elitedesigngroup.com/" TargetMode="External"/><Relationship Id="rId1219" Type="http://schemas.openxmlformats.org/officeDocument/2006/relationships/hyperlink" Target="https://thrivepest.com/" TargetMode="External"/><Relationship Id="rId1566" Type="http://schemas.openxmlformats.org/officeDocument/2006/relationships/hyperlink" Target="http://beaconlending.com/" TargetMode="External"/><Relationship Id="rId1773" Type="http://schemas.openxmlformats.org/officeDocument/2006/relationships/hyperlink" Target="http://homestolove.com.au/" TargetMode="External"/><Relationship Id="rId1980" Type="http://schemas.openxmlformats.org/officeDocument/2006/relationships/hyperlink" Target="http://smartsecurity.com.au/" TargetMode="External"/><Relationship Id="rId2617" Type="http://schemas.openxmlformats.org/officeDocument/2006/relationships/hyperlink" Target="https://www.modinex.com.au/" TargetMode="External"/><Relationship Id="rId65" Type="http://schemas.openxmlformats.org/officeDocument/2006/relationships/hyperlink" Target="https://threemovers.com/" TargetMode="External"/><Relationship Id="rId1426" Type="http://schemas.openxmlformats.org/officeDocument/2006/relationships/hyperlink" Target="https://www.ryanoldplumbing.com.au/" TargetMode="External"/><Relationship Id="rId1633" Type="http://schemas.openxmlformats.org/officeDocument/2006/relationships/hyperlink" Target="http://osmonmoving.com/" TargetMode="External"/><Relationship Id="rId1840" Type="http://schemas.openxmlformats.org/officeDocument/2006/relationships/hyperlink" Target="http://pssremovals.com/" TargetMode="External"/><Relationship Id="rId1700" Type="http://schemas.openxmlformats.org/officeDocument/2006/relationships/hyperlink" Target="http://gowellnest.com/" TargetMode="External"/><Relationship Id="rId379" Type="http://schemas.openxmlformats.org/officeDocument/2006/relationships/hyperlink" Target="https://artbymaudsch.com/" TargetMode="External"/><Relationship Id="rId586" Type="http://schemas.openxmlformats.org/officeDocument/2006/relationships/hyperlink" Target="https://www.yarooms.com/" TargetMode="External"/><Relationship Id="rId793" Type="http://schemas.openxmlformats.org/officeDocument/2006/relationships/hyperlink" Target="https://houstoncapitalhomebuyers.com/" TargetMode="External"/><Relationship Id="rId2267" Type="http://schemas.openxmlformats.org/officeDocument/2006/relationships/hyperlink" Target="http://jamesriverpestsolutions.com/" TargetMode="External"/><Relationship Id="rId2474" Type="http://schemas.openxmlformats.org/officeDocument/2006/relationships/hyperlink" Target="http://airmechanical.com/" TargetMode="External"/><Relationship Id="rId239" Type="http://schemas.openxmlformats.org/officeDocument/2006/relationships/hyperlink" Target="https://valenciatheaterseating.com/" TargetMode="External"/><Relationship Id="rId446" Type="http://schemas.openxmlformats.org/officeDocument/2006/relationships/hyperlink" Target="https://frontlobby.com/" TargetMode="External"/><Relationship Id="rId653" Type="http://schemas.openxmlformats.org/officeDocument/2006/relationships/hyperlink" Target="https://archexteriors.com/" TargetMode="External"/><Relationship Id="rId1076" Type="http://schemas.openxmlformats.org/officeDocument/2006/relationships/hyperlink" Target="https://www.realestateagent.com/" TargetMode="External"/><Relationship Id="rId1283" Type="http://schemas.openxmlformats.org/officeDocument/2006/relationships/hyperlink" Target="https://www.cutmy.co.uk/" TargetMode="External"/><Relationship Id="rId1490" Type="http://schemas.openxmlformats.org/officeDocument/2006/relationships/hyperlink" Target="http://multiplanream.com/" TargetMode="External"/><Relationship Id="rId2127" Type="http://schemas.openxmlformats.org/officeDocument/2006/relationships/hyperlink" Target="http://texasallcash.com/" TargetMode="External"/><Relationship Id="rId2334" Type="http://schemas.openxmlformats.org/officeDocument/2006/relationships/hyperlink" Target="http://frelanhardware.co.uk/" TargetMode="External"/><Relationship Id="rId306" Type="http://schemas.openxmlformats.org/officeDocument/2006/relationships/hyperlink" Target="https://amerisafemoving.com/" TargetMode="External"/><Relationship Id="rId860" Type="http://schemas.openxmlformats.org/officeDocument/2006/relationships/hyperlink" Target="https://decorhint.com/" TargetMode="External"/><Relationship Id="rId1143" Type="http://schemas.openxmlformats.org/officeDocument/2006/relationships/hyperlink" Target="https://www.madisonmortgageguys.com/" TargetMode="External"/><Relationship Id="rId2541" Type="http://schemas.openxmlformats.org/officeDocument/2006/relationships/hyperlink" Target="https://thecoverguy.com/" TargetMode="External"/><Relationship Id="rId513" Type="http://schemas.openxmlformats.org/officeDocument/2006/relationships/hyperlink" Target="https://smilehvac.ca/" TargetMode="External"/><Relationship Id="rId720" Type="http://schemas.openxmlformats.org/officeDocument/2006/relationships/hyperlink" Target="https://www.ftcourygroup.com/" TargetMode="External"/><Relationship Id="rId1350" Type="http://schemas.openxmlformats.org/officeDocument/2006/relationships/hyperlink" Target="https://cut2size.ca/" TargetMode="External"/><Relationship Id="rId2401" Type="http://schemas.openxmlformats.org/officeDocument/2006/relationships/hyperlink" Target="http://mitchellmcdermott.com/" TargetMode="External"/><Relationship Id="rId1003" Type="http://schemas.openxmlformats.org/officeDocument/2006/relationships/hyperlink" Target="https://reiadallas.com/" TargetMode="External"/><Relationship Id="rId1210" Type="http://schemas.openxmlformats.org/officeDocument/2006/relationships/hyperlink" Target="https://renovationfind.com/" TargetMode="External"/><Relationship Id="rId2191" Type="http://schemas.openxmlformats.org/officeDocument/2006/relationships/hyperlink" Target="http://safestore.co.uk/" TargetMode="External"/><Relationship Id="rId163" Type="http://schemas.openxmlformats.org/officeDocument/2006/relationships/hyperlink" Target="https://www.miragescreensystems.com/" TargetMode="External"/><Relationship Id="rId370" Type="http://schemas.openxmlformats.org/officeDocument/2006/relationships/hyperlink" Target="https://www.corston.com/" TargetMode="External"/><Relationship Id="rId2051" Type="http://schemas.openxmlformats.org/officeDocument/2006/relationships/hyperlink" Target="http://woodburyfurniture.com.au/" TargetMode="External"/><Relationship Id="rId230" Type="http://schemas.openxmlformats.org/officeDocument/2006/relationships/hyperlink" Target="https://cottongds.com/" TargetMode="External"/><Relationship Id="rId1677" Type="http://schemas.openxmlformats.org/officeDocument/2006/relationships/hyperlink" Target="http://zandawealth.com.au/" TargetMode="External"/><Relationship Id="rId1884" Type="http://schemas.openxmlformats.org/officeDocument/2006/relationships/hyperlink" Target="http://reolink.com/" TargetMode="External"/><Relationship Id="rId907" Type="http://schemas.openxmlformats.org/officeDocument/2006/relationships/hyperlink" Target="https://1thrive.com/" TargetMode="External"/><Relationship Id="rId1537" Type="http://schemas.openxmlformats.org/officeDocument/2006/relationships/hyperlink" Target="http://potempateam.com/" TargetMode="External"/><Relationship Id="rId1744" Type="http://schemas.openxmlformats.org/officeDocument/2006/relationships/hyperlink" Target="http://almadeluce.com/" TargetMode="External"/><Relationship Id="rId1951" Type="http://schemas.openxmlformats.org/officeDocument/2006/relationships/hyperlink" Target="http://metcabinet.com/" TargetMode="External"/><Relationship Id="rId36" Type="http://schemas.openxmlformats.org/officeDocument/2006/relationships/hyperlink" Target="https://www.greatestmoves.com/" TargetMode="External"/><Relationship Id="rId1604" Type="http://schemas.openxmlformats.org/officeDocument/2006/relationships/hyperlink" Target="http://waterwisegroup.com/" TargetMode="External"/><Relationship Id="rId1811" Type="http://schemas.openxmlformats.org/officeDocument/2006/relationships/hyperlink" Target="http://atlantapropertymanagement.com/" TargetMode="External"/><Relationship Id="rId697" Type="http://schemas.openxmlformats.org/officeDocument/2006/relationships/hyperlink" Target="https://www.pycawnings.com/" TargetMode="External"/><Relationship Id="rId2378" Type="http://schemas.openxmlformats.org/officeDocument/2006/relationships/hyperlink" Target="http://stylebyemilyhenderson.com/" TargetMode="External"/><Relationship Id="rId1187" Type="http://schemas.openxmlformats.org/officeDocument/2006/relationships/hyperlink" Target="https://phyxter.ai/" TargetMode="External"/><Relationship Id="rId2585" Type="http://schemas.openxmlformats.org/officeDocument/2006/relationships/hyperlink" Target="https://oversonroofing.com/" TargetMode="External"/><Relationship Id="rId557" Type="http://schemas.openxmlformats.org/officeDocument/2006/relationships/hyperlink" Target="https://unbiasedoptions.com/" TargetMode="External"/><Relationship Id="rId764" Type="http://schemas.openxmlformats.org/officeDocument/2006/relationships/hyperlink" Target="https://tigermaterialhandling.com/" TargetMode="External"/><Relationship Id="rId971" Type="http://schemas.openxmlformats.org/officeDocument/2006/relationships/hyperlink" Target="https://www.kiavi.com/" TargetMode="External"/><Relationship Id="rId1394" Type="http://schemas.openxmlformats.org/officeDocument/2006/relationships/hyperlink" Target="https://www.ondemandpestcontrol.com/" TargetMode="External"/><Relationship Id="rId2238" Type="http://schemas.openxmlformats.org/officeDocument/2006/relationships/hyperlink" Target="http://justcreativelight.com/" TargetMode="External"/><Relationship Id="rId2445" Type="http://schemas.openxmlformats.org/officeDocument/2006/relationships/hyperlink" Target="http://snug.com/" TargetMode="External"/><Relationship Id="rId417" Type="http://schemas.openxmlformats.org/officeDocument/2006/relationships/hyperlink" Target="https://www.montgomeryhomes.com.au/" TargetMode="External"/><Relationship Id="rId624" Type="http://schemas.openxmlformats.org/officeDocument/2006/relationships/hyperlink" Target="https://www.texaswasteservices.com/" TargetMode="External"/><Relationship Id="rId831" Type="http://schemas.openxmlformats.org/officeDocument/2006/relationships/hyperlink" Target="https://impactsigns.com/" TargetMode="External"/><Relationship Id="rId1047" Type="http://schemas.openxmlformats.org/officeDocument/2006/relationships/hyperlink" Target="https://belonghome.com/" TargetMode="External"/><Relationship Id="rId1254" Type="http://schemas.openxmlformats.org/officeDocument/2006/relationships/hyperlink" Target="https://www.simpletankservices.com/" TargetMode="External"/><Relationship Id="rId1461" Type="http://schemas.openxmlformats.org/officeDocument/2006/relationships/hyperlink" Target="http://lionsgatecapital.com/" TargetMode="External"/><Relationship Id="rId2305" Type="http://schemas.openxmlformats.org/officeDocument/2006/relationships/hyperlink" Target="http://moneysavingexpert.com/" TargetMode="External"/><Relationship Id="rId2512" Type="http://schemas.openxmlformats.org/officeDocument/2006/relationships/hyperlink" Target="https://www.magicalcredit.ca/" TargetMode="External"/><Relationship Id="rId1114" Type="http://schemas.openxmlformats.org/officeDocument/2006/relationships/hyperlink" Target="https://www.artisticstoneinc.com/" TargetMode="External"/><Relationship Id="rId1321" Type="http://schemas.openxmlformats.org/officeDocument/2006/relationships/hyperlink" Target="https://www.letstalkmommy.com/" TargetMode="External"/><Relationship Id="rId2095" Type="http://schemas.openxmlformats.org/officeDocument/2006/relationships/hyperlink" Target="http://cobaltcleanlv.com/" TargetMode="External"/><Relationship Id="rId274" Type="http://schemas.openxmlformats.org/officeDocument/2006/relationships/hyperlink" Target="https://defymortgage.com/" TargetMode="External"/><Relationship Id="rId481" Type="http://schemas.openxmlformats.org/officeDocument/2006/relationships/hyperlink" Target="https://www.stevesplumbinghawaii.com/" TargetMode="External"/><Relationship Id="rId2162" Type="http://schemas.openxmlformats.org/officeDocument/2006/relationships/hyperlink" Target="http://cashforhousesgirl.com/" TargetMode="External"/><Relationship Id="rId134" Type="http://schemas.openxmlformats.org/officeDocument/2006/relationships/hyperlink" Target="https://axcess-surety.com/" TargetMode="External"/><Relationship Id="rId341" Type="http://schemas.openxmlformats.org/officeDocument/2006/relationships/hyperlink" Target="https://www.saviesahome.com/" TargetMode="External"/><Relationship Id="rId2022" Type="http://schemas.openxmlformats.org/officeDocument/2006/relationships/hyperlink" Target="http://deluxcore.com/" TargetMode="External"/><Relationship Id="rId201" Type="http://schemas.openxmlformats.org/officeDocument/2006/relationships/hyperlink" Target="https://www.baselane.com/" TargetMode="External"/><Relationship Id="rId1788" Type="http://schemas.openxmlformats.org/officeDocument/2006/relationships/hyperlink" Target="http://finebedding.co.uk/" TargetMode="External"/><Relationship Id="rId1995" Type="http://schemas.openxmlformats.org/officeDocument/2006/relationships/hyperlink" Target="http://safebasements.com/" TargetMode="External"/><Relationship Id="rId1648" Type="http://schemas.openxmlformats.org/officeDocument/2006/relationships/hyperlink" Target="http://standupguys.biz/" TargetMode="External"/><Relationship Id="rId1508" Type="http://schemas.openxmlformats.org/officeDocument/2006/relationships/hyperlink" Target="http://ranchroofing.com/" TargetMode="External"/><Relationship Id="rId1855" Type="http://schemas.openxmlformats.org/officeDocument/2006/relationships/hyperlink" Target="http://endpovertynowinc.org/" TargetMode="External"/><Relationship Id="rId1715" Type="http://schemas.openxmlformats.org/officeDocument/2006/relationships/hyperlink" Target="http://metthermwindows.co.uk/" TargetMode="External"/><Relationship Id="rId1922" Type="http://schemas.openxmlformats.org/officeDocument/2006/relationships/hyperlink" Target="http://rtaoutdoorliving.com/" TargetMode="External"/><Relationship Id="rId2489" Type="http://schemas.openxmlformats.org/officeDocument/2006/relationships/hyperlink" Target="http://dwellito.com/" TargetMode="External"/><Relationship Id="rId668" Type="http://schemas.openxmlformats.org/officeDocument/2006/relationships/hyperlink" Target="https://nycministorage.com/" TargetMode="External"/><Relationship Id="rId875" Type="http://schemas.openxmlformats.org/officeDocument/2006/relationships/hyperlink" Target="https://www.insofast.com/" TargetMode="External"/><Relationship Id="rId1298" Type="http://schemas.openxmlformats.org/officeDocument/2006/relationships/hyperlink" Target="https://atlantacommercialroofingcontractors.com/" TargetMode="External"/><Relationship Id="rId2349" Type="http://schemas.openxmlformats.org/officeDocument/2006/relationships/hyperlink" Target="http://missamara.nz/" TargetMode="External"/><Relationship Id="rId2556" Type="http://schemas.openxmlformats.org/officeDocument/2006/relationships/hyperlink" Target="http://guestable.com/" TargetMode="External"/><Relationship Id="rId528" Type="http://schemas.openxmlformats.org/officeDocument/2006/relationships/hyperlink" Target="https://www.sentimo.com/" TargetMode="External"/><Relationship Id="rId735" Type="http://schemas.openxmlformats.org/officeDocument/2006/relationships/hyperlink" Target="https://www.colemanallied.com/" TargetMode="External"/><Relationship Id="rId942" Type="http://schemas.openxmlformats.org/officeDocument/2006/relationships/hyperlink" Target="https://www.coregonbuildingcompany.com/" TargetMode="External"/><Relationship Id="rId1158" Type="http://schemas.openxmlformats.org/officeDocument/2006/relationships/hyperlink" Target="https://wellingtonhometeam.com/" TargetMode="External"/><Relationship Id="rId1365" Type="http://schemas.openxmlformats.org/officeDocument/2006/relationships/hyperlink" Target="https://www.aquarescue.ca/" TargetMode="External"/><Relationship Id="rId1572" Type="http://schemas.openxmlformats.org/officeDocument/2006/relationships/hyperlink" Target="http://the-insurance-outlet.com/" TargetMode="External"/><Relationship Id="rId2209" Type="http://schemas.openxmlformats.org/officeDocument/2006/relationships/hyperlink" Target="http://noradarealestate.com/" TargetMode="External"/><Relationship Id="rId2416" Type="http://schemas.openxmlformats.org/officeDocument/2006/relationships/hyperlink" Target="http://iambuilders.com/" TargetMode="External"/><Relationship Id="rId2623" Type="http://schemas.openxmlformats.org/officeDocument/2006/relationships/hyperlink" Target="https://aqglassshowerdoorsphoenix.com/" TargetMode="External"/><Relationship Id="rId1018" Type="http://schemas.openxmlformats.org/officeDocument/2006/relationships/hyperlink" Target="https://www.kentremovalsstorage.com.au/" TargetMode="External"/><Relationship Id="rId1225" Type="http://schemas.openxmlformats.org/officeDocument/2006/relationships/hyperlink" Target="https://www.americanbestlocksmith.com/" TargetMode="External"/><Relationship Id="rId1432" Type="http://schemas.openxmlformats.org/officeDocument/2006/relationships/hyperlink" Target="http://selcobw.com/" TargetMode="External"/><Relationship Id="rId71" Type="http://schemas.openxmlformats.org/officeDocument/2006/relationships/hyperlink" Target="https://www.foxessellfaster.com/" TargetMode="External"/><Relationship Id="rId802" Type="http://schemas.openxmlformats.org/officeDocument/2006/relationships/hyperlink" Target="https://trainingexpress.org.uk/" TargetMode="External"/><Relationship Id="rId178" Type="http://schemas.openxmlformats.org/officeDocument/2006/relationships/hyperlink" Target="https://spikeelectric.com/" TargetMode="External"/><Relationship Id="rId385" Type="http://schemas.openxmlformats.org/officeDocument/2006/relationships/hyperlink" Target="https://www.gardenary.com/" TargetMode="External"/><Relationship Id="rId592" Type="http://schemas.openxmlformats.org/officeDocument/2006/relationships/hyperlink" Target="https://cometlighting.co.uk/" TargetMode="External"/><Relationship Id="rId2066" Type="http://schemas.openxmlformats.org/officeDocument/2006/relationships/hyperlink" Target="http://victorianplumbing.co.uk/" TargetMode="External"/><Relationship Id="rId2273" Type="http://schemas.openxmlformats.org/officeDocument/2006/relationships/hyperlink" Target="http://areasheetmetal.com/" TargetMode="External"/><Relationship Id="rId2480" Type="http://schemas.openxmlformats.org/officeDocument/2006/relationships/hyperlink" Target="http://timothystoolbox.com/" TargetMode="External"/><Relationship Id="rId245" Type="http://schemas.openxmlformats.org/officeDocument/2006/relationships/hyperlink" Target="https://azjunkremoval.com/" TargetMode="External"/><Relationship Id="rId452" Type="http://schemas.openxmlformats.org/officeDocument/2006/relationships/hyperlink" Target="https://theothermovingcompany.com/" TargetMode="External"/><Relationship Id="rId1082" Type="http://schemas.openxmlformats.org/officeDocument/2006/relationships/hyperlink" Target="https://homebusinessmag.com/" TargetMode="External"/><Relationship Id="rId2133" Type="http://schemas.openxmlformats.org/officeDocument/2006/relationships/hyperlink" Target="http://eazyhousesale.com/" TargetMode="External"/><Relationship Id="rId2340" Type="http://schemas.openxmlformats.org/officeDocument/2006/relationships/hyperlink" Target="http://poolequipmentpriceslashers.com.au/" TargetMode="External"/><Relationship Id="rId105" Type="http://schemas.openxmlformats.org/officeDocument/2006/relationships/hyperlink" Target="https://www.elegantkitchenbath.com/" TargetMode="External"/><Relationship Id="rId312" Type="http://schemas.openxmlformats.org/officeDocument/2006/relationships/hyperlink" Target="https://dmnews.com/" TargetMode="External"/><Relationship Id="rId2200" Type="http://schemas.openxmlformats.org/officeDocument/2006/relationships/hyperlink" Target="http://hardmoneyfirst.com/" TargetMode="External"/><Relationship Id="rId1899" Type="http://schemas.openxmlformats.org/officeDocument/2006/relationships/hyperlink" Target="http://nextinsurance.com/" TargetMode="External"/><Relationship Id="rId1759" Type="http://schemas.openxmlformats.org/officeDocument/2006/relationships/hyperlink" Target="http://clbarchitects.com/" TargetMode="External"/><Relationship Id="rId1966" Type="http://schemas.openxmlformats.org/officeDocument/2006/relationships/hyperlink" Target="http://guttersupply.com/" TargetMode="External"/><Relationship Id="rId1619" Type="http://schemas.openxmlformats.org/officeDocument/2006/relationships/hyperlink" Target="http://prosourcehomebuyers.com/" TargetMode="External"/><Relationship Id="rId1826" Type="http://schemas.openxmlformats.org/officeDocument/2006/relationships/hyperlink" Target="http://discovervail.com/" TargetMode="External"/><Relationship Id="rId779" Type="http://schemas.openxmlformats.org/officeDocument/2006/relationships/hyperlink" Target="https://bridgeloandirect.co.uk/" TargetMode="External"/><Relationship Id="rId986" Type="http://schemas.openxmlformats.org/officeDocument/2006/relationships/hyperlink" Target="https://www.gihaul.com/" TargetMode="External"/><Relationship Id="rId639" Type="http://schemas.openxmlformats.org/officeDocument/2006/relationships/hyperlink" Target="https://www.proficiencyltd.co.uk/" TargetMode="External"/><Relationship Id="rId1269" Type="http://schemas.openxmlformats.org/officeDocument/2006/relationships/hyperlink" Target="https://www.moderndane.com/" TargetMode="External"/><Relationship Id="rId1476" Type="http://schemas.openxmlformats.org/officeDocument/2006/relationships/hyperlink" Target="http://speedysalehomebuyers.com/" TargetMode="External"/><Relationship Id="rId846" Type="http://schemas.openxmlformats.org/officeDocument/2006/relationships/hyperlink" Target="https://toplineroofingflorida.com/" TargetMode="External"/><Relationship Id="rId1129" Type="http://schemas.openxmlformats.org/officeDocument/2006/relationships/hyperlink" Target="https://www.robertjfischer.com/" TargetMode="External"/><Relationship Id="rId1683" Type="http://schemas.openxmlformats.org/officeDocument/2006/relationships/hyperlink" Target="http://getbellhops.com/" TargetMode="External"/><Relationship Id="rId1890" Type="http://schemas.openxmlformats.org/officeDocument/2006/relationships/hyperlink" Target="http://sunsetpools-spas.com/" TargetMode="External"/><Relationship Id="rId2527" Type="http://schemas.openxmlformats.org/officeDocument/2006/relationships/hyperlink" Target="https://darscover.com/" TargetMode="External"/><Relationship Id="rId706" Type="http://schemas.openxmlformats.org/officeDocument/2006/relationships/hyperlink" Target="https://kingfisher-roofing.com/" TargetMode="External"/><Relationship Id="rId913" Type="http://schemas.openxmlformats.org/officeDocument/2006/relationships/hyperlink" Target="https://atlascredit.com/" TargetMode="External"/><Relationship Id="rId1336" Type="http://schemas.openxmlformats.org/officeDocument/2006/relationships/hyperlink" Target="https://bellacontractingservices.com/" TargetMode="External"/><Relationship Id="rId1543" Type="http://schemas.openxmlformats.org/officeDocument/2006/relationships/hyperlink" Target="http://phyxter.ai/" TargetMode="External"/><Relationship Id="rId1750" Type="http://schemas.openxmlformats.org/officeDocument/2006/relationships/hyperlink" Target="http://goawaypestcontrol.com/" TargetMode="External"/><Relationship Id="rId42" Type="http://schemas.openxmlformats.org/officeDocument/2006/relationships/hyperlink" Target="https://www.statewideremodeling.com/" TargetMode="External"/><Relationship Id="rId1403" Type="http://schemas.openxmlformats.org/officeDocument/2006/relationships/hyperlink" Target="https://www.keen-clean.co.uk/" TargetMode="External"/><Relationship Id="rId1610" Type="http://schemas.openxmlformats.org/officeDocument/2006/relationships/hyperlink" Target="http://kelownahomes.ca/" TargetMode="External"/><Relationship Id="rId289" Type="http://schemas.openxmlformats.org/officeDocument/2006/relationships/hyperlink" Target="https://www.alpinehomeair.com/" TargetMode="External"/><Relationship Id="rId496" Type="http://schemas.openxmlformats.org/officeDocument/2006/relationships/hyperlink" Target="https://www.limitlesswalls.com/" TargetMode="External"/><Relationship Id="rId2177" Type="http://schemas.openxmlformats.org/officeDocument/2006/relationships/hyperlink" Target="http://drcarpetoc.com/" TargetMode="External"/><Relationship Id="rId2384" Type="http://schemas.openxmlformats.org/officeDocument/2006/relationships/hyperlink" Target="http://goodhealthsaunas.com/" TargetMode="External"/><Relationship Id="rId2591" Type="http://schemas.openxmlformats.org/officeDocument/2006/relationships/hyperlink" Target="https://www.experienceparry.com/" TargetMode="External"/><Relationship Id="rId149" Type="http://schemas.openxmlformats.org/officeDocument/2006/relationships/hyperlink" Target="https://internationalfinance.com/" TargetMode="External"/><Relationship Id="rId356" Type="http://schemas.openxmlformats.org/officeDocument/2006/relationships/hyperlink" Target="https://www.miamirealtors.com/" TargetMode="External"/><Relationship Id="rId563" Type="http://schemas.openxmlformats.org/officeDocument/2006/relationships/hyperlink" Target="https://realestateasia.com/" TargetMode="External"/><Relationship Id="rId770" Type="http://schemas.openxmlformats.org/officeDocument/2006/relationships/hyperlink" Target="https://snokingcarpets.com/" TargetMode="External"/><Relationship Id="rId1193" Type="http://schemas.openxmlformats.org/officeDocument/2006/relationships/hyperlink" Target="https://www.newheightsroofing.com/" TargetMode="External"/><Relationship Id="rId2037" Type="http://schemas.openxmlformats.org/officeDocument/2006/relationships/hyperlink" Target="http://kaiserac.com/" TargetMode="External"/><Relationship Id="rId2244" Type="http://schemas.openxmlformats.org/officeDocument/2006/relationships/hyperlink" Target="http://mrquikhomeservices.com/" TargetMode="External"/><Relationship Id="rId2451" Type="http://schemas.openxmlformats.org/officeDocument/2006/relationships/hyperlink" Target="http://festaradontech.com/" TargetMode="External"/><Relationship Id="rId216" Type="http://schemas.openxmlformats.org/officeDocument/2006/relationships/hyperlink" Target="https://sharedeasy.club/" TargetMode="External"/><Relationship Id="rId423" Type="http://schemas.openxmlformats.org/officeDocument/2006/relationships/hyperlink" Target="https://wisepelican.com/" TargetMode="External"/><Relationship Id="rId1053" Type="http://schemas.openxmlformats.org/officeDocument/2006/relationships/hyperlink" Target="https://www.homego.com/" TargetMode="External"/><Relationship Id="rId1260" Type="http://schemas.openxmlformats.org/officeDocument/2006/relationships/hyperlink" Target="https://www.rubyhome.com/" TargetMode="External"/><Relationship Id="rId2104" Type="http://schemas.openxmlformats.org/officeDocument/2006/relationships/hyperlink" Target="http://homelight.com/" TargetMode="External"/><Relationship Id="rId630" Type="http://schemas.openxmlformats.org/officeDocument/2006/relationships/hyperlink" Target="https://figuredart.com/" TargetMode="External"/><Relationship Id="rId2311" Type="http://schemas.openxmlformats.org/officeDocument/2006/relationships/hyperlink" Target="http://philips-hue.com/" TargetMode="External"/><Relationship Id="rId1120" Type="http://schemas.openxmlformats.org/officeDocument/2006/relationships/hyperlink" Target="https://handymantips.org/" TargetMode="External"/><Relationship Id="rId1937" Type="http://schemas.openxmlformats.org/officeDocument/2006/relationships/hyperlink" Target="http://clevertinyhomes.com/" TargetMode="External"/><Relationship Id="rId280" Type="http://schemas.openxmlformats.org/officeDocument/2006/relationships/hyperlink" Target="https://masterroofcontracting.com/" TargetMode="External"/><Relationship Id="rId140" Type="http://schemas.openxmlformats.org/officeDocument/2006/relationships/hyperlink" Target="https://florida-environmental.com/" TargetMode="External"/><Relationship Id="rId6" Type="http://schemas.openxmlformats.org/officeDocument/2006/relationships/hyperlink" Target="https://rentalhousingjournal.com/" TargetMode="External"/><Relationship Id="rId957" Type="http://schemas.openxmlformats.org/officeDocument/2006/relationships/hyperlink" Target="https://edensstructural.com/" TargetMode="External"/><Relationship Id="rId1587" Type="http://schemas.openxmlformats.org/officeDocument/2006/relationships/hyperlink" Target="http://ohanagaragedoorrepair.com/" TargetMode="External"/><Relationship Id="rId1794" Type="http://schemas.openxmlformats.org/officeDocument/2006/relationships/hyperlink" Target="http://retractableawnings.com/" TargetMode="External"/><Relationship Id="rId86" Type="http://schemas.openxmlformats.org/officeDocument/2006/relationships/hyperlink" Target="https://pmstudycircle.com/" TargetMode="External"/><Relationship Id="rId817" Type="http://schemas.openxmlformats.org/officeDocument/2006/relationships/hyperlink" Target="https://roadhaugs.com/" TargetMode="External"/><Relationship Id="rId1447" Type="http://schemas.openxmlformats.org/officeDocument/2006/relationships/hyperlink" Target="http://elegantkitchenbath.com/" TargetMode="External"/><Relationship Id="rId1654" Type="http://schemas.openxmlformats.org/officeDocument/2006/relationships/hyperlink" Target="http://expressglass.com.au/" TargetMode="External"/><Relationship Id="rId1861" Type="http://schemas.openxmlformats.org/officeDocument/2006/relationships/hyperlink" Target="http://nextdoorpropertycompany.com/" TargetMode="External"/><Relationship Id="rId1307" Type="http://schemas.openxmlformats.org/officeDocument/2006/relationships/hyperlink" Target="https://www.progressivedesk.com/" TargetMode="External"/><Relationship Id="rId1514" Type="http://schemas.openxmlformats.org/officeDocument/2006/relationships/hyperlink" Target="http://berganco.com/" TargetMode="External"/><Relationship Id="rId1721" Type="http://schemas.openxmlformats.org/officeDocument/2006/relationships/hyperlink" Target="http://lussostone.com/" TargetMode="External"/><Relationship Id="rId13" Type="http://schemas.openxmlformats.org/officeDocument/2006/relationships/hyperlink" Target="https://www.servicememberscivilreliefact.com/" TargetMode="External"/><Relationship Id="rId2288" Type="http://schemas.openxmlformats.org/officeDocument/2006/relationships/hyperlink" Target="http://rihomestore.com/" TargetMode="External"/><Relationship Id="rId2495" Type="http://schemas.openxmlformats.org/officeDocument/2006/relationships/hyperlink" Target="http://ecospaints.net/" TargetMode="External"/><Relationship Id="rId467" Type="http://schemas.openxmlformats.org/officeDocument/2006/relationships/hyperlink" Target="https://cmsmortgages.ca/" TargetMode="External"/><Relationship Id="rId1097" Type="http://schemas.openxmlformats.org/officeDocument/2006/relationships/hyperlink" Target="https://www.hardmoneyhome.com/" TargetMode="External"/><Relationship Id="rId2148" Type="http://schemas.openxmlformats.org/officeDocument/2006/relationships/hyperlink" Target="http://northwestrealestatesolutions.com/" TargetMode="External"/><Relationship Id="rId674" Type="http://schemas.openxmlformats.org/officeDocument/2006/relationships/hyperlink" Target="https://hayatestate.com/" TargetMode="External"/><Relationship Id="rId881" Type="http://schemas.openxmlformats.org/officeDocument/2006/relationships/hyperlink" Target="https://trentonroofing.com/" TargetMode="External"/><Relationship Id="rId2355" Type="http://schemas.openxmlformats.org/officeDocument/2006/relationships/hyperlink" Target="http://calpool.com/" TargetMode="External"/><Relationship Id="rId2562" Type="http://schemas.openxmlformats.org/officeDocument/2006/relationships/hyperlink" Target="https://certifiedrestorationinc.com/" TargetMode="External"/><Relationship Id="rId327" Type="http://schemas.openxmlformats.org/officeDocument/2006/relationships/hyperlink" Target="https://www.instantroofer.com/" TargetMode="External"/><Relationship Id="rId534" Type="http://schemas.openxmlformats.org/officeDocument/2006/relationships/hyperlink" Target="https://www.polymaster.com.au/" TargetMode="External"/><Relationship Id="rId741" Type="http://schemas.openxmlformats.org/officeDocument/2006/relationships/hyperlink" Target="https://modani.com/" TargetMode="External"/><Relationship Id="rId1164" Type="http://schemas.openxmlformats.org/officeDocument/2006/relationships/hyperlink" Target="https://www.fastexpert.com/" TargetMode="External"/><Relationship Id="rId1371" Type="http://schemas.openxmlformats.org/officeDocument/2006/relationships/hyperlink" Target="https://www.belmontsolar.com/" TargetMode="External"/><Relationship Id="rId2008" Type="http://schemas.openxmlformats.org/officeDocument/2006/relationships/hyperlink" Target="http://therugdistrict.ca/" TargetMode="External"/><Relationship Id="rId2215" Type="http://schemas.openxmlformats.org/officeDocument/2006/relationships/hyperlink" Target="http://advantageair.com.au/" TargetMode="External"/><Relationship Id="rId2422" Type="http://schemas.openxmlformats.org/officeDocument/2006/relationships/hyperlink" Target="http://finnishsaunabuilders.com/" TargetMode="External"/><Relationship Id="rId601" Type="http://schemas.openxmlformats.org/officeDocument/2006/relationships/hyperlink" Target="https://logan-inc.com/" TargetMode="External"/><Relationship Id="rId1024" Type="http://schemas.openxmlformats.org/officeDocument/2006/relationships/hyperlink" Target="https://www.hometownstructures.com/" TargetMode="External"/><Relationship Id="rId1231" Type="http://schemas.openxmlformats.org/officeDocument/2006/relationships/hyperlink" Target="https://mtcopeland.com/" TargetMode="External"/><Relationship Id="rId184" Type="http://schemas.openxmlformats.org/officeDocument/2006/relationships/hyperlink" Target="https://www.maytronics.com.au/" TargetMode="External"/><Relationship Id="rId391" Type="http://schemas.openxmlformats.org/officeDocument/2006/relationships/hyperlink" Target="https://cashhousebuyersusa.com/" TargetMode="External"/><Relationship Id="rId1908" Type="http://schemas.openxmlformats.org/officeDocument/2006/relationships/hyperlink" Target="http://pinetreebarn.com/" TargetMode="External"/><Relationship Id="rId2072" Type="http://schemas.openxmlformats.org/officeDocument/2006/relationships/hyperlink" Target="http://ventair.com.au/" TargetMode="External"/><Relationship Id="rId251" Type="http://schemas.openxmlformats.org/officeDocument/2006/relationships/hyperlink" Target="https://mitchellmcdermott.com/" TargetMode="External"/><Relationship Id="rId111" Type="http://schemas.openxmlformats.org/officeDocument/2006/relationships/hyperlink" Target="https://www.service.com.au/" TargetMode="External"/><Relationship Id="rId1698" Type="http://schemas.openxmlformats.org/officeDocument/2006/relationships/hyperlink" Target="http://spacerefinery.com/" TargetMode="External"/><Relationship Id="rId928" Type="http://schemas.openxmlformats.org/officeDocument/2006/relationships/hyperlink" Target="https://wendysrealestate.com/" TargetMode="External"/><Relationship Id="rId1558" Type="http://schemas.openxmlformats.org/officeDocument/2006/relationships/hyperlink" Target="http://theconcretemakeover.com/" TargetMode="External"/><Relationship Id="rId1765" Type="http://schemas.openxmlformats.org/officeDocument/2006/relationships/hyperlink" Target="http://azobuild.com/" TargetMode="External"/><Relationship Id="rId2609" Type="http://schemas.openxmlformats.org/officeDocument/2006/relationships/hyperlink" Target="https://marrons.co.uk/" TargetMode="External"/><Relationship Id="rId57" Type="http://schemas.openxmlformats.org/officeDocument/2006/relationships/hyperlink" Target="https://www.lockpickworld.com/" TargetMode="External"/><Relationship Id="rId1418" Type="http://schemas.openxmlformats.org/officeDocument/2006/relationships/hyperlink" Target="https://www.aegissafe.com.au/" TargetMode="External"/><Relationship Id="rId1972" Type="http://schemas.openxmlformats.org/officeDocument/2006/relationships/hyperlink" Target="http://heatedtowelracks.com/" TargetMode="External"/><Relationship Id="rId1625" Type="http://schemas.openxmlformats.org/officeDocument/2006/relationships/hyperlink" Target="http://apmgpainting.com/" TargetMode="External"/><Relationship Id="rId1832" Type="http://schemas.openxmlformats.org/officeDocument/2006/relationships/hyperlink" Target="http://taxsaleshub.ca/" TargetMode="External"/><Relationship Id="rId2399" Type="http://schemas.openxmlformats.org/officeDocument/2006/relationships/hyperlink" Target="http://envirogpc.com/" TargetMode="External"/><Relationship Id="rId578" Type="http://schemas.openxmlformats.org/officeDocument/2006/relationships/hyperlink" Target="https://sheetmaterialswholesale.co.uk/" TargetMode="External"/><Relationship Id="rId785" Type="http://schemas.openxmlformats.org/officeDocument/2006/relationships/hyperlink" Target="https://posterstore.com/" TargetMode="External"/><Relationship Id="rId992" Type="http://schemas.openxmlformats.org/officeDocument/2006/relationships/hyperlink" Target="https://www.durangohomesforsale.com/" TargetMode="External"/><Relationship Id="rId2259" Type="http://schemas.openxmlformats.org/officeDocument/2006/relationships/hyperlink" Target="http://learnmetrics.com/" TargetMode="External"/><Relationship Id="rId2466" Type="http://schemas.openxmlformats.org/officeDocument/2006/relationships/hyperlink" Target="http://nacsupply.com/" TargetMode="External"/><Relationship Id="rId438" Type="http://schemas.openxmlformats.org/officeDocument/2006/relationships/hyperlink" Target="https://diamondhomesupport.com/" TargetMode="External"/><Relationship Id="rId645" Type="http://schemas.openxmlformats.org/officeDocument/2006/relationships/hyperlink" Target="https://www.diehardscarves.com/" TargetMode="External"/><Relationship Id="rId852" Type="http://schemas.openxmlformats.org/officeDocument/2006/relationships/hyperlink" Target="https://www.kkbuysindyhomes.com/" TargetMode="External"/><Relationship Id="rId1068" Type="http://schemas.openxmlformats.org/officeDocument/2006/relationships/hyperlink" Target="https://www.packagingmidlands.co.uk/" TargetMode="External"/><Relationship Id="rId1275" Type="http://schemas.openxmlformats.org/officeDocument/2006/relationships/hyperlink" Target="https://www.calgary.com/" TargetMode="External"/><Relationship Id="rId1482" Type="http://schemas.openxmlformats.org/officeDocument/2006/relationships/hyperlink" Target="http://naftaligroup.com/" TargetMode="External"/><Relationship Id="rId2119" Type="http://schemas.openxmlformats.org/officeDocument/2006/relationships/hyperlink" Target="http://houzeo.com/" TargetMode="External"/><Relationship Id="rId2326" Type="http://schemas.openxmlformats.org/officeDocument/2006/relationships/hyperlink" Target="http://serviceexperts.com/" TargetMode="External"/><Relationship Id="rId2533" Type="http://schemas.openxmlformats.org/officeDocument/2006/relationships/hyperlink" Target="https://www.nygkey.com/" TargetMode="External"/><Relationship Id="rId505" Type="http://schemas.openxmlformats.org/officeDocument/2006/relationships/hyperlink" Target="https://elxis.com/" TargetMode="External"/><Relationship Id="rId712" Type="http://schemas.openxmlformats.org/officeDocument/2006/relationships/hyperlink" Target="https://uperfect.com/" TargetMode="External"/><Relationship Id="rId1135" Type="http://schemas.openxmlformats.org/officeDocument/2006/relationships/hyperlink" Target="https://merrimackvalleymarealestate.com/" TargetMode="External"/><Relationship Id="rId1342" Type="http://schemas.openxmlformats.org/officeDocument/2006/relationships/hyperlink" Target="https://www.weathertightcorp.com/" TargetMode="External"/><Relationship Id="rId1202" Type="http://schemas.openxmlformats.org/officeDocument/2006/relationships/hyperlink" Target="https://freedesstudio.com/" TargetMode="External"/><Relationship Id="rId2600" Type="http://schemas.openxmlformats.org/officeDocument/2006/relationships/hyperlink" Target="https://www.sellmyhousefastboise.com/" TargetMode="External"/><Relationship Id="rId295" Type="http://schemas.openxmlformats.org/officeDocument/2006/relationships/hyperlink" Target="https://royalmovingco.com/" TargetMode="External"/><Relationship Id="rId2183" Type="http://schemas.openxmlformats.org/officeDocument/2006/relationships/hyperlink" Target="http://geotechbuilt.com.au/" TargetMode="External"/><Relationship Id="rId2390" Type="http://schemas.openxmlformats.org/officeDocument/2006/relationships/hyperlink" Target="http://sarahjoyblog.com/" TargetMode="External"/><Relationship Id="rId155" Type="http://schemas.openxmlformats.org/officeDocument/2006/relationships/hyperlink" Target="https://pondhaven.com/" TargetMode="External"/><Relationship Id="rId362" Type="http://schemas.openxmlformats.org/officeDocument/2006/relationships/hyperlink" Target="https://www.findamover.com.au/" TargetMode="External"/><Relationship Id="rId2043" Type="http://schemas.openxmlformats.org/officeDocument/2006/relationships/hyperlink" Target="http://clade-es.com/" TargetMode="External"/><Relationship Id="rId2250" Type="http://schemas.openxmlformats.org/officeDocument/2006/relationships/hyperlink" Target="http://larsremodel.com/" TargetMode="External"/><Relationship Id="rId222" Type="http://schemas.openxmlformats.org/officeDocument/2006/relationships/hyperlink" Target="https://bigapplemoving.com/" TargetMode="External"/><Relationship Id="rId2110" Type="http://schemas.openxmlformats.org/officeDocument/2006/relationships/hyperlink" Target="http://garagewholesalers.com.au/" TargetMode="External"/><Relationship Id="rId1669" Type="http://schemas.openxmlformats.org/officeDocument/2006/relationships/hyperlink" Target="http://steamboatsprings-realestate.com/" TargetMode="External"/><Relationship Id="rId1876" Type="http://schemas.openxmlformats.org/officeDocument/2006/relationships/hyperlink" Target="http://securityamericamortgage.com/" TargetMode="External"/><Relationship Id="rId1529" Type="http://schemas.openxmlformats.org/officeDocument/2006/relationships/hyperlink" Target="http://blueravensolar.com/" TargetMode="External"/><Relationship Id="rId1736" Type="http://schemas.openxmlformats.org/officeDocument/2006/relationships/hyperlink" Target="http://homehow.co.uk/" TargetMode="External"/><Relationship Id="rId1943" Type="http://schemas.openxmlformats.org/officeDocument/2006/relationships/hyperlink" Target="http://resimpli.com/" TargetMode="External"/><Relationship Id="rId28" Type="http://schemas.openxmlformats.org/officeDocument/2006/relationships/hyperlink" Target="https://securedroofingandsolar.com/" TargetMode="External"/><Relationship Id="rId1803" Type="http://schemas.openxmlformats.org/officeDocument/2006/relationships/hyperlink" Target="http://everythingbutordinary.co.uk/" TargetMode="External"/><Relationship Id="rId689" Type="http://schemas.openxmlformats.org/officeDocument/2006/relationships/hyperlink" Target="https://fortifiedestate.com/" TargetMode="External"/><Relationship Id="rId896" Type="http://schemas.openxmlformats.org/officeDocument/2006/relationships/hyperlink" Target="http://salazarroofing.com/" TargetMode="External"/><Relationship Id="rId2577" Type="http://schemas.openxmlformats.org/officeDocument/2006/relationships/hyperlink" Target="https://perlelectrical.co.nz/" TargetMode="External"/><Relationship Id="rId549" Type="http://schemas.openxmlformats.org/officeDocument/2006/relationships/hyperlink" Target="https://www.womanandhome.com/" TargetMode="External"/><Relationship Id="rId756" Type="http://schemas.openxmlformats.org/officeDocument/2006/relationships/hyperlink" Target="https://www.hmworldgroup.com/" TargetMode="External"/><Relationship Id="rId1179" Type="http://schemas.openxmlformats.org/officeDocument/2006/relationships/hyperlink" Target="https://americanratcontrol.com/" TargetMode="External"/><Relationship Id="rId1386" Type="http://schemas.openxmlformats.org/officeDocument/2006/relationships/hyperlink" Target="https://h2hmove.com/" TargetMode="External"/><Relationship Id="rId1593" Type="http://schemas.openxmlformats.org/officeDocument/2006/relationships/hyperlink" Target="http://littlefishproperties.com.au/" TargetMode="External"/><Relationship Id="rId2437" Type="http://schemas.openxmlformats.org/officeDocument/2006/relationships/hyperlink" Target="http://futuristarchitecture.com/" TargetMode="External"/><Relationship Id="rId409" Type="http://schemas.openxmlformats.org/officeDocument/2006/relationships/hyperlink" Target="https://www.ckitchen.com/" TargetMode="External"/><Relationship Id="rId963" Type="http://schemas.openxmlformats.org/officeDocument/2006/relationships/hyperlink" Target="https://www.realestatehudsonvalleyny.com/" TargetMode="External"/><Relationship Id="rId1039" Type="http://schemas.openxmlformats.org/officeDocument/2006/relationships/hyperlink" Target="https://restanddigest.com.au/" TargetMode="External"/><Relationship Id="rId1246" Type="http://schemas.openxmlformats.org/officeDocument/2006/relationships/hyperlink" Target="https://www.goldencoastroofing.com/" TargetMode="External"/><Relationship Id="rId92" Type="http://schemas.openxmlformats.org/officeDocument/2006/relationships/hyperlink" Target="https://www.fergusonsplumbing.com.au/" TargetMode="External"/><Relationship Id="rId616" Type="http://schemas.openxmlformats.org/officeDocument/2006/relationships/hyperlink" Target="https://strykcamrei.com/" TargetMode="External"/><Relationship Id="rId823" Type="http://schemas.openxmlformats.org/officeDocument/2006/relationships/hyperlink" Target="https://audiovisualnation.com/" TargetMode="External"/><Relationship Id="rId1453" Type="http://schemas.openxmlformats.org/officeDocument/2006/relationships/hyperlink" Target="http://landofrugs.com/" TargetMode="External"/><Relationship Id="rId1660" Type="http://schemas.openxmlformats.org/officeDocument/2006/relationships/hyperlink" Target="http://kuester.com/" TargetMode="External"/><Relationship Id="rId2504" Type="http://schemas.openxmlformats.org/officeDocument/2006/relationships/hyperlink" Target="http://phyn.com/" TargetMode="External"/><Relationship Id="rId1106" Type="http://schemas.openxmlformats.org/officeDocument/2006/relationships/hyperlink" Target="https://maidtoplease.com/" TargetMode="External"/><Relationship Id="rId1313" Type="http://schemas.openxmlformats.org/officeDocument/2006/relationships/hyperlink" Target="https://www.cmichaelexteriors.com/" TargetMode="External"/><Relationship Id="rId1520" Type="http://schemas.openxmlformats.org/officeDocument/2006/relationships/hyperlink" Target="http://alltechappliance.com/" TargetMode="External"/><Relationship Id="rId199" Type="http://schemas.openxmlformats.org/officeDocument/2006/relationships/hyperlink" Target="https://www.northfultonexterminating.com/" TargetMode="External"/><Relationship Id="rId2087" Type="http://schemas.openxmlformats.org/officeDocument/2006/relationships/hyperlink" Target="http://greensweepnm.com/" TargetMode="External"/><Relationship Id="rId2294" Type="http://schemas.openxmlformats.org/officeDocument/2006/relationships/hyperlink" Target="http://1800waterdamage.com/" TargetMode="External"/><Relationship Id="rId266" Type="http://schemas.openxmlformats.org/officeDocument/2006/relationships/hyperlink" Target="https://www.shuttercraft.co.uk/" TargetMode="External"/><Relationship Id="rId473" Type="http://schemas.openxmlformats.org/officeDocument/2006/relationships/hyperlink" Target="https://www.elho.com/" TargetMode="External"/><Relationship Id="rId680" Type="http://schemas.openxmlformats.org/officeDocument/2006/relationships/hyperlink" Target="https://andalusiacc.com/" TargetMode="External"/><Relationship Id="rId2154" Type="http://schemas.openxmlformats.org/officeDocument/2006/relationships/hyperlink" Target="http://4brothersbuyhouses.com/" TargetMode="External"/><Relationship Id="rId2361" Type="http://schemas.openxmlformats.org/officeDocument/2006/relationships/hyperlink" Target="http://areterenovators.com/" TargetMode="External"/><Relationship Id="rId126" Type="http://schemas.openxmlformats.org/officeDocument/2006/relationships/hyperlink" Target="https://www.spareroom.com/" TargetMode="External"/><Relationship Id="rId333" Type="http://schemas.openxmlformats.org/officeDocument/2006/relationships/hyperlink" Target="https://erommy.com/" TargetMode="External"/><Relationship Id="rId540" Type="http://schemas.openxmlformats.org/officeDocument/2006/relationships/hyperlink" Target="https://netstrata.com.au/" TargetMode="External"/><Relationship Id="rId1170" Type="http://schemas.openxmlformats.org/officeDocument/2006/relationships/hyperlink" Target="https://www.servpro.com/" TargetMode="External"/><Relationship Id="rId2014" Type="http://schemas.openxmlformats.org/officeDocument/2006/relationships/hyperlink" Target="http://westridgefinehomes.com/" TargetMode="External"/><Relationship Id="rId2221" Type="http://schemas.openxmlformats.org/officeDocument/2006/relationships/hyperlink" Target="http://climateexperts.ca/" TargetMode="External"/><Relationship Id="rId1030" Type="http://schemas.openxmlformats.org/officeDocument/2006/relationships/hyperlink" Target="https://www.cmc-realty.com/" TargetMode="External"/><Relationship Id="rId400" Type="http://schemas.openxmlformats.org/officeDocument/2006/relationships/hyperlink" Target="https://instantroofer.com/" TargetMode="External"/><Relationship Id="rId1987" Type="http://schemas.openxmlformats.org/officeDocument/2006/relationships/hyperlink" Target="http://theyesmancan.com/" TargetMode="External"/><Relationship Id="rId1847" Type="http://schemas.openxmlformats.org/officeDocument/2006/relationships/hyperlink" Target="http://attomdata.com/" TargetMode="External"/><Relationship Id="rId1707" Type="http://schemas.openxmlformats.org/officeDocument/2006/relationships/hyperlink" Target="http://keystonecustomhome.com/" TargetMode="External"/><Relationship Id="rId190" Type="http://schemas.openxmlformats.org/officeDocument/2006/relationships/hyperlink" Target="https://www.stlbeds.com/" TargetMode="External"/><Relationship Id="rId1914" Type="http://schemas.openxmlformats.org/officeDocument/2006/relationships/hyperlink" Target="http://apartmentguide.com/" TargetMode="External"/><Relationship Id="rId867" Type="http://schemas.openxmlformats.org/officeDocument/2006/relationships/hyperlink" Target="https://homejab.com/" TargetMode="External"/><Relationship Id="rId1497" Type="http://schemas.openxmlformats.org/officeDocument/2006/relationships/hyperlink" Target="http://greenleafair.com/" TargetMode="External"/><Relationship Id="rId2548" Type="http://schemas.openxmlformats.org/officeDocument/2006/relationships/hyperlink" Target="https://www.thermasol.com/" TargetMode="External"/><Relationship Id="rId727" Type="http://schemas.openxmlformats.org/officeDocument/2006/relationships/hyperlink" Target="https://safetysourcellc.com/" TargetMode="External"/><Relationship Id="rId934" Type="http://schemas.openxmlformats.org/officeDocument/2006/relationships/hyperlink" Target="https://tinyhousefor.us/" TargetMode="External"/><Relationship Id="rId1357" Type="http://schemas.openxmlformats.org/officeDocument/2006/relationships/hyperlink" Target="https://designandbuild.co.uk/" TargetMode="External"/><Relationship Id="rId1564" Type="http://schemas.openxmlformats.org/officeDocument/2006/relationships/hyperlink" Target="http://surepropainting.com/" TargetMode="External"/><Relationship Id="rId1771" Type="http://schemas.openxmlformats.org/officeDocument/2006/relationships/hyperlink" Target="http://osheaplumbing.com.au/" TargetMode="External"/><Relationship Id="rId2408" Type="http://schemas.openxmlformats.org/officeDocument/2006/relationships/hyperlink" Target="http://mastermaid.ca/" TargetMode="External"/><Relationship Id="rId2615" Type="http://schemas.openxmlformats.org/officeDocument/2006/relationships/hyperlink" Target="https://www.rwdoors.com/" TargetMode="External"/><Relationship Id="rId63" Type="http://schemas.openxmlformats.org/officeDocument/2006/relationships/hyperlink" Target="https://www.greenworkstools.com/" TargetMode="External"/><Relationship Id="rId1217" Type="http://schemas.openxmlformats.org/officeDocument/2006/relationships/hyperlink" Target="https://excelbuilders.com/" TargetMode="External"/><Relationship Id="rId1424" Type="http://schemas.openxmlformats.org/officeDocument/2006/relationships/hyperlink" Target="https://www.alliancemoving.com/" TargetMode="External"/><Relationship Id="rId1631" Type="http://schemas.openxmlformats.org/officeDocument/2006/relationships/hyperlink" Target="http://lasvegasrealestate.org/" TargetMode="External"/><Relationship Id="rId2198" Type="http://schemas.openxmlformats.org/officeDocument/2006/relationships/hyperlink" Target="http://yourhome.gov.au/" TargetMode="External"/><Relationship Id="rId377" Type="http://schemas.openxmlformats.org/officeDocument/2006/relationships/hyperlink" Target="https://www.neighbor.com/" TargetMode="External"/><Relationship Id="rId584" Type="http://schemas.openxmlformats.org/officeDocument/2006/relationships/hyperlink" Target="https://reignroof.com/" TargetMode="External"/><Relationship Id="rId2058" Type="http://schemas.openxmlformats.org/officeDocument/2006/relationships/hyperlink" Target="http://atirestoration.com/" TargetMode="External"/><Relationship Id="rId2265" Type="http://schemas.openxmlformats.org/officeDocument/2006/relationships/hyperlink" Target="http://mintkitchengroup.com.au/" TargetMode="External"/><Relationship Id="rId237" Type="http://schemas.openxmlformats.org/officeDocument/2006/relationships/hyperlink" Target="https://www.nuwavenow.com/" TargetMode="External"/><Relationship Id="rId791" Type="http://schemas.openxmlformats.org/officeDocument/2006/relationships/hyperlink" Target="https://www.thebedsupermarket.co.uk/" TargetMode="External"/><Relationship Id="rId1074" Type="http://schemas.openxmlformats.org/officeDocument/2006/relationships/hyperlink" Target="https://www.atoallinks.com/" TargetMode="External"/><Relationship Id="rId2472" Type="http://schemas.openxmlformats.org/officeDocument/2006/relationships/hyperlink" Target="http://polymermolding.com/" TargetMode="External"/><Relationship Id="rId444" Type="http://schemas.openxmlformats.org/officeDocument/2006/relationships/hyperlink" Target="https://realt.co/" TargetMode="External"/><Relationship Id="rId651" Type="http://schemas.openxmlformats.org/officeDocument/2006/relationships/hyperlink" Target="https://lemonlocksmith.co.uk/" TargetMode="External"/><Relationship Id="rId1281" Type="http://schemas.openxmlformats.org/officeDocument/2006/relationships/hyperlink" Target="https://www.lawdistrict.com/" TargetMode="External"/><Relationship Id="rId2125" Type="http://schemas.openxmlformats.org/officeDocument/2006/relationships/hyperlink" Target="http://movoto.com/" TargetMode="External"/><Relationship Id="rId2332" Type="http://schemas.openxmlformats.org/officeDocument/2006/relationships/hyperlink" Target="http://betterblinds.co/" TargetMode="External"/><Relationship Id="rId304" Type="http://schemas.openxmlformats.org/officeDocument/2006/relationships/hyperlink" Target="https://www.singlekey.com/" TargetMode="External"/><Relationship Id="rId511" Type="http://schemas.openxmlformats.org/officeDocument/2006/relationships/hyperlink" Target="https://www.nomadicrealestate.com/" TargetMode="External"/><Relationship Id="rId1141" Type="http://schemas.openxmlformats.org/officeDocument/2006/relationships/hyperlink" Target="https://www.innova-pm.com/" TargetMode="External"/><Relationship Id="rId1001" Type="http://schemas.openxmlformats.org/officeDocument/2006/relationships/hyperlink" Target="https://www.getbellhops.com/" TargetMode="External"/><Relationship Id="rId1958" Type="http://schemas.openxmlformats.org/officeDocument/2006/relationships/hyperlink" Target="http://theporchswingstore.com/" TargetMode="External"/><Relationship Id="rId1818" Type="http://schemas.openxmlformats.org/officeDocument/2006/relationships/hyperlink" Target="http://skyrun.com/" TargetMode="External"/><Relationship Id="rId161" Type="http://schemas.openxmlformats.org/officeDocument/2006/relationships/hyperlink" Target="https://intl.transformertable.com/" TargetMode="External"/><Relationship Id="rId978" Type="http://schemas.openxmlformats.org/officeDocument/2006/relationships/hyperlink" Target="https://www.sammamishmortgage.com/" TargetMode="External"/><Relationship Id="rId838" Type="http://schemas.openxmlformats.org/officeDocument/2006/relationships/hyperlink" Target="https://www.heroeslawncare.com/" TargetMode="External"/><Relationship Id="rId1468" Type="http://schemas.openxmlformats.org/officeDocument/2006/relationships/hyperlink" Target="http://maxwellrealty.com/" TargetMode="External"/><Relationship Id="rId1675" Type="http://schemas.openxmlformats.org/officeDocument/2006/relationships/hyperlink" Target="http://promenaid.com/" TargetMode="External"/><Relationship Id="rId1882" Type="http://schemas.openxmlformats.org/officeDocument/2006/relationships/hyperlink" Target="http://travelers.com/" TargetMode="External"/><Relationship Id="rId2519" Type="http://schemas.openxmlformats.org/officeDocument/2006/relationships/hyperlink" Target="http://realspace3d.com/" TargetMode="External"/><Relationship Id="rId1328" Type="http://schemas.openxmlformats.org/officeDocument/2006/relationships/hyperlink" Target="https://fixgaragedoors.ca/" TargetMode="External"/><Relationship Id="rId1535" Type="http://schemas.openxmlformats.org/officeDocument/2006/relationships/hyperlink" Target="http://jmsgroundservices.com/" TargetMode="External"/><Relationship Id="rId905" Type="http://schemas.openxmlformats.org/officeDocument/2006/relationships/hyperlink" Target="https://auctionhousenorthwest.co.uk/" TargetMode="External"/><Relationship Id="rId1742" Type="http://schemas.openxmlformats.org/officeDocument/2006/relationships/hyperlink" Target="http://newwaveav.co.uk/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dgai.utem.cl/yrkl3snr/viewtopic.php?id=lexington-park%2C-fairburn%2C-ga" TargetMode="External"/><Relationship Id="rId4233" Type="http://schemas.openxmlformats.org/officeDocument/2006/relationships/hyperlink" Target="https://investinganswers.com/best-mortgages" TargetMode="External"/><Relationship Id="rId8854" Type="http://schemas.openxmlformats.org/officeDocument/2006/relationships/hyperlink" Target="https://www.trianglepest.com/" TargetMode="External"/><Relationship Id="rId9905" Type="http://schemas.openxmlformats.org/officeDocument/2006/relationships/hyperlink" Target="https://stem.aurorak12.org/stem-resources" TargetMode="External"/><Relationship Id="rId7456" Type="http://schemas.openxmlformats.org/officeDocument/2006/relationships/hyperlink" Target="https://www.simpleshowing.com/" TargetMode="External"/><Relationship Id="rId8507" Type="http://schemas.openxmlformats.org/officeDocument/2006/relationships/hyperlink" Target="https://www.pinoyeplans.com/" TargetMode="External"/><Relationship Id="rId10784" Type="http://schemas.openxmlformats.org/officeDocument/2006/relationships/hyperlink" Target="https://blog.frontrange.edu/2022/08/03/an-unexpected-adventure-in-innovation/" TargetMode="External"/><Relationship Id="rId11835" Type="http://schemas.openxmlformats.org/officeDocument/2006/relationships/hyperlink" Target="https://www.hamiltoninternationalestates.com/" TargetMode="External"/><Relationship Id="rId6058" Type="http://schemas.openxmlformats.org/officeDocument/2006/relationships/hyperlink" Target="https://www.simpleshowing.com/" TargetMode="External"/><Relationship Id="rId7109" Type="http://schemas.openxmlformats.org/officeDocument/2006/relationships/hyperlink" Target="https://readysetsell.webador.com/guide-for-building-new-communities/bellacina" TargetMode="External"/><Relationship Id="rId10437" Type="http://schemas.openxmlformats.org/officeDocument/2006/relationships/hyperlink" Target="https://www.pinoyeplans.com/" TargetMode="External"/><Relationship Id="rId987" Type="http://schemas.openxmlformats.org/officeDocument/2006/relationships/hyperlink" Target="https://www.simpleshowing.com/" TargetMode="External"/><Relationship Id="rId2668" Type="http://schemas.openxmlformats.org/officeDocument/2006/relationships/hyperlink" Target="https://www.pulte.com/" TargetMode="External"/><Relationship Id="rId3719" Type="http://schemas.openxmlformats.org/officeDocument/2006/relationships/hyperlink" Target="https://www.homesandgardens.com/solved/questions-to-ask-a-contractor" TargetMode="External"/><Relationship Id="rId4090" Type="http://schemas.openxmlformats.org/officeDocument/2006/relationships/hyperlink" Target="https://www.simpleshowing.com/" TargetMode="External"/><Relationship Id="rId15082" Type="http://schemas.openxmlformats.org/officeDocument/2006/relationships/hyperlink" Target="https://myinteriorpalace.com/" TargetMode="External"/><Relationship Id="rId16133" Type="http://schemas.openxmlformats.org/officeDocument/2006/relationships/hyperlink" Target="https://www.unitedcarpetsandbeds.com/" TargetMode="External"/><Relationship Id="rId5141" Type="http://schemas.openxmlformats.org/officeDocument/2006/relationships/hyperlink" Target="https://casepacer.com/resources/how-to-write-a-demand-letter" TargetMode="External"/><Relationship Id="rId9762" Type="http://schemas.openxmlformats.org/officeDocument/2006/relationships/hyperlink" Target="https://www.pinoyeplans.com/" TargetMode="External"/><Relationship Id="rId11692" Type="http://schemas.openxmlformats.org/officeDocument/2006/relationships/hyperlink" Target="https://sellhousefast.uk/" TargetMode="External"/><Relationship Id="rId12743" Type="http://schemas.openxmlformats.org/officeDocument/2006/relationships/hyperlink" Target="https://www.shma.co.uk/" TargetMode="External"/><Relationship Id="rId1751" Type="http://schemas.openxmlformats.org/officeDocument/2006/relationships/hyperlink" Target="https://www.brainzmagazine.com/post/from-grassroots-to-grid-power-the-story-of-wolf-river-electric" TargetMode="External"/><Relationship Id="rId2802" Type="http://schemas.openxmlformats.org/officeDocument/2006/relationships/hyperlink" Target="https://www.simpleshowing.com/" TargetMode="External"/><Relationship Id="rId8364" Type="http://schemas.openxmlformats.org/officeDocument/2006/relationships/hyperlink" Target="https://australiansecurecapital.com.au/" TargetMode="External"/><Relationship Id="rId9415" Type="http://schemas.openxmlformats.org/officeDocument/2006/relationships/hyperlink" Target="https://www.teachengineering.org/" TargetMode="External"/><Relationship Id="rId10294" Type="http://schemas.openxmlformats.org/officeDocument/2006/relationships/hyperlink" Target="https://www.teachengineering.org/" TargetMode="External"/><Relationship Id="rId11345" Type="http://schemas.openxmlformats.org/officeDocument/2006/relationships/hyperlink" Target="https://www.hamiltoninternationalestates.com/" TargetMode="External"/><Relationship Id="rId1404" Type="http://schemas.openxmlformats.org/officeDocument/2006/relationships/hyperlink" Target="https://www.simpleshowing.com/" TargetMode="External"/><Relationship Id="rId8017" Type="http://schemas.openxmlformats.org/officeDocument/2006/relationships/hyperlink" Target="https://10web.io/blog/roofing-websites/" TargetMode="External"/><Relationship Id="rId15966" Type="http://schemas.openxmlformats.org/officeDocument/2006/relationships/hyperlink" Target="https://www.netnewsledger.com/2025/03/22/install-a-customized-garage-door-to-lend-a-personal-touch/" TargetMode="External"/><Relationship Id="rId3576" Type="http://schemas.openxmlformats.org/officeDocument/2006/relationships/hyperlink" Target="https://www.simpleshowing.com/" TargetMode="External"/><Relationship Id="rId4627" Type="http://schemas.openxmlformats.org/officeDocument/2006/relationships/hyperlink" Target="https://www.simpleshowing.com/" TargetMode="External"/><Relationship Id="rId4974" Type="http://schemas.openxmlformats.org/officeDocument/2006/relationships/hyperlink" Target="https://www.simpleshowing.com/" TargetMode="External"/><Relationship Id="rId14568" Type="http://schemas.openxmlformats.org/officeDocument/2006/relationships/hyperlink" Target="https://enthrallinggumption.com/6-leading-garage-door-companies-offering-emergency-repairs-in-houston/" TargetMode="External"/><Relationship Id="rId15619" Type="http://schemas.openxmlformats.org/officeDocument/2006/relationships/hyperlink" Target="https://myinteriorpalace.com/" TargetMode="External"/><Relationship Id="rId497" Type="http://schemas.openxmlformats.org/officeDocument/2006/relationships/hyperlink" Target="https://www.simpleshowing.com/" TargetMode="External"/><Relationship Id="rId2178" Type="http://schemas.openxmlformats.org/officeDocument/2006/relationships/hyperlink" Target="https://www.simpleshowing.com/" TargetMode="External"/><Relationship Id="rId3229" Type="http://schemas.openxmlformats.org/officeDocument/2006/relationships/hyperlink" Target="https://www.pulte.com/" TargetMode="External"/><Relationship Id="rId7100" Type="http://schemas.openxmlformats.org/officeDocument/2006/relationships/hyperlink" Target="https://www.taylormorrison.com/" TargetMode="External"/><Relationship Id="rId6799" Type="http://schemas.openxmlformats.org/officeDocument/2006/relationships/hyperlink" Target="https://www.taylormorrison.com/" TargetMode="External"/><Relationship Id="rId13651" Type="http://schemas.openxmlformats.org/officeDocument/2006/relationships/hyperlink" Target="https://myinteriorpalace.com/" TargetMode="External"/><Relationship Id="rId14702" Type="http://schemas.openxmlformats.org/officeDocument/2006/relationships/hyperlink" Target="https://www.easygaragedoorrepair.com/" TargetMode="External"/><Relationship Id="rId3710" Type="http://schemas.openxmlformats.org/officeDocument/2006/relationships/hyperlink" Target="https://www.trustguide.ai/reviews/overhead-door-company" TargetMode="External"/><Relationship Id="rId9272" Type="http://schemas.openxmlformats.org/officeDocument/2006/relationships/hyperlink" Target="https://www.iko.com/blog/17-facts-and-tips-on-how-to-pick-roof-shingle-colors/" TargetMode="External"/><Relationship Id="rId12253" Type="http://schemas.openxmlformats.org/officeDocument/2006/relationships/hyperlink" Target="https://marrons.co.uk/" TargetMode="External"/><Relationship Id="rId13304" Type="http://schemas.openxmlformats.org/officeDocument/2006/relationships/hyperlink" Target="https://a1floorsnc.com/" TargetMode="External"/><Relationship Id="rId631" Type="http://schemas.openxmlformats.org/officeDocument/2006/relationships/hyperlink" Target="https://seaislenews.com/news/2025/may/09/travel-guide-which-coastal-escape-is-right-for-you-outer-banks-or-sea-isle/" TargetMode="External"/><Relationship Id="rId1261" Type="http://schemas.openxmlformats.org/officeDocument/2006/relationships/hyperlink" Target="https://darscover.com/" TargetMode="External"/><Relationship Id="rId2312" Type="http://schemas.openxmlformats.org/officeDocument/2006/relationships/hyperlink" Target="https://whatnow.com/atlanta/retail/indoor-pickleball-franchise-swings-into-georgia/" TargetMode="External"/><Relationship Id="rId5882" Type="http://schemas.openxmlformats.org/officeDocument/2006/relationships/hyperlink" Target="https://www.simpleshowing.com/" TargetMode="External"/><Relationship Id="rId6933" Type="http://schemas.openxmlformats.org/officeDocument/2006/relationships/hyperlink" Target="https://platform.reverecre.com/company/taylor.morrison" TargetMode="External"/><Relationship Id="rId15476" Type="http://schemas.openxmlformats.org/officeDocument/2006/relationships/hyperlink" Target="https://www.luxdeco.com/" TargetMode="External"/><Relationship Id="rId4484" Type="http://schemas.openxmlformats.org/officeDocument/2006/relationships/hyperlink" Target="https://www.kapre.com/" TargetMode="External"/><Relationship Id="rId5535" Type="http://schemas.openxmlformats.org/officeDocument/2006/relationships/hyperlink" Target="https://logomakerr.ai/blog/best-ai-productivity-tools-by-category/" TargetMode="External"/><Relationship Id="rId14078" Type="http://schemas.openxmlformats.org/officeDocument/2006/relationships/hyperlink" Target="https://keystonecustomdecksny.com/" TargetMode="External"/><Relationship Id="rId15129" Type="http://schemas.openxmlformats.org/officeDocument/2006/relationships/hyperlink" Target="https://lovechicliving.co.uk/slice-of-nature-into-the-home/" TargetMode="External"/><Relationship Id="rId3086" Type="http://schemas.openxmlformats.org/officeDocument/2006/relationships/hyperlink" Target="https://www.bridgemi.com/business-watch/qa-michigan-builders-want-states-help-build-affordable-homes" TargetMode="External"/><Relationship Id="rId4137" Type="http://schemas.openxmlformats.org/officeDocument/2006/relationships/hyperlink" Target="https://www.kapre.com/" TargetMode="External"/><Relationship Id="rId8758" Type="http://schemas.openxmlformats.org/officeDocument/2006/relationships/hyperlink" Target="https://modernbusinesslife.com/how-to-choose-a-financial-planner-in-2025/" TargetMode="External"/><Relationship Id="rId9809" Type="http://schemas.openxmlformats.org/officeDocument/2006/relationships/hyperlink" Target="https://repository.rec.gov.bt/chemistry-overview/chemistry-xi/" TargetMode="External"/><Relationship Id="rId10688" Type="http://schemas.openxmlformats.org/officeDocument/2006/relationships/hyperlink" Target="https://www.teletracnavman.com/gps-fleet-tracking-education/gps-tracking-storms-and-weather" TargetMode="External"/><Relationship Id="rId11739" Type="http://schemas.openxmlformats.org/officeDocument/2006/relationships/hyperlink" Target="https://www.hamiltoninternationalestates.com/" TargetMode="External"/><Relationship Id="rId15610" Type="http://schemas.openxmlformats.org/officeDocument/2006/relationships/hyperlink" Target="https://myinteriorpalace.com/" TargetMode="External"/><Relationship Id="rId13161" Type="http://schemas.openxmlformats.org/officeDocument/2006/relationships/hyperlink" Target="https://www.legalfutures.co.uk/blog/lets-talk-about-money" TargetMode="External"/><Relationship Id="rId14212" Type="http://schemas.openxmlformats.org/officeDocument/2006/relationships/hyperlink" Target="https://myinteriorpalace.com/" TargetMode="External"/><Relationship Id="rId141" Type="http://schemas.openxmlformats.org/officeDocument/2006/relationships/hyperlink" Target="https://www.peerstreet.com/" TargetMode="External"/><Relationship Id="rId3220" Type="http://schemas.openxmlformats.org/officeDocument/2006/relationships/hyperlink" Target="https://www.pulte.com/" TargetMode="External"/><Relationship Id="rId6790" Type="http://schemas.openxmlformats.org/officeDocument/2006/relationships/hyperlink" Target="https://www.taylormorrison.com/" TargetMode="External"/><Relationship Id="rId7841" Type="http://schemas.openxmlformats.org/officeDocument/2006/relationships/hyperlink" Target="https://www.simpleshowing.com/" TargetMode="External"/><Relationship Id="rId10822" Type="http://schemas.openxmlformats.org/officeDocument/2006/relationships/hyperlink" Target="https://www.teachengineering.org/" TargetMode="External"/><Relationship Id="rId7" Type="http://schemas.openxmlformats.org/officeDocument/2006/relationships/hyperlink" Target="https://www.easyrender.com/a/the-five-best-companies-for-3d-rendering-services" TargetMode="External"/><Relationship Id="rId5392" Type="http://schemas.openxmlformats.org/officeDocument/2006/relationships/hyperlink" Target="https://www.simpleshowing.com/" TargetMode="External"/><Relationship Id="rId6443" Type="http://schemas.openxmlformats.org/officeDocument/2006/relationships/hyperlink" Target="https://www.thermasol.com/" TargetMode="External"/><Relationship Id="rId16037" Type="http://schemas.openxmlformats.org/officeDocument/2006/relationships/hyperlink" Target="https://www.rwdoors.com/" TargetMode="External"/><Relationship Id="rId5045" Type="http://schemas.openxmlformats.org/officeDocument/2006/relationships/hyperlink" Target="https://userp.io/seo/twitter-seo-checklist/" TargetMode="External"/><Relationship Id="rId9666" Type="http://schemas.openxmlformats.org/officeDocument/2006/relationships/hyperlink" Target="https://www.pinoyeplans.com/" TargetMode="External"/><Relationship Id="rId11596" Type="http://schemas.openxmlformats.org/officeDocument/2006/relationships/hyperlink" Target="https://sellhousefast.uk/" TargetMode="External"/><Relationship Id="rId12994" Type="http://schemas.openxmlformats.org/officeDocument/2006/relationships/hyperlink" Target="https://propertypressonline.co.uk/" TargetMode="External"/><Relationship Id="rId1655" Type="http://schemas.openxmlformats.org/officeDocument/2006/relationships/hyperlink" Target="https://www.digitaljournal.com/business/why-sustainable-businesses-will-win/article" TargetMode="External"/><Relationship Id="rId2706" Type="http://schemas.openxmlformats.org/officeDocument/2006/relationships/hyperlink" Target="https://www.simpleshowing.com/" TargetMode="External"/><Relationship Id="rId8268" Type="http://schemas.openxmlformats.org/officeDocument/2006/relationships/hyperlink" Target="https://www.zestlighting.com.au/" TargetMode="External"/><Relationship Id="rId9319" Type="http://schemas.openxmlformats.org/officeDocument/2006/relationships/hyperlink" Target="https://www.teachengineering.org/" TargetMode="External"/><Relationship Id="rId10198" Type="http://schemas.openxmlformats.org/officeDocument/2006/relationships/hyperlink" Target="https://www.teachengineering.org/" TargetMode="External"/><Relationship Id="rId11249" Type="http://schemas.openxmlformats.org/officeDocument/2006/relationships/hyperlink" Target="https://suntrics.com/lifestyle-blogs/water-damage/" TargetMode="External"/><Relationship Id="rId12647" Type="http://schemas.openxmlformats.org/officeDocument/2006/relationships/hyperlink" Target="https://www.shma.co.uk/" TargetMode="External"/><Relationship Id="rId15120" Type="http://schemas.openxmlformats.org/officeDocument/2006/relationships/hyperlink" Target="https://inspiredhomes.uk.com/crafting-custom-marble-dining-tables/" TargetMode="External"/><Relationship Id="rId1308" Type="http://schemas.openxmlformats.org/officeDocument/2006/relationships/hyperlink" Target="https://www.simpleshowing.com/" TargetMode="External"/><Relationship Id="rId4878" Type="http://schemas.openxmlformats.org/officeDocument/2006/relationships/hyperlink" Target="https://www.simpleshowing.com/" TargetMode="External"/><Relationship Id="rId5929" Type="http://schemas.openxmlformats.org/officeDocument/2006/relationships/hyperlink" Target="https://www.k6agency.com/tax-deadlines/" TargetMode="External"/><Relationship Id="rId9800" Type="http://schemas.openxmlformats.org/officeDocument/2006/relationships/hyperlink" Target="https://geeringup.apsc.ubc.ca/stem-resources-2/" TargetMode="External"/><Relationship Id="rId11730" Type="http://schemas.openxmlformats.org/officeDocument/2006/relationships/hyperlink" Target="https://www.hamiltoninternationalestates.com/" TargetMode="External"/><Relationship Id="rId14" Type="http://schemas.openxmlformats.org/officeDocument/2006/relationships/hyperlink" Target="https://smith.ai/blog/how-can-real-estate-agents-use-ai-to-double-income" TargetMode="External"/><Relationship Id="rId7004" Type="http://schemas.openxmlformats.org/officeDocument/2006/relationships/hyperlink" Target="https://www.taylormorrison.com/" TargetMode="External"/><Relationship Id="rId7351" Type="http://schemas.openxmlformats.org/officeDocument/2006/relationships/hyperlink" Target="https://www.colliers.com/en/news/houston/56-acres-montgomery-2024-05-06" TargetMode="External"/><Relationship Id="rId8402" Type="http://schemas.openxmlformats.org/officeDocument/2006/relationships/hyperlink" Target="https://www.pinoyeplans.com/" TargetMode="External"/><Relationship Id="rId10332" Type="http://schemas.openxmlformats.org/officeDocument/2006/relationships/hyperlink" Target="https://www.pinoyeplans.com/" TargetMode="External"/><Relationship Id="rId14953" Type="http://schemas.openxmlformats.org/officeDocument/2006/relationships/hyperlink" Target="https://myinteriorpalace.com/" TargetMode="External"/><Relationship Id="rId3961" Type="http://schemas.openxmlformats.org/officeDocument/2006/relationships/hyperlink" Target="https://www.smartsolarenergyco.com/" TargetMode="External"/><Relationship Id="rId13555" Type="http://schemas.openxmlformats.org/officeDocument/2006/relationships/hyperlink" Target="https://myinteriorpalace.com/" TargetMode="External"/><Relationship Id="rId14606" Type="http://schemas.openxmlformats.org/officeDocument/2006/relationships/hyperlink" Target="https://www.easygaragedoorrepair.com/" TargetMode="External"/><Relationship Id="rId882" Type="http://schemas.openxmlformats.org/officeDocument/2006/relationships/hyperlink" Target="https://www.simpleshowing.com/" TargetMode="External"/><Relationship Id="rId2563" Type="http://schemas.openxmlformats.org/officeDocument/2006/relationships/hyperlink" Target="https://www.pulte.com/" TargetMode="External"/><Relationship Id="rId3614" Type="http://schemas.openxmlformats.org/officeDocument/2006/relationships/hyperlink" Target="https://www.zillowgroup.com/news/happy-6th-birthday-zillow/" TargetMode="External"/><Relationship Id="rId9176" Type="http://schemas.openxmlformats.org/officeDocument/2006/relationships/hyperlink" Target="https://psbios.com/revolutionizing-project-budgets-with-cutting-edge-construction-estimating/" TargetMode="External"/><Relationship Id="rId12157" Type="http://schemas.openxmlformats.org/officeDocument/2006/relationships/hyperlink" Target="https://www.bobvila.com/" TargetMode="External"/><Relationship Id="rId13208" Type="http://schemas.openxmlformats.org/officeDocument/2006/relationships/hyperlink" Target="https://www.shma.co.uk/" TargetMode="External"/><Relationship Id="rId535" Type="http://schemas.openxmlformats.org/officeDocument/2006/relationships/hyperlink" Target="https://www.buffettnews.com/forum/viewtopic.php?t=80994" TargetMode="External"/><Relationship Id="rId1165" Type="http://schemas.openxmlformats.org/officeDocument/2006/relationships/hyperlink" Target="https://www.matrixbasements.com/" TargetMode="External"/><Relationship Id="rId2216" Type="http://schemas.openxmlformats.org/officeDocument/2006/relationships/hyperlink" Target="https://www.neustarlocaleze.biz/directory/us/?after=2024-08-12T19:50:44.177992Z&amp;count=50" TargetMode="External"/><Relationship Id="rId5786" Type="http://schemas.openxmlformats.org/officeDocument/2006/relationships/hyperlink" Target="https://www.simpleshowing.com/" TargetMode="External"/><Relationship Id="rId6837" Type="http://schemas.openxmlformats.org/officeDocument/2006/relationships/hyperlink" Target="https://www.simpleshowing.com/" TargetMode="External"/><Relationship Id="rId4388" Type="http://schemas.openxmlformats.org/officeDocument/2006/relationships/hyperlink" Target="https://www.kapre.com/" TargetMode="External"/><Relationship Id="rId5439" Type="http://schemas.openxmlformats.org/officeDocument/2006/relationships/hyperlink" Target="https://betterproposals.io/blog/how-to-handle-unpaid-invoices/" TargetMode="External"/><Relationship Id="rId9310" Type="http://schemas.openxmlformats.org/officeDocument/2006/relationships/hyperlink" Target="https://www.teachengineering.org/" TargetMode="External"/><Relationship Id="rId11240" Type="http://schemas.openxmlformats.org/officeDocument/2006/relationships/hyperlink" Target="https://www.pinoyeplans.com/" TargetMode="External"/><Relationship Id="rId15861" Type="http://schemas.openxmlformats.org/officeDocument/2006/relationships/hyperlink" Target="https://www.indesignlive.com/uncategorized/indesign-magazine-60-dissections-directory" TargetMode="External"/><Relationship Id="rId5920" Type="http://schemas.openxmlformats.org/officeDocument/2006/relationships/hyperlink" Target="https://www.simpleshowing.com/" TargetMode="External"/><Relationship Id="rId14463" Type="http://schemas.openxmlformats.org/officeDocument/2006/relationships/hyperlink" Target="https://millennialmagazine.com/2019/09/05/road-ready-5-easy-ways-to-keep-your-car-in-top-condition/" TargetMode="External"/><Relationship Id="rId15514" Type="http://schemas.openxmlformats.org/officeDocument/2006/relationships/hyperlink" Target="https://myinteriorpalace.com/" TargetMode="External"/><Relationship Id="rId3471" Type="http://schemas.openxmlformats.org/officeDocument/2006/relationships/hyperlink" Target="https://www.simpleshowing.com/" TargetMode="External"/><Relationship Id="rId4522" Type="http://schemas.openxmlformats.org/officeDocument/2006/relationships/hyperlink" Target="https://www.simpleshowing.com/" TargetMode="External"/><Relationship Id="rId13065" Type="http://schemas.openxmlformats.org/officeDocument/2006/relationships/hyperlink" Target="https://www.isbl.org.uk/national-conference-exhibitors" TargetMode="External"/><Relationship Id="rId14116" Type="http://schemas.openxmlformats.org/officeDocument/2006/relationships/hyperlink" Target="https://myinteriorpalace.com/" TargetMode="External"/><Relationship Id="rId392" Type="http://schemas.openxmlformats.org/officeDocument/2006/relationships/hyperlink" Target="http://northernvirginiahomepro.com/" TargetMode="External"/><Relationship Id="rId2073" Type="http://schemas.openxmlformats.org/officeDocument/2006/relationships/hyperlink" Target="https://www.simpleshowing.com/" TargetMode="External"/><Relationship Id="rId3124" Type="http://schemas.openxmlformats.org/officeDocument/2006/relationships/hyperlink" Target="https://www.pulte.com/" TargetMode="External"/><Relationship Id="rId6694" Type="http://schemas.openxmlformats.org/officeDocument/2006/relationships/hyperlink" Target="https://www.eplanters.com/blog/" TargetMode="External"/><Relationship Id="rId7745" Type="http://schemas.openxmlformats.org/officeDocument/2006/relationships/hyperlink" Target="https://365atlantatraveler.com/lakes-in-georgia-2/" TargetMode="External"/><Relationship Id="rId5296" Type="http://schemas.openxmlformats.org/officeDocument/2006/relationships/hyperlink" Target="https://www.simpleshowing.com/" TargetMode="External"/><Relationship Id="rId6347" Type="http://schemas.openxmlformats.org/officeDocument/2006/relationships/hyperlink" Target="https://www.sosoactive.com/how-to-conduct-a-yard-sale-that-makes-money/" TargetMode="External"/><Relationship Id="rId10726" Type="http://schemas.openxmlformats.org/officeDocument/2006/relationships/hyperlink" Target="https://www.teachengineering.org/" TargetMode="External"/><Relationship Id="rId12898" Type="http://schemas.openxmlformats.org/officeDocument/2006/relationships/hyperlink" Target="https://propertypressonline.co.uk/" TargetMode="External"/><Relationship Id="rId13949" Type="http://schemas.openxmlformats.org/officeDocument/2006/relationships/hyperlink" Target="https://faheyroofingcontractors.com/" TargetMode="External"/><Relationship Id="rId2957" Type="http://schemas.openxmlformats.org/officeDocument/2006/relationships/hyperlink" Target="https://c21scheetz.com/blog/posts/2022/03/10/top-indianapolis-realtors-recognized/" TargetMode="External"/><Relationship Id="rId15371" Type="http://schemas.openxmlformats.org/officeDocument/2006/relationships/hyperlink" Target="https://www.luxdeco.com/" TargetMode="External"/><Relationship Id="rId929" Type="http://schemas.openxmlformats.org/officeDocument/2006/relationships/hyperlink" Target="https://www.pinterest.com/matrixbasementfinishing/" TargetMode="External"/><Relationship Id="rId1559" Type="http://schemas.openxmlformats.org/officeDocument/2006/relationships/hyperlink" Target="https://wrkr.com/ixp/691/p/michigan-consumers-gas-bill-increase/" TargetMode="External"/><Relationship Id="rId4032" Type="http://schemas.openxmlformats.org/officeDocument/2006/relationships/hyperlink" Target="https://www.simpleshowing.com/" TargetMode="External"/><Relationship Id="rId5430" Type="http://schemas.openxmlformats.org/officeDocument/2006/relationships/hyperlink" Target="https://www.simpleshowing.com/" TargetMode="External"/><Relationship Id="rId11981" Type="http://schemas.openxmlformats.org/officeDocument/2006/relationships/hyperlink" Target="https://diy.stackexchange.com/questions/262354/how-can-i-reduce-noise-coming-in-a-window-for-under-100" TargetMode="External"/><Relationship Id="rId15024" Type="http://schemas.openxmlformats.org/officeDocument/2006/relationships/hyperlink" Target="https://blog.canadianloghomes.com/2024/01/19/rustic-dining-room-ideas/" TargetMode="External"/><Relationship Id="rId8653" Type="http://schemas.openxmlformats.org/officeDocument/2006/relationships/hyperlink" Target="https://www.marinetraffic.com/it/maritime-companies/directory/industry:electronics/secind:7/sublocation:New%20Zealand" TargetMode="External"/><Relationship Id="rId9704" Type="http://schemas.openxmlformats.org/officeDocument/2006/relationships/hyperlink" Target="https://www.dcwater.com/whats-going-on/community-outreach/environmental-education/distance-learning" TargetMode="External"/><Relationship Id="rId10583" Type="http://schemas.openxmlformats.org/officeDocument/2006/relationships/hyperlink" Target="https://www.nsta.org/science-and-children/science-and-children-february-2020/tinkering-vs-engineering" TargetMode="External"/><Relationship Id="rId11634" Type="http://schemas.openxmlformats.org/officeDocument/2006/relationships/hyperlink" Target="https://www.hamiltoninternationalestates.com/" TargetMode="External"/><Relationship Id="rId7255" Type="http://schemas.openxmlformats.org/officeDocument/2006/relationships/hyperlink" Target="https://site.financialmodelingprep.com/company-profile/TMHC" TargetMode="External"/><Relationship Id="rId8306" Type="http://schemas.openxmlformats.org/officeDocument/2006/relationships/hyperlink" Target="https://www.pinoyeplans.com/" TargetMode="External"/><Relationship Id="rId10236" Type="http://schemas.openxmlformats.org/officeDocument/2006/relationships/hyperlink" Target="https://www.pinoyeplans.com/" TargetMode="External"/><Relationship Id="rId3865" Type="http://schemas.openxmlformats.org/officeDocument/2006/relationships/hyperlink" Target="https://thecoverguy.com/" TargetMode="External"/><Relationship Id="rId4916" Type="http://schemas.openxmlformats.org/officeDocument/2006/relationships/hyperlink" Target="https://www.simpleshowing.com/" TargetMode="External"/><Relationship Id="rId13459" Type="http://schemas.openxmlformats.org/officeDocument/2006/relationships/hyperlink" Target="https://myinteriorpalace.com/" TargetMode="External"/><Relationship Id="rId14857" Type="http://schemas.openxmlformats.org/officeDocument/2006/relationships/hyperlink" Target="https://myinteriorpalace.com/" TargetMode="External"/><Relationship Id="rId15908" Type="http://schemas.openxmlformats.org/officeDocument/2006/relationships/hyperlink" Target="https://www.raynorkc.com/" TargetMode="External"/><Relationship Id="rId786" Type="http://schemas.openxmlformats.org/officeDocument/2006/relationships/hyperlink" Target="https://www.schaafsma.com/" TargetMode="External"/><Relationship Id="rId2467" Type="http://schemas.openxmlformats.org/officeDocument/2006/relationships/hyperlink" Target="https://www.pulte.com/" TargetMode="External"/><Relationship Id="rId3518" Type="http://schemas.openxmlformats.org/officeDocument/2006/relationships/hyperlink" Target="https://www.allentate.com/Property/Detail/200-Indigo-Park-Place-Lot-46-Easley-SC-29642/allentateGreenvilleSC/1554742" TargetMode="External"/><Relationship Id="rId439" Type="http://schemas.openxmlformats.org/officeDocument/2006/relationships/hyperlink" Target="https://www.outerbanksvoice.com/jobs/" TargetMode="External"/><Relationship Id="rId1069" Type="http://schemas.openxmlformats.org/officeDocument/2006/relationships/hyperlink" Target="https://www.matrixbasements.com/" TargetMode="External"/><Relationship Id="rId13940" Type="http://schemas.openxmlformats.org/officeDocument/2006/relationships/hyperlink" Target="https://faheyroofingcontractors.com/" TargetMode="External"/><Relationship Id="rId8163" Type="http://schemas.openxmlformats.org/officeDocument/2006/relationships/hyperlink" Target="https://smaarchviz.com/" TargetMode="External"/><Relationship Id="rId9214" Type="http://schemas.openxmlformats.org/officeDocument/2006/relationships/hyperlink" Target="https://mcd.net.au/" TargetMode="External"/><Relationship Id="rId9561" Type="http://schemas.openxmlformats.org/officeDocument/2006/relationships/hyperlink" Target="https://www.pinoyeplans.com/" TargetMode="External"/><Relationship Id="rId11491" Type="http://schemas.openxmlformats.org/officeDocument/2006/relationships/hyperlink" Target="https://www.landlordzone.co.uk/news/yorkshire-borough-has-most-unsafe-private-rented-homes" TargetMode="External"/><Relationship Id="rId12542" Type="http://schemas.openxmlformats.org/officeDocument/2006/relationships/hyperlink" Target="https://www.shma.co.uk/" TargetMode="External"/><Relationship Id="rId920" Type="http://schemas.openxmlformats.org/officeDocument/2006/relationships/hyperlink" Target="https://www.homelight.com/blog/basement-design-ideas/" TargetMode="External"/><Relationship Id="rId1550" Type="http://schemas.openxmlformats.org/officeDocument/2006/relationships/hyperlink" Target="https://myb106.com/ixp/513/p/central-texas-power-project/" TargetMode="External"/><Relationship Id="rId2601" Type="http://schemas.openxmlformats.org/officeDocument/2006/relationships/hyperlink" Target="https://www.simpleshowing.com/" TargetMode="External"/><Relationship Id="rId10093" Type="http://schemas.openxmlformats.org/officeDocument/2006/relationships/hyperlink" Target="https://www.teachengineering.org/" TargetMode="External"/><Relationship Id="rId11144" Type="http://schemas.openxmlformats.org/officeDocument/2006/relationships/hyperlink" Target="https://mylittlebabog.com/2024/12/what-happens-to-a-family-home-after-serious-water-damage/" TargetMode="External"/><Relationship Id="rId15765" Type="http://schemas.openxmlformats.org/officeDocument/2006/relationships/hyperlink" Target="https://ahouseinthehills.com/external-wall-cladding-designs-transform-your-exterior/" TargetMode="External"/><Relationship Id="rId1203" Type="http://schemas.openxmlformats.org/officeDocument/2006/relationships/hyperlink" Target="https://www.simpleshowing.com/" TargetMode="External"/><Relationship Id="rId4773" Type="http://schemas.openxmlformats.org/officeDocument/2006/relationships/hyperlink" Target="https://www.edinarealty.com/real-estate-careers/start-your-career" TargetMode="External"/><Relationship Id="rId5824" Type="http://schemas.openxmlformats.org/officeDocument/2006/relationships/hyperlink" Target="https://www.simpleshowing.com/" TargetMode="External"/><Relationship Id="rId14367" Type="http://schemas.openxmlformats.org/officeDocument/2006/relationships/hyperlink" Target="https://gracejabbaribio.com/2026/01/17/where-do-jewelers-get-their-diamonds-and-how-does-ring-metal-affect-quality/" TargetMode="External"/><Relationship Id="rId15418" Type="http://schemas.openxmlformats.org/officeDocument/2006/relationships/hyperlink" Target="https://myinteriorpalace.com/" TargetMode="External"/><Relationship Id="rId3375" Type="http://schemas.openxmlformats.org/officeDocument/2006/relationships/hyperlink" Target="https://www.simpleshowing.com/" TargetMode="External"/><Relationship Id="rId4426" Type="http://schemas.openxmlformats.org/officeDocument/2006/relationships/hyperlink" Target="https://www.simpleshowing.com/" TargetMode="External"/><Relationship Id="rId7996" Type="http://schemas.openxmlformats.org/officeDocument/2006/relationships/hyperlink" Target="https://roofmedic.com/blog/roof-scupper/" TargetMode="External"/><Relationship Id="rId296" Type="http://schemas.openxmlformats.org/officeDocument/2006/relationships/hyperlink" Target="http://freshdesignblog.com/" TargetMode="External"/><Relationship Id="rId3028" Type="http://schemas.openxmlformats.org/officeDocument/2006/relationships/hyperlink" Target="https://www.pulte.com/" TargetMode="External"/><Relationship Id="rId6598" Type="http://schemas.openxmlformats.org/officeDocument/2006/relationships/hyperlink" Target="https://vi.web-platforms-vi.nyti.nyt.net/2025/08/27/style/bathing-culture-trend.html" TargetMode="External"/><Relationship Id="rId7649" Type="http://schemas.openxmlformats.org/officeDocument/2006/relationships/hyperlink" Target="https://www.taylormorrison.com/" TargetMode="External"/><Relationship Id="rId10977" Type="http://schemas.openxmlformats.org/officeDocument/2006/relationships/hyperlink" Target="https://www.pinoyeplans.com/" TargetMode="External"/><Relationship Id="rId9071" Type="http://schemas.openxmlformats.org/officeDocument/2006/relationships/hyperlink" Target="https://dotmagazine.co.uk/how-construction-estimating-improves-project-profitability/" TargetMode="External"/><Relationship Id="rId12052" Type="http://schemas.openxmlformats.org/officeDocument/2006/relationships/hyperlink" Target="https://www.bobvila.com/" TargetMode="External"/><Relationship Id="rId13450" Type="http://schemas.openxmlformats.org/officeDocument/2006/relationships/hyperlink" Target="https://myinteriorpalace.com/" TargetMode="External"/><Relationship Id="rId14501" Type="http://schemas.openxmlformats.org/officeDocument/2006/relationships/hyperlink" Target="https://raynordoor.com/" TargetMode="External"/><Relationship Id="rId430" Type="http://schemas.openxmlformats.org/officeDocument/2006/relationships/hyperlink" Target="https://www.eater.com/2016/1/31/10810568/clam-chowder-manhattan-hatteras-new-england-rhode-island-minorcan-new-jersey" TargetMode="External"/><Relationship Id="rId1060" Type="http://schemas.openxmlformats.org/officeDocument/2006/relationships/hyperlink" Target="https://www.matrixbasements.com/" TargetMode="External"/><Relationship Id="rId2111" Type="http://schemas.openxmlformats.org/officeDocument/2006/relationships/hyperlink" Target="https://www.adwerx.com/blog/four-ways-to-not-think-about-your-sphere-of-influence" TargetMode="External"/><Relationship Id="rId13103" Type="http://schemas.openxmlformats.org/officeDocument/2006/relationships/hyperlink" Target="https://www.shma.co.uk/" TargetMode="External"/><Relationship Id="rId5681" Type="http://schemas.openxmlformats.org/officeDocument/2006/relationships/hyperlink" Target="https://www.psychreg.org/building-stronger-willpower-muscle/" TargetMode="External"/><Relationship Id="rId6732" Type="http://schemas.openxmlformats.org/officeDocument/2006/relationships/hyperlink" Target="https://www.simpleshowing.com/" TargetMode="External"/><Relationship Id="rId15275" Type="http://schemas.openxmlformats.org/officeDocument/2006/relationships/hyperlink" Target="https://www.luxdeco.com/" TargetMode="External"/><Relationship Id="rId4283" Type="http://schemas.openxmlformats.org/officeDocument/2006/relationships/hyperlink" Target="https://www.kapre.com/" TargetMode="External"/><Relationship Id="rId5334" Type="http://schemas.openxmlformats.org/officeDocument/2006/relationships/hyperlink" Target="https://www.simpleshowing.com/" TargetMode="External"/><Relationship Id="rId9955" Type="http://schemas.openxmlformats.org/officeDocument/2006/relationships/hyperlink" Target="https://www.teachengineering.org/" TargetMode="External"/><Relationship Id="rId11885" Type="http://schemas.openxmlformats.org/officeDocument/2006/relationships/hyperlink" Target="https://nazariancareers.csun.edu/blog/2025/11/10/how-can-an-employee-turn-a-part-time-seasonal-job-into-a-full-time-permanent-finance-career/" TargetMode="External"/><Relationship Id="rId1944" Type="http://schemas.openxmlformats.org/officeDocument/2006/relationships/hyperlink" Target="https://www.simpleshowing.com/" TargetMode="External"/><Relationship Id="rId8557" Type="http://schemas.openxmlformats.org/officeDocument/2006/relationships/hyperlink" Target="https://www.thisisant.com/forum/adopt/viewthread/9755" TargetMode="External"/><Relationship Id="rId9608" Type="http://schemas.openxmlformats.org/officeDocument/2006/relationships/hyperlink" Target="https://www.mathworks.com/academia/highschool/courseware.html" TargetMode="External"/><Relationship Id="rId10487" Type="http://schemas.openxmlformats.org/officeDocument/2006/relationships/hyperlink" Target="https://www.fizzicseducation.com.au/articles/creative-ways-to-ignite-excitement-around-engineering/" TargetMode="External"/><Relationship Id="rId11538" Type="http://schemas.openxmlformats.org/officeDocument/2006/relationships/hyperlink" Target="https://sellhousefast.uk/" TargetMode="External"/><Relationship Id="rId12936" Type="http://schemas.openxmlformats.org/officeDocument/2006/relationships/hyperlink" Target="https://www.r3.org.uk/events-training/etemplekc@kingschambers.com/Jodie%20Wildridge,%20Barrister,%20Exchange%20Chambers,%20R3%20Yorkshire%20Vice%20Chair%20-%20view%20bio/?acc=1&amp;date=28-9-2023&amp;mth=9&amp;yr=2023&amp;region=0&amp;tag=0&amp;when=1" TargetMode="External"/><Relationship Id="rId7159" Type="http://schemas.openxmlformats.org/officeDocument/2006/relationships/hyperlink" Target="https://www.simpleshowing.com/" TargetMode="External"/><Relationship Id="rId14011" Type="http://schemas.openxmlformats.org/officeDocument/2006/relationships/hyperlink" Target="https://myinteriorpalace.com/" TargetMode="External"/><Relationship Id="rId16183" Type="http://schemas.openxmlformats.org/officeDocument/2006/relationships/hyperlink" Target="https://myinteriorpalace.com/" TargetMode="External"/><Relationship Id="rId3769" Type="http://schemas.openxmlformats.org/officeDocument/2006/relationships/hyperlink" Target="https://www.overheaddoors.com/" TargetMode="External"/><Relationship Id="rId5191" Type="http://schemas.openxmlformats.org/officeDocument/2006/relationships/hyperlink" Target="https://thesummitwellnessgroup.com/blog/rise-of-shopping-addiction/" TargetMode="External"/><Relationship Id="rId6242" Type="http://schemas.openxmlformats.org/officeDocument/2006/relationships/hyperlink" Target="https://www.simpleshowing.com/" TargetMode="External"/><Relationship Id="rId7640" Type="http://schemas.openxmlformats.org/officeDocument/2006/relationships/hyperlink" Target="https://www.taylormorrison.com/" TargetMode="External"/><Relationship Id="rId10621" Type="http://schemas.openxmlformats.org/officeDocument/2006/relationships/hyperlink" Target="https://www.teachengineering.org/" TargetMode="External"/><Relationship Id="rId12793" Type="http://schemas.openxmlformats.org/officeDocument/2006/relationships/hyperlink" Target="https://propertypressonline.co.uk/" TargetMode="External"/><Relationship Id="rId13844" Type="http://schemas.openxmlformats.org/officeDocument/2006/relationships/hyperlink" Target="https://aqglassshowerdoorsphoenix.com/" TargetMode="External"/><Relationship Id="rId2852" Type="http://schemas.openxmlformats.org/officeDocument/2006/relationships/hyperlink" Target="https://naplesgolfguy.com/new-greyhawk-home-for-sale/" TargetMode="External"/><Relationship Id="rId3903" Type="http://schemas.openxmlformats.org/officeDocument/2006/relationships/hyperlink" Target="https://www.simpleshowing.com/" TargetMode="External"/><Relationship Id="rId9465" Type="http://schemas.openxmlformats.org/officeDocument/2006/relationships/hyperlink" Target="https://www.pinoyeplans.com/" TargetMode="External"/><Relationship Id="rId11395" Type="http://schemas.openxmlformats.org/officeDocument/2006/relationships/hyperlink" Target="https://www.merchantcircle.com/oh-cleveland/real-estate/other-real-estate" TargetMode="External"/><Relationship Id="rId12446" Type="http://schemas.openxmlformats.org/officeDocument/2006/relationships/hyperlink" Target="https://www.diyinvestor.net/demand-for-student-accommodation-office-space-and-retail-development-fuels-uks-commercial-property-revival/" TargetMode="External"/><Relationship Id="rId824" Type="http://schemas.openxmlformats.org/officeDocument/2006/relationships/hyperlink" Target="https://www.simpleshowing.com/" TargetMode="External"/><Relationship Id="rId1454" Type="http://schemas.openxmlformats.org/officeDocument/2006/relationships/hyperlink" Target="https://4.bing.com/images/search?q=Window+Minimize+Shortcut+Key&amp;qft=&amp;FORM=IRMHTS" TargetMode="External"/><Relationship Id="rId2505" Type="http://schemas.openxmlformats.org/officeDocument/2006/relationships/hyperlink" Target="https://www.simpleshowing.com/" TargetMode="External"/><Relationship Id="rId8067" Type="http://schemas.openxmlformats.org/officeDocument/2006/relationships/hyperlink" Target="https://johnsonrestoration.net/" TargetMode="External"/><Relationship Id="rId9118" Type="http://schemas.openxmlformats.org/officeDocument/2006/relationships/hyperlink" Target="https://nycestimating.us/" TargetMode="External"/><Relationship Id="rId11048" Type="http://schemas.openxmlformats.org/officeDocument/2006/relationships/hyperlink" Target="https://www.jerseyyards.org/certification-program/school-program/get-certified/how-to-creek/recycle/" TargetMode="External"/><Relationship Id="rId15669" Type="http://schemas.openxmlformats.org/officeDocument/2006/relationships/hyperlink" Target="https://www.inkl.com/news/best-furniture-deals-for-black-friday-2023-sofas-dining-tables-and-more" TargetMode="External"/><Relationship Id="rId1107" Type="http://schemas.openxmlformats.org/officeDocument/2006/relationships/hyperlink" Target="https://www.simpleshowing.com/" TargetMode="External"/><Relationship Id="rId4677" Type="http://schemas.openxmlformats.org/officeDocument/2006/relationships/hyperlink" Target="https://www.kcrg.com/2024/05/27/high-school-seniors-can-now-get-real-estate-license-free-this-state/" TargetMode="External"/><Relationship Id="rId5728" Type="http://schemas.openxmlformats.org/officeDocument/2006/relationships/hyperlink" Target="https://www.simpleshowing.com/" TargetMode="External"/><Relationship Id="rId3279" Type="http://schemas.openxmlformats.org/officeDocument/2006/relationships/hyperlink" Target="https://www.simpleshowing.com/" TargetMode="External"/><Relationship Id="rId7150" Type="http://schemas.openxmlformats.org/officeDocument/2006/relationships/hyperlink" Target="https://www.simpleshowing.com/" TargetMode="External"/><Relationship Id="rId8201" Type="http://schemas.openxmlformats.org/officeDocument/2006/relationships/hyperlink" Target="https://www.pinoyeplans.com/" TargetMode="External"/><Relationship Id="rId10131" Type="http://schemas.openxmlformats.org/officeDocument/2006/relationships/hyperlink" Target="https://www.pinoyeplans.com/" TargetMode="External"/><Relationship Id="rId14752" Type="http://schemas.openxmlformats.org/officeDocument/2006/relationships/hyperlink" Target="https://myinteriorpalace.com/" TargetMode="External"/><Relationship Id="rId15803" Type="http://schemas.openxmlformats.org/officeDocument/2006/relationships/hyperlink" Target="https://www.modinex.com.au/" TargetMode="External"/><Relationship Id="rId3760" Type="http://schemas.openxmlformats.org/officeDocument/2006/relationships/hyperlink" Target="https://www.overheaddoors.com/" TargetMode="External"/><Relationship Id="rId4811" Type="http://schemas.openxmlformats.org/officeDocument/2006/relationships/hyperlink" Target="https://www.kapre.com/" TargetMode="External"/><Relationship Id="rId13354" Type="http://schemas.openxmlformats.org/officeDocument/2006/relationships/hyperlink" Target="https://myinteriorpalace.com/" TargetMode="External"/><Relationship Id="rId14405" Type="http://schemas.openxmlformats.org/officeDocument/2006/relationships/hyperlink" Target="https://luxurylifestyle.com/" TargetMode="External"/><Relationship Id="rId681" Type="http://schemas.openxmlformats.org/officeDocument/2006/relationships/hyperlink" Target="https://www.carolinadesigns.com/" TargetMode="External"/><Relationship Id="rId2362" Type="http://schemas.openxmlformats.org/officeDocument/2006/relationships/hyperlink" Target="https://www.pulte.com/" TargetMode="External"/><Relationship Id="rId3413" Type="http://schemas.openxmlformats.org/officeDocument/2006/relationships/hyperlink" Target="https://real.vision/castleton" TargetMode="External"/><Relationship Id="rId6983" Type="http://schemas.openxmlformats.org/officeDocument/2006/relationships/hyperlink" Target="https://www.taylormorrison.com/" TargetMode="External"/><Relationship Id="rId13007" Type="http://schemas.openxmlformats.org/officeDocument/2006/relationships/hyperlink" Target="https://www.shma.co.uk/" TargetMode="External"/><Relationship Id="rId334" Type="http://schemas.openxmlformats.org/officeDocument/2006/relationships/hyperlink" Target="https://www.ecosmartinc.com/7-best-green-building-materials-for-your-home/" TargetMode="External"/><Relationship Id="rId2015" Type="http://schemas.openxmlformats.org/officeDocument/2006/relationships/hyperlink" Target="https://www.businessparkzone.com/why-atlantas-housing-market-should-be-on-every-business-investors-radar/" TargetMode="External"/><Relationship Id="rId5585" Type="http://schemas.openxmlformats.org/officeDocument/2006/relationships/hyperlink" Target="https://www.alidrop.co/blogs/how-to-earn-from-home-ultimate-guide-to-online-side-hustles" TargetMode="External"/><Relationship Id="rId6636" Type="http://schemas.openxmlformats.org/officeDocument/2006/relationships/hyperlink" Target="https://www.pmmag.com/articles/89472-thermasol-introduces-pocket-bike-promotion" TargetMode="External"/><Relationship Id="rId15179" Type="http://schemas.openxmlformats.org/officeDocument/2006/relationships/hyperlink" Target="https://www.luxdeco.com/" TargetMode="External"/><Relationship Id="rId4187" Type="http://schemas.openxmlformats.org/officeDocument/2006/relationships/hyperlink" Target="https://www.kapre.com/" TargetMode="External"/><Relationship Id="rId5238" Type="http://schemas.openxmlformats.org/officeDocument/2006/relationships/hyperlink" Target="https://www.simpleshowing.com/" TargetMode="External"/><Relationship Id="rId9859" Type="http://schemas.openxmlformats.org/officeDocument/2006/relationships/hyperlink" Target="https://www.teachengineering.org/" TargetMode="External"/><Relationship Id="rId11789" Type="http://schemas.openxmlformats.org/officeDocument/2006/relationships/hyperlink" Target="https://www.britain-visitor.com/london/city-of-westminster" TargetMode="External"/><Relationship Id="rId14262" Type="http://schemas.openxmlformats.org/officeDocument/2006/relationships/hyperlink" Target="https://myinteriorpalace.com/luxury-lofts-invisible-solar-integrating-facade-mounted-panels-into-nyc-high-rise-interiors/" TargetMode="External"/><Relationship Id="rId15660" Type="http://schemas.openxmlformats.org/officeDocument/2006/relationships/hyperlink" Target="https://www.thesun.ie/tv/10092273/molly-mae-instagram-bedside-table-mansion/" TargetMode="External"/><Relationship Id="rId1848" Type="http://schemas.openxmlformats.org/officeDocument/2006/relationships/hyperlink" Target="https://www.simpleshowing.com/" TargetMode="External"/><Relationship Id="rId3270" Type="http://schemas.openxmlformats.org/officeDocument/2006/relationships/hyperlink" Target="https://www.simpleshowing.com/" TargetMode="External"/><Relationship Id="rId4321" Type="http://schemas.openxmlformats.org/officeDocument/2006/relationships/hyperlink" Target="https://www.simpleshowing.com/" TargetMode="External"/><Relationship Id="rId15313" Type="http://schemas.openxmlformats.org/officeDocument/2006/relationships/hyperlink" Target="https://myinteriorpalace.com/" TargetMode="External"/><Relationship Id="rId191" Type="http://schemas.openxmlformats.org/officeDocument/2006/relationships/hyperlink" Target="https://www.thepropertytribune.com.au/" TargetMode="External"/><Relationship Id="rId7891" Type="http://schemas.openxmlformats.org/officeDocument/2006/relationships/hyperlink" Target="https://www.ceo-review.com/winners/trust-roofing-2/" TargetMode="External"/><Relationship Id="rId8942" Type="http://schemas.openxmlformats.org/officeDocument/2006/relationships/hyperlink" Target="https://techimaging.co.uk/mastering-the-art-of-construction-estimation-tips-and-best-practices/" TargetMode="External"/><Relationship Id="rId10872" Type="http://schemas.openxmlformats.org/officeDocument/2006/relationships/hyperlink" Target="https://www.pinoyeplans.com/" TargetMode="External"/><Relationship Id="rId11923" Type="http://schemas.openxmlformats.org/officeDocument/2006/relationships/hyperlink" Target="https://www.bobvila.com/" TargetMode="External"/><Relationship Id="rId5095" Type="http://schemas.openxmlformats.org/officeDocument/2006/relationships/hyperlink" Target="https://www.deadlinefunnel.com/blog/passive-income-from-blog" TargetMode="External"/><Relationship Id="rId6493" Type="http://schemas.openxmlformats.org/officeDocument/2006/relationships/hyperlink" Target="https://www.thermasol.com/" TargetMode="External"/><Relationship Id="rId7544" Type="http://schemas.openxmlformats.org/officeDocument/2006/relationships/hyperlink" Target="https://www.taylormorrison.com/" TargetMode="External"/><Relationship Id="rId10525" Type="http://schemas.openxmlformats.org/officeDocument/2006/relationships/hyperlink" Target="https://www.teachengineering.org/" TargetMode="External"/><Relationship Id="rId16087" Type="http://schemas.openxmlformats.org/officeDocument/2006/relationships/hyperlink" Target="https://myinteriorpalace.com/" TargetMode="External"/><Relationship Id="rId6146" Type="http://schemas.openxmlformats.org/officeDocument/2006/relationships/hyperlink" Target="https://www.simpleshowing.com/" TargetMode="External"/><Relationship Id="rId12697" Type="http://schemas.openxmlformats.org/officeDocument/2006/relationships/hyperlink" Target="https://propertypressonline.co.uk/" TargetMode="External"/><Relationship Id="rId13748" Type="http://schemas.openxmlformats.org/officeDocument/2006/relationships/hyperlink" Target="https://anationofmoms.com/" TargetMode="External"/><Relationship Id="rId2756" Type="http://schemas.openxmlformats.org/officeDocument/2006/relationships/hyperlink" Target="https://www.news5cleveland.com/news/local-news/heres-a-comprehensive-look-at-everything-in-the-works-at-the-old-geauga-lake-property" TargetMode="External"/><Relationship Id="rId3807" Type="http://schemas.openxmlformats.org/officeDocument/2006/relationships/hyperlink" Target="https://www.simpleshowing.com/" TargetMode="External"/><Relationship Id="rId9369" Type="http://schemas.openxmlformats.org/officeDocument/2006/relationships/hyperlink" Target="https://www.pinoyeplans.com/" TargetMode="External"/><Relationship Id="rId11299" Type="http://schemas.openxmlformats.org/officeDocument/2006/relationships/hyperlink" Target="https://www.hamiltoninternationalestates.com/" TargetMode="External"/><Relationship Id="rId15170" Type="http://schemas.openxmlformats.org/officeDocument/2006/relationships/hyperlink" Target="https://www.luxdeco.com/" TargetMode="External"/><Relationship Id="rId16221" Type="http://schemas.openxmlformats.org/officeDocument/2006/relationships/hyperlink" Target="https://blog.bay-bee.co.uk/5-key-advantages-of-choosing-carpet-for-your-flooring/" TargetMode="External"/><Relationship Id="rId728" Type="http://schemas.openxmlformats.org/officeDocument/2006/relationships/hyperlink" Target="https://www.simpleshowing.com/" TargetMode="External"/><Relationship Id="rId1358" Type="http://schemas.openxmlformats.org/officeDocument/2006/relationships/hyperlink" Target="https://gisuser.com/2023/06/real-estate-website-development-must-have-features-costs-and-timeframes/" TargetMode="External"/><Relationship Id="rId2409" Type="http://schemas.openxmlformats.org/officeDocument/2006/relationships/hyperlink" Target="https://www.simpleshowing.com/" TargetMode="External"/><Relationship Id="rId5979" Type="http://schemas.openxmlformats.org/officeDocument/2006/relationships/hyperlink" Target="https://calbizjournal.com/embracing-responsible-credit-habits/" TargetMode="External"/><Relationship Id="rId64" Type="http://schemas.openxmlformats.org/officeDocument/2006/relationships/hyperlink" Target="http://www.ges2016.org/" TargetMode="External"/><Relationship Id="rId8452" Type="http://schemas.openxmlformats.org/officeDocument/2006/relationships/hyperlink" Target="https://addmagazine.co.uk/global-sales-reach-selling-commercial-real-estate-to-international-buyers-through-remote-3d-walkthroughs/" TargetMode="External"/><Relationship Id="rId9503" Type="http://schemas.openxmlformats.org/officeDocument/2006/relationships/hyperlink" Target="https://www.smithsonianmag.com/innovation/seven-scientific-discoveries-from-2022-that-may-lead-to-new-inventions-180981358/" TargetMode="External"/><Relationship Id="rId9850" Type="http://schemas.openxmlformats.org/officeDocument/2006/relationships/hyperlink" Target="https://www.teachengineering.org/" TargetMode="External"/><Relationship Id="rId11780" Type="http://schemas.openxmlformats.org/officeDocument/2006/relationships/hyperlink" Target="https://www.southwalesargus.co.uk/news/17354633.gwent-one-lowest-burglary-figures-uk-say-new-police-stats/" TargetMode="External"/><Relationship Id="rId12831" Type="http://schemas.openxmlformats.org/officeDocument/2006/relationships/hyperlink" Target="https://smallbusiness.co.uk/small-firms-win-pay-outs-in-covid-business-interruption-insurance-ruling-2551987/" TargetMode="External"/><Relationship Id="rId7054" Type="http://schemas.openxmlformats.org/officeDocument/2006/relationships/hyperlink" Target="https://www.simpleshowing.com/" TargetMode="External"/><Relationship Id="rId8105" Type="http://schemas.openxmlformats.org/officeDocument/2006/relationships/hyperlink" Target="https://www.pinoyeplans.com/" TargetMode="External"/><Relationship Id="rId10382" Type="http://schemas.openxmlformats.org/officeDocument/2006/relationships/hyperlink" Target="https://www.computer.org/csdl/proceedings-article/hicss/2007/27550073b/12OmNzuIjlo" TargetMode="External"/><Relationship Id="rId11433" Type="http://schemas.openxmlformats.org/officeDocument/2006/relationships/hyperlink" Target="http://webuyhouses.com/" TargetMode="External"/><Relationship Id="rId10035" Type="http://schemas.openxmlformats.org/officeDocument/2006/relationships/hyperlink" Target="https://www.pinoyeplans.com/" TargetMode="External"/><Relationship Id="rId14656" Type="http://schemas.openxmlformats.org/officeDocument/2006/relationships/hyperlink" Target="https://myinteriorpalace.com/" TargetMode="External"/><Relationship Id="rId15707" Type="http://schemas.openxmlformats.org/officeDocument/2006/relationships/hyperlink" Target="https://www.modinex.com.au/" TargetMode="External"/><Relationship Id="rId3664" Type="http://schemas.openxmlformats.org/officeDocument/2006/relationships/hyperlink" Target="https://www.overheaddoors.com/" TargetMode="External"/><Relationship Id="rId4715" Type="http://schemas.openxmlformats.org/officeDocument/2006/relationships/hyperlink" Target="https://www.kapre.com/" TargetMode="External"/><Relationship Id="rId13258" Type="http://schemas.openxmlformats.org/officeDocument/2006/relationships/hyperlink" Target="https://propertypressonline.co.uk/" TargetMode="External"/><Relationship Id="rId14309" Type="http://schemas.openxmlformats.org/officeDocument/2006/relationships/hyperlink" Target="https://luxurylifestyle.com/" TargetMode="External"/><Relationship Id="rId585" Type="http://schemas.openxmlformats.org/officeDocument/2006/relationships/hyperlink" Target="https://www.carolinadesigns.com/" TargetMode="External"/><Relationship Id="rId2266" Type="http://schemas.openxmlformats.org/officeDocument/2006/relationships/hyperlink" Target="https://www.collectionforsyth.com/" TargetMode="External"/><Relationship Id="rId3317" Type="http://schemas.openxmlformats.org/officeDocument/2006/relationships/hyperlink" Target="https://www.fortmyersbeachtalk.com/sports/local-sports-recreation/2025/02/del-webb-naples-to-host-second-annual-winterfest-open-pickleball-tournament-feb-15-16/" TargetMode="External"/><Relationship Id="rId6887" Type="http://schemas.openxmlformats.org/officeDocument/2006/relationships/hyperlink" Target="https://www.riverstone.com/virtualtour" TargetMode="External"/><Relationship Id="rId7938" Type="http://schemas.openxmlformats.org/officeDocument/2006/relationships/hyperlink" Target="https://certifiedrestorationinc.com/" TargetMode="External"/><Relationship Id="rId238" Type="http://schemas.openxmlformats.org/officeDocument/2006/relationships/hyperlink" Target="https://www.decasacollections.com/differences-between-old-homes-and-new-builds/" TargetMode="External"/><Relationship Id="rId5489" Type="http://schemas.openxmlformats.org/officeDocument/2006/relationships/hyperlink" Target="https://southfloridareporter.com/how-debt-in-collections-affects-your-credit/" TargetMode="External"/><Relationship Id="rId9360" Type="http://schemas.openxmlformats.org/officeDocument/2006/relationships/hyperlink" Target="https://www.pinoyeplans.com/" TargetMode="External"/><Relationship Id="rId10919" Type="http://schemas.openxmlformats.org/officeDocument/2006/relationships/hyperlink" Target="http://www.profharwood.x10host.com/NSCI101/Reading.htm" TargetMode="External"/><Relationship Id="rId11290" Type="http://schemas.openxmlformats.org/officeDocument/2006/relationships/hyperlink" Target="https://www.pinoyeplans.com/" TargetMode="External"/><Relationship Id="rId12341" Type="http://schemas.openxmlformats.org/officeDocument/2006/relationships/hyperlink" Target="https://waterbear.org.uk/brighton/accommodation/" TargetMode="External"/><Relationship Id="rId2400" Type="http://schemas.openxmlformats.org/officeDocument/2006/relationships/hyperlink" Target="https://www.simpleshowing.com/" TargetMode="External"/><Relationship Id="rId9013" Type="http://schemas.openxmlformats.org/officeDocument/2006/relationships/hyperlink" Target="https://nycestimating.us/" TargetMode="External"/><Relationship Id="rId1002" Type="http://schemas.openxmlformats.org/officeDocument/2006/relationships/hyperlink" Target="https://www.simpleshowing.com/" TargetMode="External"/><Relationship Id="rId5970" Type="http://schemas.openxmlformats.org/officeDocument/2006/relationships/hyperlink" Target="https://www.simpleshowing.com/" TargetMode="External"/><Relationship Id="rId15564" Type="http://schemas.openxmlformats.org/officeDocument/2006/relationships/hyperlink" Target="https://plushandoak.gorgias.help/en-US/performaboucle-material-guide-418681" TargetMode="External"/><Relationship Id="rId3174" Type="http://schemas.openxmlformats.org/officeDocument/2006/relationships/hyperlink" Target="https://www.simpleshowing.com/" TargetMode="External"/><Relationship Id="rId4572" Type="http://schemas.openxmlformats.org/officeDocument/2006/relationships/hyperlink" Target="https://www.ksnblocal4.com/2024/05/27/high-school-seniors-can-now-get-real-estate-license-free-this-state/" TargetMode="External"/><Relationship Id="rId5623" Type="http://schemas.openxmlformats.org/officeDocument/2006/relationships/hyperlink" Target="https://www.memtime.com/blog/creating-a-work-from-home-routine" TargetMode="External"/><Relationship Id="rId14166" Type="http://schemas.openxmlformats.org/officeDocument/2006/relationships/hyperlink" Target="https://fip.unj.ac.id/pls/stadium-general-pendidikan-masyarakat-pembelajar-sepanjang-hayat-sebagai-pilar-pemberdayaan-ekologi/" TargetMode="External"/><Relationship Id="rId15217" Type="http://schemas.openxmlformats.org/officeDocument/2006/relationships/hyperlink" Target="https://myinteriorpalace.com/" TargetMode="External"/><Relationship Id="rId4225" Type="http://schemas.openxmlformats.org/officeDocument/2006/relationships/hyperlink" Target="https://www.simpleshowing.com/" TargetMode="External"/><Relationship Id="rId7795" Type="http://schemas.openxmlformats.org/officeDocument/2006/relationships/hyperlink" Target="https://www.bizarrecoffee.com/blogs/news/15-ways-to-celebrate-dad-this-fathers-day" TargetMode="External"/><Relationship Id="rId8846" Type="http://schemas.openxmlformats.org/officeDocument/2006/relationships/hyperlink" Target="https://www.socosy.co.uk/our-blog/support-sustainability-at-home/" TargetMode="External"/><Relationship Id="rId10776" Type="http://schemas.openxmlformats.org/officeDocument/2006/relationships/hyperlink" Target="https://www.pinoyeplans.com/" TargetMode="External"/><Relationship Id="rId11827" Type="http://schemas.openxmlformats.org/officeDocument/2006/relationships/hyperlink" Target="https://sellhousefast.uk/" TargetMode="External"/><Relationship Id="rId6397" Type="http://schemas.openxmlformats.org/officeDocument/2006/relationships/hyperlink" Target="https://www.spocket.co/blogs/is-amone-legit" TargetMode="External"/><Relationship Id="rId7448" Type="http://schemas.openxmlformats.org/officeDocument/2006/relationships/hyperlink" Target="https://www.taylormorrison.com/" TargetMode="External"/><Relationship Id="rId10429" Type="http://schemas.openxmlformats.org/officeDocument/2006/relationships/hyperlink" Target="https://www.teachengineering.org/" TargetMode="External"/><Relationship Id="rId14300" Type="http://schemas.openxmlformats.org/officeDocument/2006/relationships/hyperlink" Target="https://luxurylifestyle.com/" TargetMode="External"/><Relationship Id="rId13999" Type="http://schemas.openxmlformats.org/officeDocument/2006/relationships/hyperlink" Target="https://myinteriorpalace.com/" TargetMode="External"/><Relationship Id="rId979" Type="http://schemas.openxmlformats.org/officeDocument/2006/relationships/hyperlink" Target="https://www.matrixbasements.com/" TargetMode="External"/><Relationship Id="rId5480" Type="http://schemas.openxmlformats.org/officeDocument/2006/relationships/hyperlink" Target="https://www.simpleshowing.com/" TargetMode="External"/><Relationship Id="rId6531" Type="http://schemas.openxmlformats.org/officeDocument/2006/relationships/hyperlink" Target="https://www.saunaplace.com/blogs/blogs/thermasol-controllers-revolutionizing-the-steam-and-shower-experience" TargetMode="External"/><Relationship Id="rId10910" Type="http://schemas.openxmlformats.org/officeDocument/2006/relationships/hyperlink" Target="https://so02.tci-thaijo.org/index.php/EDUCU/article/view/266284" TargetMode="External"/><Relationship Id="rId15074" Type="http://schemas.openxmlformats.org/officeDocument/2006/relationships/hyperlink" Target="https://www.luxdeco.com/" TargetMode="External"/><Relationship Id="rId16125" Type="http://schemas.openxmlformats.org/officeDocument/2006/relationships/hyperlink" Target="https://housekeep.com/cost-guide/cleaner/carpet-cleaning/" TargetMode="External"/><Relationship Id="rId4082" Type="http://schemas.openxmlformats.org/officeDocument/2006/relationships/hyperlink" Target="https://moneyzine.com/careers/jobs-that-pay-200k-a-year-without-a-degree/" TargetMode="External"/><Relationship Id="rId5133" Type="http://schemas.openxmlformats.org/officeDocument/2006/relationships/hyperlink" Target="https://www.designhill.com/design-blog/how-to-start-a-mobile-business-a-handy-guide/" TargetMode="External"/><Relationship Id="rId9754" Type="http://schemas.openxmlformats.org/officeDocument/2006/relationships/hyperlink" Target="https://www.teachengineering.org/" TargetMode="External"/><Relationship Id="rId11684" Type="http://schemas.openxmlformats.org/officeDocument/2006/relationships/hyperlink" Target="https://www.heart.co.uk/lifestyle/painting-front-door-blue-add-thousands-house/" TargetMode="External"/><Relationship Id="rId12735" Type="http://schemas.openxmlformats.org/officeDocument/2006/relationships/hyperlink" Target="https://www.freecodecamp.org/news/generative-ai-handbook/" TargetMode="External"/><Relationship Id="rId1743" Type="http://schemas.openxmlformats.org/officeDocument/2006/relationships/hyperlink" Target="https://www.simpleshowing.com/" TargetMode="External"/><Relationship Id="rId8009" Type="http://schemas.openxmlformats.org/officeDocument/2006/relationships/hyperlink" Target="https://www.pinoyeplans.com/" TargetMode="External"/><Relationship Id="rId8356" Type="http://schemas.openxmlformats.org/officeDocument/2006/relationships/hyperlink" Target="https://www.financialstandard.com.au/little_black_book/investment-managers-8358629?letter=A&amp;page=7" TargetMode="External"/><Relationship Id="rId9407" Type="http://schemas.openxmlformats.org/officeDocument/2006/relationships/hyperlink" Target="https://blog.definedlearning.com/blog/teaching-stem-the-dilemma" TargetMode="External"/><Relationship Id="rId10286" Type="http://schemas.openxmlformats.org/officeDocument/2006/relationships/hyperlink" Target="https://www.privateschoolreview.com/blog/the-value-of-stem-programs" TargetMode="External"/><Relationship Id="rId11337" Type="http://schemas.openxmlformats.org/officeDocument/2006/relationships/hyperlink" Target="https://newagainhouses.com/blog/sell-your-house-fast-for-cash" TargetMode="External"/><Relationship Id="rId15958" Type="http://schemas.openxmlformats.org/officeDocument/2006/relationships/hyperlink" Target="https://myinteriorpalace.com/" TargetMode="External"/><Relationship Id="rId4966" Type="http://schemas.openxmlformats.org/officeDocument/2006/relationships/hyperlink" Target="https://www.simpleshowing.com/" TargetMode="External"/><Relationship Id="rId3568" Type="http://schemas.openxmlformats.org/officeDocument/2006/relationships/hyperlink" Target="https://www.pulte.com/" TargetMode="External"/><Relationship Id="rId4619" Type="http://schemas.openxmlformats.org/officeDocument/2006/relationships/hyperlink" Target="https://www.kapre.com/" TargetMode="External"/><Relationship Id="rId10420" Type="http://schemas.openxmlformats.org/officeDocument/2006/relationships/hyperlink" Target="https://www.teachengineering.org/" TargetMode="External"/><Relationship Id="rId489" Type="http://schemas.openxmlformats.org/officeDocument/2006/relationships/hyperlink" Target="https://www.carolinadesigns.com/" TargetMode="External"/><Relationship Id="rId6041" Type="http://schemas.openxmlformats.org/officeDocument/2006/relationships/hyperlink" Target="https://cocobutterblog.co.uk/exploring-educational-benefits-of-adventure-travel-for-college-students/" TargetMode="External"/><Relationship Id="rId13990" Type="http://schemas.openxmlformats.org/officeDocument/2006/relationships/hyperlink" Target="https://myinteriorpalace.com/" TargetMode="External"/><Relationship Id="rId9264" Type="http://schemas.openxmlformats.org/officeDocument/2006/relationships/hyperlink" Target="https://www.pinoyeplans.com/" TargetMode="External"/><Relationship Id="rId12592" Type="http://schemas.openxmlformats.org/officeDocument/2006/relationships/hyperlink" Target="https://propertypressonline.co.uk/" TargetMode="External"/><Relationship Id="rId13643" Type="http://schemas.openxmlformats.org/officeDocument/2006/relationships/hyperlink" Target="https://anationofmoms.com/" TargetMode="External"/><Relationship Id="rId970" Type="http://schemas.openxmlformats.org/officeDocument/2006/relationships/hyperlink" Target="https://www.matrixbasements.com/" TargetMode="External"/><Relationship Id="rId1253" Type="http://schemas.openxmlformats.org/officeDocument/2006/relationships/hyperlink" Target="https://www.thestudentroom.co.uk/showthread.php?t=6598736" TargetMode="External"/><Relationship Id="rId2651" Type="http://schemas.openxmlformats.org/officeDocument/2006/relationships/hyperlink" Target="https://www.paradeofhomes.org/entries/96ef54d9-b749-42e6-803b-1d2397d57d29-pulte-homes-of-minnesota-llc" TargetMode="External"/><Relationship Id="rId3702" Type="http://schemas.openxmlformats.org/officeDocument/2006/relationships/hyperlink" Target="https://www.simpleshowing.com/" TargetMode="External"/><Relationship Id="rId11194" Type="http://schemas.openxmlformats.org/officeDocument/2006/relationships/hyperlink" Target="https://fancyhouse-design.com/blog/expert-insights-into-water-damage-restoration/" TargetMode="External"/><Relationship Id="rId12245" Type="http://schemas.openxmlformats.org/officeDocument/2006/relationships/hyperlink" Target="https://www.yorkshirepost.co.uk/business/marrons-launches-leeds-office-as-northern-growth-accelerates-5253266" TargetMode="External"/><Relationship Id="rId623" Type="http://schemas.openxmlformats.org/officeDocument/2006/relationships/hyperlink" Target="https://www.simpleshowing.com/" TargetMode="External"/><Relationship Id="rId2304" Type="http://schemas.openxmlformats.org/officeDocument/2006/relationships/hyperlink" Target="https://www.simpleshowing.com/" TargetMode="External"/><Relationship Id="rId5874" Type="http://schemas.openxmlformats.org/officeDocument/2006/relationships/hyperlink" Target="https://www.simpleshowing.com/" TargetMode="External"/><Relationship Id="rId6925" Type="http://schemas.openxmlformats.org/officeDocument/2006/relationships/hyperlink" Target="https://www.simpleshowing.com/" TargetMode="External"/><Relationship Id="rId15468" Type="http://schemas.openxmlformats.org/officeDocument/2006/relationships/hyperlink" Target="https://thesportshouse.net/aaron-rodgers-not-pleased-after-christian-watson-drops-easy-touchdown-pass/" TargetMode="External"/><Relationship Id="rId4476" Type="http://schemas.openxmlformats.org/officeDocument/2006/relationships/hyperlink" Target="https://www.wsaz.com/2024/05/27/high-school-seniors-can-now-get-real-estate-license-free-this-state/" TargetMode="External"/><Relationship Id="rId5527" Type="http://schemas.openxmlformats.org/officeDocument/2006/relationships/hyperlink" Target="https://growthfolks.io/hr/employer-branding/" TargetMode="External"/><Relationship Id="rId3078" Type="http://schemas.openxmlformats.org/officeDocument/2006/relationships/hyperlink" Target="https://www.simpleshowing.com/" TargetMode="External"/><Relationship Id="rId4129" Type="http://schemas.openxmlformats.org/officeDocument/2006/relationships/hyperlink" Target="https://www.simpleshowing.com/" TargetMode="External"/><Relationship Id="rId7699" Type="http://schemas.openxmlformats.org/officeDocument/2006/relationships/hyperlink" Target="https://www.simpleshowing.com/" TargetMode="External"/><Relationship Id="rId8000" Type="http://schemas.openxmlformats.org/officeDocument/2006/relationships/hyperlink" Target="https://www.pinoyeplans.com/" TargetMode="External"/><Relationship Id="rId14551" Type="http://schemas.openxmlformats.org/officeDocument/2006/relationships/hyperlink" Target="https://myinteriorpalace.com/" TargetMode="External"/><Relationship Id="rId4610" Type="http://schemas.openxmlformats.org/officeDocument/2006/relationships/hyperlink" Target="https://www.kapre.com/" TargetMode="External"/><Relationship Id="rId13153" Type="http://schemas.openxmlformats.org/officeDocument/2006/relationships/hyperlink" Target="https://propertypressonline.co.uk/" TargetMode="External"/><Relationship Id="rId14204" Type="http://schemas.openxmlformats.org/officeDocument/2006/relationships/hyperlink" Target="https://luxurylifestyle.com/" TargetMode="External"/><Relationship Id="rId15602" Type="http://schemas.openxmlformats.org/officeDocument/2006/relationships/hyperlink" Target="https://www.luxdeco.com/" TargetMode="External"/><Relationship Id="rId480" Type="http://schemas.openxmlformats.org/officeDocument/2006/relationships/hyperlink" Target="https://www.carolinadesigns.com/" TargetMode="External"/><Relationship Id="rId2161" Type="http://schemas.openxmlformats.org/officeDocument/2006/relationships/hyperlink" Target="https://markspain.com/" TargetMode="External"/><Relationship Id="rId3212" Type="http://schemas.openxmlformats.org/officeDocument/2006/relationships/hyperlink" Target="https://www.dailytrib.com/2020/01/23/home-pre-sales-at-gregg-ranch-to-begin-this-year/" TargetMode="External"/><Relationship Id="rId133" Type="http://schemas.openxmlformats.org/officeDocument/2006/relationships/hyperlink" Target="https://www.islandfreepress.org/" TargetMode="External"/><Relationship Id="rId5384" Type="http://schemas.openxmlformats.org/officeDocument/2006/relationships/hyperlink" Target="https://www.simpleshowing.com/" TargetMode="External"/><Relationship Id="rId6782" Type="http://schemas.openxmlformats.org/officeDocument/2006/relationships/hyperlink" Target="https://karencannon.com/listings/fmls-7597485-625-skytop-drive-cumming-ga-30040/" TargetMode="External"/><Relationship Id="rId7833" Type="http://schemas.openxmlformats.org/officeDocument/2006/relationships/hyperlink" Target="https://discoverlakelanier.com/" TargetMode="External"/><Relationship Id="rId10814" Type="http://schemas.openxmlformats.org/officeDocument/2006/relationships/hyperlink" Target="https://www.bildungsserver.de/elixier/elixier_details.php?id=1dd2adb0d271db668d4f518cb2928c9b" TargetMode="External"/><Relationship Id="rId5037" Type="http://schemas.openxmlformats.org/officeDocument/2006/relationships/hyperlink" Target="https://ecombalance.com/long-term-liabilities/" TargetMode="External"/><Relationship Id="rId6435" Type="http://schemas.openxmlformats.org/officeDocument/2006/relationships/hyperlink" Target="https://www.dezeen.com/2025/05/05/thermasol-off-grid-solar-powered-sauna/" TargetMode="External"/><Relationship Id="rId12986" Type="http://schemas.openxmlformats.org/officeDocument/2006/relationships/hyperlink" Target="https://www.shma.co.uk/" TargetMode="External"/><Relationship Id="rId16029" Type="http://schemas.openxmlformats.org/officeDocument/2006/relationships/hyperlink" Target="https://www.bloglovin.com/blogs/a-house-in-hills-12110977/how-to-choose-modern-garage-doors-for-perfect-8735182595" TargetMode="External"/><Relationship Id="rId1994" Type="http://schemas.openxmlformats.org/officeDocument/2006/relationships/hyperlink" Target="https://smallbusinesshouse.com/what-small-business-owners-should-know-about-selling-property-quickly-in-florida/" TargetMode="External"/><Relationship Id="rId9658" Type="http://schemas.openxmlformats.org/officeDocument/2006/relationships/hyperlink" Target="https://www.teachengineering.org/" TargetMode="External"/><Relationship Id="rId11588" Type="http://schemas.openxmlformats.org/officeDocument/2006/relationships/hyperlink" Target="https://www.moneymagpie.com/manage-your-money/alternatives-to-estate-agents-arise-amidst-a-competitive-property-market-in-2025" TargetMode="External"/><Relationship Id="rId12639" Type="http://schemas.openxmlformats.org/officeDocument/2006/relationships/hyperlink" Target="https://www.finance-monthly.com/2017/07/your-thoughts-are-immigration-concerns-damaging-the-global-economy/" TargetMode="External"/><Relationship Id="rId1647" Type="http://schemas.openxmlformats.org/officeDocument/2006/relationships/hyperlink" Target="https://www.simpleshowing.com/" TargetMode="External"/><Relationship Id="rId14061" Type="http://schemas.openxmlformats.org/officeDocument/2006/relationships/hyperlink" Target="https://azbigmedia.com/lifestyle/home-and-design/4-creative-ways-to-turn-your-backyard-into-a-social-hub-everyone-will-love/" TargetMode="External"/><Relationship Id="rId15112" Type="http://schemas.openxmlformats.org/officeDocument/2006/relationships/hyperlink" Target="https://myinteriorpalace.com/" TargetMode="External"/><Relationship Id="rId4120" Type="http://schemas.openxmlformats.org/officeDocument/2006/relationships/hyperlink" Target="https://www.kapre.com/" TargetMode="External"/><Relationship Id="rId7690" Type="http://schemas.openxmlformats.org/officeDocument/2006/relationships/hyperlink" Target="https://www.simpleshowing.com/" TargetMode="External"/><Relationship Id="rId8741" Type="http://schemas.openxmlformats.org/officeDocument/2006/relationships/hyperlink" Target="https://www.pinoyeplans.com/" TargetMode="External"/><Relationship Id="rId6292" Type="http://schemas.openxmlformats.org/officeDocument/2006/relationships/hyperlink" Target="https://www.simpleshowing.com/" TargetMode="External"/><Relationship Id="rId7343" Type="http://schemas.openxmlformats.org/officeDocument/2006/relationships/hyperlink" Target="https://www.simpleshowing.com/" TargetMode="External"/><Relationship Id="rId10671" Type="http://schemas.openxmlformats.org/officeDocument/2006/relationships/hyperlink" Target="https://www.pinoyeplans.com/" TargetMode="External"/><Relationship Id="rId11722" Type="http://schemas.openxmlformats.org/officeDocument/2006/relationships/hyperlink" Target="https://sellhousefast.uk/" TargetMode="External"/><Relationship Id="rId10324" Type="http://schemas.openxmlformats.org/officeDocument/2006/relationships/hyperlink" Target="https://www.teachengineering.org/" TargetMode="External"/><Relationship Id="rId13894" Type="http://schemas.openxmlformats.org/officeDocument/2006/relationships/hyperlink" Target="https://myinteriorpalace.com/" TargetMode="External"/><Relationship Id="rId14945" Type="http://schemas.openxmlformats.org/officeDocument/2006/relationships/hyperlink" Target="https://www.fluidplumbingservices.com.au/" TargetMode="External"/><Relationship Id="rId3953" Type="http://schemas.openxmlformats.org/officeDocument/2006/relationships/hyperlink" Target="https://www.ecomena.org/how-to-install-solar-panels-for-your-home-beginners-guide/" TargetMode="External"/><Relationship Id="rId9168" Type="http://schemas.openxmlformats.org/officeDocument/2006/relationships/hyperlink" Target="https://www.pinoyeplans.com/" TargetMode="External"/><Relationship Id="rId12496" Type="http://schemas.openxmlformats.org/officeDocument/2006/relationships/hyperlink" Target="https://sturents.com/" TargetMode="External"/><Relationship Id="rId13547" Type="http://schemas.openxmlformats.org/officeDocument/2006/relationships/hyperlink" Target="https://anationofmoms.com/" TargetMode="External"/><Relationship Id="rId874" Type="http://schemas.openxmlformats.org/officeDocument/2006/relationships/hyperlink" Target="https://www.absolutepestmgmt.com/" TargetMode="External"/><Relationship Id="rId2555" Type="http://schemas.openxmlformats.org/officeDocument/2006/relationships/hyperlink" Target="https://www.citybiz.co/article/502204/pultegroup-announces-greyhawk-landing-new-community-in-western-palm-beach-county/" TargetMode="External"/><Relationship Id="rId3606" Type="http://schemas.openxmlformats.org/officeDocument/2006/relationships/hyperlink" Target="https://www.simpleshowing.com/" TargetMode="External"/><Relationship Id="rId11098" Type="http://schemas.openxmlformats.org/officeDocument/2006/relationships/hyperlink" Target="https://www.teachengineering.org/" TargetMode="External"/><Relationship Id="rId12149" Type="http://schemas.openxmlformats.org/officeDocument/2006/relationships/hyperlink" Target="https://www.taskrabbit.com/blog/can-you-paint-bathroom-tiles/" TargetMode="External"/><Relationship Id="rId16020" Type="http://schemas.openxmlformats.org/officeDocument/2006/relationships/hyperlink" Target="https://northpennnow.com/news/2025/sep/15/how-to-maintain-traditional-style-garage-doors-for-longevity/" TargetMode="External"/><Relationship Id="rId527" Type="http://schemas.openxmlformats.org/officeDocument/2006/relationships/hyperlink" Target="https://www.simpleshowing.com/" TargetMode="External"/><Relationship Id="rId1157" Type="http://schemas.openxmlformats.org/officeDocument/2006/relationships/hyperlink" Target="https://directory.coldlytics.com/companies/matrixbasements" TargetMode="External"/><Relationship Id="rId2208" Type="http://schemas.openxmlformats.org/officeDocument/2006/relationships/hyperlink" Target="https://www.simpleshowing.com/" TargetMode="External"/><Relationship Id="rId5778" Type="http://schemas.openxmlformats.org/officeDocument/2006/relationships/hyperlink" Target="https://www.simpleshowing.com/" TargetMode="External"/><Relationship Id="rId6829" Type="http://schemas.openxmlformats.org/officeDocument/2006/relationships/hyperlink" Target="https://www.taylormorrison.com/" TargetMode="External"/><Relationship Id="rId12630" Type="http://schemas.openxmlformats.org/officeDocument/2006/relationships/hyperlink" Target="https://www.theguardian.com/business/live/2022/mar/17/bank-of-england-interest-rates-inflation-oil-markets-sterling-russia-bond-payments-business-live" TargetMode="External"/><Relationship Id="rId8251" Type="http://schemas.openxmlformats.org/officeDocument/2006/relationships/hyperlink" Target="https://forum.programosy.pl/spolszczenie-do-gry-cossacks-art-of-war-vp1274121.html-sid=2c6d4bbbd25188d8537bacef2d64d692" TargetMode="External"/><Relationship Id="rId9302" Type="http://schemas.openxmlformats.org/officeDocument/2006/relationships/hyperlink" Target="https://www.wikihow.com/Magnetize-Metal" TargetMode="External"/><Relationship Id="rId10181" Type="http://schemas.openxmlformats.org/officeDocument/2006/relationships/hyperlink" Target="https://www.umb.edu/library/open-education/find-oer/" TargetMode="External"/><Relationship Id="rId11232" Type="http://schemas.openxmlformats.org/officeDocument/2006/relationships/hyperlink" Target="https://www.waterdamagespecialist.com.au/" TargetMode="External"/><Relationship Id="rId15853" Type="http://schemas.openxmlformats.org/officeDocument/2006/relationships/hyperlink" Target="https://myinteriorpalace.com/" TargetMode="External"/><Relationship Id="rId3463" Type="http://schemas.openxmlformats.org/officeDocument/2006/relationships/hyperlink" Target="https://www.pulte.com/" TargetMode="External"/><Relationship Id="rId4861" Type="http://schemas.openxmlformats.org/officeDocument/2006/relationships/hyperlink" Target="https://wiseagent.com/partners.asp" TargetMode="External"/><Relationship Id="rId5912" Type="http://schemas.openxmlformats.org/officeDocument/2006/relationships/hyperlink" Target="https://www.simpleshowing.com/" TargetMode="External"/><Relationship Id="rId13057" Type="http://schemas.openxmlformats.org/officeDocument/2006/relationships/hyperlink" Target="https://propertypressonline.co.uk/" TargetMode="External"/><Relationship Id="rId14455" Type="http://schemas.openxmlformats.org/officeDocument/2006/relationships/hyperlink" Target="https://myinteriorpalace.com/" TargetMode="External"/><Relationship Id="rId15506" Type="http://schemas.openxmlformats.org/officeDocument/2006/relationships/hyperlink" Target="https://www.luxdeco.com/" TargetMode="External"/><Relationship Id="rId384" Type="http://schemas.openxmlformats.org/officeDocument/2006/relationships/hyperlink" Target="http://northernvirginiahomepro.com/" TargetMode="External"/><Relationship Id="rId2065" Type="http://schemas.openxmlformats.org/officeDocument/2006/relationships/hyperlink" Target="https://markspain.com/" TargetMode="External"/><Relationship Id="rId3116" Type="http://schemas.openxmlformats.org/officeDocument/2006/relationships/hyperlink" Target="https://slashdot.org/story/03/03/30/232218/last-mile-fiber-optic" TargetMode="External"/><Relationship Id="rId4514" Type="http://schemas.openxmlformats.org/officeDocument/2006/relationships/hyperlink" Target="https://www.kapre.com/" TargetMode="External"/><Relationship Id="rId14108" Type="http://schemas.openxmlformats.org/officeDocument/2006/relationships/hyperlink" Target="https://keystonecustomdecksny.com/" TargetMode="External"/><Relationship Id="rId6686" Type="http://schemas.openxmlformats.org/officeDocument/2006/relationships/hyperlink" Target="https://www.eplanters.com/blog/" TargetMode="External"/><Relationship Id="rId7737" Type="http://schemas.openxmlformats.org/officeDocument/2006/relationships/hyperlink" Target="https://paigemindsthegap.com/things-to-do-in-atlanta/" TargetMode="External"/><Relationship Id="rId10718" Type="http://schemas.openxmlformats.org/officeDocument/2006/relationships/hyperlink" Target="https://metrodetroitmommy.com/7-tips-for-including-stem-learning-for-homeschoolers/" TargetMode="External"/><Relationship Id="rId5288" Type="http://schemas.openxmlformats.org/officeDocument/2006/relationships/hyperlink" Target="https://www.simpleshowing.com/" TargetMode="External"/><Relationship Id="rId6339" Type="http://schemas.openxmlformats.org/officeDocument/2006/relationships/hyperlink" Target="https://thetandd.com/shopping/article_7904c7c7-53b8-58ee-aa90-14481d694d3e.html" TargetMode="External"/><Relationship Id="rId12140" Type="http://schemas.openxmlformats.org/officeDocument/2006/relationships/hyperlink" Target="https://www.leafsolution.com/xtreme-gutter-guard" TargetMode="External"/><Relationship Id="rId1898" Type="http://schemas.openxmlformats.org/officeDocument/2006/relationships/hyperlink" Target="https://www.aeainvestors.com/portfolio/mark-spain-real-estate/" TargetMode="External"/><Relationship Id="rId2949" Type="http://schemas.openxmlformats.org/officeDocument/2006/relationships/hyperlink" Target="https://www.simpleshowing.com/" TargetMode="External"/><Relationship Id="rId6820" Type="http://schemas.openxmlformats.org/officeDocument/2006/relationships/hyperlink" Target="https://www.taylormorrison.com/" TargetMode="External"/><Relationship Id="rId15363" Type="http://schemas.openxmlformats.org/officeDocument/2006/relationships/hyperlink" Target="https://katharinepooley.com/a-year-in-review/" TargetMode="External"/><Relationship Id="rId4371" Type="http://schemas.openxmlformats.org/officeDocument/2006/relationships/hyperlink" Target="https://www.wlbt.com/2024/05/27/high-school-seniors-can-now-get-real-estate-license-free-this-state/" TargetMode="External"/><Relationship Id="rId5422" Type="http://schemas.openxmlformats.org/officeDocument/2006/relationships/hyperlink" Target="https://www.simpleshowing.com/" TargetMode="External"/><Relationship Id="rId15016" Type="http://schemas.openxmlformats.org/officeDocument/2006/relationships/hyperlink" Target="https://myinteriorpalace.com/" TargetMode="External"/><Relationship Id="rId4024" Type="http://schemas.openxmlformats.org/officeDocument/2006/relationships/hyperlink" Target="https://appleplumbing.com/" TargetMode="External"/><Relationship Id="rId7594" Type="http://schemas.openxmlformats.org/officeDocument/2006/relationships/hyperlink" Target="https://www.simpleshowing.com/" TargetMode="External"/><Relationship Id="rId8992" Type="http://schemas.openxmlformats.org/officeDocument/2006/relationships/hyperlink" Target="https://nycestimating.us/" TargetMode="External"/><Relationship Id="rId11973" Type="http://schemas.openxmlformats.org/officeDocument/2006/relationships/hyperlink" Target="https://www.hamiltoninternationalestates.com/" TargetMode="External"/><Relationship Id="rId6196" Type="http://schemas.openxmlformats.org/officeDocument/2006/relationships/hyperlink" Target="https://www.simpleshowing.com/" TargetMode="External"/><Relationship Id="rId7247" Type="http://schemas.openxmlformats.org/officeDocument/2006/relationships/hyperlink" Target="https://www.wtsp.com/article/money/consumer/taylor-morrison-files-complaint-against-home-inspector-who-posts-videos-of-inspections-on-social-media/75-fc64bf74-360c-4f54-ac08-1d79f2af1d67" TargetMode="External"/><Relationship Id="rId8645" Type="http://schemas.openxmlformats.org/officeDocument/2006/relationships/hyperlink" Target="https://www.pinoyeplans.com/" TargetMode="External"/><Relationship Id="rId10575" Type="http://schemas.openxmlformats.org/officeDocument/2006/relationships/hyperlink" Target="https://www.pinoyeplans.com/" TargetMode="External"/><Relationship Id="rId11626" Type="http://schemas.openxmlformats.org/officeDocument/2006/relationships/hyperlink" Target="https://sellhousefast.uk/" TargetMode="External"/><Relationship Id="rId10228" Type="http://schemas.openxmlformats.org/officeDocument/2006/relationships/hyperlink" Target="https://www.teachengineering.org/" TargetMode="External"/><Relationship Id="rId13798" Type="http://schemas.openxmlformats.org/officeDocument/2006/relationships/hyperlink" Target="https://myinteriorpalace.com/" TargetMode="External"/><Relationship Id="rId14849" Type="http://schemas.openxmlformats.org/officeDocument/2006/relationships/hyperlink" Target="https://www.fluidplumbingservices.com.au/" TargetMode="External"/><Relationship Id="rId3857" Type="http://schemas.openxmlformats.org/officeDocument/2006/relationships/hyperlink" Target="https://www.careeronestop.org/Toolkit/Training/find-scholarships-detail.aspx?lang=en&amp;pagesize=500&amp;scholarshipId=9996400" TargetMode="External"/><Relationship Id="rId4908" Type="http://schemas.openxmlformats.org/officeDocument/2006/relationships/hyperlink" Target="https://www.simpleshowing.com/" TargetMode="External"/><Relationship Id="rId16271" Type="http://schemas.openxmlformats.org/officeDocument/2006/relationships/vmlDrawing" Target="../drawings/vmlDrawing1.vml"/><Relationship Id="rId778" Type="http://schemas.openxmlformats.org/officeDocument/2006/relationships/hyperlink" Target="https://www.promptloop.com/directory/grand-rapids-hvac" TargetMode="External"/><Relationship Id="rId2459" Type="http://schemas.openxmlformats.org/officeDocument/2006/relationships/hyperlink" Target="https://www.wolfranchbyhillwood.com/faq/" TargetMode="External"/><Relationship Id="rId6330" Type="http://schemas.openxmlformats.org/officeDocument/2006/relationships/hyperlink" Target="https://www.simpleshowing.com/" TargetMode="External"/><Relationship Id="rId9553" Type="http://schemas.openxmlformats.org/officeDocument/2006/relationships/hyperlink" Target="https://www.teachengineering.org/" TargetMode="External"/><Relationship Id="rId12881" Type="http://schemas.openxmlformats.org/officeDocument/2006/relationships/hyperlink" Target="https://www.shma.co.uk/" TargetMode="External"/><Relationship Id="rId13932" Type="http://schemas.openxmlformats.org/officeDocument/2006/relationships/hyperlink" Target="https://www.freshdesignblog.com/2023/04/how-to-make-your-roof-last-longer-roof-maintenance-tips/" TargetMode="External"/><Relationship Id="rId1542" Type="http://schemas.openxmlformats.org/officeDocument/2006/relationships/hyperlink" Target="https://www.simpleshowing.com/" TargetMode="External"/><Relationship Id="rId2940" Type="http://schemas.openxmlformats.org/officeDocument/2006/relationships/hyperlink" Target="https://www.simpleshowing.com/" TargetMode="External"/><Relationship Id="rId8155" Type="http://schemas.openxmlformats.org/officeDocument/2006/relationships/hyperlink" Target="https://www.repcolite.com/tag/wallpaper/page/2/" TargetMode="External"/><Relationship Id="rId9206" Type="http://schemas.openxmlformats.org/officeDocument/2006/relationships/hyperlink" Target="https://facilityexecutive.com/how-to-prepare-a-commercial-building-roof-for-summer" TargetMode="External"/><Relationship Id="rId10085" Type="http://schemas.openxmlformats.org/officeDocument/2006/relationships/hyperlink" Target="https://activity-mom.com/2022/12/simple-graphing-activities-for-kindergarten/" TargetMode="External"/><Relationship Id="rId11136" Type="http://schemas.openxmlformats.org/officeDocument/2006/relationships/hyperlink" Target="https://www.waterdamagespecialist.com.au/" TargetMode="External"/><Relationship Id="rId11483" Type="http://schemas.openxmlformats.org/officeDocument/2006/relationships/hyperlink" Target="https://www.hamiltoninternationalestates.com/" TargetMode="External"/><Relationship Id="rId12534" Type="http://schemas.openxmlformats.org/officeDocument/2006/relationships/hyperlink" Target="https://www.streetlist.co.uk/ls/ls22/ls22-7/ainsty-garth" TargetMode="External"/><Relationship Id="rId912" Type="http://schemas.openxmlformats.org/officeDocument/2006/relationships/hyperlink" Target="https://www.simpleshowing.com/" TargetMode="External"/><Relationship Id="rId15757" Type="http://schemas.openxmlformats.org/officeDocument/2006/relationships/hyperlink" Target="https://myinteriorpalace.com/" TargetMode="External"/><Relationship Id="rId4765" Type="http://schemas.openxmlformats.org/officeDocument/2006/relationships/hyperlink" Target="https://www.simpleshowing.com/" TargetMode="External"/><Relationship Id="rId5816" Type="http://schemas.openxmlformats.org/officeDocument/2006/relationships/hyperlink" Target="https://www.simpleshowing.com/" TargetMode="External"/><Relationship Id="rId14359" Type="http://schemas.openxmlformats.org/officeDocument/2006/relationships/hyperlink" Target="https://myinteriorpalace.com/" TargetMode="External"/><Relationship Id="rId288" Type="http://schemas.openxmlformats.org/officeDocument/2006/relationships/hyperlink" Target="http://northernvirginiahomepro.com/" TargetMode="External"/><Relationship Id="rId3367" Type="http://schemas.openxmlformats.org/officeDocument/2006/relationships/hyperlink" Target="https://www.pulte.com/" TargetMode="External"/><Relationship Id="rId4418" Type="http://schemas.openxmlformats.org/officeDocument/2006/relationships/hyperlink" Target="https://www.kapre.com/" TargetMode="External"/><Relationship Id="rId7988" Type="http://schemas.openxmlformats.org/officeDocument/2006/relationships/hyperlink" Target="https://www.pinoyeplans.com/" TargetMode="External"/><Relationship Id="rId10969" Type="http://schemas.openxmlformats.org/officeDocument/2006/relationships/hyperlink" Target="https://www.teachengineering.org/" TargetMode="External"/><Relationship Id="rId14840" Type="http://schemas.openxmlformats.org/officeDocument/2006/relationships/hyperlink" Target="https://www.fluidplumbingservices.com.au/" TargetMode="External"/><Relationship Id="rId12391" Type="http://schemas.openxmlformats.org/officeDocument/2006/relationships/hyperlink" Target="https://sturents.com/" TargetMode="External"/><Relationship Id="rId13442" Type="http://schemas.openxmlformats.org/officeDocument/2006/relationships/hyperlink" Target="https://anationofmoms.com/" TargetMode="External"/><Relationship Id="rId2450" Type="http://schemas.openxmlformats.org/officeDocument/2006/relationships/hyperlink" Target="https://www.pshomes.com/listings/palm-desert/neighborhood/renata-at-domani/" TargetMode="External"/><Relationship Id="rId3501" Type="http://schemas.openxmlformats.org/officeDocument/2006/relationships/hyperlink" Target="https://www.simpleshowing.com/" TargetMode="External"/><Relationship Id="rId9063" Type="http://schemas.openxmlformats.org/officeDocument/2006/relationships/hyperlink" Target="https://www.pinoyeplans.com/" TargetMode="External"/><Relationship Id="rId12044" Type="http://schemas.openxmlformats.org/officeDocument/2006/relationships/hyperlink" Target="https://www.solarreviews.com/blog/how-solar-tubes-work" TargetMode="External"/><Relationship Id="rId422" Type="http://schemas.openxmlformats.org/officeDocument/2006/relationships/hyperlink" Target="https://www.simpleshowing.com/" TargetMode="External"/><Relationship Id="rId1052" Type="http://schemas.openxmlformats.org/officeDocument/2006/relationships/hyperlink" Target="https://northiowatoday.com/2023/06/21/dos-and-donts-of-basement-remodeling/" TargetMode="External"/><Relationship Id="rId2103" Type="http://schemas.openxmlformats.org/officeDocument/2006/relationships/hyperlink" Target="https://www.simpleshowing.com/" TargetMode="External"/><Relationship Id="rId5673" Type="http://schemas.openxmlformats.org/officeDocument/2006/relationships/hyperlink" Target="https://flair.hr/en/blog/severance-pay/" TargetMode="External"/><Relationship Id="rId15267" Type="http://schemas.openxmlformats.org/officeDocument/2006/relationships/hyperlink" Target="https://cheviotproducts.com/blogs/news/gilded-glamour-and-elegant-patterns-how-to-design-an-art-deco-bathroom" TargetMode="External"/><Relationship Id="rId4275" Type="http://schemas.openxmlformats.org/officeDocument/2006/relationships/hyperlink" Target="https://www.lendersa.com/lender/colorado-springs/red-rock-capital" TargetMode="External"/><Relationship Id="rId5326" Type="http://schemas.openxmlformats.org/officeDocument/2006/relationships/hyperlink" Target="https://www.simpleshowing.com/" TargetMode="External"/><Relationship Id="rId6724" Type="http://schemas.openxmlformats.org/officeDocument/2006/relationships/hyperlink" Target="https://www.eplanters.com/blog/" TargetMode="External"/><Relationship Id="rId8896" Type="http://schemas.openxmlformats.org/officeDocument/2006/relationships/hyperlink" Target="https://www.trianglepest.com/" TargetMode="External"/><Relationship Id="rId9947" Type="http://schemas.openxmlformats.org/officeDocument/2006/relationships/hyperlink" Target="https://jonesinfortaste.com/polynesian-wayfinding-virtual-field-trip/" TargetMode="External"/><Relationship Id="rId11877" Type="http://schemas.openxmlformats.org/officeDocument/2006/relationships/hyperlink" Target="https://www.hamiltoninternationalestates.com/" TargetMode="External"/><Relationship Id="rId12928" Type="http://schemas.openxmlformats.org/officeDocument/2006/relationships/hyperlink" Target="https://propertypressonline.co.uk/" TargetMode="External"/><Relationship Id="rId1936" Type="http://schemas.openxmlformats.org/officeDocument/2006/relationships/hyperlink" Target="https://markspain.com/" TargetMode="External"/><Relationship Id="rId7498" Type="http://schemas.openxmlformats.org/officeDocument/2006/relationships/hyperlink" Target="https://www.simpleshowing.com/" TargetMode="External"/><Relationship Id="rId8549" Type="http://schemas.openxmlformats.org/officeDocument/2006/relationships/hyperlink" Target="https://www.pinoyeplans.com/" TargetMode="External"/><Relationship Id="rId10479" Type="http://schemas.openxmlformats.org/officeDocument/2006/relationships/hyperlink" Target="https://www.pinoyeplans.com/" TargetMode="External"/><Relationship Id="rId14350" Type="http://schemas.openxmlformats.org/officeDocument/2006/relationships/hyperlink" Target="https://myinteriorpalace.com/" TargetMode="External"/><Relationship Id="rId15401" Type="http://schemas.openxmlformats.org/officeDocument/2006/relationships/hyperlink" Target="https://www.luxdeco.com/" TargetMode="External"/><Relationship Id="rId14003" Type="http://schemas.openxmlformats.org/officeDocument/2006/relationships/hyperlink" Target="https://keystonecustomdecksny.com/" TargetMode="External"/><Relationship Id="rId3011" Type="http://schemas.openxmlformats.org/officeDocument/2006/relationships/hyperlink" Target="https://www.thedailybeast.com/pultes-amazing-2012-performance-shows-housing-is-back/" TargetMode="External"/><Relationship Id="rId6581" Type="http://schemas.openxmlformats.org/officeDocument/2006/relationships/hyperlink" Target="https://flyarchitecture.net/2024/11/29/5-must-have-amenities-to-transform-your-bathroom-into-a-luxury-retreat/" TargetMode="External"/><Relationship Id="rId7632" Type="http://schemas.openxmlformats.org/officeDocument/2006/relationships/hyperlink" Target="https://testing.floridapolitics.com/archives/594056-time-traveling-developer-plows-forward-with-1991-era-florida-subdivision/" TargetMode="External"/><Relationship Id="rId10960" Type="http://schemas.openxmlformats.org/officeDocument/2006/relationships/hyperlink" Target="https://www.teachengineering.org/" TargetMode="External"/><Relationship Id="rId16175" Type="http://schemas.openxmlformats.org/officeDocument/2006/relationships/hyperlink" Target="https://www.unitedcarpetsandbeds.com/" TargetMode="External"/><Relationship Id="rId5183" Type="http://schemas.openxmlformats.org/officeDocument/2006/relationships/hyperlink" Target="https://www.cheddarflow.com/blog/unveiling-the-truth-the-real-aoc-net-worth-revealed/" TargetMode="External"/><Relationship Id="rId6234" Type="http://schemas.openxmlformats.org/officeDocument/2006/relationships/hyperlink" Target="https://www.simpleshowing.com/" TargetMode="External"/><Relationship Id="rId10613" Type="http://schemas.openxmlformats.org/officeDocument/2006/relationships/hyperlink" Target="https://www.aps.org/learning-resources/bendy-light" TargetMode="External"/><Relationship Id="rId9457" Type="http://schemas.openxmlformats.org/officeDocument/2006/relationships/hyperlink" Target="https://www.teachengineering.org/" TargetMode="External"/><Relationship Id="rId12785" Type="http://schemas.openxmlformats.org/officeDocument/2006/relationships/hyperlink" Target="https://www.shma.co.uk/" TargetMode="External"/><Relationship Id="rId13836" Type="http://schemas.openxmlformats.org/officeDocument/2006/relationships/hyperlink" Target="https://discuss.ilw.com/forum/immigration-discussion/479687-glass-structures" TargetMode="External"/><Relationship Id="rId1793" Type="http://schemas.openxmlformats.org/officeDocument/2006/relationships/hyperlink" Target="https://1130thetiger.com/ixp/180/p/louisiana-outage-risk-high/" TargetMode="External"/><Relationship Id="rId2844" Type="http://schemas.openxmlformats.org/officeDocument/2006/relationships/hyperlink" Target="https://www.simpleshowing.com/" TargetMode="External"/><Relationship Id="rId8059" Type="http://schemas.openxmlformats.org/officeDocument/2006/relationships/hyperlink" Target="https://www.pinoyeplans.com/" TargetMode="External"/><Relationship Id="rId11387" Type="http://schemas.openxmlformats.org/officeDocument/2006/relationships/hyperlink" Target="https://www.hamiltoninternationalestates.com/" TargetMode="External"/><Relationship Id="rId12438" Type="http://schemas.openxmlformats.org/officeDocument/2006/relationships/hyperlink" Target="https://propertypressonline.co.uk/" TargetMode="External"/><Relationship Id="rId816" Type="http://schemas.openxmlformats.org/officeDocument/2006/relationships/hyperlink" Target="https://www.absolutepestmgmt.com/" TargetMode="External"/><Relationship Id="rId1446" Type="http://schemas.openxmlformats.org/officeDocument/2006/relationships/hyperlink" Target="https://www.simpleshowing.com/" TargetMode="External"/><Relationship Id="rId4669" Type="http://schemas.openxmlformats.org/officeDocument/2006/relationships/hyperlink" Target="https://www.simpleshowing.com/" TargetMode="External"/><Relationship Id="rId8540" Type="http://schemas.openxmlformats.org/officeDocument/2006/relationships/hyperlink" Target="https://www.pinoyeplans.com/" TargetMode="External"/><Relationship Id="rId10470" Type="http://schemas.openxmlformats.org/officeDocument/2006/relationships/hyperlink" Target="https://www.pinoyeplans.com/" TargetMode="External"/><Relationship Id="rId11521" Type="http://schemas.openxmlformats.org/officeDocument/2006/relationships/hyperlink" Target="https://theculturetrip.com/europe/united-kingdom/articles/the-11-spookiest-towns-in-the-uk" TargetMode="External"/><Relationship Id="rId6091" Type="http://schemas.openxmlformats.org/officeDocument/2006/relationships/hyperlink" Target="https://davidicke.com/2020/08/06/disputing-credit-report-errors/" TargetMode="External"/><Relationship Id="rId7142" Type="http://schemas.openxmlformats.org/officeDocument/2006/relationships/hyperlink" Target="https://www.taylormorrison.com/" TargetMode="External"/><Relationship Id="rId10123" Type="http://schemas.openxmlformats.org/officeDocument/2006/relationships/hyperlink" Target="https://www.teachengineering.org/" TargetMode="External"/><Relationship Id="rId13693" Type="http://schemas.openxmlformats.org/officeDocument/2006/relationships/hyperlink" Target="https://myinteriorpalace.com/" TargetMode="External"/><Relationship Id="rId3752" Type="http://schemas.openxmlformats.org/officeDocument/2006/relationships/hyperlink" Target="https://recetas.paraguay.com/wp-content/faoejf/best/250587525cf64a96253c39f9ceb5-nt" TargetMode="External"/><Relationship Id="rId12295" Type="http://schemas.openxmlformats.org/officeDocument/2006/relationships/hyperlink" Target="https://www.ridgefieldconsulting.co.uk/" TargetMode="External"/><Relationship Id="rId13346" Type="http://schemas.openxmlformats.org/officeDocument/2006/relationships/hyperlink" Target="https://a1floorsnc.com/" TargetMode="External"/><Relationship Id="rId14744" Type="http://schemas.openxmlformats.org/officeDocument/2006/relationships/hyperlink" Target="https://www.easygaragedoorrepair.com/" TargetMode="External"/><Relationship Id="rId673" Type="http://schemas.openxmlformats.org/officeDocument/2006/relationships/hyperlink" Target="https://www.prettyopinionated.com/2021/03/vacation-safely-during-pandemic/" TargetMode="External"/><Relationship Id="rId2354" Type="http://schemas.openxmlformats.org/officeDocument/2006/relationships/hyperlink" Target="https://hockeydaymn.com/" TargetMode="External"/><Relationship Id="rId3405" Type="http://schemas.openxmlformats.org/officeDocument/2006/relationships/hyperlink" Target="https://www.simpleshowing.com/" TargetMode="External"/><Relationship Id="rId4803" Type="http://schemas.openxmlformats.org/officeDocument/2006/relationships/hyperlink" Target="https://www.wdam.com/2024/05/27/high-school-seniors-can-now-get-real-estate-license-free-this-state/" TargetMode="External"/><Relationship Id="rId326" Type="http://schemas.openxmlformats.org/officeDocument/2006/relationships/hyperlink" Target="http://junehomes.com/" TargetMode="External"/><Relationship Id="rId2007" Type="http://schemas.openxmlformats.org/officeDocument/2006/relationships/hyperlink" Target="https://www.simpleshowing.com/" TargetMode="External"/><Relationship Id="rId6975" Type="http://schemas.openxmlformats.org/officeDocument/2006/relationships/hyperlink" Target="https://www.coldwellbankerhomes.com/sc/indian-land/3133-beacon-heights-rd/pid_66407854/" TargetMode="External"/><Relationship Id="rId4179" Type="http://schemas.openxmlformats.org/officeDocument/2006/relationships/hyperlink" Target="https://moneypantry.com/jobs-for-retired-teachers/" TargetMode="External"/><Relationship Id="rId5577" Type="http://schemas.openxmlformats.org/officeDocument/2006/relationships/hyperlink" Target="https://yulys.com/blog/financial-tips-for-professionals-starting-their-career" TargetMode="External"/><Relationship Id="rId6628" Type="http://schemas.openxmlformats.org/officeDocument/2006/relationships/hyperlink" Target="https://www.simpleshowing.com/" TargetMode="External"/><Relationship Id="rId8050" Type="http://schemas.openxmlformats.org/officeDocument/2006/relationships/hyperlink" Target="https://www.pinoyeplans.com/" TargetMode="External"/><Relationship Id="rId9101" Type="http://schemas.openxmlformats.org/officeDocument/2006/relationships/hyperlink" Target="https://www.toonsgod.com.dream.website/future-trends-in-construction-estimation-and-their-impact-on-projects/" TargetMode="External"/><Relationship Id="rId11031" Type="http://schemas.openxmlformats.org/officeDocument/2006/relationships/hyperlink" Target="https://www.pinoyeplans.com/" TargetMode="External"/><Relationship Id="rId15652" Type="http://schemas.openxmlformats.org/officeDocument/2006/relationships/hyperlink" Target="https://myinteriorpalace.com/" TargetMode="External"/><Relationship Id="rId4660" Type="http://schemas.openxmlformats.org/officeDocument/2006/relationships/hyperlink" Target="https://www.simpleshowing.com/" TargetMode="External"/><Relationship Id="rId5711" Type="http://schemas.openxmlformats.org/officeDocument/2006/relationships/hyperlink" Target="https://theyesgirls.com/the-7-most-common-wedding-planning-mistakes-and-how-to-avoid-them/" TargetMode="External"/><Relationship Id="rId14254" Type="http://schemas.openxmlformats.org/officeDocument/2006/relationships/hyperlink" Target="https://myinteriorpalace.com/" TargetMode="External"/><Relationship Id="rId15305" Type="http://schemas.openxmlformats.org/officeDocument/2006/relationships/hyperlink" Target="https://www.luxdeco.com/" TargetMode="External"/><Relationship Id="rId3262" Type="http://schemas.openxmlformats.org/officeDocument/2006/relationships/hyperlink" Target="https://www.pulte.com/" TargetMode="External"/><Relationship Id="rId4313" Type="http://schemas.openxmlformats.org/officeDocument/2006/relationships/hyperlink" Target="https://www.kapre.com/" TargetMode="External"/><Relationship Id="rId7883" Type="http://schemas.openxmlformats.org/officeDocument/2006/relationships/hyperlink" Target="https://www.pinoyeplans.com/" TargetMode="External"/><Relationship Id="rId183" Type="http://schemas.openxmlformats.org/officeDocument/2006/relationships/hyperlink" Target="https://www.fnrpusa.com/" TargetMode="External"/><Relationship Id="rId6485" Type="http://schemas.openxmlformats.org/officeDocument/2006/relationships/hyperlink" Target="https://spaandbeautytoday.com/articles/pamper-yourself-at-home-with-the-best-self-care-products" TargetMode="External"/><Relationship Id="rId7536" Type="http://schemas.openxmlformats.org/officeDocument/2006/relationships/hyperlink" Target="https://getbuilt.com/blog/the-mortgage-collaborative-connect-whats-new-in-construction/" TargetMode="External"/><Relationship Id="rId8934" Type="http://schemas.openxmlformats.org/officeDocument/2006/relationships/hyperlink" Target="https://www.pinoyeplans.com/" TargetMode="External"/><Relationship Id="rId10864" Type="http://schemas.openxmlformats.org/officeDocument/2006/relationships/hyperlink" Target="https://www.teachengineering.org/" TargetMode="External"/><Relationship Id="rId11915" Type="http://schemas.openxmlformats.org/officeDocument/2006/relationships/hyperlink" Target="https://www.servicechampions.net/blog/my-air-conditioner-is-leaking-water-why-its-leaking-and-what-to-do" TargetMode="External"/><Relationship Id="rId16079" Type="http://schemas.openxmlformats.org/officeDocument/2006/relationships/hyperlink" Target="https://www.rwdoors.com/" TargetMode="External"/><Relationship Id="rId5087" Type="http://schemas.openxmlformats.org/officeDocument/2006/relationships/hyperlink" Target="https://play.google.com/store/apps/details?id=com.fdrmobiledashboard&amp;hl=en_IN" TargetMode="External"/><Relationship Id="rId6138" Type="http://schemas.openxmlformats.org/officeDocument/2006/relationships/hyperlink" Target="https://www.simpleshowing.com/" TargetMode="External"/><Relationship Id="rId10517" Type="http://schemas.openxmlformats.org/officeDocument/2006/relationships/hyperlink" Target="https://ejournals.ph/article.php?id=24788" TargetMode="External"/><Relationship Id="rId12689" Type="http://schemas.openxmlformats.org/officeDocument/2006/relationships/hyperlink" Target="https://www.shma.co.uk/" TargetMode="External"/><Relationship Id="rId1697" Type="http://schemas.openxmlformats.org/officeDocument/2006/relationships/hyperlink" Target="https://www.sweetsofties.com/2025/05/4-home-projects-that-add-value-to-your-property.html?m=0" TargetMode="External"/><Relationship Id="rId2748" Type="http://schemas.openxmlformats.org/officeDocument/2006/relationships/hyperlink" Target="https://www.simpleshowing.com/" TargetMode="External"/><Relationship Id="rId15162" Type="http://schemas.openxmlformats.org/officeDocument/2006/relationships/hyperlink" Target="https://www.crowdcube.com/companies/luxdeco/pitches/Zpvx2q" TargetMode="External"/><Relationship Id="rId16213" Type="http://schemas.openxmlformats.org/officeDocument/2006/relationships/hyperlink" Target="https://myinteriorpalace.com/" TargetMode="External"/><Relationship Id="rId4170" Type="http://schemas.openxmlformats.org/officeDocument/2006/relationships/hyperlink" Target="https://fitsmallbusiness.com/best-online-real-estate-school-florida/" TargetMode="External"/><Relationship Id="rId5221" Type="http://schemas.openxmlformats.org/officeDocument/2006/relationships/hyperlink" Target="https://helenair.com/news/nation-world/" TargetMode="External"/><Relationship Id="rId8791" Type="http://schemas.openxmlformats.org/officeDocument/2006/relationships/hyperlink" Target="https://expatnetwork.com/dual-citizenship-and-real-estate-ownership-how-property-rights-differ-across-borders/" TargetMode="External"/><Relationship Id="rId9842" Type="http://schemas.openxmlformats.org/officeDocument/2006/relationships/hyperlink" Target="https://blog.tcea.org/tag/steam/" TargetMode="External"/><Relationship Id="rId56" Type="http://schemas.openxmlformats.org/officeDocument/2006/relationships/hyperlink" Target="http://artsusshop.com/" TargetMode="External"/><Relationship Id="rId1831" Type="http://schemas.openxmlformats.org/officeDocument/2006/relationships/hyperlink" Target="https://wolfriverelectric.com/" TargetMode="External"/><Relationship Id="rId7393" Type="http://schemas.openxmlformats.org/officeDocument/2006/relationships/hyperlink" Target="https://cybermagazine.com/company/taylor-morrison" TargetMode="External"/><Relationship Id="rId8444" Type="http://schemas.openxmlformats.org/officeDocument/2006/relationships/hyperlink" Target="https://www.pinoyeplans.com/" TargetMode="External"/><Relationship Id="rId10374" Type="http://schemas.openxmlformats.org/officeDocument/2006/relationships/hyperlink" Target="https://www.pinoyeplans.com/" TargetMode="External"/><Relationship Id="rId11425" Type="http://schemas.openxmlformats.org/officeDocument/2006/relationships/hyperlink" Target="https://www.expresshomebuyers.com/sell-house/best-homebuyers-in-fairfax-virginia/" TargetMode="External"/><Relationship Id="rId11772" Type="http://schemas.openxmlformats.org/officeDocument/2006/relationships/hyperlink" Target="https://www.hamiltoninternationalestates.com/" TargetMode="External"/><Relationship Id="rId12823" Type="http://schemas.openxmlformats.org/officeDocument/2006/relationships/hyperlink" Target="https://propertypressonline.co.uk/" TargetMode="External"/><Relationship Id="rId7046" Type="http://schemas.openxmlformats.org/officeDocument/2006/relationships/hyperlink" Target="https://www.taylormorrison.com/" TargetMode="External"/><Relationship Id="rId10027" Type="http://schemas.openxmlformats.org/officeDocument/2006/relationships/hyperlink" Target="https://www.teachengineering.org/" TargetMode="External"/><Relationship Id="rId14995" Type="http://schemas.openxmlformats.org/officeDocument/2006/relationships/hyperlink" Target="https://myinteriorpalace.com/" TargetMode="External"/><Relationship Id="rId12199" Type="http://schemas.openxmlformats.org/officeDocument/2006/relationships/hyperlink" Target="https://www.bobvila.com/" TargetMode="External"/><Relationship Id="rId13597" Type="http://schemas.openxmlformats.org/officeDocument/2006/relationships/hyperlink" Target="https://myinteriorpalace.com/" TargetMode="External"/><Relationship Id="rId14648" Type="http://schemas.openxmlformats.org/officeDocument/2006/relationships/hyperlink" Target="https://www.easygaragedoorrepair.com/" TargetMode="External"/><Relationship Id="rId577" Type="http://schemas.openxmlformats.org/officeDocument/2006/relationships/hyperlink" Target="https://explorewitherin.com/6-best-outer-banks-water-sports-to-try/" TargetMode="External"/><Relationship Id="rId2258" Type="http://schemas.openxmlformats.org/officeDocument/2006/relationships/hyperlink" Target="https://www.tratonhomes.com/courtyards-at-traditions-active-adult-cumming-ga/" TargetMode="External"/><Relationship Id="rId3656" Type="http://schemas.openxmlformats.org/officeDocument/2006/relationships/hyperlink" Target="https://artfulliving.com/veteran-village-housing-first-minnesota-foundation-2025/" TargetMode="External"/><Relationship Id="rId4707" Type="http://schemas.openxmlformats.org/officeDocument/2006/relationships/hyperlink" Target="https://www.uppermichiganssource.com/2024/05/27/high-school-seniors-can-now-get-real-estate-license-free-this-state/" TargetMode="External"/><Relationship Id="rId16070" Type="http://schemas.openxmlformats.org/officeDocument/2006/relationships/hyperlink" Target="https://www.rwdoors.com/" TargetMode="External"/><Relationship Id="rId3309" Type="http://schemas.openxmlformats.org/officeDocument/2006/relationships/hyperlink" Target="https://www.simpleshowing.com/" TargetMode="External"/><Relationship Id="rId6879" Type="http://schemas.openxmlformats.org/officeDocument/2006/relationships/hyperlink" Target="https://www.simpleshowing.com/" TargetMode="External"/><Relationship Id="rId12680" Type="http://schemas.openxmlformats.org/officeDocument/2006/relationships/hyperlink" Target="https://www.shma.co.uk/" TargetMode="External"/><Relationship Id="rId13731" Type="http://schemas.openxmlformats.org/officeDocument/2006/relationships/hyperlink" Target="https://267820.8b.io/page8.html" TargetMode="External"/><Relationship Id="rId9352" Type="http://schemas.openxmlformats.org/officeDocument/2006/relationships/hyperlink" Target="https://www.teachengineering.org/" TargetMode="External"/><Relationship Id="rId11282" Type="http://schemas.openxmlformats.org/officeDocument/2006/relationships/hyperlink" Target="https://www.flexhouse.org/flexing-home-improvement-muscles-water-damage-restoration/" TargetMode="External"/><Relationship Id="rId12333" Type="http://schemas.openxmlformats.org/officeDocument/2006/relationships/hyperlink" Target="https://propertypressonline.co.uk/" TargetMode="External"/><Relationship Id="rId711" Type="http://schemas.openxmlformats.org/officeDocument/2006/relationships/hyperlink" Target="https://www.carolinadesigns.com/" TargetMode="External"/><Relationship Id="rId1341" Type="http://schemas.openxmlformats.org/officeDocument/2006/relationships/hyperlink" Target="https://www.simpleshowing.com/" TargetMode="External"/><Relationship Id="rId5962" Type="http://schemas.openxmlformats.org/officeDocument/2006/relationships/hyperlink" Target="https://www.simpleshowing.com/" TargetMode="External"/><Relationship Id="rId9005" Type="http://schemas.openxmlformats.org/officeDocument/2006/relationships/hyperlink" Target="https://blogbuz.co.uk/innovative-tools-and-equipment-revolutionizing-the-construction-process/" TargetMode="External"/><Relationship Id="rId15556" Type="http://schemas.openxmlformats.org/officeDocument/2006/relationships/hyperlink" Target="https://myinteriorpalace.com/" TargetMode="External"/><Relationship Id="rId4564" Type="http://schemas.openxmlformats.org/officeDocument/2006/relationships/hyperlink" Target="https://www.simpleshowing.com/" TargetMode="External"/><Relationship Id="rId5615" Type="http://schemas.openxmlformats.org/officeDocument/2006/relationships/hyperlink" Target="https://ripenapps.com/blog/cost-to-build-a-cash-advance-app-like-moneylion/" TargetMode="External"/><Relationship Id="rId14158" Type="http://schemas.openxmlformats.org/officeDocument/2006/relationships/hyperlink" Target="https://myinteriorpalace.com/" TargetMode="External"/><Relationship Id="rId15209" Type="http://schemas.openxmlformats.org/officeDocument/2006/relationships/hyperlink" Target="https://www.luxdeco.com/" TargetMode="External"/><Relationship Id="rId3166" Type="http://schemas.openxmlformats.org/officeDocument/2006/relationships/hyperlink" Target="https://www.pulte.com/" TargetMode="External"/><Relationship Id="rId4217" Type="http://schemas.openxmlformats.org/officeDocument/2006/relationships/hyperlink" Target="https://www.kapre.com/" TargetMode="External"/><Relationship Id="rId6389" Type="http://schemas.openxmlformats.org/officeDocument/2006/relationships/hyperlink" Target="https://www.rezerv.co/blogs/5-finance-tips-for-small-business-owners-that-elevate-company-growth" TargetMode="External"/><Relationship Id="rId7787" Type="http://schemas.openxmlformats.org/officeDocument/2006/relationships/hyperlink" Target="https://www.simpleshowing.com/" TargetMode="External"/><Relationship Id="rId8838" Type="http://schemas.openxmlformats.org/officeDocument/2006/relationships/hyperlink" Target="https://www.pinoyeplans.com/" TargetMode="External"/><Relationship Id="rId10768" Type="http://schemas.openxmlformats.org/officeDocument/2006/relationships/hyperlink" Target="https://www.teachengineering.org/" TargetMode="External"/><Relationship Id="rId11819" Type="http://schemas.openxmlformats.org/officeDocument/2006/relationships/hyperlink" Target="https://www.thetelegraphandargus.co.uk/news/16229900.bradford-named-worst-hotspot-residential-fly-tipping/" TargetMode="External"/><Relationship Id="rId12190" Type="http://schemas.openxmlformats.org/officeDocument/2006/relationships/hyperlink" Target="https://www.bobvila.com/" TargetMode="External"/><Relationship Id="rId13241" Type="http://schemas.openxmlformats.org/officeDocument/2006/relationships/hyperlink" Target="https://www.pureinvestor.co.uk/" TargetMode="External"/><Relationship Id="rId2999" Type="http://schemas.openxmlformats.org/officeDocument/2006/relationships/hyperlink" Target="https://finance-commerce.com/2024/07/shakopee-features-multiple-development-hot-spots/" TargetMode="External"/><Relationship Id="rId3300" Type="http://schemas.openxmlformats.org/officeDocument/2006/relationships/hyperlink" Target="https://www.simpleshowing.com/" TargetMode="External"/><Relationship Id="rId6870" Type="http://schemas.openxmlformats.org/officeDocument/2006/relationships/hyperlink" Target="https://www.simpleshowing.com/" TargetMode="External"/><Relationship Id="rId7921" Type="http://schemas.openxmlformats.org/officeDocument/2006/relationships/hyperlink" Target="https://www.missljbeauty.com/2025/09/how-prompt-sewage-cleanup-protects-your.html" TargetMode="External"/><Relationship Id="rId221" Type="http://schemas.openxmlformats.org/officeDocument/2006/relationships/hyperlink" Target="http://nyrentownsell.com/" TargetMode="External"/><Relationship Id="rId5472" Type="http://schemas.openxmlformats.org/officeDocument/2006/relationships/hyperlink" Target="https://www.simpleshowing.com/" TargetMode="External"/><Relationship Id="rId6523" Type="http://schemas.openxmlformats.org/officeDocument/2006/relationships/hyperlink" Target="https://mymodernmet.com/thermasol-saunas/" TargetMode="External"/><Relationship Id="rId10902" Type="http://schemas.openxmlformats.org/officeDocument/2006/relationships/hyperlink" Target="https://www.pinoyeplans.com/" TargetMode="External"/><Relationship Id="rId15066" Type="http://schemas.openxmlformats.org/officeDocument/2006/relationships/hyperlink" Target="https://www.kellyhoppeninteriors.com/press" TargetMode="External"/><Relationship Id="rId16117" Type="http://schemas.openxmlformats.org/officeDocument/2006/relationships/hyperlink" Target="https://myinteriorpalace.com/" TargetMode="External"/><Relationship Id="rId4074" Type="http://schemas.openxmlformats.org/officeDocument/2006/relationships/hyperlink" Target="https://www.simpleshowing.com/" TargetMode="External"/><Relationship Id="rId5125" Type="http://schemas.openxmlformats.org/officeDocument/2006/relationships/hyperlink" Target="https://www.teamgate.com/blog/what-is-deal-value/" TargetMode="External"/><Relationship Id="rId8695" Type="http://schemas.openxmlformats.org/officeDocument/2006/relationships/hyperlink" Target="https://www.buildscotland.co.uk/c/491323/c-s-joinery-ltd" TargetMode="External"/><Relationship Id="rId9746" Type="http://schemas.openxmlformats.org/officeDocument/2006/relationships/hyperlink" Target="https://nasaeclips.arc.nasa.gov/video/ourworld/our-world-simple-machines-here-and-in-space" TargetMode="External"/><Relationship Id="rId7297" Type="http://schemas.openxmlformats.org/officeDocument/2006/relationships/hyperlink" Target="https://www.simpleshowing.com/" TargetMode="External"/><Relationship Id="rId8348" Type="http://schemas.openxmlformats.org/officeDocument/2006/relationships/hyperlink" Target="https://www.pinoyeplans.com/" TargetMode="External"/><Relationship Id="rId10278" Type="http://schemas.openxmlformats.org/officeDocument/2006/relationships/hyperlink" Target="https://www.pinoyeplans.com/" TargetMode="External"/><Relationship Id="rId11676" Type="http://schemas.openxmlformats.org/officeDocument/2006/relationships/hyperlink" Target="https://www.hamiltoninternationalestates.com/" TargetMode="External"/><Relationship Id="rId12727" Type="http://schemas.openxmlformats.org/officeDocument/2006/relationships/hyperlink" Target="https://propertypressonline.co.uk/" TargetMode="External"/><Relationship Id="rId1735" Type="http://schemas.openxmlformats.org/officeDocument/2006/relationships/hyperlink" Target="https://wolfriverelectric.com/" TargetMode="External"/><Relationship Id="rId11329" Type="http://schemas.openxmlformats.org/officeDocument/2006/relationships/hyperlink" Target="https://www.hamiltoninternationalestates.com/" TargetMode="External"/><Relationship Id="rId14899" Type="http://schemas.openxmlformats.org/officeDocument/2006/relationships/hyperlink" Target="https://myinteriorpalace.com/" TargetMode="External"/><Relationship Id="rId15200" Type="http://schemas.openxmlformats.org/officeDocument/2006/relationships/hyperlink" Target="https://www.luxdeco.com/" TargetMode="External"/><Relationship Id="rId4958" Type="http://schemas.openxmlformats.org/officeDocument/2006/relationships/hyperlink" Target="https://www.simpleshowing.com/" TargetMode="External"/><Relationship Id="rId11810" Type="http://schemas.openxmlformats.org/officeDocument/2006/relationships/hyperlink" Target="https://fintechzoom.com/business/real-estate/fintech-solutions/" TargetMode="External"/><Relationship Id="rId6380" Type="http://schemas.openxmlformats.org/officeDocument/2006/relationships/hyperlink" Target="https://www.simpleshowing.com/" TargetMode="External"/><Relationship Id="rId7431" Type="http://schemas.openxmlformats.org/officeDocument/2006/relationships/hyperlink" Target="https://finalscout.com/company/taylor_morrison" TargetMode="External"/><Relationship Id="rId10412" Type="http://schemas.openxmlformats.org/officeDocument/2006/relationships/hyperlink" Target="https://cheezburger.com/11727109/architects-designed-a-city-for-mars-and-theyre-building-it-in-the-dubai-desert" TargetMode="External"/><Relationship Id="rId13982" Type="http://schemas.openxmlformats.org/officeDocument/2006/relationships/hyperlink" Target="https://faheyroofingcontractors.com/" TargetMode="External"/><Relationship Id="rId2990" Type="http://schemas.openxmlformats.org/officeDocument/2006/relationships/hyperlink" Target="https://cnnpressroom.blogs.cnn.com/2014/02/19/cnns-brooke-baldwin-with-help-from-two-special-friends-surprises-military-family-on-cnn/" TargetMode="External"/><Relationship Id="rId6033" Type="http://schemas.openxmlformats.org/officeDocument/2006/relationships/hyperlink" Target="https://career.online.ou.edu/blog/2025/04/16/the-truth-about-employee-engagement-what-actually-motivates-teams/" TargetMode="External"/><Relationship Id="rId12584" Type="http://schemas.openxmlformats.org/officeDocument/2006/relationships/hyperlink" Target="https://www.shma.co.uk/" TargetMode="External"/><Relationship Id="rId13635" Type="http://schemas.openxmlformats.org/officeDocument/2006/relationships/hyperlink" Target="https://elearning.itkesmusidrap.ac.id/blog/index.php?entryid=4230&amp;nonjscomment=1&amp;comment_itemid=4230&amp;comment_context=75694&amp;comment_component=blog&amp;comment_area=format_blog" TargetMode="External"/><Relationship Id="rId962" Type="http://schemas.openxmlformats.org/officeDocument/2006/relationships/hyperlink" Target="https://www.designscene.net/2025/09/design-home-guests-want-return.html" TargetMode="External"/><Relationship Id="rId1592" Type="http://schemas.openxmlformats.org/officeDocument/2006/relationships/hyperlink" Target="https://businessmodelanalyst.com/smart-strategies-to-cut-costs-and-boost-your-business-bottom-line/" TargetMode="External"/><Relationship Id="rId2643" Type="http://schemas.openxmlformats.org/officeDocument/2006/relationships/hyperlink" Target="https://www.simpleshowing.com/" TargetMode="External"/><Relationship Id="rId9256" Type="http://schemas.openxmlformats.org/officeDocument/2006/relationships/hyperlink" Target="https://www.teachengineering.org/" TargetMode="External"/><Relationship Id="rId11186" Type="http://schemas.openxmlformats.org/officeDocument/2006/relationships/hyperlink" Target="https://quintdaily.com/page/104/?start&amp;season&amp;search&amp;id=2467" TargetMode="External"/><Relationship Id="rId12237" Type="http://schemas.openxmlformats.org/officeDocument/2006/relationships/hyperlink" Target="https://propertypressonline.co.uk/" TargetMode="External"/><Relationship Id="rId615" Type="http://schemas.openxmlformats.org/officeDocument/2006/relationships/hyperlink" Target="https://www.carolinadesigns.com/" TargetMode="External"/><Relationship Id="rId1245" Type="http://schemas.openxmlformats.org/officeDocument/2006/relationships/hyperlink" Target="https://www.simpleshowing.com/" TargetMode="External"/><Relationship Id="rId4468" Type="http://schemas.openxmlformats.org/officeDocument/2006/relationships/hyperlink" Target="https://www.simpleshowing.com/" TargetMode="External"/><Relationship Id="rId5866" Type="http://schemas.openxmlformats.org/officeDocument/2006/relationships/hyperlink" Target="https://www.simpleshowing.com/" TargetMode="External"/><Relationship Id="rId6917" Type="http://schemas.openxmlformats.org/officeDocument/2006/relationships/hyperlink" Target="https://www.taylormorrison.com/" TargetMode="External"/><Relationship Id="rId5519" Type="http://schemas.openxmlformats.org/officeDocument/2006/relationships/hyperlink" Target="https://www.onlineu.com/resources/student-debt-crisis-2021" TargetMode="External"/><Relationship Id="rId11320" Type="http://schemas.openxmlformats.org/officeDocument/2006/relationships/hyperlink" Target="https://www.hamiltoninternationalestates.com/" TargetMode="External"/><Relationship Id="rId14890" Type="http://schemas.openxmlformats.org/officeDocument/2006/relationships/hyperlink" Target="https://myinteriorpalace.com/" TargetMode="External"/><Relationship Id="rId15941" Type="http://schemas.openxmlformats.org/officeDocument/2006/relationships/hyperlink" Target="https://www.rwdoors.com/" TargetMode="External"/><Relationship Id="rId13492" Type="http://schemas.openxmlformats.org/officeDocument/2006/relationships/hyperlink" Target="https://myinteriorpalace.com/" TargetMode="External"/><Relationship Id="rId14543" Type="http://schemas.openxmlformats.org/officeDocument/2006/relationships/hyperlink" Target="https://www.easygaragedoorrepair.com/" TargetMode="External"/><Relationship Id="rId3551" Type="http://schemas.openxmlformats.org/officeDocument/2006/relationships/hyperlink" Target="https://www.lightreading.com/cable-technology/at-t-readies-lightspeed-in-north-texas" TargetMode="External"/><Relationship Id="rId4602" Type="http://schemas.openxmlformats.org/officeDocument/2006/relationships/hyperlink" Target="https://blogs.jobget.com/blog/unique-jobs-for-business-majors/" TargetMode="External"/><Relationship Id="rId12094" Type="http://schemas.openxmlformats.org/officeDocument/2006/relationships/hyperlink" Target="https://www.bobvila.com/" TargetMode="External"/><Relationship Id="rId13145" Type="http://schemas.openxmlformats.org/officeDocument/2006/relationships/hyperlink" Target="https://www.shma.co.uk/" TargetMode="External"/><Relationship Id="rId472" Type="http://schemas.openxmlformats.org/officeDocument/2006/relationships/hyperlink" Target="https://fintechzoom.io/how-fintech-platforms-help-businesses-identify-bottlenecks-and-optimize-workflows/" TargetMode="External"/><Relationship Id="rId2153" Type="http://schemas.openxmlformats.org/officeDocument/2006/relationships/hyperlink" Target="https://www.ezilon.com/regional/spain/business_and_economy/housing_and_real_estate/index.shtml" TargetMode="External"/><Relationship Id="rId3204" Type="http://schemas.openxmlformats.org/officeDocument/2006/relationships/hyperlink" Target="https://www.simpleshowing.com/" TargetMode="External"/><Relationship Id="rId6774" Type="http://schemas.openxmlformats.org/officeDocument/2006/relationships/hyperlink" Target="https://www.simpleshowing.com/" TargetMode="External"/><Relationship Id="rId7825" Type="http://schemas.openxmlformats.org/officeDocument/2006/relationships/hyperlink" Target="https://www.frva.com/listing?category=category_campground&amp;sub=RESERVATIONREQUIRED" TargetMode="External"/><Relationship Id="rId125" Type="http://schemas.openxmlformats.org/officeDocument/2006/relationships/hyperlink" Target="https://www.homesgofast.com/" TargetMode="External"/><Relationship Id="rId5376" Type="http://schemas.openxmlformats.org/officeDocument/2006/relationships/hyperlink" Target="https://www.simpleshowing.com/" TargetMode="External"/><Relationship Id="rId6427" Type="http://schemas.openxmlformats.org/officeDocument/2006/relationships/hyperlink" Target="https://www.simpleshowing.com/" TargetMode="External"/><Relationship Id="rId10806" Type="http://schemas.openxmlformats.org/officeDocument/2006/relationships/hyperlink" Target="https://www.pinoyeplans.com/" TargetMode="External"/><Relationship Id="rId5029" Type="http://schemas.openxmlformats.org/officeDocument/2006/relationships/hyperlink" Target="https://hickoryrecord.com/news/" TargetMode="External"/><Relationship Id="rId8599" Type="http://schemas.openxmlformats.org/officeDocument/2006/relationships/hyperlink" Target="https://www.jbsagolf.com/blogs/building-or-buying-a-home-practical-tips-you-need-to-follow/" TargetMode="External"/><Relationship Id="rId9997" Type="http://schemas.openxmlformats.org/officeDocument/2006/relationships/hyperlink" Target="https://www.teachengineering.org/" TargetMode="External"/><Relationship Id="rId12978" Type="http://schemas.openxmlformats.org/officeDocument/2006/relationships/hyperlink" Target="https://ukbaa.org.uk/blog/2024/02/22/tbat-innovation-launches-2024-innovation-challenge/" TargetMode="External"/><Relationship Id="rId1986" Type="http://schemas.openxmlformats.org/officeDocument/2006/relationships/hyperlink" Target="https://www.simpleshowing.com/" TargetMode="External"/><Relationship Id="rId15451" Type="http://schemas.openxmlformats.org/officeDocument/2006/relationships/hyperlink" Target="https://myinteriorpalace.com/" TargetMode="External"/><Relationship Id="rId1639" Type="http://schemas.openxmlformats.org/officeDocument/2006/relationships/hyperlink" Target="https://wolfriverelectric.com/" TargetMode="External"/><Relationship Id="rId3061" Type="http://schemas.openxmlformats.org/officeDocument/2006/relationships/hyperlink" Target="https://www.pulte.com/" TargetMode="External"/><Relationship Id="rId5510" Type="http://schemas.openxmlformats.org/officeDocument/2006/relationships/hyperlink" Target="https://www.simpleshowing.com/" TargetMode="External"/><Relationship Id="rId14053" Type="http://schemas.openxmlformats.org/officeDocument/2006/relationships/hyperlink" Target="https://myinteriorpalace.com/" TargetMode="External"/><Relationship Id="rId15104" Type="http://schemas.openxmlformats.org/officeDocument/2006/relationships/hyperlink" Target="https://www.luxdeco.com/" TargetMode="External"/><Relationship Id="rId4112" Type="http://schemas.openxmlformats.org/officeDocument/2006/relationships/hyperlink" Target="https://www.simpleshowing.com/" TargetMode="External"/><Relationship Id="rId7682" Type="http://schemas.openxmlformats.org/officeDocument/2006/relationships/hyperlink" Target="https://discoverlakelanier.com/" TargetMode="External"/><Relationship Id="rId8733" Type="http://schemas.openxmlformats.org/officeDocument/2006/relationships/hyperlink" Target="https://roof-troopers.com/" TargetMode="External"/><Relationship Id="rId10663" Type="http://schemas.openxmlformats.org/officeDocument/2006/relationships/hyperlink" Target="https://www.teachengineering.org/" TargetMode="External"/><Relationship Id="rId11714" Type="http://schemas.openxmlformats.org/officeDocument/2006/relationships/hyperlink" Target="https://www.wales247.co.uk/new-ons-figures-shine-spotlight-on-cardiffs-property-market" TargetMode="External"/><Relationship Id="rId6284" Type="http://schemas.openxmlformats.org/officeDocument/2006/relationships/hyperlink" Target="https://www.simpleshowing.com/" TargetMode="External"/><Relationship Id="rId7335" Type="http://schemas.openxmlformats.org/officeDocument/2006/relationships/hyperlink" Target="https://www.taylormorrison.com/" TargetMode="External"/><Relationship Id="rId10316" Type="http://schemas.openxmlformats.org/officeDocument/2006/relationships/hyperlink" Target="https://fabulesslyfrugal.com/diy/bottle-cap-crafts/" TargetMode="External"/><Relationship Id="rId2894" Type="http://schemas.openxmlformats.org/officeDocument/2006/relationships/hyperlink" Target="https://prioritymarketing.com/warrior-homes-of-collier-to-end-veteran-homelessness-in-community-with-announcement-of-latest-project/" TargetMode="External"/><Relationship Id="rId12488" Type="http://schemas.openxmlformats.org/officeDocument/2006/relationships/hyperlink" Target="https://www.thestar.co.uk/read-this/freshers-week-costs-students-ps500-7-ways-to-save-ps360-4749053" TargetMode="External"/><Relationship Id="rId13886" Type="http://schemas.openxmlformats.org/officeDocument/2006/relationships/hyperlink" Target="https://embeltonflooring.com/" TargetMode="External"/><Relationship Id="rId14937" Type="http://schemas.openxmlformats.org/officeDocument/2006/relationships/hyperlink" Target="https://subdomainfinder.c99.nl/scans/2025-01-24/fluidplumbingservices.com.au" TargetMode="External"/><Relationship Id="rId866" Type="http://schemas.openxmlformats.org/officeDocument/2006/relationships/hyperlink" Target="https://houstonsuburb.com/real-estate-blog/sellers-disclosure-made-easy-what-you-need-to-disclose/" TargetMode="External"/><Relationship Id="rId1496" Type="http://schemas.openxmlformats.org/officeDocument/2006/relationships/hyperlink" Target="https://www.iheart.com/podcast/462-the-power-trips-initials-g-29941064/" TargetMode="External"/><Relationship Id="rId2547" Type="http://schemas.openxmlformats.org/officeDocument/2006/relationships/hyperlink" Target="https://www.simpleshowing.com/" TargetMode="External"/><Relationship Id="rId3945" Type="http://schemas.openxmlformats.org/officeDocument/2006/relationships/hyperlink" Target="https://www.simpleshowing.com/" TargetMode="External"/><Relationship Id="rId13539" Type="http://schemas.openxmlformats.org/officeDocument/2006/relationships/hyperlink" Target="https://www.marcieinmommyland.com/disney-frozen-treats/" TargetMode="External"/><Relationship Id="rId16012" Type="http://schemas.openxmlformats.org/officeDocument/2006/relationships/hyperlink" Target="https://myinteriorpalace.com/" TargetMode="External"/><Relationship Id="rId519" Type="http://schemas.openxmlformats.org/officeDocument/2006/relationships/hyperlink" Target="https://www.carolinadesigns.com/" TargetMode="External"/><Relationship Id="rId1149" Type="http://schemas.openxmlformats.org/officeDocument/2006/relationships/hyperlink" Target="https://www.simpleshowing.com/" TargetMode="External"/><Relationship Id="rId5020" Type="http://schemas.openxmlformats.org/officeDocument/2006/relationships/hyperlink" Target="https://www.simpleshowing.com/" TargetMode="External"/><Relationship Id="rId7192" Type="http://schemas.openxmlformats.org/officeDocument/2006/relationships/hyperlink" Target="https://www.taylormorrison.com/" TargetMode="External"/><Relationship Id="rId8590" Type="http://schemas.openxmlformats.org/officeDocument/2006/relationships/hyperlink" Target="https://www.allhomes.com.au/agency/buyer-s-advocate-503224/" TargetMode="External"/><Relationship Id="rId9641" Type="http://schemas.openxmlformats.org/officeDocument/2006/relationships/hyperlink" Target="https://www.technomaxme.com/dosing-metering-pump/" TargetMode="External"/><Relationship Id="rId11571" Type="http://schemas.openxmlformats.org/officeDocument/2006/relationships/hyperlink" Target="https://www.hamiltoninternationalestates.com/" TargetMode="External"/><Relationship Id="rId12622" Type="http://schemas.openxmlformats.org/officeDocument/2006/relationships/hyperlink" Target="https://propertypressonline.co.uk/" TargetMode="External"/><Relationship Id="rId1630" Type="http://schemas.openxmlformats.org/officeDocument/2006/relationships/hyperlink" Target="https://wolfriverelectric.com/" TargetMode="External"/><Relationship Id="rId8243" Type="http://schemas.openxmlformats.org/officeDocument/2006/relationships/hyperlink" Target="https://www.pinoyeplans.com/" TargetMode="External"/><Relationship Id="rId10173" Type="http://schemas.openxmlformats.org/officeDocument/2006/relationships/hyperlink" Target="https://www.pinoyeplans.com/" TargetMode="External"/><Relationship Id="rId11224" Type="http://schemas.openxmlformats.org/officeDocument/2006/relationships/hyperlink" Target="https://trans4mind.com/counterpoint/index-home-garden/water-damage-recovery.html" TargetMode="External"/><Relationship Id="rId14794" Type="http://schemas.openxmlformats.org/officeDocument/2006/relationships/hyperlink" Target="https://myinteriorpalace.com/" TargetMode="External"/><Relationship Id="rId15845" Type="http://schemas.openxmlformats.org/officeDocument/2006/relationships/hyperlink" Target="https://www.modinex.com.au/" TargetMode="External"/><Relationship Id="rId4853" Type="http://schemas.openxmlformats.org/officeDocument/2006/relationships/hyperlink" Target="https://thunderbit.com/blog/zillow-leads-costs-and-how-to-find" TargetMode="External"/><Relationship Id="rId5904" Type="http://schemas.openxmlformats.org/officeDocument/2006/relationships/hyperlink" Target="https://www.simpleshowing.com/" TargetMode="External"/><Relationship Id="rId13396" Type="http://schemas.openxmlformats.org/officeDocument/2006/relationships/hyperlink" Target="https://myinteriorpalace.com/" TargetMode="External"/><Relationship Id="rId14447" Type="http://schemas.openxmlformats.org/officeDocument/2006/relationships/hyperlink" Target="https://raynordoor.com/" TargetMode="External"/><Relationship Id="rId3455" Type="http://schemas.openxmlformats.org/officeDocument/2006/relationships/hyperlink" Target="https://www.groupon.com/biz/wylie-tx/pulte-homes" TargetMode="External"/><Relationship Id="rId4506" Type="http://schemas.openxmlformats.org/officeDocument/2006/relationships/hyperlink" Target="https://www.kkco11news.com/2024/05/27/high-school-seniors-can-now-get-real-estate-license-free-this-state/" TargetMode="External"/><Relationship Id="rId13049" Type="http://schemas.openxmlformats.org/officeDocument/2006/relationships/hyperlink" Target="https://www.shma.co.uk/" TargetMode="External"/><Relationship Id="rId376" Type="http://schemas.openxmlformats.org/officeDocument/2006/relationships/hyperlink" Target="http://northernvirginiahomepro.com/" TargetMode="External"/><Relationship Id="rId2057" Type="http://schemas.openxmlformats.org/officeDocument/2006/relationships/hyperlink" Target="https://kreatecube.com/blog/real-estate/impact-of-hoa-fees-on-home-renovation-budgets" TargetMode="External"/><Relationship Id="rId3108" Type="http://schemas.openxmlformats.org/officeDocument/2006/relationships/hyperlink" Target="https://www.simpleshowing.com/" TargetMode="External"/><Relationship Id="rId6678" Type="http://schemas.openxmlformats.org/officeDocument/2006/relationships/hyperlink" Target="https://www.promocodes.com/eplanters-coupons" TargetMode="External"/><Relationship Id="rId7729" Type="http://schemas.openxmlformats.org/officeDocument/2006/relationships/hyperlink" Target="https://www.simpleshowing.com/" TargetMode="External"/><Relationship Id="rId9151" Type="http://schemas.openxmlformats.org/officeDocument/2006/relationships/hyperlink" Target="https://nycestimating.us/" TargetMode="External"/><Relationship Id="rId13530" Type="http://schemas.openxmlformats.org/officeDocument/2006/relationships/hyperlink" Target="https://www.smithfieldtimes.com/sponsored-content/how-long-does-cbd-last-in-dogs-27036" TargetMode="External"/><Relationship Id="rId1140" Type="http://schemas.openxmlformats.org/officeDocument/2006/relationships/hyperlink" Target="https://www.simpleshowing.com/" TargetMode="External"/><Relationship Id="rId11081" Type="http://schemas.openxmlformats.org/officeDocument/2006/relationships/hyperlink" Target="https://www.tu.org/magazine/science/think-tank-tracking-trout/" TargetMode="External"/><Relationship Id="rId12132" Type="http://schemas.openxmlformats.org/officeDocument/2006/relationships/hyperlink" Target="https://www.hamiltoninternationalestates.com/" TargetMode="External"/><Relationship Id="rId510" Type="http://schemas.openxmlformats.org/officeDocument/2006/relationships/hyperlink" Target="https://www.carolinadesigns.com/" TargetMode="External"/><Relationship Id="rId5761" Type="http://schemas.openxmlformats.org/officeDocument/2006/relationships/hyperlink" Target="https://thecharmingbenchcompany.com/blogs/news/how-to-calculate-budget-and-roi-for-your-landscape-renovation" TargetMode="External"/><Relationship Id="rId6812" Type="http://schemas.openxmlformats.org/officeDocument/2006/relationships/hyperlink" Target="https://esplanadeatsommersbend.communitysite.com/" TargetMode="External"/><Relationship Id="rId15355" Type="http://schemas.openxmlformats.org/officeDocument/2006/relationships/hyperlink" Target="https://myinteriorpalace.com/" TargetMode="External"/><Relationship Id="rId4363" Type="http://schemas.openxmlformats.org/officeDocument/2006/relationships/hyperlink" Target="https://www.simpleshowing.com/" TargetMode="External"/><Relationship Id="rId5414" Type="http://schemas.openxmlformats.org/officeDocument/2006/relationships/hyperlink" Target="https://www.simpleshowing.com/" TargetMode="External"/><Relationship Id="rId8984" Type="http://schemas.openxmlformats.org/officeDocument/2006/relationships/hyperlink" Target="https://pepper0.com/strategic-timber-measurement-techniques-guiding-smarter-budgets/" TargetMode="External"/><Relationship Id="rId15008" Type="http://schemas.openxmlformats.org/officeDocument/2006/relationships/hyperlink" Target="https://www.luxdeco.com/" TargetMode="External"/><Relationship Id="rId4016" Type="http://schemas.openxmlformats.org/officeDocument/2006/relationships/hyperlink" Target="https://carrollcountychamberofcommercemd.growthzoneapp.com/chambereventcalendar/Details/golf-tournament-598165?sourceTypeId=Website" TargetMode="External"/><Relationship Id="rId7586" Type="http://schemas.openxmlformats.org/officeDocument/2006/relationships/hyperlink" Target="https://www.taylormorrison.com/" TargetMode="External"/><Relationship Id="rId8637" Type="http://schemas.openxmlformats.org/officeDocument/2006/relationships/hyperlink" Target="https://perlelectrical.co.nz/" TargetMode="External"/><Relationship Id="rId10567" Type="http://schemas.openxmlformats.org/officeDocument/2006/relationships/hyperlink" Target="https://www.teachengineering.org/" TargetMode="External"/><Relationship Id="rId11965" Type="http://schemas.openxmlformats.org/officeDocument/2006/relationships/hyperlink" Target="https://www.bobvila.com/" TargetMode="External"/><Relationship Id="rId6188" Type="http://schemas.openxmlformats.org/officeDocument/2006/relationships/hyperlink" Target="https://www.simpleshowing.com/" TargetMode="External"/><Relationship Id="rId7239" Type="http://schemas.openxmlformats.org/officeDocument/2006/relationships/hyperlink" Target="https://www.simpleshowing.com/" TargetMode="External"/><Relationship Id="rId11618" Type="http://schemas.openxmlformats.org/officeDocument/2006/relationships/hyperlink" Target="https://www.installeronline.co.uk/news/brits-want-smart-thermostats-2020-says-new-report/" TargetMode="External"/><Relationship Id="rId13040" Type="http://schemas.openxmlformats.org/officeDocument/2006/relationships/hyperlink" Target="https://www.shma.co.uk/" TargetMode="External"/><Relationship Id="rId2798" Type="http://schemas.openxmlformats.org/officeDocument/2006/relationships/hyperlink" Target="https://www.tampabay28.com/news/local-news/i-team-investigates/florida-homebuyers-want-more-oversight-of-private-inspectors" TargetMode="External"/><Relationship Id="rId3849" Type="http://schemas.openxmlformats.org/officeDocument/2006/relationships/hyperlink" Target="https://www.simpleshowing.com/" TargetMode="External"/><Relationship Id="rId5271" Type="http://schemas.openxmlformats.org/officeDocument/2006/relationships/hyperlink" Target="https://www.upsilonit.com/blog/how-to-get-funding-for-a-startup-business" TargetMode="External"/><Relationship Id="rId7720" Type="http://schemas.openxmlformats.org/officeDocument/2006/relationships/hyperlink" Target="https://www.simpleshowing.com/" TargetMode="External"/><Relationship Id="rId10701" Type="http://schemas.openxmlformats.org/officeDocument/2006/relationships/hyperlink" Target="https://www.pinoyeplans.com/" TargetMode="External"/><Relationship Id="rId16263" Type="http://schemas.openxmlformats.org/officeDocument/2006/relationships/hyperlink" Target="https://alan-allison-88.firebaseapp.com/living-room-with-carpet-flooring.html" TargetMode="External"/><Relationship Id="rId6322" Type="http://schemas.openxmlformats.org/officeDocument/2006/relationships/hyperlink" Target="https://www.simpleshowing.com/" TargetMode="External"/><Relationship Id="rId9892" Type="http://schemas.openxmlformats.org/officeDocument/2006/relationships/hyperlink" Target="https://www.teachengineering.org/" TargetMode="External"/><Relationship Id="rId12873" Type="http://schemas.openxmlformats.org/officeDocument/2006/relationships/hyperlink" Target="https://www.cbinsights.com/company/shakespeare-martineau" TargetMode="External"/><Relationship Id="rId13924" Type="http://schemas.openxmlformats.org/officeDocument/2006/relationships/hyperlink" Target="https://myinteriorpalace.com/" TargetMode="External"/><Relationship Id="rId1881" Type="http://schemas.openxmlformats.org/officeDocument/2006/relationships/hyperlink" Target="https://www.simpleshowing.com/" TargetMode="External"/><Relationship Id="rId2932" Type="http://schemas.openxmlformats.org/officeDocument/2006/relationships/hyperlink" Target="https://www.pulte.com/" TargetMode="External"/><Relationship Id="rId8494" Type="http://schemas.openxmlformats.org/officeDocument/2006/relationships/hyperlink" Target="https://www.mindmingles.com/the-role-of-360-degree-virtual-tours-in-visual-search-optimization-for-ecommerce/" TargetMode="External"/><Relationship Id="rId9545" Type="http://schemas.openxmlformats.org/officeDocument/2006/relationships/hyperlink" Target="https://www.aceonline.org/page/HandsOnActivities" TargetMode="External"/><Relationship Id="rId11475" Type="http://schemas.openxmlformats.org/officeDocument/2006/relationships/hyperlink" Target="https://sellhousefast.uk/" TargetMode="External"/><Relationship Id="rId12526" Type="http://schemas.openxmlformats.org/officeDocument/2006/relationships/hyperlink" Target="https://propertypressonline.co.uk/" TargetMode="External"/><Relationship Id="rId904" Type="http://schemas.openxmlformats.org/officeDocument/2006/relationships/hyperlink" Target="https://www.matrixbasements.com/" TargetMode="External"/><Relationship Id="rId1534" Type="http://schemas.openxmlformats.org/officeDocument/2006/relationships/hyperlink" Target="https://wolfriverelectric.com/" TargetMode="External"/><Relationship Id="rId7096" Type="http://schemas.openxmlformats.org/officeDocument/2006/relationships/hyperlink" Target="https://www.simpleshowing.com/" TargetMode="External"/><Relationship Id="rId8147" Type="http://schemas.openxmlformats.org/officeDocument/2006/relationships/hyperlink" Target="https://www.pinoyeplans.com/" TargetMode="External"/><Relationship Id="rId10077" Type="http://schemas.openxmlformats.org/officeDocument/2006/relationships/hyperlink" Target="https://www.pinoyeplans.com/" TargetMode="External"/><Relationship Id="rId11128" Type="http://schemas.openxmlformats.org/officeDocument/2006/relationships/hyperlink" Target="https://www.gardenswithwings.com/knowledge-nook/excess-moisture-impact-garden" TargetMode="External"/><Relationship Id="rId14698" Type="http://schemas.openxmlformats.org/officeDocument/2006/relationships/hyperlink" Target="https://myinteriorpalace.com/" TargetMode="External"/><Relationship Id="rId4757" Type="http://schemas.openxmlformats.org/officeDocument/2006/relationships/hyperlink" Target="https://www.kapre.com/" TargetMode="External"/><Relationship Id="rId15749" Type="http://schemas.openxmlformats.org/officeDocument/2006/relationships/hyperlink" Target="https://www.modinex.com.au/" TargetMode="External"/><Relationship Id="rId3359" Type="http://schemas.openxmlformats.org/officeDocument/2006/relationships/hyperlink" Target="https://southern-energy.com/triangle-parade-of-homes-2019/" TargetMode="External"/><Relationship Id="rId5808" Type="http://schemas.openxmlformats.org/officeDocument/2006/relationships/hyperlink" Target="https://www.simpleshowing.com/" TargetMode="External"/><Relationship Id="rId7230" Type="http://schemas.openxmlformats.org/officeDocument/2006/relationships/hyperlink" Target="https://www.simpleshowing.com/" TargetMode="External"/><Relationship Id="rId10211" Type="http://schemas.openxmlformats.org/officeDocument/2006/relationships/hyperlink" Target="https://k12.thoughtfullearning.com/inquireEL_resources" TargetMode="External"/><Relationship Id="rId13781" Type="http://schemas.openxmlformats.org/officeDocument/2006/relationships/hyperlink" Target="https://anationofmoms.com/" TargetMode="External"/><Relationship Id="rId14832" Type="http://schemas.openxmlformats.org/officeDocument/2006/relationships/hyperlink" Target="https://www.yellowpages.com.au/nsw/erina/fluid-plumbing-15254217-listing.html" TargetMode="External"/><Relationship Id="rId3840" Type="http://schemas.openxmlformats.org/officeDocument/2006/relationships/hyperlink" Target="https://www.simpleshowing.com/" TargetMode="External"/><Relationship Id="rId9055" Type="http://schemas.openxmlformats.org/officeDocument/2006/relationships/hyperlink" Target="https://nycestimating.us/" TargetMode="External"/><Relationship Id="rId12383" Type="http://schemas.openxmlformats.org/officeDocument/2006/relationships/hyperlink" Target="https://app.welcometothejungle.com/companies/StuRents" TargetMode="External"/><Relationship Id="rId13434" Type="http://schemas.openxmlformats.org/officeDocument/2006/relationships/hyperlink" Target="https://lovechicliving.co.uk/easiest-way-add-depth-style-your-garden/" TargetMode="External"/><Relationship Id="rId761" Type="http://schemas.openxmlformats.org/officeDocument/2006/relationships/hyperlink" Target="https://www.simpleshowing.com/" TargetMode="External"/><Relationship Id="rId1391" Type="http://schemas.openxmlformats.org/officeDocument/2006/relationships/hyperlink" Target="https://www.quickanddirtytips.com/articles/5-signs-its-time-to-replace-your-bathtub-in-montgomery-county/" TargetMode="External"/><Relationship Id="rId2442" Type="http://schemas.openxmlformats.org/officeDocument/2006/relationships/hyperlink" Target="https://www.simpleshowing.com/" TargetMode="External"/><Relationship Id="rId12036" Type="http://schemas.openxmlformats.org/officeDocument/2006/relationships/hyperlink" Target="https://www.hamiltoninternationalestates.com/" TargetMode="External"/><Relationship Id="rId414" Type="http://schemas.openxmlformats.org/officeDocument/2006/relationships/hyperlink" Target="https://www.carolinadesigns.com/" TargetMode="External"/><Relationship Id="rId1044" Type="http://schemas.openxmlformats.org/officeDocument/2006/relationships/hyperlink" Target="https://www.simpleshowing.com/" TargetMode="External"/><Relationship Id="rId5665" Type="http://schemas.openxmlformats.org/officeDocument/2006/relationships/hyperlink" Target="https://widebaykids.com.au/making-your-dollar-stretch/" TargetMode="External"/><Relationship Id="rId6716" Type="http://schemas.openxmlformats.org/officeDocument/2006/relationships/hyperlink" Target="https://coupons.nowtolove.com.au/eplanters" TargetMode="External"/><Relationship Id="rId15259" Type="http://schemas.openxmlformats.org/officeDocument/2006/relationships/hyperlink" Target="https://myinteriorpalace.com/" TargetMode="External"/><Relationship Id="rId4267" Type="http://schemas.openxmlformats.org/officeDocument/2006/relationships/hyperlink" Target="https://www.simpleshowing.com/" TargetMode="External"/><Relationship Id="rId5318" Type="http://schemas.openxmlformats.org/officeDocument/2006/relationships/hyperlink" Target="https://www.simpleshowing.com/" TargetMode="External"/><Relationship Id="rId8888" Type="http://schemas.openxmlformats.org/officeDocument/2006/relationships/hyperlink" Target="https://unbelievable-facts.com/list/interesting-facts/31" TargetMode="External"/><Relationship Id="rId9939" Type="http://schemas.openxmlformats.org/officeDocument/2006/relationships/hyperlink" Target="https://www.pinoyeplans.com/" TargetMode="External"/><Relationship Id="rId11869" Type="http://schemas.openxmlformats.org/officeDocument/2006/relationships/hyperlink" Target="https://sellhousefast.uk/" TargetMode="External"/><Relationship Id="rId15740" Type="http://schemas.openxmlformats.org/officeDocument/2006/relationships/hyperlink" Target="https://www.modinex.com.au/" TargetMode="External"/><Relationship Id="rId1928" Type="http://schemas.openxmlformats.org/officeDocument/2006/relationships/hyperlink" Target="https://www.smartbusinessdaily.com/sell-your-business-fast-or-for-maximum-value" TargetMode="External"/><Relationship Id="rId3350" Type="http://schemas.openxmlformats.org/officeDocument/2006/relationships/hyperlink" Target="https://www.ironvalleyrealestate.com/property/24-O6289091-6799-Willow-View-Avenue-Orlando-FL-32829/" TargetMode="External"/><Relationship Id="rId13291" Type="http://schemas.openxmlformats.org/officeDocument/2006/relationships/hyperlink" Target="https://propertypressonline.co.uk/" TargetMode="External"/><Relationship Id="rId14342" Type="http://schemas.openxmlformats.org/officeDocument/2006/relationships/hyperlink" Target="https://luxurylifestyle.com/" TargetMode="External"/><Relationship Id="rId271" Type="http://schemas.openxmlformats.org/officeDocument/2006/relationships/hyperlink" Target="https://www.theenvironmentalblog.org/2024/12/the-real-costs-and-savings-of-switching-to-solar/" TargetMode="External"/><Relationship Id="rId3003" Type="http://schemas.openxmlformats.org/officeDocument/2006/relationships/hyperlink" Target="https://www.simpleshowing.com/" TargetMode="External"/><Relationship Id="rId4401" Type="http://schemas.openxmlformats.org/officeDocument/2006/relationships/hyperlink" Target="https://sidehustleschool.com/episode/181/" TargetMode="External"/><Relationship Id="rId7971" Type="http://schemas.openxmlformats.org/officeDocument/2006/relationships/hyperlink" Target="https://distinctiveroofing.net/" TargetMode="External"/><Relationship Id="rId10952" Type="http://schemas.openxmlformats.org/officeDocument/2006/relationships/hyperlink" Target="https://content.govdelivery.com/accounts/USNOAANOS/bulletins/3926807" TargetMode="External"/><Relationship Id="rId6573" Type="http://schemas.openxmlformats.org/officeDocument/2006/relationships/hyperlink" Target="https://around-the-house-pro-insider.captivate.fm/episode/thermasol-showers" TargetMode="External"/><Relationship Id="rId7624" Type="http://schemas.openxmlformats.org/officeDocument/2006/relationships/hyperlink" Target="https://www.simpleshowing.com/" TargetMode="External"/><Relationship Id="rId10605" Type="http://schemas.openxmlformats.org/officeDocument/2006/relationships/hyperlink" Target="https://www.pinoyeplans.com/" TargetMode="External"/><Relationship Id="rId16167" Type="http://schemas.openxmlformats.org/officeDocument/2006/relationships/hyperlink" Target="https://www.thomsonlocal.com/search/carpets/nottingham/united-carpets-beds/1875577/01159209331" TargetMode="External"/><Relationship Id="rId5175" Type="http://schemas.openxmlformats.org/officeDocument/2006/relationships/hyperlink" Target="https://www.agilitypr.com/pr-news/content-media-relations/7-ways-to-turn-a-one-time-media-mention-into-ongoing-press-coverage/" TargetMode="External"/><Relationship Id="rId6226" Type="http://schemas.openxmlformats.org/officeDocument/2006/relationships/hyperlink" Target="https://www.simpleshowing.com/" TargetMode="External"/><Relationship Id="rId9796" Type="http://schemas.openxmlformats.org/officeDocument/2006/relationships/hyperlink" Target="https://www.teachengineering.org/" TargetMode="External"/><Relationship Id="rId12777" Type="http://schemas.openxmlformats.org/officeDocument/2006/relationships/hyperlink" Target="https://bmmagazine.co.uk/opinion/tv-comedy-series-sheds-light-on-family-business-disputes/" TargetMode="External"/><Relationship Id="rId1785" Type="http://schemas.openxmlformats.org/officeDocument/2006/relationships/hyperlink" Target="https://www.simpleshowing.com/" TargetMode="External"/><Relationship Id="rId2836" Type="http://schemas.openxmlformats.org/officeDocument/2006/relationships/hyperlink" Target="https://www.pulte.com/" TargetMode="External"/><Relationship Id="rId8398" Type="http://schemas.openxmlformats.org/officeDocument/2006/relationships/hyperlink" Target="https://dailytrust.com/your-guide-to-professional-flood-restoration-what-really-happens-after-water-damage/" TargetMode="External"/><Relationship Id="rId9449" Type="http://schemas.openxmlformats.org/officeDocument/2006/relationships/hyperlink" Target="https://www.physicsclassroom.com/Teacher-Toolkits/Roller-Coaster-Physics/Roller-Coaster-Physics-Complete-ToolKit" TargetMode="External"/><Relationship Id="rId11379" Type="http://schemas.openxmlformats.org/officeDocument/2006/relationships/hyperlink" Target="http://webuyhouses.com/" TargetMode="External"/><Relationship Id="rId13828" Type="http://schemas.openxmlformats.org/officeDocument/2006/relationships/hyperlink" Target="https://myinteriorpalace.com/" TargetMode="External"/><Relationship Id="rId15250" Type="http://schemas.openxmlformats.org/officeDocument/2006/relationships/hyperlink" Target="https://myinteriorpalace.com/" TargetMode="External"/><Relationship Id="rId808" Type="http://schemas.openxmlformats.org/officeDocument/2006/relationships/hyperlink" Target="https://www.townplanner.com/comstock-park/mi/business/" TargetMode="External"/><Relationship Id="rId1438" Type="http://schemas.openxmlformats.org/officeDocument/2006/relationships/hyperlink" Target="https://ritewindow.com/blog/3-indicators-its-time-to-upgrade-your-shower-or-bath/" TargetMode="External"/><Relationship Id="rId7481" Type="http://schemas.openxmlformats.org/officeDocument/2006/relationships/hyperlink" Target="https://www.taylormorrison.com/" TargetMode="External"/><Relationship Id="rId9930" Type="http://schemas.openxmlformats.org/officeDocument/2006/relationships/hyperlink" Target="https://www.pinoyeplans.com/" TargetMode="External"/><Relationship Id="rId11860" Type="http://schemas.openxmlformats.org/officeDocument/2006/relationships/hyperlink" Target="https://sellhousefast.uk/" TargetMode="External"/><Relationship Id="rId12911" Type="http://schemas.openxmlformats.org/officeDocument/2006/relationships/hyperlink" Target="https://www.shma.co.uk/" TargetMode="External"/><Relationship Id="rId6083" Type="http://schemas.openxmlformats.org/officeDocument/2006/relationships/hyperlink" Target="https://mytunbridgewells.com/spending-plan/" TargetMode="External"/><Relationship Id="rId7134" Type="http://schemas.openxmlformats.org/officeDocument/2006/relationships/hyperlink" Target="https://www.taylormorrison.com/" TargetMode="External"/><Relationship Id="rId8532" Type="http://schemas.openxmlformats.org/officeDocument/2006/relationships/hyperlink" Target="https://www.cylind.com/" TargetMode="External"/><Relationship Id="rId10462" Type="http://schemas.openxmlformats.org/officeDocument/2006/relationships/hyperlink" Target="https://www.teachengineering.org/" TargetMode="External"/><Relationship Id="rId11513" Type="http://schemas.openxmlformats.org/officeDocument/2006/relationships/hyperlink" Target="https://www.hamiltoninternationalestates.com/" TargetMode="External"/><Relationship Id="rId10115" Type="http://schemas.openxmlformats.org/officeDocument/2006/relationships/hyperlink" Target="https://shesc.asu.edu/centers/CleanIndoorAir/learn" TargetMode="External"/><Relationship Id="rId13685" Type="http://schemas.openxmlformats.org/officeDocument/2006/relationships/hyperlink" Target="https://anationofmoms.com/" TargetMode="External"/><Relationship Id="rId14736" Type="http://schemas.openxmlformats.org/officeDocument/2006/relationships/hyperlink" Target="https://thehometrotters.com/broken-garage-doors-in-houston-costs-and-repair-tips/" TargetMode="External"/><Relationship Id="rId2693" Type="http://schemas.openxmlformats.org/officeDocument/2006/relationships/hyperlink" Target="https://town-n-country-living.com/industrial-chic-model-home.html" TargetMode="External"/><Relationship Id="rId3744" Type="http://schemas.openxmlformats.org/officeDocument/2006/relationships/hyperlink" Target="https://www.simpleshowing.com/" TargetMode="External"/><Relationship Id="rId12287" Type="http://schemas.openxmlformats.org/officeDocument/2006/relationships/hyperlink" Target="https://find.icaew.com/firms/henley-on-thames/kench-and-co-ltd-bas/4I0EC" TargetMode="External"/><Relationship Id="rId13338" Type="http://schemas.openxmlformats.org/officeDocument/2006/relationships/hyperlink" Target="http://apexchamber.chambermaster.com/list/member/a1-floors-llc-7214" TargetMode="External"/><Relationship Id="rId665" Type="http://schemas.openxmlformats.org/officeDocument/2006/relationships/hyperlink" Target="https://www.simpleshowing.com/" TargetMode="External"/><Relationship Id="rId1295" Type="http://schemas.openxmlformats.org/officeDocument/2006/relationships/hyperlink" Target="https://traveltweaks.com/from-resorts-to-residency-travel-destinations-that-offer-citizenship-by-investment-68855/" TargetMode="External"/><Relationship Id="rId2346" Type="http://schemas.openxmlformats.org/officeDocument/2006/relationships/hyperlink" Target="https://www.simpleshowing.com/" TargetMode="External"/><Relationship Id="rId6967" Type="http://schemas.openxmlformats.org/officeDocument/2006/relationships/hyperlink" Target="https://www.simpleshowing.com/" TargetMode="External"/><Relationship Id="rId318" Type="http://schemas.openxmlformats.org/officeDocument/2006/relationships/hyperlink" Target="http://northernvirginiahomepro.com/" TargetMode="External"/><Relationship Id="rId5569" Type="http://schemas.openxmlformats.org/officeDocument/2006/relationships/hyperlink" Target="https://www.countingtoten.co.uk/2022/03/reasons-to-get-finances-in-order.html" TargetMode="External"/><Relationship Id="rId9440" Type="http://schemas.openxmlformats.org/officeDocument/2006/relationships/hyperlink" Target="https://www.ucf.edu/online/engineering/news/five-stem-space-activities/" TargetMode="External"/><Relationship Id="rId8042" Type="http://schemas.openxmlformats.org/officeDocument/2006/relationships/hyperlink" Target="https://indyroofandrestoration.com/" TargetMode="External"/><Relationship Id="rId11370" Type="http://schemas.openxmlformats.org/officeDocument/2006/relationships/hyperlink" Target="http://webuyhouses.com/" TargetMode="External"/><Relationship Id="rId12421" Type="http://schemas.openxmlformats.org/officeDocument/2006/relationships/hyperlink" Target="https://sturents.com/" TargetMode="External"/><Relationship Id="rId15991" Type="http://schemas.openxmlformats.org/officeDocument/2006/relationships/hyperlink" Target="https://myinteriorpalace.com/" TargetMode="External"/><Relationship Id="rId11023" Type="http://schemas.openxmlformats.org/officeDocument/2006/relationships/hyperlink" Target="https://www.teachengineering.org/" TargetMode="External"/><Relationship Id="rId14593" Type="http://schemas.openxmlformats.org/officeDocument/2006/relationships/hyperlink" Target="https://myinteriorpalace.com/" TargetMode="External"/><Relationship Id="rId15644" Type="http://schemas.openxmlformats.org/officeDocument/2006/relationships/hyperlink" Target="https://www.luxdeco.com/" TargetMode="External"/><Relationship Id="rId4652" Type="http://schemas.openxmlformats.org/officeDocument/2006/relationships/hyperlink" Target="https://www.kapre.com/" TargetMode="External"/><Relationship Id="rId5703" Type="http://schemas.openxmlformats.org/officeDocument/2006/relationships/hyperlink" Target="https://tourdaufuskie.com/blog/quick-sale-vs-short-sale-what-sellers-should-know/" TargetMode="External"/><Relationship Id="rId13195" Type="http://schemas.openxmlformats.org/officeDocument/2006/relationships/hyperlink" Target="https://propertypressonline.co.uk/" TargetMode="External"/><Relationship Id="rId14246" Type="http://schemas.openxmlformats.org/officeDocument/2006/relationships/hyperlink" Target="https://luxurylifestyle.com/" TargetMode="External"/><Relationship Id="rId175" Type="http://schemas.openxmlformats.org/officeDocument/2006/relationships/hyperlink" Target="https://www.realtynxt.com/" TargetMode="External"/><Relationship Id="rId3254" Type="http://schemas.openxmlformats.org/officeDocument/2006/relationships/hyperlink" Target="https://opencw.aprende.org/courses/civil-and-environmental-engineering/1-46-strategic-management-in-the-design-and-construction-value-chain-fall-2003/assignments/" TargetMode="External"/><Relationship Id="rId4305" Type="http://schemas.openxmlformats.org/officeDocument/2006/relationships/hyperlink" Target="https://connecteam.com/start-a-real-estate-business/" TargetMode="External"/><Relationship Id="rId7875" Type="http://schemas.openxmlformats.org/officeDocument/2006/relationships/hyperlink" Target="https://trustroofing.com/" TargetMode="External"/><Relationship Id="rId8926" Type="http://schemas.openxmlformats.org/officeDocument/2006/relationships/hyperlink" Target="https://nycestimating.us/" TargetMode="External"/><Relationship Id="rId10856" Type="http://schemas.openxmlformats.org/officeDocument/2006/relationships/hyperlink" Target="https://clixplatform.tiss.edu/58e604ed69602a0147642372/course/activity/detail/591030a469602a013c41ad85" TargetMode="External"/><Relationship Id="rId6477" Type="http://schemas.openxmlformats.org/officeDocument/2006/relationships/hyperlink" Target="https://www.thermasol.com/" TargetMode="External"/><Relationship Id="rId7528" Type="http://schemas.openxmlformats.org/officeDocument/2006/relationships/hyperlink" Target="https://www.simpleshowing.com/" TargetMode="External"/><Relationship Id="rId10509" Type="http://schemas.openxmlformats.org/officeDocument/2006/relationships/hyperlink" Target="https://www.pinoyeplans.com/" TargetMode="External"/><Relationship Id="rId11907" Type="http://schemas.openxmlformats.org/officeDocument/2006/relationships/hyperlink" Target="https://www.hamiltoninternationalestates.com/" TargetMode="External"/><Relationship Id="rId5079" Type="http://schemas.openxmlformats.org/officeDocument/2006/relationships/hyperlink" Target="https://www.chatbase.co/blog/ai-project-ideas" TargetMode="External"/><Relationship Id="rId1689" Type="http://schemas.openxmlformats.org/officeDocument/2006/relationships/hyperlink" Target="https://www.simpleshowing.com/" TargetMode="External"/><Relationship Id="rId5560" Type="http://schemas.openxmlformats.org/officeDocument/2006/relationships/hyperlink" Target="https://www.simpleshowing.com/" TargetMode="External"/><Relationship Id="rId15154" Type="http://schemas.openxmlformats.org/officeDocument/2006/relationships/hyperlink" Target="https://myinteriorpalace.com/" TargetMode="External"/><Relationship Id="rId4162" Type="http://schemas.openxmlformats.org/officeDocument/2006/relationships/hyperlink" Target="https://www.simpleshowing.com/" TargetMode="External"/><Relationship Id="rId5213" Type="http://schemas.openxmlformats.org/officeDocument/2006/relationships/hyperlink" Target="https://www.jobleads.com/career-advice/why-cant-I-find-a-job" TargetMode="External"/><Relationship Id="rId6611" Type="http://schemas.openxmlformats.org/officeDocument/2006/relationships/hyperlink" Target="https://www.simpleshowing.com/" TargetMode="External"/><Relationship Id="rId16205" Type="http://schemas.openxmlformats.org/officeDocument/2006/relationships/hyperlink" Target="https://www.unitedcarpetsandbeds.com/" TargetMode="External"/><Relationship Id="rId8783" Type="http://schemas.openxmlformats.org/officeDocument/2006/relationships/hyperlink" Target="https://www.pinoyeplans.com/" TargetMode="External"/><Relationship Id="rId9834" Type="http://schemas.openxmlformats.org/officeDocument/2006/relationships/hyperlink" Target="https://www.pinoyeplans.com/" TargetMode="External"/><Relationship Id="rId11764" Type="http://schemas.openxmlformats.org/officeDocument/2006/relationships/hyperlink" Target="https://sellhousefast.uk/" TargetMode="External"/><Relationship Id="rId12815" Type="http://schemas.openxmlformats.org/officeDocument/2006/relationships/hyperlink" Target="https://www.shma.co.uk/" TargetMode="External"/><Relationship Id="rId48" Type="http://schemas.openxmlformats.org/officeDocument/2006/relationships/hyperlink" Target="http://whatutalkingboutwillis.com/" TargetMode="External"/><Relationship Id="rId1823" Type="http://schemas.openxmlformats.org/officeDocument/2006/relationships/hyperlink" Target="https://rivergrandrapids.com/ixp/691/p/summer-storms-could-mean-big-blackouts-for-michigan/" TargetMode="External"/><Relationship Id="rId7385" Type="http://schemas.openxmlformats.org/officeDocument/2006/relationships/hyperlink" Target="https://www.simpleshowing.com/" TargetMode="External"/><Relationship Id="rId8436" Type="http://schemas.openxmlformats.org/officeDocument/2006/relationships/hyperlink" Target="https://www.cylind.com/" TargetMode="External"/><Relationship Id="rId10366" Type="http://schemas.openxmlformats.org/officeDocument/2006/relationships/hyperlink" Target="https://www.teachengineering.org/" TargetMode="External"/><Relationship Id="rId11417" Type="http://schemas.openxmlformats.org/officeDocument/2006/relationships/hyperlink" Target="https://www.hamiltoninternationalestates.com/" TargetMode="External"/><Relationship Id="rId14987" Type="http://schemas.openxmlformats.org/officeDocument/2006/relationships/hyperlink" Target="https://www.luxdeco.com/" TargetMode="External"/><Relationship Id="rId3995" Type="http://schemas.openxmlformats.org/officeDocument/2006/relationships/hyperlink" Target="https://guruhitech.com/the-benefits-of-working-with-local-home-solar-installers/" TargetMode="External"/><Relationship Id="rId7038" Type="http://schemas.openxmlformats.org/officeDocument/2006/relationships/hyperlink" Target="https://coloradoavidgolfer.com/final-opportunity-willowcroft-manor/" TargetMode="External"/><Relationship Id="rId10019" Type="http://schemas.openxmlformats.org/officeDocument/2006/relationships/hyperlink" Target="https://www.24houranswers.com/subjects/Physics/Fluid-Dynamics" TargetMode="External"/><Relationship Id="rId13589" Type="http://schemas.openxmlformats.org/officeDocument/2006/relationships/hyperlink" Target="https://anationofmoms.com/" TargetMode="External"/><Relationship Id="rId2597" Type="http://schemas.openxmlformats.org/officeDocument/2006/relationships/hyperlink" Target="https://sanjoserealestatelosgatoshomes.com/altura-neighborhood/" TargetMode="External"/><Relationship Id="rId3648" Type="http://schemas.openxmlformats.org/officeDocument/2006/relationships/hyperlink" Target="https://www.simpleshowing.com/" TargetMode="External"/><Relationship Id="rId16062" Type="http://schemas.openxmlformats.org/officeDocument/2006/relationships/hyperlink" Target="https://creativedoor.com/blog/richards-wilcox-contemporary-rockwood-series" TargetMode="External"/><Relationship Id="rId569" Type="http://schemas.openxmlformats.org/officeDocument/2006/relationships/hyperlink" Target="https://www.simpleshowing.com/" TargetMode="External"/><Relationship Id="rId1199" Type="http://schemas.openxmlformats.org/officeDocument/2006/relationships/hyperlink" Target="https://threebestrated.co.uk/removal-companies-in-slough" TargetMode="External"/><Relationship Id="rId5070" Type="http://schemas.openxmlformats.org/officeDocument/2006/relationships/hyperlink" Target="https://www.simpleshowing.com/" TargetMode="External"/><Relationship Id="rId6121" Type="http://schemas.openxmlformats.org/officeDocument/2006/relationships/hyperlink" Target="https://www.culturaldaily.com/adjusting-your-financial-plan/" TargetMode="External"/><Relationship Id="rId9691" Type="http://schemas.openxmlformats.org/officeDocument/2006/relationships/hyperlink" Target="https://www.teachengineering.org/" TargetMode="External"/><Relationship Id="rId10500" Type="http://schemas.openxmlformats.org/officeDocument/2006/relationships/hyperlink" Target="https://www.pinoyeplans.com/" TargetMode="External"/><Relationship Id="rId8293" Type="http://schemas.openxmlformats.org/officeDocument/2006/relationships/hyperlink" Target="https://www.sheppnews.com.au/general/how-lighting-can-make-or-break-a-small-bathroom-design/" TargetMode="External"/><Relationship Id="rId9344" Type="http://schemas.openxmlformats.org/officeDocument/2006/relationships/hyperlink" Target="https://www.lgcypower.com/sun-and-solar-stem-experiments-for-kids/" TargetMode="External"/><Relationship Id="rId12672" Type="http://schemas.openxmlformats.org/officeDocument/2006/relationships/hyperlink" Target="https://www.pourmoi.co.uk/blog/nowtrending-the-pants-prenup" TargetMode="External"/><Relationship Id="rId13723" Type="http://schemas.openxmlformats.org/officeDocument/2006/relationships/hyperlink" Target="https://myinteriorpalace.com/" TargetMode="External"/><Relationship Id="rId1680" Type="http://schemas.openxmlformats.org/officeDocument/2006/relationships/hyperlink" Target="https://www.simpleshowing.com/" TargetMode="External"/><Relationship Id="rId2731" Type="http://schemas.openxmlformats.org/officeDocument/2006/relationships/hyperlink" Target="https://www.pulte.com/" TargetMode="External"/><Relationship Id="rId11274" Type="http://schemas.openxmlformats.org/officeDocument/2006/relationships/hyperlink" Target="https://www.waterdamagespecialist.com.au/" TargetMode="External"/><Relationship Id="rId12325" Type="http://schemas.openxmlformats.org/officeDocument/2006/relationships/hyperlink" Target="https://sturents.com/" TargetMode="External"/><Relationship Id="rId15895" Type="http://schemas.openxmlformats.org/officeDocument/2006/relationships/hyperlink" Target="https://myinteriorpalace.com/" TargetMode="External"/><Relationship Id="rId703" Type="http://schemas.openxmlformats.org/officeDocument/2006/relationships/hyperlink" Target="https://soaringbear.tripod.com/misc/DC.html" TargetMode="External"/><Relationship Id="rId1333" Type="http://schemas.openxmlformats.org/officeDocument/2006/relationships/hyperlink" Target="https://darscover.com/" TargetMode="External"/><Relationship Id="rId5954" Type="http://schemas.openxmlformats.org/officeDocument/2006/relationships/hyperlink" Target="https://www.simpleshowing.com/" TargetMode="External"/><Relationship Id="rId14497" Type="http://schemas.openxmlformats.org/officeDocument/2006/relationships/hyperlink" Target="https://myinteriorpalace.com/" TargetMode="External"/><Relationship Id="rId15548" Type="http://schemas.openxmlformats.org/officeDocument/2006/relationships/hyperlink" Target="https://www.luxdeco.com/" TargetMode="External"/><Relationship Id="rId4556" Type="http://schemas.openxmlformats.org/officeDocument/2006/relationships/hyperlink" Target="https://www.kapre.com/" TargetMode="External"/><Relationship Id="rId5607" Type="http://schemas.openxmlformats.org/officeDocument/2006/relationships/hyperlink" Target="https://www.agicent.com/blog/key-factors-that-influence-credit-decision-making/" TargetMode="External"/><Relationship Id="rId13099" Type="http://schemas.openxmlformats.org/officeDocument/2006/relationships/hyperlink" Target="https://propertypressonline.co.uk/" TargetMode="External"/><Relationship Id="rId3158" Type="http://schemas.openxmlformats.org/officeDocument/2006/relationships/hyperlink" Target="https://www.gulfshorebusiness.com/this-week-in-real-estate-june-10-16/" TargetMode="External"/><Relationship Id="rId4209" Type="http://schemas.openxmlformats.org/officeDocument/2006/relationships/hyperlink" Target="https://www.wwnytv.com/2024/05/27/high-school-seniors-can-now-get-real-estate-license-free-this-state/" TargetMode="External"/><Relationship Id="rId7779" Type="http://schemas.openxmlformats.org/officeDocument/2006/relationships/hyperlink" Target="https://www.simpleshowing.com/" TargetMode="External"/><Relationship Id="rId10010" Type="http://schemas.openxmlformats.org/officeDocument/2006/relationships/hyperlink" Target="https://www.imperialmovers.com/blog/what-is-a-furniture-lifter/" TargetMode="External"/><Relationship Id="rId12182" Type="http://schemas.openxmlformats.org/officeDocument/2006/relationships/hyperlink" Target="https://prudentreviews.com/liquid-plumr-vs-drano/" TargetMode="External"/><Relationship Id="rId13580" Type="http://schemas.openxmlformats.org/officeDocument/2006/relationships/hyperlink" Target="https://anationofmoms.com/" TargetMode="External"/><Relationship Id="rId14631" Type="http://schemas.openxmlformats.org/officeDocument/2006/relationships/hyperlink" Target="https://www.freshdesignblog.com/2024/12/how-much-does-it-cost-to-repair-an-overhead-garage-door-in-the-houston-area/" TargetMode="External"/><Relationship Id="rId560" Type="http://schemas.openxmlformats.org/officeDocument/2006/relationships/hyperlink" Target="https://www.simpleshowing.com/" TargetMode="External"/><Relationship Id="rId1190" Type="http://schemas.openxmlformats.org/officeDocument/2006/relationships/hyperlink" Target="https://lovechicliving.co.uk/guide-packing-before-moving/" TargetMode="External"/><Relationship Id="rId2241" Type="http://schemas.openxmlformats.org/officeDocument/2006/relationships/hyperlink" Target="https://www.simpleshowing.com/" TargetMode="External"/><Relationship Id="rId13233" Type="http://schemas.openxmlformats.org/officeDocument/2006/relationships/hyperlink" Target="https://airbtics.com/airbnb-regulations-in-liverpool/" TargetMode="External"/><Relationship Id="rId213" Type="http://schemas.openxmlformats.org/officeDocument/2006/relationships/hyperlink" Target="http://northernvirginiahomepro.com/" TargetMode="External"/><Relationship Id="rId6862" Type="http://schemas.openxmlformats.org/officeDocument/2006/relationships/hyperlink" Target="https://www.taylormorrison.com/" TargetMode="External"/><Relationship Id="rId7913" Type="http://schemas.openxmlformats.org/officeDocument/2006/relationships/hyperlink" Target="https://www.pinoyeplans.com/" TargetMode="External"/><Relationship Id="rId4066" Type="http://schemas.openxmlformats.org/officeDocument/2006/relationships/hyperlink" Target="https://oop.ky.gov/education.aspx" TargetMode="External"/><Relationship Id="rId5464" Type="http://schemas.openxmlformats.org/officeDocument/2006/relationships/hyperlink" Target="https://www.simpleshowing.com/" TargetMode="External"/><Relationship Id="rId6515" Type="http://schemas.openxmlformats.org/officeDocument/2006/relationships/hyperlink" Target="https://www.thermasol.com/" TargetMode="External"/><Relationship Id="rId15058" Type="http://schemas.openxmlformats.org/officeDocument/2006/relationships/hyperlink" Target="https://myinteriorpalace.com/" TargetMode="External"/><Relationship Id="rId16109" Type="http://schemas.openxmlformats.org/officeDocument/2006/relationships/hyperlink" Target="https://www.rwdoors.com/" TargetMode="External"/><Relationship Id="rId5117" Type="http://schemas.openxmlformats.org/officeDocument/2006/relationships/hyperlink" Target="https://www.lizzieinlace.com/the-truth-about-why-i-quit-lularoe/" TargetMode="External"/><Relationship Id="rId8687" Type="http://schemas.openxmlformats.org/officeDocument/2006/relationships/hyperlink" Target="https://www.pinoyeplans.com/" TargetMode="External"/><Relationship Id="rId9738" Type="http://schemas.openxmlformats.org/officeDocument/2006/relationships/hyperlink" Target="https://www.pinoyeplans.com/" TargetMode="External"/><Relationship Id="rId11668" Type="http://schemas.openxmlformats.org/officeDocument/2006/relationships/hyperlink" Target="https://sellhousefast.uk/" TargetMode="External"/><Relationship Id="rId12719" Type="http://schemas.openxmlformats.org/officeDocument/2006/relationships/hyperlink" Target="https://www.shma.co.uk/" TargetMode="External"/><Relationship Id="rId1727" Type="http://schemas.openxmlformats.org/officeDocument/2006/relationships/hyperlink" Target="https://www.scotsman.com/community/data-reveals-driving-electric-pays-off-most-in-scotland-5177906" TargetMode="External"/><Relationship Id="rId7289" Type="http://schemas.openxmlformats.org/officeDocument/2006/relationships/hyperlink" Target="https://www.taylormorrison.com/" TargetMode="External"/><Relationship Id="rId13090" Type="http://schemas.openxmlformats.org/officeDocument/2006/relationships/hyperlink" Target="https://propertypressonline.co.uk/" TargetMode="External"/><Relationship Id="rId14141" Type="http://schemas.openxmlformats.org/officeDocument/2006/relationships/hyperlink" Target="https://keystonecustomdecksny.com/" TargetMode="External"/><Relationship Id="rId3899" Type="http://schemas.openxmlformats.org/officeDocument/2006/relationships/hyperlink" Target="https://katu.com/afternoon-live/lifestyle-health/unique-scholarships-in-2023" TargetMode="External"/><Relationship Id="rId4200" Type="http://schemas.openxmlformats.org/officeDocument/2006/relationships/hyperlink" Target="https://www.usrealtytraining.com/terms-conditions" TargetMode="External"/><Relationship Id="rId7770" Type="http://schemas.openxmlformats.org/officeDocument/2006/relationships/hyperlink" Target="https://www.simpleshowing.com/" TargetMode="External"/><Relationship Id="rId6372" Type="http://schemas.openxmlformats.org/officeDocument/2006/relationships/hyperlink" Target="https://www.simpleshowing.com/" TargetMode="External"/><Relationship Id="rId7423" Type="http://schemas.openxmlformats.org/officeDocument/2006/relationships/hyperlink" Target="https://www.simpleshowing.com/" TargetMode="External"/><Relationship Id="rId8821" Type="http://schemas.openxmlformats.org/officeDocument/2006/relationships/hyperlink" Target="https://www.trianglepest.com/" TargetMode="External"/><Relationship Id="rId10751" Type="http://schemas.openxmlformats.org/officeDocument/2006/relationships/hyperlink" Target="https://www.teachingchannel.com/k12-hub/blog/engineering-the-end-of-the-school-year/" TargetMode="External"/><Relationship Id="rId11802" Type="http://schemas.openxmlformats.org/officeDocument/2006/relationships/hyperlink" Target="https://www.hamiltoninternationalestates.com/" TargetMode="External"/><Relationship Id="rId6025" Type="http://schemas.openxmlformats.org/officeDocument/2006/relationships/hyperlink" Target="https://contentbase.com/blog/get-best-mortgage-rate/" TargetMode="External"/><Relationship Id="rId10404" Type="http://schemas.openxmlformats.org/officeDocument/2006/relationships/hyperlink" Target="https://www.pinoyeplans.com/" TargetMode="External"/><Relationship Id="rId13974" Type="http://schemas.openxmlformats.org/officeDocument/2006/relationships/hyperlink" Target="https://www.urbansplatter.com/2022/08/8-signs-you-need-to-replace-your-roof/" TargetMode="External"/><Relationship Id="rId2982" Type="http://schemas.openxmlformats.org/officeDocument/2006/relationships/hyperlink" Target="https://www.simpleshowing.com/" TargetMode="External"/><Relationship Id="rId8197" Type="http://schemas.openxmlformats.org/officeDocument/2006/relationships/hyperlink" Target="https://steviejackson.alboompro.com/post/Top-Rendering-Software" TargetMode="External"/><Relationship Id="rId9595" Type="http://schemas.openxmlformats.org/officeDocument/2006/relationships/hyperlink" Target="https://www.teachengineering.org/" TargetMode="External"/><Relationship Id="rId12576" Type="http://schemas.openxmlformats.org/officeDocument/2006/relationships/hyperlink" Target="https://www.legal500.com/firms/3787-shakespeare-martineau-llp/r-england/rankings" TargetMode="External"/><Relationship Id="rId13627" Type="http://schemas.openxmlformats.org/officeDocument/2006/relationships/hyperlink" Target="https://myinteriorpalace.com/" TargetMode="External"/><Relationship Id="rId954" Type="http://schemas.openxmlformats.org/officeDocument/2006/relationships/hyperlink" Target="https://www.simpleshowing.com/" TargetMode="External"/><Relationship Id="rId1584" Type="http://schemas.openxmlformats.org/officeDocument/2006/relationships/hyperlink" Target="https://www.simpleshowing.com/" TargetMode="External"/><Relationship Id="rId2635" Type="http://schemas.openxmlformats.org/officeDocument/2006/relationships/hyperlink" Target="https://www.pulte.com/" TargetMode="External"/><Relationship Id="rId9248" Type="http://schemas.openxmlformats.org/officeDocument/2006/relationships/hyperlink" Target="https://homenspice.com/signs-you-need-a-roof-replacement-before-its-too-late/" TargetMode="External"/><Relationship Id="rId11178" Type="http://schemas.openxmlformats.org/officeDocument/2006/relationships/hyperlink" Target="https://www.waterdamagespecialist.com.au/" TargetMode="External"/><Relationship Id="rId12229" Type="http://schemas.openxmlformats.org/officeDocument/2006/relationships/hyperlink" Target="https://marrons.co.uk/" TargetMode="External"/><Relationship Id="rId15799" Type="http://schemas.openxmlformats.org/officeDocument/2006/relationships/hyperlink" Target="https://myinteriorpalace.com/" TargetMode="External"/><Relationship Id="rId16100" Type="http://schemas.openxmlformats.org/officeDocument/2006/relationships/hyperlink" Target="https://www.rwdoors.com/" TargetMode="External"/><Relationship Id="rId607" Type="http://schemas.openxmlformats.org/officeDocument/2006/relationships/hyperlink" Target="https://outerbanksassociationofrealtors.growthzoneapp.com/member-directory/Details/kyle-tribett-2244098" TargetMode="External"/><Relationship Id="rId1237" Type="http://schemas.openxmlformats.org/officeDocument/2006/relationships/hyperlink" Target="https://happy2movelondon.co.uk/r" TargetMode="External"/><Relationship Id="rId5858" Type="http://schemas.openxmlformats.org/officeDocument/2006/relationships/hyperlink" Target="https://www.simpleshowing.com/" TargetMode="External"/><Relationship Id="rId6909" Type="http://schemas.openxmlformats.org/officeDocument/2006/relationships/hyperlink" Target="https://www.taylormorrison.com/" TargetMode="External"/><Relationship Id="rId7280" Type="http://schemas.openxmlformats.org/officeDocument/2006/relationships/hyperlink" Target="https://www.simpleshowing.com/" TargetMode="External"/><Relationship Id="rId8331" Type="http://schemas.openxmlformats.org/officeDocument/2006/relationships/hyperlink" Target="https://australiansecurecapital.com.au/" TargetMode="External"/><Relationship Id="rId10261" Type="http://schemas.openxmlformats.org/officeDocument/2006/relationships/hyperlink" Target="https://www.teachengineering.org/" TargetMode="External"/><Relationship Id="rId12710" Type="http://schemas.openxmlformats.org/officeDocument/2006/relationships/hyperlink" Target="https://www.shma.co.uk/" TargetMode="External"/><Relationship Id="rId11312" Type="http://schemas.openxmlformats.org/officeDocument/2006/relationships/hyperlink" Target="https://www.savemax.com/" TargetMode="External"/><Relationship Id="rId14882" Type="http://schemas.openxmlformats.org/officeDocument/2006/relationships/hyperlink" Target="https://www.fluidplumbingservices.com.au/" TargetMode="External"/><Relationship Id="rId15933" Type="http://schemas.openxmlformats.org/officeDocument/2006/relationships/hyperlink" Target="https://www.4specs.com/s/08/08-3618.html" TargetMode="External"/><Relationship Id="rId2492" Type="http://schemas.openxmlformats.org/officeDocument/2006/relationships/hyperlink" Target="https://www.seniorhomes.com/buying-a-home-to-age-in-place/" TargetMode="External"/><Relationship Id="rId3890" Type="http://schemas.openxmlformats.org/officeDocument/2006/relationships/hyperlink" Target="https://www.fastbase.com/countryindex/Canada/H/Hot-tub-repair-service" TargetMode="External"/><Relationship Id="rId4941" Type="http://schemas.openxmlformats.org/officeDocument/2006/relationships/hyperlink" Target="https://sociallifemagazine.com/the-archive/the-secret-hamptons-advertising-playbook-that-sells-10m-properties-in-48-hours/" TargetMode="External"/><Relationship Id="rId13484" Type="http://schemas.openxmlformats.org/officeDocument/2006/relationships/hyperlink" Target="https://anationofmoms.com/" TargetMode="External"/><Relationship Id="rId14535" Type="http://schemas.openxmlformats.org/officeDocument/2006/relationships/hyperlink" Target="https://www.quirkohub.com/right-commercial-garage-door-repair-service/" TargetMode="External"/><Relationship Id="rId464" Type="http://schemas.openxmlformats.org/officeDocument/2006/relationships/hyperlink" Target="https://www.simpleshowing.com/" TargetMode="External"/><Relationship Id="rId1094" Type="http://schemas.openxmlformats.org/officeDocument/2006/relationships/hyperlink" Target="https://www.cuindependent.com/redesigning-life-indoors-creating-spaces-to-match-how-you-unwind/" TargetMode="External"/><Relationship Id="rId2145" Type="http://schemas.openxmlformats.org/officeDocument/2006/relationships/hyperlink" Target="https://www.simpleshowing.com/" TargetMode="External"/><Relationship Id="rId3543" Type="http://schemas.openxmlformats.org/officeDocument/2006/relationships/hyperlink" Target="https://www.simpleshowing.com/" TargetMode="External"/><Relationship Id="rId12086" Type="http://schemas.openxmlformats.org/officeDocument/2006/relationships/hyperlink" Target="https://www.modernhvac.com/2022/09/6-facts-you-should-know-about-the-furnace-installation-process/" TargetMode="External"/><Relationship Id="rId13137" Type="http://schemas.openxmlformats.org/officeDocument/2006/relationships/hyperlink" Target="https://www.dailypost.co.uk/news/north-wales-news/how-hot-leave-work-24250799" TargetMode="External"/><Relationship Id="rId117" Type="http://schemas.openxmlformats.org/officeDocument/2006/relationships/hyperlink" Target="https://www.appraisalinstitute.org/" TargetMode="External"/><Relationship Id="rId6766" Type="http://schemas.openxmlformats.org/officeDocument/2006/relationships/hyperlink" Target="https://theprovidencegroup.com/" TargetMode="External"/><Relationship Id="rId7817" Type="http://schemas.openxmlformats.org/officeDocument/2006/relationships/hyperlink" Target="https://www.simpleshowing.com/" TargetMode="External"/><Relationship Id="rId5368" Type="http://schemas.openxmlformats.org/officeDocument/2006/relationships/hyperlink" Target="https://www.simpleshowing.com/" TargetMode="External"/><Relationship Id="rId6419" Type="http://schemas.openxmlformats.org/officeDocument/2006/relationships/hyperlink" Target="https://www.thermasol.com/" TargetMode="External"/><Relationship Id="rId9989" Type="http://schemas.openxmlformats.org/officeDocument/2006/relationships/hyperlink" Target="https://pathways.mste.illinois.edu/curriculum/surface-water/resources" TargetMode="External"/><Relationship Id="rId12220" Type="http://schemas.openxmlformats.org/officeDocument/2006/relationships/hyperlink" Target="https://marrons.co.uk/" TargetMode="External"/><Relationship Id="rId1978" Type="http://schemas.openxmlformats.org/officeDocument/2006/relationships/hyperlink" Target="https://markspain.com/" TargetMode="External"/><Relationship Id="rId14392" Type="http://schemas.openxmlformats.org/officeDocument/2006/relationships/hyperlink" Target="https://myinteriorpalace.com/" TargetMode="External"/><Relationship Id="rId15790" Type="http://schemas.openxmlformats.org/officeDocument/2006/relationships/hyperlink" Target="https://myinteriorpalace.com/" TargetMode="External"/><Relationship Id="rId4451" Type="http://schemas.openxmlformats.org/officeDocument/2006/relationships/hyperlink" Target="https://www.kapre.com/" TargetMode="External"/><Relationship Id="rId5502" Type="http://schemas.openxmlformats.org/officeDocument/2006/relationships/hyperlink" Target="https://www.simpleshowing.com/" TargetMode="External"/><Relationship Id="rId6900" Type="http://schemas.openxmlformats.org/officeDocument/2006/relationships/hyperlink" Target="https://www.simpleshowing.com/" TargetMode="External"/><Relationship Id="rId14045" Type="http://schemas.openxmlformats.org/officeDocument/2006/relationships/hyperlink" Target="https://keystonecustomdecksny.com/" TargetMode="External"/><Relationship Id="rId15443" Type="http://schemas.openxmlformats.org/officeDocument/2006/relationships/hyperlink" Target="https://www.luxdeco.com/" TargetMode="External"/><Relationship Id="rId3053" Type="http://schemas.openxmlformats.org/officeDocument/2006/relationships/hyperlink" Target="https://press.offerpad.com/2020/09/14/homebuilders_streamline_customer_experience_with_offerpad_program/" TargetMode="External"/><Relationship Id="rId4104" Type="http://schemas.openxmlformats.org/officeDocument/2006/relationships/hyperlink" Target="https://www.indeed.com/career-advice/career-development/best-online-real-estate-schools" TargetMode="External"/><Relationship Id="rId6276" Type="http://schemas.openxmlformats.org/officeDocument/2006/relationships/hyperlink" Target="https://www.simpleshowing.com/" TargetMode="External"/><Relationship Id="rId7674" Type="http://schemas.openxmlformats.org/officeDocument/2006/relationships/hyperlink" Target="https://business.bigspringherald.com/bigspringherald/article/ibnspotlights-2023-6-6-taylor-morrison-home-corp-nyse-tmhc-climbs-to-new-52-week-high" TargetMode="External"/><Relationship Id="rId8725" Type="http://schemas.openxmlformats.org/officeDocument/2006/relationships/hyperlink" Target="https://kea-home.com/protect-your-home-from-roof-leaks-in-lorton-easy-tips-to-keep-your-roof-safe/" TargetMode="External"/><Relationship Id="rId10655" Type="http://schemas.openxmlformats.org/officeDocument/2006/relationships/hyperlink" Target="http://web.mit.edu/blossoms/resources/engineering_resources.html" TargetMode="External"/><Relationship Id="rId11706" Type="http://schemas.openxmlformats.org/officeDocument/2006/relationships/hyperlink" Target="https://www.hamiltoninternationalestates.com/" TargetMode="External"/><Relationship Id="rId7327" Type="http://schemas.openxmlformats.org/officeDocument/2006/relationships/hyperlink" Target="https://www.taylormorrison.com/" TargetMode="External"/><Relationship Id="rId10308" Type="http://schemas.openxmlformats.org/officeDocument/2006/relationships/hyperlink" Target="https://www.pinoyeplans.com/" TargetMode="External"/><Relationship Id="rId13878" Type="http://schemas.openxmlformats.org/officeDocument/2006/relationships/hyperlink" Target="https://www.criticalhit.net/technology/new-technology-changing-the-floor-covering-industry/" TargetMode="External"/><Relationship Id="rId14929" Type="http://schemas.openxmlformats.org/officeDocument/2006/relationships/hyperlink" Target="https://myinteriorpalace.com/" TargetMode="External"/><Relationship Id="rId2886" Type="http://schemas.openxmlformats.org/officeDocument/2006/relationships/hyperlink" Target="https://www.simpleshowing.com/" TargetMode="External"/><Relationship Id="rId3937" Type="http://schemas.openxmlformats.org/officeDocument/2006/relationships/hyperlink" Target="https://amjmetalroofing.com.au/" TargetMode="External"/><Relationship Id="rId9499" Type="http://schemas.openxmlformats.org/officeDocument/2006/relationships/hyperlink" Target="https://www.teachengineering.org/" TargetMode="External"/><Relationship Id="rId858" Type="http://schemas.openxmlformats.org/officeDocument/2006/relationships/hyperlink" Target="https://www.simpleshowing.com/" TargetMode="External"/><Relationship Id="rId1488" Type="http://schemas.openxmlformats.org/officeDocument/2006/relationships/hyperlink" Target="https://www.simpleshowing.com/" TargetMode="External"/><Relationship Id="rId2539" Type="http://schemas.openxmlformats.org/officeDocument/2006/relationships/hyperlink" Target="https://www.pulte.com/" TargetMode="External"/><Relationship Id="rId6410" Type="http://schemas.openxmlformats.org/officeDocument/2006/relationships/hyperlink" Target="https://www.simpleshowing.com/" TargetMode="External"/><Relationship Id="rId9980" Type="http://schemas.openxmlformats.org/officeDocument/2006/relationships/hyperlink" Target="https://www.techlearning.com/news/best-free-engineering-lessons-and-activities" TargetMode="External"/><Relationship Id="rId16004" Type="http://schemas.openxmlformats.org/officeDocument/2006/relationships/hyperlink" Target="https://www.rwdoors.com/" TargetMode="External"/><Relationship Id="rId5012" Type="http://schemas.openxmlformats.org/officeDocument/2006/relationships/hyperlink" Target="https://www.simpleshowing.com/" TargetMode="External"/><Relationship Id="rId8582" Type="http://schemas.openxmlformats.org/officeDocument/2006/relationships/hyperlink" Target="https://www.pinoyeplans.com/" TargetMode="External"/><Relationship Id="rId9633" Type="http://schemas.openxmlformats.org/officeDocument/2006/relationships/hyperlink" Target="https://www.pinoyeplans.com/" TargetMode="External"/><Relationship Id="rId12961" Type="http://schemas.openxmlformats.org/officeDocument/2006/relationships/hyperlink" Target="https://propertypressonline.co.uk/" TargetMode="External"/><Relationship Id="rId7184" Type="http://schemas.openxmlformats.org/officeDocument/2006/relationships/hyperlink" Target="https://www.taylormorrison.com/" TargetMode="External"/><Relationship Id="rId8235" Type="http://schemas.openxmlformats.org/officeDocument/2006/relationships/hyperlink" Target="https://smaarchviz.com/" TargetMode="External"/><Relationship Id="rId11563" Type="http://schemas.openxmlformats.org/officeDocument/2006/relationships/hyperlink" Target="https://sellhousefast.uk/" TargetMode="External"/><Relationship Id="rId12614" Type="http://schemas.openxmlformats.org/officeDocument/2006/relationships/hyperlink" Target="https://www.shma.co.uk/" TargetMode="External"/><Relationship Id="rId1622" Type="http://schemas.openxmlformats.org/officeDocument/2006/relationships/hyperlink" Target="https://theincmagazine.com/high-roi-fast-payback-best-investments-for-your-business/" TargetMode="External"/><Relationship Id="rId10165" Type="http://schemas.openxmlformats.org/officeDocument/2006/relationships/hyperlink" Target="https://www.teachengineering.org/" TargetMode="External"/><Relationship Id="rId11216" Type="http://schemas.openxmlformats.org/officeDocument/2006/relationships/hyperlink" Target="https://luxurylifestyle.com/headlines/how-to-stop-your-homes-beautiful-carpets-being-ruined-by-water-damage.html" TargetMode="External"/><Relationship Id="rId14786" Type="http://schemas.openxmlformats.org/officeDocument/2006/relationships/hyperlink" Target="https://www.easygaragedoorrepair.com/" TargetMode="External"/><Relationship Id="rId15837" Type="http://schemas.openxmlformats.org/officeDocument/2006/relationships/hyperlink" Target="https://4.bing.com/images/search?q=Sustainable+Timber+Logo&amp;FORM=RESTAB" TargetMode="External"/><Relationship Id="rId3794" Type="http://schemas.openxmlformats.org/officeDocument/2006/relationships/hyperlink" Target="https://www.centris.ca/en/blog/finance/buying-a-hot-tub-prices-and-maintenance" TargetMode="External"/><Relationship Id="rId4845" Type="http://schemas.openxmlformats.org/officeDocument/2006/relationships/hyperlink" Target="https://michric.grar.com/property/mls/24010874" TargetMode="External"/><Relationship Id="rId13388" Type="http://schemas.openxmlformats.org/officeDocument/2006/relationships/hyperlink" Target="https://anationofmoms.com/" TargetMode="External"/><Relationship Id="rId14439" Type="http://schemas.openxmlformats.org/officeDocument/2006/relationships/hyperlink" Target="https://hogfurniture.co/blogs/latest-blog/luxury-meets-security-high-security-garage-doors-for-premium-residential-properties" TargetMode="External"/><Relationship Id="rId2396" Type="http://schemas.openxmlformats.org/officeDocument/2006/relationships/hyperlink" Target="https://luxuryhomesoflasvegas.com/communities/reverence-las-vegas/" TargetMode="External"/><Relationship Id="rId3447" Type="http://schemas.openxmlformats.org/officeDocument/2006/relationships/hyperlink" Target="https://www.simpleshowing.com/" TargetMode="External"/><Relationship Id="rId368" Type="http://schemas.openxmlformats.org/officeDocument/2006/relationships/hyperlink" Target="http://northernvirginiahomepro.com/" TargetMode="External"/><Relationship Id="rId2049" Type="http://schemas.openxmlformats.org/officeDocument/2006/relationships/hyperlink" Target="https://www.simpleshowing.com/" TargetMode="External"/><Relationship Id="rId9490" Type="http://schemas.openxmlformats.org/officeDocument/2006/relationships/hyperlink" Target="https://www.teachengineering.org/" TargetMode="External"/><Relationship Id="rId12471" Type="http://schemas.openxmlformats.org/officeDocument/2006/relationships/hyperlink" Target="https://propertypressonline.co.uk/" TargetMode="External"/><Relationship Id="rId14920" Type="http://schemas.openxmlformats.org/officeDocument/2006/relationships/hyperlink" Target="https://myinteriorpalace.com/" TargetMode="External"/><Relationship Id="rId2530" Type="http://schemas.openxmlformats.org/officeDocument/2006/relationships/hyperlink" Target="https://www.pulte.com/" TargetMode="External"/><Relationship Id="rId8092" Type="http://schemas.openxmlformats.org/officeDocument/2006/relationships/hyperlink" Target="https://www.we-heart.com/2025/08/27/how-to-choose-the-right-mover-for-a-seamless-relocation/" TargetMode="External"/><Relationship Id="rId9143" Type="http://schemas.openxmlformats.org/officeDocument/2006/relationships/hyperlink" Target="https://www.baddies-hub.com/smarter-material-forecasting-for-sustainable-building-growth/" TargetMode="External"/><Relationship Id="rId11073" Type="http://schemas.openxmlformats.org/officeDocument/2006/relationships/hyperlink" Target="https://www.pinoyeplans.com/" TargetMode="External"/><Relationship Id="rId12124" Type="http://schemas.openxmlformats.org/officeDocument/2006/relationships/hyperlink" Target="https://www.bobvila.com/" TargetMode="External"/><Relationship Id="rId13522" Type="http://schemas.openxmlformats.org/officeDocument/2006/relationships/hyperlink" Target="https://myinteriorpalace.com/" TargetMode="External"/><Relationship Id="rId502" Type="http://schemas.openxmlformats.org/officeDocument/2006/relationships/hyperlink" Target="https://clairesfootsteps.com/outer-banks-campsites/" TargetMode="External"/><Relationship Id="rId1132" Type="http://schemas.openxmlformats.org/officeDocument/2006/relationships/hyperlink" Target="https://www.matrixbasements.com/" TargetMode="External"/><Relationship Id="rId15694" Type="http://schemas.openxmlformats.org/officeDocument/2006/relationships/hyperlink" Target="https://myinteriorpalace.com/" TargetMode="External"/><Relationship Id="rId4355" Type="http://schemas.openxmlformats.org/officeDocument/2006/relationships/hyperlink" Target="https://www.kapre.com/" TargetMode="External"/><Relationship Id="rId5753" Type="http://schemas.openxmlformats.org/officeDocument/2006/relationships/hyperlink" Target="https://www.nickdalephotography.com/blog/how-college-students-can-turn-photography-from-a-hobby-into-a-side-hustle" TargetMode="External"/><Relationship Id="rId6804" Type="http://schemas.openxmlformats.org/officeDocument/2006/relationships/hyperlink" Target="https://www.simpleshowing.com/" TargetMode="External"/><Relationship Id="rId14296" Type="http://schemas.openxmlformats.org/officeDocument/2006/relationships/hyperlink" Target="https://myinteriorpalace.com/" TargetMode="External"/><Relationship Id="rId15347" Type="http://schemas.openxmlformats.org/officeDocument/2006/relationships/hyperlink" Target="https://www.luxdeco.com/" TargetMode="External"/><Relationship Id="rId4008" Type="http://schemas.openxmlformats.org/officeDocument/2006/relationships/hyperlink" Target="https://www.simpleshowing.com/" TargetMode="External"/><Relationship Id="rId5406" Type="http://schemas.openxmlformats.org/officeDocument/2006/relationships/hyperlink" Target="https://www.simpleshowing.com/" TargetMode="External"/><Relationship Id="rId8976" Type="http://schemas.openxmlformats.org/officeDocument/2006/relationships/hyperlink" Target="https://www.pinoyeplans.com/" TargetMode="External"/><Relationship Id="rId11957" Type="http://schemas.openxmlformats.org/officeDocument/2006/relationships/hyperlink" Target="https://www.greenworkstools.com/blogs/greenworks-blog/how-to-pressure-wash-your-house" TargetMode="External"/><Relationship Id="rId7578" Type="http://schemas.openxmlformats.org/officeDocument/2006/relationships/hyperlink" Target="https://technologymagazine.com/company/taylor-morrison" TargetMode="External"/><Relationship Id="rId8629" Type="http://schemas.openxmlformats.org/officeDocument/2006/relationships/hyperlink" Target="https://aucklandpremiumpainters.sgp1.digitaloceanspaces.com/house-painters-auckland.html" TargetMode="External"/><Relationship Id="rId10559" Type="http://schemas.openxmlformats.org/officeDocument/2006/relationships/hyperlink" Target="https://www.gallopade.com/Guest-Blog-5-STEM-Activities.aspx" TargetMode="External"/><Relationship Id="rId14430" Type="http://schemas.openxmlformats.org/officeDocument/2006/relationships/hyperlink" Target="https://safespacealliance.com/listing/mile-high-hot-tubs-2/" TargetMode="External"/><Relationship Id="rId13032" Type="http://schemas.openxmlformats.org/officeDocument/2006/relationships/hyperlink" Target="https://stage.hospiceuk.org/innovation-hub/courses-conferences/national-conference/sponsors-exhibitors" TargetMode="External"/><Relationship Id="rId2040" Type="http://schemas.openxmlformats.org/officeDocument/2006/relationships/hyperlink" Target="https://www.simpleshowing.com/" TargetMode="External"/><Relationship Id="rId6661" Type="http://schemas.openxmlformats.org/officeDocument/2006/relationships/hyperlink" Target="https://www.simpleshowing.com/" TargetMode="External"/><Relationship Id="rId7712" Type="http://schemas.openxmlformats.org/officeDocument/2006/relationships/hyperlink" Target="https://discoverlakelanier.com/" TargetMode="External"/><Relationship Id="rId16255" Type="http://schemas.openxmlformats.org/officeDocument/2006/relationships/hyperlink" Target="https://myinteriorpalace.com/" TargetMode="External"/><Relationship Id="rId5263" Type="http://schemas.openxmlformats.org/officeDocument/2006/relationships/hyperlink" Target="https://www.efulfillmentservice.com/2025/12/how-to-get-more-traffic-to-your-tiktok-shop-in-2026-a-fulfillment-guide/" TargetMode="External"/><Relationship Id="rId6314" Type="http://schemas.openxmlformats.org/officeDocument/2006/relationships/hyperlink" Target="https://www.simpleshowing.com/" TargetMode="External"/><Relationship Id="rId8486" Type="http://schemas.openxmlformats.org/officeDocument/2006/relationships/hyperlink" Target="https://www.pinoyeplans.com/" TargetMode="External"/><Relationship Id="rId9884" Type="http://schemas.openxmlformats.org/officeDocument/2006/relationships/hyperlink" Target="https://www.codrey.com/electronic-circuits/audio-induction-loop-receiver-quirky-ideas/" TargetMode="External"/><Relationship Id="rId12865" Type="http://schemas.openxmlformats.org/officeDocument/2006/relationships/hyperlink" Target="https://propertypressonline.co.uk/" TargetMode="External"/><Relationship Id="rId13916" Type="http://schemas.openxmlformats.org/officeDocument/2006/relationships/hyperlink" Target="https://faheyroofingcontractors.com/" TargetMode="External"/><Relationship Id="rId98" Type="http://schemas.openxmlformats.org/officeDocument/2006/relationships/hyperlink" Target="http://thebestadvicezone.com/" TargetMode="External"/><Relationship Id="rId1873" Type="http://schemas.openxmlformats.org/officeDocument/2006/relationships/hyperlink" Target="https://wolfriverelectric.com/" TargetMode="External"/><Relationship Id="rId2924" Type="http://schemas.openxmlformats.org/officeDocument/2006/relationships/hyperlink" Target="https://www.intelius.com/phone/1-504-254-0382/" TargetMode="External"/><Relationship Id="rId7088" Type="http://schemas.openxmlformats.org/officeDocument/2006/relationships/hyperlink" Target="https://www.taylormorrison.com/" TargetMode="External"/><Relationship Id="rId8139" Type="http://schemas.openxmlformats.org/officeDocument/2006/relationships/hyperlink" Target="https://integrityhomeexteriors.com/" TargetMode="External"/><Relationship Id="rId9537" Type="http://schemas.openxmlformats.org/officeDocument/2006/relationships/hyperlink" Target="https://www.pinoyeplans.com/" TargetMode="External"/><Relationship Id="rId11467" Type="http://schemas.openxmlformats.org/officeDocument/2006/relationships/hyperlink" Target="https://www.londondoor.co.uk/front-door-colours-to-make-a-lasting-first-impression/" TargetMode="External"/><Relationship Id="rId12518" Type="http://schemas.openxmlformats.org/officeDocument/2006/relationships/hyperlink" Target="https://sturents.com/" TargetMode="External"/><Relationship Id="rId1526" Type="http://schemas.openxmlformats.org/officeDocument/2006/relationships/hyperlink" Target="https://www.renewwisconsin.org/business-members/" TargetMode="External"/><Relationship Id="rId10069" Type="http://schemas.openxmlformats.org/officeDocument/2006/relationships/hyperlink" Target="https://www.teachengineering.org/" TargetMode="External"/><Relationship Id="rId3698" Type="http://schemas.openxmlformats.org/officeDocument/2006/relationships/hyperlink" Target="https://biztechmagazine.com/article/2024/06/modern-collaboration-tech-better-ever" TargetMode="External"/><Relationship Id="rId4749" Type="http://schemas.openxmlformats.org/officeDocument/2006/relationships/hyperlink" Target="https://www.firstalert4.com/2024/05/27/high-school-seniors-can-now-get-real-estate-license-free-this-state/" TargetMode="External"/><Relationship Id="rId8620" Type="http://schemas.openxmlformats.org/officeDocument/2006/relationships/hyperlink" Target="https://f002.backblazeb2.com/file/aucklandpremiumpainters/house-painters-auckland.html" TargetMode="External"/><Relationship Id="rId10550" Type="http://schemas.openxmlformats.org/officeDocument/2006/relationships/hyperlink" Target="https://www.cceionline.com/september-2022-newsletter-early-engineering-recommendations-for-engineering-activities/" TargetMode="External"/><Relationship Id="rId6171" Type="http://schemas.openxmlformats.org/officeDocument/2006/relationships/hyperlink" Target="https://www.womansday.com/life/work-money/tips/a2608/never-pay-full-price-againanywhere-123473/" TargetMode="External"/><Relationship Id="rId7222" Type="http://schemas.openxmlformats.org/officeDocument/2006/relationships/hyperlink" Target="https://www.taylormorrison.com/" TargetMode="External"/><Relationship Id="rId10203" Type="http://schemas.openxmlformats.org/officeDocument/2006/relationships/hyperlink" Target="https://www.pinoyeplans.com/" TargetMode="External"/><Relationship Id="rId11601" Type="http://schemas.openxmlformats.org/officeDocument/2006/relationships/hyperlink" Target="https://www.hamiltoninternationalestates.com/" TargetMode="External"/><Relationship Id="rId2781" Type="http://schemas.openxmlformats.org/officeDocument/2006/relationships/hyperlink" Target="https://www.simpleshowing.com/" TargetMode="External"/><Relationship Id="rId9394" Type="http://schemas.openxmlformats.org/officeDocument/2006/relationships/hyperlink" Target="https://www.teachengineering.org/" TargetMode="External"/><Relationship Id="rId13773" Type="http://schemas.openxmlformats.org/officeDocument/2006/relationships/hyperlink" Target="https://storage.googleapis.com/plumber-melbourne/plumber-melbourne-/plumber-melbourne.html" TargetMode="External"/><Relationship Id="rId14824" Type="http://schemas.openxmlformats.org/officeDocument/2006/relationships/hyperlink" Target="https://myinteriorpalace.com/" TargetMode="External"/><Relationship Id="rId753" Type="http://schemas.openxmlformats.org/officeDocument/2006/relationships/hyperlink" Target="https://www.carolinadesigns.com/" TargetMode="External"/><Relationship Id="rId1383" Type="http://schemas.openxmlformats.org/officeDocument/2006/relationships/hyperlink" Target="https://www.simpleshowing.com/" TargetMode="External"/><Relationship Id="rId2434" Type="http://schemas.openxmlformats.org/officeDocument/2006/relationships/hyperlink" Target="https://www.pulte.com/" TargetMode="External"/><Relationship Id="rId3832" Type="http://schemas.openxmlformats.org/officeDocument/2006/relationships/hyperlink" Target="https://thecoverguy.com/" TargetMode="External"/><Relationship Id="rId9047" Type="http://schemas.openxmlformats.org/officeDocument/2006/relationships/hyperlink" Target="https://theblockdfw.com/why-automation-is-the-key-to-accurate-and-consistent-pricing-decisions/" TargetMode="External"/><Relationship Id="rId12028" Type="http://schemas.openxmlformats.org/officeDocument/2006/relationships/hyperlink" Target="https://www.bobvila.com/" TargetMode="External"/><Relationship Id="rId12375" Type="http://schemas.openxmlformats.org/officeDocument/2006/relationships/hyperlink" Target="https://propertypressonline.co.uk/" TargetMode="External"/><Relationship Id="rId13426" Type="http://schemas.openxmlformats.org/officeDocument/2006/relationships/hyperlink" Target="https://myinteriorpalace.com/" TargetMode="External"/><Relationship Id="rId406" Type="http://schemas.openxmlformats.org/officeDocument/2006/relationships/hyperlink" Target="http://northernvirginiahomepro.com/" TargetMode="External"/><Relationship Id="rId1036" Type="http://schemas.openxmlformats.org/officeDocument/2006/relationships/hyperlink" Target="https://www.matrixbasements.com/" TargetMode="External"/><Relationship Id="rId15598" Type="http://schemas.openxmlformats.org/officeDocument/2006/relationships/hyperlink" Target="https://myinteriorpalace.com/" TargetMode="External"/><Relationship Id="rId5657" Type="http://schemas.openxmlformats.org/officeDocument/2006/relationships/hyperlink" Target="https://www.ghasterpaintinginc.com/blog/enhancing-your-commercial-property-maintenance-aesthetic-improvements-and-strategic-upgrades/" TargetMode="External"/><Relationship Id="rId6708" Type="http://schemas.openxmlformats.org/officeDocument/2006/relationships/hyperlink" Target="https://www.simpleshowing.com/" TargetMode="External"/><Relationship Id="rId4259" Type="http://schemas.openxmlformats.org/officeDocument/2006/relationships/hyperlink" Target="https://www.kapre.com/" TargetMode="External"/><Relationship Id="rId8130" Type="http://schemas.openxmlformats.org/officeDocument/2006/relationships/hyperlink" Target="https://whiteglovemoving.us/" TargetMode="External"/><Relationship Id="rId10060" Type="http://schemas.openxmlformats.org/officeDocument/2006/relationships/hyperlink" Target="https://www.teachengineering.org/" TargetMode="External"/><Relationship Id="rId11111" Type="http://schemas.openxmlformats.org/officeDocument/2006/relationships/hyperlink" Target="https://www.hillrag.com/2021/09/17/fall-home-improvement-tips-from-the-pros/" TargetMode="External"/><Relationship Id="rId14681" Type="http://schemas.openxmlformats.org/officeDocument/2006/relationships/hyperlink" Target="https://www.easygaragedoorrepair.com/" TargetMode="External"/><Relationship Id="rId4740" Type="http://schemas.openxmlformats.org/officeDocument/2006/relationships/hyperlink" Target="https://www.wmtv15news.com/2024/05/27/high-school-seniors-can-now-get-real-estate-license-free-this-state/" TargetMode="External"/><Relationship Id="rId13283" Type="http://schemas.openxmlformats.org/officeDocument/2006/relationships/hyperlink" Target="https://www.pureinvestor.co.uk/" TargetMode="External"/><Relationship Id="rId14334" Type="http://schemas.openxmlformats.org/officeDocument/2006/relationships/hyperlink" Target="https://prophecynewswatch.com/article.cfm?recent_news_id=8117" TargetMode="External"/><Relationship Id="rId15732" Type="http://schemas.openxmlformats.org/officeDocument/2006/relationships/hyperlink" Target="https://customhomesonline.com.au/flinders-beach-house/" TargetMode="External"/><Relationship Id="rId2291" Type="http://schemas.openxmlformats.org/officeDocument/2006/relationships/hyperlink" Target="https://empirehomes.com/resources/fun-things-to-do-in-cumming-ga-all-year-round/" TargetMode="External"/><Relationship Id="rId3342" Type="http://schemas.openxmlformats.org/officeDocument/2006/relationships/hyperlink" Target="https://www.simpleshowing.com/" TargetMode="External"/><Relationship Id="rId263" Type="http://schemas.openxmlformats.org/officeDocument/2006/relationships/hyperlink" Target="http://knockoffdecor.com/" TargetMode="External"/><Relationship Id="rId6565" Type="http://schemas.openxmlformats.org/officeDocument/2006/relationships/hyperlink" Target="https://www.accurateindustries.com/about-thermasol" TargetMode="External"/><Relationship Id="rId7963" Type="http://schemas.openxmlformats.org/officeDocument/2006/relationships/hyperlink" Target="https://dimgrey-horse-466048.hostingersite.com/top-hurricane-rated-shingle-brands/" TargetMode="External"/><Relationship Id="rId10944" Type="http://schemas.openxmlformats.org/officeDocument/2006/relationships/hyperlink" Target="https://www.pinoyeplans.com/" TargetMode="External"/><Relationship Id="rId16159" Type="http://schemas.openxmlformats.org/officeDocument/2006/relationships/hyperlink" Target="https://myinteriorpalace.com/" TargetMode="External"/><Relationship Id="rId5167" Type="http://schemas.openxmlformats.org/officeDocument/2006/relationships/hyperlink" Target="https://undetectable.ai/blog/how-many-jobs-are-available-finance/" TargetMode="External"/><Relationship Id="rId6218" Type="http://schemas.openxmlformats.org/officeDocument/2006/relationships/hyperlink" Target="https://www.simpleshowing.com/" TargetMode="External"/><Relationship Id="rId7616" Type="http://schemas.openxmlformats.org/officeDocument/2006/relationships/hyperlink" Target="https://www.taylormorrison.com/" TargetMode="External"/><Relationship Id="rId9788" Type="http://schemas.openxmlformats.org/officeDocument/2006/relationships/hyperlink" Target="https://www.cde.state.co.us/computerscience/instructionalsupport" TargetMode="External"/><Relationship Id="rId12769" Type="http://schemas.openxmlformats.org/officeDocument/2006/relationships/hyperlink" Target="https://propertypressonline.co.uk/" TargetMode="External"/><Relationship Id="rId1777" Type="http://schemas.openxmlformats.org/officeDocument/2006/relationships/hyperlink" Target="https://wolfriverelectric.com/" TargetMode="External"/><Relationship Id="rId2828" Type="http://schemas.openxmlformats.org/officeDocument/2006/relationships/hyperlink" Target="https://www.nahb.org/why-nahb/types-of-membership/student-chapter-membership/student-chapters-corporate-partners" TargetMode="External"/><Relationship Id="rId14191" Type="http://schemas.openxmlformats.org/officeDocument/2006/relationships/hyperlink" Target="https://myinteriorpalace.com/" TargetMode="External"/><Relationship Id="rId15242" Type="http://schemas.openxmlformats.org/officeDocument/2006/relationships/hyperlink" Target="https://www.luxdeco.com/" TargetMode="External"/><Relationship Id="rId4250" Type="http://schemas.openxmlformats.org/officeDocument/2006/relationships/hyperlink" Target="https://www.kapre.com/" TargetMode="External"/><Relationship Id="rId5301" Type="http://schemas.openxmlformats.org/officeDocument/2006/relationships/hyperlink" Target="https://themoodguide.com/the-working-womans-secret-to-a-perfect-yard/" TargetMode="External"/><Relationship Id="rId8871" Type="http://schemas.openxmlformats.org/officeDocument/2006/relationships/hyperlink" Target="https://www.pinoyeplans.com/" TargetMode="External"/><Relationship Id="rId9922" Type="http://schemas.openxmlformats.org/officeDocument/2006/relationships/hyperlink" Target="https://www.teachengineering.org/" TargetMode="External"/><Relationship Id="rId7473" Type="http://schemas.openxmlformats.org/officeDocument/2006/relationships/hyperlink" Target="https://peopleofcolorintech.com/articles/michelle-robinson-joins-taylor-morrisons-fellowship-program/" TargetMode="External"/><Relationship Id="rId8524" Type="http://schemas.openxmlformats.org/officeDocument/2006/relationships/hyperlink" Target="https://cozmicway.com/natural-and-artificial-light-shifts-with-architectural-visualization/" TargetMode="External"/><Relationship Id="rId11852" Type="http://schemas.openxmlformats.org/officeDocument/2006/relationships/hyperlink" Target="https://www.mattressonline.co.uk/blog/family/interior-design-through-decades/" TargetMode="External"/><Relationship Id="rId12903" Type="http://schemas.openxmlformats.org/officeDocument/2006/relationships/hyperlink" Target="https://www.morningadvertiser.co.uk/Article/2021/09/22/What-can-I-do-about-unpaid-rent/" TargetMode="External"/><Relationship Id="rId1911" Type="http://schemas.openxmlformats.org/officeDocument/2006/relationships/hyperlink" Target="https://www.simpleshowing.com/" TargetMode="External"/><Relationship Id="rId6075" Type="http://schemas.openxmlformats.org/officeDocument/2006/relationships/hyperlink" Target="https://businessandpower.com/your-way-to-financial-success/" TargetMode="External"/><Relationship Id="rId7126" Type="http://schemas.openxmlformats.org/officeDocument/2006/relationships/hyperlink" Target="https://www.moneydj.com/us/basic/basic0001/tmhc" TargetMode="External"/><Relationship Id="rId10454" Type="http://schemas.openxmlformats.org/officeDocument/2006/relationships/hyperlink" Target="https://intheswim.com/eguides/swimming-curriculum.html" TargetMode="External"/><Relationship Id="rId11505" Type="http://schemas.openxmlformats.org/officeDocument/2006/relationships/hyperlink" Target="https://sellhousefast.uk/" TargetMode="External"/><Relationship Id="rId9298" Type="http://schemas.openxmlformats.org/officeDocument/2006/relationships/hyperlink" Target="https://www.teachengineering.org/" TargetMode="External"/><Relationship Id="rId10107" Type="http://schemas.openxmlformats.org/officeDocument/2006/relationships/hyperlink" Target="https://www.pinoyeplans.com/" TargetMode="External"/><Relationship Id="rId13677" Type="http://schemas.openxmlformats.org/officeDocument/2006/relationships/hyperlink" Target="https://livechat.theninehertz.com/en/adagio-advent-calendar.html" TargetMode="External"/><Relationship Id="rId14728" Type="http://schemas.openxmlformats.org/officeDocument/2006/relationships/hyperlink" Target="https://myinteriorpalace.com/" TargetMode="External"/><Relationship Id="rId1287" Type="http://schemas.openxmlformats.org/officeDocument/2006/relationships/hyperlink" Target="https://www.simpleshowing.com/" TargetMode="External"/><Relationship Id="rId2685" Type="http://schemas.openxmlformats.org/officeDocument/2006/relationships/hyperlink" Target="https://www.simpleshowing.com/" TargetMode="External"/><Relationship Id="rId3736" Type="http://schemas.openxmlformats.org/officeDocument/2006/relationships/hyperlink" Target="https://www.overheaddoors.com/" TargetMode="External"/><Relationship Id="rId12279" Type="http://schemas.openxmlformats.org/officeDocument/2006/relationships/hyperlink" Target="https://propertypressonline.co.uk/" TargetMode="External"/><Relationship Id="rId16150" Type="http://schemas.openxmlformats.org/officeDocument/2006/relationships/hyperlink" Target="https://myinteriorpalace.com/" TargetMode="External"/><Relationship Id="rId657" Type="http://schemas.openxmlformats.org/officeDocument/2006/relationships/hyperlink" Target="https://www.carolinadesigns.com/" TargetMode="External"/><Relationship Id="rId2338" Type="http://schemas.openxmlformats.org/officeDocument/2006/relationships/hyperlink" Target="https://www.pulte.com/" TargetMode="External"/><Relationship Id="rId6959" Type="http://schemas.openxmlformats.org/officeDocument/2006/relationships/hyperlink" Target="https://www.taylormorrison.com/" TargetMode="External"/><Relationship Id="rId12760" Type="http://schemas.openxmlformats.org/officeDocument/2006/relationships/hyperlink" Target="https://propertypressonline.co.uk/" TargetMode="External"/><Relationship Id="rId8381" Type="http://schemas.openxmlformats.org/officeDocument/2006/relationships/hyperlink" Target="https://www.pinoyeplans.com/" TargetMode="External"/><Relationship Id="rId9432" Type="http://schemas.openxmlformats.org/officeDocument/2006/relationships/hyperlink" Target="https://www.pinoyeplans.com/" TargetMode="External"/><Relationship Id="rId11362" Type="http://schemas.openxmlformats.org/officeDocument/2006/relationships/hyperlink" Target="https://thisistucson.com/article_fbdaca16-83c2-40af-9c70-4d96b0d462b2.html" TargetMode="External"/><Relationship Id="rId12413" Type="http://schemas.openxmlformats.org/officeDocument/2006/relationships/hyperlink" Target="https://monitor.icef.com/2023/09/uk-student-housing-crunch-projected-to-worsen-through-2026/" TargetMode="External"/><Relationship Id="rId13811" Type="http://schemas.openxmlformats.org/officeDocument/2006/relationships/hyperlink" Target="https://anationofmoms.com/" TargetMode="External"/><Relationship Id="rId1421" Type="http://schemas.openxmlformats.org/officeDocument/2006/relationships/hyperlink" Target="https://portsmouthnh.ticketsauce.com/e/975-wokq-chowder-festival" TargetMode="External"/><Relationship Id="rId4991" Type="http://schemas.openxmlformats.org/officeDocument/2006/relationships/hyperlink" Target="https://www.bigcommerce.com/articles/ecommerce/ecommerce-platforms/" TargetMode="External"/><Relationship Id="rId8034" Type="http://schemas.openxmlformats.org/officeDocument/2006/relationships/hyperlink" Target="https://rynoss.com/podcast/episode-107-explosive-growth-in-a-new-industry-by-doing-the-right-things/" TargetMode="External"/><Relationship Id="rId11015" Type="http://schemas.openxmlformats.org/officeDocument/2006/relationships/hyperlink" Target="https://www.lessonplanet.com/collections/earthquakes-living-lab-finding-epicenters-and-measuring-magnitudes" TargetMode="External"/><Relationship Id="rId15983" Type="http://schemas.openxmlformats.org/officeDocument/2006/relationships/hyperlink" Target="https://www.rwdoors.com/" TargetMode="External"/><Relationship Id="rId3593" Type="http://schemas.openxmlformats.org/officeDocument/2006/relationships/hyperlink" Target="https://www.viprealestate.com/listing/39849663-14594-clementine-hall-drive-conroe-tx-77378/" TargetMode="External"/><Relationship Id="rId4644" Type="http://schemas.openxmlformats.org/officeDocument/2006/relationships/hyperlink" Target="https://www.walb.com/2024/05/27/high-school-seniors-can-now-get-real-estate-license-free-this-state/" TargetMode="External"/><Relationship Id="rId13187" Type="http://schemas.openxmlformats.org/officeDocument/2006/relationships/hyperlink" Target="https://www.shma.co.uk/" TargetMode="External"/><Relationship Id="rId14238" Type="http://schemas.openxmlformats.org/officeDocument/2006/relationships/hyperlink" Target="https://unboxme.com/blogs/unboxme-blog/fathers-day-gift-baskets-with-personal-touch" TargetMode="External"/><Relationship Id="rId14585" Type="http://schemas.openxmlformats.org/officeDocument/2006/relationships/hyperlink" Target="https://www.easygaragedoorrepair.com/" TargetMode="External"/><Relationship Id="rId15636" Type="http://schemas.openxmlformats.org/officeDocument/2006/relationships/hyperlink" Target="https://dailynewshungary.com/cn/%E5%A6%82%E4%BD%95%E5%9C%A8%E5%AE%A4%E5%86%85%E8%AE%BE%E8%AE%A1%E4%B8%AD%E5%A2%9E%E6%B7%BB%E5%85%B6%E4%BB%96%E5%9B%BD%E5%AE%B6%E7%9A%84%E5%93%81%E5%91%B3/" TargetMode="External"/><Relationship Id="rId2195" Type="http://schemas.openxmlformats.org/officeDocument/2006/relationships/hyperlink" Target="https://www.scoopcharlotte.com/2018/08/14/our-favorite-homes-for-sale-in-cotswold-right-now/" TargetMode="External"/><Relationship Id="rId3246" Type="http://schemas.openxmlformats.org/officeDocument/2006/relationships/hyperlink" Target="https://www.simpleshowing.com/" TargetMode="External"/><Relationship Id="rId167" Type="http://schemas.openxmlformats.org/officeDocument/2006/relationships/hyperlink" Target="https://www.diversyfund.com/" TargetMode="External"/><Relationship Id="rId7867" Type="http://schemas.openxmlformats.org/officeDocument/2006/relationships/hyperlink" Target="https://www.mightydogroofing.com/rhode-island/resources/blog/categories/guide/gaf-vs-owens-corning-discover-why-owens-corning-/" TargetMode="External"/><Relationship Id="rId8918" Type="http://schemas.openxmlformats.org/officeDocument/2006/relationships/hyperlink" Target="https://gorillaoverview.com/the-role-of-wood-accuracy-in-controlling-construction-budgets/" TargetMode="External"/><Relationship Id="rId10848" Type="http://schemas.openxmlformats.org/officeDocument/2006/relationships/hyperlink" Target="https://www.pinoyeplans.com/" TargetMode="External"/><Relationship Id="rId6469" Type="http://schemas.openxmlformats.org/officeDocument/2006/relationships/hyperlink" Target="https://www.thermasol.com/" TargetMode="External"/><Relationship Id="rId12270" Type="http://schemas.openxmlformats.org/officeDocument/2006/relationships/hyperlink" Target="https://propertypressonline.co.uk/" TargetMode="External"/><Relationship Id="rId13321" Type="http://schemas.openxmlformats.org/officeDocument/2006/relationships/hyperlink" Target="https://myinteriorpalace.com/" TargetMode="External"/><Relationship Id="rId6950" Type="http://schemas.openxmlformats.org/officeDocument/2006/relationships/hyperlink" Target="https://www.taylormorrison.com/" TargetMode="External"/><Relationship Id="rId15493" Type="http://schemas.openxmlformats.org/officeDocument/2006/relationships/hyperlink" Target="https://myinteriorpalace.com/" TargetMode="External"/><Relationship Id="rId301" Type="http://schemas.openxmlformats.org/officeDocument/2006/relationships/hyperlink" Target="https://www.landhub.com/" TargetMode="External"/><Relationship Id="rId5552" Type="http://schemas.openxmlformats.org/officeDocument/2006/relationships/hyperlink" Target="https://www.simpleshowing.com/" TargetMode="External"/><Relationship Id="rId6603" Type="http://schemas.openxmlformats.org/officeDocument/2006/relationships/hyperlink" Target="https://www.thermasol.com/" TargetMode="External"/><Relationship Id="rId14095" Type="http://schemas.openxmlformats.org/officeDocument/2006/relationships/hyperlink" Target="https://myinteriorpalace.com/" TargetMode="External"/><Relationship Id="rId15146" Type="http://schemas.openxmlformats.org/officeDocument/2006/relationships/hyperlink" Target="https://www.luxdeco.com/" TargetMode="External"/><Relationship Id="rId4154" Type="http://schemas.openxmlformats.org/officeDocument/2006/relationships/hyperlink" Target="https://kwarizona.com/kscore-the-opportunity-you-have-been-waiting-for/" TargetMode="External"/><Relationship Id="rId5205" Type="http://schemas.openxmlformats.org/officeDocument/2006/relationships/hyperlink" Target="https://kesq.com/stacker-money/2025/06/24/does-unemployment-affect-your-credit-score/" TargetMode="External"/><Relationship Id="rId8775" Type="http://schemas.openxmlformats.org/officeDocument/2006/relationships/hyperlink" Target="https://propertychecker.com/" TargetMode="External"/><Relationship Id="rId7377" Type="http://schemas.openxmlformats.org/officeDocument/2006/relationships/hyperlink" Target="https://www.taylormorrison.com/" TargetMode="External"/><Relationship Id="rId8428" Type="http://schemas.openxmlformats.org/officeDocument/2006/relationships/hyperlink" Target="http://agccolorado.memberzone.com/list/member/pacific-sheet-metal-inc-4444" TargetMode="External"/><Relationship Id="rId9826" Type="http://schemas.openxmlformats.org/officeDocument/2006/relationships/hyperlink" Target="https://www.teachengineering.org/" TargetMode="External"/><Relationship Id="rId11756" Type="http://schemas.openxmlformats.org/officeDocument/2006/relationships/hyperlink" Target="https://www.yourthurrock.com/2018/01/03/thurrock-ranked-third-home-repossession-list-uk/" TargetMode="External"/><Relationship Id="rId12807" Type="http://schemas.openxmlformats.org/officeDocument/2006/relationships/hyperlink" Target="https://legaltechnology.com/2022/02/15/shakespeare-martineau-goes-live-on-peppermint-crm-plus-introhive/" TargetMode="External"/><Relationship Id="rId1815" Type="http://schemas.openxmlformats.org/officeDocument/2006/relationships/hyperlink" Target="https://www.simpleshowing.com/" TargetMode="External"/><Relationship Id="rId10358" Type="http://schemas.openxmlformats.org/officeDocument/2006/relationships/hyperlink" Target="https://onlinelearning.telkomuniversity.ac.id/mod/page/view.php?id=43370" TargetMode="External"/><Relationship Id="rId11409" Type="http://schemas.openxmlformats.org/officeDocument/2006/relationships/hyperlink" Target="http://webuyhouses.com/" TargetMode="External"/><Relationship Id="rId14979" Type="http://schemas.openxmlformats.org/officeDocument/2006/relationships/hyperlink" Target="https://lazzoni.com/blogs/all/legendary-interior-designers-from-every-decade-of-the-20th-century" TargetMode="External"/><Relationship Id="rId3987" Type="http://schemas.openxmlformats.org/officeDocument/2006/relationships/hyperlink" Target="https://www.simpleshowing.com/" TargetMode="External"/><Relationship Id="rId2589" Type="http://schemas.openxmlformats.org/officeDocument/2006/relationships/hyperlink" Target="https://www.simpleshowing.com/" TargetMode="External"/><Relationship Id="rId6460" Type="http://schemas.openxmlformats.org/officeDocument/2006/relationships/hyperlink" Target="https://www.thermasol.com/" TargetMode="External"/><Relationship Id="rId7511" Type="http://schemas.openxmlformats.org/officeDocument/2006/relationships/hyperlink" Target="https://www.taylormorrison.com/" TargetMode="External"/><Relationship Id="rId16054" Type="http://schemas.openxmlformats.org/officeDocument/2006/relationships/hyperlink" Target="https://myinteriorpalace.com/" TargetMode="External"/><Relationship Id="rId5062" Type="http://schemas.openxmlformats.org/officeDocument/2006/relationships/hyperlink" Target="https://www.simpleshowing.com/" TargetMode="External"/><Relationship Id="rId6113" Type="http://schemas.openxmlformats.org/officeDocument/2006/relationships/hyperlink" Target="https://breakingac.com/news/2025/sep/17/avoiding-the-trap-of-endless-accumulation/" TargetMode="External"/><Relationship Id="rId9683" Type="http://schemas.openxmlformats.org/officeDocument/2006/relationships/hyperlink" Target="https://www.nisenet.org/faqs" TargetMode="External"/><Relationship Id="rId1672" Type="http://schemas.openxmlformats.org/officeDocument/2006/relationships/hyperlink" Target="https://wolfriverelectric.com/" TargetMode="External"/><Relationship Id="rId2723" Type="http://schemas.openxmlformats.org/officeDocument/2006/relationships/hyperlink" Target="https://www.asyousow.org/resolutions/2025/11/10-nvr-disclose-greenhouse-gas-emissions" TargetMode="External"/><Relationship Id="rId8285" Type="http://schemas.openxmlformats.org/officeDocument/2006/relationships/hyperlink" Target="https://www.pinoyeplans.com/" TargetMode="External"/><Relationship Id="rId9336" Type="http://schemas.openxmlformats.org/officeDocument/2006/relationships/hyperlink" Target="https://www.pinoyeplans.com/" TargetMode="External"/><Relationship Id="rId11266" Type="http://schemas.openxmlformats.org/officeDocument/2006/relationships/hyperlink" Target="https://www.pinoyeplans.com/" TargetMode="External"/><Relationship Id="rId12317" Type="http://schemas.openxmlformats.org/officeDocument/2006/relationships/hyperlink" Target="https://www.listedin.co.uk/search/business-profile.asp?lid=620581&amp;company=ridgefieldconsulting.co.uk" TargetMode="External"/><Relationship Id="rId12664" Type="http://schemas.openxmlformats.org/officeDocument/2006/relationships/hyperlink" Target="https://propertypressonline.co.uk/" TargetMode="External"/><Relationship Id="rId13715" Type="http://schemas.openxmlformats.org/officeDocument/2006/relationships/hyperlink" Target="https://anationofmoms.com/" TargetMode="External"/><Relationship Id="rId1325" Type="http://schemas.openxmlformats.org/officeDocument/2006/relationships/hyperlink" Target="https://idealmagazine.co.uk/the-uks-favourite-and-most-affordable-european-wedding-destinations/" TargetMode="External"/><Relationship Id="rId15887" Type="http://schemas.openxmlformats.org/officeDocument/2006/relationships/hyperlink" Target="https://www.raynorkc.com/" TargetMode="External"/><Relationship Id="rId3497" Type="http://schemas.openxmlformats.org/officeDocument/2006/relationships/hyperlink" Target="https://www.bldup.com/projects/legacy-groves" TargetMode="External"/><Relationship Id="rId4895" Type="http://schemas.openxmlformats.org/officeDocument/2006/relationships/hyperlink" Target="https://www.wmtips.com/technologies/compare/agent-image-vs-agentfire/" TargetMode="External"/><Relationship Id="rId5946" Type="http://schemas.openxmlformats.org/officeDocument/2006/relationships/hyperlink" Target="https://www.simpleshowing.com/" TargetMode="External"/><Relationship Id="rId14489" Type="http://schemas.openxmlformats.org/officeDocument/2006/relationships/hyperlink" Target="https://raynordoor.com/" TargetMode="External"/><Relationship Id="rId31" Type="http://schemas.openxmlformats.org/officeDocument/2006/relationships/hyperlink" Target="http://www.modernflames.com/" TargetMode="External"/><Relationship Id="rId2099" Type="http://schemas.openxmlformats.org/officeDocument/2006/relationships/hyperlink" Target="https://earnyatra.com/smart-real-estate-moves/" TargetMode="External"/><Relationship Id="rId4548" Type="http://schemas.openxmlformats.org/officeDocument/2006/relationships/hyperlink" Target="https://www.firstalert7.com/2024/05/27/high-school-seniors-can-now-get-real-estate-license-free-this-state/" TargetMode="External"/><Relationship Id="rId7021" Type="http://schemas.openxmlformats.org/officeDocument/2006/relationships/hyperlink" Target="https://www.simpleshowing.com/" TargetMode="External"/><Relationship Id="rId11400" Type="http://schemas.openxmlformats.org/officeDocument/2006/relationships/hyperlink" Target="http://webuyhouses.com/" TargetMode="External"/><Relationship Id="rId14970" Type="http://schemas.openxmlformats.org/officeDocument/2006/relationships/hyperlink" Target="https://decorious.com/en/blogs/contrast-in-interior-design" TargetMode="External"/><Relationship Id="rId10002" Type="http://schemas.openxmlformats.org/officeDocument/2006/relationships/hyperlink" Target="https://www.pinoyeplans.com/" TargetMode="External"/><Relationship Id="rId13572" Type="http://schemas.openxmlformats.org/officeDocument/2006/relationships/hyperlink" Target="https://www.rasmussen.edu/degrees/education/blog/preschool-teacher-gift-ideas/" TargetMode="External"/><Relationship Id="rId14623" Type="http://schemas.openxmlformats.org/officeDocument/2006/relationships/hyperlink" Target="https://myinteriorpalace.com/" TargetMode="External"/><Relationship Id="rId2580" Type="http://schemas.openxmlformats.org/officeDocument/2006/relationships/hyperlink" Target="https://www.simpleshowing.com/" TargetMode="External"/><Relationship Id="rId3631" Type="http://schemas.openxmlformats.org/officeDocument/2006/relationships/hyperlink" Target="https://www.pulte.com/" TargetMode="External"/><Relationship Id="rId9193" Type="http://schemas.openxmlformats.org/officeDocument/2006/relationships/hyperlink" Target="https://theatlasportfolio.com/" TargetMode="External"/><Relationship Id="rId12174" Type="http://schemas.openxmlformats.org/officeDocument/2006/relationships/hyperlink" Target="https://www.hamiltoninternationalestates.com/" TargetMode="External"/><Relationship Id="rId13225" Type="http://schemas.openxmlformats.org/officeDocument/2006/relationships/hyperlink" Target="https://propertypressonline.co.uk/" TargetMode="External"/><Relationship Id="rId552" Type="http://schemas.openxmlformats.org/officeDocument/2006/relationships/hyperlink" Target="https://www.carolinadesigns.com/" TargetMode="External"/><Relationship Id="rId1182" Type="http://schemas.openxmlformats.org/officeDocument/2006/relationships/hyperlink" Target="https://www.simpleshowing.com/" TargetMode="External"/><Relationship Id="rId2233" Type="http://schemas.openxmlformats.org/officeDocument/2006/relationships/hyperlink" Target="https://cheapplumber.ca/" TargetMode="External"/><Relationship Id="rId6854" Type="http://schemas.openxmlformats.org/officeDocument/2006/relationships/hyperlink" Target="https://www.junkluggers.com/about-us/in-the-media/47-household-tips-and-tricks-to-keep-your-home-looking-its-best/" TargetMode="External"/><Relationship Id="rId15397" Type="http://schemas.openxmlformats.org/officeDocument/2006/relationships/hyperlink" Target="https://myinteriorpalace.com/" TargetMode="External"/><Relationship Id="rId205" Type="http://schemas.openxmlformats.org/officeDocument/2006/relationships/hyperlink" Target="https://www.tinyhouse.com/post/virginias-tiny-home-rules-regulations" TargetMode="External"/><Relationship Id="rId5456" Type="http://schemas.openxmlformats.org/officeDocument/2006/relationships/hyperlink" Target="https://www.simpleshowing.com/" TargetMode="External"/><Relationship Id="rId6507" Type="http://schemas.openxmlformats.org/officeDocument/2006/relationships/hyperlink" Target="https://s3da-design.com/5-tips-to-transform-your-bathroom-into-a-personal-sanctuary/" TargetMode="External"/><Relationship Id="rId7905" Type="http://schemas.openxmlformats.org/officeDocument/2006/relationships/hyperlink" Target="https://certifiedrestorationinc.com/" TargetMode="External"/><Relationship Id="rId4058" Type="http://schemas.openxmlformats.org/officeDocument/2006/relationships/hyperlink" Target="https://www.kapre.com/" TargetMode="External"/><Relationship Id="rId5109" Type="http://schemas.openxmlformats.org/officeDocument/2006/relationships/hyperlink" Target="https://ceinterim.com/business-recovery-strategies-companies-crisis/" TargetMode="External"/><Relationship Id="rId8679" Type="http://schemas.openxmlformats.org/officeDocument/2006/relationships/hyperlink" Target="https://lubelska.co.uk/" TargetMode="External"/><Relationship Id="rId14480" Type="http://schemas.openxmlformats.org/officeDocument/2006/relationships/hyperlink" Target="https://raynordoor.com/" TargetMode="External"/><Relationship Id="rId15531" Type="http://schemas.openxmlformats.org/officeDocument/2006/relationships/hyperlink" Target="https://programminginsider.com/how-to-decorate-bedroom-walls/" TargetMode="External"/><Relationship Id="rId1719" Type="http://schemas.openxmlformats.org/officeDocument/2006/relationships/hyperlink" Target="https://www.simpleshowing.com/" TargetMode="External"/><Relationship Id="rId13082" Type="http://schemas.openxmlformats.org/officeDocument/2006/relationships/hyperlink" Target="https://www.shma.co.uk/" TargetMode="External"/><Relationship Id="rId14133" Type="http://schemas.openxmlformats.org/officeDocument/2006/relationships/hyperlink" Target="https://www.sweetsofties.com/2024/06/the-future-of-outdoor-living.html?m=0" TargetMode="External"/><Relationship Id="rId2090" Type="http://schemas.openxmlformats.org/officeDocument/2006/relationships/hyperlink" Target="https://www.beemoneysavvy.com/buying-smart-how-understanding-contingent-can-help-you-avoid-costly-mistakes/" TargetMode="External"/><Relationship Id="rId3141" Type="http://schemas.openxmlformats.org/officeDocument/2006/relationships/hyperlink" Target="https://www.simpleshowing.com/" TargetMode="External"/><Relationship Id="rId7762" Type="http://schemas.openxmlformats.org/officeDocument/2006/relationships/hyperlink" Target="https://discoverlakelanier.com/" TargetMode="External"/><Relationship Id="rId8813" Type="http://schemas.openxmlformats.org/officeDocument/2006/relationships/hyperlink" Target="https://www.trianglelawns.com/" TargetMode="External"/><Relationship Id="rId6364" Type="http://schemas.openxmlformats.org/officeDocument/2006/relationships/hyperlink" Target="https://www.simpleshowing.com/" TargetMode="External"/><Relationship Id="rId7415" Type="http://schemas.openxmlformats.org/officeDocument/2006/relationships/hyperlink" Target="https://www.taylormorrison.com/" TargetMode="External"/><Relationship Id="rId10743" Type="http://schemas.openxmlformats.org/officeDocument/2006/relationships/hyperlink" Target="https://www.pinoyeplans.com/" TargetMode="External"/><Relationship Id="rId6017" Type="http://schemas.openxmlformats.org/officeDocument/2006/relationships/hyperlink" Target="https://pigmancareers.uky.edu/blog/2025/11/07/a-job-search-playbook-five-weekly-habits-that-deliver-results/" TargetMode="External"/><Relationship Id="rId9587" Type="http://schemas.openxmlformats.org/officeDocument/2006/relationships/hyperlink" Target="https://www.icnetwork.org/how-to-get-better-sleep-with-ic/" TargetMode="External"/><Relationship Id="rId13966" Type="http://schemas.openxmlformats.org/officeDocument/2006/relationships/hyperlink" Target="https://myinteriorpalace.com/" TargetMode="External"/><Relationship Id="rId1576" Type="http://schemas.openxmlformats.org/officeDocument/2006/relationships/hyperlink" Target="https://wolfriverelectric.com/" TargetMode="External"/><Relationship Id="rId2974" Type="http://schemas.openxmlformats.org/officeDocument/2006/relationships/hyperlink" Target="https://www.pulte.com/" TargetMode="External"/><Relationship Id="rId8189" Type="http://schemas.openxmlformats.org/officeDocument/2006/relationships/hyperlink" Target="https://www.pinoyeplans.com/" TargetMode="External"/><Relationship Id="rId12568" Type="http://schemas.openxmlformats.org/officeDocument/2006/relationships/hyperlink" Target="https://propertypressonline.co.uk/" TargetMode="External"/><Relationship Id="rId13619" Type="http://schemas.openxmlformats.org/officeDocument/2006/relationships/hyperlink" Target="https://anationofmoms.com/" TargetMode="External"/><Relationship Id="rId946" Type="http://schemas.openxmlformats.org/officeDocument/2006/relationships/hyperlink" Target="https://www.matrixbasements.com/" TargetMode="External"/><Relationship Id="rId1229" Type="http://schemas.openxmlformats.org/officeDocument/2006/relationships/hyperlink" Target="https://www.londondaily.news/moving-offices-is-no-cake-walk/" TargetMode="External"/><Relationship Id="rId2627" Type="http://schemas.openxmlformats.org/officeDocument/2006/relationships/hyperlink" Target="https://clttoday.6amcity.com/real-estate/tour-6-dreamy-new-model-homes-in-monroe" TargetMode="External"/><Relationship Id="rId5100" Type="http://schemas.openxmlformats.org/officeDocument/2006/relationships/hyperlink" Target="https://www.simpleshowing.com/" TargetMode="External"/><Relationship Id="rId15041" Type="http://schemas.openxmlformats.org/officeDocument/2006/relationships/hyperlink" Target="https://www.luxdeco.com/" TargetMode="External"/><Relationship Id="rId4799" Type="http://schemas.openxmlformats.org/officeDocument/2006/relationships/hyperlink" Target="https://www.kapre.com/" TargetMode="External"/><Relationship Id="rId8670" Type="http://schemas.openxmlformats.org/officeDocument/2006/relationships/hyperlink" Target="https://perlelectrical.co.nz/" TargetMode="External"/><Relationship Id="rId9721" Type="http://schemas.openxmlformats.org/officeDocument/2006/relationships/hyperlink" Target="https://www.teachengineering.org/" TargetMode="External"/><Relationship Id="rId11651" Type="http://schemas.openxmlformats.org/officeDocument/2006/relationships/hyperlink" Target="https://www.theplanner.co.uk/2020/06/01/recovery-plan-what-impact-will-covid-19-have-planning-housing-and-neighbourhooods" TargetMode="External"/><Relationship Id="rId12702" Type="http://schemas.openxmlformats.org/officeDocument/2006/relationships/hyperlink" Target="https://www.offalyexpress.ie/news/lifestyle/1819658/what-pensioners-need-to-know-about-income-tax.html" TargetMode="External"/><Relationship Id="rId1710" Type="http://schemas.openxmlformats.org/officeDocument/2006/relationships/hyperlink" Target="https://www.simpleshowing.com/" TargetMode="External"/><Relationship Id="rId7272" Type="http://schemas.openxmlformats.org/officeDocument/2006/relationships/hyperlink" Target="https://www.taylormorrison.com/" TargetMode="External"/><Relationship Id="rId8323" Type="http://schemas.openxmlformats.org/officeDocument/2006/relationships/hyperlink" Target="https://www.ilounge.com/articles/nightstand-must-haves-apple-watch-apps-to-enhance-your-sleep" TargetMode="External"/><Relationship Id="rId10253" Type="http://schemas.openxmlformats.org/officeDocument/2006/relationships/hyperlink" Target="https://ceat.okstate.edu/stem/teacher-programs.html" TargetMode="External"/><Relationship Id="rId11304" Type="http://schemas.openxmlformats.org/officeDocument/2006/relationships/hyperlink" Target="https://hellotars.com/case-studies/how-save-max-canada-uses-a-chatbot-agent-to-generate-1000s-of-leads" TargetMode="External"/><Relationship Id="rId3882" Type="http://schemas.openxmlformats.org/officeDocument/2006/relationships/hyperlink" Target="https://www.simpleshowing.com/" TargetMode="External"/><Relationship Id="rId4933" Type="http://schemas.openxmlformats.org/officeDocument/2006/relationships/hyperlink" Target="https://uppromote.com/blog/real-estate-affiliate-programs/" TargetMode="External"/><Relationship Id="rId13476" Type="http://schemas.openxmlformats.org/officeDocument/2006/relationships/hyperlink" Target="https://georgiaplastic.com/mommy-makeover-benefits-guide/" TargetMode="External"/><Relationship Id="rId14527" Type="http://schemas.openxmlformats.org/officeDocument/2006/relationships/hyperlink" Target="https://myinteriorpalace.com/" TargetMode="External"/><Relationship Id="rId14874" Type="http://schemas.openxmlformats.org/officeDocument/2006/relationships/hyperlink" Target="https://alittledelightful.com/essential-insights-about-newcastles-water-quality-and-supply/" TargetMode="External"/><Relationship Id="rId15925" Type="http://schemas.openxmlformats.org/officeDocument/2006/relationships/hyperlink" Target="https://myinteriorpalace.com/" TargetMode="External"/><Relationship Id="rId2484" Type="http://schemas.openxmlformats.org/officeDocument/2006/relationships/hyperlink" Target="https://www.simpleshowing.com/" TargetMode="External"/><Relationship Id="rId3535" Type="http://schemas.openxmlformats.org/officeDocument/2006/relationships/hyperlink" Target="https://www.pulte.com/" TargetMode="External"/><Relationship Id="rId9097" Type="http://schemas.openxmlformats.org/officeDocument/2006/relationships/hyperlink" Target="https://nycestimating.us/" TargetMode="External"/><Relationship Id="rId12078" Type="http://schemas.openxmlformats.org/officeDocument/2006/relationships/hyperlink" Target="https://www.hamiltoninternationalestates.com/" TargetMode="External"/><Relationship Id="rId13129" Type="http://schemas.openxmlformats.org/officeDocument/2006/relationships/hyperlink" Target="https://propertypressonline.co.uk/" TargetMode="External"/><Relationship Id="rId456" Type="http://schemas.openxmlformats.org/officeDocument/2006/relationships/hyperlink" Target="https://www.carolinadesigns.com/" TargetMode="External"/><Relationship Id="rId1086" Type="http://schemas.openxmlformats.org/officeDocument/2006/relationships/hyperlink" Target="https://www.simpleshowing.com/" TargetMode="External"/><Relationship Id="rId2137" Type="http://schemas.openxmlformats.org/officeDocument/2006/relationships/hyperlink" Target="https://markspain.com/" TargetMode="External"/><Relationship Id="rId109" Type="http://schemas.openxmlformats.org/officeDocument/2006/relationships/hyperlink" Target="https://www.kelownacapnews.com/" TargetMode="External"/><Relationship Id="rId6758" Type="http://schemas.openxmlformats.org/officeDocument/2006/relationships/hyperlink" Target="https://www.jameshardie.com/all-about-james-hardie/press-releases/performance/james-hardie-green-brick-partners-sign-exclusive/" TargetMode="External"/><Relationship Id="rId7809" Type="http://schemas.openxmlformats.org/officeDocument/2006/relationships/hyperlink" Target="https://discoverlakelanier.com/" TargetMode="External"/><Relationship Id="rId8180" Type="http://schemas.openxmlformats.org/officeDocument/2006/relationships/hyperlink" Target="https://www.pinoyeplans.com/" TargetMode="External"/><Relationship Id="rId9231" Type="http://schemas.openxmlformats.org/officeDocument/2006/relationships/hyperlink" Target="https://www.pinoyeplans.com/" TargetMode="External"/><Relationship Id="rId13610" Type="http://schemas.openxmlformats.org/officeDocument/2006/relationships/hyperlink" Target="https://anationofmoms.com/" TargetMode="External"/><Relationship Id="rId11161" Type="http://schemas.openxmlformats.org/officeDocument/2006/relationships/hyperlink" Target="https://www.waterdamagespecialist.com.au/" TargetMode="External"/><Relationship Id="rId12212" Type="http://schemas.openxmlformats.org/officeDocument/2006/relationships/hyperlink" Target="https://www.pgtwindows.com/blog/when-choosing-a-window-frame/" TargetMode="External"/><Relationship Id="rId15782" Type="http://schemas.openxmlformats.org/officeDocument/2006/relationships/hyperlink" Target="https://www.modinex.com.au/" TargetMode="External"/><Relationship Id="rId1220" Type="http://schemas.openxmlformats.org/officeDocument/2006/relationships/hyperlink" Target="https://bmmagazine.co.uk/business/moving-business-premises-in-london-top-tips/" TargetMode="External"/><Relationship Id="rId4790" Type="http://schemas.openxmlformats.org/officeDocument/2006/relationships/hyperlink" Target="https://www.kapre.com/" TargetMode="External"/><Relationship Id="rId5841" Type="http://schemas.openxmlformats.org/officeDocument/2006/relationships/hyperlink" Target="https://www.jploft.com/blog/best-money-lending-apps" TargetMode="External"/><Relationship Id="rId14384" Type="http://schemas.openxmlformats.org/officeDocument/2006/relationships/hyperlink" Target="https://luxurylifestyle.com/" TargetMode="External"/><Relationship Id="rId15435" Type="http://schemas.openxmlformats.org/officeDocument/2006/relationships/hyperlink" Target="https://llmrefs.com/keywords/best-interior-design-firms-furniture" TargetMode="External"/><Relationship Id="rId3392" Type="http://schemas.openxmlformats.org/officeDocument/2006/relationships/hyperlink" Target="http://assincampo.ismea.it/wp-content/9ihemfoe/wimberley-road-closures.html" TargetMode="External"/><Relationship Id="rId4443" Type="http://schemas.openxmlformats.org/officeDocument/2006/relationships/hyperlink" Target="https://www.newschannel10.com/2024/05/27/high-school-seniors-can-now-get-real-estate-license-free-this-state/" TargetMode="External"/><Relationship Id="rId14037" Type="http://schemas.openxmlformats.org/officeDocument/2006/relationships/hyperlink" Target="https://www.omnihomeideas.com/patio-lawn-garden/how-to-design-a-backyard-that-fits-your-lifestyle/" TargetMode="External"/><Relationship Id="rId3045" Type="http://schemas.openxmlformats.org/officeDocument/2006/relationships/hyperlink" Target="https://www.simpleshowing.com/" TargetMode="External"/><Relationship Id="rId7666" Type="http://schemas.openxmlformats.org/officeDocument/2006/relationships/hyperlink" Target="https://www.simpleshowing.com/" TargetMode="External"/><Relationship Id="rId8717" Type="http://schemas.openxmlformats.org/officeDocument/2006/relationships/hyperlink" Target="https://www.pinoyeplans.com/" TargetMode="External"/><Relationship Id="rId10994" Type="http://schemas.openxmlformats.org/officeDocument/2006/relationships/hyperlink" Target="https://makeymakey.com/blogs/blog/featured-educator-chris-ippolito" TargetMode="External"/><Relationship Id="rId6268" Type="http://schemas.openxmlformats.org/officeDocument/2006/relationships/hyperlink" Target="https://www.simpleshowing.com/" TargetMode="External"/><Relationship Id="rId7319" Type="http://schemas.openxmlformats.org/officeDocument/2006/relationships/hyperlink" Target="https://www.aztechcouncil.org/most-admired-companies-of-2021-axon/" TargetMode="External"/><Relationship Id="rId10647" Type="http://schemas.openxmlformats.org/officeDocument/2006/relationships/hyperlink" Target="https://www.pinoyeplans.com/" TargetMode="External"/><Relationship Id="rId13120" Type="http://schemas.openxmlformats.org/officeDocument/2006/relationships/hyperlink" Target="https://propertypressonline.co.uk/" TargetMode="External"/><Relationship Id="rId100" Type="http://schemas.openxmlformats.org/officeDocument/2006/relationships/hyperlink" Target="https://www.tapinto.net/" TargetMode="External"/><Relationship Id="rId2878" Type="http://schemas.openxmlformats.org/officeDocument/2006/relationships/hyperlink" Target="https://www.pulte.com/" TargetMode="External"/><Relationship Id="rId3929" Type="http://schemas.openxmlformats.org/officeDocument/2006/relationships/hyperlink" Target="https://customhomesonline.com.au/what-are-the-pros-and-cons-of-installing-metal-roofing/" TargetMode="External"/><Relationship Id="rId7800" Type="http://schemas.openxmlformats.org/officeDocument/2006/relationships/hyperlink" Target="https://discoverlakelanier.com/" TargetMode="External"/><Relationship Id="rId15292" Type="http://schemas.openxmlformats.org/officeDocument/2006/relationships/hyperlink" Target="https://myinteriorpalace.com/" TargetMode="External"/><Relationship Id="rId5351" Type="http://schemas.openxmlformats.org/officeDocument/2006/relationships/hyperlink" Target="https://trueprofit.io/blog/how-to-create-a-profit-and-loss-statement" TargetMode="External"/><Relationship Id="rId6402" Type="http://schemas.openxmlformats.org/officeDocument/2006/relationships/hyperlink" Target="https://www.simpleshowing.com/" TargetMode="External"/><Relationship Id="rId9972" Type="http://schemas.openxmlformats.org/officeDocument/2006/relationships/hyperlink" Target="https://www.pinoyeplans.com/" TargetMode="External"/><Relationship Id="rId1961" Type="http://schemas.openxmlformats.org/officeDocument/2006/relationships/hyperlink" Target="https://customergauge.com/benchmarks/companies/mark-spain-real-estate" TargetMode="External"/><Relationship Id="rId5004" Type="http://schemas.openxmlformats.org/officeDocument/2006/relationships/hyperlink" Target="https://www.simpleshowing.com/" TargetMode="External"/><Relationship Id="rId8574" Type="http://schemas.openxmlformats.org/officeDocument/2006/relationships/hyperlink" Target="https://www.cylind.com/" TargetMode="External"/><Relationship Id="rId9625" Type="http://schemas.openxmlformats.org/officeDocument/2006/relationships/hyperlink" Target="https://www.teachengineering.org/" TargetMode="External"/><Relationship Id="rId11555" Type="http://schemas.openxmlformats.org/officeDocument/2006/relationships/hyperlink" Target="https://solihullobserver.co.uk/lifestyle/what-makes-a-stress-free-home-sale-lessons-from-local-sellers/" TargetMode="External"/><Relationship Id="rId12606" Type="http://schemas.openxmlformats.org/officeDocument/2006/relationships/hyperlink" Target="https://www.hinchilla.com/funder-directory/the-maud-elkington-charitable-trust" TargetMode="External"/><Relationship Id="rId12953" Type="http://schemas.openxmlformats.org/officeDocument/2006/relationships/hyperlink" Target="https://www.shma.co.uk/" TargetMode="External"/><Relationship Id="rId1614" Type="http://schemas.openxmlformats.org/officeDocument/2006/relationships/hyperlink" Target="https://www.simpleshowing.com/" TargetMode="External"/><Relationship Id="rId7176" Type="http://schemas.openxmlformats.org/officeDocument/2006/relationships/hyperlink" Target="https://hrtoday.in/sandra-lamartine-appointed-as-executive-vice-president-chief-people-officer-at-taylor-morrison/" TargetMode="External"/><Relationship Id="rId8227" Type="http://schemas.openxmlformats.org/officeDocument/2006/relationships/hyperlink" Target="https://indibloghub.com/post/how-much-does-a-rendering-cost-of-a-3-bedroom-house" TargetMode="External"/><Relationship Id="rId10157" Type="http://schemas.openxmlformats.org/officeDocument/2006/relationships/hyperlink" Target="https://avidopenaccess.org/resource/104-engineering-student-agency-and-opportunity/" TargetMode="External"/><Relationship Id="rId11208" Type="http://schemas.openxmlformats.org/officeDocument/2006/relationships/hyperlink" Target="https://gluesticksgumdrops.com/10-home-maintenance-tasks-homeowners-often-forget/" TargetMode="External"/><Relationship Id="rId3786" Type="http://schemas.openxmlformats.org/officeDocument/2006/relationships/hyperlink" Target="https://www.simpleshowing.com/" TargetMode="External"/><Relationship Id="rId14778" Type="http://schemas.openxmlformats.org/officeDocument/2006/relationships/hyperlink" Target="https://lookwhatmomfound.org/how-often-should-you-schedule-a-garage-door-tune-up-in-houston-expert-timing-and-local-factors/" TargetMode="External"/><Relationship Id="rId15829" Type="http://schemas.openxmlformats.org/officeDocument/2006/relationships/hyperlink" Target="https://myinteriorpalace.com/" TargetMode="External"/><Relationship Id="rId2388" Type="http://schemas.openxmlformats.org/officeDocument/2006/relationships/hyperlink" Target="https://www.simpleshowing.com/" TargetMode="External"/><Relationship Id="rId3439" Type="http://schemas.openxmlformats.org/officeDocument/2006/relationships/hyperlink" Target="https://www.pulte.com/" TargetMode="External"/><Relationship Id="rId4837" Type="http://schemas.openxmlformats.org/officeDocument/2006/relationships/hyperlink" Target="https://www.simpleshowing.com/" TargetMode="External"/><Relationship Id="rId7310" Type="http://schemas.openxmlformats.org/officeDocument/2006/relationships/hyperlink" Target="https://www.barchart.com/stocks/quotes/TMHC/profile" TargetMode="External"/><Relationship Id="rId13861" Type="http://schemas.openxmlformats.org/officeDocument/2006/relationships/hyperlink" Target="https://myinteriorpalace.com/" TargetMode="External"/><Relationship Id="rId14912" Type="http://schemas.openxmlformats.org/officeDocument/2006/relationships/hyperlink" Target="https://www.fluidplumbingservices.com.au/" TargetMode="External"/><Relationship Id="rId3920" Type="http://schemas.openxmlformats.org/officeDocument/2006/relationships/hyperlink" Target="https://www.simcoe.com/life/orillia-ball-hockey-league-results/article_43d95f5a-f85b-5e91-8ee9-51a70ccc4adb.html" TargetMode="External"/><Relationship Id="rId8084" Type="http://schemas.openxmlformats.org/officeDocument/2006/relationships/hyperlink" Target="https://www.pinoyeplans.com/" TargetMode="External"/><Relationship Id="rId9482" Type="http://schemas.openxmlformats.org/officeDocument/2006/relationships/hyperlink" Target="https://www.mothermag.com/free-learning-apps-for-kids/" TargetMode="External"/><Relationship Id="rId12463" Type="http://schemas.openxmlformats.org/officeDocument/2006/relationships/hyperlink" Target="https://sturents.com/" TargetMode="External"/><Relationship Id="rId13514" Type="http://schemas.openxmlformats.org/officeDocument/2006/relationships/hyperlink" Target="https://anationofmoms.com/" TargetMode="External"/><Relationship Id="rId841" Type="http://schemas.openxmlformats.org/officeDocument/2006/relationships/hyperlink" Target="https://www.absolutepestmgmt.com/" TargetMode="External"/><Relationship Id="rId1471" Type="http://schemas.openxmlformats.org/officeDocument/2006/relationships/hyperlink" Target="https://ritewindow.com/blog/3-indicators-its-time-to-upgrade-your-shower-or-bath/" TargetMode="External"/><Relationship Id="rId2522" Type="http://schemas.openxmlformats.org/officeDocument/2006/relationships/hyperlink" Target="https://www.graytvlocal.com/business/the-reserve-at-stono-ferry-by-pulte-homes?m=79" TargetMode="External"/><Relationship Id="rId9135" Type="http://schemas.openxmlformats.org/officeDocument/2006/relationships/hyperlink" Target="https://www.pinoyeplans.com/" TargetMode="External"/><Relationship Id="rId11065" Type="http://schemas.openxmlformats.org/officeDocument/2006/relationships/hyperlink" Target="https://www.teachengineering.org/" TargetMode="External"/><Relationship Id="rId12116" Type="http://schemas.openxmlformats.org/officeDocument/2006/relationships/hyperlink" Target="https://ongaroandsons.com/blog/how-to-clean-air-ducts-yourself/" TargetMode="External"/><Relationship Id="rId15686" Type="http://schemas.openxmlformats.org/officeDocument/2006/relationships/hyperlink" Target="https://www.modinex.com.au/" TargetMode="External"/><Relationship Id="rId1124" Type="http://schemas.openxmlformats.org/officeDocument/2006/relationships/hyperlink" Target="https://www.suziethefoodie.com/the-practical-side-of-making-a-house-feel-right/" TargetMode="External"/><Relationship Id="rId4694" Type="http://schemas.openxmlformats.org/officeDocument/2006/relationships/hyperlink" Target="https://www.kapre.com/" TargetMode="External"/><Relationship Id="rId5745" Type="http://schemas.openxmlformats.org/officeDocument/2006/relationships/hyperlink" Target="https://www.companionlink.com/blog/2024/08/what-are-the-benefits-of-microloans-for-small-businesses/" TargetMode="External"/><Relationship Id="rId14288" Type="http://schemas.openxmlformats.org/officeDocument/2006/relationships/hyperlink" Target="https://luxurylifestyle.com/" TargetMode="External"/><Relationship Id="rId15339" Type="http://schemas.openxmlformats.org/officeDocument/2006/relationships/hyperlink" Target="http://www.caravansonnet.com/2022/11/4-ways-create-modern-contemporary-feel.html" TargetMode="External"/><Relationship Id="rId3296" Type="http://schemas.openxmlformats.org/officeDocument/2006/relationships/hyperlink" Target="https://www.reinhartrealtors.com/MI/Macomb/Macomb/51410-Green-Meadows-Drive-Macomb-MI-48042/20251053965-MIRC" TargetMode="External"/><Relationship Id="rId4347" Type="http://schemas.openxmlformats.org/officeDocument/2006/relationships/hyperlink" Target="https://maao.memberclicks.net/education-faqs" TargetMode="External"/><Relationship Id="rId8968" Type="http://schemas.openxmlformats.org/officeDocument/2006/relationships/hyperlink" Target="https://nycestimating.us/" TargetMode="External"/><Relationship Id="rId10898" Type="http://schemas.openxmlformats.org/officeDocument/2006/relationships/hyperlink" Target="https://tuhsphysics.ttsd.k12.or.us/Research/IB22/Fig/index.htm" TargetMode="External"/><Relationship Id="rId11949" Type="http://schemas.openxmlformats.org/officeDocument/2006/relationships/hyperlink" Target="https://www.hamiltoninternationalestates.com/" TargetMode="External"/><Relationship Id="rId15820" Type="http://schemas.openxmlformats.org/officeDocument/2006/relationships/hyperlink" Target="https://myinteriorpalace.com/" TargetMode="External"/><Relationship Id="rId13371" Type="http://schemas.openxmlformats.org/officeDocument/2006/relationships/hyperlink" Target="https://www.stylecraze.com/articles/best-ppd-free-hair-colors/" TargetMode="External"/><Relationship Id="rId14422" Type="http://schemas.openxmlformats.org/officeDocument/2006/relationships/hyperlink" Target="https://myinteriorpalace.com/" TargetMode="External"/><Relationship Id="rId3430" Type="http://schemas.openxmlformats.org/officeDocument/2006/relationships/hyperlink" Target="https://www.pulte.com/" TargetMode="External"/><Relationship Id="rId13024" Type="http://schemas.openxmlformats.org/officeDocument/2006/relationships/hyperlink" Target="https://propertypressonline.co.uk/" TargetMode="External"/><Relationship Id="rId351" Type="http://schemas.openxmlformats.org/officeDocument/2006/relationships/hyperlink" Target="https://www.simplyinsurance.com/best-home-warranty-for-a-condo/" TargetMode="External"/><Relationship Id="rId2032" Type="http://schemas.openxmlformats.org/officeDocument/2006/relationships/hyperlink" Target="https://markspain.com/" TargetMode="External"/><Relationship Id="rId6653" Type="http://schemas.openxmlformats.org/officeDocument/2006/relationships/hyperlink" Target="https://www.eplanters.com/blog/" TargetMode="External"/><Relationship Id="rId7704" Type="http://schemas.openxmlformats.org/officeDocument/2006/relationships/hyperlink" Target="https://uavcoach.com/where-to-fly-drone/atlanta/" TargetMode="External"/><Relationship Id="rId15196" Type="http://schemas.openxmlformats.org/officeDocument/2006/relationships/hyperlink" Target="https://myinteriorpalace.com/" TargetMode="External"/><Relationship Id="rId16247" Type="http://schemas.openxmlformats.org/officeDocument/2006/relationships/hyperlink" Target="https://www.unitedcarpetsandbeds.com/" TargetMode="External"/><Relationship Id="rId5255" Type="http://schemas.openxmlformats.org/officeDocument/2006/relationships/hyperlink" Target="https://findcontinuingcare.com/blog/3-key-facts-about-paying-for-a-ccrc" TargetMode="External"/><Relationship Id="rId6306" Type="http://schemas.openxmlformats.org/officeDocument/2006/relationships/hyperlink" Target="https://www.simpleshowing.com/" TargetMode="External"/><Relationship Id="rId9876" Type="http://schemas.openxmlformats.org/officeDocument/2006/relationships/hyperlink" Target="https://www.pinoyeplans.com/" TargetMode="External"/><Relationship Id="rId1865" Type="http://schemas.openxmlformats.org/officeDocument/2006/relationships/hyperlink" Target="https://www.blogarama.com/home-and-garden-blogs/1418221-commercial-residential-solar-panels-differences-similarities-blog" TargetMode="External"/><Relationship Id="rId8478" Type="http://schemas.openxmlformats.org/officeDocument/2006/relationships/hyperlink" Target="https://www.cylind.com/" TargetMode="External"/><Relationship Id="rId9529" Type="http://schemas.openxmlformats.org/officeDocument/2006/relationships/hyperlink" Target="https://www.teachengineering.org/" TargetMode="External"/><Relationship Id="rId12857" Type="http://schemas.openxmlformats.org/officeDocument/2006/relationships/hyperlink" Target="https://www.shma.co.uk/" TargetMode="External"/><Relationship Id="rId13908" Type="http://schemas.openxmlformats.org/officeDocument/2006/relationships/hyperlink" Target="https://www.lorddecor.com/blog/effortless-elegance-how-herringbone-floors-transform-simple-spaces" TargetMode="External"/><Relationship Id="rId1518" Type="http://schemas.openxmlformats.org/officeDocument/2006/relationships/hyperlink" Target="https://www.simpleshowing.com/" TargetMode="External"/><Relationship Id="rId2916" Type="http://schemas.openxmlformats.org/officeDocument/2006/relationships/hyperlink" Target="https://www.simpleshowing.com/" TargetMode="External"/><Relationship Id="rId11459" Type="http://schemas.openxmlformats.org/officeDocument/2006/relationships/hyperlink" Target="https://www.hamiltoninternationalestates.com/" TargetMode="External"/><Relationship Id="rId15330" Type="http://schemas.openxmlformats.org/officeDocument/2006/relationships/hyperlink" Target="https://www.onlinemoneyadvisor.co.uk/which-interior-design-style-adds-the-most-value-to-your-home/" TargetMode="External"/><Relationship Id="rId11940" Type="http://schemas.openxmlformats.org/officeDocument/2006/relationships/hyperlink" Target="https://www.hamiltoninternationalestates.com/" TargetMode="External"/><Relationship Id="rId6163" Type="http://schemas.openxmlformats.org/officeDocument/2006/relationships/hyperlink" Target="https://amnews.com/2020/09/01/americans-should-be-free-to-pursue-financial-options-in-the-covid-battle/" TargetMode="External"/><Relationship Id="rId7561" Type="http://schemas.openxmlformats.org/officeDocument/2006/relationships/hyperlink" Target="https://www.simpleshowing.com/" TargetMode="External"/><Relationship Id="rId8612" Type="http://schemas.openxmlformats.org/officeDocument/2006/relationships/hyperlink" Target="https://www.pinoyeplans.com/" TargetMode="External"/><Relationship Id="rId10542" Type="http://schemas.openxmlformats.org/officeDocument/2006/relationships/hyperlink" Target="https://www.pinoyeplans.com/" TargetMode="External"/><Relationship Id="rId7214" Type="http://schemas.openxmlformats.org/officeDocument/2006/relationships/hyperlink" Target="https://www.theglobeandmail.com/investing/markets/stocks/TMHC-N/profile/" TargetMode="External"/><Relationship Id="rId13765" Type="http://schemas.openxmlformats.org/officeDocument/2006/relationships/hyperlink" Target="https://myinteriorpalace.com/" TargetMode="External"/><Relationship Id="rId14816" Type="http://schemas.openxmlformats.org/officeDocument/2006/relationships/hyperlink" Target="https://www.easygaragedoorrepair.com/" TargetMode="External"/><Relationship Id="rId2773" Type="http://schemas.openxmlformats.org/officeDocument/2006/relationships/hyperlink" Target="https://www.pulte.com/" TargetMode="External"/><Relationship Id="rId3824" Type="http://schemas.openxmlformats.org/officeDocument/2006/relationships/hyperlink" Target="https://huntinghills.rdpsd.ab.ca/students/career-suite/scholarships-bursaries" TargetMode="External"/><Relationship Id="rId9386" Type="http://schemas.openxmlformats.org/officeDocument/2006/relationships/hyperlink" Target="https://sciencetrek.org/topics/csi/resources" TargetMode="External"/><Relationship Id="rId12367" Type="http://schemas.openxmlformats.org/officeDocument/2006/relationships/hyperlink" Target="https://sturents.com/" TargetMode="External"/><Relationship Id="rId13418" Type="http://schemas.openxmlformats.org/officeDocument/2006/relationships/hyperlink" Target="https://anationofmoms.com/" TargetMode="External"/><Relationship Id="rId745" Type="http://schemas.openxmlformats.org/officeDocument/2006/relationships/hyperlink" Target="https://travelwiththesmile.com/blog/guide-to-a-safe-and-relaxing-spring-break/" TargetMode="External"/><Relationship Id="rId1375" Type="http://schemas.openxmlformats.org/officeDocument/2006/relationships/hyperlink" Target="https://ritewindow.com/blog/3-indicators-its-time-to-upgrade-your-shower-or-bath/" TargetMode="External"/><Relationship Id="rId2426" Type="http://schemas.openxmlformats.org/officeDocument/2006/relationships/hyperlink" Target="https://northriverranch.com/builders/pulte-homes/" TargetMode="External"/><Relationship Id="rId5996" Type="http://schemas.openxmlformats.org/officeDocument/2006/relationships/hyperlink" Target="https://www.simpleshowing.com/" TargetMode="External"/><Relationship Id="rId9039" Type="http://schemas.openxmlformats.org/officeDocument/2006/relationships/hyperlink" Target="https://www.pinoyeplans.com/" TargetMode="External"/><Relationship Id="rId81" Type="http://schemas.openxmlformats.org/officeDocument/2006/relationships/hyperlink" Target="http://yourhomedesigncenter.com/" TargetMode="External"/><Relationship Id="rId1028" Type="http://schemas.openxmlformats.org/officeDocument/2006/relationships/hyperlink" Target="https://www.balto.ai/blog/what-does-the-contact-center-of-2030-look-like/" TargetMode="External"/><Relationship Id="rId4598" Type="http://schemas.openxmlformats.org/officeDocument/2006/relationships/hyperlink" Target="https://www.kapre.com/" TargetMode="External"/><Relationship Id="rId5649" Type="http://schemas.openxmlformats.org/officeDocument/2006/relationships/hyperlink" Target="https://reviewgrower.com/how-to-check-out-a-companys-online-reputation/" TargetMode="External"/><Relationship Id="rId9520" Type="http://schemas.openxmlformats.org/officeDocument/2006/relationships/hyperlink" Target="https://www.teachengineering.org/" TargetMode="External"/><Relationship Id="rId7071" Type="http://schemas.openxmlformats.org/officeDocument/2006/relationships/hyperlink" Target="https://ces.pugetsound.edu/events/2025/10/15/explore-internships-career-pathways-a-look-inside-taylor-morrison-homes/" TargetMode="External"/><Relationship Id="rId8122" Type="http://schemas.openxmlformats.org/officeDocument/2006/relationships/hyperlink" Target="https://www.carthage.edu/live/news/36759-apply-for-scholarships-over-summer-break" TargetMode="External"/><Relationship Id="rId11450" Type="http://schemas.openxmlformats.org/officeDocument/2006/relationships/hyperlink" Target="https://www.hamiltoninternationalestates.com/" TargetMode="External"/><Relationship Id="rId12501" Type="http://schemas.openxmlformats.org/officeDocument/2006/relationships/hyperlink" Target="https://www.sheffielddirectory.org.uk/directory/directory-search/?id=1d151970-4845-4764-84d2-b1e200b38fb4&amp;returnUrl=https%3A%2F%2Fwww.sheffielddirectory.org.uk%2Fdirectory%2F%3FsearchTab%3DservicesSearchTab%26templateId%3DD770A514-E446-440B-A074-B0C8010100A3%26topLevelCategoryId%3D69E29546-8D60-4AB8-B84E-AF73008DA57E%26sortOption%3DRank%253Basc%26pageNumber%3D1%26pageSize%3D15%26categories.0%3DE8D54BD1-8D47-47E8-A21A-B0C800F337A2%26categories.1%3DAA13A7A6-9668-4AAA-AE39-B0C800F337A2%26distance%3D1609" TargetMode="External"/><Relationship Id="rId10052" Type="http://schemas.openxmlformats.org/officeDocument/2006/relationships/hyperlink" Target="https://www.nhaschools.com/schools/vanderbilt-charter-academy/en/blog/sixth-graders-produce-several-pounds-of-trash" TargetMode="External"/><Relationship Id="rId11103" Type="http://schemas.openxmlformats.org/officeDocument/2006/relationships/hyperlink" Target="https://www.pinoyeplans.com/" TargetMode="External"/><Relationship Id="rId14673" Type="http://schemas.openxmlformats.org/officeDocument/2006/relationships/hyperlink" Target="https://sunnysweetdays.com/garage-door-mastery/" TargetMode="External"/><Relationship Id="rId15724" Type="http://schemas.openxmlformats.org/officeDocument/2006/relationships/hyperlink" Target="https://myinteriorpalace.com/" TargetMode="External"/><Relationship Id="rId3681" Type="http://schemas.openxmlformats.org/officeDocument/2006/relationships/hyperlink" Target="https://www.simpleshowing.com/" TargetMode="External"/><Relationship Id="rId4732" Type="http://schemas.openxmlformats.org/officeDocument/2006/relationships/hyperlink" Target="https://www.simpleshowing.com/" TargetMode="External"/><Relationship Id="rId13275" Type="http://schemas.openxmlformats.org/officeDocument/2006/relationships/hyperlink" Target="https://www.talentedladiesclub.com/articles/getting-into-real-estate-investing-one-step-at-a-time/" TargetMode="External"/><Relationship Id="rId14326" Type="http://schemas.openxmlformats.org/officeDocument/2006/relationships/hyperlink" Target="https://myinteriorpalace.com/" TargetMode="External"/><Relationship Id="rId2283" Type="http://schemas.openxmlformats.org/officeDocument/2006/relationships/hyperlink" Target="https://www.simpleshowing.com/" TargetMode="External"/><Relationship Id="rId3334" Type="http://schemas.openxmlformats.org/officeDocument/2006/relationships/hyperlink" Target="https://www.pulte.com/" TargetMode="External"/><Relationship Id="rId7955" Type="http://schemas.openxmlformats.org/officeDocument/2006/relationships/hyperlink" Target="https://www.pinoyeplans.com/" TargetMode="External"/><Relationship Id="rId255" Type="http://schemas.openxmlformats.org/officeDocument/2006/relationships/hyperlink" Target="http://northernvirginiahomepro.com/" TargetMode="External"/><Relationship Id="rId6557" Type="http://schemas.openxmlformats.org/officeDocument/2006/relationships/hyperlink" Target="https://www.yankodesign.com/2025/05/12/first-solar-powered-off-grid-sauna-in-the-us-combines-finnish-tradition-with-sustainable-innovation/" TargetMode="External"/><Relationship Id="rId7608" Type="http://schemas.openxmlformats.org/officeDocument/2006/relationships/hyperlink" Target="https://career.du.edu/jobs/taylor-morrison-purchasing-coordinator/" TargetMode="External"/><Relationship Id="rId10936" Type="http://schemas.openxmlformats.org/officeDocument/2006/relationships/hyperlink" Target="https://www.teachengineering.org/" TargetMode="External"/><Relationship Id="rId5159" Type="http://schemas.openxmlformats.org/officeDocument/2006/relationships/hyperlink" Target="https://www.outbackteambuilding.com/blog/sales-team-building-activities-to-boost-performance/" TargetMode="External"/><Relationship Id="rId9030" Type="http://schemas.openxmlformats.org/officeDocument/2006/relationships/hyperlink" Target="https://www.pinoyeplans.com/" TargetMode="External"/><Relationship Id="rId12011" Type="http://schemas.openxmlformats.org/officeDocument/2006/relationships/hyperlink" Target="https://www.american.bank/news/applying-for-a-mortgage-do-these-six-things/" TargetMode="External"/><Relationship Id="rId15581" Type="http://schemas.openxmlformats.org/officeDocument/2006/relationships/hyperlink" Target="https://www.luxdeco.com/" TargetMode="External"/><Relationship Id="rId1769" Type="http://schemas.openxmlformats.org/officeDocument/2006/relationships/hyperlink" Target="https://mix106radio.com/ixp/95/p/alert-wildfire-season-is-open-this-week-in-idaho/" TargetMode="External"/><Relationship Id="rId3191" Type="http://schemas.openxmlformats.org/officeDocument/2006/relationships/hyperlink" Target="https://ideal-living.com/homes-life-pulte-centex-del-webb/" TargetMode="External"/><Relationship Id="rId4242" Type="http://schemas.openxmlformats.org/officeDocument/2006/relationships/hyperlink" Target="https://staterequirement.com/real-estate/kaplan-real-estate-review/" TargetMode="External"/><Relationship Id="rId5640" Type="http://schemas.openxmlformats.org/officeDocument/2006/relationships/hyperlink" Target="https://www.simpleshowing.com/" TargetMode="External"/><Relationship Id="rId14183" Type="http://schemas.openxmlformats.org/officeDocument/2006/relationships/hyperlink" Target="https://luxurylifestyle.com/" TargetMode="External"/><Relationship Id="rId15234" Type="http://schemas.openxmlformats.org/officeDocument/2006/relationships/hyperlink" Target="https://www.amh.com/blog/post/interior-design-inspiration-from-the-olympics?postId=1c03052e-def5-4c47-a826-67c3e8300b2b" TargetMode="External"/><Relationship Id="rId8863" Type="http://schemas.openxmlformats.org/officeDocument/2006/relationships/hyperlink" Target="https://www.trianglepest.com/" TargetMode="External"/><Relationship Id="rId9914" Type="http://schemas.openxmlformats.org/officeDocument/2006/relationships/hyperlink" Target="https://edusites.uregina.ca/misshartman/engaging-teaching-resources/" TargetMode="External"/><Relationship Id="rId10793" Type="http://schemas.openxmlformats.org/officeDocument/2006/relationships/hyperlink" Target="https://www.newark.com/es/a-comprehensive-guide-to-proximity-sensors-for-industrial-applications-trc-ar" TargetMode="External"/><Relationship Id="rId11844" Type="http://schemas.openxmlformats.org/officeDocument/2006/relationships/hyperlink" Target="https://www.hamiltoninternationalestates.com/" TargetMode="External"/><Relationship Id="rId1903" Type="http://schemas.openxmlformats.org/officeDocument/2006/relationships/hyperlink" Target="https://markspain.com/" TargetMode="External"/><Relationship Id="rId7465" Type="http://schemas.openxmlformats.org/officeDocument/2006/relationships/hyperlink" Target="https://www.simpleshowing.com/" TargetMode="External"/><Relationship Id="rId8516" Type="http://schemas.openxmlformats.org/officeDocument/2006/relationships/hyperlink" Target="https://www.pinoyeplans.com/" TargetMode="External"/><Relationship Id="rId10446" Type="http://schemas.openxmlformats.org/officeDocument/2006/relationships/hyperlink" Target="https://www.pinoyeplans.com/" TargetMode="External"/><Relationship Id="rId6067" Type="http://schemas.openxmlformats.org/officeDocument/2006/relationships/hyperlink" Target="https://genial-event-305177.framer.app/blog/10-ways-to-choose-a-sales-commission-structure-free-calculator-included" TargetMode="External"/><Relationship Id="rId7118" Type="http://schemas.openxmlformats.org/officeDocument/2006/relationships/hyperlink" Target="https://www.simpleshowing.com/" TargetMode="External"/><Relationship Id="rId996" Type="http://schemas.openxmlformats.org/officeDocument/2006/relationships/hyperlink" Target="https://www.simpleshowing.com/" TargetMode="External"/><Relationship Id="rId2677" Type="http://schemas.openxmlformats.org/officeDocument/2006/relationships/hyperlink" Target="https://www.pulte.com/" TargetMode="External"/><Relationship Id="rId3728" Type="http://schemas.openxmlformats.org/officeDocument/2006/relationships/hyperlink" Target="https://www.danleys.com/blog/open-garage-power-outage/" TargetMode="External"/><Relationship Id="rId13669" Type="http://schemas.openxmlformats.org/officeDocument/2006/relationships/hyperlink" Target="https://myinteriorpalace.com/" TargetMode="External"/><Relationship Id="rId15091" Type="http://schemas.openxmlformats.org/officeDocument/2006/relationships/hyperlink" Target="https://myinteriorpalace.com/" TargetMode="External"/><Relationship Id="rId16142" Type="http://schemas.openxmlformats.org/officeDocument/2006/relationships/hyperlink" Target="https://www.unitedcarpetsandbeds.com/" TargetMode="External"/><Relationship Id="rId649" Type="http://schemas.openxmlformats.org/officeDocument/2006/relationships/hyperlink" Target="https://www.vagabondjourney.com/3-offbeat-destinations-you-must-explore-in-the-u-s/" TargetMode="External"/><Relationship Id="rId1279" Type="http://schemas.openxmlformats.org/officeDocument/2006/relationships/hyperlink" Target="https://darscover.com/" TargetMode="External"/><Relationship Id="rId5150" Type="http://schemas.openxmlformats.org/officeDocument/2006/relationships/hyperlink" Target="https://www.simpleshowing.com/" TargetMode="External"/><Relationship Id="rId6201" Type="http://schemas.openxmlformats.org/officeDocument/2006/relationships/hyperlink" Target="https://thecostaricanews.com/u-s-news-announces-the-best-debt-settlement-companies/" TargetMode="External"/><Relationship Id="rId8373" Type="http://schemas.openxmlformats.org/officeDocument/2006/relationships/hyperlink" Target="https://24hourfloodpros.com/" TargetMode="External"/><Relationship Id="rId9771" Type="http://schemas.openxmlformats.org/officeDocument/2006/relationships/hyperlink" Target="https://www.pinoyeplans.com/" TargetMode="External"/><Relationship Id="rId12752" Type="http://schemas.openxmlformats.org/officeDocument/2006/relationships/hyperlink" Target="https://www.shma.co.uk/" TargetMode="External"/><Relationship Id="rId13803" Type="http://schemas.openxmlformats.org/officeDocument/2006/relationships/hyperlink" Target="http://www2.saganet.ne.jp/cgi-bin/hatto/board/wwwboard.pl/www.pelsh.forum24.ru/www.butternut-yarrow-673.notion.site/2065ec070ffb80fc82b9cbf649b5f200/k.krakenwork.cc/s%3A%2F%25Evolv.E.L.U.pc@Haedongacademy.org/www.soglasovanie-pereplanirovki-kvartiry11.ru/www.rudik-diplom9.ru/www.gidroizolyaciya-cena-8.ru/wwwboard.pl" TargetMode="External"/><Relationship Id="rId1760" Type="http://schemas.openxmlformats.org/officeDocument/2006/relationships/hyperlink" Target="https://www.solarpowerworldonline.com/2023/04/sunpower-brings-wolf-river-electric-into-dealer-accelerator-program/" TargetMode="External"/><Relationship Id="rId2811" Type="http://schemas.openxmlformats.org/officeDocument/2006/relationships/hyperlink" Target="https://www.simpleshowing.com/" TargetMode="External"/><Relationship Id="rId8026" Type="http://schemas.openxmlformats.org/officeDocument/2006/relationships/hyperlink" Target="https://www.pinoyeplans.com/" TargetMode="External"/><Relationship Id="rId9424" Type="http://schemas.openxmlformats.org/officeDocument/2006/relationships/hyperlink" Target="https://www.teachengineering.org/" TargetMode="External"/><Relationship Id="rId11354" Type="http://schemas.openxmlformats.org/officeDocument/2006/relationships/hyperlink" Target="https://www.hamiltoninternationalestates.com/" TargetMode="External"/><Relationship Id="rId12405" Type="http://schemas.openxmlformats.org/officeDocument/2006/relationships/hyperlink" Target="https://propertypressonline.co.uk/" TargetMode="External"/><Relationship Id="rId15975" Type="http://schemas.openxmlformats.org/officeDocument/2006/relationships/hyperlink" Target="https://www.sweetsofties.com/2025/12/raynor-garage-doors-quality-durability-and-modern-solutions-for-your-home.html" TargetMode="External"/><Relationship Id="rId1413" Type="http://schemas.openxmlformats.org/officeDocument/2006/relationships/hyperlink" Target="https://www.simpleshowing.com/" TargetMode="External"/><Relationship Id="rId4983" Type="http://schemas.openxmlformats.org/officeDocument/2006/relationships/hyperlink" Target="https://curbhe.ro/real-estate-website-builder/" TargetMode="External"/><Relationship Id="rId11007" Type="http://schemas.openxmlformats.org/officeDocument/2006/relationships/hyperlink" Target="https://www.pinoyeplans.com/" TargetMode="External"/><Relationship Id="rId14577" Type="http://schemas.openxmlformats.org/officeDocument/2006/relationships/hyperlink" Target="https://www.melaniejadedesign.com/trusted-garage-door-repair-companies/" TargetMode="External"/><Relationship Id="rId15628" Type="http://schemas.openxmlformats.org/officeDocument/2006/relationships/hyperlink" Target="https://myinteriorpalace.com/" TargetMode="External"/><Relationship Id="rId3585" Type="http://schemas.openxmlformats.org/officeDocument/2006/relationships/hyperlink" Target="https://www.simpleshowing.com/" TargetMode="External"/><Relationship Id="rId4636" Type="http://schemas.openxmlformats.org/officeDocument/2006/relationships/hyperlink" Target="https://www.simpleshowing.com/" TargetMode="External"/><Relationship Id="rId13179" Type="http://schemas.openxmlformats.org/officeDocument/2006/relationships/hyperlink" Target="https://moderncampground.com/europe/united-kingdom/uk-farmers-turn-to-glamping-amid-inheritance-tax-reform-concerns/" TargetMode="External"/><Relationship Id="rId2187" Type="http://schemas.openxmlformats.org/officeDocument/2006/relationships/hyperlink" Target="https://www.simpleshowing.com/" TargetMode="External"/><Relationship Id="rId3238" Type="http://schemas.openxmlformats.org/officeDocument/2006/relationships/hyperlink" Target="https://www.pulte.com/" TargetMode="External"/><Relationship Id="rId7859" Type="http://schemas.openxmlformats.org/officeDocument/2006/relationships/hyperlink" Target="https://www.simpleshowing.com/" TargetMode="External"/><Relationship Id="rId159" Type="http://schemas.openxmlformats.org/officeDocument/2006/relationships/hyperlink" Target="https://www.parkcitymag.com/" TargetMode="External"/><Relationship Id="rId9281" Type="http://schemas.openxmlformats.org/officeDocument/2006/relationships/hyperlink" Target="https://www.sciencelearn.org.nz/resources/1726-periodic-table-of-elements" TargetMode="External"/><Relationship Id="rId13660" Type="http://schemas.openxmlformats.org/officeDocument/2006/relationships/hyperlink" Target="https://myinteriorpalace.com/" TargetMode="External"/><Relationship Id="rId14711" Type="http://schemas.openxmlformats.org/officeDocument/2006/relationships/hyperlink" Target="https://www.easygaragedoorrepair.com/" TargetMode="External"/><Relationship Id="rId1270" Type="http://schemas.openxmlformats.org/officeDocument/2006/relationships/hyperlink" Target="https://darscover.com/" TargetMode="External"/><Relationship Id="rId12262" Type="http://schemas.openxmlformats.org/officeDocument/2006/relationships/hyperlink" Target="https://marrons.co.uk/" TargetMode="External"/><Relationship Id="rId13313" Type="http://schemas.openxmlformats.org/officeDocument/2006/relationships/hyperlink" Target="https://a1floorsnc.com/" TargetMode="External"/><Relationship Id="rId640" Type="http://schemas.openxmlformats.org/officeDocument/2006/relationships/hyperlink" Target="https://www.eofire.com/podcast/danmcgaw/" TargetMode="External"/><Relationship Id="rId2321" Type="http://schemas.openxmlformats.org/officeDocument/2006/relationships/hyperlink" Target="https://theprovidencegroup.com/blog/the-providence-group-featured-in-atlanta-agent-magazine/" TargetMode="External"/><Relationship Id="rId5891" Type="http://schemas.openxmlformats.org/officeDocument/2006/relationships/hyperlink" Target="https://newsadvance.com/news/nation-world/business/personal-finance/article_2e572100-5696-5477-9860-43854cb01c31.html" TargetMode="External"/><Relationship Id="rId6942" Type="http://schemas.openxmlformats.org/officeDocument/2006/relationships/hyperlink" Target="https://impact.builderonline.com/" TargetMode="External"/><Relationship Id="rId15485" Type="http://schemas.openxmlformats.org/officeDocument/2006/relationships/hyperlink" Target="https://www.luxdeco.com/" TargetMode="External"/><Relationship Id="rId4493" Type="http://schemas.openxmlformats.org/officeDocument/2006/relationships/hyperlink" Target="https://www.kapre.com/" TargetMode="External"/><Relationship Id="rId5544" Type="http://schemas.openxmlformats.org/officeDocument/2006/relationships/hyperlink" Target="https://www.simpleshowing.com/" TargetMode="External"/><Relationship Id="rId14087" Type="http://schemas.openxmlformats.org/officeDocument/2006/relationships/hyperlink" Target="https://keystonecustomdecksny.com/" TargetMode="External"/><Relationship Id="rId15138" Type="http://schemas.openxmlformats.org/officeDocument/2006/relationships/hyperlink" Target="https://theorg.com/org/luxdeco" TargetMode="External"/><Relationship Id="rId3095" Type="http://schemas.openxmlformats.org/officeDocument/2006/relationships/hyperlink" Target="https://www.constructiondive.com/news/pulte-exceeds-q1-2017-profit-projections-falls-short-on-revenue/441295/" TargetMode="External"/><Relationship Id="rId4146" Type="http://schemas.openxmlformats.org/officeDocument/2006/relationships/hyperlink" Target="https://www.simpleshowing.com/" TargetMode="External"/><Relationship Id="rId8767" Type="http://schemas.openxmlformats.org/officeDocument/2006/relationships/hyperlink" Target="https://www.brightbidhomes.com/blog/what-is-seller-financing/" TargetMode="External"/><Relationship Id="rId9818" Type="http://schemas.openxmlformats.org/officeDocument/2006/relationships/hyperlink" Target="https://mem-c.washington.edu/k-12/lessons/evaluation-of-different-solar-cells-using-a-multimeter/" TargetMode="External"/><Relationship Id="rId10697" Type="http://schemas.openxmlformats.org/officeDocument/2006/relationships/hyperlink" Target="https://www.ukclimbing.com/forums/hill_talk/contours-620981" TargetMode="External"/><Relationship Id="rId1807" Type="http://schemas.openxmlformats.org/officeDocument/2006/relationships/hyperlink" Target="https://wolfriverelectric.com/" TargetMode="External"/><Relationship Id="rId7369" Type="http://schemas.openxmlformats.org/officeDocument/2006/relationships/hyperlink" Target="https://rdcnewsadvice.wpengine.com/news/trends/donald-trump-tariffs-steel-aluminum-imports-homebuilders-outlook/" TargetMode="External"/><Relationship Id="rId11748" Type="http://schemas.openxmlformats.org/officeDocument/2006/relationships/hyperlink" Target="https://www.hamiltoninternationalestates.com/" TargetMode="External"/><Relationship Id="rId13170" Type="http://schemas.openxmlformats.org/officeDocument/2006/relationships/hyperlink" Target="https://todaysconveyancer.co.uk/net-zero-the-challenges-and-the-opportunities-for-the-property-sector/" TargetMode="External"/><Relationship Id="rId14221" Type="http://schemas.openxmlformats.org/officeDocument/2006/relationships/hyperlink" Target="https://myinteriorpalace.com/" TargetMode="External"/><Relationship Id="rId150" Type="http://schemas.openxmlformats.org/officeDocument/2006/relationships/hyperlink" Target="https://www.agassizharrisonobserver.com/" TargetMode="External"/><Relationship Id="rId3979" Type="http://schemas.openxmlformats.org/officeDocument/2006/relationships/hyperlink" Target="https://www.smartsolarenergyco.com/" TargetMode="External"/><Relationship Id="rId6452" Type="http://schemas.openxmlformats.org/officeDocument/2006/relationships/hyperlink" Target="https://www.thermasol.com/" TargetMode="External"/><Relationship Id="rId7850" Type="http://schemas.openxmlformats.org/officeDocument/2006/relationships/hyperlink" Target="https://www.simpleshowing.com/" TargetMode="External"/><Relationship Id="rId8901" Type="http://schemas.openxmlformats.org/officeDocument/2006/relationships/hyperlink" Target="https://www.pinoyeplans.com/" TargetMode="External"/><Relationship Id="rId10831" Type="http://schemas.openxmlformats.org/officeDocument/2006/relationships/hyperlink" Target="https://www.teachengineering.org/" TargetMode="External"/><Relationship Id="rId5054" Type="http://schemas.openxmlformats.org/officeDocument/2006/relationships/hyperlink" Target="https://www.simpleshowing.com/" TargetMode="External"/><Relationship Id="rId6105" Type="http://schemas.openxmlformats.org/officeDocument/2006/relationships/hyperlink" Target="https://lifestylebyps.com/blogs/b/how-debt-can-work-in-your-favor" TargetMode="External"/><Relationship Id="rId7503" Type="http://schemas.openxmlformats.org/officeDocument/2006/relationships/hyperlink" Target="https://share.snipd.com/episode/5c6aa0c0-8dd9-4975-83dd-1fbc25a2217c" TargetMode="External"/><Relationship Id="rId16046" Type="http://schemas.openxmlformats.org/officeDocument/2006/relationships/hyperlink" Target="https://www.rwdoors.com/" TargetMode="External"/><Relationship Id="rId9675" Type="http://schemas.openxmlformats.org/officeDocument/2006/relationships/hyperlink" Target="https://www.pinoyeplans.com/" TargetMode="External"/><Relationship Id="rId12656" Type="http://schemas.openxmlformats.org/officeDocument/2006/relationships/hyperlink" Target="https://www.shma.co.uk/" TargetMode="External"/><Relationship Id="rId13707" Type="http://schemas.openxmlformats.org/officeDocument/2006/relationships/hyperlink" Target="https://www.medigy.com/news/blogs/navigating-ontarios-continuous-care-shift-a-comprehensive-guide-to-workplace-mental-health-tech-stacks/" TargetMode="External"/><Relationship Id="rId1664" Type="http://schemas.openxmlformats.org/officeDocument/2006/relationships/hyperlink" Target="https://991thewhale.com/ixp/498/p/summer-power-outages-new-york/" TargetMode="External"/><Relationship Id="rId2715" Type="http://schemas.openxmlformats.org/officeDocument/2006/relationships/hyperlink" Target="https://www.simpleshowing.com/" TargetMode="External"/><Relationship Id="rId8277" Type="http://schemas.openxmlformats.org/officeDocument/2006/relationships/hyperlink" Target="https://www.zestlighting.com.au/" TargetMode="External"/><Relationship Id="rId9328" Type="http://schemas.openxmlformats.org/officeDocument/2006/relationships/hyperlink" Target="https://www.teachengineering.org/" TargetMode="External"/><Relationship Id="rId11258" Type="http://schemas.openxmlformats.org/officeDocument/2006/relationships/hyperlink" Target="https://www.theinspirationedit.com/rebuild-and-renew-with-confidence/" TargetMode="External"/><Relationship Id="rId12309" Type="http://schemas.openxmlformats.org/officeDocument/2006/relationships/hyperlink" Target="https://propertypressonline.co.uk/" TargetMode="External"/><Relationship Id="rId15879" Type="http://schemas.openxmlformats.org/officeDocument/2006/relationships/hyperlink" Target="https://www.buzzsprout.com/1962139/episodes/15235410-nina-schubert" TargetMode="External"/><Relationship Id="rId1317" Type="http://schemas.openxmlformats.org/officeDocument/2006/relationships/hyperlink" Target="https://www.simpleshowing.com/" TargetMode="External"/><Relationship Id="rId4887" Type="http://schemas.openxmlformats.org/officeDocument/2006/relationships/hyperlink" Target="https://blog.transactly.com/strategies-for-building-a-real-estate-marketing-partnership" TargetMode="External"/><Relationship Id="rId5938" Type="http://schemas.openxmlformats.org/officeDocument/2006/relationships/hyperlink" Target="https://www.simpleshowing.com/" TargetMode="External"/><Relationship Id="rId23" Type="http://schemas.openxmlformats.org/officeDocument/2006/relationships/hyperlink" Target="https://fbcremodel.com/blog/project-highlight-master-bathroom-remodel/" TargetMode="External"/><Relationship Id="rId3489" Type="http://schemas.openxmlformats.org/officeDocument/2006/relationships/hyperlink" Target="https://www.simpleshowing.com/" TargetMode="External"/><Relationship Id="rId7360" Type="http://schemas.openxmlformats.org/officeDocument/2006/relationships/hyperlink" Target="https://lightyear.com/en/stock/TMHC:NYSE" TargetMode="External"/><Relationship Id="rId8411" Type="http://schemas.openxmlformats.org/officeDocument/2006/relationships/hyperlink" Target="https://www.pinoyeplans.com/" TargetMode="External"/><Relationship Id="rId7013" Type="http://schemas.openxmlformats.org/officeDocument/2006/relationships/hyperlink" Target="https://www.taylormorrison.com/" TargetMode="External"/><Relationship Id="rId10341" Type="http://schemas.openxmlformats.org/officeDocument/2006/relationships/hyperlink" Target="https://www.pinoyeplans.com/" TargetMode="External"/><Relationship Id="rId14962" Type="http://schemas.openxmlformats.org/officeDocument/2006/relationships/hyperlink" Target="https://myinteriorpalace.com/" TargetMode="External"/><Relationship Id="rId3970" Type="http://schemas.openxmlformats.org/officeDocument/2006/relationships/hyperlink" Target="https://www.smartsolarenergyco.com/" TargetMode="External"/><Relationship Id="rId9185" Type="http://schemas.openxmlformats.org/officeDocument/2006/relationships/hyperlink" Target="https://creaminstaller.com/accurate-lumber-takeoff-services-for-smarter-construction-planning/" TargetMode="External"/><Relationship Id="rId13564" Type="http://schemas.openxmlformats.org/officeDocument/2006/relationships/hyperlink" Target="https://myinteriorpalace.com/" TargetMode="External"/><Relationship Id="rId14615" Type="http://schemas.openxmlformats.org/officeDocument/2006/relationships/hyperlink" Target="https://www.easygaragedoorrepair.com/" TargetMode="External"/><Relationship Id="rId891" Type="http://schemas.openxmlformats.org/officeDocument/2006/relationships/hyperlink" Target="https://www.simpleshowing.com/" TargetMode="External"/><Relationship Id="rId2572" Type="http://schemas.openxmlformats.org/officeDocument/2006/relationships/hyperlink" Target="https://www.pulte.com/" TargetMode="External"/><Relationship Id="rId3623" Type="http://schemas.openxmlformats.org/officeDocument/2006/relationships/hyperlink" Target="https://www.colliers.com/en/news/houston/montgomery-county-ac-2022-10-31" TargetMode="External"/><Relationship Id="rId12166" Type="http://schemas.openxmlformats.org/officeDocument/2006/relationships/hyperlink" Target="https://www.bobvila.com/" TargetMode="External"/><Relationship Id="rId13217" Type="http://schemas.openxmlformats.org/officeDocument/2006/relationships/hyperlink" Target="https://www.pureinvestor.co.uk/" TargetMode="External"/><Relationship Id="rId544" Type="http://schemas.openxmlformats.org/officeDocument/2006/relationships/hyperlink" Target="https://www.peanutsorpretzels.com/vacationing-outer-banks-north-carolina/" TargetMode="External"/><Relationship Id="rId1174" Type="http://schemas.openxmlformats.org/officeDocument/2006/relationships/hyperlink" Target="https://happy2movelondon.co.uk/r" TargetMode="External"/><Relationship Id="rId2225" Type="http://schemas.openxmlformats.org/officeDocument/2006/relationships/hyperlink" Target="https://www.nikkisplate.com/how-to-prepare-your-home-for-a-new-shower-installation/" TargetMode="External"/><Relationship Id="rId5795" Type="http://schemas.openxmlformats.org/officeDocument/2006/relationships/hyperlink" Target="https://polkadotpassport.com/how-to-choose-your-dream-travel-destination/" TargetMode="External"/><Relationship Id="rId6846" Type="http://schemas.openxmlformats.org/officeDocument/2006/relationships/hyperlink" Target="https://www.simpleshowing.com/" TargetMode="External"/><Relationship Id="rId15389" Type="http://schemas.openxmlformats.org/officeDocument/2006/relationships/hyperlink" Target="https://www.luxdeco.com/" TargetMode="External"/><Relationship Id="rId4397" Type="http://schemas.openxmlformats.org/officeDocument/2006/relationships/hyperlink" Target="https://www.kapre.com/" TargetMode="External"/><Relationship Id="rId5448" Type="http://schemas.openxmlformats.org/officeDocument/2006/relationships/hyperlink" Target="https://www.simpleshowing.com/" TargetMode="External"/><Relationship Id="rId12300" Type="http://schemas.openxmlformats.org/officeDocument/2006/relationships/hyperlink" Target="https://propertypressonline.co.uk/" TargetMode="External"/><Relationship Id="rId11999" Type="http://schemas.openxmlformats.org/officeDocument/2006/relationships/hyperlink" Target="https://monarchroofing.biz/blog/roof-eaves-overview/" TargetMode="External"/><Relationship Id="rId15870" Type="http://schemas.openxmlformats.org/officeDocument/2006/relationships/hyperlink" Target="https://www.theindustryleaders.org/post/the-ultimate-homeowner-s-guide-to-exterior-cladding-options-in-2025" TargetMode="External"/><Relationship Id="rId3480" Type="http://schemas.openxmlformats.org/officeDocument/2006/relationships/hyperlink" Target="https://www.simpleshowing.com/" TargetMode="External"/><Relationship Id="rId4531" Type="http://schemas.openxmlformats.org/officeDocument/2006/relationships/hyperlink" Target="https://www.simpleshowing.com/" TargetMode="External"/><Relationship Id="rId13074" Type="http://schemas.openxmlformats.org/officeDocument/2006/relationships/hyperlink" Target="https://bpca.org.uk/News-and-Blog/new-legal-helpline-and-video-calls-for-bpca-members/252260" TargetMode="External"/><Relationship Id="rId14472" Type="http://schemas.openxmlformats.org/officeDocument/2006/relationships/hyperlink" Target="https://blog.housesitmatch.com/blog/garage-door-services-homeowner-guide/" TargetMode="External"/><Relationship Id="rId15523" Type="http://schemas.openxmlformats.org/officeDocument/2006/relationships/hyperlink" Target="https://myinteriorpalace.com/" TargetMode="External"/><Relationship Id="rId2082" Type="http://schemas.openxmlformats.org/officeDocument/2006/relationships/hyperlink" Target="https://www.simpleshowing.com/" TargetMode="External"/><Relationship Id="rId3133" Type="http://schemas.openxmlformats.org/officeDocument/2006/relationships/hyperlink" Target="https://www.pulte.com/" TargetMode="External"/><Relationship Id="rId14125" Type="http://schemas.openxmlformats.org/officeDocument/2006/relationships/hyperlink" Target="https://myinteriorpalace.com/" TargetMode="External"/><Relationship Id="rId7754" Type="http://schemas.openxmlformats.org/officeDocument/2006/relationships/hyperlink" Target="https://chateauelan.com/destination/" TargetMode="External"/><Relationship Id="rId8805" Type="http://schemas.openxmlformats.org/officeDocument/2006/relationships/hyperlink" Target="https://www.pinoyeplans.com/" TargetMode="External"/><Relationship Id="rId10735" Type="http://schemas.openxmlformats.org/officeDocument/2006/relationships/hyperlink" Target="https://www.teachengineering.org/" TargetMode="External"/><Relationship Id="rId6356" Type="http://schemas.openxmlformats.org/officeDocument/2006/relationships/hyperlink" Target="https://www.simpleshowing.com/" TargetMode="External"/><Relationship Id="rId7407" Type="http://schemas.openxmlformats.org/officeDocument/2006/relationships/hyperlink" Target="https://www.taylormorrison.com/" TargetMode="External"/><Relationship Id="rId2966" Type="http://schemas.openxmlformats.org/officeDocument/2006/relationships/hyperlink" Target="http://business.bataviachamber.org/list/member/pulte-homes-20787" TargetMode="External"/><Relationship Id="rId6009" Type="http://schemas.openxmlformats.org/officeDocument/2006/relationships/hyperlink" Target="https://stylecurator.com.au/saving-on-your-home-loan/" TargetMode="External"/><Relationship Id="rId9579" Type="http://schemas.openxmlformats.org/officeDocument/2006/relationships/hyperlink" Target="https://www.pinoyeplans.com/" TargetMode="External"/><Relationship Id="rId13958" Type="http://schemas.openxmlformats.org/officeDocument/2006/relationships/hyperlink" Target="https://faheyroofingcontractors.com/" TargetMode="External"/><Relationship Id="rId15380" Type="http://schemas.openxmlformats.org/officeDocument/2006/relationships/hyperlink" Target="https://www.luxdeco.com/" TargetMode="External"/><Relationship Id="rId938" Type="http://schemas.openxmlformats.org/officeDocument/2006/relationships/hyperlink" Target="https://www.homedit.com/finished-basement/" TargetMode="External"/><Relationship Id="rId1568" Type="http://schemas.openxmlformats.org/officeDocument/2006/relationships/hyperlink" Target="https://nextmagazine.co.uk/innovations-in-commercial-solar-energy/" TargetMode="External"/><Relationship Id="rId2619" Type="http://schemas.openxmlformats.org/officeDocument/2006/relationships/hyperlink" Target="https://www.simpleshowing.com/" TargetMode="External"/><Relationship Id="rId15033" Type="http://schemas.openxmlformats.org/officeDocument/2006/relationships/hyperlink" Target="https://pourmore.com/blogs/whiskey/savoring-words-and-whisky-a-guide-for-scotch-and-literature-aficionados" TargetMode="External"/><Relationship Id="rId4041" Type="http://schemas.openxmlformats.org/officeDocument/2006/relationships/hyperlink" Target="https://www.simpleshowing.com/" TargetMode="External"/><Relationship Id="rId8662" Type="http://schemas.openxmlformats.org/officeDocument/2006/relationships/hyperlink" Target="https://www.environmental-expert.com/services/ventilation-extraction-heat-transfer-services-1147739" TargetMode="External"/><Relationship Id="rId11990" Type="http://schemas.openxmlformats.org/officeDocument/2006/relationships/hyperlink" Target="https://www.livelyroot.com/blogs/plant-care/how-to-water-a-zz-plant" TargetMode="External"/><Relationship Id="rId7264" Type="http://schemas.openxmlformats.org/officeDocument/2006/relationships/hyperlink" Target="https://www.wqad.com/article/money/consumer/taylor-morrison-files-complaint-against-home-inspector-who-posts-videos-of-inspections-on-social-media/75-fc64bf74-360c-4f54-ac08-1d79f2af1d67" TargetMode="External"/><Relationship Id="rId8315" Type="http://schemas.openxmlformats.org/officeDocument/2006/relationships/hyperlink" Target="https://www.pinoyeplans.com/" TargetMode="External"/><Relationship Id="rId9713" Type="http://schemas.openxmlformats.org/officeDocument/2006/relationships/hyperlink" Target="https://particle.scitech.org.au/tech/the-perfect-mix-of-brains-and-beauty/" TargetMode="External"/><Relationship Id="rId10592" Type="http://schemas.openxmlformats.org/officeDocument/2006/relationships/hyperlink" Target="https://people.uis.edu/rschr1/onlinelearning/?paged=200" TargetMode="External"/><Relationship Id="rId11643" Type="http://schemas.openxmlformats.org/officeDocument/2006/relationships/hyperlink" Target="https://www.hamiltoninternationalestates.com/" TargetMode="External"/><Relationship Id="rId1702" Type="http://schemas.openxmlformats.org/officeDocument/2006/relationships/hyperlink" Target="https://wolfriverelectric.com/" TargetMode="External"/><Relationship Id="rId10245" Type="http://schemas.openxmlformats.org/officeDocument/2006/relationships/hyperlink" Target="https://www.pinoyeplans.com/" TargetMode="External"/><Relationship Id="rId14866" Type="http://schemas.openxmlformats.org/officeDocument/2006/relationships/hyperlink" Target="https://myinteriorpalace.com/" TargetMode="External"/><Relationship Id="rId15917" Type="http://schemas.openxmlformats.org/officeDocument/2006/relationships/hyperlink" Target="https://www.raynorkc.com/" TargetMode="External"/><Relationship Id="rId3874" Type="http://schemas.openxmlformats.org/officeDocument/2006/relationships/hyperlink" Target="https://thecoverguy.com/" TargetMode="External"/><Relationship Id="rId4925" Type="http://schemas.openxmlformats.org/officeDocument/2006/relationships/hyperlink" Target="https://homejab.com/10-tips-for-highlighting-key-features-in-property-photography/" TargetMode="External"/><Relationship Id="rId9089" Type="http://schemas.openxmlformats.org/officeDocument/2006/relationships/hyperlink" Target="https://simileking.com/intelligent-timber-quantity-systems-supporting-smarter-cost-control/" TargetMode="External"/><Relationship Id="rId13468" Type="http://schemas.openxmlformats.org/officeDocument/2006/relationships/hyperlink" Target="https://myinteriorpalace.com/" TargetMode="External"/><Relationship Id="rId14519" Type="http://schemas.openxmlformats.org/officeDocument/2006/relationships/hyperlink" Target="https://www.easygaragedoorrepair.com/" TargetMode="External"/><Relationship Id="rId795" Type="http://schemas.openxmlformats.org/officeDocument/2006/relationships/hyperlink" Target="https://www.schaafsma.com/" TargetMode="External"/><Relationship Id="rId2476" Type="http://schemas.openxmlformats.org/officeDocument/2006/relationships/hyperlink" Target="https://www.pulte.com/" TargetMode="External"/><Relationship Id="rId3527" Type="http://schemas.openxmlformats.org/officeDocument/2006/relationships/hyperlink" Target="https://hydro.navy.lk/manager/templates/default/xdzxccs/page.php?tag=lakeview-townhomes-rowlett" TargetMode="External"/><Relationship Id="rId448" Type="http://schemas.openxmlformats.org/officeDocument/2006/relationships/hyperlink" Target="https://everyqueer.com/outer-banks-gay-itinerary-lgbtq-friendly/" TargetMode="External"/><Relationship Id="rId1078" Type="http://schemas.openxmlformats.org/officeDocument/2006/relationships/hyperlink" Target="https://www.matrixbasements.com/" TargetMode="External"/><Relationship Id="rId2129" Type="http://schemas.openxmlformats.org/officeDocument/2006/relationships/hyperlink" Target="https://brightnis.com/cash-offers-are-back-why-1-in-4-sellers-now-wants-to-compare-cash-vs-traditional-listing/" TargetMode="External"/><Relationship Id="rId5699" Type="http://schemas.openxmlformats.org/officeDocument/2006/relationships/hyperlink" Target="https://theindependent.com/news/nation-world/business/personal-finance/article_2b3a74d1-1f42-52a3-8886-a66063ef5aa5.html" TargetMode="External"/><Relationship Id="rId6000" Type="http://schemas.openxmlformats.org/officeDocument/2006/relationships/hyperlink" Target="https://www.simpleshowing.com/" TargetMode="External"/><Relationship Id="rId9570" Type="http://schemas.openxmlformats.org/officeDocument/2006/relationships/hyperlink" Target="https://www.pinoyeplans.com/" TargetMode="External"/><Relationship Id="rId8172" Type="http://schemas.openxmlformats.org/officeDocument/2006/relationships/hyperlink" Target="https://smaarchviz.com/" TargetMode="External"/><Relationship Id="rId9223" Type="http://schemas.openxmlformats.org/officeDocument/2006/relationships/hyperlink" Target="https://mcd.net.au/" TargetMode="External"/><Relationship Id="rId11153" Type="http://schemas.openxmlformats.org/officeDocument/2006/relationships/hyperlink" Target="https://www.waterdamagespecialist.com.au/" TargetMode="External"/><Relationship Id="rId12551" Type="http://schemas.openxmlformats.org/officeDocument/2006/relationships/hyperlink" Target="https://www.shma.co.uk/" TargetMode="External"/><Relationship Id="rId13602" Type="http://schemas.openxmlformats.org/officeDocument/2006/relationships/hyperlink" Target="https://ceolawyer.com/blog/premises-liability-for-structural-collapses-key-legal-principles/" TargetMode="External"/><Relationship Id="rId1212" Type="http://schemas.openxmlformats.org/officeDocument/2006/relationships/hyperlink" Target="https://www.simpleshowing.com/" TargetMode="External"/><Relationship Id="rId2610" Type="http://schemas.openxmlformats.org/officeDocument/2006/relationships/hyperlink" Target="https://www.simpleshowing.com/" TargetMode="External"/><Relationship Id="rId12204" Type="http://schemas.openxmlformats.org/officeDocument/2006/relationships/hyperlink" Target="https://www.hamiltoninternationalestates.com/" TargetMode="External"/><Relationship Id="rId15774" Type="http://schemas.openxmlformats.org/officeDocument/2006/relationships/hyperlink" Target="https://myinteriorpalace.com/architectural-design-trends-shaping-australian-homes-in-2025/" TargetMode="External"/><Relationship Id="rId4782" Type="http://schemas.openxmlformats.org/officeDocument/2006/relationships/hyperlink" Target="https://www.keyc.com/2024/05/27/high-school-seniors-can-now-get-real-estate-license-free-this-state/" TargetMode="External"/><Relationship Id="rId5833" Type="http://schemas.openxmlformats.org/officeDocument/2006/relationships/hyperlink" Target="https://careers.bridgew.edu/blog/2025/10/07/a-job-search-playbook-five-weekly-habits-that-deliver-results/" TargetMode="External"/><Relationship Id="rId14376" Type="http://schemas.openxmlformats.org/officeDocument/2006/relationships/hyperlink" Target="https://amvisualworks.com.dream.website/?a=96938117" TargetMode="External"/><Relationship Id="rId15427" Type="http://schemas.openxmlformats.org/officeDocument/2006/relationships/hyperlink" Target="https://myinteriorpalace.com/" TargetMode="External"/><Relationship Id="rId3037" Type="http://schemas.openxmlformats.org/officeDocument/2006/relationships/hyperlink" Target="https://www.pulte.com/" TargetMode="External"/><Relationship Id="rId3384" Type="http://schemas.openxmlformats.org/officeDocument/2006/relationships/hyperlink" Target="https://www.simpleshowing.com/" TargetMode="External"/><Relationship Id="rId4435" Type="http://schemas.openxmlformats.org/officeDocument/2006/relationships/hyperlink" Target="https://www.simpleshowing.com/" TargetMode="External"/><Relationship Id="rId10986" Type="http://schemas.openxmlformats.org/officeDocument/2006/relationships/hyperlink" Target="https://www.pinoyeplans.com/" TargetMode="External"/><Relationship Id="rId14029" Type="http://schemas.openxmlformats.org/officeDocument/2006/relationships/hyperlink" Target="https://myinteriorpalace.com/" TargetMode="External"/><Relationship Id="rId7658" Type="http://schemas.openxmlformats.org/officeDocument/2006/relationships/hyperlink" Target="https://www.taylormorrison.com/" TargetMode="External"/><Relationship Id="rId8709" Type="http://schemas.openxmlformats.org/officeDocument/2006/relationships/hyperlink" Target="https://lubelska.co.uk/" TargetMode="External"/><Relationship Id="rId10639" Type="http://schemas.openxmlformats.org/officeDocument/2006/relationships/hyperlink" Target="https://www.teachengineering.org/" TargetMode="External"/><Relationship Id="rId14510" Type="http://schemas.openxmlformats.org/officeDocument/2006/relationships/hyperlink" Target="https://www.easygaragedoorrepair.com/" TargetMode="External"/><Relationship Id="rId9080" Type="http://schemas.openxmlformats.org/officeDocument/2006/relationships/hyperlink" Target="https://www.lifestylenetworth.com/master-project-accuracy-with-reliable-estimator-software/" TargetMode="External"/><Relationship Id="rId12061" Type="http://schemas.openxmlformats.org/officeDocument/2006/relationships/hyperlink" Target="https://www.bobvila.com/" TargetMode="External"/><Relationship Id="rId13112" Type="http://schemas.openxmlformats.org/officeDocument/2006/relationships/hyperlink" Target="https://www.shma.co.uk/" TargetMode="External"/><Relationship Id="rId2120" Type="http://schemas.openxmlformats.org/officeDocument/2006/relationships/hyperlink" Target="https://www.firmsuggest.com/blog/real-estate-appraisals-timelines-and-business-implications/" TargetMode="External"/><Relationship Id="rId5690" Type="http://schemas.openxmlformats.org/officeDocument/2006/relationships/hyperlink" Target="https://www.simpleshowing.com/" TargetMode="External"/><Relationship Id="rId6741" Type="http://schemas.openxmlformats.org/officeDocument/2006/relationships/hyperlink" Target="https://www.simpleshowing.com/" TargetMode="External"/><Relationship Id="rId15284" Type="http://schemas.openxmlformats.org/officeDocument/2006/relationships/hyperlink" Target="https://www.luxdeco.com/" TargetMode="External"/><Relationship Id="rId4292" Type="http://schemas.openxmlformats.org/officeDocument/2006/relationships/hyperlink" Target="https://www.kapre.com/" TargetMode="External"/><Relationship Id="rId5343" Type="http://schemas.openxmlformats.org/officeDocument/2006/relationships/hyperlink" Target="https://newoldstamp.com/blog/basic-rules-for-writing-effective-business-emails/" TargetMode="External"/><Relationship Id="rId9964" Type="http://schemas.openxmlformats.org/officeDocument/2006/relationships/hyperlink" Target="https://www.teachengineering.org/" TargetMode="External"/><Relationship Id="rId11894" Type="http://schemas.openxmlformats.org/officeDocument/2006/relationships/hyperlink" Target="https://alluneedpest.com/" TargetMode="External"/><Relationship Id="rId12945" Type="http://schemas.openxmlformats.org/officeDocument/2006/relationships/hyperlink" Target="https://thenegotiator.co.uk/uncategorised/expecting-things-to-get-litigious-purplebricks-signs-up-law-firm/" TargetMode="External"/><Relationship Id="rId1953" Type="http://schemas.openxmlformats.org/officeDocument/2006/relationships/hyperlink" Target="https://www.simpleshowing.com/" TargetMode="External"/><Relationship Id="rId7168" Type="http://schemas.openxmlformats.org/officeDocument/2006/relationships/hyperlink" Target="https://www.simpleshowing.com/" TargetMode="External"/><Relationship Id="rId8566" Type="http://schemas.openxmlformats.org/officeDocument/2006/relationships/hyperlink" Target="https://bedoksg.com/stop-guessing-the-vibe-how-360-virtual-tours-services-let-you-test-the-mood-of-a-venue-before-booking/" TargetMode="External"/><Relationship Id="rId9617" Type="http://schemas.openxmlformats.org/officeDocument/2006/relationships/hyperlink" Target="https://www.sreb.org/node/6070" TargetMode="External"/><Relationship Id="rId10496" Type="http://schemas.openxmlformats.org/officeDocument/2006/relationships/hyperlink" Target="https://www.slj.com/story/honoring-h2o-teaching-resources-about-vital-importance-clean-water" TargetMode="External"/><Relationship Id="rId11547" Type="http://schemas.openxmlformats.org/officeDocument/2006/relationships/hyperlink" Target="https://sellhousefast.uk/" TargetMode="External"/><Relationship Id="rId1606" Type="http://schemas.openxmlformats.org/officeDocument/2006/relationships/hyperlink" Target="https://wolfriverelectric.com/" TargetMode="External"/><Relationship Id="rId8219" Type="http://schemas.openxmlformats.org/officeDocument/2006/relationships/hyperlink" Target="https://www.pinoyeplans.com/" TargetMode="External"/><Relationship Id="rId10149" Type="http://schemas.openxmlformats.org/officeDocument/2006/relationships/hyperlink" Target="https://www.pinoyeplans.com/" TargetMode="External"/><Relationship Id="rId14020" Type="http://schemas.openxmlformats.org/officeDocument/2006/relationships/hyperlink" Target="https://myinteriorpalace.com/" TargetMode="External"/><Relationship Id="rId3778" Type="http://schemas.openxmlformats.org/officeDocument/2006/relationships/hyperlink" Target="https://thecoverguy.com/" TargetMode="External"/><Relationship Id="rId4829" Type="http://schemas.openxmlformats.org/officeDocument/2006/relationships/hyperlink" Target="https://www.kapre.com/" TargetMode="External"/><Relationship Id="rId8700" Type="http://schemas.openxmlformats.org/officeDocument/2006/relationships/hyperlink" Target="https://lubelska.co.uk/" TargetMode="External"/><Relationship Id="rId16192" Type="http://schemas.openxmlformats.org/officeDocument/2006/relationships/hyperlink" Target="https://myinteriorpalace.com/" TargetMode="External"/><Relationship Id="rId699" Type="http://schemas.openxmlformats.org/officeDocument/2006/relationships/hyperlink" Target="https://www.carolinadesigns.com/" TargetMode="External"/><Relationship Id="rId6251" Type="http://schemas.openxmlformats.org/officeDocument/2006/relationships/hyperlink" Target="https://bizprospex.com/leverage-data-to-secure-funding-for-your-business/" TargetMode="External"/><Relationship Id="rId7302" Type="http://schemas.openxmlformats.org/officeDocument/2006/relationships/hyperlink" Target="https://www.simpleshowing.com/" TargetMode="External"/><Relationship Id="rId10630" Type="http://schemas.openxmlformats.org/officeDocument/2006/relationships/hyperlink" Target="https://www.teachengineering.org/" TargetMode="External"/><Relationship Id="rId9474" Type="http://schemas.openxmlformats.org/officeDocument/2006/relationships/hyperlink" Target="https://www.pinoyeplans.com/" TargetMode="External"/><Relationship Id="rId13853" Type="http://schemas.openxmlformats.org/officeDocument/2006/relationships/hyperlink" Target="https://aqglassshowerdoorsphoenix.com/" TargetMode="External"/><Relationship Id="rId14904" Type="http://schemas.openxmlformats.org/officeDocument/2006/relationships/hyperlink" Target="https://siit.co/guestposts/in-depth-guide-how-long-should-your-hot-water-system-last/" TargetMode="External"/><Relationship Id="rId2861" Type="http://schemas.openxmlformats.org/officeDocument/2006/relationships/hyperlink" Target="https://info.citizensenergygroup.com/gas/homes" TargetMode="External"/><Relationship Id="rId3912" Type="http://schemas.openxmlformats.org/officeDocument/2006/relationships/hyperlink" Target="https://www.simpleshowing.com/" TargetMode="External"/><Relationship Id="rId8076" Type="http://schemas.openxmlformats.org/officeDocument/2006/relationships/hyperlink" Target="https://johnsonrestoration.net/" TargetMode="External"/><Relationship Id="rId9127" Type="http://schemas.openxmlformats.org/officeDocument/2006/relationships/hyperlink" Target="https://nycestimating.us/" TargetMode="External"/><Relationship Id="rId12455" Type="http://schemas.openxmlformats.org/officeDocument/2006/relationships/hyperlink" Target="https://www.bisnow.com/london/news/commercial-real-estate/student-accommodation-might-be-considered-recession-proof-but-you-have-to-develop-the-right-product-119347" TargetMode="External"/><Relationship Id="rId13506" Type="http://schemas.openxmlformats.org/officeDocument/2006/relationships/hyperlink" Target="https://impakter.com/two-marketing-approaches-21st-century/" TargetMode="External"/><Relationship Id="rId833" Type="http://schemas.openxmlformats.org/officeDocument/2006/relationships/hyperlink" Target="https://girlcooksworld.com/contact/" TargetMode="External"/><Relationship Id="rId1116" Type="http://schemas.openxmlformats.org/officeDocument/2006/relationships/hyperlink" Target="https://www.simpleshowing.com/" TargetMode="External"/><Relationship Id="rId1463" Type="http://schemas.openxmlformats.org/officeDocument/2006/relationships/hyperlink" Target="https://simplifylivelove.com/how-to-choose-the-best-top-rated-energy-efficient-windows/" TargetMode="External"/><Relationship Id="rId2514" Type="http://schemas.openxmlformats.org/officeDocument/2006/relationships/hyperlink" Target="https://www.simpleshowing.com/" TargetMode="External"/><Relationship Id="rId11057" Type="http://schemas.openxmlformats.org/officeDocument/2006/relationships/hyperlink" Target="https://ecency.com/hive-114308/@jacobpeacock/homesteading-resources" TargetMode="External"/><Relationship Id="rId12108" Type="http://schemas.openxmlformats.org/officeDocument/2006/relationships/hyperlink" Target="https://www.hamiltoninternationalestates.com/" TargetMode="External"/><Relationship Id="rId15678" Type="http://schemas.openxmlformats.org/officeDocument/2006/relationships/hyperlink" Target="https://www.bloglovin.com/blogs/missljbeauty-9877327/simple-ways-to-make-small-rooms-feel-more-8736019069" TargetMode="External"/><Relationship Id="rId4686" Type="http://schemas.openxmlformats.org/officeDocument/2006/relationships/hyperlink" Target="https://www.ktre.com/2024/05/27/high-school-seniors-can-now-get-real-estate-license-free-this-state/" TargetMode="External"/><Relationship Id="rId5737" Type="http://schemas.openxmlformats.org/officeDocument/2006/relationships/hyperlink" Target="https://www.moveinconnect.com.au/guide-to-buying-a-new-house-and-setting-up-the-utilities/" TargetMode="External"/><Relationship Id="rId3288" Type="http://schemas.openxmlformats.org/officeDocument/2006/relationships/hyperlink" Target="https://www.simpleshowing.com/" TargetMode="External"/><Relationship Id="rId4339" Type="http://schemas.openxmlformats.org/officeDocument/2006/relationships/hyperlink" Target="https://www.simpleshowing.com/" TargetMode="External"/><Relationship Id="rId8210" Type="http://schemas.openxmlformats.org/officeDocument/2006/relationships/hyperlink" Target="https://www.pinoyeplans.com/" TargetMode="External"/><Relationship Id="rId10140" Type="http://schemas.openxmlformats.org/officeDocument/2006/relationships/hyperlink" Target="https://www.pinoyeplans.com/" TargetMode="External"/><Relationship Id="rId13363" Type="http://schemas.openxmlformats.org/officeDocument/2006/relationships/hyperlink" Target="https://myinteriorpalace.com/" TargetMode="External"/><Relationship Id="rId14761" Type="http://schemas.openxmlformats.org/officeDocument/2006/relationships/hyperlink" Target="https://myinteriorpalace.com/" TargetMode="External"/><Relationship Id="rId15812" Type="http://schemas.openxmlformats.org/officeDocument/2006/relationships/hyperlink" Target="https://www.modinex.com.au/" TargetMode="External"/><Relationship Id="rId690" Type="http://schemas.openxmlformats.org/officeDocument/2006/relationships/hyperlink" Target="https://www.carolinadesigns.com/" TargetMode="External"/><Relationship Id="rId2371" Type="http://schemas.openxmlformats.org/officeDocument/2006/relationships/hyperlink" Target="https://www.pulte.com/" TargetMode="External"/><Relationship Id="rId3422" Type="http://schemas.openxmlformats.org/officeDocument/2006/relationships/hyperlink" Target="https://riverislands.goodbarber.app/blog/i/79284967/shores-opens-river-views-and-dramatic-architecture" TargetMode="External"/><Relationship Id="rId4820" Type="http://schemas.openxmlformats.org/officeDocument/2006/relationships/hyperlink" Target="https://www.kapre.com/" TargetMode="External"/><Relationship Id="rId13016" Type="http://schemas.openxmlformats.org/officeDocument/2006/relationships/hyperlink" Target="https://www.shma.co.uk/" TargetMode="External"/><Relationship Id="rId14414" Type="http://schemas.openxmlformats.org/officeDocument/2006/relationships/hyperlink" Target="https://luxurylifestyle.com/" TargetMode="External"/><Relationship Id="rId343" Type="http://schemas.openxmlformats.org/officeDocument/2006/relationships/hyperlink" Target="https://shineyourlightblog.com/smart-moves-for-selling-a-house/" TargetMode="External"/><Relationship Id="rId2024" Type="http://schemas.openxmlformats.org/officeDocument/2006/relationships/hyperlink" Target="https://techsolution.blog/tech/how-tech-is-shaping-modern-home-appraisals/" TargetMode="External"/><Relationship Id="rId6992" Type="http://schemas.openxmlformats.org/officeDocument/2006/relationships/hyperlink" Target="https://www.taylormorrison.com/" TargetMode="External"/><Relationship Id="rId4196" Type="http://schemas.openxmlformats.org/officeDocument/2006/relationships/hyperlink" Target="https://www.kapre.com/" TargetMode="External"/><Relationship Id="rId5247" Type="http://schemas.openxmlformats.org/officeDocument/2006/relationships/hyperlink" Target="https://www.outrightsystems.org/blog/fintech-apps-powering-next-generation-smart-payment-gadgets/" TargetMode="External"/><Relationship Id="rId5594" Type="http://schemas.openxmlformats.org/officeDocument/2006/relationships/hyperlink" Target="https://www.simpleshowing.com/" TargetMode="External"/><Relationship Id="rId6645" Type="http://schemas.openxmlformats.org/officeDocument/2006/relationships/hyperlink" Target="https://www.azuremagazine.com/article/5-products-bringing-smart-home-tech-to-the-loo/" TargetMode="External"/><Relationship Id="rId15188" Type="http://schemas.openxmlformats.org/officeDocument/2006/relationships/hyperlink" Target="https://www.luxdeco.com/" TargetMode="External"/><Relationship Id="rId16239" Type="http://schemas.openxmlformats.org/officeDocument/2006/relationships/hyperlink" Target="https://wittymagazine.co.uk/laminate-flooring-for-busy-homes-what-makes-it-a-smart-choice/" TargetMode="External"/><Relationship Id="rId9868" Type="http://schemas.openxmlformats.org/officeDocument/2006/relationships/hyperlink" Target="https://www.teachengineering.org/" TargetMode="External"/><Relationship Id="rId11798" Type="http://schemas.openxmlformats.org/officeDocument/2006/relationships/hyperlink" Target="https://www.analyticsinsight.net/real-estate/how-could-ai-redefine-the-property-industry" TargetMode="External"/><Relationship Id="rId12849" Type="http://schemas.openxmlformats.org/officeDocument/2006/relationships/hyperlink" Target="https://utw11297.utweb.utexas.edu/?u=348768624" TargetMode="External"/><Relationship Id="rId1857" Type="http://schemas.openxmlformats.org/officeDocument/2006/relationships/hyperlink" Target="https://www.simpleshowing.com/" TargetMode="External"/><Relationship Id="rId2908" Type="http://schemas.openxmlformats.org/officeDocument/2006/relationships/hyperlink" Target="https://www.pulte.com/" TargetMode="External"/><Relationship Id="rId14271" Type="http://schemas.openxmlformats.org/officeDocument/2006/relationships/hyperlink" Target="https://www.accio.com/business/trending-luxury-smart-bed-2025" TargetMode="External"/><Relationship Id="rId15322" Type="http://schemas.openxmlformats.org/officeDocument/2006/relationships/hyperlink" Target="https://myinteriorpalace.com/" TargetMode="External"/><Relationship Id="rId4330" Type="http://schemas.openxmlformats.org/officeDocument/2006/relationships/hyperlink" Target="https://www.simpleshowing.com/" TargetMode="External"/><Relationship Id="rId8951" Type="http://schemas.openxmlformats.org/officeDocument/2006/relationships/hyperlink" Target="https://viralfeed.uk/real-time-estimation-the-future-of-building-accuracy/" TargetMode="External"/><Relationship Id="rId7553" Type="http://schemas.openxmlformats.org/officeDocument/2006/relationships/hyperlink" Target="https://www.taylormorrison.com/" TargetMode="External"/><Relationship Id="rId8604" Type="http://schemas.openxmlformats.org/officeDocument/2006/relationships/hyperlink" Target="https://www.buyersadvocate.com.au/" TargetMode="External"/><Relationship Id="rId10881" Type="http://schemas.openxmlformats.org/officeDocument/2006/relationships/hyperlink" Target="https://www.pinoyeplans.com/" TargetMode="External"/><Relationship Id="rId11932" Type="http://schemas.openxmlformats.org/officeDocument/2006/relationships/hyperlink" Target="https://www.bobvila.com/" TargetMode="External"/><Relationship Id="rId16096" Type="http://schemas.openxmlformats.org/officeDocument/2006/relationships/hyperlink" Target="https://myinteriorpalace.com/" TargetMode="External"/><Relationship Id="rId6155" Type="http://schemas.openxmlformats.org/officeDocument/2006/relationships/hyperlink" Target="https://loanforyours.firebaseapp.com/debt-consolidation-loans-in-jersey.html" TargetMode="External"/><Relationship Id="rId7206" Type="http://schemas.openxmlformats.org/officeDocument/2006/relationships/hyperlink" Target="https://www.simpleshowing.com/" TargetMode="External"/><Relationship Id="rId10534" Type="http://schemas.openxmlformats.org/officeDocument/2006/relationships/hyperlink" Target="https://www.teachengineering.org/" TargetMode="External"/><Relationship Id="rId9378" Type="http://schemas.openxmlformats.org/officeDocument/2006/relationships/hyperlink" Target="https://www.pinoyeplans.com/" TargetMode="External"/><Relationship Id="rId13757" Type="http://schemas.openxmlformats.org/officeDocument/2006/relationships/hyperlink" Target="https://anationofmoms.com/" TargetMode="External"/><Relationship Id="rId14808" Type="http://schemas.openxmlformats.org/officeDocument/2006/relationships/hyperlink" Target="https://www.homelovr.com/houstons-24-7-garage-door-replacement-companies/" TargetMode="External"/><Relationship Id="rId2765" Type="http://schemas.openxmlformats.org/officeDocument/2006/relationships/hyperlink" Target="https://addmi.com/e/november-18th-national-guest-speaker-meg-whitman-OFOC0Ey2fSxQgoiMX6X" TargetMode="External"/><Relationship Id="rId3816" Type="http://schemas.openxmlformats.org/officeDocument/2006/relationships/hyperlink" Target="https://www.simpleshowing.com/" TargetMode="External"/><Relationship Id="rId12359" Type="http://schemas.openxmlformats.org/officeDocument/2006/relationships/hyperlink" Target="https://your.lancastersu.co.uk/living" TargetMode="External"/><Relationship Id="rId16230" Type="http://schemas.openxmlformats.org/officeDocument/2006/relationships/hyperlink" Target="https://www.e-architect.com/articles/best-flooring-options-for-rental-properties" TargetMode="External"/><Relationship Id="rId737" Type="http://schemas.openxmlformats.org/officeDocument/2006/relationships/hyperlink" Target="https://www.simpleshowing.com/" TargetMode="External"/><Relationship Id="rId1367" Type="http://schemas.openxmlformats.org/officeDocument/2006/relationships/hyperlink" Target="https://www.europeanbusinessreview.com/dive-into-success-with-pool-services-postcards/" TargetMode="External"/><Relationship Id="rId2418" Type="http://schemas.openxmlformats.org/officeDocument/2006/relationships/hyperlink" Target="https://www.simpleshowing.com/" TargetMode="External"/><Relationship Id="rId5988" Type="http://schemas.openxmlformats.org/officeDocument/2006/relationships/hyperlink" Target="https://www.simpleshowing.com/" TargetMode="External"/><Relationship Id="rId73" Type="http://schemas.openxmlformats.org/officeDocument/2006/relationships/hyperlink" Target="http://celebrebuzz.com/" TargetMode="External"/><Relationship Id="rId8461" Type="http://schemas.openxmlformats.org/officeDocument/2006/relationships/hyperlink" Target="https://humansofglobe.com/how-3d-architectural-animation-is-changing-the-way-we-market-projects/" TargetMode="External"/><Relationship Id="rId9512" Type="http://schemas.openxmlformats.org/officeDocument/2006/relationships/hyperlink" Target="https://www.asme.org/topics-resources/content/homeschool-engineering-students-part-2" TargetMode="External"/><Relationship Id="rId10391" Type="http://schemas.openxmlformats.org/officeDocument/2006/relationships/hyperlink" Target="https://www.childcareed.com/a/from-marshmallows-to-mastery-hands-on-learning-for-early-childhood.html" TargetMode="External"/><Relationship Id="rId11442" Type="http://schemas.openxmlformats.org/officeDocument/2006/relationships/hyperlink" Target="https://sellhousefast.uk/" TargetMode="External"/><Relationship Id="rId12840" Type="http://schemas.openxmlformats.org/officeDocument/2006/relationships/hyperlink" Target="https://todayswillsandprobate.co.uk/statutory-interest-on-pecuniary-legacies-within-wills/" TargetMode="External"/><Relationship Id="rId1501" Type="http://schemas.openxmlformats.org/officeDocument/2006/relationships/hyperlink" Target="https://wolfriverelectric.com/" TargetMode="External"/><Relationship Id="rId7063" Type="http://schemas.openxmlformats.org/officeDocument/2006/relationships/hyperlink" Target="https://www.simpleshowing.com/" TargetMode="External"/><Relationship Id="rId8114" Type="http://schemas.openxmlformats.org/officeDocument/2006/relationships/hyperlink" Target="https://www.pinoyeplans.com/" TargetMode="External"/><Relationship Id="rId10044" Type="http://schemas.openxmlformats.org/officeDocument/2006/relationships/hyperlink" Target="https://www.pinoyeplans.com/" TargetMode="External"/><Relationship Id="rId14665" Type="http://schemas.openxmlformats.org/officeDocument/2006/relationships/hyperlink" Target="https://myinteriorpalace.com/" TargetMode="External"/><Relationship Id="rId15716" Type="http://schemas.openxmlformats.org/officeDocument/2006/relationships/hyperlink" Target="https://www.modinex.com.au/" TargetMode="External"/><Relationship Id="rId594" Type="http://schemas.openxmlformats.org/officeDocument/2006/relationships/hyperlink" Target="https://www.carolinadesigns.com/" TargetMode="External"/><Relationship Id="rId2275" Type="http://schemas.openxmlformats.org/officeDocument/2006/relationships/hyperlink" Target="https://www.collectionforsyth.com/" TargetMode="External"/><Relationship Id="rId3326" Type="http://schemas.openxmlformats.org/officeDocument/2006/relationships/hyperlink" Target="https://www7.eere.energy.gov/buildings/residential/explorezerh/partners/3969" TargetMode="External"/><Relationship Id="rId3673" Type="http://schemas.openxmlformats.org/officeDocument/2006/relationships/hyperlink" Target="https://www.overheaddoors.com/" TargetMode="External"/><Relationship Id="rId4724" Type="http://schemas.openxmlformats.org/officeDocument/2006/relationships/hyperlink" Target="https://www.kapre.com/" TargetMode="External"/><Relationship Id="rId13267" Type="http://schemas.openxmlformats.org/officeDocument/2006/relationships/hyperlink" Target="https://propertypressonline.co.uk/" TargetMode="External"/><Relationship Id="rId14318" Type="http://schemas.openxmlformats.org/officeDocument/2006/relationships/hyperlink" Target="https://luxurylifestyle.com/" TargetMode="External"/><Relationship Id="rId247" Type="http://schemas.openxmlformats.org/officeDocument/2006/relationships/hyperlink" Target="https://www.tinysociety.co/articles/tiny-house-financing/" TargetMode="External"/><Relationship Id="rId6896" Type="http://schemas.openxmlformats.org/officeDocument/2006/relationships/hyperlink" Target="https://www.gurufocus.com/stock/TMHC/summary" TargetMode="External"/><Relationship Id="rId7947" Type="http://schemas.openxmlformats.org/officeDocument/2006/relationships/hyperlink" Target="https://certifiedrestorationinc.com/" TargetMode="External"/><Relationship Id="rId10928" Type="http://schemas.openxmlformats.org/officeDocument/2006/relationships/hyperlink" Target="https://maineaudubon.org/news/connections-plagiarizing-nature/" TargetMode="External"/><Relationship Id="rId5498" Type="http://schemas.openxmlformats.org/officeDocument/2006/relationships/hyperlink" Target="https://www.simpleshowing.com/" TargetMode="External"/><Relationship Id="rId6549" Type="http://schemas.openxmlformats.org/officeDocument/2006/relationships/hyperlink" Target="https://www.hirsch.com/manufacturer-links" TargetMode="External"/><Relationship Id="rId12350" Type="http://schemas.openxmlformats.org/officeDocument/2006/relationships/hyperlink" Target="https://www.sulets.com/building/brookland-road/" TargetMode="External"/><Relationship Id="rId13401" Type="http://schemas.openxmlformats.org/officeDocument/2006/relationships/hyperlink" Target="https://www.news9.com/story/5e8cf9d4fa8ed3749a62c865/the-different-types-of-silver-to-know-about-before-buying-jewelry" TargetMode="External"/><Relationship Id="rId9022" Type="http://schemas.openxmlformats.org/officeDocument/2006/relationships/hyperlink" Target="https://nycestimating.us/" TargetMode="External"/><Relationship Id="rId12003" Type="http://schemas.openxmlformats.org/officeDocument/2006/relationships/hyperlink" Target="https://www.hamiltoninternationalestates.com/" TargetMode="External"/><Relationship Id="rId15573" Type="http://schemas.openxmlformats.org/officeDocument/2006/relationships/hyperlink" Target="https://choq.com/sleep-friendly-bedroom/" TargetMode="External"/><Relationship Id="rId1011" Type="http://schemas.openxmlformats.org/officeDocument/2006/relationships/hyperlink" Target="https://www.simpleshowing.com/" TargetMode="External"/><Relationship Id="rId4581" Type="http://schemas.openxmlformats.org/officeDocument/2006/relationships/hyperlink" Target="https://www.wsaw.com/2024/05/27/high-school-seniors-can-now-get-real-estate-license-free-this-state/" TargetMode="External"/><Relationship Id="rId5632" Type="http://schemas.openxmlformats.org/officeDocument/2006/relationships/hyperlink" Target="https://www.simpleshowing.com/" TargetMode="External"/><Relationship Id="rId14175" Type="http://schemas.openxmlformats.org/officeDocument/2006/relationships/hyperlink" Target="https://www.thealtairhotel.com/press/" TargetMode="External"/><Relationship Id="rId15226" Type="http://schemas.openxmlformats.org/officeDocument/2006/relationships/hyperlink" Target="https://myinteriorpalace.com/" TargetMode="External"/><Relationship Id="rId3183" Type="http://schemas.openxmlformats.org/officeDocument/2006/relationships/hyperlink" Target="https://www.simpleshowing.com/" TargetMode="External"/><Relationship Id="rId4234" Type="http://schemas.openxmlformats.org/officeDocument/2006/relationships/hyperlink" Target="https://www.simpleshowing.com/" TargetMode="External"/><Relationship Id="rId7457" Type="http://schemas.openxmlformats.org/officeDocument/2006/relationships/hyperlink" Target="https://www.taylormorrison.com/" TargetMode="External"/><Relationship Id="rId8855" Type="http://schemas.openxmlformats.org/officeDocument/2006/relationships/hyperlink" Target="https://miraclehill.org/transitional-housing-supports-path-to-recovery/" TargetMode="External"/><Relationship Id="rId9906" Type="http://schemas.openxmlformats.org/officeDocument/2006/relationships/hyperlink" Target="https://www.pinoyeplans.com/" TargetMode="External"/><Relationship Id="rId10785" Type="http://schemas.openxmlformats.org/officeDocument/2006/relationships/hyperlink" Target="https://www.pinoyeplans.com/" TargetMode="External"/><Relationship Id="rId11836" Type="http://schemas.openxmlformats.org/officeDocument/2006/relationships/hyperlink" Target="https://sellhousefast.uk/" TargetMode="External"/><Relationship Id="rId6059" Type="http://schemas.openxmlformats.org/officeDocument/2006/relationships/hyperlink" Target="https://globalgurus.org/the-benefits-of-debt-free-living/" TargetMode="External"/><Relationship Id="rId8508" Type="http://schemas.openxmlformats.org/officeDocument/2006/relationships/hyperlink" Target="https://www.cylind.com/" TargetMode="External"/><Relationship Id="rId10438" Type="http://schemas.openxmlformats.org/officeDocument/2006/relationships/hyperlink" Target="https://www.teachengineering.org/" TargetMode="External"/><Relationship Id="rId988" Type="http://schemas.openxmlformats.org/officeDocument/2006/relationships/hyperlink" Target="https://www.matrixbasements.com/" TargetMode="External"/><Relationship Id="rId2669" Type="http://schemas.openxmlformats.org/officeDocument/2006/relationships/hyperlink" Target="https://citylifestyle.com/businesses/pultegroup-2738466" TargetMode="External"/><Relationship Id="rId6540" Type="http://schemas.openxmlformats.org/officeDocument/2006/relationships/hyperlink" Target="https://www.phcppros.com/articles/12502-thermasol-steam-and-smart-shower-configurator" TargetMode="External"/><Relationship Id="rId15083" Type="http://schemas.openxmlformats.org/officeDocument/2006/relationships/hyperlink" Target="https://www.luxdeco.com/" TargetMode="External"/><Relationship Id="rId16134" Type="http://schemas.openxmlformats.org/officeDocument/2006/relationships/hyperlink" Target="https://tradepriced.co.uk/compare-united-carpets-carpet-underlay/" TargetMode="External"/><Relationship Id="rId4091" Type="http://schemas.openxmlformats.org/officeDocument/2006/relationships/hyperlink" Target="https://www.kapre.com/" TargetMode="External"/><Relationship Id="rId5142" Type="http://schemas.openxmlformats.org/officeDocument/2006/relationships/hyperlink" Target="https://www.simpleshowing.com/" TargetMode="External"/><Relationship Id="rId9763" Type="http://schemas.openxmlformats.org/officeDocument/2006/relationships/hyperlink" Target="https://www.teachengineering.org/" TargetMode="External"/><Relationship Id="rId8365" Type="http://schemas.openxmlformats.org/officeDocument/2006/relationships/hyperlink" Target="https://www.forbes.com.au/brand-voice/uncategorized/mortgage-private-credit-ascf/" TargetMode="External"/><Relationship Id="rId9416" Type="http://schemas.openxmlformats.org/officeDocument/2006/relationships/hyperlink" Target="https://www.science-sparks.com/easy-electricity-projects-for-kids/" TargetMode="External"/><Relationship Id="rId10295" Type="http://schemas.openxmlformats.org/officeDocument/2006/relationships/hyperlink" Target="https://ucci.ucop.edu/courses/d/physics-and-engineering.html" TargetMode="External"/><Relationship Id="rId11693" Type="http://schemas.openxmlformats.org/officeDocument/2006/relationships/hyperlink" Target="https://www.lovemoney.com/news/456064/property-hotspots-2025-horsforth-underrated-places-to-live" TargetMode="External"/><Relationship Id="rId12744" Type="http://schemas.openxmlformats.org/officeDocument/2006/relationships/hyperlink" Target="https://www.bbh-blog.de/alle-themen/internationale-auswirkungen-der-corona-pandemie-im-gespraech-mit-andrew-whitehead-von-shakespeare-martineau/" TargetMode="External"/><Relationship Id="rId1405" Type="http://schemas.openxmlformats.org/officeDocument/2006/relationships/hyperlink" Target="https://ritewindow.com/blog/3-indicators-its-time-to-upgrade-your-shower-or-bath/" TargetMode="External"/><Relationship Id="rId1752" Type="http://schemas.openxmlformats.org/officeDocument/2006/relationships/hyperlink" Target="https://www.simpleshowing.com/" TargetMode="External"/><Relationship Id="rId2803" Type="http://schemas.openxmlformats.org/officeDocument/2006/relationships/hyperlink" Target="https://www.pulte.com/" TargetMode="External"/><Relationship Id="rId8018" Type="http://schemas.openxmlformats.org/officeDocument/2006/relationships/hyperlink" Target="https://www.pinoyeplans.com/" TargetMode="External"/><Relationship Id="rId11346" Type="http://schemas.openxmlformats.org/officeDocument/2006/relationships/hyperlink" Target="http://webuyhouses.com/" TargetMode="External"/><Relationship Id="rId15967" Type="http://schemas.openxmlformats.org/officeDocument/2006/relationships/hyperlink" Target="https://myinteriorpalace.com/" TargetMode="External"/><Relationship Id="rId4975" Type="http://schemas.openxmlformats.org/officeDocument/2006/relationships/hyperlink" Target="https://directorist.com/blog/best-europe-classified-websites/" TargetMode="External"/><Relationship Id="rId14569" Type="http://schemas.openxmlformats.org/officeDocument/2006/relationships/hyperlink" Target="https://myinteriorpalace.com/" TargetMode="External"/><Relationship Id="rId498" Type="http://schemas.openxmlformats.org/officeDocument/2006/relationships/hyperlink" Target="https://www.carolinadesigns.com/" TargetMode="External"/><Relationship Id="rId2179" Type="http://schemas.openxmlformats.org/officeDocument/2006/relationships/hyperlink" Target="https://markspain.com/" TargetMode="External"/><Relationship Id="rId3577" Type="http://schemas.openxmlformats.org/officeDocument/2006/relationships/hyperlink" Target="https://www.pulte.com/" TargetMode="External"/><Relationship Id="rId4628" Type="http://schemas.openxmlformats.org/officeDocument/2006/relationships/hyperlink" Target="https://www.kapre.com/" TargetMode="External"/><Relationship Id="rId6050" Type="http://schemas.openxmlformats.org/officeDocument/2006/relationships/hyperlink" Target="https://www.simpleshowing.com/" TargetMode="External"/><Relationship Id="rId7101" Type="http://schemas.openxmlformats.org/officeDocument/2006/relationships/hyperlink" Target="https://www.crosstimbersgazette.com/2020/02/27/large-subdivision-in-northlake-to-open-in-spring/" TargetMode="External"/><Relationship Id="rId13652" Type="http://schemas.openxmlformats.org/officeDocument/2006/relationships/hyperlink" Target="https://anationofmoms.com/" TargetMode="External"/><Relationship Id="rId2660" Type="http://schemas.openxmlformats.org/officeDocument/2006/relationships/hyperlink" Target="https://www.encyclopedia.com/books/politics-and-business-magazines/pulte-homes-inc" TargetMode="External"/><Relationship Id="rId3711" Type="http://schemas.openxmlformats.org/officeDocument/2006/relationships/hyperlink" Target="https://www.simpleshowing.com/" TargetMode="External"/><Relationship Id="rId9273" Type="http://schemas.openxmlformats.org/officeDocument/2006/relationships/hyperlink" Target="https://www.pinoyeplans.com/" TargetMode="External"/><Relationship Id="rId12254" Type="http://schemas.openxmlformats.org/officeDocument/2006/relationships/hyperlink" Target="https://www.brownejacobson.com/insights/implications-of-planning-reform-upon-regeneration-projects" TargetMode="External"/><Relationship Id="rId13305" Type="http://schemas.openxmlformats.org/officeDocument/2006/relationships/hyperlink" Target="https://followtheyellowbrickhome.com/how-to-add-historic-charm-character-to-home/" TargetMode="External"/><Relationship Id="rId14703" Type="http://schemas.openxmlformats.org/officeDocument/2006/relationships/hyperlink" Target="https://literallydarling.com/blog/2025/01/27/average-garage-door-installation-prices-in-katy-tx/" TargetMode="External"/><Relationship Id="rId632" Type="http://schemas.openxmlformats.org/officeDocument/2006/relationships/hyperlink" Target="https://www.simpleshowing.com/" TargetMode="External"/><Relationship Id="rId1262" Type="http://schemas.openxmlformats.org/officeDocument/2006/relationships/hyperlink" Target="https://www.realtor.com/advice/finance/hoa-special-assessments-stalled-projects/" TargetMode="External"/><Relationship Id="rId2313" Type="http://schemas.openxmlformats.org/officeDocument/2006/relationships/hyperlink" Target="https://www.simpleshowing.com/" TargetMode="External"/><Relationship Id="rId4485" Type="http://schemas.openxmlformats.org/officeDocument/2006/relationships/hyperlink" Target="https://www.knoe.com/2024/05/27/high-school-seniors-can-now-get-real-estate-license-free-this-state/" TargetMode="External"/><Relationship Id="rId5536" Type="http://schemas.openxmlformats.org/officeDocument/2006/relationships/hyperlink" Target="https://www.simpleshowing.com/" TargetMode="External"/><Relationship Id="rId5883" Type="http://schemas.openxmlformats.org/officeDocument/2006/relationships/hyperlink" Target="https://careeredge.scarletknights.com/blog/2025/06/19/the-hour-a-day-job-hunt-routine-that-works/" TargetMode="External"/><Relationship Id="rId6934" Type="http://schemas.openxmlformats.org/officeDocument/2006/relationships/hyperlink" Target="https://www.simpleshowing.com/" TargetMode="External"/><Relationship Id="rId14079" Type="http://schemas.openxmlformats.org/officeDocument/2006/relationships/hyperlink" Target="https://europeanbusinessmagazine.com/business/turn-your-backyard-into-a-serene-oasis-inspiring-ideas-for-a-captivating-outdoor-escape/" TargetMode="External"/><Relationship Id="rId15477" Type="http://schemas.openxmlformats.org/officeDocument/2006/relationships/hyperlink" Target="https://wihardja.com.sg/5-foolproof-ways-to-style-your-sofa-effortlessly-with-cushions-for-a-new-look/" TargetMode="External"/><Relationship Id="rId3087" Type="http://schemas.openxmlformats.org/officeDocument/2006/relationships/hyperlink" Target="https://www.simpleshowing.com/" TargetMode="External"/><Relationship Id="rId4138" Type="http://schemas.openxmlformats.org/officeDocument/2006/relationships/hyperlink" Target="https://www.gaar.com/blog/article/how-to-become-a-realtor" TargetMode="External"/><Relationship Id="rId8759" Type="http://schemas.openxmlformats.org/officeDocument/2006/relationships/hyperlink" Target="https://www.pinoyeplans.com/" TargetMode="External"/><Relationship Id="rId10689" Type="http://schemas.openxmlformats.org/officeDocument/2006/relationships/hyperlink" Target="https://www.pinoyeplans.com/" TargetMode="External"/><Relationship Id="rId14560" Type="http://schemas.openxmlformats.org/officeDocument/2006/relationships/hyperlink" Target="https://myinteriorpalace.com/" TargetMode="External"/><Relationship Id="rId15611" Type="http://schemas.openxmlformats.org/officeDocument/2006/relationships/hyperlink" Target="https://www.luxdeco.com/" TargetMode="External"/><Relationship Id="rId13162" Type="http://schemas.openxmlformats.org/officeDocument/2006/relationships/hyperlink" Target="https://propertypressonline.co.uk/" TargetMode="External"/><Relationship Id="rId14213" Type="http://schemas.openxmlformats.org/officeDocument/2006/relationships/hyperlink" Target="https://luxurylifestyle.com/" TargetMode="External"/><Relationship Id="rId2170" Type="http://schemas.openxmlformats.org/officeDocument/2006/relationships/hyperlink" Target="https://markspain.com/" TargetMode="External"/><Relationship Id="rId3221" Type="http://schemas.openxmlformats.org/officeDocument/2006/relationships/hyperlink" Target="https://www.aga.org/why-most-americans-want-natural-gas/" TargetMode="External"/><Relationship Id="rId6791" Type="http://schemas.openxmlformats.org/officeDocument/2006/relationships/hyperlink" Target="https://indywithkids.com/indianapolis-date-ideas/" TargetMode="External"/><Relationship Id="rId7842" Type="http://schemas.openxmlformats.org/officeDocument/2006/relationships/hyperlink" Target="https://discoverlakelanier.com/" TargetMode="External"/><Relationship Id="rId8" Type="http://schemas.openxmlformats.org/officeDocument/2006/relationships/hyperlink" Target="https://notrianglestudio.com/best-3d-rendering-companies/" TargetMode="External"/><Relationship Id="rId142" Type="http://schemas.openxmlformats.org/officeDocument/2006/relationships/hyperlink" Target="https://www.oakbaynews.com/" TargetMode="External"/><Relationship Id="rId5393" Type="http://schemas.openxmlformats.org/officeDocument/2006/relationships/hyperlink" Target="https://telnyx.com/resources/ai-loan-inquiries" TargetMode="External"/><Relationship Id="rId6444" Type="http://schemas.openxmlformats.org/officeDocument/2006/relationships/hyperlink" Target="https://showroom.coburns.com/our-brands/" TargetMode="External"/><Relationship Id="rId10823" Type="http://schemas.openxmlformats.org/officeDocument/2006/relationships/hyperlink" Target="https://see-sciencecenter.org/listening-to-bubbles/" TargetMode="External"/><Relationship Id="rId16038" Type="http://schemas.openxmlformats.org/officeDocument/2006/relationships/hyperlink" Target="https://scecareer.nau.edu/blog/2025/08/22/15-tips-for-environmental-studies-majors-who-are-mapping-their-careers/" TargetMode="External"/><Relationship Id="rId5046" Type="http://schemas.openxmlformats.org/officeDocument/2006/relationships/hyperlink" Target="https://www.simpleshowing.com/" TargetMode="External"/><Relationship Id="rId9667" Type="http://schemas.openxmlformats.org/officeDocument/2006/relationships/hyperlink" Target="https://www.teachengineering.org/" TargetMode="External"/><Relationship Id="rId12995" Type="http://schemas.openxmlformats.org/officeDocument/2006/relationships/hyperlink" Target="https://www.shma.co.uk/" TargetMode="External"/><Relationship Id="rId8269" Type="http://schemas.openxmlformats.org/officeDocument/2006/relationships/hyperlink" Target="https://www.ausff.com.au/directory-listing/" TargetMode="External"/><Relationship Id="rId11597" Type="http://schemas.openxmlformats.org/officeDocument/2006/relationships/hyperlink" Target="https://internetchicks.co.uk/how-energy-efficiency-upgrades-can-add-value-to-your-house/" TargetMode="External"/><Relationship Id="rId12648" Type="http://schemas.openxmlformats.org/officeDocument/2006/relationships/hyperlink" Target="https://www.ipla.org.uk/members/" TargetMode="External"/><Relationship Id="rId1656" Type="http://schemas.openxmlformats.org/officeDocument/2006/relationships/hyperlink" Target="https://www.simpleshowing.com/" TargetMode="External"/><Relationship Id="rId2707" Type="http://schemas.openxmlformats.org/officeDocument/2006/relationships/hyperlink" Target="https://www.pulte.com/" TargetMode="External"/><Relationship Id="rId10199" Type="http://schemas.openxmlformats.org/officeDocument/2006/relationships/hyperlink" Target="https://serc.carleton.edu/earth_rendezvous/2017/program/roundtable/rt14.html" TargetMode="External"/><Relationship Id="rId14070" Type="http://schemas.openxmlformats.org/officeDocument/2006/relationships/hyperlink" Target="https://www.patioandpizza.com/blogs/resources/7-ideas-to-build-a-backyard-perfect-for-cooking-and-relaxing" TargetMode="External"/><Relationship Id="rId15121" Type="http://schemas.openxmlformats.org/officeDocument/2006/relationships/hyperlink" Target="https://myinteriorpalace.com/" TargetMode="External"/><Relationship Id="rId1309" Type="http://schemas.openxmlformats.org/officeDocument/2006/relationships/hyperlink" Target="https://darscover.com/" TargetMode="External"/><Relationship Id="rId4879" Type="http://schemas.openxmlformats.org/officeDocument/2006/relationships/hyperlink" Target="https://adespresso.com/blog/google-ads-size/" TargetMode="External"/><Relationship Id="rId8750" Type="http://schemas.openxmlformats.org/officeDocument/2006/relationships/hyperlink" Target="https://www.pinoyeplans.com/" TargetMode="External"/><Relationship Id="rId9801" Type="http://schemas.openxmlformats.org/officeDocument/2006/relationships/hyperlink" Target="https://www.pinoyeplans.com/" TargetMode="External"/><Relationship Id="rId10680" Type="http://schemas.openxmlformats.org/officeDocument/2006/relationships/hyperlink" Target="https://www.pinoyeplans.com/" TargetMode="External"/><Relationship Id="rId11731" Type="http://schemas.openxmlformats.org/officeDocument/2006/relationships/hyperlink" Target="https://sellhousefast.uk/" TargetMode="External"/><Relationship Id="rId15" Type="http://schemas.openxmlformats.org/officeDocument/2006/relationships/hyperlink" Target="https://homebriefings.com/top-10-3d-exterior-rendering-services-according-to-experts/" TargetMode="External"/><Relationship Id="rId7352" Type="http://schemas.openxmlformats.org/officeDocument/2006/relationships/hyperlink" Target="https://www.simpleshowing.com/" TargetMode="External"/><Relationship Id="rId8403" Type="http://schemas.openxmlformats.org/officeDocument/2006/relationships/hyperlink" Target="https://24hourfloodpros.com/" TargetMode="External"/><Relationship Id="rId10333" Type="http://schemas.openxmlformats.org/officeDocument/2006/relationships/hyperlink" Target="https://www.teachengineering.org/" TargetMode="External"/><Relationship Id="rId7005" Type="http://schemas.openxmlformats.org/officeDocument/2006/relationships/hyperlink" Target="https://craft.co/taylor-morrison" TargetMode="External"/><Relationship Id="rId14954" Type="http://schemas.openxmlformats.org/officeDocument/2006/relationships/hyperlink" Target="https://www.fluidplumbingservices.com.au/" TargetMode="External"/><Relationship Id="rId883" Type="http://schemas.openxmlformats.org/officeDocument/2006/relationships/hyperlink" Target="https://www.absolutepestmgmt.com/" TargetMode="External"/><Relationship Id="rId2564" Type="http://schemas.openxmlformats.org/officeDocument/2006/relationships/hyperlink" Target="https://members.tbba.net/list/member/pulte-homes-riverview-5261" TargetMode="External"/><Relationship Id="rId3615" Type="http://schemas.openxmlformats.org/officeDocument/2006/relationships/hyperlink" Target="https://www.simpleshowing.com/" TargetMode="External"/><Relationship Id="rId3962" Type="http://schemas.openxmlformats.org/officeDocument/2006/relationships/hyperlink" Target="https://ases.org/our-community/businessmembers/" TargetMode="External"/><Relationship Id="rId9177" Type="http://schemas.openxmlformats.org/officeDocument/2006/relationships/hyperlink" Target="https://www.pinoyeplans.com/" TargetMode="External"/><Relationship Id="rId12158" Type="http://schemas.openxmlformats.org/officeDocument/2006/relationships/hyperlink" Target="https://cielowigle.com/blog/how-to-hide-window-air-conditioner/" TargetMode="External"/><Relationship Id="rId13556" Type="http://schemas.openxmlformats.org/officeDocument/2006/relationships/hyperlink" Target="https://anationofmoms.com/" TargetMode="External"/><Relationship Id="rId14607" Type="http://schemas.openxmlformats.org/officeDocument/2006/relationships/hyperlink" Target="https://tamaracamerablog.com/reliable-garage-door-repair-houston/" TargetMode="External"/><Relationship Id="rId536" Type="http://schemas.openxmlformats.org/officeDocument/2006/relationships/hyperlink" Target="https://www.simpleshowing.com/" TargetMode="External"/><Relationship Id="rId1166" Type="http://schemas.openxmlformats.org/officeDocument/2006/relationships/hyperlink" Target="https://thedailytribute.com/upgrading-an-old-home-essential-renovations-for-modern-living/" TargetMode="External"/><Relationship Id="rId2217" Type="http://schemas.openxmlformats.org/officeDocument/2006/relationships/hyperlink" Target="https://www.simpleshowing.com/" TargetMode="External"/><Relationship Id="rId13209" Type="http://schemas.openxmlformats.org/officeDocument/2006/relationships/hyperlink" Target="https://myemail.constantcontact.com/Kasaraneni.html?soid=1102665899193&amp;aid=4_LsepsjVX0" TargetMode="External"/><Relationship Id="rId4389" Type="http://schemas.openxmlformats.org/officeDocument/2006/relationships/hyperlink" Target="https://training.safetyculture.com/course-collection/inspection-courses/" TargetMode="External"/><Relationship Id="rId5787" Type="http://schemas.openxmlformats.org/officeDocument/2006/relationships/hyperlink" Target="https://www.techwyse.com/blog/digital-marketing-101/how-to-nurture-leads-and-improve-conversions-for-complex-b2b-sales" TargetMode="External"/><Relationship Id="rId6838" Type="http://schemas.openxmlformats.org/officeDocument/2006/relationships/hyperlink" Target="https://www.taylormorrison.com/" TargetMode="External"/><Relationship Id="rId8260" Type="http://schemas.openxmlformats.org/officeDocument/2006/relationships/hyperlink" Target="https://artsreview.com.au/how-to-make-a-room-feel-finished-without-redecorating/" TargetMode="External"/><Relationship Id="rId9311" Type="http://schemas.openxmlformats.org/officeDocument/2006/relationships/hyperlink" Target="https://www.veritasai.com/veritasaiblog/https/wwwveritasaicom15-engineering-projects-for-middle-school-students" TargetMode="External"/><Relationship Id="rId10190" Type="http://schemas.openxmlformats.org/officeDocument/2006/relationships/hyperlink" Target="https://www.seagrant.sunysb.edu/articles/r/2419" TargetMode="External"/><Relationship Id="rId11241" Type="http://schemas.openxmlformats.org/officeDocument/2006/relationships/hyperlink" Target="https://www.waterdamagespecialist.com.au/" TargetMode="External"/><Relationship Id="rId15862" Type="http://schemas.openxmlformats.org/officeDocument/2006/relationships/hyperlink" Target="https://myinteriorpalace.com/" TargetMode="External"/><Relationship Id="rId1300" Type="http://schemas.openxmlformats.org/officeDocument/2006/relationships/hyperlink" Target="https://darscover.com/" TargetMode="External"/><Relationship Id="rId4870" Type="http://schemas.openxmlformats.org/officeDocument/2006/relationships/hyperlink" Target="https://www.simpleshowing.com/" TargetMode="External"/><Relationship Id="rId5921" Type="http://schemas.openxmlformats.org/officeDocument/2006/relationships/hyperlink" Target="https://predis.ai/resources/post-ideas-for-financial-advisors/" TargetMode="External"/><Relationship Id="rId14464" Type="http://schemas.openxmlformats.org/officeDocument/2006/relationships/hyperlink" Target="https://myinteriorpalace.com/" TargetMode="External"/><Relationship Id="rId15515" Type="http://schemas.openxmlformats.org/officeDocument/2006/relationships/hyperlink" Target="https://www.luxdeco.com/" TargetMode="External"/><Relationship Id="rId3472" Type="http://schemas.openxmlformats.org/officeDocument/2006/relationships/hyperlink" Target="https://www.pulte.com/" TargetMode="External"/><Relationship Id="rId4523" Type="http://schemas.openxmlformats.org/officeDocument/2006/relationships/hyperlink" Target="https://www.kapre.com/" TargetMode="External"/><Relationship Id="rId13066" Type="http://schemas.openxmlformats.org/officeDocument/2006/relationships/hyperlink" Target="https://propertypressonline.co.uk/" TargetMode="External"/><Relationship Id="rId14117" Type="http://schemas.openxmlformats.org/officeDocument/2006/relationships/hyperlink" Target="https://keystonecustomdecksny.com/" TargetMode="External"/><Relationship Id="rId393" Type="http://schemas.openxmlformats.org/officeDocument/2006/relationships/hyperlink" Target="https://investorshangout.com/10-strategies-for-real-estate-investors-stay-ahead-of-risks-281-/" TargetMode="External"/><Relationship Id="rId2074" Type="http://schemas.openxmlformats.org/officeDocument/2006/relationships/hyperlink" Target="https://markspain.com/" TargetMode="External"/><Relationship Id="rId3125" Type="http://schemas.openxmlformats.org/officeDocument/2006/relationships/hyperlink" Target="https://www.gulfshoresrealty.com/listing/tb8328674-5633-clearwater-court-lakewood-ranch-fl-34211/?details" TargetMode="External"/><Relationship Id="rId6695" Type="http://schemas.openxmlformats.org/officeDocument/2006/relationships/hyperlink" Target="https://www.pinterest.es/ideas/wall-mounted-planters/894460872075/" TargetMode="External"/><Relationship Id="rId7746" Type="http://schemas.openxmlformats.org/officeDocument/2006/relationships/hyperlink" Target="https://www.simpleshowing.com/" TargetMode="External"/><Relationship Id="rId5297" Type="http://schemas.openxmlformats.org/officeDocument/2006/relationships/hyperlink" Target="https://doms2cents.com/unmanageable-debt-and-legal-problems/" TargetMode="External"/><Relationship Id="rId6348" Type="http://schemas.openxmlformats.org/officeDocument/2006/relationships/hyperlink" Target="https://www.simpleshowing.com/" TargetMode="External"/><Relationship Id="rId10727" Type="http://schemas.openxmlformats.org/officeDocument/2006/relationships/hyperlink" Target="https://www.apu.apus.edu/area-of-study/electrical-engineering/resources/shipbuilding-requires-engineering-and-business-skills-to-solve-complex-problems/" TargetMode="External"/><Relationship Id="rId12899" Type="http://schemas.openxmlformats.org/officeDocument/2006/relationships/hyperlink" Target="https://www.shma.co.uk/" TargetMode="External"/><Relationship Id="rId13200" Type="http://schemas.openxmlformats.org/officeDocument/2006/relationships/hyperlink" Target="https://www.ceotodaymagazine.com/2019/03/structuring-for-a-sale-in-uncertain-times/" TargetMode="External"/><Relationship Id="rId2958" Type="http://schemas.openxmlformats.org/officeDocument/2006/relationships/hyperlink" Target="https://www.simpleshowing.com/" TargetMode="External"/><Relationship Id="rId15372" Type="http://schemas.openxmlformats.org/officeDocument/2006/relationships/hyperlink" Target="https://www.designconnected.com/fr/Seating/Armchairs/spectre-chair_p7348" TargetMode="External"/><Relationship Id="rId4380" Type="http://schemas.openxmlformats.org/officeDocument/2006/relationships/hyperlink" Target="https://www.wsmv.com/2024/05/27/high-school-seniors-can-now-get-real-estate-license-free-this-state/" TargetMode="External"/><Relationship Id="rId5431" Type="http://schemas.openxmlformats.org/officeDocument/2006/relationships/hyperlink" Target="https://www.fastsoftwares.com/blog/managed-edr-small-business-worth-invest/" TargetMode="External"/><Relationship Id="rId15025" Type="http://schemas.openxmlformats.org/officeDocument/2006/relationships/hyperlink" Target="https://myinteriorpalace.com/" TargetMode="External"/><Relationship Id="rId4033" Type="http://schemas.openxmlformats.org/officeDocument/2006/relationships/hyperlink" Target="https://appleplumbing.com/" TargetMode="External"/><Relationship Id="rId8654" Type="http://schemas.openxmlformats.org/officeDocument/2006/relationships/hyperlink" Target="https://www.pinoyeplans.com/" TargetMode="External"/><Relationship Id="rId9705" Type="http://schemas.openxmlformats.org/officeDocument/2006/relationships/hyperlink" Target="https://www.pinoyeplans.com/" TargetMode="External"/><Relationship Id="rId10584" Type="http://schemas.openxmlformats.org/officeDocument/2006/relationships/hyperlink" Target="https://www.pinoyeplans.com/" TargetMode="External"/><Relationship Id="rId11982" Type="http://schemas.openxmlformats.org/officeDocument/2006/relationships/hyperlink" Target="https://www.hamiltoninternationalestates.com/" TargetMode="External"/><Relationship Id="rId7256" Type="http://schemas.openxmlformats.org/officeDocument/2006/relationships/hyperlink" Target="https://www.simpleshowing.com/" TargetMode="External"/><Relationship Id="rId8307" Type="http://schemas.openxmlformats.org/officeDocument/2006/relationships/hyperlink" Target="https://www.zestlighting.com.au/" TargetMode="External"/><Relationship Id="rId10237" Type="http://schemas.openxmlformats.org/officeDocument/2006/relationships/hyperlink" Target="https://www.teachengineering.org/" TargetMode="External"/><Relationship Id="rId11635" Type="http://schemas.openxmlformats.org/officeDocument/2006/relationships/hyperlink" Target="https://sellhousefast.uk/" TargetMode="External"/><Relationship Id="rId14858" Type="http://schemas.openxmlformats.org/officeDocument/2006/relationships/hyperlink" Target="https://www.fluidplumbingservices.com.au/" TargetMode="External"/><Relationship Id="rId15909" Type="http://schemas.openxmlformats.org/officeDocument/2006/relationships/hyperlink" Target="https://breakingac.com/news/2025/aug/13/affordable-garage-door-services-in-lees-summit-quality-you-can-trust/" TargetMode="External"/><Relationship Id="rId3866" Type="http://schemas.openxmlformats.org/officeDocument/2006/relationships/hyperlink" Target="https://financialaid.ucdavis.edu/scholarships/cover-guy-annual-scholarship" TargetMode="External"/><Relationship Id="rId4917" Type="http://schemas.openxmlformats.org/officeDocument/2006/relationships/hyperlink" Target="https://www.propertyme.com.au/blog/property-management/how-to-grow-property-management-business-using-google" TargetMode="External"/><Relationship Id="rId787" Type="http://schemas.openxmlformats.org/officeDocument/2006/relationships/hyperlink" Target="https://www.wzzm13.com/article/life/one-good-thing/single-mom-without-heat-can-feel-the-love/69-3d2731b8-2789-4b58-a50c-e6233018b99e" TargetMode="External"/><Relationship Id="rId2468" Type="http://schemas.openxmlformats.org/officeDocument/2006/relationships/hyperlink" Target="https://2collegebrothers.com/blog/new-construction-homes-tampa/" TargetMode="External"/><Relationship Id="rId3519" Type="http://schemas.openxmlformats.org/officeDocument/2006/relationships/hyperlink" Target="https://www.simpleshowing.com/" TargetMode="External"/><Relationship Id="rId12890" Type="http://schemas.openxmlformats.org/officeDocument/2006/relationships/hyperlink" Target="https://www.shma.co.uk/" TargetMode="External"/><Relationship Id="rId13941" Type="http://schemas.openxmlformats.org/officeDocument/2006/relationships/hyperlink" Target="https://www.terristeffes.com/2023/02/roof-repair-vs-roof-replacement-when-to.html" TargetMode="External"/><Relationship Id="rId9562" Type="http://schemas.openxmlformats.org/officeDocument/2006/relationships/hyperlink" Target="https://www.teachengineering.org/" TargetMode="External"/><Relationship Id="rId11492" Type="http://schemas.openxmlformats.org/officeDocument/2006/relationships/hyperlink" Target="https://www.hamiltoninternationalestates.com/" TargetMode="External"/><Relationship Id="rId12543" Type="http://schemas.openxmlformats.org/officeDocument/2006/relationships/hyperlink" Target="https://www.shakespearemarathon.org.uk/" TargetMode="External"/><Relationship Id="rId921" Type="http://schemas.openxmlformats.org/officeDocument/2006/relationships/hyperlink" Target="https://www.simpleshowing.com/" TargetMode="External"/><Relationship Id="rId1551" Type="http://schemas.openxmlformats.org/officeDocument/2006/relationships/hyperlink" Target="https://www.simpleshowing.com/" TargetMode="External"/><Relationship Id="rId2602" Type="http://schemas.openxmlformats.org/officeDocument/2006/relationships/hyperlink" Target="https://www.pulte.com/" TargetMode="External"/><Relationship Id="rId8164" Type="http://schemas.openxmlformats.org/officeDocument/2006/relationships/hyperlink" Target="https://sportuniverse.com/Publication/Index" TargetMode="External"/><Relationship Id="rId9215" Type="http://schemas.openxmlformats.org/officeDocument/2006/relationships/hyperlink" Target="https://www.mbqld.com.au/home-owners/find-a-master-builder?collection=famb-search-dev&amp;sort=&amp;start_rank=251&amp;fmb_type=Turul%20Building%20Services&amp;fmb_location=Albany%20Creek&amp;origin=-27.35&amp;maxdist=&amp;rseed=" TargetMode="External"/><Relationship Id="rId10094" Type="http://schemas.openxmlformats.org/officeDocument/2006/relationships/hyperlink" Target="https://homeschoolgiveaways.com/free-ways-to-learn-about-doctors/" TargetMode="External"/><Relationship Id="rId11145" Type="http://schemas.openxmlformats.org/officeDocument/2006/relationships/hyperlink" Target="https://www.pinoyeplans.com/" TargetMode="External"/><Relationship Id="rId1204" Type="http://schemas.openxmlformats.org/officeDocument/2006/relationships/hyperlink" Target="https://happy2movelondon.co.uk/r" TargetMode="External"/><Relationship Id="rId4774" Type="http://schemas.openxmlformats.org/officeDocument/2006/relationships/hyperlink" Target="https://www.simpleshowing.com/" TargetMode="External"/><Relationship Id="rId5825" Type="http://schemas.openxmlformats.org/officeDocument/2006/relationships/hyperlink" Target="https://www.classicinformatics.com/blog/digital-experience-success-stories" TargetMode="External"/><Relationship Id="rId14368" Type="http://schemas.openxmlformats.org/officeDocument/2006/relationships/hyperlink" Target="https://myinteriorpalace.com/" TargetMode="External"/><Relationship Id="rId15766" Type="http://schemas.openxmlformats.org/officeDocument/2006/relationships/hyperlink" Target="https://myinteriorpalace.com/" TargetMode="External"/><Relationship Id="rId3376" Type="http://schemas.openxmlformats.org/officeDocument/2006/relationships/hyperlink" Target="https://www.pulte.com/" TargetMode="External"/><Relationship Id="rId4427" Type="http://schemas.openxmlformats.org/officeDocument/2006/relationships/hyperlink" Target="https://www.kapre.com/" TargetMode="External"/><Relationship Id="rId15419" Type="http://schemas.openxmlformats.org/officeDocument/2006/relationships/hyperlink" Target="https://www.luxdeco.com/" TargetMode="External"/><Relationship Id="rId297" Type="http://schemas.openxmlformats.org/officeDocument/2006/relationships/hyperlink" Target="http://northernvirginiahomepro.com/" TargetMode="External"/><Relationship Id="rId3029" Type="http://schemas.openxmlformats.org/officeDocument/2006/relationships/hyperlink" Target="https://georgia.org/newsroom/press-releases/deal-pultegroup-to-move-corporate-headquarters-to-georgia" TargetMode="External"/><Relationship Id="rId6599" Type="http://schemas.openxmlformats.org/officeDocument/2006/relationships/hyperlink" Target="https://www.simpleshowing.com/" TargetMode="External"/><Relationship Id="rId7997" Type="http://schemas.openxmlformats.org/officeDocument/2006/relationships/hyperlink" Target="https://www.pinoyeplans.com/" TargetMode="External"/><Relationship Id="rId10978" Type="http://schemas.openxmlformats.org/officeDocument/2006/relationships/hyperlink" Target="https://www.teachengineering.org/" TargetMode="External"/><Relationship Id="rId15900" Type="http://schemas.openxmlformats.org/officeDocument/2006/relationships/hyperlink" Target="https://index.businessinsurance.com/businessinsurance/article/getfeatured-2025-8-13-raynor-garage-doors-of-kansas-city-expands-with-new-location-in-lees-summit-mo" TargetMode="External"/><Relationship Id="rId9072" Type="http://schemas.openxmlformats.org/officeDocument/2006/relationships/hyperlink" Target="https://www.pinoyeplans.com/" TargetMode="External"/><Relationship Id="rId13451" Type="http://schemas.openxmlformats.org/officeDocument/2006/relationships/hyperlink" Target="https://anationofmoms.com/" TargetMode="External"/><Relationship Id="rId14502" Type="http://schemas.openxmlformats.org/officeDocument/2006/relationships/hyperlink" Target="https://appledoor.com/blog/garage-door-replacement/" TargetMode="External"/><Relationship Id="rId3510" Type="http://schemas.openxmlformats.org/officeDocument/2006/relationships/hyperlink" Target="https://www.simpleshowing.com/" TargetMode="External"/><Relationship Id="rId12053" Type="http://schemas.openxmlformats.org/officeDocument/2006/relationships/hyperlink" Target="https://www.cabinetnow.com/how-to/the-complete-guide-to-keeping-white-cabinets-clean/" TargetMode="External"/><Relationship Id="rId13104" Type="http://schemas.openxmlformats.org/officeDocument/2006/relationships/hyperlink" Target="https://www.sanctuary-supported-living.co.uk/news/moving-white-paper-retirement-living-answer-housing-crisis" TargetMode="External"/><Relationship Id="rId431" Type="http://schemas.openxmlformats.org/officeDocument/2006/relationships/hyperlink" Target="https://www.simpleshowing.com/" TargetMode="External"/><Relationship Id="rId1061" Type="http://schemas.openxmlformats.org/officeDocument/2006/relationships/hyperlink" Target="https://theorg.com/org/matrix-home-solutions/org-chart/nick-richmond" TargetMode="External"/><Relationship Id="rId2112" Type="http://schemas.openxmlformats.org/officeDocument/2006/relationships/hyperlink" Target="https://www.simpleshowing.com/" TargetMode="External"/><Relationship Id="rId5682" Type="http://schemas.openxmlformats.org/officeDocument/2006/relationships/hyperlink" Target="https://www.simpleshowing.com/" TargetMode="External"/><Relationship Id="rId6733" Type="http://schemas.openxmlformats.org/officeDocument/2006/relationships/hyperlink" Target="https://www.eplanters.com/blog/" TargetMode="External"/><Relationship Id="rId15276" Type="http://schemas.openxmlformats.org/officeDocument/2006/relationships/hyperlink" Target="https://www.fusionfurnitureinc.com/blog/how-to-fill-empty-spaces-in-home/" TargetMode="External"/><Relationship Id="rId4284" Type="http://schemas.openxmlformats.org/officeDocument/2006/relationships/hyperlink" Target="https://pathwise.io/how-to-start-a-career-in-real-estate/" TargetMode="External"/><Relationship Id="rId5335" Type="http://schemas.openxmlformats.org/officeDocument/2006/relationships/hyperlink" Target="https://friendlyfinance.com.au/blog/is-debt-consolidation-a-good-idea/" TargetMode="External"/><Relationship Id="rId9956" Type="http://schemas.openxmlformats.org/officeDocument/2006/relationships/hyperlink" Target="https://greentumble.com/types-of-solar-photovoltaic-systems" TargetMode="External"/><Relationship Id="rId8558" Type="http://schemas.openxmlformats.org/officeDocument/2006/relationships/hyperlink" Target="https://www.pinoyeplans.com/" TargetMode="External"/><Relationship Id="rId9609" Type="http://schemas.openxmlformats.org/officeDocument/2006/relationships/hyperlink" Target="https://www.pinoyeplans.com/" TargetMode="External"/><Relationship Id="rId11886" Type="http://schemas.openxmlformats.org/officeDocument/2006/relationships/hyperlink" Target="https://www.hamiltoninternationalestates.com/" TargetMode="External"/><Relationship Id="rId12937" Type="http://schemas.openxmlformats.org/officeDocument/2006/relationships/hyperlink" Target="https://propertypressonline.co.uk/" TargetMode="External"/><Relationship Id="rId1945" Type="http://schemas.openxmlformats.org/officeDocument/2006/relationships/hyperlink" Target="https://markspain.com/" TargetMode="External"/><Relationship Id="rId10488" Type="http://schemas.openxmlformats.org/officeDocument/2006/relationships/hyperlink" Target="https://www.pinoyeplans.com/" TargetMode="External"/><Relationship Id="rId11539" Type="http://schemas.openxmlformats.org/officeDocument/2006/relationships/hyperlink" Target="https://www.loveproperty.com/news/108090/11-mistakes-that-could-devalue-your-home" TargetMode="External"/><Relationship Id="rId15410" Type="http://schemas.openxmlformats.org/officeDocument/2006/relationships/hyperlink" Target="https://www.luxdeco.com/" TargetMode="External"/><Relationship Id="rId3020" Type="http://schemas.openxmlformats.org/officeDocument/2006/relationships/hyperlink" Target="http://www.skymem.info/srch?q=ksheldon@longbeachtownship.com" TargetMode="External"/><Relationship Id="rId14012" Type="http://schemas.openxmlformats.org/officeDocument/2006/relationships/hyperlink" Target="https://keystonecustomdecksny.com/" TargetMode="External"/><Relationship Id="rId6590" Type="http://schemas.openxmlformats.org/officeDocument/2006/relationships/hyperlink" Target="https://www.simpleshowing.com/" TargetMode="External"/><Relationship Id="rId7641" Type="http://schemas.openxmlformats.org/officeDocument/2006/relationships/hyperlink" Target="https://varde.com/taylor-morrison-and-varde-partners-scale-850-million-build-to-rent-joint-venture-with-nine-asset-closings-since-inception/" TargetMode="External"/><Relationship Id="rId10622" Type="http://schemas.openxmlformats.org/officeDocument/2006/relationships/hyperlink" Target="https://titanfx.com/news/train-your-mind-to-brainstorm-for-better-strategic-thinking" TargetMode="External"/><Relationship Id="rId16184" Type="http://schemas.openxmlformats.org/officeDocument/2006/relationships/hyperlink" Target="https://www.unitedcarpetsandbeds.com/" TargetMode="External"/><Relationship Id="rId5192" Type="http://schemas.openxmlformats.org/officeDocument/2006/relationships/hyperlink" Target="https://www.simpleshowing.com/" TargetMode="External"/><Relationship Id="rId6243" Type="http://schemas.openxmlformats.org/officeDocument/2006/relationships/hyperlink" Target="https://cyberpanel.net/blog/bitcoin-loans-keeping-the-coin-spending-the-cash" TargetMode="External"/><Relationship Id="rId12794" Type="http://schemas.openxmlformats.org/officeDocument/2006/relationships/hyperlink" Target="https://www.shma.co.uk/" TargetMode="External"/><Relationship Id="rId2853" Type="http://schemas.openxmlformats.org/officeDocument/2006/relationships/hyperlink" Target="https://www.simpleshowing.com/" TargetMode="External"/><Relationship Id="rId3904" Type="http://schemas.openxmlformats.org/officeDocument/2006/relationships/hyperlink" Target="https://thecoverguy.com/" TargetMode="External"/><Relationship Id="rId9466" Type="http://schemas.openxmlformats.org/officeDocument/2006/relationships/hyperlink" Target="https://www.teachengineering.org/" TargetMode="External"/><Relationship Id="rId11396" Type="http://schemas.openxmlformats.org/officeDocument/2006/relationships/hyperlink" Target="https://www.hamiltoninternationalestates.com/" TargetMode="External"/><Relationship Id="rId12447" Type="http://schemas.openxmlformats.org/officeDocument/2006/relationships/hyperlink" Target="https://propertypressonline.co.uk/" TargetMode="External"/><Relationship Id="rId13845" Type="http://schemas.openxmlformats.org/officeDocument/2006/relationships/hyperlink" Target="https://www.provenexpert.com/en-us/aq-glass-arizona-shower-doors/" TargetMode="External"/><Relationship Id="rId825" Type="http://schemas.openxmlformats.org/officeDocument/2006/relationships/hyperlink" Target="https://www.absolutepestmgmt.com/" TargetMode="External"/><Relationship Id="rId1455" Type="http://schemas.openxmlformats.org/officeDocument/2006/relationships/hyperlink" Target="https://www.simpleshowing.com/" TargetMode="External"/><Relationship Id="rId2506" Type="http://schemas.openxmlformats.org/officeDocument/2006/relationships/hyperlink" Target="https://www.pulte.com/" TargetMode="External"/><Relationship Id="rId8068" Type="http://schemas.openxmlformats.org/officeDocument/2006/relationships/hyperlink" Target="https://indyroofandrestoration.com/exposed-fastener-metal-roof/" TargetMode="External"/><Relationship Id="rId9119" Type="http://schemas.openxmlformats.org/officeDocument/2006/relationships/hyperlink" Target="https://todayblessings.com/softwood-vs-hardwood/" TargetMode="External"/><Relationship Id="rId11049" Type="http://schemas.openxmlformats.org/officeDocument/2006/relationships/hyperlink" Target="https://www.pinoyeplans.com/" TargetMode="External"/><Relationship Id="rId1108" Type="http://schemas.openxmlformats.org/officeDocument/2006/relationships/hyperlink" Target="https://www.matrixbasements.com/" TargetMode="External"/><Relationship Id="rId4678" Type="http://schemas.openxmlformats.org/officeDocument/2006/relationships/hyperlink" Target="https://www.simpleshowing.com/" TargetMode="External"/><Relationship Id="rId5729" Type="http://schemas.openxmlformats.org/officeDocument/2006/relationships/hyperlink" Target="https://kentuckycounselingcenter.com/how-do-our-finances-connect-to-our-mental-health/" TargetMode="External"/><Relationship Id="rId7151" Type="http://schemas.openxmlformats.org/officeDocument/2006/relationships/hyperlink" Target="https://www.taylormorrison.com/" TargetMode="External"/><Relationship Id="rId8202" Type="http://schemas.openxmlformats.org/officeDocument/2006/relationships/hyperlink" Target="https://smaarchviz.com/" TargetMode="External"/><Relationship Id="rId9600" Type="http://schemas.openxmlformats.org/officeDocument/2006/relationships/hyperlink" Target="https://www.pinoyeplans.com/" TargetMode="External"/><Relationship Id="rId11530" Type="http://schemas.openxmlformats.org/officeDocument/2006/relationships/hyperlink" Target="https://ukinvestormagazine.co.uk/what-do-you-need-to-know-about-investing-in-the-uk-property-market-in-2025/" TargetMode="External"/><Relationship Id="rId10132" Type="http://schemas.openxmlformats.org/officeDocument/2006/relationships/hyperlink" Target="https://www.teachengineering.org/" TargetMode="External"/><Relationship Id="rId14753" Type="http://schemas.openxmlformats.org/officeDocument/2006/relationships/hyperlink" Target="https://www.easygaragedoorrepair.com/" TargetMode="External"/><Relationship Id="rId15804" Type="http://schemas.openxmlformats.org/officeDocument/2006/relationships/hyperlink" Target="https://kiraandkira.com.au/blogs/journal/ready-set-reno" TargetMode="External"/><Relationship Id="rId3761" Type="http://schemas.openxmlformats.org/officeDocument/2006/relationships/hyperlink" Target="https://selling.com/company/mid-atlantic-door-group/3370601" TargetMode="External"/><Relationship Id="rId4812" Type="http://schemas.openxmlformats.org/officeDocument/2006/relationships/hyperlink" Target="https://www.wibw.com/2024/05/27/high-school-seniors-can-now-get-real-estate-license-free-this-state/" TargetMode="External"/><Relationship Id="rId13355" Type="http://schemas.openxmlformats.org/officeDocument/2006/relationships/hyperlink" Target="https://anationofmoms.com/" TargetMode="External"/><Relationship Id="rId14406" Type="http://schemas.openxmlformats.org/officeDocument/2006/relationships/hyperlink" Target="https://www.finehomesandliving.com/when-the-symphony-stops-the-hidden-cost-of-range-downtime-in-luxury-homes/article_e52094a8-daf8-4a23-af6c-9485b268cce6.html" TargetMode="External"/><Relationship Id="rId682" Type="http://schemas.openxmlformats.org/officeDocument/2006/relationships/hyperlink" Target="https://thedigestonline.com/branded-content/break-up-with-work-8-tips-to-unwind-and-enjoy-your-vacation/" TargetMode="External"/><Relationship Id="rId2363" Type="http://schemas.openxmlformats.org/officeDocument/2006/relationships/hyperlink" Target="https://bell.works/chicagoland/explore/" TargetMode="External"/><Relationship Id="rId3414" Type="http://schemas.openxmlformats.org/officeDocument/2006/relationships/hyperlink" Target="https://www.simpleshowing.com/" TargetMode="External"/><Relationship Id="rId6984" Type="http://schemas.openxmlformats.org/officeDocument/2006/relationships/hyperlink" Target="https://newsantaana.com/townhome-development-proposed-for-the-empty-lot-at-2525-n-main-st/" TargetMode="External"/><Relationship Id="rId13008" Type="http://schemas.openxmlformats.org/officeDocument/2006/relationships/hyperlink" Target="https://www.farminguk.com/news/who-is-responsible-for-flood-defence-provision-_58241.html" TargetMode="External"/><Relationship Id="rId335" Type="http://schemas.openxmlformats.org/officeDocument/2006/relationships/hyperlink" Target="http://ecosmartinc.com/" TargetMode="External"/><Relationship Id="rId2016" Type="http://schemas.openxmlformats.org/officeDocument/2006/relationships/hyperlink" Target="https://www.simpleshowing.com/" TargetMode="External"/><Relationship Id="rId5586" Type="http://schemas.openxmlformats.org/officeDocument/2006/relationships/hyperlink" Target="https://www.simpleshowing.com/" TargetMode="External"/><Relationship Id="rId6637" Type="http://schemas.openxmlformats.org/officeDocument/2006/relationships/hyperlink" Target="https://www.simpleshowing.com/" TargetMode="External"/><Relationship Id="rId4188" Type="http://schemas.openxmlformats.org/officeDocument/2006/relationships/hyperlink" Target="https://moseley.org/compare/florida/bob-hogue/" TargetMode="External"/><Relationship Id="rId5239" Type="http://schemas.openxmlformats.org/officeDocument/2006/relationships/hyperlink" Target="https://usa.inquirer.net/158292/best-debt-settlement-companies" TargetMode="External"/><Relationship Id="rId9110" Type="http://schemas.openxmlformats.org/officeDocument/2006/relationships/hyperlink" Target="https://www.albertleatribune.com/sponsored-content/how-modern-tools-are-shaping-the-landscape-of-construction-estimation-825297" TargetMode="External"/><Relationship Id="rId11040" Type="http://schemas.openxmlformats.org/officeDocument/2006/relationships/hyperlink" Target="https://www.pinoyeplans.com/" TargetMode="External"/><Relationship Id="rId15661" Type="http://schemas.openxmlformats.org/officeDocument/2006/relationships/hyperlink" Target="https://myinteriorpalace.com/" TargetMode="External"/><Relationship Id="rId1849" Type="http://schemas.openxmlformats.org/officeDocument/2006/relationships/hyperlink" Target="https://wolfriverelectric.com/" TargetMode="External"/><Relationship Id="rId5720" Type="http://schemas.openxmlformats.org/officeDocument/2006/relationships/hyperlink" Target="https://www.simpleshowing.com/" TargetMode="External"/><Relationship Id="rId14263" Type="http://schemas.openxmlformats.org/officeDocument/2006/relationships/hyperlink" Target="https://myinteriorpalace.com/" TargetMode="External"/><Relationship Id="rId15314" Type="http://schemas.openxmlformats.org/officeDocument/2006/relationships/hyperlink" Target="https://www.luxdeco.com/" TargetMode="External"/><Relationship Id="rId192" Type="http://schemas.openxmlformats.org/officeDocument/2006/relationships/hyperlink" Target="http://northernvirginiahomepro.com/" TargetMode="External"/><Relationship Id="rId3271" Type="http://schemas.openxmlformats.org/officeDocument/2006/relationships/hyperlink" Target="https://www.pulte.com/" TargetMode="External"/><Relationship Id="rId4322" Type="http://schemas.openxmlformats.org/officeDocument/2006/relationships/hyperlink" Target="https://www.kapre.com/" TargetMode="External"/><Relationship Id="rId7892" Type="http://schemas.openxmlformats.org/officeDocument/2006/relationships/hyperlink" Target="https://www.pinoyeplans.com/" TargetMode="External"/><Relationship Id="rId8943" Type="http://schemas.openxmlformats.org/officeDocument/2006/relationships/hyperlink" Target="https://www.pinoyeplans.com/" TargetMode="External"/><Relationship Id="rId10873" Type="http://schemas.openxmlformats.org/officeDocument/2006/relationships/hyperlink" Target="https://www.teachengineering.org/" TargetMode="External"/><Relationship Id="rId6494" Type="http://schemas.openxmlformats.org/officeDocument/2006/relationships/hyperlink" Target="https://www.elledecor.com/design-decorate/room-ideas/a3985/creating-a-home-spa-a-62409/" TargetMode="External"/><Relationship Id="rId7545" Type="http://schemas.openxmlformats.org/officeDocument/2006/relationships/hyperlink" Target="https://datacentremagazine.com/company/taylor-morrison" TargetMode="External"/><Relationship Id="rId10526" Type="http://schemas.openxmlformats.org/officeDocument/2006/relationships/hyperlink" Target="https://www.southjerseygas.com/conserve/back-to-school-lessons-in-energy-conservation" TargetMode="External"/><Relationship Id="rId11924" Type="http://schemas.openxmlformats.org/officeDocument/2006/relationships/hyperlink" Target="https://homes.rewiringamerica.org/articles/induction/induction-stoves-vs-electric-stoves" TargetMode="External"/><Relationship Id="rId16088" Type="http://schemas.openxmlformats.org/officeDocument/2006/relationships/hyperlink" Target="https://www.rwdoors.com/" TargetMode="External"/><Relationship Id="rId5096" Type="http://schemas.openxmlformats.org/officeDocument/2006/relationships/hyperlink" Target="https://www.simpleshowing.com/" TargetMode="External"/><Relationship Id="rId6147" Type="http://schemas.openxmlformats.org/officeDocument/2006/relationships/hyperlink" Target="https://citiesabc.com/practical-tips-for-getting-out-of-debt" TargetMode="External"/><Relationship Id="rId12698" Type="http://schemas.openxmlformats.org/officeDocument/2006/relationships/hyperlink" Target="https://www.shma.co.uk/" TargetMode="External"/><Relationship Id="rId13749" Type="http://schemas.openxmlformats.org/officeDocument/2006/relationships/hyperlink" Target="https://deanpbhp081.godaddysites.com/f/getting-my-what-is-the-enhanced-relief-program-for-mortgages-to-w" TargetMode="External"/><Relationship Id="rId15171" Type="http://schemas.openxmlformats.org/officeDocument/2006/relationships/hyperlink" Target="https://jdelite.decoratingden.com/coastal-living-room-ideas/" TargetMode="External"/><Relationship Id="rId729" Type="http://schemas.openxmlformats.org/officeDocument/2006/relationships/hyperlink" Target="https://www.carolinadesigns.com/" TargetMode="External"/><Relationship Id="rId1359" Type="http://schemas.openxmlformats.org/officeDocument/2006/relationships/hyperlink" Target="https://www.simpleshowing.com/" TargetMode="External"/><Relationship Id="rId2757" Type="http://schemas.openxmlformats.org/officeDocument/2006/relationships/hyperlink" Target="https://www.simpleshowing.com/" TargetMode="External"/><Relationship Id="rId3808" Type="http://schemas.openxmlformats.org/officeDocument/2006/relationships/hyperlink" Target="https://thecoverguy.com/" TargetMode="External"/><Relationship Id="rId5230" Type="http://schemas.openxmlformats.org/officeDocument/2006/relationships/hyperlink" Target="https://www.simpleshowing.com/" TargetMode="External"/><Relationship Id="rId16222" Type="http://schemas.openxmlformats.org/officeDocument/2006/relationships/hyperlink" Target="https://myinteriorpalace.com/" TargetMode="External"/><Relationship Id="rId9851" Type="http://schemas.openxmlformats.org/officeDocument/2006/relationships/hyperlink" Target="https://www.asd5.org/for-staff/helpful-web-links" TargetMode="External"/><Relationship Id="rId11781" Type="http://schemas.openxmlformats.org/officeDocument/2006/relationships/hyperlink" Target="https://www.hamiltoninternationalestates.com/" TargetMode="External"/><Relationship Id="rId12832" Type="http://schemas.openxmlformats.org/officeDocument/2006/relationships/hyperlink" Target="https://propertypressonline.co.uk/" TargetMode="External"/><Relationship Id="rId65" Type="http://schemas.openxmlformats.org/officeDocument/2006/relationships/hyperlink" Target="http://www.xomba.com/" TargetMode="External"/><Relationship Id="rId1840" Type="http://schemas.openxmlformats.org/officeDocument/2006/relationships/hyperlink" Target="https://wolfriverelectric.com/" TargetMode="External"/><Relationship Id="rId8453" Type="http://schemas.openxmlformats.org/officeDocument/2006/relationships/hyperlink" Target="https://www.pinoyeplans.com/" TargetMode="External"/><Relationship Id="rId9504" Type="http://schemas.openxmlformats.org/officeDocument/2006/relationships/hyperlink" Target="https://www.pinoyeplans.com/" TargetMode="External"/><Relationship Id="rId10383" Type="http://schemas.openxmlformats.org/officeDocument/2006/relationships/hyperlink" Target="https://www.pinoyeplans.com/" TargetMode="External"/><Relationship Id="rId11434" Type="http://schemas.openxmlformats.org/officeDocument/2006/relationships/hyperlink" Target="https://newsilver.com/the-lender/list-of-companies-who-buy-houses-for-cash/" TargetMode="External"/><Relationship Id="rId7055" Type="http://schemas.openxmlformats.org/officeDocument/2006/relationships/hyperlink" Target="https://www.taylormorrison.com/" TargetMode="External"/><Relationship Id="rId8106" Type="http://schemas.openxmlformats.org/officeDocument/2006/relationships/hyperlink" Target="https://whiteglovemoving.us/" TargetMode="External"/><Relationship Id="rId10036" Type="http://schemas.openxmlformats.org/officeDocument/2006/relationships/hyperlink" Target="https://www.teachengineering.org/" TargetMode="External"/><Relationship Id="rId14657" Type="http://schemas.openxmlformats.org/officeDocument/2006/relationships/hyperlink" Target="https://www.easygaragedoorrepair.com/" TargetMode="External"/><Relationship Id="rId3665" Type="http://schemas.openxmlformats.org/officeDocument/2006/relationships/hyperlink" Target="https://www.830weeu.com/high-school-football/" TargetMode="External"/><Relationship Id="rId4716" Type="http://schemas.openxmlformats.org/officeDocument/2006/relationships/hyperlink" Target="https://www.kplctv.com/2024/05/27/high-school-seniors-can-now-get-real-estate-license-free-this-state/" TargetMode="External"/><Relationship Id="rId13259" Type="http://schemas.openxmlformats.org/officeDocument/2006/relationships/hyperlink" Target="https://www.pureinvestor.co.uk/" TargetMode="External"/><Relationship Id="rId15708" Type="http://schemas.openxmlformats.org/officeDocument/2006/relationships/hyperlink" Target="https://amazingarchitecture.com/articles/architecture-guide-to-timber-cladding" TargetMode="External"/><Relationship Id="rId586" Type="http://schemas.openxmlformats.org/officeDocument/2006/relationships/hyperlink" Target="https://www.breakingtravelnews.com/news/article/how-to-choose-the-perfect-outer-banks-town-for-your-vacation-style/" TargetMode="External"/><Relationship Id="rId2267" Type="http://schemas.openxmlformats.org/officeDocument/2006/relationships/hyperlink" Target="https://northgeorgialiving.com/shopping-the-hospitality-highway-til-you-drop/" TargetMode="External"/><Relationship Id="rId3318" Type="http://schemas.openxmlformats.org/officeDocument/2006/relationships/hyperlink" Target="https://www.simpleshowing.com/" TargetMode="External"/><Relationship Id="rId6888" Type="http://schemas.openxmlformats.org/officeDocument/2006/relationships/hyperlink" Target="https://www.simpleshowing.com/" TargetMode="External"/><Relationship Id="rId239" Type="http://schemas.openxmlformats.org/officeDocument/2006/relationships/hyperlink" Target="http://decasacollections.com/" TargetMode="External"/><Relationship Id="rId7939" Type="http://schemas.openxmlformats.org/officeDocument/2006/relationships/hyperlink" Target="https://www.customerlobby.com/reviews/1379/certified-restoration-inc/review/912827/" TargetMode="External"/><Relationship Id="rId9361" Type="http://schemas.openxmlformats.org/officeDocument/2006/relationships/hyperlink" Target="https://www.teachengineering.org/" TargetMode="External"/><Relationship Id="rId13740" Type="http://schemas.openxmlformats.org/officeDocument/2006/relationships/hyperlink" Target="https://www.womensnetwork.com.au/tips-for-creating-a-perfect-home-office-for-mumpreneurs/" TargetMode="External"/><Relationship Id="rId9014" Type="http://schemas.openxmlformats.org/officeDocument/2006/relationships/hyperlink" Target="https://newsdipper.co.uk/understanding-market-trends-their-impact-on-construction-estimation" TargetMode="External"/><Relationship Id="rId11291" Type="http://schemas.openxmlformats.org/officeDocument/2006/relationships/hyperlink" Target="https://www.waterdamagespecialist.com.au/" TargetMode="External"/><Relationship Id="rId12342" Type="http://schemas.openxmlformats.org/officeDocument/2006/relationships/hyperlink" Target="https://propertypressonline.co.uk/" TargetMode="External"/><Relationship Id="rId720" Type="http://schemas.openxmlformats.org/officeDocument/2006/relationships/hyperlink" Target="https://www.carolinadesigns.com/" TargetMode="External"/><Relationship Id="rId1350" Type="http://schemas.openxmlformats.org/officeDocument/2006/relationships/hyperlink" Target="https://www.simpleshowing.com/" TargetMode="External"/><Relationship Id="rId2401" Type="http://schemas.openxmlformats.org/officeDocument/2006/relationships/hyperlink" Target="https://www.pulte.com/" TargetMode="External"/><Relationship Id="rId5971" Type="http://schemas.openxmlformats.org/officeDocument/2006/relationships/hyperlink" Target="https://thebossmagazine.com/understanding-debt-relief/" TargetMode="External"/><Relationship Id="rId15565" Type="http://schemas.openxmlformats.org/officeDocument/2006/relationships/hyperlink" Target="https://myinteriorpalace.com/" TargetMode="External"/><Relationship Id="rId1003" Type="http://schemas.openxmlformats.org/officeDocument/2006/relationships/hyperlink" Target="https://www.matrixbasements.com/" TargetMode="External"/><Relationship Id="rId4573" Type="http://schemas.openxmlformats.org/officeDocument/2006/relationships/hyperlink" Target="https://www.simpleshowing.com/" TargetMode="External"/><Relationship Id="rId5624" Type="http://schemas.openxmlformats.org/officeDocument/2006/relationships/hyperlink" Target="https://www.simpleshowing.com/" TargetMode="External"/><Relationship Id="rId14167" Type="http://schemas.openxmlformats.org/officeDocument/2006/relationships/hyperlink" Target="https://myinteriorpalace.com/" TargetMode="External"/><Relationship Id="rId15218" Type="http://schemas.openxmlformats.org/officeDocument/2006/relationships/hyperlink" Target="https://www.luxdeco.com/" TargetMode="External"/><Relationship Id="rId3175" Type="http://schemas.openxmlformats.org/officeDocument/2006/relationships/hyperlink" Target="https://www.pulte.com/" TargetMode="External"/><Relationship Id="rId4226" Type="http://schemas.openxmlformats.org/officeDocument/2006/relationships/hyperlink" Target="https://www.kapre.com/" TargetMode="External"/><Relationship Id="rId7796" Type="http://schemas.openxmlformats.org/officeDocument/2006/relationships/hyperlink" Target="https://www.simpleshowing.com/" TargetMode="External"/><Relationship Id="rId8847" Type="http://schemas.openxmlformats.org/officeDocument/2006/relationships/hyperlink" Target="https://www.pinoyeplans.com/" TargetMode="External"/><Relationship Id="rId6398" Type="http://schemas.openxmlformats.org/officeDocument/2006/relationships/hyperlink" Target="https://www.simpleshowing.com/" TargetMode="External"/><Relationship Id="rId7449" Type="http://schemas.openxmlformats.org/officeDocument/2006/relationships/hyperlink" Target="https://cyfairchamber.com/investor-listings/" TargetMode="External"/><Relationship Id="rId10777" Type="http://schemas.openxmlformats.org/officeDocument/2006/relationships/hyperlink" Target="https://www.teachengineering.org/" TargetMode="External"/><Relationship Id="rId11828" Type="http://schemas.openxmlformats.org/officeDocument/2006/relationships/hyperlink" Target="https://www.harrogate-news.co.uk/2024/10/07/things-to-consider-when-selling-your-house-in-harrogate/" TargetMode="External"/><Relationship Id="rId13250" Type="http://schemas.openxmlformats.org/officeDocument/2006/relationships/hyperlink" Target="https://www.pureinvestor.co.uk/" TargetMode="External"/><Relationship Id="rId14301" Type="http://schemas.openxmlformats.org/officeDocument/2006/relationships/hyperlink" Target="http://fbsp.ftu.edu.vn/?f=25866615" TargetMode="External"/><Relationship Id="rId230" Type="http://schemas.openxmlformats.org/officeDocument/2006/relationships/hyperlink" Target="http://moneywise.com/" TargetMode="External"/><Relationship Id="rId7930" Type="http://schemas.openxmlformats.org/officeDocument/2006/relationships/hyperlink" Target="https://momfuse.com/flood-damage-restoration/" TargetMode="External"/><Relationship Id="rId10911" Type="http://schemas.openxmlformats.org/officeDocument/2006/relationships/hyperlink" Target="https://www.pinoyeplans.com/" TargetMode="External"/><Relationship Id="rId4083" Type="http://schemas.openxmlformats.org/officeDocument/2006/relationships/hyperlink" Target="mailto:davidtullly@gmail.com" TargetMode="External"/><Relationship Id="rId5481" Type="http://schemas.openxmlformats.org/officeDocument/2006/relationships/hyperlink" Target="https://www.beckershospitalreview.com/finance/80-of-americans-say-delaying-care-led-them-to-incur-higher-medical-bills/" TargetMode="External"/><Relationship Id="rId6532" Type="http://schemas.openxmlformats.org/officeDocument/2006/relationships/hyperlink" Target="https://www.simpleshowing.com/" TargetMode="External"/><Relationship Id="rId15075" Type="http://schemas.openxmlformats.org/officeDocument/2006/relationships/hyperlink" Target="https://poshpennies.com/cheap-home-decor-with-no-money/" TargetMode="External"/><Relationship Id="rId16126" Type="http://schemas.openxmlformats.org/officeDocument/2006/relationships/hyperlink" Target="https://myinteriorpalace.com/" TargetMode="External"/><Relationship Id="rId5134" Type="http://schemas.openxmlformats.org/officeDocument/2006/relationships/hyperlink" Target="https://www.simpleshowing.com/" TargetMode="External"/><Relationship Id="rId9755" Type="http://schemas.openxmlformats.org/officeDocument/2006/relationships/hyperlink" Target="https://remc.org/21Things4Students/21/15-design-thinking/q1-what-is-design-thinking/" TargetMode="External"/><Relationship Id="rId11685" Type="http://schemas.openxmlformats.org/officeDocument/2006/relationships/hyperlink" Target="https://www.hamiltoninternationalestates.com/" TargetMode="External"/><Relationship Id="rId12736" Type="http://schemas.openxmlformats.org/officeDocument/2006/relationships/hyperlink" Target="https://propertypressonline.co.uk/" TargetMode="External"/><Relationship Id="rId1744" Type="http://schemas.openxmlformats.org/officeDocument/2006/relationships/hyperlink" Target="https://wolfriverelectric.com/" TargetMode="External"/><Relationship Id="rId8357" Type="http://schemas.openxmlformats.org/officeDocument/2006/relationships/hyperlink" Target="https://www.pinoyeplans.com/" TargetMode="External"/><Relationship Id="rId9408" Type="http://schemas.openxmlformats.org/officeDocument/2006/relationships/hyperlink" Target="https://www.pinoyeplans.com/" TargetMode="External"/><Relationship Id="rId10287" Type="http://schemas.openxmlformats.org/officeDocument/2006/relationships/hyperlink" Target="https://www.pinoyeplans.com/" TargetMode="External"/><Relationship Id="rId11338" Type="http://schemas.openxmlformats.org/officeDocument/2006/relationships/hyperlink" Target="https://www.hamiltoninternationalestates.com/" TargetMode="External"/><Relationship Id="rId4967" Type="http://schemas.openxmlformats.org/officeDocument/2006/relationships/hyperlink" Target="https://www.cloudpano.com/blog/exploring-the-best-virtual-tour-software-of-2025-your-ultimate-guide" TargetMode="External"/><Relationship Id="rId15959" Type="http://schemas.openxmlformats.org/officeDocument/2006/relationships/hyperlink" Target="https://www.rwdoors.com/" TargetMode="External"/><Relationship Id="rId3569" Type="http://schemas.openxmlformats.org/officeDocument/2006/relationships/hyperlink" Target="https://babcockranch.com/pulte-homes-announces-new-gated-neighborhood/" TargetMode="External"/><Relationship Id="rId7440" Type="http://schemas.openxmlformats.org/officeDocument/2006/relationships/hyperlink" Target="https://old.voa-ncnn.org/news_releases/taylor-morrison-partners-with-volunteers-of-america-and-homeaid-to-creat-veterans-housing" TargetMode="External"/><Relationship Id="rId6042" Type="http://schemas.openxmlformats.org/officeDocument/2006/relationships/hyperlink" Target="https://www.simpleshowing.com/" TargetMode="External"/><Relationship Id="rId10421" Type="http://schemas.openxmlformats.org/officeDocument/2006/relationships/hyperlink" Target="https://www.iowapublicradio.org/environment/2023-09-28/barges-are-very-efficient-does-that-make-them-a-good-climate-alternative-for-shipping" TargetMode="External"/><Relationship Id="rId13991" Type="http://schemas.openxmlformats.org/officeDocument/2006/relationships/hyperlink" Target="https://keystonecustomdecksny.com/" TargetMode="External"/><Relationship Id="rId12593" Type="http://schemas.openxmlformats.org/officeDocument/2006/relationships/hyperlink" Target="https://www.shma.co.uk/" TargetMode="External"/><Relationship Id="rId13644" Type="http://schemas.openxmlformats.org/officeDocument/2006/relationships/hyperlink" Target="https://jameswilson.livepositively.com/what-to-know-before-visiting-saudi-arabia-s-national-parks/" TargetMode="External"/><Relationship Id="rId971" Type="http://schemas.openxmlformats.org/officeDocument/2006/relationships/hyperlink" Target="https://justsimplymom.com/the-soft-reset-how-to-refresh-your-home-and-your-mind/" TargetMode="External"/><Relationship Id="rId2652" Type="http://schemas.openxmlformats.org/officeDocument/2006/relationships/hyperlink" Target="https://www.simpleshowing.com/" TargetMode="External"/><Relationship Id="rId3703" Type="http://schemas.openxmlformats.org/officeDocument/2006/relationships/hyperlink" Target="https://www.overheaddoors.com/" TargetMode="External"/><Relationship Id="rId9265" Type="http://schemas.openxmlformats.org/officeDocument/2006/relationships/hyperlink" Target="https://www.teachengineering.org/" TargetMode="External"/><Relationship Id="rId11195" Type="http://schemas.openxmlformats.org/officeDocument/2006/relationships/hyperlink" Target="https://www.pinoyeplans.com/" TargetMode="External"/><Relationship Id="rId12246" Type="http://schemas.openxmlformats.org/officeDocument/2006/relationships/hyperlink" Target="https://propertypressonline.co.uk/" TargetMode="External"/><Relationship Id="rId624" Type="http://schemas.openxmlformats.org/officeDocument/2006/relationships/hyperlink" Target="https://www.carolinadesigns.com/" TargetMode="External"/><Relationship Id="rId1254" Type="http://schemas.openxmlformats.org/officeDocument/2006/relationships/hyperlink" Target="https://www.simpleshowing.com/" TargetMode="External"/><Relationship Id="rId2305" Type="http://schemas.openxmlformats.org/officeDocument/2006/relationships/hyperlink" Target="https://www.collectionforsyth.com/" TargetMode="External"/><Relationship Id="rId5875" Type="http://schemas.openxmlformats.org/officeDocument/2006/relationships/hyperlink" Target="https://insiderpaper.com/developing-a-realistic-debt-payment-plan/" TargetMode="External"/><Relationship Id="rId6926" Type="http://schemas.openxmlformats.org/officeDocument/2006/relationships/hyperlink" Target="https://www.taylormorrison.com/" TargetMode="External"/><Relationship Id="rId15469" Type="http://schemas.openxmlformats.org/officeDocument/2006/relationships/hyperlink" Target="https://myinteriorpalace.com/" TargetMode="External"/><Relationship Id="rId4477" Type="http://schemas.openxmlformats.org/officeDocument/2006/relationships/hyperlink" Target="https://www.simpleshowing.com/" TargetMode="External"/><Relationship Id="rId5528" Type="http://schemas.openxmlformats.org/officeDocument/2006/relationships/hyperlink" Target="https://www.simpleshowing.com/" TargetMode="External"/><Relationship Id="rId3079" Type="http://schemas.openxmlformats.org/officeDocument/2006/relationships/hyperlink" Target="https://www.pulte.com/" TargetMode="External"/><Relationship Id="rId8001" Type="http://schemas.openxmlformats.org/officeDocument/2006/relationships/hyperlink" Target="https://indyroofandrestoration.com/" TargetMode="External"/><Relationship Id="rId15950" Type="http://schemas.openxmlformats.org/officeDocument/2006/relationships/hyperlink" Target="https://www.rwdoors.com/" TargetMode="External"/><Relationship Id="rId14552" Type="http://schemas.openxmlformats.org/officeDocument/2006/relationships/hyperlink" Target="https://www.easygaragedoorrepair.com/" TargetMode="External"/><Relationship Id="rId15603" Type="http://schemas.openxmlformats.org/officeDocument/2006/relationships/hyperlink" Target="https://www.thejewelleryeditor.com/jewellery/article/dottling-launches-a-virtually-indestructible-portable-safe-for-transporting-your-valuables/" TargetMode="External"/><Relationship Id="rId481" Type="http://schemas.openxmlformats.org/officeDocument/2006/relationships/hyperlink" Target="https://business.elizabethcitychamber.org/jobs/info/entry-level-vacation-home-inspectors-1247" TargetMode="External"/><Relationship Id="rId2162" Type="http://schemas.openxmlformats.org/officeDocument/2006/relationships/hyperlink" Target="https://www.geniusfirms.com/blog/streamlining-business-relocations-key-real-estate-considerations/" TargetMode="External"/><Relationship Id="rId3560" Type="http://schemas.openxmlformats.org/officeDocument/2006/relationships/hyperlink" Target="https://wetlands.msuextension.org/mie/met/internships-company-list.html" TargetMode="External"/><Relationship Id="rId4611" Type="http://schemas.openxmlformats.org/officeDocument/2006/relationships/hyperlink" Target="https://www.fox19.com/2024/05/27/high-school-seniors-can-now-get-real-estate-license-free-this-state/" TargetMode="External"/><Relationship Id="rId13154" Type="http://schemas.openxmlformats.org/officeDocument/2006/relationships/hyperlink" Target="https://www.shma.co.uk/" TargetMode="External"/><Relationship Id="rId14205" Type="http://schemas.openxmlformats.org/officeDocument/2006/relationships/hyperlink" Target="https://www.santamargheritawines.com/newsandevents" TargetMode="External"/><Relationship Id="rId134" Type="http://schemas.openxmlformats.org/officeDocument/2006/relationships/hyperlink" Target="https://www.albernivalleynews.com/" TargetMode="External"/><Relationship Id="rId3213" Type="http://schemas.openxmlformats.org/officeDocument/2006/relationships/hyperlink" Target="https://www.simpleshowing.com/" TargetMode="External"/><Relationship Id="rId6783" Type="http://schemas.openxmlformats.org/officeDocument/2006/relationships/hyperlink" Target="https://www.simpleshowing.com/" TargetMode="External"/><Relationship Id="rId7834" Type="http://schemas.openxmlformats.org/officeDocument/2006/relationships/hyperlink" Target="https://www.zookcabins.com/location/park-model-homes-in-georgia" TargetMode="External"/><Relationship Id="rId10815" Type="http://schemas.openxmlformats.org/officeDocument/2006/relationships/hyperlink" Target="https://www.pinoyeplans.com/" TargetMode="External"/><Relationship Id="rId5385" Type="http://schemas.openxmlformats.org/officeDocument/2006/relationships/hyperlink" Target="https://makersrow.com/blog/integrating-ai-into-manufacturing-processes/" TargetMode="External"/><Relationship Id="rId6436" Type="http://schemas.openxmlformats.org/officeDocument/2006/relationships/hyperlink" Target="https://www.simpleshowing.com/" TargetMode="External"/><Relationship Id="rId1995" Type="http://schemas.openxmlformats.org/officeDocument/2006/relationships/hyperlink" Target="https://www.simpleshowing.com/" TargetMode="External"/><Relationship Id="rId5038" Type="http://schemas.openxmlformats.org/officeDocument/2006/relationships/hyperlink" Target="https://www.simpleshowing.com/" TargetMode="External"/><Relationship Id="rId9659" Type="http://schemas.openxmlformats.org/officeDocument/2006/relationships/hyperlink" Target="https://bsky.app/profile/ncwit.org" TargetMode="External"/><Relationship Id="rId11589" Type="http://schemas.openxmlformats.org/officeDocument/2006/relationships/hyperlink" Target="https://www.hamiltoninternationalestates.com/" TargetMode="External"/><Relationship Id="rId12987" Type="http://schemas.openxmlformats.org/officeDocument/2006/relationships/hyperlink" Target="https://inventorybase.co.uk/blog/retail-landlords-threaten-tenants-with-legal-action-on-lack-of-rent-payments/" TargetMode="External"/><Relationship Id="rId15460" Type="http://schemas.openxmlformats.org/officeDocument/2006/relationships/hyperlink" Target="https://myinteriorpalace.com/" TargetMode="External"/><Relationship Id="rId1648" Type="http://schemas.openxmlformats.org/officeDocument/2006/relationships/hyperlink" Target="https://wolfriverelectric.com/" TargetMode="External"/><Relationship Id="rId14062" Type="http://schemas.openxmlformats.org/officeDocument/2006/relationships/hyperlink" Target="https://myinteriorpalace.com/" TargetMode="External"/><Relationship Id="rId15113" Type="http://schemas.openxmlformats.org/officeDocument/2006/relationships/hyperlink" Target="https://www.luxdeco.com/" TargetMode="External"/><Relationship Id="rId3070" Type="http://schemas.openxmlformats.org/officeDocument/2006/relationships/hyperlink" Target="https://www.pulte.com/" TargetMode="External"/><Relationship Id="rId4121" Type="http://schemas.openxmlformats.org/officeDocument/2006/relationships/hyperlink" Target="https://optimoroute.com/home-inspection-business/" TargetMode="External"/><Relationship Id="rId6293" Type="http://schemas.openxmlformats.org/officeDocument/2006/relationships/hyperlink" Target="https://www.getoutpass.com/blog/how-to-create-and-stick-to-a-budget-that-works-for-you" TargetMode="External"/><Relationship Id="rId7691" Type="http://schemas.openxmlformats.org/officeDocument/2006/relationships/hyperlink" Target="https://discoverlakelanier.com/" TargetMode="External"/><Relationship Id="rId8742" Type="http://schemas.openxmlformats.org/officeDocument/2006/relationships/hyperlink" Target="https://roof-troopers.com/" TargetMode="External"/><Relationship Id="rId10672" Type="http://schemas.openxmlformats.org/officeDocument/2006/relationships/hyperlink" Target="https://www.teachengineering.org/" TargetMode="External"/><Relationship Id="rId11723" Type="http://schemas.openxmlformats.org/officeDocument/2006/relationships/hyperlink" Target="https://www.insideselfstorage.com/self-storage-industry-news/sell-house-fast-releases-uk-self-storage-statistics" TargetMode="External"/><Relationship Id="rId7344" Type="http://schemas.openxmlformats.org/officeDocument/2006/relationships/hyperlink" Target="https://www.taylormorrison.com/" TargetMode="External"/><Relationship Id="rId10325" Type="http://schemas.openxmlformats.org/officeDocument/2006/relationships/hyperlink" Target="https://blog.education.nationalgeographic.org/2018/03/18/this-week-in-geographic-history-march-19-25/" TargetMode="External"/><Relationship Id="rId13895" Type="http://schemas.openxmlformats.org/officeDocument/2006/relationships/hyperlink" Target="https://embeltonflooring.com/" TargetMode="External"/><Relationship Id="rId14946" Type="http://schemas.openxmlformats.org/officeDocument/2006/relationships/hyperlink" Target="https://hometriangle.com/blogs/understanding-drain-trouble-when-to-call-a-professional/" TargetMode="External"/><Relationship Id="rId3954" Type="http://schemas.openxmlformats.org/officeDocument/2006/relationships/hyperlink" Target="https://www.simpleshowing.com/" TargetMode="External"/><Relationship Id="rId12497" Type="http://schemas.openxmlformats.org/officeDocument/2006/relationships/hyperlink" Target="https://www.edtechinnovationhub.com/news/49-of-uk-universities-lack-ai-usage-guidelines" TargetMode="External"/><Relationship Id="rId13548" Type="http://schemas.openxmlformats.org/officeDocument/2006/relationships/hyperlink" Target="https://intheplayroom.co.uk/creative-ideas-for-giving-your-home-a-summer-makeover/" TargetMode="External"/><Relationship Id="rId875" Type="http://schemas.openxmlformats.org/officeDocument/2006/relationships/hyperlink" Target="https://rentalrealestate.com/blog/pass-money-pit-investment-property-red-flags-cant-ignore/" TargetMode="External"/><Relationship Id="rId2556" Type="http://schemas.openxmlformats.org/officeDocument/2006/relationships/hyperlink" Target="https://www.simpleshowing.com/" TargetMode="External"/><Relationship Id="rId3607" Type="http://schemas.openxmlformats.org/officeDocument/2006/relationships/hyperlink" Target="https://www.pulte.com/" TargetMode="External"/><Relationship Id="rId9169" Type="http://schemas.openxmlformats.org/officeDocument/2006/relationships/hyperlink" Target="https://nycestimating.us/" TargetMode="External"/><Relationship Id="rId11099" Type="http://schemas.openxmlformats.org/officeDocument/2006/relationships/hyperlink" Target="https://listserv.oneonta.edu/scripts/wa.exe?A3=2206C&amp;L=ESPRIT&amp;E=quoted-printable&amp;P=11926155&amp;B=--0000000000000827cb05e192d19d&amp;T=text%2Fhtml;%20charset=UTF-8&amp;XSS=3&amp;header=1" TargetMode="External"/><Relationship Id="rId16021" Type="http://schemas.openxmlformats.org/officeDocument/2006/relationships/hyperlink" Target="https://myinteriorpalace.com/" TargetMode="External"/><Relationship Id="rId528" Type="http://schemas.openxmlformats.org/officeDocument/2006/relationships/hyperlink" Target="https://www.carolinadesigns.com/" TargetMode="External"/><Relationship Id="rId1158" Type="http://schemas.openxmlformats.org/officeDocument/2006/relationships/hyperlink" Target="https://www.simpleshowing.com/" TargetMode="External"/><Relationship Id="rId2209" Type="http://schemas.openxmlformats.org/officeDocument/2006/relationships/hyperlink" Target="https://markspain.com/" TargetMode="External"/><Relationship Id="rId5779" Type="http://schemas.openxmlformats.org/officeDocument/2006/relationships/hyperlink" Target="https://www.housecallpro.com/resources/how-to-improve-business-cash-flow/" TargetMode="External"/><Relationship Id="rId9650" Type="http://schemas.openxmlformats.org/officeDocument/2006/relationships/hyperlink" Target="https://nstem.org/2024/04/eco-empowerment-3-renewable-energy-activities-for-middle-schoolers/" TargetMode="External"/><Relationship Id="rId8252" Type="http://schemas.openxmlformats.org/officeDocument/2006/relationships/hyperlink" Target="https://www.pinoyeplans.com/" TargetMode="External"/><Relationship Id="rId9303" Type="http://schemas.openxmlformats.org/officeDocument/2006/relationships/hyperlink" Target="https://www.pinoyeplans.com/" TargetMode="External"/><Relationship Id="rId11580" Type="http://schemas.openxmlformats.org/officeDocument/2006/relationships/hyperlink" Target="https://www.hamiltoninternationalestates.com/" TargetMode="External"/><Relationship Id="rId12631" Type="http://schemas.openxmlformats.org/officeDocument/2006/relationships/hyperlink" Target="https://propertypressonline.co.uk/" TargetMode="External"/><Relationship Id="rId10182" Type="http://schemas.openxmlformats.org/officeDocument/2006/relationships/hyperlink" Target="https://www.pinoyeplans.com/" TargetMode="External"/><Relationship Id="rId11233" Type="http://schemas.openxmlformats.org/officeDocument/2006/relationships/hyperlink" Target="https://homeworlddesign.com/innovative-design-tips-for-preventing-home-water-damage/" TargetMode="External"/><Relationship Id="rId15854" Type="http://schemas.openxmlformats.org/officeDocument/2006/relationships/hyperlink" Target="https://www.modinex.com.au/" TargetMode="External"/><Relationship Id="rId4862" Type="http://schemas.openxmlformats.org/officeDocument/2006/relationships/hyperlink" Target="https://www.simpleshowing.com/" TargetMode="External"/><Relationship Id="rId5913" Type="http://schemas.openxmlformats.org/officeDocument/2006/relationships/hyperlink" Target="https://www.smartmoneymatch.com/en/Solutions-Pay-Off-Personal-Debt-Efficiently" TargetMode="External"/><Relationship Id="rId14456" Type="http://schemas.openxmlformats.org/officeDocument/2006/relationships/hyperlink" Target="https://raynordoor.com/" TargetMode="External"/><Relationship Id="rId15507" Type="http://schemas.openxmlformats.org/officeDocument/2006/relationships/hyperlink" Target="https://podgorze.babinski.pl/jv3yhbl/the-arts-club-london-membership" TargetMode="External"/><Relationship Id="rId3464" Type="http://schemas.openxmlformats.org/officeDocument/2006/relationships/hyperlink" Target="https://seekingalpha.com/pr/19985857-pultegroup-reports-fourth-quarter-2024-financial-results" TargetMode="External"/><Relationship Id="rId4515" Type="http://schemas.openxmlformats.org/officeDocument/2006/relationships/hyperlink" Target="https://www.wdtv.com/2024/05/27/high-school-seniors-can-now-get-real-estate-license-free-this-state/" TargetMode="External"/><Relationship Id="rId13058" Type="http://schemas.openxmlformats.org/officeDocument/2006/relationships/hyperlink" Target="https://www.shma.co.uk/" TargetMode="External"/><Relationship Id="rId14109" Type="http://schemas.openxmlformats.org/officeDocument/2006/relationships/hyperlink" Target="https://techepeak.com/things-to-keep-in-mind-when-planning-a-custom-outdoor-deck-for-your-property/" TargetMode="External"/><Relationship Id="rId385" Type="http://schemas.openxmlformats.org/officeDocument/2006/relationships/hyperlink" Target="https://www.nashvillerealestate.com/blog/what-to-know-about-debt-to-income-ratio.html" TargetMode="External"/><Relationship Id="rId2066" Type="http://schemas.openxmlformats.org/officeDocument/2006/relationships/hyperlink" Target="https://www.captainbobcat.com/why-downsizing-your-home-could-be-the-best-lifestyle-upgrade-yet/" TargetMode="External"/><Relationship Id="rId3117" Type="http://schemas.openxmlformats.org/officeDocument/2006/relationships/hyperlink" Target="https://www.simpleshowing.com/" TargetMode="External"/><Relationship Id="rId6687" Type="http://schemas.openxmlformats.org/officeDocument/2006/relationships/hyperlink" Target="https://www.asla.org/2014awards/593.html" TargetMode="External"/><Relationship Id="rId7738" Type="http://schemas.openxmlformats.org/officeDocument/2006/relationships/hyperlink" Target="https://discoverlakelanier.com/" TargetMode="External"/><Relationship Id="rId5289" Type="http://schemas.openxmlformats.org/officeDocument/2006/relationships/hyperlink" Target="https://www.meritline.com/why-emotions-and-money-dont-always-mix/" TargetMode="External"/><Relationship Id="rId9160" Type="http://schemas.openxmlformats.org/officeDocument/2006/relationships/hyperlink" Target="https://nycestimating.us/" TargetMode="External"/><Relationship Id="rId10719" Type="http://schemas.openxmlformats.org/officeDocument/2006/relationships/hyperlink" Target="https://www.pinoyeplans.com/" TargetMode="External"/><Relationship Id="rId11090" Type="http://schemas.openxmlformats.org/officeDocument/2006/relationships/hyperlink" Target="https://efcnetwork.org/for-educators/pump-it-water-engineering-design-activity/" TargetMode="External"/><Relationship Id="rId12141" Type="http://schemas.openxmlformats.org/officeDocument/2006/relationships/hyperlink" Target="https://www.hamiltoninternationalestates.com/" TargetMode="External"/><Relationship Id="rId2200" Type="http://schemas.openxmlformats.org/officeDocument/2006/relationships/hyperlink" Target="https://markspain.com/" TargetMode="External"/><Relationship Id="rId1899" Type="http://schemas.openxmlformats.org/officeDocument/2006/relationships/hyperlink" Target="https://www.simpleshowing.com/" TargetMode="External"/><Relationship Id="rId4372" Type="http://schemas.openxmlformats.org/officeDocument/2006/relationships/hyperlink" Target="https://www.simpleshowing.com/" TargetMode="External"/><Relationship Id="rId5770" Type="http://schemas.openxmlformats.org/officeDocument/2006/relationships/hyperlink" Target="https://www.simpleshowing.com/" TargetMode="External"/><Relationship Id="rId6821" Type="http://schemas.openxmlformats.org/officeDocument/2006/relationships/hyperlink" Target="https://verse.ai/blog/best-home-builder-websites-inspire-2024/" TargetMode="External"/><Relationship Id="rId15364" Type="http://schemas.openxmlformats.org/officeDocument/2006/relationships/hyperlink" Target="https://myinteriorpalace.com/" TargetMode="External"/><Relationship Id="rId4025" Type="http://schemas.openxmlformats.org/officeDocument/2006/relationships/hyperlink" Target="https://wpstudents.towson.edu/rwilso27/2024/06/30/the-impact-of-hvac-systems-on-indoor-air-quality-in-universities/" TargetMode="External"/><Relationship Id="rId5423" Type="http://schemas.openxmlformats.org/officeDocument/2006/relationships/hyperlink" Target="https://bombshellbybleu.com/p/6-essential-money-tips-for-recent-college-graduates/" TargetMode="External"/><Relationship Id="rId8993" Type="http://schemas.openxmlformats.org/officeDocument/2006/relationships/hyperlink" Target="https://greenrecord.co.uk/how-construction-estimating-firms-help-contractors-win-more-bids/" TargetMode="External"/><Relationship Id="rId11974" Type="http://schemas.openxmlformats.org/officeDocument/2006/relationships/hyperlink" Target="https://www.bobvila.com/" TargetMode="External"/><Relationship Id="rId15017" Type="http://schemas.openxmlformats.org/officeDocument/2006/relationships/hyperlink" Target="https://www.luxdeco.com/" TargetMode="External"/><Relationship Id="rId7595" Type="http://schemas.openxmlformats.org/officeDocument/2006/relationships/hyperlink" Target="https://www.taylormorrison.com/" TargetMode="External"/><Relationship Id="rId8646" Type="http://schemas.openxmlformats.org/officeDocument/2006/relationships/hyperlink" Target="https://perlelectrical.co.nz/" TargetMode="External"/><Relationship Id="rId10576" Type="http://schemas.openxmlformats.org/officeDocument/2006/relationships/hyperlink" Target="https://www.teachengineering.org/" TargetMode="External"/><Relationship Id="rId11627" Type="http://schemas.openxmlformats.org/officeDocument/2006/relationships/hyperlink" Target="https://www.ft.com/content/0ae64e5a-ba98-11e9-8a88-aa6628ac896c" TargetMode="External"/><Relationship Id="rId6197" Type="http://schemas.openxmlformats.org/officeDocument/2006/relationships/hyperlink" Target="https://thecoachspace.com/blog/how-to-improve-your-personal-finance/" TargetMode="External"/><Relationship Id="rId7248" Type="http://schemas.openxmlformats.org/officeDocument/2006/relationships/hyperlink" Target="https://www.taylormorrison.com/" TargetMode="External"/><Relationship Id="rId10229" Type="http://schemas.openxmlformats.org/officeDocument/2006/relationships/hyperlink" Target="https://blog.hope-education.co.uk/outdoor-science-ideas/" TargetMode="External"/><Relationship Id="rId13799" Type="http://schemas.openxmlformats.org/officeDocument/2006/relationships/hyperlink" Target="https://anationofmoms.com/" TargetMode="External"/><Relationship Id="rId14100" Type="http://schemas.openxmlformats.org/officeDocument/2006/relationships/hyperlink" Target="https://urbanmatter.com/adding-a-fireplace-to-your-backyard/" TargetMode="External"/><Relationship Id="rId3858" Type="http://schemas.openxmlformats.org/officeDocument/2006/relationships/hyperlink" Target="https://www.simpleshowing.com/" TargetMode="External"/><Relationship Id="rId4909" Type="http://schemas.openxmlformats.org/officeDocument/2006/relationships/hyperlink" Target="https://www.jasminedirectory.com/blog/the-ultimate-checklist-for-hyperlocal-directory-optimization/" TargetMode="External"/><Relationship Id="rId16272" Type="http://schemas.openxmlformats.org/officeDocument/2006/relationships/comments" Target="../comments1.xml"/><Relationship Id="rId779" Type="http://schemas.openxmlformats.org/officeDocument/2006/relationships/hyperlink" Target="https://www.simpleshowing.com/" TargetMode="External"/><Relationship Id="rId5280" Type="http://schemas.openxmlformats.org/officeDocument/2006/relationships/hyperlink" Target="https://www.simpleshowing.com/" TargetMode="External"/><Relationship Id="rId6331" Type="http://schemas.openxmlformats.org/officeDocument/2006/relationships/hyperlink" Target="https://www.fwbusiness.com/news/national/article_e2b9cfa6-aca8-5d3e-a4c4-5382afeb6d77.html" TargetMode="External"/><Relationship Id="rId10710" Type="http://schemas.openxmlformats.org/officeDocument/2006/relationships/hyperlink" Target="https://www.pinoyeplans.com/" TargetMode="External"/><Relationship Id="rId12882" Type="http://schemas.openxmlformats.org/officeDocument/2006/relationships/hyperlink" Target="https://www.inven.ai/company-lists/top-21-estate-law-companies" TargetMode="External"/><Relationship Id="rId13933" Type="http://schemas.openxmlformats.org/officeDocument/2006/relationships/hyperlink" Target="https://myinteriorpalace.com/" TargetMode="External"/><Relationship Id="rId1890" Type="http://schemas.openxmlformats.org/officeDocument/2006/relationships/hyperlink" Target="https://www.simpleshowing.com/" TargetMode="External"/><Relationship Id="rId2941" Type="http://schemas.openxmlformats.org/officeDocument/2006/relationships/hyperlink" Target="https://www.pulte.com/" TargetMode="External"/><Relationship Id="rId8156" Type="http://schemas.openxmlformats.org/officeDocument/2006/relationships/hyperlink" Target="https://www.pinoyeplans.com/" TargetMode="External"/><Relationship Id="rId9207" Type="http://schemas.openxmlformats.org/officeDocument/2006/relationships/hyperlink" Target="https://www.pinoyeplans.com/" TargetMode="External"/><Relationship Id="rId9554" Type="http://schemas.openxmlformats.org/officeDocument/2006/relationships/hyperlink" Target="https://www.mapcon.com/us-en/kids-guide-to-engineering" TargetMode="External"/><Relationship Id="rId11484" Type="http://schemas.openxmlformats.org/officeDocument/2006/relationships/hyperlink" Target="https://sellhousefast.uk/" TargetMode="External"/><Relationship Id="rId12535" Type="http://schemas.openxmlformats.org/officeDocument/2006/relationships/hyperlink" Target="https://propertypressonline.co.uk/" TargetMode="External"/><Relationship Id="rId913" Type="http://schemas.openxmlformats.org/officeDocument/2006/relationships/hyperlink" Target="https://www.matrixbasements.com/" TargetMode="External"/><Relationship Id="rId1543" Type="http://schemas.openxmlformats.org/officeDocument/2006/relationships/hyperlink" Target="https://wolfriverelectric.com/" TargetMode="External"/><Relationship Id="rId10086" Type="http://schemas.openxmlformats.org/officeDocument/2006/relationships/hyperlink" Target="https://www.pinoyeplans.com/" TargetMode="External"/><Relationship Id="rId11137" Type="http://schemas.openxmlformats.org/officeDocument/2006/relationships/hyperlink" Target="https://londonincmagazine.ca/2025/11/22/basement-seepage-nightmares/" TargetMode="External"/><Relationship Id="rId15758" Type="http://schemas.openxmlformats.org/officeDocument/2006/relationships/hyperlink" Target="https://www.modinex.com.au/" TargetMode="External"/><Relationship Id="rId4766" Type="http://schemas.openxmlformats.org/officeDocument/2006/relationships/hyperlink" Target="https://www.kapre.com/" TargetMode="External"/><Relationship Id="rId5817" Type="http://schemas.openxmlformats.org/officeDocument/2006/relationships/hyperlink" Target="https://filtergrade.com/whats-actually-working-in-digital-marketing-right-now-summer-2025/" TargetMode="External"/><Relationship Id="rId3368" Type="http://schemas.openxmlformats.org/officeDocument/2006/relationships/hyperlink" Target="https://ww.irionlumber.com/all-businesses?page=73" TargetMode="External"/><Relationship Id="rId4419" Type="http://schemas.openxmlformats.org/officeDocument/2006/relationships/hyperlink" Target="https://realestateskills.mykajabi.com/blog/home-staging" TargetMode="External"/><Relationship Id="rId7989" Type="http://schemas.openxmlformats.org/officeDocument/2006/relationships/hyperlink" Target="https://distinctiveroofing.net/" TargetMode="External"/><Relationship Id="rId10220" Type="http://schemas.openxmlformats.org/officeDocument/2006/relationships/hyperlink" Target="https://www.montclair.edu/prism/teacher-resources/" TargetMode="External"/><Relationship Id="rId289" Type="http://schemas.openxmlformats.org/officeDocument/2006/relationships/hyperlink" Target="https://www.momwithfive.com/2025/08/19/family-home-selling-buying/" TargetMode="External"/><Relationship Id="rId12392" Type="http://schemas.openxmlformats.org/officeDocument/2006/relationships/hyperlink" Target="https://www.purplefrogproperty.com/landlords/" TargetMode="External"/><Relationship Id="rId13790" Type="http://schemas.openxmlformats.org/officeDocument/2006/relationships/hyperlink" Target="https://anationofmoms.com/" TargetMode="External"/><Relationship Id="rId14841" Type="http://schemas.openxmlformats.org/officeDocument/2006/relationships/hyperlink" Target="https://grokipedia.com/page/Newcastle,_New_South_Wales" TargetMode="External"/><Relationship Id="rId770" Type="http://schemas.openxmlformats.org/officeDocument/2006/relationships/hyperlink" Target="https://www.simpleshowing.com/" TargetMode="External"/><Relationship Id="rId2451" Type="http://schemas.openxmlformats.org/officeDocument/2006/relationships/hyperlink" Target="https://www.simpleshowing.com/" TargetMode="External"/><Relationship Id="rId4900" Type="http://schemas.openxmlformats.org/officeDocument/2006/relationships/hyperlink" Target="https://www.simpleshowing.com/" TargetMode="External"/><Relationship Id="rId9064" Type="http://schemas.openxmlformats.org/officeDocument/2006/relationships/hyperlink" Target="https://nycestimating.us/" TargetMode="External"/><Relationship Id="rId12045" Type="http://schemas.openxmlformats.org/officeDocument/2006/relationships/hyperlink" Target="https://www.hamiltoninternationalestates.com/" TargetMode="External"/><Relationship Id="rId13443" Type="http://schemas.openxmlformats.org/officeDocument/2006/relationships/hyperlink" Target="https://sushiandgelato.com/surprising-things-japan/" TargetMode="External"/><Relationship Id="rId423" Type="http://schemas.openxmlformats.org/officeDocument/2006/relationships/hyperlink" Target="https://www.carolinadesigns.com/" TargetMode="External"/><Relationship Id="rId1053" Type="http://schemas.openxmlformats.org/officeDocument/2006/relationships/hyperlink" Target="https://www.simpleshowing.com/" TargetMode="External"/><Relationship Id="rId2104" Type="http://schemas.openxmlformats.org/officeDocument/2006/relationships/hyperlink" Target="https://markspain.com/" TargetMode="External"/><Relationship Id="rId3502" Type="http://schemas.openxmlformats.org/officeDocument/2006/relationships/hyperlink" Target="https://www.pulte.com/" TargetMode="External"/><Relationship Id="rId5674" Type="http://schemas.openxmlformats.org/officeDocument/2006/relationships/hyperlink" Target="https://www.simpleshowing.com/" TargetMode="External"/><Relationship Id="rId6725" Type="http://schemas.openxmlformats.org/officeDocument/2006/relationships/hyperlink" Target="http://fbsp.ftu.edu.vn/?f=237578615" TargetMode="External"/><Relationship Id="rId15268" Type="http://schemas.openxmlformats.org/officeDocument/2006/relationships/hyperlink" Target="https://myinteriorpalace.com/" TargetMode="External"/><Relationship Id="rId4276" Type="http://schemas.openxmlformats.org/officeDocument/2006/relationships/hyperlink" Target="https://www.simpleshowing.com/" TargetMode="External"/><Relationship Id="rId5327" Type="http://schemas.openxmlformats.org/officeDocument/2006/relationships/hyperlink" Target="https://tulsaworld.com/shopping/article_a896ccd8-d9ed-5503-9907-eef38bfa5326.html" TargetMode="External"/><Relationship Id="rId8897" Type="http://schemas.openxmlformats.org/officeDocument/2006/relationships/hyperlink" Target="https://goodmooddotcom.com/the-benefits-of-hiring-certified-pest-control-experts/" TargetMode="External"/><Relationship Id="rId9948" Type="http://schemas.openxmlformats.org/officeDocument/2006/relationships/hyperlink" Target="https://www.pinoyeplans.com/" TargetMode="External"/><Relationship Id="rId11878" Type="http://schemas.openxmlformats.org/officeDocument/2006/relationships/hyperlink" Target="https://www.buymortgage.com/" TargetMode="External"/><Relationship Id="rId1937" Type="http://schemas.openxmlformats.org/officeDocument/2006/relationships/hyperlink" Target="https://thegrowgarden.com/outdoor-hacks-for-home-sellers/" TargetMode="External"/><Relationship Id="rId7499" Type="http://schemas.openxmlformats.org/officeDocument/2006/relationships/hyperlink" Target="https://www.taylormorrison.com/" TargetMode="External"/><Relationship Id="rId12929" Type="http://schemas.openxmlformats.org/officeDocument/2006/relationships/hyperlink" Target="https://www.shma.co.uk/" TargetMode="External"/><Relationship Id="rId14351" Type="http://schemas.openxmlformats.org/officeDocument/2006/relationships/hyperlink" Target="https://luxurylifestyle.com/" TargetMode="External"/><Relationship Id="rId15402" Type="http://schemas.openxmlformats.org/officeDocument/2006/relationships/hyperlink" Target="https://www-ft-com.ezproxy.brunel.ac.uk/content/714a2d24-4e82-46de-88b7-c1b708fb80f4" TargetMode="External"/><Relationship Id="rId4410" Type="http://schemas.openxmlformats.org/officeDocument/2006/relationships/hyperlink" Target="https://www.13abc.com/2024/05/27/high-school-seniors-can-now-get-real-estate-license-free-this-state/" TargetMode="External"/><Relationship Id="rId14004" Type="http://schemas.openxmlformats.org/officeDocument/2006/relationships/hyperlink" Target="https://timelapsemagazine.com/designing-an-outdoor-deck-that-elevates-your-yard-into-a-vacation-style-space/" TargetMode="External"/><Relationship Id="rId280" Type="http://schemas.openxmlformats.org/officeDocument/2006/relationships/hyperlink" Target="https://addicted2success.com/success-advice/how-to-create-wealth-investing-in-real-estate/" TargetMode="External"/><Relationship Id="rId3012" Type="http://schemas.openxmlformats.org/officeDocument/2006/relationships/hyperlink" Target="https://www.simpleshowing.com/" TargetMode="External"/><Relationship Id="rId6582" Type="http://schemas.openxmlformats.org/officeDocument/2006/relationships/hyperlink" Target="https://www.thermasol.com/" TargetMode="External"/><Relationship Id="rId7980" Type="http://schemas.openxmlformats.org/officeDocument/2006/relationships/hyperlink" Target="https://distinctiveroofing.net/" TargetMode="External"/><Relationship Id="rId10961" Type="http://schemas.openxmlformats.org/officeDocument/2006/relationships/hyperlink" Target="https://www.theepochtimes.com/world/faster-and-less-energy-consuming-devices-in-sight-as-scientists-form-interlayer-quasiparticle-pairs-4808893" TargetMode="External"/><Relationship Id="rId16176" Type="http://schemas.openxmlformats.org/officeDocument/2006/relationships/hyperlink" Target="https://www.jacksonwoodturners.co.uk/blog/post/expert-styling-advice-on-the-nations-favoured-stair-flooring" TargetMode="External"/><Relationship Id="rId5184" Type="http://schemas.openxmlformats.org/officeDocument/2006/relationships/hyperlink" Target="https://www.simpleshowing.com/" TargetMode="External"/><Relationship Id="rId6235" Type="http://schemas.openxmlformats.org/officeDocument/2006/relationships/hyperlink" Target="https://cnycentral.com/news/local/debt-settlement-company-to-refund-defrauded-customers-under-settlement" TargetMode="External"/><Relationship Id="rId7633" Type="http://schemas.openxmlformats.org/officeDocument/2006/relationships/hyperlink" Target="https://www.simpleshowing.com/" TargetMode="External"/><Relationship Id="rId10614" Type="http://schemas.openxmlformats.org/officeDocument/2006/relationships/hyperlink" Target="https://www.pinoyeplans.com/" TargetMode="External"/><Relationship Id="rId12786" Type="http://schemas.openxmlformats.org/officeDocument/2006/relationships/hyperlink" Target="https://www.extracare.org.uk/news/moving-on-white-paper-is-retirement-living-the-answer-to-the-housing-crisis/" TargetMode="External"/><Relationship Id="rId13837" Type="http://schemas.openxmlformats.org/officeDocument/2006/relationships/hyperlink" Target="https://myinteriorpalace.com/" TargetMode="External"/><Relationship Id="rId1794" Type="http://schemas.openxmlformats.org/officeDocument/2006/relationships/hyperlink" Target="https://www.simpleshowing.com/" TargetMode="External"/><Relationship Id="rId2845" Type="http://schemas.openxmlformats.org/officeDocument/2006/relationships/hyperlink" Target="https://www.pulte.com/" TargetMode="External"/><Relationship Id="rId9458" Type="http://schemas.openxmlformats.org/officeDocument/2006/relationships/hyperlink" Target="https://www.explorelearning.com/resources/insights/introduce-engineering" TargetMode="External"/><Relationship Id="rId11388" Type="http://schemas.openxmlformats.org/officeDocument/2006/relationships/hyperlink" Target="http://webuyhouses.com/" TargetMode="External"/><Relationship Id="rId12439" Type="http://schemas.openxmlformats.org/officeDocument/2006/relationships/hyperlink" Target="https://sturents.com/" TargetMode="External"/><Relationship Id="rId817" Type="http://schemas.openxmlformats.org/officeDocument/2006/relationships/hyperlink" Target="https://www.jackcooper.com/long-term-storage-solutions-a-guide-for-your-belongings/" TargetMode="External"/><Relationship Id="rId1447" Type="http://schemas.openxmlformats.org/officeDocument/2006/relationships/hyperlink" Target="https://ritewindow.com/blog/3-indicators-its-time-to-upgrade-your-shower-or-bath/" TargetMode="External"/><Relationship Id="rId7490" Type="http://schemas.openxmlformats.org/officeDocument/2006/relationships/hyperlink" Target="https://www.taylormorrison.com/" TargetMode="External"/><Relationship Id="rId8541" Type="http://schemas.openxmlformats.org/officeDocument/2006/relationships/hyperlink" Target="https://www.cylind.com/" TargetMode="External"/><Relationship Id="rId12920" Type="http://schemas.openxmlformats.org/officeDocument/2006/relationships/hyperlink" Target="https://www.shma.co.uk/" TargetMode="External"/><Relationship Id="rId6092" Type="http://schemas.openxmlformats.org/officeDocument/2006/relationships/hyperlink" Target="https://www.simpleshowing.com/" TargetMode="External"/><Relationship Id="rId7143" Type="http://schemas.openxmlformats.org/officeDocument/2006/relationships/hyperlink" Target="https://www.houzeo.com/homes/2667-fernleaf-st-auburndale-fl-33823/hzid_828a2912" TargetMode="External"/><Relationship Id="rId10124" Type="http://schemas.openxmlformats.org/officeDocument/2006/relationships/hyperlink" Target="https://langleypl.okpls.org/digital-resources" TargetMode="External"/><Relationship Id="rId10471" Type="http://schemas.openxmlformats.org/officeDocument/2006/relationships/hyperlink" Target="https://www.teachengineering.org/" TargetMode="External"/><Relationship Id="rId11522" Type="http://schemas.openxmlformats.org/officeDocument/2006/relationships/hyperlink" Target="https://www.hamiltoninternationalestates.com/" TargetMode="External"/><Relationship Id="rId13694" Type="http://schemas.openxmlformats.org/officeDocument/2006/relationships/hyperlink" Target="https://anationofmoms.com/" TargetMode="External"/><Relationship Id="rId14745" Type="http://schemas.openxmlformats.org/officeDocument/2006/relationships/hyperlink" Target="https://flyarchitecture.net/2024/12/27/most-common-garage-door-issues-and-their-repair-costs-in-houston/" TargetMode="External"/><Relationship Id="rId3753" Type="http://schemas.openxmlformats.org/officeDocument/2006/relationships/hyperlink" Target="https://www.simpleshowing.com/" TargetMode="External"/><Relationship Id="rId4804" Type="http://schemas.openxmlformats.org/officeDocument/2006/relationships/hyperlink" Target="https://www.simpleshowing.com/" TargetMode="External"/><Relationship Id="rId12296" Type="http://schemas.openxmlformats.org/officeDocument/2006/relationships/hyperlink" Target="https://www.vatupdate.com/2022/06/01/tax-guides/" TargetMode="External"/><Relationship Id="rId13347" Type="http://schemas.openxmlformats.org/officeDocument/2006/relationships/hyperlink" Target="https://www.gilmedia.com/portfolio/e-commerce,websites/alda-windows-and-doors/" TargetMode="External"/><Relationship Id="rId674" Type="http://schemas.openxmlformats.org/officeDocument/2006/relationships/hyperlink" Target="https://www.simpleshowing.com/" TargetMode="External"/><Relationship Id="rId2355" Type="http://schemas.openxmlformats.org/officeDocument/2006/relationships/hyperlink" Target="https://www.simpleshowing.com/" TargetMode="External"/><Relationship Id="rId3406" Type="http://schemas.openxmlformats.org/officeDocument/2006/relationships/hyperlink" Target="https://www.pulte.com/" TargetMode="External"/><Relationship Id="rId6976" Type="http://schemas.openxmlformats.org/officeDocument/2006/relationships/hyperlink" Target="https://www.simpleshowing.com/" TargetMode="External"/><Relationship Id="rId327" Type="http://schemas.openxmlformats.org/officeDocument/2006/relationships/hyperlink" Target="http://northernvirginiahomepro.com/" TargetMode="External"/><Relationship Id="rId2008" Type="http://schemas.openxmlformats.org/officeDocument/2006/relationships/hyperlink" Target="https://markspain.com/" TargetMode="External"/><Relationship Id="rId5578" Type="http://schemas.openxmlformats.org/officeDocument/2006/relationships/hyperlink" Target="https://www.simpleshowing.com/" TargetMode="External"/><Relationship Id="rId6629" Type="http://schemas.openxmlformats.org/officeDocument/2006/relationships/hyperlink" Target="https://www.thermasol.com/" TargetMode="External"/><Relationship Id="rId12430" Type="http://schemas.openxmlformats.org/officeDocument/2006/relationships/hyperlink" Target="https://sturents.com/" TargetMode="External"/><Relationship Id="rId8051" Type="http://schemas.openxmlformats.org/officeDocument/2006/relationships/hyperlink" Target="https://indyroofandrestoration.com/" TargetMode="External"/><Relationship Id="rId9102" Type="http://schemas.openxmlformats.org/officeDocument/2006/relationships/hyperlink" Target="https://www.pinoyeplans.com/" TargetMode="External"/><Relationship Id="rId11032" Type="http://schemas.openxmlformats.org/officeDocument/2006/relationships/hyperlink" Target="https://www.teachengineering.org/" TargetMode="External"/><Relationship Id="rId4661" Type="http://schemas.openxmlformats.org/officeDocument/2006/relationships/hyperlink" Target="https://www.kapre.com/" TargetMode="External"/><Relationship Id="rId14255" Type="http://schemas.openxmlformats.org/officeDocument/2006/relationships/hyperlink" Target="https://luxurylifestyle.com/" TargetMode="External"/><Relationship Id="rId15653" Type="http://schemas.openxmlformats.org/officeDocument/2006/relationships/hyperlink" Target="https://www.luxdeco.com/" TargetMode="External"/><Relationship Id="rId3263" Type="http://schemas.openxmlformats.org/officeDocument/2006/relationships/hyperlink" Target="https://www.floridarealtymarketplace.com/listing/tb8328600-17203-luminous-avenue-venice-fl-34293/" TargetMode="External"/><Relationship Id="rId4314" Type="http://schemas.openxmlformats.org/officeDocument/2006/relationships/hyperlink" Target="https://ppar.com/educationresources/PRE-Licensing.aspx" TargetMode="External"/><Relationship Id="rId5712" Type="http://schemas.openxmlformats.org/officeDocument/2006/relationships/hyperlink" Target="https://www.simpleshowing.com/" TargetMode="External"/><Relationship Id="rId15306" Type="http://schemas.openxmlformats.org/officeDocument/2006/relationships/hyperlink" Target="https://www.camella.com.ph/the-best-interior-design-trends-that-emerged-this-2021/" TargetMode="External"/><Relationship Id="rId184" Type="http://schemas.openxmlformats.org/officeDocument/2006/relationships/hyperlink" Target="https://www.teamlaguna.com/" TargetMode="External"/><Relationship Id="rId7884" Type="http://schemas.openxmlformats.org/officeDocument/2006/relationships/hyperlink" Target="https://trustroofing.com/" TargetMode="External"/><Relationship Id="rId8935" Type="http://schemas.openxmlformats.org/officeDocument/2006/relationships/hyperlink" Target="https://nycestimating.us/" TargetMode="External"/><Relationship Id="rId10865" Type="http://schemas.openxmlformats.org/officeDocument/2006/relationships/hyperlink" Target="http://fmri-materials-college.eng.usf.edu/links.html" TargetMode="External"/><Relationship Id="rId11916" Type="http://schemas.openxmlformats.org/officeDocument/2006/relationships/hyperlink" Target="https://www.hamiltoninternationalestates.com/" TargetMode="External"/><Relationship Id="rId5088" Type="http://schemas.openxmlformats.org/officeDocument/2006/relationships/hyperlink" Target="https://www.simpleshowing.com/" TargetMode="External"/><Relationship Id="rId6139" Type="http://schemas.openxmlformats.org/officeDocument/2006/relationships/hyperlink" Target="https://www.inkl.com/news/financial-pros-provide-a-beginner-s-guide-to-building-wealth-in-10-years" TargetMode="External"/><Relationship Id="rId6486" Type="http://schemas.openxmlformats.org/officeDocument/2006/relationships/hyperlink" Target="https://www.simpleshowing.com/" TargetMode="External"/><Relationship Id="rId7537" Type="http://schemas.openxmlformats.org/officeDocument/2006/relationships/hyperlink" Target="https://www.simpleshowing.com/" TargetMode="External"/><Relationship Id="rId10518" Type="http://schemas.openxmlformats.org/officeDocument/2006/relationships/hyperlink" Target="https://www.pinoyeplans.com/" TargetMode="External"/><Relationship Id="rId1698" Type="http://schemas.openxmlformats.org/officeDocument/2006/relationships/hyperlink" Target="https://www.simpleshowing.com/" TargetMode="External"/><Relationship Id="rId2749" Type="http://schemas.openxmlformats.org/officeDocument/2006/relationships/hyperlink" Target="https://www.pulte.com/" TargetMode="External"/><Relationship Id="rId6620" Type="http://schemas.openxmlformats.org/officeDocument/2006/relationships/hyperlink" Target="https://www.simpleshowing.com/" TargetMode="External"/><Relationship Id="rId15163" Type="http://schemas.openxmlformats.org/officeDocument/2006/relationships/hyperlink" Target="https://myinteriorpalace.com/" TargetMode="External"/><Relationship Id="rId16214" Type="http://schemas.openxmlformats.org/officeDocument/2006/relationships/hyperlink" Target="https://www.unitedcarpetsandbeds.com/" TargetMode="External"/><Relationship Id="rId4171" Type="http://schemas.openxmlformats.org/officeDocument/2006/relationships/hyperlink" Target="https://www.simpleshowing.com/" TargetMode="External"/><Relationship Id="rId5222" Type="http://schemas.openxmlformats.org/officeDocument/2006/relationships/hyperlink" Target="https://www.simpleshowing.com/" TargetMode="External"/><Relationship Id="rId8792" Type="http://schemas.openxmlformats.org/officeDocument/2006/relationships/hyperlink" Target="https://www.pinoyeplans.com/" TargetMode="External"/><Relationship Id="rId57" Type="http://schemas.openxmlformats.org/officeDocument/2006/relationships/hyperlink" Target="http://bigboxratio.com/" TargetMode="External"/><Relationship Id="rId7394" Type="http://schemas.openxmlformats.org/officeDocument/2006/relationships/hyperlink" Target="https://www.simpleshowing.com/" TargetMode="External"/><Relationship Id="rId8445" Type="http://schemas.openxmlformats.org/officeDocument/2006/relationships/hyperlink" Target="https://www.cylind.com/" TargetMode="External"/><Relationship Id="rId9843" Type="http://schemas.openxmlformats.org/officeDocument/2006/relationships/hyperlink" Target="https://www.pinoyeplans.com/" TargetMode="External"/><Relationship Id="rId11773" Type="http://schemas.openxmlformats.org/officeDocument/2006/relationships/hyperlink" Target="https://sellhousefast.uk/" TargetMode="External"/><Relationship Id="rId12824" Type="http://schemas.openxmlformats.org/officeDocument/2006/relationships/hyperlink" Target="https://www.shma.co.uk/" TargetMode="External"/><Relationship Id="rId1832" Type="http://schemas.openxmlformats.org/officeDocument/2006/relationships/hyperlink" Target="https://929thelake.com/ixp/180/p/louisiana-outage-risk-high/" TargetMode="External"/><Relationship Id="rId7047" Type="http://schemas.openxmlformats.org/officeDocument/2006/relationships/hyperlink" Target="https://business.plantcity.org/list/member/taylor-morrison-5308" TargetMode="External"/><Relationship Id="rId10375" Type="http://schemas.openxmlformats.org/officeDocument/2006/relationships/hyperlink" Target="https://www.teachengineering.org/" TargetMode="External"/><Relationship Id="rId11426" Type="http://schemas.openxmlformats.org/officeDocument/2006/relationships/hyperlink" Target="https://www.hamiltoninternationalestates.com/" TargetMode="External"/><Relationship Id="rId14996" Type="http://schemas.openxmlformats.org/officeDocument/2006/relationships/hyperlink" Target="https://www.luxdeco.com/" TargetMode="External"/><Relationship Id="rId10028" Type="http://schemas.openxmlformats.org/officeDocument/2006/relationships/hyperlink" Target="https://news.tempest.earth/stuck-at-home-heres-a-list-of-weather-resources-to-bookmark" TargetMode="External"/><Relationship Id="rId13598" Type="http://schemas.openxmlformats.org/officeDocument/2006/relationships/hyperlink" Target="https://anationofmoms.com/" TargetMode="External"/><Relationship Id="rId14649" Type="http://schemas.openxmlformats.org/officeDocument/2006/relationships/hyperlink" Target="https://1883magazine.com/houstons-5-top-garage-door-repair-companies-you-can-count-on/" TargetMode="External"/><Relationship Id="rId3657" Type="http://schemas.openxmlformats.org/officeDocument/2006/relationships/hyperlink" Target="https://www.simpleshowing.com/" TargetMode="External"/><Relationship Id="rId4708" Type="http://schemas.openxmlformats.org/officeDocument/2006/relationships/hyperlink" Target="https://www.simpleshowing.com/" TargetMode="External"/><Relationship Id="rId16071" Type="http://schemas.openxmlformats.org/officeDocument/2006/relationships/hyperlink" Target="https://up.codes/manufacturer/richards-wilcox-canada" TargetMode="External"/><Relationship Id="rId578" Type="http://schemas.openxmlformats.org/officeDocument/2006/relationships/hyperlink" Target="https://www.simpleshowing.com/" TargetMode="External"/><Relationship Id="rId2259" Type="http://schemas.openxmlformats.org/officeDocument/2006/relationships/hyperlink" Target="https://www.simpleshowing.com/" TargetMode="External"/><Relationship Id="rId6130" Type="http://schemas.openxmlformats.org/officeDocument/2006/relationships/hyperlink" Target="https://www.simpleshowing.com/" TargetMode="External"/><Relationship Id="rId12681" Type="http://schemas.openxmlformats.org/officeDocument/2006/relationships/hyperlink" Target="https://economicpolicygroup.com/india-week-2024/" TargetMode="External"/><Relationship Id="rId2740" Type="http://schemas.openxmlformats.org/officeDocument/2006/relationships/hyperlink" Target="https://www.pulte.com/" TargetMode="External"/><Relationship Id="rId9353" Type="http://schemas.openxmlformats.org/officeDocument/2006/relationships/hyperlink" Target="https://themuddypuddleteacher.co.uk/understanding-centimetres-and-metres-a-comprehensive-guide/" TargetMode="External"/><Relationship Id="rId11283" Type="http://schemas.openxmlformats.org/officeDocument/2006/relationships/hyperlink" Target="https://www.waterdamagespecialist.com.au/" TargetMode="External"/><Relationship Id="rId12334" Type="http://schemas.openxmlformats.org/officeDocument/2006/relationships/hyperlink" Target="https://sturents.com/" TargetMode="External"/><Relationship Id="rId13732" Type="http://schemas.openxmlformats.org/officeDocument/2006/relationships/hyperlink" Target="https://myinteriorpalace.com/" TargetMode="External"/><Relationship Id="rId712" Type="http://schemas.openxmlformats.org/officeDocument/2006/relationships/hyperlink" Target="http://virginiaplaces.org/military/uboat.html" TargetMode="External"/><Relationship Id="rId1342" Type="http://schemas.openxmlformats.org/officeDocument/2006/relationships/hyperlink" Target="https://darscover.com/" TargetMode="External"/><Relationship Id="rId9006" Type="http://schemas.openxmlformats.org/officeDocument/2006/relationships/hyperlink" Target="https://www.pinoyeplans.com/" TargetMode="External"/><Relationship Id="rId5963" Type="http://schemas.openxmlformats.org/officeDocument/2006/relationships/hyperlink" Target="https://journalstar.com/news/nation-world/business/" TargetMode="External"/><Relationship Id="rId15557" Type="http://schemas.openxmlformats.org/officeDocument/2006/relationships/hyperlink" Target="https://www.luxdeco.com/" TargetMode="External"/><Relationship Id="rId3167" Type="http://schemas.openxmlformats.org/officeDocument/2006/relationships/hyperlink" Target="https://slate.com/business/2005/11/how-to-insure-your-home-against-the-housing-bubble.html" TargetMode="External"/><Relationship Id="rId4565" Type="http://schemas.openxmlformats.org/officeDocument/2006/relationships/hyperlink" Target="https://www.kapre.com/" TargetMode="External"/><Relationship Id="rId5616" Type="http://schemas.openxmlformats.org/officeDocument/2006/relationships/hyperlink" Target="https://www.simpleshowing.com/" TargetMode="External"/><Relationship Id="rId14159" Type="http://schemas.openxmlformats.org/officeDocument/2006/relationships/hyperlink" Target="https://luxurylifestyle.com/" TargetMode="External"/><Relationship Id="rId4218" Type="http://schemas.openxmlformats.org/officeDocument/2006/relationships/hyperlink" Target="https://www.actionnews5.com/2024/05/21/tenn-high-school-seniors-get-free-real-estate-licenses/" TargetMode="External"/><Relationship Id="rId7788" Type="http://schemas.openxmlformats.org/officeDocument/2006/relationships/hyperlink" Target="https://discoverlakelanier.com/" TargetMode="External"/><Relationship Id="rId8839" Type="http://schemas.openxmlformats.org/officeDocument/2006/relationships/hyperlink" Target="https://www.trianglepest.com/" TargetMode="External"/><Relationship Id="rId10769" Type="http://schemas.openxmlformats.org/officeDocument/2006/relationships/hyperlink" Target="https://www.teq.com/4-activities-teqs-winter-solstice-series/" TargetMode="External"/><Relationship Id="rId14640" Type="http://schemas.openxmlformats.org/officeDocument/2006/relationships/hyperlink" Target="https://www.gloryofthesnow.com/garage-door-opener-repair-costs-a-breakdown-for-houston-homeowners/" TargetMode="External"/><Relationship Id="rId12191" Type="http://schemas.openxmlformats.org/officeDocument/2006/relationships/hyperlink" Target="https://allalohaplumbing.com/how-much-does-repiping-a-house-cost/" TargetMode="External"/><Relationship Id="rId13242" Type="http://schemas.openxmlformats.org/officeDocument/2006/relationships/hyperlink" Target="https://www.thebusinessdesk.com/northwest/your-news/opto-is-the-newest-exciting-development-to-be-launched-in-newcastle" TargetMode="External"/><Relationship Id="rId2250" Type="http://schemas.openxmlformats.org/officeDocument/2006/relationships/hyperlink" Target="https://www.simpleshowing.com/" TargetMode="External"/><Relationship Id="rId3301" Type="http://schemas.openxmlformats.org/officeDocument/2006/relationships/hyperlink" Target="https://www.pulte.com/" TargetMode="External"/><Relationship Id="rId6871" Type="http://schemas.openxmlformats.org/officeDocument/2006/relationships/hyperlink" Target="https://www.taylormorrison.com/" TargetMode="External"/><Relationship Id="rId222" Type="http://schemas.openxmlformats.org/officeDocument/2006/relationships/hyperlink" Target="http://northernvirginiahomepro.com/" TargetMode="External"/><Relationship Id="rId5473" Type="http://schemas.openxmlformats.org/officeDocument/2006/relationships/hyperlink" Target="https://www.classe365.com/blog/how-schools-can-compete-through-smarter-edtech-investment/" TargetMode="External"/><Relationship Id="rId6524" Type="http://schemas.openxmlformats.org/officeDocument/2006/relationships/hyperlink" Target="https://www.thermasol.com/" TargetMode="External"/><Relationship Id="rId7922" Type="http://schemas.openxmlformats.org/officeDocument/2006/relationships/hyperlink" Target="https://www.pinoyeplans.com/" TargetMode="External"/><Relationship Id="rId10903" Type="http://schemas.openxmlformats.org/officeDocument/2006/relationships/hyperlink" Target="https://www.teachengineering.org/" TargetMode="External"/><Relationship Id="rId15067" Type="http://schemas.openxmlformats.org/officeDocument/2006/relationships/hyperlink" Target="https://myinteriorpalace.com/" TargetMode="External"/><Relationship Id="rId16118" Type="http://schemas.openxmlformats.org/officeDocument/2006/relationships/hyperlink" Target="https://www.rwdoors.com/" TargetMode="External"/><Relationship Id="rId4075" Type="http://schemas.openxmlformats.org/officeDocument/2006/relationships/hyperlink" Target="https://www.kapre.com/" TargetMode="External"/><Relationship Id="rId5126" Type="http://schemas.openxmlformats.org/officeDocument/2006/relationships/hyperlink" Target="https://www.simpleshowing.com/" TargetMode="External"/><Relationship Id="rId7298" Type="http://schemas.openxmlformats.org/officeDocument/2006/relationships/hyperlink" Target="https://www.taylormorrison.com/" TargetMode="External"/><Relationship Id="rId8349" Type="http://schemas.openxmlformats.org/officeDocument/2006/relationships/hyperlink" Target="https://australiansecurecapital.com.au/" TargetMode="External"/><Relationship Id="rId8696" Type="http://schemas.openxmlformats.org/officeDocument/2006/relationships/hyperlink" Target="https://www.pinoyeplans.com/" TargetMode="External"/><Relationship Id="rId9747" Type="http://schemas.openxmlformats.org/officeDocument/2006/relationships/hyperlink" Target="https://www.pinoyeplans.com/" TargetMode="External"/><Relationship Id="rId11677" Type="http://schemas.openxmlformats.org/officeDocument/2006/relationships/hyperlink" Target="https://sellhousefast.uk/" TargetMode="External"/><Relationship Id="rId12728" Type="http://schemas.openxmlformats.org/officeDocument/2006/relationships/hyperlink" Target="https://www.shma.co.uk/" TargetMode="External"/><Relationship Id="rId1736" Type="http://schemas.openxmlformats.org/officeDocument/2006/relationships/hyperlink" Target="https://www.manchesterworld.uk/community/north-vs-south-data-reveals-ps300k-gets-you-more-home-space-in-manchester-5178596" TargetMode="External"/><Relationship Id="rId10279" Type="http://schemas.openxmlformats.org/officeDocument/2006/relationships/hyperlink" Target="https://www.teachengineering.org/" TargetMode="External"/><Relationship Id="rId14150" Type="http://schemas.openxmlformats.org/officeDocument/2006/relationships/hyperlink" Target="https://luxurylifestyle.com/" TargetMode="External"/><Relationship Id="rId15201" Type="http://schemas.openxmlformats.org/officeDocument/2006/relationships/hyperlink" Target="https://myinteriorpalace.com/how-high-to-hang-mirror-over-dresser/" TargetMode="External"/><Relationship Id="rId4959" Type="http://schemas.openxmlformats.org/officeDocument/2006/relationships/hyperlink" Target="https://www.redx.com/blog/how-to-get-more-real-estate-listings/" TargetMode="External"/><Relationship Id="rId8830" Type="http://schemas.openxmlformats.org/officeDocument/2006/relationships/hyperlink" Target="https://www.trianglepest.com/" TargetMode="External"/><Relationship Id="rId6381" Type="http://schemas.openxmlformats.org/officeDocument/2006/relationships/hyperlink" Target="https://www.yuvaleizikblog.com/general/the-smart-way-to-deal-with-credit-card-debt" TargetMode="External"/><Relationship Id="rId7432" Type="http://schemas.openxmlformats.org/officeDocument/2006/relationships/hyperlink" Target="https://www.simpleshowing.com/" TargetMode="External"/><Relationship Id="rId10413" Type="http://schemas.openxmlformats.org/officeDocument/2006/relationships/hyperlink" Target="https://www.pinoyeplans.com/" TargetMode="External"/><Relationship Id="rId10760" Type="http://schemas.openxmlformats.org/officeDocument/2006/relationships/hyperlink" Target="https://www.preventionweb.net/publication/survive-tsunami-testing-model-villages-big-waves" TargetMode="External"/><Relationship Id="rId11811" Type="http://schemas.openxmlformats.org/officeDocument/2006/relationships/hyperlink" Target="https://www.hamiltoninternationalestates.com/" TargetMode="External"/><Relationship Id="rId6034" Type="http://schemas.openxmlformats.org/officeDocument/2006/relationships/hyperlink" Target="https://www.simpleshowing.com/" TargetMode="External"/><Relationship Id="rId13983" Type="http://schemas.openxmlformats.org/officeDocument/2006/relationships/hyperlink" Target="https://www.fastbase.com/countryindex/United-States/S/Sheet-metal-contractor" TargetMode="External"/><Relationship Id="rId1593" Type="http://schemas.openxmlformats.org/officeDocument/2006/relationships/hyperlink" Target="https://www.simpleshowing.com/" TargetMode="External"/><Relationship Id="rId2991" Type="http://schemas.openxmlformats.org/officeDocument/2006/relationships/hyperlink" Target="https://www.simpleshowing.com/" TargetMode="External"/><Relationship Id="rId9257" Type="http://schemas.openxmlformats.org/officeDocument/2006/relationships/hyperlink" Target="https://www.floraly.com.au/blogs/news/lotus-flower-meanings" TargetMode="External"/><Relationship Id="rId11187" Type="http://schemas.openxmlformats.org/officeDocument/2006/relationships/hyperlink" Target="https://www.waterdamagespecialist.com.au/" TargetMode="External"/><Relationship Id="rId12585" Type="http://schemas.openxmlformats.org/officeDocument/2006/relationships/hyperlink" Target="https://debt-advisory-services.co.uk/shakespeare-martineau-debt-collection-agency/" TargetMode="External"/><Relationship Id="rId13636" Type="http://schemas.openxmlformats.org/officeDocument/2006/relationships/hyperlink" Target="https://myinteriorpalace.com/" TargetMode="External"/><Relationship Id="rId963" Type="http://schemas.openxmlformats.org/officeDocument/2006/relationships/hyperlink" Target="https://www.simpleshowing.com/" TargetMode="External"/><Relationship Id="rId1246" Type="http://schemas.openxmlformats.org/officeDocument/2006/relationships/hyperlink" Target="https://happy2movelondon.co.uk/r" TargetMode="External"/><Relationship Id="rId2644" Type="http://schemas.openxmlformats.org/officeDocument/2006/relationships/hyperlink" Target="https://www.pulte.com/" TargetMode="External"/><Relationship Id="rId12238" Type="http://schemas.openxmlformats.org/officeDocument/2006/relationships/hyperlink" Target="https://marrons.co.uk/" TargetMode="External"/><Relationship Id="rId616" Type="http://schemas.openxmlformats.org/officeDocument/2006/relationships/hyperlink" Target="https://www.visitnc.com/listing/YtwA/carolina-designs-realty" TargetMode="External"/><Relationship Id="rId5867" Type="http://schemas.openxmlformats.org/officeDocument/2006/relationships/hyperlink" Target="https://tdn.com/news/nation-world/business/personal-finance/article_337994b0-e843-5d89-a183-e9894eeded93.html" TargetMode="External"/><Relationship Id="rId6918" Type="http://schemas.openxmlformats.org/officeDocument/2006/relationships/hyperlink" Target="https://www.treehugger.com/house-not-designed-aging-gracefully-4866891" TargetMode="External"/><Relationship Id="rId4469" Type="http://schemas.openxmlformats.org/officeDocument/2006/relationships/hyperlink" Target="https://www.kapre.com/" TargetMode="External"/><Relationship Id="rId8340" Type="http://schemas.openxmlformats.org/officeDocument/2006/relationships/hyperlink" Target="https://australiansecurecapital.com.au/" TargetMode="External"/><Relationship Id="rId10270" Type="http://schemas.openxmlformats.org/officeDocument/2006/relationships/hyperlink" Target="https://www.teachengineering.org/" TargetMode="External"/><Relationship Id="rId11321" Type="http://schemas.openxmlformats.org/officeDocument/2006/relationships/hyperlink" Target="http://webuyhouses.com/" TargetMode="External"/><Relationship Id="rId14891" Type="http://schemas.openxmlformats.org/officeDocument/2006/relationships/hyperlink" Target="https://www.fluidplumbingservices.com.au/" TargetMode="External"/><Relationship Id="rId4950" Type="http://schemas.openxmlformats.org/officeDocument/2006/relationships/hyperlink" Target="https://www.simpleshowing.com/" TargetMode="External"/><Relationship Id="rId13493" Type="http://schemas.openxmlformats.org/officeDocument/2006/relationships/hyperlink" Target="https://anationofmoms.com/" TargetMode="External"/><Relationship Id="rId14544" Type="http://schemas.openxmlformats.org/officeDocument/2006/relationships/hyperlink" Target="https://pushyourdesign.com/how-should-you-prepare-your-garage-door-for-houstons-hurricane-season-essential-tips-for-storm-protection/" TargetMode="External"/><Relationship Id="rId15942" Type="http://schemas.openxmlformats.org/officeDocument/2006/relationships/hyperlink" Target="https://shineyourlightblog.com/garage-door-experts-can-save-you-money-time-and-stress/" TargetMode="External"/><Relationship Id="rId3552" Type="http://schemas.openxmlformats.org/officeDocument/2006/relationships/hyperlink" Target="https://www.simpleshowing.com/" TargetMode="External"/><Relationship Id="rId4603" Type="http://schemas.openxmlformats.org/officeDocument/2006/relationships/hyperlink" Target="https://www.simpleshowing.com/" TargetMode="External"/><Relationship Id="rId12095" Type="http://schemas.openxmlformats.org/officeDocument/2006/relationships/hyperlink" Target="https://www.perchenergy.com/blog/energy/residential-wind-turbines-at-home" TargetMode="External"/><Relationship Id="rId13146" Type="http://schemas.openxmlformats.org/officeDocument/2006/relationships/hyperlink" Target="https://www.londonworld.com/community/twice-as-many-london-homes-could-be-hit-by-inheritance-tax-freeze-5103362" TargetMode="External"/><Relationship Id="rId473" Type="http://schemas.openxmlformats.org/officeDocument/2006/relationships/hyperlink" Target="https://www.simpleshowing.com/" TargetMode="External"/><Relationship Id="rId2154" Type="http://schemas.openxmlformats.org/officeDocument/2006/relationships/hyperlink" Target="https://www.simpleshowing.com/" TargetMode="External"/><Relationship Id="rId3205" Type="http://schemas.openxmlformats.org/officeDocument/2006/relationships/hyperlink" Target="https://www.pulte.com/" TargetMode="External"/><Relationship Id="rId126" Type="http://schemas.openxmlformats.org/officeDocument/2006/relationships/hyperlink" Target="https://www.theprogress.com/" TargetMode="External"/><Relationship Id="rId5377" Type="http://schemas.openxmlformats.org/officeDocument/2006/relationships/hyperlink" Target="https://www.idstrong.com/sentinel/what-is-debt-relief/" TargetMode="External"/><Relationship Id="rId6428" Type="http://schemas.openxmlformats.org/officeDocument/2006/relationships/hyperlink" Target="https://www.thermasol.com/" TargetMode="External"/><Relationship Id="rId6775" Type="http://schemas.openxmlformats.org/officeDocument/2006/relationships/hyperlink" Target="https://theprovidencegroup.com/" TargetMode="External"/><Relationship Id="rId7826" Type="http://schemas.openxmlformats.org/officeDocument/2006/relationships/hyperlink" Target="https://www.simpleshowing.com/" TargetMode="External"/><Relationship Id="rId10807" Type="http://schemas.openxmlformats.org/officeDocument/2006/relationships/hyperlink" Target="https://www.teachengineering.org/" TargetMode="External"/><Relationship Id="rId9998" Type="http://schemas.openxmlformats.org/officeDocument/2006/relationships/hyperlink" Target="https://ctl.mesacc.edu/opportunities/undergraduate-research-projects/" TargetMode="External"/><Relationship Id="rId12979" Type="http://schemas.openxmlformats.org/officeDocument/2006/relationships/hyperlink" Target="https://propertypressonline.co.uk/" TargetMode="External"/><Relationship Id="rId1987" Type="http://schemas.openxmlformats.org/officeDocument/2006/relationships/hyperlink" Target="https://markspain.com/" TargetMode="External"/><Relationship Id="rId15452" Type="http://schemas.openxmlformats.org/officeDocument/2006/relationships/hyperlink" Target="https://www.luxdeco.com/" TargetMode="External"/><Relationship Id="rId4460" Type="http://schemas.openxmlformats.org/officeDocument/2006/relationships/hyperlink" Target="https://www.kapre.com/" TargetMode="External"/><Relationship Id="rId5511" Type="http://schemas.openxmlformats.org/officeDocument/2006/relationships/hyperlink" Target="https://joywallet.com/article/freedom-debt-relief-review/" TargetMode="External"/><Relationship Id="rId14054" Type="http://schemas.openxmlformats.org/officeDocument/2006/relationships/hyperlink" Target="https://keystonecustomdecksny.com/" TargetMode="External"/><Relationship Id="rId15105" Type="http://schemas.openxmlformats.org/officeDocument/2006/relationships/hyperlink" Target="https://milanostyle.com/turn-any-room-into-a-style-statement/" TargetMode="External"/><Relationship Id="rId3062" Type="http://schemas.openxmlformats.org/officeDocument/2006/relationships/hyperlink" Target="https://www.hersindex.com/dc-metro/" TargetMode="External"/><Relationship Id="rId4113" Type="http://schemas.openxmlformats.org/officeDocument/2006/relationships/hyperlink" Target="https://www.kapre.com/" TargetMode="External"/><Relationship Id="rId7683" Type="http://schemas.openxmlformats.org/officeDocument/2006/relationships/hyperlink" Target="https://llida.georgia.gov/contacts/lanier-islands-resort" TargetMode="External"/><Relationship Id="rId8734" Type="http://schemas.openxmlformats.org/officeDocument/2006/relationships/hyperlink" Target="https://myflashyhome.com/the-fairfax-homeowners-guide-to-weatherproofing-before-its-too-late/" TargetMode="External"/><Relationship Id="rId6285" Type="http://schemas.openxmlformats.org/officeDocument/2006/relationships/hyperlink" Target="https://lamag.com/contributor-content/smart-ways-to-achieve-credit-card-debt-relief-in-2025/" TargetMode="External"/><Relationship Id="rId7336" Type="http://schemas.openxmlformats.org/officeDocument/2006/relationships/hyperlink" Target="https://www.flexhouse.org/tips-choosing-best-residential-home-builder-new-home/" TargetMode="External"/><Relationship Id="rId10664" Type="http://schemas.openxmlformats.org/officeDocument/2006/relationships/hyperlink" Target="https://forum.tfes.org/index.php?topic=3283.20" TargetMode="External"/><Relationship Id="rId11715" Type="http://schemas.openxmlformats.org/officeDocument/2006/relationships/hyperlink" Target="https://www.hamiltoninternationalestates.com/" TargetMode="External"/><Relationship Id="rId10317" Type="http://schemas.openxmlformats.org/officeDocument/2006/relationships/hyperlink" Target="https://www.pinoyeplans.com/" TargetMode="External"/><Relationship Id="rId13887" Type="http://schemas.openxmlformats.org/officeDocument/2006/relationships/hyperlink" Target="https://www.homeone.com.au/vic/bentleigh_east/flooring" TargetMode="External"/><Relationship Id="rId14938" Type="http://schemas.openxmlformats.org/officeDocument/2006/relationships/hyperlink" Target="https://myinteriorpalace.com/" TargetMode="External"/><Relationship Id="rId2895" Type="http://schemas.openxmlformats.org/officeDocument/2006/relationships/hyperlink" Target="https://www.simpleshowing.com/" TargetMode="External"/><Relationship Id="rId3946" Type="http://schemas.openxmlformats.org/officeDocument/2006/relationships/hyperlink" Target="https://amjmetalroofing.com.au/" TargetMode="External"/><Relationship Id="rId12489" Type="http://schemas.openxmlformats.org/officeDocument/2006/relationships/hyperlink" Target="https://propertypressonline.co.uk/" TargetMode="External"/><Relationship Id="rId867" Type="http://schemas.openxmlformats.org/officeDocument/2006/relationships/hyperlink" Target="https://www.simpleshowing.com/" TargetMode="External"/><Relationship Id="rId1497" Type="http://schemas.openxmlformats.org/officeDocument/2006/relationships/hyperlink" Target="https://www.simpleshowing.com/" TargetMode="External"/><Relationship Id="rId2548" Type="http://schemas.openxmlformats.org/officeDocument/2006/relationships/hyperlink" Target="https://www.pulte.com/" TargetMode="External"/><Relationship Id="rId16013" Type="http://schemas.openxmlformats.org/officeDocument/2006/relationships/hyperlink" Target="https://www.rwdoors.com/" TargetMode="External"/><Relationship Id="rId5021" Type="http://schemas.openxmlformats.org/officeDocument/2006/relationships/hyperlink" Target="https://www.billdu.com/blog/business-finance-meaning/" TargetMode="External"/><Relationship Id="rId8591" Type="http://schemas.openxmlformats.org/officeDocument/2006/relationships/hyperlink" Target="https://www.pinoyeplans.com/" TargetMode="External"/><Relationship Id="rId9642" Type="http://schemas.openxmlformats.org/officeDocument/2006/relationships/hyperlink" Target="https://www.pinoyeplans.com/" TargetMode="External"/><Relationship Id="rId11572" Type="http://schemas.openxmlformats.org/officeDocument/2006/relationships/hyperlink" Target="https://sellhousefast.uk/" TargetMode="External"/><Relationship Id="rId12623" Type="http://schemas.openxmlformats.org/officeDocument/2006/relationships/hyperlink" Target="https://www.shma.co.uk/" TargetMode="External"/><Relationship Id="rId12970" Type="http://schemas.openxmlformats.org/officeDocument/2006/relationships/hyperlink" Target="https://propertypressonline.co.uk/" TargetMode="External"/><Relationship Id="rId1631" Type="http://schemas.openxmlformats.org/officeDocument/2006/relationships/hyperlink" Target="https://www.arcamax.com/homeandleisure/homearticles/s-3704667" TargetMode="External"/><Relationship Id="rId7193" Type="http://schemas.openxmlformats.org/officeDocument/2006/relationships/hyperlink" Target="https://www.abc15.com/news/local-news/extreme-makeover-home-edition-looking-for-volunteers-for-episode-in-the-east-valley" TargetMode="External"/><Relationship Id="rId8244" Type="http://schemas.openxmlformats.org/officeDocument/2006/relationships/hyperlink" Target="https://smaarchviz.com/" TargetMode="External"/><Relationship Id="rId10174" Type="http://schemas.openxmlformats.org/officeDocument/2006/relationships/hyperlink" Target="https://www.teachengineering.org/" TargetMode="External"/><Relationship Id="rId11225" Type="http://schemas.openxmlformats.org/officeDocument/2006/relationships/hyperlink" Target="https://www.waterdamagespecialist.com.au/" TargetMode="External"/><Relationship Id="rId13397" Type="http://schemas.openxmlformats.org/officeDocument/2006/relationships/hyperlink" Target="https://anationofmoms.com/" TargetMode="External"/><Relationship Id="rId14795" Type="http://schemas.openxmlformats.org/officeDocument/2006/relationships/hyperlink" Target="https://www.easygaragedoorrepair.com/" TargetMode="External"/><Relationship Id="rId15846" Type="http://schemas.openxmlformats.org/officeDocument/2006/relationships/hyperlink" Target="https://tasmaniantimber.com.au/podcast/nina-schubert/" TargetMode="External"/><Relationship Id="rId3456" Type="http://schemas.openxmlformats.org/officeDocument/2006/relationships/hyperlink" Target="https://www.simpleshowing.com/" TargetMode="External"/><Relationship Id="rId4854" Type="http://schemas.openxmlformats.org/officeDocument/2006/relationships/hyperlink" Target="https://www.simpleshowing.com/" TargetMode="External"/><Relationship Id="rId5905" Type="http://schemas.openxmlformats.org/officeDocument/2006/relationships/hyperlink" Target="https://ultahost.com/blog/mistakes-to-avoid-when-starting-your-own-business/" TargetMode="External"/><Relationship Id="rId14448" Type="http://schemas.openxmlformats.org/officeDocument/2006/relationships/hyperlink" Target="https://www.expertise.com/home-improvement/garage-doors/illinois/evanston" TargetMode="External"/><Relationship Id="rId377" Type="http://schemas.openxmlformats.org/officeDocument/2006/relationships/hyperlink" Target="https://www.bespoke-bride.com/2024/08/01/newlyweds-on-the-go-essential-tips-for-moving-to-a-new-city-after-your-wedding/" TargetMode="External"/><Relationship Id="rId2058" Type="http://schemas.openxmlformats.org/officeDocument/2006/relationships/hyperlink" Target="https://www.simpleshowing.com/" TargetMode="External"/><Relationship Id="rId3109" Type="http://schemas.openxmlformats.org/officeDocument/2006/relationships/hyperlink" Target="https://www.pulte.com/" TargetMode="External"/><Relationship Id="rId4507" Type="http://schemas.openxmlformats.org/officeDocument/2006/relationships/hyperlink" Target="https://www.simpleshowing.com/" TargetMode="External"/><Relationship Id="rId6679" Type="http://schemas.openxmlformats.org/officeDocument/2006/relationships/hyperlink" Target="https://www.simpleshowing.com/" TargetMode="External"/><Relationship Id="rId12480" Type="http://schemas.openxmlformats.org/officeDocument/2006/relationships/hyperlink" Target="https://propertypressonline.co.uk/" TargetMode="External"/><Relationship Id="rId13531" Type="http://schemas.openxmlformats.org/officeDocument/2006/relationships/hyperlink" Target="https://myinteriorpalace.com/" TargetMode="External"/><Relationship Id="rId9152" Type="http://schemas.openxmlformats.org/officeDocument/2006/relationships/hyperlink" Target="https://talksknow.com/transforming-construction-budgets-through-smart-quantity-analysis-systems/" TargetMode="External"/><Relationship Id="rId11082" Type="http://schemas.openxmlformats.org/officeDocument/2006/relationships/hyperlink" Target="https://www.pinoyeplans.com/" TargetMode="External"/><Relationship Id="rId12133" Type="http://schemas.openxmlformats.org/officeDocument/2006/relationships/hyperlink" Target="https://www.bobvila.com/" TargetMode="External"/><Relationship Id="rId511" Type="http://schemas.openxmlformats.org/officeDocument/2006/relationships/hyperlink" Target="https://daltxrealestate.com/corolla-nc-vacation-home-rental-tips/" TargetMode="External"/><Relationship Id="rId1141" Type="http://schemas.openxmlformats.org/officeDocument/2006/relationships/hyperlink" Target="https://www.matrixbasements.com/" TargetMode="External"/><Relationship Id="rId5762" Type="http://schemas.openxmlformats.org/officeDocument/2006/relationships/hyperlink" Target="https://www.simpleshowing.com/" TargetMode="External"/><Relationship Id="rId6813" Type="http://schemas.openxmlformats.org/officeDocument/2006/relationships/hyperlink" Target="https://www.simpleshowing.com/" TargetMode="External"/><Relationship Id="rId15356" Type="http://schemas.openxmlformats.org/officeDocument/2006/relationships/hyperlink" Target="https://www.luxdeco.com/" TargetMode="External"/><Relationship Id="rId4364" Type="http://schemas.openxmlformats.org/officeDocument/2006/relationships/hyperlink" Target="https://www.kapre.com/" TargetMode="External"/><Relationship Id="rId5415" Type="http://schemas.openxmlformats.org/officeDocument/2006/relationships/hyperlink" Target="https://www.nomadichustle.com/applying-delayed-gratification-to-your-finances/" TargetMode="External"/><Relationship Id="rId15009" Type="http://schemas.openxmlformats.org/officeDocument/2006/relationships/hyperlink" Target="https://www.elledecoration.co.uk/lifestyle-culture/g34727105/best-gift-subscriptions/" TargetMode="External"/><Relationship Id="rId4017" Type="http://schemas.openxmlformats.org/officeDocument/2006/relationships/hyperlink" Target="https://www.simpleshowing.com/" TargetMode="External"/><Relationship Id="rId7587" Type="http://schemas.openxmlformats.org/officeDocument/2006/relationships/hyperlink" Target="https://crej.com/news/https-crej-com-news-https-www-brookfieldresidential-com-new-homes-colorado-denver-littleton-sterling-ranch/" TargetMode="External"/><Relationship Id="rId8638" Type="http://schemas.openxmlformats.org/officeDocument/2006/relationships/hyperlink" Target="https://www.neighbourly.co.nz/business/list/electricians-1" TargetMode="External"/><Relationship Id="rId8985" Type="http://schemas.openxmlformats.org/officeDocument/2006/relationships/hyperlink" Target="https://www.pinoyeplans.com/" TargetMode="External"/><Relationship Id="rId11966" Type="http://schemas.openxmlformats.org/officeDocument/2006/relationships/hyperlink" Target="https://trexprotect.com/blog/can-you-paint-trex-decking-all-you-need-to-know/" TargetMode="External"/><Relationship Id="rId6189" Type="http://schemas.openxmlformats.org/officeDocument/2006/relationships/hyperlink" Target="https://www.fingerlakes1.com/2022/11/21/key-details-of-debt-relief/" TargetMode="External"/><Relationship Id="rId10568" Type="http://schemas.openxmlformats.org/officeDocument/2006/relationships/hyperlink" Target="https://crosstalk.cell.com/blog/how-i-introduced-my-kids-to-power-grids-and-engineering" TargetMode="External"/><Relationship Id="rId11619" Type="http://schemas.openxmlformats.org/officeDocument/2006/relationships/hyperlink" Target="https://www.hamiltoninternationalestates.com/" TargetMode="External"/><Relationship Id="rId13041" Type="http://schemas.openxmlformats.org/officeDocument/2006/relationships/hyperlink" Target="https://www.feefo.com/en-GB/reviews/shakespeare-martineau?page=1" TargetMode="External"/><Relationship Id="rId2799" Type="http://schemas.openxmlformats.org/officeDocument/2006/relationships/hyperlink" Target="https://www.simpleshowing.com/" TargetMode="External"/><Relationship Id="rId3100" Type="http://schemas.openxmlformats.org/officeDocument/2006/relationships/hyperlink" Target="https://www.pulte.com/" TargetMode="External"/><Relationship Id="rId6670" Type="http://schemas.openxmlformats.org/officeDocument/2006/relationships/hyperlink" Target="https://www.simpleshowing.com/" TargetMode="External"/><Relationship Id="rId7721" Type="http://schemas.openxmlformats.org/officeDocument/2006/relationships/hyperlink" Target="https://discoverlakelanier.com/" TargetMode="External"/><Relationship Id="rId10702" Type="http://schemas.openxmlformats.org/officeDocument/2006/relationships/hyperlink" Target="https://www.teachengineering.org/" TargetMode="External"/><Relationship Id="rId16264" Type="http://schemas.openxmlformats.org/officeDocument/2006/relationships/hyperlink" Target="https://myinteriorpalace.com/" TargetMode="External"/><Relationship Id="rId5272" Type="http://schemas.openxmlformats.org/officeDocument/2006/relationships/hyperlink" Target="https://www.simpleshowing.com/" TargetMode="External"/><Relationship Id="rId6323" Type="http://schemas.openxmlformats.org/officeDocument/2006/relationships/hyperlink" Target="https://mycareer.lincolnu.edu/blog/2025/06/23/the-hour-a-day-job-hunt-routine-that-works/" TargetMode="External"/><Relationship Id="rId9893" Type="http://schemas.openxmlformats.org/officeDocument/2006/relationships/hyperlink" Target="https://caeser.memphis.edu/resources/education/" TargetMode="External"/><Relationship Id="rId1882" Type="http://schemas.openxmlformats.org/officeDocument/2006/relationships/hyperlink" Target="https://markspain.com/" TargetMode="External"/><Relationship Id="rId8495" Type="http://schemas.openxmlformats.org/officeDocument/2006/relationships/hyperlink" Target="https://www.pinoyeplans.com/" TargetMode="External"/><Relationship Id="rId9546" Type="http://schemas.openxmlformats.org/officeDocument/2006/relationships/hyperlink" Target="https://www.pinoyeplans.com/" TargetMode="External"/><Relationship Id="rId11476" Type="http://schemas.openxmlformats.org/officeDocument/2006/relationships/hyperlink" Target="https://blog.inyourpocket.com/blog/the-most-underrated-european-countries-for-second-homes/" TargetMode="External"/><Relationship Id="rId12874" Type="http://schemas.openxmlformats.org/officeDocument/2006/relationships/hyperlink" Target="https://propertypressonline.co.uk/" TargetMode="External"/><Relationship Id="rId13925" Type="http://schemas.openxmlformats.org/officeDocument/2006/relationships/hyperlink" Target="https://faheyroofingcontractors.com/" TargetMode="External"/><Relationship Id="rId1535" Type="http://schemas.openxmlformats.org/officeDocument/2006/relationships/hyperlink" Target="https://saoic.org/alumni/" TargetMode="External"/><Relationship Id="rId2933" Type="http://schemas.openxmlformats.org/officeDocument/2006/relationships/hyperlink" Target="https://centauriinsurance.com/florida/" TargetMode="External"/><Relationship Id="rId7097" Type="http://schemas.openxmlformats.org/officeDocument/2006/relationships/hyperlink" Target="https://www.taylormorrison.com/" TargetMode="External"/><Relationship Id="rId8148" Type="http://schemas.openxmlformats.org/officeDocument/2006/relationships/hyperlink" Target="https://integrityhomeexteriors.com/" TargetMode="External"/><Relationship Id="rId10078" Type="http://schemas.openxmlformats.org/officeDocument/2006/relationships/hyperlink" Target="https://www.teachengineering.org/" TargetMode="External"/><Relationship Id="rId11129" Type="http://schemas.openxmlformats.org/officeDocument/2006/relationships/hyperlink" Target="https://www.pinoyeplans.com/" TargetMode="External"/><Relationship Id="rId12527" Type="http://schemas.openxmlformats.org/officeDocument/2006/relationships/hyperlink" Target="https://sturents.com/" TargetMode="External"/><Relationship Id="rId15000" Type="http://schemas.openxmlformats.org/officeDocument/2006/relationships/hyperlink" Target="https://steellightingco.com/blog/black-flush-mount-light-ideas-for-any-room/" TargetMode="External"/><Relationship Id="rId905" Type="http://schemas.openxmlformats.org/officeDocument/2006/relationships/hyperlink" Target="https://web.milwaukeenari.org/Basement-Remodeling" TargetMode="External"/><Relationship Id="rId14699" Type="http://schemas.openxmlformats.org/officeDocument/2006/relationships/hyperlink" Target="https://www.easygaragedoorrepair.com/" TargetMode="External"/><Relationship Id="rId4758" Type="http://schemas.openxmlformats.org/officeDocument/2006/relationships/hyperlink" Target="https://theatlantavoice.com/is-a-career-in-real-estate-for-you-up-with-atl-extra/" TargetMode="External"/><Relationship Id="rId5809" Type="http://schemas.openxmlformats.org/officeDocument/2006/relationships/hyperlink" Target="https://www.legendsofamerica.com/preserving-history-modern-challenges/" TargetMode="External"/><Relationship Id="rId6180" Type="http://schemas.openxmlformats.org/officeDocument/2006/relationships/hyperlink" Target="https://www.simpleshowing.com/" TargetMode="External"/><Relationship Id="rId11610" Type="http://schemas.openxmlformats.org/officeDocument/2006/relationships/hyperlink" Target="https://www.hamiltoninternationalestates.com/" TargetMode="External"/><Relationship Id="rId7231" Type="http://schemas.openxmlformats.org/officeDocument/2006/relationships/hyperlink" Target="https://www.taylormorrison.com/" TargetMode="External"/><Relationship Id="rId10212" Type="http://schemas.openxmlformats.org/officeDocument/2006/relationships/hyperlink" Target="https://www.pinoyeplans.com/" TargetMode="External"/><Relationship Id="rId13782" Type="http://schemas.openxmlformats.org/officeDocument/2006/relationships/hyperlink" Target="http://fbsp.ftu.edu.vn/?f=207055815" TargetMode="External"/><Relationship Id="rId14833" Type="http://schemas.openxmlformats.org/officeDocument/2006/relationships/hyperlink" Target="https://myinteriorpalace.com/" TargetMode="External"/><Relationship Id="rId2790" Type="http://schemas.openxmlformats.org/officeDocument/2006/relationships/hyperlink" Target="https://www.simpleshowing.com/" TargetMode="External"/><Relationship Id="rId3841" Type="http://schemas.openxmlformats.org/officeDocument/2006/relationships/hyperlink" Target="https://thecoverguy.com/" TargetMode="External"/><Relationship Id="rId12384" Type="http://schemas.openxmlformats.org/officeDocument/2006/relationships/hyperlink" Target="https://propertypressonline.co.uk/" TargetMode="External"/><Relationship Id="rId13435" Type="http://schemas.openxmlformats.org/officeDocument/2006/relationships/hyperlink" Target="https://myinteriorpalace.com/" TargetMode="External"/><Relationship Id="rId762" Type="http://schemas.openxmlformats.org/officeDocument/2006/relationships/hyperlink" Target="https://www.schaafsma.com/" TargetMode="External"/><Relationship Id="rId1392" Type="http://schemas.openxmlformats.org/officeDocument/2006/relationships/hyperlink" Target="https://www.simpleshowing.com/" TargetMode="External"/><Relationship Id="rId2443" Type="http://schemas.openxmlformats.org/officeDocument/2006/relationships/hyperlink" Target="https://www.pulte.com/" TargetMode="External"/><Relationship Id="rId9056" Type="http://schemas.openxmlformats.org/officeDocument/2006/relationships/hyperlink" Target="https://baddieshub.co.uk/how-we-deliver-accurate-cost-estimates/" TargetMode="External"/><Relationship Id="rId12037" Type="http://schemas.openxmlformats.org/officeDocument/2006/relationships/hyperlink" Target="https://www.bobvila.com/" TargetMode="External"/><Relationship Id="rId415" Type="http://schemas.openxmlformats.org/officeDocument/2006/relationships/hyperlink" Target="https://nagsheadguide.com/vacation-rentals" TargetMode="External"/><Relationship Id="rId1045" Type="http://schemas.openxmlformats.org/officeDocument/2006/relationships/hyperlink" Target="https://www.matrixbasements.com/" TargetMode="External"/><Relationship Id="rId5666" Type="http://schemas.openxmlformats.org/officeDocument/2006/relationships/hyperlink" Target="https://www.simpleshowing.com/" TargetMode="External"/><Relationship Id="rId4268" Type="http://schemas.openxmlformats.org/officeDocument/2006/relationships/hyperlink" Target="https://www.kapre.com/" TargetMode="External"/><Relationship Id="rId5319" Type="http://schemas.openxmlformats.org/officeDocument/2006/relationships/hyperlink" Target="https://gracker.ai/questions/does-the-avalanche-method-work" TargetMode="External"/><Relationship Id="rId6717" Type="http://schemas.openxmlformats.org/officeDocument/2006/relationships/hyperlink" Target="https://www.simpleshowing.com/" TargetMode="External"/><Relationship Id="rId8889" Type="http://schemas.openxmlformats.org/officeDocument/2006/relationships/hyperlink" Target="https://www.pinoyeplans.com/" TargetMode="External"/><Relationship Id="rId11120" Type="http://schemas.openxmlformats.org/officeDocument/2006/relationships/hyperlink" Target="https://www.pinoyeplans.com/" TargetMode="External"/><Relationship Id="rId14690" Type="http://schemas.openxmlformats.org/officeDocument/2006/relationships/hyperlink" Target="https://www.easygaragedoorrepair.com/" TargetMode="External"/><Relationship Id="rId15741" Type="http://schemas.openxmlformats.org/officeDocument/2006/relationships/hyperlink" Target="https://greenspanbuildings.com.au/resources/our-partners-in-sustainability/" TargetMode="External"/><Relationship Id="rId1929" Type="http://schemas.openxmlformats.org/officeDocument/2006/relationships/hyperlink" Target="https://www.simpleshowing.com/" TargetMode="External"/><Relationship Id="rId5800" Type="http://schemas.openxmlformats.org/officeDocument/2006/relationships/hyperlink" Target="https://www.simpleshowing.com/" TargetMode="External"/><Relationship Id="rId13292" Type="http://schemas.openxmlformats.org/officeDocument/2006/relationships/hyperlink" Target="https://www.pureinvestor.co.uk/" TargetMode="External"/><Relationship Id="rId14343" Type="http://schemas.openxmlformats.org/officeDocument/2006/relationships/hyperlink" Target="https://www.elevatedmagazines.com/single-post/the-smart-bettor-s-playbook-how-to-make-calculated-wagers-that-actually-make-sense" TargetMode="External"/><Relationship Id="rId3351" Type="http://schemas.openxmlformats.org/officeDocument/2006/relationships/hyperlink" Target="https://www.simpleshowing.com/" TargetMode="External"/><Relationship Id="rId4402" Type="http://schemas.openxmlformats.org/officeDocument/2006/relationships/hyperlink" Target="https://www.simpleshowing.com/" TargetMode="External"/><Relationship Id="rId7972" Type="http://schemas.openxmlformats.org/officeDocument/2006/relationships/hyperlink" Target="https://superarbor.io/blogs/blogs/metal-roofing-price-what-to-expect-in-2025" TargetMode="External"/><Relationship Id="rId272" Type="http://schemas.openxmlformats.org/officeDocument/2006/relationships/hyperlink" Target="http://theenvironmentalblog.org/" TargetMode="External"/><Relationship Id="rId3004" Type="http://schemas.openxmlformats.org/officeDocument/2006/relationships/hyperlink" Target="https://www.pulte.com/" TargetMode="External"/><Relationship Id="rId6574" Type="http://schemas.openxmlformats.org/officeDocument/2006/relationships/hyperlink" Target="https://www.simpleshowing.com/" TargetMode="External"/><Relationship Id="rId7625" Type="http://schemas.openxmlformats.org/officeDocument/2006/relationships/hyperlink" Target="https://www.taylormorrison.com/" TargetMode="External"/><Relationship Id="rId10953" Type="http://schemas.openxmlformats.org/officeDocument/2006/relationships/hyperlink" Target="https://www.pinoyeplans.com/" TargetMode="External"/><Relationship Id="rId16168" Type="http://schemas.openxmlformats.org/officeDocument/2006/relationships/hyperlink" Target="https://myinteriorpalace.com/" TargetMode="External"/><Relationship Id="rId5176" Type="http://schemas.openxmlformats.org/officeDocument/2006/relationships/hyperlink" Target="https://www.simpleshowing.com/" TargetMode="External"/><Relationship Id="rId6227" Type="http://schemas.openxmlformats.org/officeDocument/2006/relationships/hyperlink" Target="https://www.mostlyblogging.com/understanding-credit-cards-note-taking-guide/" TargetMode="External"/><Relationship Id="rId9797" Type="http://schemas.openxmlformats.org/officeDocument/2006/relationships/hyperlink" Target="https://www.iu17.org/keystone-competition/" TargetMode="External"/><Relationship Id="rId10606" Type="http://schemas.openxmlformats.org/officeDocument/2006/relationships/hyperlink" Target="https://www.teachengineering.org/" TargetMode="External"/><Relationship Id="rId8399" Type="http://schemas.openxmlformats.org/officeDocument/2006/relationships/hyperlink" Target="https://www.pinoyeplans.com/" TargetMode="External"/><Relationship Id="rId12778" Type="http://schemas.openxmlformats.org/officeDocument/2006/relationships/hyperlink" Target="https://propertypressonline.co.uk/" TargetMode="External"/><Relationship Id="rId13829" Type="http://schemas.openxmlformats.org/officeDocument/2006/relationships/hyperlink" Target="https://aqglassshowerdoorsphoenix.com/" TargetMode="External"/><Relationship Id="rId1786" Type="http://schemas.openxmlformats.org/officeDocument/2006/relationships/hyperlink" Target="https://wolfriverelectric.com/" TargetMode="External"/><Relationship Id="rId2837" Type="http://schemas.openxmlformats.org/officeDocument/2006/relationships/hyperlink" Target="https://members.winstonsalem.com/memberdirectory/Search/real-estate-570112" TargetMode="External"/><Relationship Id="rId15251" Type="http://schemas.openxmlformats.org/officeDocument/2006/relationships/hyperlink" Target="https://www.luxdeco.com/" TargetMode="External"/><Relationship Id="rId809" Type="http://schemas.openxmlformats.org/officeDocument/2006/relationships/hyperlink" Target="https://www.simpleshowing.com/" TargetMode="External"/><Relationship Id="rId1439" Type="http://schemas.openxmlformats.org/officeDocument/2006/relationships/hyperlink" Target="https://b2b.getemail.io/rite-window-boston-ma-company-6986702.html" TargetMode="External"/><Relationship Id="rId5310" Type="http://schemas.openxmlformats.org/officeDocument/2006/relationships/hyperlink" Target="https://www.simpleshowing.com/" TargetMode="External"/><Relationship Id="rId8880" Type="http://schemas.openxmlformats.org/officeDocument/2006/relationships/hyperlink" Target="https://www.pinoyeplans.com/" TargetMode="External"/><Relationship Id="rId9931" Type="http://schemas.openxmlformats.org/officeDocument/2006/relationships/hyperlink" Target="https://www.teachengineering.org/" TargetMode="External"/><Relationship Id="rId11861" Type="http://schemas.openxmlformats.org/officeDocument/2006/relationships/hyperlink" Target="https://www.cipp.org.uk/resources/news/most-complained-about-professions.html" TargetMode="External"/><Relationship Id="rId12912" Type="http://schemas.openxmlformats.org/officeDocument/2006/relationships/hyperlink" Target="https://www.bcllegal.com/the-brief/opinion/mark-beesley-on-how-the-legal-sector-is-ever-changing" TargetMode="External"/><Relationship Id="rId1920" Type="http://schemas.openxmlformats.org/officeDocument/2006/relationships/hyperlink" Target="https://www.simpleshowing.com/" TargetMode="External"/><Relationship Id="rId7482" Type="http://schemas.openxmlformats.org/officeDocument/2006/relationships/hyperlink" Target="https://business.ridgwayrecord.com/ridgwayrecord/article/ibnspotlights-2023-6-12-taylor-morrison-home-corp-nyse-tmhc-is-a-stock-spotlight-on-612" TargetMode="External"/><Relationship Id="rId8533" Type="http://schemas.openxmlformats.org/officeDocument/2006/relationships/hyperlink" Target="https://news.gcu.edu.pk/en/virtual-staging-real-estate-benefits/" TargetMode="External"/><Relationship Id="rId10463" Type="http://schemas.openxmlformats.org/officeDocument/2006/relationships/hyperlink" Target="https://www.uslegalforms.com/form-library/114330-recycling-reading-comprehension-pdf-2020" TargetMode="External"/><Relationship Id="rId11514" Type="http://schemas.openxmlformats.org/officeDocument/2006/relationships/hyperlink" Target="https://sellhousefast.uk/" TargetMode="External"/><Relationship Id="rId6084" Type="http://schemas.openxmlformats.org/officeDocument/2006/relationships/hyperlink" Target="https://www.simpleshowing.com/" TargetMode="External"/><Relationship Id="rId7135" Type="http://schemas.openxmlformats.org/officeDocument/2006/relationships/hyperlink" Target="https://www.cartersvillechamber.com/list/member/taylor-morrison-10195" TargetMode="External"/><Relationship Id="rId10116" Type="http://schemas.openxmlformats.org/officeDocument/2006/relationships/hyperlink" Target="https://www.pinoyeplans.com/" TargetMode="External"/><Relationship Id="rId13686" Type="http://schemas.openxmlformats.org/officeDocument/2006/relationships/hyperlink" Target="https://manage-uss.printkk.com/blog/articles/what-is-wall-art" TargetMode="External"/><Relationship Id="rId2694" Type="http://schemas.openxmlformats.org/officeDocument/2006/relationships/hyperlink" Target="https://www.simpleshowing.com/" TargetMode="External"/><Relationship Id="rId3745" Type="http://schemas.openxmlformats.org/officeDocument/2006/relationships/hyperlink" Target="https://www.overheaddoors.com/" TargetMode="External"/><Relationship Id="rId12288" Type="http://schemas.openxmlformats.org/officeDocument/2006/relationships/hyperlink" Target="https://propertypressonline.co.uk/" TargetMode="External"/><Relationship Id="rId13339" Type="http://schemas.openxmlformats.org/officeDocument/2006/relationships/hyperlink" Target="https://myinteriorpalace.com/" TargetMode="External"/><Relationship Id="rId14737" Type="http://schemas.openxmlformats.org/officeDocument/2006/relationships/hyperlink" Target="https://myinteriorpalace.com/" TargetMode="External"/><Relationship Id="rId666" Type="http://schemas.openxmlformats.org/officeDocument/2006/relationships/hyperlink" Target="https://www.carolinadesigns.com/" TargetMode="External"/><Relationship Id="rId1296" Type="http://schemas.openxmlformats.org/officeDocument/2006/relationships/hyperlink" Target="https://www.simpleshowing.com/" TargetMode="External"/><Relationship Id="rId2347" Type="http://schemas.openxmlformats.org/officeDocument/2006/relationships/hyperlink" Target="https://www.pulte.com/" TargetMode="External"/><Relationship Id="rId319" Type="http://schemas.openxmlformats.org/officeDocument/2006/relationships/hyperlink" Target="https://iemlabs.com/blogs/top-14-lead-generation-strategies-for-real-estate/" TargetMode="External"/><Relationship Id="rId6968" Type="http://schemas.openxmlformats.org/officeDocument/2006/relationships/hyperlink" Target="https://www.taylormorrison.com/" TargetMode="External"/><Relationship Id="rId8390" Type="http://schemas.openxmlformats.org/officeDocument/2006/relationships/hyperlink" Target="https://www.pinoyeplans.com/" TargetMode="External"/><Relationship Id="rId13820" Type="http://schemas.openxmlformats.org/officeDocument/2006/relationships/hyperlink" Target="https://aqglassshowerdoorsphoenix.com/" TargetMode="External"/><Relationship Id="rId8043" Type="http://schemas.openxmlformats.org/officeDocument/2006/relationships/hyperlink" Target="https://www.roofingcontractor.com/articles/101391-late-bloomer" TargetMode="External"/><Relationship Id="rId9441" Type="http://schemas.openxmlformats.org/officeDocument/2006/relationships/hyperlink" Target="https://www.pinoyeplans.com/" TargetMode="External"/><Relationship Id="rId11371" Type="http://schemas.openxmlformats.org/officeDocument/2006/relationships/hyperlink" Target="https://managementworksmedia.com/is-it-time-to-sell-your-home-signs-you-should-go-the-cash-route/" TargetMode="External"/><Relationship Id="rId12422" Type="http://schemas.openxmlformats.org/officeDocument/2006/relationships/hyperlink" Target="https://lendlord.io/renters-rights-bill-stage-20-26-03-2025-updates" TargetMode="External"/><Relationship Id="rId15992" Type="http://schemas.openxmlformats.org/officeDocument/2006/relationships/hyperlink" Target="https://www.rwdoors.com/" TargetMode="External"/><Relationship Id="rId800" Type="http://schemas.openxmlformats.org/officeDocument/2006/relationships/hyperlink" Target="https://www.simpleshowing.com/" TargetMode="External"/><Relationship Id="rId1430" Type="http://schemas.openxmlformats.org/officeDocument/2006/relationships/hyperlink" Target="https://www.cbinsights.com/company/home-smart-industries/financials" TargetMode="External"/><Relationship Id="rId11024" Type="http://schemas.openxmlformats.org/officeDocument/2006/relationships/hyperlink" Target="https://captainplanetfoundation.org/exploration/making-models-to-demonstrate-electrostatic-precipitators/" TargetMode="External"/><Relationship Id="rId14594" Type="http://schemas.openxmlformats.org/officeDocument/2006/relationships/hyperlink" Target="https://www.easygaragedoorrepair.com/" TargetMode="External"/><Relationship Id="rId15645" Type="http://schemas.openxmlformats.org/officeDocument/2006/relationships/hyperlink" Target="https://www.buzzfeed.com/isabellalouise/shop-for-expensive-af-furniture-and-well-tell-wha-mnu9" TargetMode="External"/><Relationship Id="rId4653" Type="http://schemas.openxmlformats.org/officeDocument/2006/relationships/hyperlink" Target="https://www.wcjb.com/2024/05/27/high-school-seniors-can-now-get-real-estate-license-free-this-state/" TargetMode="External"/><Relationship Id="rId5704" Type="http://schemas.openxmlformats.org/officeDocument/2006/relationships/hyperlink" Target="https://www.simpleshowing.com/" TargetMode="External"/><Relationship Id="rId13196" Type="http://schemas.openxmlformats.org/officeDocument/2006/relationships/hyperlink" Target="https://www.shma.co.uk/" TargetMode="External"/><Relationship Id="rId14247" Type="http://schemas.openxmlformats.org/officeDocument/2006/relationships/hyperlink" Target="https://designmode24.com/architectural-minimalism-with-maximum-output-flush-mount-solar-arrays-for-flat-nyc-roofs/" TargetMode="External"/><Relationship Id="rId3255" Type="http://schemas.openxmlformats.org/officeDocument/2006/relationships/hyperlink" Target="https://www.simpleshowing.com/" TargetMode="External"/><Relationship Id="rId4306" Type="http://schemas.openxmlformats.org/officeDocument/2006/relationships/hyperlink" Target="https://www.simpleshowing.com/" TargetMode="External"/><Relationship Id="rId7876" Type="http://schemas.openxmlformats.org/officeDocument/2006/relationships/hyperlink" Target="https://remingtonsolar.com/blog/solar-attic-fan-installation/" TargetMode="External"/><Relationship Id="rId8927" Type="http://schemas.openxmlformats.org/officeDocument/2006/relationships/hyperlink" Target="https://blogpioneer.co.uk/the-role-of-automation-in-modern-procurement-workflows/" TargetMode="External"/><Relationship Id="rId176" Type="http://schemas.openxmlformats.org/officeDocument/2006/relationships/hyperlink" Target="https://www.wellingtonhometeam.com/" TargetMode="External"/><Relationship Id="rId6478" Type="http://schemas.openxmlformats.org/officeDocument/2006/relationships/hyperlink" Target="https://www.bartlegibson.com/Brands/13416-thermasol-thermasol" TargetMode="External"/><Relationship Id="rId7529" Type="http://schemas.openxmlformats.org/officeDocument/2006/relationships/hyperlink" Target="https://www.taylormorrison.com/" TargetMode="External"/><Relationship Id="rId10857" Type="http://schemas.openxmlformats.org/officeDocument/2006/relationships/hyperlink" Target="https://www.pinoyeplans.com/" TargetMode="External"/><Relationship Id="rId11908" Type="http://schemas.openxmlformats.org/officeDocument/2006/relationships/hyperlink" Target="https://www.bobvila.com/" TargetMode="External"/><Relationship Id="rId13330" Type="http://schemas.openxmlformats.org/officeDocument/2006/relationships/hyperlink" Target="https://myinteriorpalace.com/" TargetMode="External"/><Relationship Id="rId310" Type="http://schemas.openxmlformats.org/officeDocument/2006/relationships/hyperlink" Target="https://hometriangle.com/blogs/siding-replacement-101-signs-process-costs-and-hiring-the-right-professionals/" TargetMode="External"/><Relationship Id="rId5561" Type="http://schemas.openxmlformats.org/officeDocument/2006/relationships/hyperlink" Target="https://mcdowellnews.com/shopping/article_aa15dfea-a369-506f-87d1-a9dfe16bcd55.html" TargetMode="External"/><Relationship Id="rId6612" Type="http://schemas.openxmlformats.org/officeDocument/2006/relationships/hyperlink" Target="https://www.thermasol.com/" TargetMode="External"/><Relationship Id="rId15155" Type="http://schemas.openxmlformats.org/officeDocument/2006/relationships/hyperlink" Target="https://www.luxdeco.com/" TargetMode="External"/><Relationship Id="rId16206" Type="http://schemas.openxmlformats.org/officeDocument/2006/relationships/hyperlink" Target="https://blogbuz.co.uk/the-ultimate-guide-on-how-to-get-red-wine-stains-out-of-carpets/" TargetMode="External"/><Relationship Id="rId4163" Type="http://schemas.openxmlformats.org/officeDocument/2006/relationships/hyperlink" Target="https://www.kapre.com/" TargetMode="External"/><Relationship Id="rId5214" Type="http://schemas.openxmlformats.org/officeDocument/2006/relationships/hyperlink" Target="https://www.simpleshowing.com/" TargetMode="External"/><Relationship Id="rId8784" Type="http://schemas.openxmlformats.org/officeDocument/2006/relationships/hyperlink" Target="https://propertychecker.com/" TargetMode="External"/><Relationship Id="rId9835" Type="http://schemas.openxmlformats.org/officeDocument/2006/relationships/hyperlink" Target="https://www.teachengineering.org/" TargetMode="External"/><Relationship Id="rId11765" Type="http://schemas.openxmlformats.org/officeDocument/2006/relationships/hyperlink" Target="https://factory.sale/most-eco-friendly-building-materials-for-2020-revealed/" TargetMode="External"/><Relationship Id="rId49" Type="http://schemas.openxmlformats.org/officeDocument/2006/relationships/hyperlink" Target="http://saoarchitects.com/" TargetMode="External"/><Relationship Id="rId1824" Type="http://schemas.openxmlformats.org/officeDocument/2006/relationships/hyperlink" Target="https://www.simpleshowing.com/" TargetMode="External"/><Relationship Id="rId7386" Type="http://schemas.openxmlformats.org/officeDocument/2006/relationships/hyperlink" Target="https://www.taylormorrison.com/" TargetMode="External"/><Relationship Id="rId8437" Type="http://schemas.openxmlformats.org/officeDocument/2006/relationships/hyperlink" Target="https://din-studio.com/architectural-visualization-for-viral-real-estate-content-on-social-media/" TargetMode="External"/><Relationship Id="rId10367" Type="http://schemas.openxmlformats.org/officeDocument/2006/relationships/hyperlink" Target="https://racketboy.com/forum/viewtopic.php?t=27299" TargetMode="External"/><Relationship Id="rId11418" Type="http://schemas.openxmlformats.org/officeDocument/2006/relationships/hyperlink" Target="http://webuyhouses.com/" TargetMode="External"/><Relationship Id="rId12816" Type="http://schemas.openxmlformats.org/officeDocument/2006/relationships/hyperlink" Target="https://www.acquisition-international.com/the-rush-to-succession-plan/" TargetMode="External"/><Relationship Id="rId7039" Type="http://schemas.openxmlformats.org/officeDocument/2006/relationships/hyperlink" Target="https://www.simpleshowing.com/" TargetMode="External"/><Relationship Id="rId14988" Type="http://schemas.openxmlformats.org/officeDocument/2006/relationships/hyperlink" Target="https://webinopoly.com/pages/top-30-shopify-furniture-stores" TargetMode="External"/><Relationship Id="rId2598" Type="http://schemas.openxmlformats.org/officeDocument/2006/relationships/hyperlink" Target="https://www.simpleshowing.com/" TargetMode="External"/><Relationship Id="rId3996" Type="http://schemas.openxmlformats.org/officeDocument/2006/relationships/hyperlink" Target="https://www.simpleshowing.com/" TargetMode="External"/><Relationship Id="rId16063" Type="http://schemas.openxmlformats.org/officeDocument/2006/relationships/hyperlink" Target="https://myinteriorpalace.com/" TargetMode="External"/><Relationship Id="rId3649" Type="http://schemas.openxmlformats.org/officeDocument/2006/relationships/hyperlink" Target="https://www.pulte.com/" TargetMode="External"/><Relationship Id="rId5071" Type="http://schemas.openxmlformats.org/officeDocument/2006/relationships/hyperlink" Target="https://www.cflowapps.com/credit-management-process/" TargetMode="External"/><Relationship Id="rId6122" Type="http://schemas.openxmlformats.org/officeDocument/2006/relationships/hyperlink" Target="https://www.simpleshowing.com/" TargetMode="External"/><Relationship Id="rId7520" Type="http://schemas.openxmlformats.org/officeDocument/2006/relationships/hyperlink" Target="https://www.taylormorrison.com/" TargetMode="External"/><Relationship Id="rId10501" Type="http://schemas.openxmlformats.org/officeDocument/2006/relationships/hyperlink" Target="https://www.teachengineering.org/" TargetMode="External"/><Relationship Id="rId9692" Type="http://schemas.openxmlformats.org/officeDocument/2006/relationships/hyperlink" Target="https://getintoenergy.org/education/" TargetMode="External"/><Relationship Id="rId12673" Type="http://schemas.openxmlformats.org/officeDocument/2006/relationships/hyperlink" Target="https://propertypressonline.co.uk/" TargetMode="External"/><Relationship Id="rId13724" Type="http://schemas.openxmlformats.org/officeDocument/2006/relationships/hyperlink" Target="https://anationofmoms.com/" TargetMode="External"/><Relationship Id="rId1681" Type="http://schemas.openxmlformats.org/officeDocument/2006/relationships/hyperlink" Target="https://wolfriverelectric.com/" TargetMode="External"/><Relationship Id="rId2732" Type="http://schemas.openxmlformats.org/officeDocument/2006/relationships/hyperlink" Target="https://members.texasbuilders.org/builder-directory/FindStartsWith?term=P" TargetMode="External"/><Relationship Id="rId8294" Type="http://schemas.openxmlformats.org/officeDocument/2006/relationships/hyperlink" Target="https://www.pinoyeplans.com/" TargetMode="External"/><Relationship Id="rId9345" Type="http://schemas.openxmlformats.org/officeDocument/2006/relationships/hyperlink" Target="https://www.pinoyeplans.com/" TargetMode="External"/><Relationship Id="rId11275" Type="http://schemas.openxmlformats.org/officeDocument/2006/relationships/hyperlink" Target="https://www.womansera.com/dealing-with-household-water-damage-a-moms-guide/" TargetMode="External"/><Relationship Id="rId12326" Type="http://schemas.openxmlformats.org/officeDocument/2006/relationships/hyperlink" Target="https://axostudent.co.uk/properties/paradise-student-village/" TargetMode="External"/><Relationship Id="rId15896" Type="http://schemas.openxmlformats.org/officeDocument/2006/relationships/hyperlink" Target="https://www.raynorkc.com/" TargetMode="External"/><Relationship Id="rId704" Type="http://schemas.openxmlformats.org/officeDocument/2006/relationships/hyperlink" Target="https://www.simpleshowing.com/" TargetMode="External"/><Relationship Id="rId1334" Type="http://schemas.openxmlformats.org/officeDocument/2006/relationships/hyperlink" Target="https://deliberatedirections.com/best-commercial-real-estate-platforms/" TargetMode="External"/><Relationship Id="rId5955" Type="http://schemas.openxmlformats.org/officeDocument/2006/relationships/hyperlink" Target="https://jg-tc.com/news/nation-world/business/personal-finance/article_6998366f-9e98-5673-bd0d-bd70e832cfaf.html" TargetMode="External"/><Relationship Id="rId14498" Type="http://schemas.openxmlformats.org/officeDocument/2006/relationships/hyperlink" Target="https://raynordoor.com/" TargetMode="External"/><Relationship Id="rId15549" Type="http://schemas.openxmlformats.org/officeDocument/2006/relationships/hyperlink" Target="https://www.isprava.com/2020/02/17/how-to-decorate-a-large-living-room/" TargetMode="External"/><Relationship Id="rId40" Type="http://schemas.openxmlformats.org/officeDocument/2006/relationships/hyperlink" Target="http://designmode24.com/" TargetMode="External"/><Relationship Id="rId4557" Type="http://schemas.openxmlformats.org/officeDocument/2006/relationships/hyperlink" Target="https://www.wifr.com/2024/05/27/high-school-seniors-can-now-get-real-estate-license-free-this-state/" TargetMode="External"/><Relationship Id="rId5608" Type="http://schemas.openxmlformats.org/officeDocument/2006/relationships/hyperlink" Target="https://www.simpleshowing.com/" TargetMode="External"/><Relationship Id="rId3159" Type="http://schemas.openxmlformats.org/officeDocument/2006/relationships/hyperlink" Target="https://www.simpleshowing.com/" TargetMode="External"/><Relationship Id="rId7030" Type="http://schemas.openxmlformats.org/officeDocument/2006/relationships/hyperlink" Target="https://www.simpleshowing.com/" TargetMode="External"/><Relationship Id="rId10011" Type="http://schemas.openxmlformats.org/officeDocument/2006/relationships/hyperlink" Target="https://www.pinoyeplans.com/" TargetMode="External"/><Relationship Id="rId13581" Type="http://schemas.openxmlformats.org/officeDocument/2006/relationships/hyperlink" Target="https://www.gardenspotvillage.org/blog/indoor-and-snow-day-activities/" TargetMode="External"/><Relationship Id="rId14632" Type="http://schemas.openxmlformats.org/officeDocument/2006/relationships/hyperlink" Target="https://myinteriorpalace.com/" TargetMode="External"/><Relationship Id="rId1191" Type="http://schemas.openxmlformats.org/officeDocument/2006/relationships/hyperlink" Target="https://www.simpleshowing.com/" TargetMode="External"/><Relationship Id="rId3640" Type="http://schemas.openxmlformats.org/officeDocument/2006/relationships/hyperlink" Target="https://www.pulte.com/" TargetMode="External"/><Relationship Id="rId12183" Type="http://schemas.openxmlformats.org/officeDocument/2006/relationships/hyperlink" Target="https://www.hamiltoninternationalestates.com/" TargetMode="External"/><Relationship Id="rId13234" Type="http://schemas.openxmlformats.org/officeDocument/2006/relationships/hyperlink" Target="https://propertypressonline.co.uk/" TargetMode="External"/><Relationship Id="rId561" Type="http://schemas.openxmlformats.org/officeDocument/2006/relationships/hyperlink" Target="https://www.carolinadesigns.com/" TargetMode="External"/><Relationship Id="rId2242" Type="http://schemas.openxmlformats.org/officeDocument/2006/relationships/hyperlink" Target="https://cheapplumber.ca/" TargetMode="External"/><Relationship Id="rId6863" Type="http://schemas.openxmlformats.org/officeDocument/2006/relationships/hyperlink" Target="https://nationalmortgageprofessional.com/news/72220/taylor-morrison-introduces-homeowner-insurance" TargetMode="External"/><Relationship Id="rId7914" Type="http://schemas.openxmlformats.org/officeDocument/2006/relationships/hyperlink" Target="https://certifiedrestorationinc.com/" TargetMode="External"/><Relationship Id="rId214" Type="http://schemas.openxmlformats.org/officeDocument/2006/relationships/hyperlink" Target="https://www.propertysolvers.co.uk/blog/tips-for-selling-your-home/" TargetMode="External"/><Relationship Id="rId5465" Type="http://schemas.openxmlformats.org/officeDocument/2006/relationships/hyperlink" Target="https://surveysparrow.com/blog/upscaling-employee-retention-via-incredible-engagement-tactics/" TargetMode="External"/><Relationship Id="rId6516" Type="http://schemas.openxmlformats.org/officeDocument/2006/relationships/hyperlink" Target="https://www.supplyht.com/articles/97862-industry-veterans-provide-expert-bath-and-kitchen-insights" TargetMode="External"/><Relationship Id="rId15059" Type="http://schemas.openxmlformats.org/officeDocument/2006/relationships/hyperlink" Target="https://www.luxdeco.com/" TargetMode="External"/><Relationship Id="rId4067" Type="http://schemas.openxmlformats.org/officeDocument/2006/relationships/hyperlink" Target="https://www.simpleshowing.com/" TargetMode="External"/><Relationship Id="rId5118" Type="http://schemas.openxmlformats.org/officeDocument/2006/relationships/hyperlink" Target="https://www.simpleshowing.com/" TargetMode="External"/><Relationship Id="rId8688" Type="http://schemas.openxmlformats.org/officeDocument/2006/relationships/hyperlink" Target="https://lubelska.co.uk/" TargetMode="External"/><Relationship Id="rId9739" Type="http://schemas.openxmlformats.org/officeDocument/2006/relationships/hyperlink" Target="https://www.teachengineering.org/" TargetMode="External"/><Relationship Id="rId11669" Type="http://schemas.openxmlformats.org/officeDocument/2006/relationships/hyperlink" Target="https://roarnews.co.uk/2019/kings-named-uks-worst-university-for-student-renters/" TargetMode="External"/><Relationship Id="rId13091" Type="http://schemas.openxmlformats.org/officeDocument/2006/relationships/hyperlink" Target="https://www.shma.co.uk/" TargetMode="External"/><Relationship Id="rId15540" Type="http://schemas.openxmlformats.org/officeDocument/2006/relationships/hyperlink" Target="https://www.clodura.ai/directory/company/luxdeco" TargetMode="External"/><Relationship Id="rId1728" Type="http://schemas.openxmlformats.org/officeDocument/2006/relationships/hyperlink" Target="https://www.simpleshowing.com/" TargetMode="External"/><Relationship Id="rId3150" Type="http://schemas.openxmlformats.org/officeDocument/2006/relationships/hyperlink" Target="https://www.simpleshowing.com/" TargetMode="External"/><Relationship Id="rId4201" Type="http://schemas.openxmlformats.org/officeDocument/2006/relationships/hyperlink" Target="https://www.simpleshowing.com/" TargetMode="External"/><Relationship Id="rId14142" Type="http://schemas.openxmlformats.org/officeDocument/2006/relationships/hyperlink" Target="https://www.bullfrogspas.com/stores/new-york/keystone-custom-decks-ny-keuka-park/" TargetMode="External"/><Relationship Id="rId7771" Type="http://schemas.openxmlformats.org/officeDocument/2006/relationships/hyperlink" Target="https://discoverlakelanier.com/" TargetMode="External"/><Relationship Id="rId8822" Type="http://schemas.openxmlformats.org/officeDocument/2006/relationships/hyperlink" Target="https://web.raleighchamber.org/Pest-Control-Services/Triangle-Pest-Control-22016" TargetMode="External"/><Relationship Id="rId10752" Type="http://schemas.openxmlformats.org/officeDocument/2006/relationships/hyperlink" Target="https://www.pinoyeplans.com/" TargetMode="External"/><Relationship Id="rId11803" Type="http://schemas.openxmlformats.org/officeDocument/2006/relationships/hyperlink" Target="https://sellhousefast.uk/" TargetMode="External"/><Relationship Id="rId6373" Type="http://schemas.openxmlformats.org/officeDocument/2006/relationships/hyperlink" Target="https://www.milople.com/blogs/essential-payroll-tips-for-small-ecommerce-teams-streamline-comply-and-grow" TargetMode="External"/><Relationship Id="rId7424" Type="http://schemas.openxmlformats.org/officeDocument/2006/relationships/hyperlink" Target="https://www.taylormorrison.com/" TargetMode="External"/><Relationship Id="rId10405" Type="http://schemas.openxmlformats.org/officeDocument/2006/relationships/hyperlink" Target="https://www.teachengineering.org/" TargetMode="External"/><Relationship Id="rId13975" Type="http://schemas.openxmlformats.org/officeDocument/2006/relationships/hyperlink" Target="https://myinteriorpalace.com/" TargetMode="External"/><Relationship Id="rId2983" Type="http://schemas.openxmlformats.org/officeDocument/2006/relationships/hyperlink" Target="https://www.pulte.com/" TargetMode="External"/><Relationship Id="rId6026" Type="http://schemas.openxmlformats.org/officeDocument/2006/relationships/hyperlink" Target="https://www.simpleshowing.com/" TargetMode="External"/><Relationship Id="rId9596" Type="http://schemas.openxmlformats.org/officeDocument/2006/relationships/hyperlink" Target="https://www.renewsysworld.com/post/understanding-maximum-power-point-of-pv-modules" TargetMode="External"/><Relationship Id="rId12577" Type="http://schemas.openxmlformats.org/officeDocument/2006/relationships/hyperlink" Target="https://propertypressonline.co.uk/" TargetMode="External"/><Relationship Id="rId13628" Type="http://schemas.openxmlformats.org/officeDocument/2006/relationships/hyperlink" Target="https://anationofmoms.com/" TargetMode="External"/><Relationship Id="rId955" Type="http://schemas.openxmlformats.org/officeDocument/2006/relationships/hyperlink" Target="https://www.matrixbasements.com/" TargetMode="External"/><Relationship Id="rId1585" Type="http://schemas.openxmlformats.org/officeDocument/2006/relationships/hyperlink" Target="https://wolfriverelectric.com/" TargetMode="External"/><Relationship Id="rId2636" Type="http://schemas.openxmlformats.org/officeDocument/2006/relationships/hyperlink" Target="https://businessviewmagazine.com/marion-independent-school-district/" TargetMode="External"/><Relationship Id="rId8198" Type="http://schemas.openxmlformats.org/officeDocument/2006/relationships/hyperlink" Target="https://www.pinoyeplans.com/" TargetMode="External"/><Relationship Id="rId9249" Type="http://schemas.openxmlformats.org/officeDocument/2006/relationships/hyperlink" Target="https://www.pinoyeplans.com/" TargetMode="External"/><Relationship Id="rId11179" Type="http://schemas.openxmlformats.org/officeDocument/2006/relationships/hyperlink" Target="https://speedwaymedia.com/2024/01/07/revving-engines-water-damage-recovery/" TargetMode="External"/><Relationship Id="rId15050" Type="http://schemas.openxmlformats.org/officeDocument/2006/relationships/hyperlink" Target="https://www.luxdeco.com/" TargetMode="External"/><Relationship Id="rId16101" Type="http://schemas.openxmlformats.org/officeDocument/2006/relationships/hyperlink" Target="https://technewstop.org/preparing-your-garage-door-for-winter-expert-tips-and-maintenance/" TargetMode="External"/><Relationship Id="rId608" Type="http://schemas.openxmlformats.org/officeDocument/2006/relationships/hyperlink" Target="https://www.simpleshowing.com/" TargetMode="External"/><Relationship Id="rId1238" Type="http://schemas.openxmlformats.org/officeDocument/2006/relationships/hyperlink" Target="https://london-post.co.uk/five-advantages-of-using-a-truck-hire-for-your-next-office-move/" TargetMode="External"/><Relationship Id="rId5859" Type="http://schemas.openxmlformats.org/officeDocument/2006/relationships/hyperlink" Target="https://businesscomputingworld.co.uk/the-power-of-fintech-partnerships-in-microfinance/" TargetMode="External"/><Relationship Id="rId7281" Type="http://schemas.openxmlformats.org/officeDocument/2006/relationships/hyperlink" Target="https://www.taylormorrison.com/" TargetMode="External"/><Relationship Id="rId8332" Type="http://schemas.openxmlformats.org/officeDocument/2006/relationships/hyperlink" Target="https://afgonline.com.au/about/lender-panel/" TargetMode="External"/><Relationship Id="rId9730" Type="http://schemas.openxmlformats.org/officeDocument/2006/relationships/hyperlink" Target="https://www.teachengineering.org/" TargetMode="External"/><Relationship Id="rId11660" Type="http://schemas.openxmlformats.org/officeDocument/2006/relationships/hyperlink" Target="https://www.telegraph.co.uk/money/tax/labour-councils-25bn-funding-hole-failed-tax-crackdown/" TargetMode="External"/><Relationship Id="rId12711" Type="http://schemas.openxmlformats.org/officeDocument/2006/relationships/hyperlink" Target="https://trademarklawyermagazine.com/battle-of-the-brands-easyfundraising-v-easygroup/" TargetMode="External"/><Relationship Id="rId10262" Type="http://schemas.openxmlformats.org/officeDocument/2006/relationships/hyperlink" Target="https://www.uakron.edu/education/think-tank/resources" TargetMode="External"/><Relationship Id="rId11313" Type="http://schemas.openxmlformats.org/officeDocument/2006/relationships/hyperlink" Target="https://vitamagazine.com/2022/07/08/home-prices-in-ottawa-in-2022/" TargetMode="External"/><Relationship Id="rId14883" Type="http://schemas.openxmlformats.org/officeDocument/2006/relationships/hyperlink" Target="https://www.lorddecor.com/blog/essential-tips-for-child-safe-electrical-outlets-and-devices" TargetMode="External"/><Relationship Id="rId15934" Type="http://schemas.openxmlformats.org/officeDocument/2006/relationships/hyperlink" Target="https://myinteriorpalace.com/" TargetMode="External"/><Relationship Id="rId3891" Type="http://schemas.openxmlformats.org/officeDocument/2006/relationships/hyperlink" Target="https://www.simpleshowing.com/" TargetMode="External"/><Relationship Id="rId4942" Type="http://schemas.openxmlformats.org/officeDocument/2006/relationships/hyperlink" Target="https://www.simpleshowing.com/" TargetMode="External"/><Relationship Id="rId13485" Type="http://schemas.openxmlformats.org/officeDocument/2006/relationships/hyperlink" Target="https://lizoncall.com/tortilla-crusted-tilapia-15minutesuppers-2/" TargetMode="External"/><Relationship Id="rId14536" Type="http://schemas.openxmlformats.org/officeDocument/2006/relationships/hyperlink" Target="https://myinteriorpalace.com/" TargetMode="External"/><Relationship Id="rId2493" Type="http://schemas.openxmlformats.org/officeDocument/2006/relationships/hyperlink" Target="https://www.simpleshowing.com/" TargetMode="External"/><Relationship Id="rId3544" Type="http://schemas.openxmlformats.org/officeDocument/2006/relationships/hyperlink" Target="https://www.pulte.com/" TargetMode="External"/><Relationship Id="rId12087" Type="http://schemas.openxmlformats.org/officeDocument/2006/relationships/hyperlink" Target="https://www.hamiltoninternationalestates.com/" TargetMode="External"/><Relationship Id="rId13138" Type="http://schemas.openxmlformats.org/officeDocument/2006/relationships/hyperlink" Target="https://propertypressonline.co.uk/" TargetMode="External"/><Relationship Id="rId465" Type="http://schemas.openxmlformats.org/officeDocument/2006/relationships/hyperlink" Target="https://www.carolinadesigns.com/" TargetMode="External"/><Relationship Id="rId1095" Type="http://schemas.openxmlformats.org/officeDocument/2006/relationships/hyperlink" Target="https://www.simpleshowing.com/" TargetMode="External"/><Relationship Id="rId2146" Type="http://schemas.openxmlformats.org/officeDocument/2006/relationships/hyperlink" Target="https://markspain.com/" TargetMode="External"/><Relationship Id="rId6767" Type="http://schemas.openxmlformats.org/officeDocument/2006/relationships/hyperlink" Target="https://scalelist.com/the-providence-group-of-georgia-llc-email-format/" TargetMode="External"/><Relationship Id="rId7818" Type="http://schemas.openxmlformats.org/officeDocument/2006/relationships/hyperlink" Target="https://discoverlakelanier.com/" TargetMode="External"/><Relationship Id="rId118" Type="http://schemas.openxmlformats.org/officeDocument/2006/relationships/hyperlink" Target="https://www.cpbj.com/" TargetMode="External"/><Relationship Id="rId5369" Type="http://schemas.openxmlformats.org/officeDocument/2006/relationships/hyperlink" Target="https://botscrew.com/blog/enterprise-rpa-chatbots/" TargetMode="External"/><Relationship Id="rId9240" Type="http://schemas.openxmlformats.org/officeDocument/2006/relationships/hyperlink" Target="https://www.pinoyeplans.com/" TargetMode="External"/><Relationship Id="rId11170" Type="http://schemas.openxmlformats.org/officeDocument/2006/relationships/hyperlink" Target="https://www.waterdamagespecialist.com.au/" TargetMode="External"/><Relationship Id="rId12221" Type="http://schemas.openxmlformats.org/officeDocument/2006/relationships/hyperlink" Target="https://land.tech/blog/navigating-new-grey-belt-guidance-challenges-and-opportunities-for-developers" TargetMode="External"/><Relationship Id="rId15791" Type="http://schemas.openxmlformats.org/officeDocument/2006/relationships/hyperlink" Target="https://www.modinex.com.au/" TargetMode="External"/><Relationship Id="rId1979" Type="http://schemas.openxmlformats.org/officeDocument/2006/relationships/hyperlink" Target="https://www.inman.com/2021/11/25/the-case-for-reinvention-why-agents-should-always-be-adapting/" TargetMode="External"/><Relationship Id="rId5850" Type="http://schemas.openxmlformats.org/officeDocument/2006/relationships/hyperlink" Target="https://www.simpleshowing.com/" TargetMode="External"/><Relationship Id="rId6901" Type="http://schemas.openxmlformats.org/officeDocument/2006/relationships/hyperlink" Target="https://www.taylormorrison.com/" TargetMode="External"/><Relationship Id="rId14393" Type="http://schemas.openxmlformats.org/officeDocument/2006/relationships/hyperlink" Target="https://luxurylifestyle.com/" TargetMode="External"/><Relationship Id="rId15444" Type="http://schemas.openxmlformats.org/officeDocument/2006/relationships/hyperlink" Target="https://gartec.com/blog/luxury-lighting-to-make-you-swoon/" TargetMode="External"/><Relationship Id="rId3054" Type="http://schemas.openxmlformats.org/officeDocument/2006/relationships/hyperlink" Target="https://www.simpleshowing.com/" TargetMode="External"/><Relationship Id="rId4452" Type="http://schemas.openxmlformats.org/officeDocument/2006/relationships/hyperlink" Target="https://www.wkyt.com/2024/05/27/high-school-seniors-can-now-get-real-estate-license-free-this-state/" TargetMode="External"/><Relationship Id="rId5503" Type="http://schemas.openxmlformats.org/officeDocument/2006/relationships/hyperlink" Target="https://www.zenesys.com/how-predictive-analytics-transforms-strategic-planning-and-business-growth" TargetMode="External"/><Relationship Id="rId14046" Type="http://schemas.openxmlformats.org/officeDocument/2006/relationships/hyperlink" Target="https://puremagazine.co.uk/smart-strategies-to-improve-and-maintain-your-curbside-look/" TargetMode="External"/><Relationship Id="rId4105" Type="http://schemas.openxmlformats.org/officeDocument/2006/relationships/hyperlink" Target="https://www.simpleshowing.com/" TargetMode="External"/><Relationship Id="rId7675" Type="http://schemas.openxmlformats.org/officeDocument/2006/relationships/hyperlink" Target="https://www.simpleshowing.com/" TargetMode="External"/><Relationship Id="rId8726" Type="http://schemas.openxmlformats.org/officeDocument/2006/relationships/hyperlink" Target="https://www.pinoyeplans.com/" TargetMode="External"/><Relationship Id="rId10656" Type="http://schemas.openxmlformats.org/officeDocument/2006/relationships/hyperlink" Target="https://www.pinoyeplans.com/" TargetMode="External"/><Relationship Id="rId11707" Type="http://schemas.openxmlformats.org/officeDocument/2006/relationships/hyperlink" Target="https://sellhousefast.uk/" TargetMode="External"/><Relationship Id="rId6277" Type="http://schemas.openxmlformats.org/officeDocument/2006/relationships/hyperlink" Target="https://www.speakrj.com/is-owning-a-home-really-cheaper-than-renting/" TargetMode="External"/><Relationship Id="rId7328" Type="http://schemas.openxmlformats.org/officeDocument/2006/relationships/hyperlink" Target="https://roughdraftatlanta.com/2018/11/27/real-estate-briefs-new-townhome-projects-popping-up-around-intown/" TargetMode="External"/><Relationship Id="rId10309" Type="http://schemas.openxmlformats.org/officeDocument/2006/relationships/hyperlink" Target="https://www.teachengineering.org/" TargetMode="External"/><Relationship Id="rId2887" Type="http://schemas.openxmlformats.org/officeDocument/2006/relationships/hyperlink" Target="https://www.pulte.com/" TargetMode="External"/><Relationship Id="rId13879" Type="http://schemas.openxmlformats.org/officeDocument/2006/relationships/hyperlink" Target="https://myinteriorpalace.com/" TargetMode="External"/><Relationship Id="rId859" Type="http://schemas.openxmlformats.org/officeDocument/2006/relationships/hyperlink" Target="https://www.absolutepestmgmt.com/" TargetMode="External"/><Relationship Id="rId1489" Type="http://schemas.openxmlformats.org/officeDocument/2006/relationships/hyperlink" Target="https://ritewindow.com/blog/3-indicators-its-time-to-upgrade-your-shower-or-bath/" TargetMode="External"/><Relationship Id="rId3938" Type="http://schemas.openxmlformats.org/officeDocument/2006/relationships/hyperlink" Target="https://www.thesenior.com.au/story/8967025/how-to-maintain-your-metal-roof-for-longevity/" TargetMode="External"/><Relationship Id="rId5360" Type="http://schemas.openxmlformats.org/officeDocument/2006/relationships/hyperlink" Target="https://www.simpleshowing.com/" TargetMode="External"/><Relationship Id="rId6411" Type="http://schemas.openxmlformats.org/officeDocument/2006/relationships/hyperlink" Target="https://blog.flock.com/home-mortgage-how-does-it-affect-your-taxes" TargetMode="External"/><Relationship Id="rId16005" Type="http://schemas.openxmlformats.org/officeDocument/2006/relationships/hyperlink" Target="https://azbigmedia.com/lifestyle/planning-your-first-trip-to-arizona-12-essential-tips/" TargetMode="External"/><Relationship Id="rId5013" Type="http://schemas.openxmlformats.org/officeDocument/2006/relationships/hyperlink" Target="https://www.b2w.tv/blog/types-of-explainer-videos-examples" TargetMode="External"/><Relationship Id="rId9981" Type="http://schemas.openxmlformats.org/officeDocument/2006/relationships/hyperlink" Target="https://www.pinoyeplans.com/" TargetMode="External"/><Relationship Id="rId12962" Type="http://schemas.openxmlformats.org/officeDocument/2006/relationships/hyperlink" Target="https://www.shma.co.uk/" TargetMode="External"/><Relationship Id="rId1970" Type="http://schemas.openxmlformats.org/officeDocument/2006/relationships/hyperlink" Target="https://www.spiritedpuddlejumper.com/how-to-declutter-and-refresh-your-space-before-listing-your-home/" TargetMode="External"/><Relationship Id="rId7185" Type="http://schemas.openxmlformats.org/officeDocument/2006/relationships/hyperlink" Target="https://www.tampabay.com/life-culture/bay-magazine/2025/04/18/taylor-morrison-women-in-construction/" TargetMode="External"/><Relationship Id="rId8583" Type="http://schemas.openxmlformats.org/officeDocument/2006/relationships/hyperlink" Target="https://www.buyersadvocate.com.au/" TargetMode="External"/><Relationship Id="rId9634" Type="http://schemas.openxmlformats.org/officeDocument/2006/relationships/hyperlink" Target="https://www.teachengineering.org/" TargetMode="External"/><Relationship Id="rId11564" Type="http://schemas.openxmlformats.org/officeDocument/2006/relationships/hyperlink" Target="https://www.deeside.com/cheshire-housing-market-did-well-in-2024-with-uk-set-to-see-further-growth-in-2025/" TargetMode="External"/><Relationship Id="rId12615" Type="http://schemas.openxmlformats.org/officeDocument/2006/relationships/hyperlink" Target="https://www.lboro.ac.uk/media-centre/press-releases/2025/october/taylor-coogan-settlement/" TargetMode="External"/><Relationship Id="rId1623" Type="http://schemas.openxmlformats.org/officeDocument/2006/relationships/hyperlink" Target="https://www.simpleshowing.com/" TargetMode="External"/><Relationship Id="rId8236" Type="http://schemas.openxmlformats.org/officeDocument/2006/relationships/hyperlink" Target="https://ventsmagazine.co.uk/free-3d-rendering-programs/" TargetMode="External"/><Relationship Id="rId10166" Type="http://schemas.openxmlformats.org/officeDocument/2006/relationships/hyperlink" Target="https://www.lyricsgoo.com/understanding-distance-measuring-sensors/" TargetMode="External"/><Relationship Id="rId11217" Type="http://schemas.openxmlformats.org/officeDocument/2006/relationships/hyperlink" Target="https://www.waterdamagespecialist.com.au/" TargetMode="External"/><Relationship Id="rId14787" Type="http://schemas.openxmlformats.org/officeDocument/2006/relationships/hyperlink" Target="https://houstonsuburb.com/real-estate-blog/why-seasonal-garage-door-inspections-matter-for-houston-homes/" TargetMode="External"/><Relationship Id="rId15838" Type="http://schemas.openxmlformats.org/officeDocument/2006/relationships/hyperlink" Target="https://myinteriorpalace.com/" TargetMode="External"/><Relationship Id="rId3795" Type="http://schemas.openxmlformats.org/officeDocument/2006/relationships/hyperlink" Target="https://www.simpleshowing.com/" TargetMode="External"/><Relationship Id="rId4846" Type="http://schemas.openxmlformats.org/officeDocument/2006/relationships/hyperlink" Target="https://www.simpleshowing.com/" TargetMode="External"/><Relationship Id="rId13389" Type="http://schemas.openxmlformats.org/officeDocument/2006/relationships/hyperlink" Target="https://www.anniebabymonitor.com/" TargetMode="External"/><Relationship Id="rId2397" Type="http://schemas.openxmlformats.org/officeDocument/2006/relationships/hyperlink" Target="https://www.simpleshowing.com/" TargetMode="External"/><Relationship Id="rId3448" Type="http://schemas.openxmlformats.org/officeDocument/2006/relationships/hyperlink" Target="https://www.pulte.com/" TargetMode="External"/><Relationship Id="rId369" Type="http://schemas.openxmlformats.org/officeDocument/2006/relationships/hyperlink" Target="https://diyhomecomfort.com/blog/diy-real-estate-for-investors" TargetMode="External"/><Relationship Id="rId9491" Type="http://schemas.openxmlformats.org/officeDocument/2006/relationships/hyperlink" Target="https://www.swimjim.com/blog/staying-afloat-understanding-buoyancy-for-beginner-swimmers" TargetMode="External"/><Relationship Id="rId10300" Type="http://schemas.openxmlformats.org/officeDocument/2006/relationships/hyperlink" Target="https://www.teachengineering.org/" TargetMode="External"/><Relationship Id="rId13870" Type="http://schemas.openxmlformats.org/officeDocument/2006/relationships/hyperlink" Target="https://myinteriorpalace.com/" TargetMode="External"/><Relationship Id="rId14921" Type="http://schemas.openxmlformats.org/officeDocument/2006/relationships/hyperlink" Target="https://www.fluidplumbingservices.com.au/" TargetMode="External"/><Relationship Id="rId1480" Type="http://schemas.openxmlformats.org/officeDocument/2006/relationships/hyperlink" Target="https://ritewindow.com/blog/3-indicators-its-time-to-upgrade-your-shower-or-bath/" TargetMode="External"/><Relationship Id="rId8093" Type="http://schemas.openxmlformats.org/officeDocument/2006/relationships/hyperlink" Target="https://www.pinoyeplans.com/" TargetMode="External"/><Relationship Id="rId9144" Type="http://schemas.openxmlformats.org/officeDocument/2006/relationships/hyperlink" Target="https://www.pinoyeplans.com/" TargetMode="External"/><Relationship Id="rId12472" Type="http://schemas.openxmlformats.org/officeDocument/2006/relationships/hyperlink" Target="https://sturents.com/" TargetMode="External"/><Relationship Id="rId13523" Type="http://schemas.openxmlformats.org/officeDocument/2006/relationships/hyperlink" Target="https://anationofmoms.com/" TargetMode="External"/><Relationship Id="rId850" Type="http://schemas.openxmlformats.org/officeDocument/2006/relationships/hyperlink" Target="https://www.absolutepestmgmt.com/" TargetMode="External"/><Relationship Id="rId1133" Type="http://schemas.openxmlformats.org/officeDocument/2006/relationships/hyperlink" Target="https://local.dailyherald.com/arlington%20heights-il/matrix-basement-finishing-arlington-heights-847-613-4131" TargetMode="External"/><Relationship Id="rId2531" Type="http://schemas.openxmlformats.org/officeDocument/2006/relationships/hyperlink" Target="https://www.wltx.com/article/money/business/new-residential-development-coming-to-lexington-southcarolina-lake-murray-carriage-estates-homes/101-482a8180-ed47-4c88-bb07-2eb893674eec" TargetMode="External"/><Relationship Id="rId11074" Type="http://schemas.openxmlformats.org/officeDocument/2006/relationships/hyperlink" Target="https://www.teachengineering.org/" TargetMode="External"/><Relationship Id="rId12125" Type="http://schemas.openxmlformats.org/officeDocument/2006/relationships/hyperlink" Target="https://onsentowel.com/blogs/education/wool-vs-plastic-dryer-balls" TargetMode="External"/><Relationship Id="rId15695" Type="http://schemas.openxmlformats.org/officeDocument/2006/relationships/hyperlink" Target="https://www.modinex.com.au/" TargetMode="External"/><Relationship Id="rId503" Type="http://schemas.openxmlformats.org/officeDocument/2006/relationships/hyperlink" Target="https://www.simpleshowing.com/" TargetMode="External"/><Relationship Id="rId5754" Type="http://schemas.openxmlformats.org/officeDocument/2006/relationships/hyperlink" Target="https://www.simpleshowing.com/" TargetMode="External"/><Relationship Id="rId6805" Type="http://schemas.openxmlformats.org/officeDocument/2006/relationships/hyperlink" Target="https://www.taylormorrison.com/" TargetMode="External"/><Relationship Id="rId14297" Type="http://schemas.openxmlformats.org/officeDocument/2006/relationships/hyperlink" Target="https://luxurylifestyle.com/" TargetMode="External"/><Relationship Id="rId15348" Type="http://schemas.openxmlformats.org/officeDocument/2006/relationships/hyperlink" Target="https://www.designscene.net/2020/03/leading-modern-interior-designers.html" TargetMode="External"/><Relationship Id="rId4356" Type="http://schemas.openxmlformats.org/officeDocument/2006/relationships/hyperlink" Target="https://www.mashvisor.com/blog/how-to-be-a-realtor/" TargetMode="External"/><Relationship Id="rId5407" Type="http://schemas.openxmlformats.org/officeDocument/2006/relationships/hyperlink" Target="https://www.nimbleappgenie.com/blogs/ai-in-loan-lending/" TargetMode="External"/><Relationship Id="rId8977" Type="http://schemas.openxmlformats.org/officeDocument/2006/relationships/hyperlink" Target="https://nycestimating.us/" TargetMode="External"/><Relationship Id="rId4009" Type="http://schemas.openxmlformats.org/officeDocument/2006/relationships/hyperlink" Target="https://appleplumbing.com/" TargetMode="External"/><Relationship Id="rId7579" Type="http://schemas.openxmlformats.org/officeDocument/2006/relationships/hyperlink" Target="https://www.simpleshowing.com/" TargetMode="External"/><Relationship Id="rId11958" Type="http://schemas.openxmlformats.org/officeDocument/2006/relationships/hyperlink" Target="https://www.hamiltoninternationalestates.com/" TargetMode="External"/><Relationship Id="rId13380" Type="http://schemas.openxmlformats.org/officeDocument/2006/relationships/hyperlink" Target="https://mediate.com/mediator-profile/Jay-R.-Vaughn/?id=39971" TargetMode="External"/><Relationship Id="rId13033" Type="http://schemas.openxmlformats.org/officeDocument/2006/relationships/hyperlink" Target="https://propertypressonline.co.uk/" TargetMode="External"/><Relationship Id="rId14431" Type="http://schemas.openxmlformats.org/officeDocument/2006/relationships/hyperlink" Target="https://myinteriorpalace.com/" TargetMode="External"/><Relationship Id="rId360" Type="http://schemas.openxmlformats.org/officeDocument/2006/relationships/hyperlink" Target="http://northernvirginiahomepro.com/" TargetMode="External"/><Relationship Id="rId2041" Type="http://schemas.openxmlformats.org/officeDocument/2006/relationships/hyperlink" Target="https://markspain.com/" TargetMode="External"/><Relationship Id="rId5264" Type="http://schemas.openxmlformats.org/officeDocument/2006/relationships/hyperlink" Target="https://www.simpleshowing.com/" TargetMode="External"/><Relationship Id="rId6662" Type="http://schemas.openxmlformats.org/officeDocument/2006/relationships/hyperlink" Target="https://www.eplanters.com/blog/" TargetMode="External"/><Relationship Id="rId7713" Type="http://schemas.openxmlformats.org/officeDocument/2006/relationships/hyperlink" Target="https://boatzon.com/boats-for-sale/georgia" TargetMode="External"/><Relationship Id="rId16256" Type="http://schemas.openxmlformats.org/officeDocument/2006/relationships/hyperlink" Target="https://www.unitedcarpetsandbeds.com/" TargetMode="External"/><Relationship Id="rId6315" Type="http://schemas.openxmlformats.org/officeDocument/2006/relationships/hyperlink" Target="https://www.quirkohub.com/can-i-negotiate-with-debt-collectors/" TargetMode="External"/><Relationship Id="rId9885" Type="http://schemas.openxmlformats.org/officeDocument/2006/relationships/hyperlink" Target="https://www.pinoyeplans.com/" TargetMode="External"/><Relationship Id="rId12866" Type="http://schemas.openxmlformats.org/officeDocument/2006/relationships/hyperlink" Target="https://www.shma.co.uk/" TargetMode="External"/><Relationship Id="rId13917" Type="http://schemas.openxmlformats.org/officeDocument/2006/relationships/hyperlink" Target="https://trentonroofing.com/blog/hip-roof-vs-gable-roof-which-one-should-you-choose/" TargetMode="External"/><Relationship Id="rId99" Type="http://schemas.openxmlformats.org/officeDocument/2006/relationships/hyperlink" Target="http://second-fledgling.com/" TargetMode="External"/><Relationship Id="rId1874" Type="http://schemas.openxmlformats.org/officeDocument/2006/relationships/hyperlink" Target="https://www.meredithplays.com/the-most-meaningful-green-changes-you-can-make-to-your-home-this-summer/" TargetMode="External"/><Relationship Id="rId2925" Type="http://schemas.openxmlformats.org/officeDocument/2006/relationships/hyperlink" Target="https://www.simpleshowing.com/" TargetMode="External"/><Relationship Id="rId8487" Type="http://schemas.openxmlformats.org/officeDocument/2006/relationships/hyperlink" Target="https://www.cylind.com/" TargetMode="External"/><Relationship Id="rId9538" Type="http://schemas.openxmlformats.org/officeDocument/2006/relationships/hyperlink" Target="https://www.teachengineering.org/" TargetMode="External"/><Relationship Id="rId11468" Type="http://schemas.openxmlformats.org/officeDocument/2006/relationships/hyperlink" Target="https://www.hamiltoninternationalestates.com/" TargetMode="External"/><Relationship Id="rId12519" Type="http://schemas.openxmlformats.org/officeDocument/2006/relationships/hyperlink" Target="https://www.tandfonline.com/doi/full/10.1080/10511482.2022.2137379" TargetMode="External"/><Relationship Id="rId1527" Type="http://schemas.openxmlformats.org/officeDocument/2006/relationships/hyperlink" Target="https://www.simpleshowing.com/" TargetMode="External"/><Relationship Id="rId7089" Type="http://schemas.openxmlformats.org/officeDocument/2006/relationships/hyperlink" Target="http://huttochamber.chambermaster.com/list/member/taylor-morrison-homes-4649" TargetMode="External"/><Relationship Id="rId3699" Type="http://schemas.openxmlformats.org/officeDocument/2006/relationships/hyperlink" Target="https://www.simpleshowing.com/" TargetMode="External"/><Relationship Id="rId4000" Type="http://schemas.openxmlformats.org/officeDocument/2006/relationships/hyperlink" Target="https://www.smartsolarenergyco.com/" TargetMode="External"/><Relationship Id="rId7570" Type="http://schemas.openxmlformats.org/officeDocument/2006/relationships/hyperlink" Target="https://www.simpleshowing.com/" TargetMode="External"/><Relationship Id="rId8621" Type="http://schemas.openxmlformats.org/officeDocument/2006/relationships/hyperlink" Target="https://www.pinoyeplans.com/" TargetMode="External"/><Relationship Id="rId6172" Type="http://schemas.openxmlformats.org/officeDocument/2006/relationships/hyperlink" Target="https://www.simpleshowing.com/" TargetMode="External"/><Relationship Id="rId7223" Type="http://schemas.openxmlformats.org/officeDocument/2006/relationships/hyperlink" Target="https://laurentaylorlaw.com/estate-planning/rock-hill/" TargetMode="External"/><Relationship Id="rId10551" Type="http://schemas.openxmlformats.org/officeDocument/2006/relationships/hyperlink" Target="https://www.pinoyeplans.com/" TargetMode="External"/><Relationship Id="rId11602" Type="http://schemas.openxmlformats.org/officeDocument/2006/relationships/hyperlink" Target="https://sellhousefast.uk/" TargetMode="External"/><Relationship Id="rId9395" Type="http://schemas.openxmlformats.org/officeDocument/2006/relationships/hyperlink" Target="https://www.calacademy.org/educators/lens-of-time-how-hummingbirds-hover" TargetMode="External"/><Relationship Id="rId10204" Type="http://schemas.openxmlformats.org/officeDocument/2006/relationships/hyperlink" Target="https://www.teachengineering.org/" TargetMode="External"/><Relationship Id="rId13774" Type="http://schemas.openxmlformats.org/officeDocument/2006/relationships/hyperlink" Target="https://myinteriorpalace.com/" TargetMode="External"/><Relationship Id="rId14825" Type="http://schemas.openxmlformats.org/officeDocument/2006/relationships/hyperlink" Target="https://www.fluidplumbingservices.com.au/" TargetMode="External"/><Relationship Id="rId2782" Type="http://schemas.openxmlformats.org/officeDocument/2006/relationships/hyperlink" Target="https://www.pulte.com/" TargetMode="External"/><Relationship Id="rId3833" Type="http://schemas.openxmlformats.org/officeDocument/2006/relationships/hyperlink" Target="https://morningchores.com/diy-hot-tub/" TargetMode="External"/><Relationship Id="rId9048" Type="http://schemas.openxmlformats.org/officeDocument/2006/relationships/hyperlink" Target="https://www.pinoyeplans.com/" TargetMode="External"/><Relationship Id="rId12376" Type="http://schemas.openxmlformats.org/officeDocument/2006/relationships/hyperlink" Target="https://sturents.com/" TargetMode="External"/><Relationship Id="rId13427" Type="http://schemas.openxmlformats.org/officeDocument/2006/relationships/hyperlink" Target="https://anationofmoms.com/" TargetMode="External"/><Relationship Id="rId754" Type="http://schemas.openxmlformats.org/officeDocument/2006/relationships/hyperlink" Target="https://hatterasblog.surforsound.com/category/all-posts/page/32/" TargetMode="External"/><Relationship Id="rId1384" Type="http://schemas.openxmlformats.org/officeDocument/2006/relationships/hyperlink" Target="https://ritewindow.com/blog/3-indicators-its-time-to-upgrade-your-shower-or-bath/" TargetMode="External"/><Relationship Id="rId2435" Type="http://schemas.openxmlformats.org/officeDocument/2006/relationships/hyperlink" Target="https://www.steadily.com/blog/average-rent-raleigh" TargetMode="External"/><Relationship Id="rId12029" Type="http://schemas.openxmlformats.org/officeDocument/2006/relationships/hyperlink" Target="https://genzryan.com/blog/how-to-clean-a-furnace/" TargetMode="External"/><Relationship Id="rId15599" Type="http://schemas.openxmlformats.org/officeDocument/2006/relationships/hyperlink" Target="https://www.luxdeco.com/" TargetMode="External"/><Relationship Id="rId90" Type="http://schemas.openxmlformats.org/officeDocument/2006/relationships/hyperlink" Target="http://globallyinform.com/" TargetMode="External"/><Relationship Id="rId407" Type="http://schemas.openxmlformats.org/officeDocument/2006/relationships/hyperlink" Target="https://blog.flock.com/advantages-of-real-estate-crm-solutions-for-real-estate-businesses" TargetMode="External"/><Relationship Id="rId1037" Type="http://schemas.openxmlformats.org/officeDocument/2006/relationships/hyperlink" Target="https://enthrallinggumption.com/how-design-savvy-homeowners-are-rethinking-their-living-spaces/" TargetMode="External"/><Relationship Id="rId5658" Type="http://schemas.openxmlformats.org/officeDocument/2006/relationships/hyperlink" Target="https://www.simpleshowing.com/" TargetMode="External"/><Relationship Id="rId6709" Type="http://schemas.openxmlformats.org/officeDocument/2006/relationships/hyperlink" Target="https://www.eplanters.com/blog/" TargetMode="External"/><Relationship Id="rId7080" Type="http://schemas.openxmlformats.org/officeDocument/2006/relationships/hyperlink" Target="https://fabulousarizona.com/arizona-homes/the-home-edit-partners-with-taylor-morrison-for-new-home-new-zones/" TargetMode="External"/><Relationship Id="rId8131" Type="http://schemas.openxmlformats.org/officeDocument/2006/relationships/hyperlink" Target="https://moveforhunger.org/crunch-fitness-locations-across-country-hold-massive-thanksgiving-food-drive" TargetMode="External"/><Relationship Id="rId10061" Type="http://schemas.openxmlformats.org/officeDocument/2006/relationships/hyperlink" Target="https://smartish.com/blogs/news/custom-design-phone-cases" TargetMode="External"/><Relationship Id="rId11112" Type="http://schemas.openxmlformats.org/officeDocument/2006/relationships/hyperlink" Target="https://www.experienceparry.com/" TargetMode="External"/><Relationship Id="rId12510" Type="http://schemas.openxmlformats.org/officeDocument/2006/relationships/hyperlink" Target="https://sturents.stonly.com/kb/guide/en/how-to-search-for-accommodation-zfKsNcM7tn/Steps/1303519" TargetMode="External"/><Relationship Id="rId3690" Type="http://schemas.openxmlformats.org/officeDocument/2006/relationships/hyperlink" Target="https://www.simpleshowing.com/" TargetMode="External"/><Relationship Id="rId14682" Type="http://schemas.openxmlformats.org/officeDocument/2006/relationships/hyperlink" Target="https://conservamome.com/top-5-garage-door-repair-services-in-houston-you-can-rely-on/" TargetMode="External"/><Relationship Id="rId15733" Type="http://schemas.openxmlformats.org/officeDocument/2006/relationships/hyperlink" Target="https://myinteriorpalace.com/" TargetMode="External"/><Relationship Id="rId2292" Type="http://schemas.openxmlformats.org/officeDocument/2006/relationships/hyperlink" Target="https://www.simpleshowing.com/" TargetMode="External"/><Relationship Id="rId3343" Type="http://schemas.openxmlformats.org/officeDocument/2006/relationships/hyperlink" Target="https://www.pulte.com/" TargetMode="External"/><Relationship Id="rId4741" Type="http://schemas.openxmlformats.org/officeDocument/2006/relationships/hyperlink" Target="https://www.simpleshowing.com/" TargetMode="External"/><Relationship Id="rId13284" Type="http://schemas.openxmlformats.org/officeDocument/2006/relationships/hyperlink" Target="https://www.ein.org.uk/blog/property-investment-and-immigration" TargetMode="External"/><Relationship Id="rId14335" Type="http://schemas.openxmlformats.org/officeDocument/2006/relationships/hyperlink" Target="https://myinteriorpalace.com/" TargetMode="External"/><Relationship Id="rId264" Type="http://schemas.openxmlformats.org/officeDocument/2006/relationships/hyperlink" Target="http://northernvirginiahomepro.com/" TargetMode="External"/><Relationship Id="rId7964" Type="http://schemas.openxmlformats.org/officeDocument/2006/relationships/hyperlink" Target="https://www.pinoyeplans.com/" TargetMode="External"/><Relationship Id="rId10945" Type="http://schemas.openxmlformats.org/officeDocument/2006/relationships/hyperlink" Target="https://www.teachengineering.org/" TargetMode="External"/><Relationship Id="rId6566" Type="http://schemas.openxmlformats.org/officeDocument/2006/relationships/hyperlink" Target="https://www.simpleshowing.com/" TargetMode="External"/><Relationship Id="rId7617" Type="http://schemas.openxmlformats.org/officeDocument/2006/relationships/hyperlink" Target="https://www.remoterocketship.com/company/taylormorrison/" TargetMode="External"/><Relationship Id="rId5168" Type="http://schemas.openxmlformats.org/officeDocument/2006/relationships/hyperlink" Target="https://www.simpleshowing.com/" TargetMode="External"/><Relationship Id="rId6219" Type="http://schemas.openxmlformats.org/officeDocument/2006/relationships/hyperlink" Target="https://nameswhisper.com/planning-ahead-to-avoid-the-loan-trap/" TargetMode="External"/><Relationship Id="rId9789" Type="http://schemas.openxmlformats.org/officeDocument/2006/relationships/hyperlink" Target="https://www.pinoyeplans.com/" TargetMode="External"/><Relationship Id="rId12020" Type="http://schemas.openxmlformats.org/officeDocument/2006/relationships/hyperlink" Target="https://westcoastsaw.com/blogs/blogs/the-ultimate-guide-to-chainsaw-bars" TargetMode="External"/><Relationship Id="rId15590" Type="http://schemas.openxmlformats.org/officeDocument/2006/relationships/hyperlink" Target="https://www.luxdeco.com/" TargetMode="External"/><Relationship Id="rId1778" Type="http://schemas.openxmlformats.org/officeDocument/2006/relationships/hyperlink" Target="https://momhomeguide.com/8-smart-ways-save-money-your-energy-bills/" TargetMode="External"/><Relationship Id="rId2829" Type="http://schemas.openxmlformats.org/officeDocument/2006/relationships/hyperlink" Target="https://www.simpleshowing.com/" TargetMode="External"/><Relationship Id="rId6700" Type="http://schemas.openxmlformats.org/officeDocument/2006/relationships/hyperlink" Target="https://www.eplanters.com/blog/" TargetMode="External"/><Relationship Id="rId14192" Type="http://schemas.openxmlformats.org/officeDocument/2006/relationships/hyperlink" Target="https://luxurylifestyle.com/" TargetMode="External"/><Relationship Id="rId15243" Type="http://schemas.openxmlformats.org/officeDocument/2006/relationships/hyperlink" Target="https://luxurylaunches.com/other_stuff/versace-vanity-la-doree-tableware-collection-golden-meal-times.php" TargetMode="External"/><Relationship Id="rId4251" Type="http://schemas.openxmlformats.org/officeDocument/2006/relationships/hyperlink" Target="https://johndecember.com/places/lv/blue.html" TargetMode="External"/><Relationship Id="rId5302" Type="http://schemas.openxmlformats.org/officeDocument/2006/relationships/hyperlink" Target="https://www.simpleshowing.com/" TargetMode="External"/><Relationship Id="rId7474" Type="http://schemas.openxmlformats.org/officeDocument/2006/relationships/hyperlink" Target="https://www.simpleshowing.com/" TargetMode="External"/><Relationship Id="rId8872" Type="http://schemas.openxmlformats.org/officeDocument/2006/relationships/hyperlink" Target="https://www.trianglepest.com/" TargetMode="External"/><Relationship Id="rId9923" Type="http://schemas.openxmlformats.org/officeDocument/2006/relationships/hyperlink" Target="https://scoutmasterbucky.com/nova-lab/scouts-bsa/whoosh/" TargetMode="External"/><Relationship Id="rId11853" Type="http://schemas.openxmlformats.org/officeDocument/2006/relationships/hyperlink" Target="https://www.hamiltoninternationalestates.com/" TargetMode="External"/><Relationship Id="rId12904" Type="http://schemas.openxmlformats.org/officeDocument/2006/relationships/hyperlink" Target="https://propertypressonline.co.uk/" TargetMode="External"/><Relationship Id="rId1912" Type="http://schemas.openxmlformats.org/officeDocument/2006/relationships/hyperlink" Target="https://markspain.com/" TargetMode="External"/><Relationship Id="rId6076" Type="http://schemas.openxmlformats.org/officeDocument/2006/relationships/hyperlink" Target="https://www.simpleshowing.com/" TargetMode="External"/><Relationship Id="rId7127" Type="http://schemas.openxmlformats.org/officeDocument/2006/relationships/hyperlink" Target="https://www.simpleshowing.com/" TargetMode="External"/><Relationship Id="rId8525" Type="http://schemas.openxmlformats.org/officeDocument/2006/relationships/hyperlink" Target="https://www.pinoyeplans.com/" TargetMode="External"/><Relationship Id="rId10455" Type="http://schemas.openxmlformats.org/officeDocument/2006/relationships/hyperlink" Target="https://www.pinoyeplans.com/" TargetMode="External"/><Relationship Id="rId11506" Type="http://schemas.openxmlformats.org/officeDocument/2006/relationships/hyperlink" Target="https://ifamagazine.com/the-uk-areas-spending-almost-their-entire-salary-on-mortgage-repayments-revealed/" TargetMode="External"/><Relationship Id="rId10108" Type="http://schemas.openxmlformats.org/officeDocument/2006/relationships/hyperlink" Target="https://www.teachengineering.org/" TargetMode="External"/><Relationship Id="rId13678" Type="http://schemas.openxmlformats.org/officeDocument/2006/relationships/hyperlink" Target="https://myinteriorpalace.com/" TargetMode="External"/><Relationship Id="rId14729" Type="http://schemas.openxmlformats.org/officeDocument/2006/relationships/hyperlink" Target="https://www.easygaragedoorrepair.com/" TargetMode="External"/><Relationship Id="rId2686" Type="http://schemas.openxmlformats.org/officeDocument/2006/relationships/hyperlink" Target="https://www.pulte.com/" TargetMode="External"/><Relationship Id="rId3737" Type="http://schemas.openxmlformats.org/officeDocument/2006/relationships/hyperlink" Target="https://blog.drummondhouseplans.com/2014/05/28/garage-door-maintenance-tips/" TargetMode="External"/><Relationship Id="rId9299" Type="http://schemas.openxmlformats.org/officeDocument/2006/relationships/hyperlink" Target="https://ncwit.org/" TargetMode="External"/><Relationship Id="rId16151" Type="http://schemas.openxmlformats.org/officeDocument/2006/relationships/hyperlink" Target="https://www.unitedcarpetsandbeds.com/" TargetMode="External"/><Relationship Id="rId658" Type="http://schemas.openxmlformats.org/officeDocument/2006/relationships/hyperlink" Target="https://entrepreneursbreak.com/dont-miss-these-8-tips-before-planning-your-next-vacation-with-your-furry-friend.html" TargetMode="External"/><Relationship Id="rId1288" Type="http://schemas.openxmlformats.org/officeDocument/2006/relationships/hyperlink" Target="https://darscover.com/" TargetMode="External"/><Relationship Id="rId2339" Type="http://schemas.openxmlformats.org/officeDocument/2006/relationships/hyperlink" Target="https://www.centex.com/" TargetMode="External"/><Relationship Id="rId6210" Type="http://schemas.openxmlformats.org/officeDocument/2006/relationships/hyperlink" Target="https://www.simpleshowing.com/" TargetMode="External"/><Relationship Id="rId9780" Type="http://schemas.openxmlformats.org/officeDocument/2006/relationships/hyperlink" Target="https://www.pinoyeplans.com/" TargetMode="External"/><Relationship Id="rId8382" Type="http://schemas.openxmlformats.org/officeDocument/2006/relationships/hyperlink" Target="https://24hourfloodpros.com/" TargetMode="External"/><Relationship Id="rId9433" Type="http://schemas.openxmlformats.org/officeDocument/2006/relationships/hyperlink" Target="https://www.teachengineering.org/" TargetMode="External"/><Relationship Id="rId12761" Type="http://schemas.openxmlformats.org/officeDocument/2006/relationships/hyperlink" Target="https://www.shma.co.uk/" TargetMode="External"/><Relationship Id="rId13812" Type="http://schemas.openxmlformats.org/officeDocument/2006/relationships/hyperlink" Target="https://espaciodca.fedace.org/comment/120660" TargetMode="External"/><Relationship Id="rId1422" Type="http://schemas.openxmlformats.org/officeDocument/2006/relationships/hyperlink" Target="https://www.simpleshowing.com/" TargetMode="External"/><Relationship Id="rId2820" Type="http://schemas.openxmlformats.org/officeDocument/2006/relationships/hyperlink" Target="https://www.simpleshowing.com/" TargetMode="External"/><Relationship Id="rId8035" Type="http://schemas.openxmlformats.org/officeDocument/2006/relationships/hyperlink" Target="https://www.pinoyeplans.com/" TargetMode="External"/><Relationship Id="rId11016" Type="http://schemas.openxmlformats.org/officeDocument/2006/relationships/hyperlink" Target="https://www.pinoyeplans.com/" TargetMode="External"/><Relationship Id="rId11363" Type="http://schemas.openxmlformats.org/officeDocument/2006/relationships/hyperlink" Target="https://www.hamiltoninternationalestates.com/" TargetMode="External"/><Relationship Id="rId12414" Type="http://schemas.openxmlformats.org/officeDocument/2006/relationships/hyperlink" Target="https://propertypressonline.co.uk/" TargetMode="External"/><Relationship Id="rId15984" Type="http://schemas.openxmlformats.org/officeDocument/2006/relationships/hyperlink" Target="https://ahouseinthehills.com/how-to-choose-modern-garage-doors-for-the-perfect-upgrade/" TargetMode="External"/><Relationship Id="rId4992" Type="http://schemas.openxmlformats.org/officeDocument/2006/relationships/hyperlink" Target="https://www.simpleshowing.com/" TargetMode="External"/><Relationship Id="rId14586" Type="http://schemas.openxmlformats.org/officeDocument/2006/relationships/hyperlink" Target="https://www.terristeffes.com/2024/12/what-is-average-cost-of-garage-door.html" TargetMode="External"/><Relationship Id="rId15637" Type="http://schemas.openxmlformats.org/officeDocument/2006/relationships/hyperlink" Target="https://myinteriorpalace.com/" TargetMode="External"/><Relationship Id="rId2196" Type="http://schemas.openxmlformats.org/officeDocument/2006/relationships/hyperlink" Target="https://www.simpleshowing.com/" TargetMode="External"/><Relationship Id="rId3594" Type="http://schemas.openxmlformats.org/officeDocument/2006/relationships/hyperlink" Target="https://www.simpleshowing.com/" TargetMode="External"/><Relationship Id="rId4645" Type="http://schemas.openxmlformats.org/officeDocument/2006/relationships/hyperlink" Target="https://www.simpleshowing.com/" TargetMode="External"/><Relationship Id="rId13188" Type="http://schemas.openxmlformats.org/officeDocument/2006/relationships/hyperlink" Target="https://blogs.uwe.ac.uk/sustainable-economies/water-scarcity-and-business-insights-from-the-sustainable-finance-roundtable/" TargetMode="External"/><Relationship Id="rId14239" Type="http://schemas.openxmlformats.org/officeDocument/2006/relationships/hyperlink" Target="https://myinteriorpalace.com/" TargetMode="External"/><Relationship Id="rId168" Type="http://schemas.openxmlformats.org/officeDocument/2006/relationships/hyperlink" Target="https://www.southbayresidential.com/" TargetMode="External"/><Relationship Id="rId3247" Type="http://schemas.openxmlformats.org/officeDocument/2006/relationships/hyperlink" Target="https://www.pulte.com/" TargetMode="External"/><Relationship Id="rId7868" Type="http://schemas.openxmlformats.org/officeDocument/2006/relationships/hyperlink" Target="https://www.pinoyeplans.com/" TargetMode="External"/><Relationship Id="rId8919" Type="http://schemas.openxmlformats.org/officeDocument/2006/relationships/hyperlink" Target="https://www.pinoyeplans.com/" TargetMode="External"/><Relationship Id="rId10849" Type="http://schemas.openxmlformats.org/officeDocument/2006/relationships/hyperlink" Target="https://www.teachengineering.org/" TargetMode="External"/><Relationship Id="rId9290" Type="http://schemas.openxmlformats.org/officeDocument/2006/relationships/hyperlink" Target="https://www.cadencepetroleum.com/blog/how-to-reduce-friction/" TargetMode="External"/><Relationship Id="rId12271" Type="http://schemas.openxmlformats.org/officeDocument/2006/relationships/hyperlink" Target="https://www.ridgefieldconsulting.co.uk/" TargetMode="External"/><Relationship Id="rId13322" Type="http://schemas.openxmlformats.org/officeDocument/2006/relationships/hyperlink" Target="https://a1floorsnc.com/" TargetMode="External"/><Relationship Id="rId14720" Type="http://schemas.openxmlformats.org/officeDocument/2006/relationships/hyperlink" Target="https://www.easygaragedoorrepair.com/" TargetMode="External"/><Relationship Id="rId2330" Type="http://schemas.openxmlformats.org/officeDocument/2006/relationships/hyperlink" Target="https://v3.knowatlanta.com/blog/moving-to-dallas" TargetMode="External"/><Relationship Id="rId302" Type="http://schemas.openxmlformats.org/officeDocument/2006/relationships/hyperlink" Target="http://landhub.com/" TargetMode="External"/><Relationship Id="rId5553" Type="http://schemas.openxmlformats.org/officeDocument/2006/relationships/hyperlink" Target="https://soho.com.au/articles/line-of-credit-vs-offset-when-to-use-these-loan-features" TargetMode="External"/><Relationship Id="rId6951" Type="http://schemas.openxmlformats.org/officeDocument/2006/relationships/hyperlink" Target="https://www.flypgd.com/business/advertising-opportunities/" TargetMode="External"/><Relationship Id="rId14096" Type="http://schemas.openxmlformats.org/officeDocument/2006/relationships/hyperlink" Target="https://keystonecustomdecksny.com/" TargetMode="External"/><Relationship Id="rId15147" Type="http://schemas.openxmlformats.org/officeDocument/2006/relationships/hyperlink" Target="https://www.forbesafrica.com/fashion/2023/12/14/framing-elegance-the-medley-of-art-and-fashion-in-south-africa/" TargetMode="External"/><Relationship Id="rId15494" Type="http://schemas.openxmlformats.org/officeDocument/2006/relationships/hyperlink" Target="https://www.luxdeco.com/" TargetMode="External"/><Relationship Id="rId4155" Type="http://schemas.openxmlformats.org/officeDocument/2006/relationships/hyperlink" Target="mailto:davidtullly@gmail.com" TargetMode="External"/><Relationship Id="rId5206" Type="http://schemas.openxmlformats.org/officeDocument/2006/relationships/hyperlink" Target="https://www.simpleshowing.com/" TargetMode="External"/><Relationship Id="rId6604" Type="http://schemas.openxmlformats.org/officeDocument/2006/relationships/hyperlink" Target="https://www.women.com/1542022/benefits-steam-showers-explained/" TargetMode="External"/><Relationship Id="rId8776" Type="http://schemas.openxmlformats.org/officeDocument/2006/relationships/hyperlink" Target="https://kdarchitects.net/investing-in-a-flipped-home-watch-out-for-these-hidden-red-flags/" TargetMode="External"/><Relationship Id="rId9827" Type="http://schemas.openxmlformats.org/officeDocument/2006/relationships/hyperlink" Target="https://www.boisestate.edu/physics-cidsrsn/home/teaching-resources/" TargetMode="External"/><Relationship Id="rId11757" Type="http://schemas.openxmlformats.org/officeDocument/2006/relationships/hyperlink" Target="https://www.hamiltoninternationalestates.com/" TargetMode="External"/><Relationship Id="rId12808" Type="http://schemas.openxmlformats.org/officeDocument/2006/relationships/hyperlink" Target="https://propertypressonline.co.uk/" TargetMode="External"/><Relationship Id="rId1816" Type="http://schemas.openxmlformats.org/officeDocument/2006/relationships/hyperlink" Target="https://wolfriverelectric.com/" TargetMode="External"/><Relationship Id="rId7378" Type="http://schemas.openxmlformats.org/officeDocument/2006/relationships/hyperlink" Target="https://www.realtyinorlando.com/listing/o6326211-4749-yellow-elder-way-kissimmee-fl-34758/" TargetMode="External"/><Relationship Id="rId8429" Type="http://schemas.openxmlformats.org/officeDocument/2006/relationships/hyperlink" Target="https://www.pinoyeplans.com/" TargetMode="External"/><Relationship Id="rId10359" Type="http://schemas.openxmlformats.org/officeDocument/2006/relationships/hyperlink" Target="https://www.pinoyeplans.com/" TargetMode="External"/><Relationship Id="rId14230" Type="http://schemas.openxmlformats.org/officeDocument/2006/relationships/hyperlink" Target="https://myinteriorpalace.com/" TargetMode="External"/><Relationship Id="rId3988" Type="http://schemas.openxmlformats.org/officeDocument/2006/relationships/hyperlink" Target="https://www.smartsolarenergyco.com/" TargetMode="External"/><Relationship Id="rId8910" Type="http://schemas.openxmlformats.org/officeDocument/2006/relationships/hyperlink" Target="https://www.pinoyeplans.com/" TargetMode="External"/><Relationship Id="rId6461" Type="http://schemas.openxmlformats.org/officeDocument/2006/relationships/hyperlink" Target="https://www.thecoastaloak.com/bathroom-trends/" TargetMode="External"/><Relationship Id="rId7512" Type="http://schemas.openxmlformats.org/officeDocument/2006/relationships/hyperlink" Target="https://iocharts.io/ro/actiuni/TMHC" TargetMode="External"/><Relationship Id="rId10840" Type="http://schemas.openxmlformats.org/officeDocument/2006/relationships/hyperlink" Target="https://www.teachengineering.org/" TargetMode="External"/><Relationship Id="rId16055" Type="http://schemas.openxmlformats.org/officeDocument/2006/relationships/hyperlink" Target="https://www.rwdoors.com/" TargetMode="External"/><Relationship Id="rId5063" Type="http://schemas.openxmlformats.org/officeDocument/2006/relationships/hyperlink" Target="https://www.ironhack.com/us/blog/top-7-coding-jobs-that-are-booming-in-2025-and-how-beginners-can-land-them" TargetMode="External"/><Relationship Id="rId6114" Type="http://schemas.openxmlformats.org/officeDocument/2006/relationships/hyperlink" Target="https://www.simpleshowing.com/" TargetMode="External"/><Relationship Id="rId9684" Type="http://schemas.openxmlformats.org/officeDocument/2006/relationships/hyperlink" Target="https://www.pinoyeplans.com/" TargetMode="External"/><Relationship Id="rId8286" Type="http://schemas.openxmlformats.org/officeDocument/2006/relationships/hyperlink" Target="https://www.zestlighting.com.au/" TargetMode="External"/><Relationship Id="rId9337" Type="http://schemas.openxmlformats.org/officeDocument/2006/relationships/hyperlink" Target="https://www.teachengineering.org/" TargetMode="External"/><Relationship Id="rId12665" Type="http://schemas.openxmlformats.org/officeDocument/2006/relationships/hyperlink" Target="https://www.shma.co.uk/" TargetMode="External"/><Relationship Id="rId13716" Type="http://schemas.openxmlformats.org/officeDocument/2006/relationships/hyperlink" Target="https://www.writeraccess.com/blog/product-reviews-mean-increased-business/" TargetMode="External"/><Relationship Id="rId1673" Type="http://schemas.openxmlformats.org/officeDocument/2006/relationships/hyperlink" Target="https://secure2.websrvcs.com/system/media/play.asp?id=30216&amp;key=axcjdgpyqluzfigibwdn" TargetMode="External"/><Relationship Id="rId2724" Type="http://schemas.openxmlformats.org/officeDocument/2006/relationships/hyperlink" Target="https://www.simpleshowing.com/" TargetMode="External"/><Relationship Id="rId11267" Type="http://schemas.openxmlformats.org/officeDocument/2006/relationships/hyperlink" Target="https://www.waterdamagespecialist.com.au/" TargetMode="External"/><Relationship Id="rId12318" Type="http://schemas.openxmlformats.org/officeDocument/2006/relationships/hyperlink" Target="https://propertypressonline.co.uk/" TargetMode="External"/><Relationship Id="rId15888" Type="http://schemas.openxmlformats.org/officeDocument/2006/relationships/hyperlink" Target="https://www.bloglovin.com/blogs/a-house-in-hills-12110977/why-modern-garage-doors-are-a-game-changer-8735182594" TargetMode="External"/><Relationship Id="rId1326" Type="http://schemas.openxmlformats.org/officeDocument/2006/relationships/hyperlink" Target="https://www.simpleshowing.com/" TargetMode="External"/><Relationship Id="rId4896" Type="http://schemas.openxmlformats.org/officeDocument/2006/relationships/hyperlink" Target="https://www.simpleshowing.com/" TargetMode="External"/><Relationship Id="rId5947" Type="http://schemas.openxmlformats.org/officeDocument/2006/relationships/hyperlink" Target="https://siouxcityjournal.com/news/nation-world/business/" TargetMode="External"/><Relationship Id="rId32" Type="http://schemas.openxmlformats.org/officeDocument/2006/relationships/hyperlink" Target="http://rapidhomedirect.com/" TargetMode="External"/><Relationship Id="rId3498" Type="http://schemas.openxmlformats.org/officeDocument/2006/relationships/hyperlink" Target="https://www.simpleshowing.com/" TargetMode="External"/><Relationship Id="rId4549" Type="http://schemas.openxmlformats.org/officeDocument/2006/relationships/hyperlink" Target="https://www.simpleshowing.com/" TargetMode="External"/><Relationship Id="rId8420" Type="http://schemas.openxmlformats.org/officeDocument/2006/relationships/hyperlink" Target="https://www.pinoyeplans.com/" TargetMode="External"/><Relationship Id="rId10350" Type="http://schemas.openxmlformats.org/officeDocument/2006/relationships/hyperlink" Target="https://www.pinoyeplans.com/" TargetMode="External"/><Relationship Id="rId11401" Type="http://schemas.openxmlformats.org/officeDocument/2006/relationships/hyperlink" Target="https://webmail.trendswe.com/property/fsbo-vs-realtor-navigating-the-complex-landscape-of-selling-your-nevada-home/" TargetMode="External"/><Relationship Id="rId7022" Type="http://schemas.openxmlformats.org/officeDocument/2006/relationships/hyperlink" Target="https://www.taylormorrison.com/" TargetMode="External"/><Relationship Id="rId10003" Type="http://schemas.openxmlformats.org/officeDocument/2006/relationships/hyperlink" Target="https://www.teachengineering.org/" TargetMode="External"/><Relationship Id="rId14971" Type="http://schemas.openxmlformats.org/officeDocument/2006/relationships/hyperlink" Target="https://myinteriorpalace.com/" TargetMode="External"/><Relationship Id="rId2581" Type="http://schemas.openxmlformats.org/officeDocument/2006/relationships/hyperlink" Target="https://www.pulte.com/" TargetMode="External"/><Relationship Id="rId3632" Type="http://schemas.openxmlformats.org/officeDocument/2006/relationships/hyperlink" Target="https://torre.ai/post/2W1yx50W-pultegroup-construction-manager-inland-empire" TargetMode="External"/><Relationship Id="rId9194" Type="http://schemas.openxmlformats.org/officeDocument/2006/relationships/hyperlink" Target="https://www.boorooandtiggertoo.com/we-buy-any-house-ways-to-make-your-home-hot-property/" TargetMode="External"/><Relationship Id="rId12175" Type="http://schemas.openxmlformats.org/officeDocument/2006/relationships/hyperlink" Target="https://www.bobvila.com/" TargetMode="External"/><Relationship Id="rId13226" Type="http://schemas.openxmlformats.org/officeDocument/2006/relationships/hyperlink" Target="https://www.pureinvestor.co.uk/" TargetMode="External"/><Relationship Id="rId13573" Type="http://schemas.openxmlformats.org/officeDocument/2006/relationships/hyperlink" Target="https://myinteriorpalace.com/" TargetMode="External"/><Relationship Id="rId14624" Type="http://schemas.openxmlformats.org/officeDocument/2006/relationships/hyperlink" Target="https://www.easygaragedoorrepair.com/" TargetMode="External"/><Relationship Id="rId553" Type="http://schemas.openxmlformats.org/officeDocument/2006/relationships/hyperlink" Target="https://purewander.com/a-quick-outer-banks-vacation-guide/" TargetMode="External"/><Relationship Id="rId1183" Type="http://schemas.openxmlformats.org/officeDocument/2006/relationships/hyperlink" Target="https://happy2movelondon.co.uk/r" TargetMode="External"/><Relationship Id="rId2234" Type="http://schemas.openxmlformats.org/officeDocument/2006/relationships/hyperlink" Target="https://www.mothersalwaysright.com/how-to-find-and-hire-a-qualified-plumber/" TargetMode="External"/><Relationship Id="rId206" Type="http://schemas.openxmlformats.org/officeDocument/2006/relationships/hyperlink" Target="http://tinyhouse.com/" TargetMode="External"/><Relationship Id="rId6855" Type="http://schemas.openxmlformats.org/officeDocument/2006/relationships/hyperlink" Target="https://www.simpleshowing.com/" TargetMode="External"/><Relationship Id="rId7906" Type="http://schemas.openxmlformats.org/officeDocument/2006/relationships/hyperlink" Target="https://www.reveriepage.com/blog/assessing-damage-and-planning-home-repairs" TargetMode="External"/><Relationship Id="rId15398" Type="http://schemas.openxmlformats.org/officeDocument/2006/relationships/hyperlink" Target="https://www.luxdeco.com/" TargetMode="External"/><Relationship Id="rId4059" Type="http://schemas.openxmlformats.org/officeDocument/2006/relationships/hyperlink" Target="https://www.crowdspring.com/blog/how-to-start-a-real-estate-business/" TargetMode="External"/><Relationship Id="rId5457" Type="http://schemas.openxmlformats.org/officeDocument/2006/relationships/hyperlink" Target="https://www.leaders-in-law.com/esg-series-cop27-achievements-and-deficiencies/" TargetMode="External"/><Relationship Id="rId6508" Type="http://schemas.openxmlformats.org/officeDocument/2006/relationships/hyperlink" Target="https://www.simpleshowing.com/" TargetMode="External"/><Relationship Id="rId14481" Type="http://schemas.openxmlformats.org/officeDocument/2006/relationships/hyperlink" Target="https://michiganmamanews.com/2024/04/02/keeping-your-home-safe-5-tips-to-prevent-intruders/" TargetMode="External"/><Relationship Id="rId15532" Type="http://schemas.openxmlformats.org/officeDocument/2006/relationships/hyperlink" Target="https://myinteriorpalace.com/" TargetMode="External"/><Relationship Id="rId4540" Type="http://schemas.openxmlformats.org/officeDocument/2006/relationships/hyperlink" Target="https://www.simpleshowing.com/" TargetMode="External"/><Relationship Id="rId13083" Type="http://schemas.openxmlformats.org/officeDocument/2006/relationships/hyperlink" Target="https://www.kldiscovery.com/nl/blog/10-practical-tips-for-directors-in-litigation" TargetMode="External"/><Relationship Id="rId14134" Type="http://schemas.openxmlformats.org/officeDocument/2006/relationships/hyperlink" Target="https://myinteriorpalace.com/" TargetMode="External"/><Relationship Id="rId2091" Type="http://schemas.openxmlformats.org/officeDocument/2006/relationships/hyperlink" Target="https://www.simpleshowing.com/" TargetMode="External"/><Relationship Id="rId3142" Type="http://schemas.openxmlformats.org/officeDocument/2006/relationships/hyperlink" Target="https://www.pulte.com/" TargetMode="External"/><Relationship Id="rId7763" Type="http://schemas.openxmlformats.org/officeDocument/2006/relationships/hyperlink" Target="https://hightowerfalls.com/2025/05/24/20-places-to-propose-in-georgia-this-summer/" TargetMode="External"/><Relationship Id="rId6365" Type="http://schemas.openxmlformats.org/officeDocument/2006/relationships/hyperlink" Target="https://busyaussie.com/how-does-budget-billing-work/" TargetMode="External"/><Relationship Id="rId7416" Type="http://schemas.openxmlformats.org/officeDocument/2006/relationships/hyperlink" Target="https://www.emmysmummy.com/sustainable-living-in-the-south-five-ways-to-go-greener" TargetMode="External"/><Relationship Id="rId8814" Type="http://schemas.openxmlformats.org/officeDocument/2006/relationships/hyperlink" Target="https://www.pinoyeplans.com/" TargetMode="External"/><Relationship Id="rId10744" Type="http://schemas.openxmlformats.org/officeDocument/2006/relationships/hyperlink" Target="https://www.teachengineering.org/" TargetMode="External"/><Relationship Id="rId6018" Type="http://schemas.openxmlformats.org/officeDocument/2006/relationships/hyperlink" Target="https://www.simpleshowing.com/" TargetMode="External"/><Relationship Id="rId13967" Type="http://schemas.openxmlformats.org/officeDocument/2006/relationships/hyperlink" Target="https://faheyroofingcontractors.com/" TargetMode="External"/><Relationship Id="rId2975" Type="http://schemas.openxmlformats.org/officeDocument/2006/relationships/hyperlink" Target="https://business.sanmarcostexas.com/list/member/centex-homes-pulte-homes-5152211" TargetMode="External"/><Relationship Id="rId9588" Type="http://schemas.openxmlformats.org/officeDocument/2006/relationships/hyperlink" Target="https://www.pinoyeplans.com/" TargetMode="External"/><Relationship Id="rId12569" Type="http://schemas.openxmlformats.org/officeDocument/2006/relationships/hyperlink" Target="https://www.shma.co.uk/" TargetMode="External"/><Relationship Id="rId947" Type="http://schemas.openxmlformats.org/officeDocument/2006/relationships/hyperlink" Target="https://www.gigwise.com/home-improvement-tips-that-really-work/" TargetMode="External"/><Relationship Id="rId1577" Type="http://schemas.openxmlformats.org/officeDocument/2006/relationships/hyperlink" Target="https://easybib.co.uk/solar-installers-bringing-clean-energy-to-your-home/" TargetMode="External"/><Relationship Id="rId2628" Type="http://schemas.openxmlformats.org/officeDocument/2006/relationships/hyperlink" Target="https://www.simpleshowing.com/" TargetMode="External"/><Relationship Id="rId15042" Type="http://schemas.openxmlformats.org/officeDocument/2006/relationships/hyperlink" Target="https://www.countryandtownhouse.com/interiors/walk-in-wardrobes/" TargetMode="External"/><Relationship Id="rId4050" Type="http://schemas.openxmlformats.org/officeDocument/2006/relationships/hyperlink" Target="https://www.simpleshowing.com/" TargetMode="External"/><Relationship Id="rId5101" Type="http://schemas.openxmlformats.org/officeDocument/2006/relationships/hyperlink" Target="https://www.azilen.com/blog/fintech-consulting/" TargetMode="External"/><Relationship Id="rId8671" Type="http://schemas.openxmlformats.org/officeDocument/2006/relationships/hyperlink" Target="https://www.companyhub.nz/companyDetails.cfm?nzbn=9429048782210" TargetMode="External"/><Relationship Id="rId9722" Type="http://schemas.openxmlformats.org/officeDocument/2006/relationships/hyperlink" Target="https://www.participatelearning.com/blog/unique-events-for-classroom-discussion/" TargetMode="External"/><Relationship Id="rId1711" Type="http://schemas.openxmlformats.org/officeDocument/2006/relationships/hyperlink" Target="https://wolfriverelectric.com/" TargetMode="External"/><Relationship Id="rId7273" Type="http://schemas.openxmlformats.org/officeDocument/2006/relationships/hyperlink" Target="https://www.weareiowa.com/article/money/consumer/taylor-morrison-files-complaint-against-home-inspector-who-posts-videos-of-inspections-on-social-media/75-fc64bf74-360c-4f54-ac08-1d79f2af1d67" TargetMode="External"/><Relationship Id="rId8324" Type="http://schemas.openxmlformats.org/officeDocument/2006/relationships/hyperlink" Target="https://www.pinoyeplans.com/" TargetMode="External"/><Relationship Id="rId10254" Type="http://schemas.openxmlformats.org/officeDocument/2006/relationships/hyperlink" Target="https://www.pinoyeplans.com/" TargetMode="External"/><Relationship Id="rId11652" Type="http://schemas.openxmlformats.org/officeDocument/2006/relationships/hyperlink" Target="https://www.hamiltoninternationalestates.com/" TargetMode="External"/><Relationship Id="rId12703" Type="http://schemas.openxmlformats.org/officeDocument/2006/relationships/hyperlink" Target="https://propertypressonline.co.uk/" TargetMode="External"/><Relationship Id="rId11305" Type="http://schemas.openxmlformats.org/officeDocument/2006/relationships/hyperlink" Target="https://www.hamiltoninternationalestates.com/" TargetMode="External"/><Relationship Id="rId14875" Type="http://schemas.openxmlformats.org/officeDocument/2006/relationships/hyperlink" Target="https://myinteriorpalace.com/" TargetMode="External"/><Relationship Id="rId15926" Type="http://schemas.openxmlformats.org/officeDocument/2006/relationships/hyperlink" Target="https://www.raynorkc.com/" TargetMode="External"/><Relationship Id="rId2485" Type="http://schemas.openxmlformats.org/officeDocument/2006/relationships/hyperlink" Target="https://www.pulte.com/" TargetMode="External"/><Relationship Id="rId3883" Type="http://schemas.openxmlformats.org/officeDocument/2006/relationships/hyperlink" Target="https://thecoverguy.com/" TargetMode="External"/><Relationship Id="rId4934" Type="http://schemas.openxmlformats.org/officeDocument/2006/relationships/hyperlink" Target="https://www.simpleshowing.com/" TargetMode="External"/><Relationship Id="rId9098" Type="http://schemas.openxmlformats.org/officeDocument/2006/relationships/hyperlink" Target="https://winsetupfromusb.org/high-tech-estimation-systems-for-cost-savvy-contractors/" TargetMode="External"/><Relationship Id="rId13477" Type="http://schemas.openxmlformats.org/officeDocument/2006/relationships/hyperlink" Target="https://myinteriorpalace.com/" TargetMode="External"/><Relationship Id="rId14528" Type="http://schemas.openxmlformats.org/officeDocument/2006/relationships/hyperlink" Target="https://www.easygaragedoorrepair.com/" TargetMode="External"/><Relationship Id="rId457" Type="http://schemas.openxmlformats.org/officeDocument/2006/relationships/hyperlink" Target="https://www.rentbottomline.com/blog/hidden-vacation-rental-costs-property-management-companies-dont-always-mention" TargetMode="External"/><Relationship Id="rId1087" Type="http://schemas.openxmlformats.org/officeDocument/2006/relationships/hyperlink" Target="https://www.matrixbasements.com/" TargetMode="External"/><Relationship Id="rId2138" Type="http://schemas.openxmlformats.org/officeDocument/2006/relationships/hyperlink" Target="https://www.thodex.com/closing-deals-faster-how-tech-is-accelerating-home-sales/" TargetMode="External"/><Relationship Id="rId3536" Type="http://schemas.openxmlformats.org/officeDocument/2006/relationships/hyperlink" Target="http://savannah.uberflip.com/i/1503328-2023-savannah-relocation-guide/49" TargetMode="External"/><Relationship Id="rId12079" Type="http://schemas.openxmlformats.org/officeDocument/2006/relationships/hyperlink" Target="https://www.bobvila.com/" TargetMode="External"/><Relationship Id="rId6759" Type="http://schemas.openxmlformats.org/officeDocument/2006/relationships/hyperlink" Target="https://www.simpleshowing.com/" TargetMode="External"/><Relationship Id="rId12560" Type="http://schemas.openxmlformats.org/officeDocument/2006/relationships/hyperlink" Target="https://www.shma.co.uk/" TargetMode="External"/><Relationship Id="rId13611" Type="http://schemas.openxmlformats.org/officeDocument/2006/relationships/hyperlink" Target="https://smbc-comics.com/smbcforum/posting.php?mode=quote&amp;f=1&amp;p=192165" TargetMode="External"/><Relationship Id="rId8181" Type="http://schemas.openxmlformats.org/officeDocument/2006/relationships/hyperlink" Target="https://smaarchviz.com/" TargetMode="External"/><Relationship Id="rId9232" Type="http://schemas.openxmlformats.org/officeDocument/2006/relationships/hyperlink" Target="https://capitolductcleaning.com/" TargetMode="External"/><Relationship Id="rId11162" Type="http://schemas.openxmlformats.org/officeDocument/2006/relationships/hyperlink" Target="https://civildigital.com/the-crucial-steps-in-water-damage-restoration/" TargetMode="External"/><Relationship Id="rId12213" Type="http://schemas.openxmlformats.org/officeDocument/2006/relationships/hyperlink" Target="https://propertypressonline.co.uk/" TargetMode="External"/><Relationship Id="rId1221" Type="http://schemas.openxmlformats.org/officeDocument/2006/relationships/hyperlink" Target="https://www.simpleshowing.com/" TargetMode="External"/><Relationship Id="rId4791" Type="http://schemas.openxmlformats.org/officeDocument/2006/relationships/hyperlink" Target="https://www.ktiv.com/2024/05/27/high-school-seniors-can-now-get-real-estate-license-free-this-state/" TargetMode="External"/><Relationship Id="rId5842" Type="http://schemas.openxmlformats.org/officeDocument/2006/relationships/hyperlink" Target="https://www.simpleshowing.com/" TargetMode="External"/><Relationship Id="rId14385" Type="http://schemas.openxmlformats.org/officeDocument/2006/relationships/hyperlink" Target="https://mail.kroxam.com/?m=358538215" TargetMode="External"/><Relationship Id="rId15436" Type="http://schemas.openxmlformats.org/officeDocument/2006/relationships/hyperlink" Target="https://myinteriorpalace.com/" TargetMode="External"/><Relationship Id="rId15783" Type="http://schemas.openxmlformats.org/officeDocument/2006/relationships/hyperlink" Target="https://thearchitectsdiary.com/the-enduring-appeal-of-timber-cladding-a-blend-of-beauty-and-resilience/" TargetMode="External"/><Relationship Id="rId3393" Type="http://schemas.openxmlformats.org/officeDocument/2006/relationships/hyperlink" Target="https://www.simpleshowing.com/" TargetMode="External"/><Relationship Id="rId4444" Type="http://schemas.openxmlformats.org/officeDocument/2006/relationships/hyperlink" Target="https://www.simpleshowing.com/" TargetMode="External"/><Relationship Id="rId14038" Type="http://schemas.openxmlformats.org/officeDocument/2006/relationships/hyperlink" Target="https://myinteriorpalace.com/" TargetMode="External"/><Relationship Id="rId3046" Type="http://schemas.openxmlformats.org/officeDocument/2006/relationships/hyperlink" Target="https://www.pulte.com/" TargetMode="External"/><Relationship Id="rId10995" Type="http://schemas.openxmlformats.org/officeDocument/2006/relationships/hyperlink" Target="https://www.pinoyeplans.com/" TargetMode="External"/><Relationship Id="rId6269" Type="http://schemas.openxmlformats.org/officeDocument/2006/relationships/hyperlink" Target="https://markopolo.ai/blogs/debt-to-equity-ratio-vs-interest-coverage-ratio" TargetMode="External"/><Relationship Id="rId7667" Type="http://schemas.openxmlformats.org/officeDocument/2006/relationships/hyperlink" Target="https://www.taylormorrison.com/" TargetMode="External"/><Relationship Id="rId8718" Type="http://schemas.openxmlformats.org/officeDocument/2006/relationships/hyperlink" Target="https://roof-troopers.com/" TargetMode="External"/><Relationship Id="rId10648" Type="http://schemas.openxmlformats.org/officeDocument/2006/relationships/hyperlink" Target="https://www.teachengineering.org/" TargetMode="External"/><Relationship Id="rId12070" Type="http://schemas.openxmlformats.org/officeDocument/2006/relationships/hyperlink" Target="https://www.bobvila.com/" TargetMode="External"/><Relationship Id="rId13121" Type="http://schemas.openxmlformats.org/officeDocument/2006/relationships/hyperlink" Target="https://www.shma.co.uk/" TargetMode="External"/><Relationship Id="rId2879" Type="http://schemas.openxmlformats.org/officeDocument/2006/relationships/hyperlink" Target="https://www.fiftyplusadvocate.com/2022/04/25/259032-55-plus-housing-communities-offer-maintenance-free-living-in-social-setting/" TargetMode="External"/><Relationship Id="rId6750" Type="http://schemas.openxmlformats.org/officeDocument/2006/relationships/hyperlink" Target="https://www.simpleshowing.com/" TargetMode="External"/><Relationship Id="rId7801" Type="http://schemas.openxmlformats.org/officeDocument/2006/relationships/hyperlink" Target="https://familydestinationsguide.com/best-day-trips-from-atlanta-ga/" TargetMode="External"/><Relationship Id="rId15293" Type="http://schemas.openxmlformats.org/officeDocument/2006/relationships/hyperlink" Target="https://www.luxdeco.com/" TargetMode="External"/><Relationship Id="rId101" Type="http://schemas.openxmlformats.org/officeDocument/2006/relationships/hyperlink" Target="https://www.thesunchronicle.com/" TargetMode="External"/><Relationship Id="rId5352" Type="http://schemas.openxmlformats.org/officeDocument/2006/relationships/hyperlink" Target="https://www.simpleshowing.com/" TargetMode="External"/><Relationship Id="rId6403" Type="http://schemas.openxmlformats.org/officeDocument/2006/relationships/hyperlink" Target="https://oanow.com/news/nation-world/business/personal-finance/article_e2ffdeca-5a39-56ff-8839-6904ee0b5ef9.html" TargetMode="External"/><Relationship Id="rId9973" Type="http://schemas.openxmlformats.org/officeDocument/2006/relationships/hyperlink" Target="https://www.teachengineering.org/" TargetMode="External"/><Relationship Id="rId5005" Type="http://schemas.openxmlformats.org/officeDocument/2006/relationships/hyperlink" Target="https://www.bigcommerce.com.au/articles/ecommerce/ecommerce-platforms/" TargetMode="External"/><Relationship Id="rId8575" Type="http://schemas.openxmlformats.org/officeDocument/2006/relationships/hyperlink" Target="https://www.csmusic.net/artists/details/YXJ0aXN0cyU1QmlkJTVEPTA1YWJiNTdiLTg3M2EtNDg5OS1hMjE0LTg1NjM1ZmRjMjVkZg==" TargetMode="External"/><Relationship Id="rId9626" Type="http://schemas.openxmlformats.org/officeDocument/2006/relationships/hyperlink" Target="https://www.thetech.org/education/tech-challenge/tech-challenge/getting-started/" TargetMode="External"/><Relationship Id="rId12954" Type="http://schemas.openxmlformats.org/officeDocument/2006/relationships/hyperlink" Target="https://podcasts.marketingsociety.com/episode/sustainability-sarahwalkersmith-shakespearemartineau" TargetMode="External"/><Relationship Id="rId1962" Type="http://schemas.openxmlformats.org/officeDocument/2006/relationships/hyperlink" Target="https://www.simpleshowing.com/" TargetMode="External"/><Relationship Id="rId7177" Type="http://schemas.openxmlformats.org/officeDocument/2006/relationships/hyperlink" Target="https://www.simpleshowing.com/" TargetMode="External"/><Relationship Id="rId8228" Type="http://schemas.openxmlformats.org/officeDocument/2006/relationships/hyperlink" Target="https://www.pinoyeplans.com/" TargetMode="External"/><Relationship Id="rId11556" Type="http://schemas.openxmlformats.org/officeDocument/2006/relationships/hyperlink" Target="https://www.hamiltoninternationalestates.com/" TargetMode="External"/><Relationship Id="rId12607" Type="http://schemas.openxmlformats.org/officeDocument/2006/relationships/hyperlink" Target="https://propertypressonline.co.uk/" TargetMode="External"/><Relationship Id="rId1615" Type="http://schemas.openxmlformats.org/officeDocument/2006/relationships/hyperlink" Target="https://wolfriverelectric.com/" TargetMode="External"/><Relationship Id="rId10158" Type="http://schemas.openxmlformats.org/officeDocument/2006/relationships/hyperlink" Target="https://www.pinoyeplans.com/" TargetMode="External"/><Relationship Id="rId11209" Type="http://schemas.openxmlformats.org/officeDocument/2006/relationships/hyperlink" Target="https://www.waterdamagespecialist.com.au/" TargetMode="External"/><Relationship Id="rId14779" Type="http://schemas.openxmlformats.org/officeDocument/2006/relationships/hyperlink" Target="https://myinteriorpalace.com/" TargetMode="External"/><Relationship Id="rId3787" Type="http://schemas.openxmlformats.org/officeDocument/2006/relationships/hyperlink" Target="https://thecoverguy.com/" TargetMode="External"/><Relationship Id="rId4838" Type="http://schemas.openxmlformats.org/officeDocument/2006/relationships/hyperlink" Target="https://www.kapre.com/" TargetMode="External"/><Relationship Id="rId2389" Type="http://schemas.openxmlformats.org/officeDocument/2006/relationships/hyperlink" Target="https://www.pulte.com/" TargetMode="External"/><Relationship Id="rId6260" Type="http://schemas.openxmlformats.org/officeDocument/2006/relationships/hyperlink" Target="https://www.simpleshowing.com/" TargetMode="External"/><Relationship Id="rId7311" Type="http://schemas.openxmlformats.org/officeDocument/2006/relationships/hyperlink" Target="https://www.simpleshowing.com/" TargetMode="External"/><Relationship Id="rId2870" Type="http://schemas.openxmlformats.org/officeDocument/2006/relationships/hyperlink" Target="https://www.vice.com/en/article/amazon-provided-police-with-heat-maps-of-package-theft-for-sting-operation-cops/" TargetMode="External"/><Relationship Id="rId3921" Type="http://schemas.openxmlformats.org/officeDocument/2006/relationships/hyperlink" Target="https://www.simpleshowing.com/" TargetMode="External"/><Relationship Id="rId9483" Type="http://schemas.openxmlformats.org/officeDocument/2006/relationships/hyperlink" Target="https://www.pinoyeplans.com/" TargetMode="External"/><Relationship Id="rId12464" Type="http://schemas.openxmlformats.org/officeDocument/2006/relationships/hyperlink" Target="https://www.mortgagesolutions.co.uk/specialist-lending/commercial-finance/2025/05/14/demand-for-student-accommodation-offices-and-retail-stimulates-commercial-property-market/" TargetMode="External"/><Relationship Id="rId13515" Type="http://schemas.openxmlformats.org/officeDocument/2006/relationships/hyperlink" Target="https://hnmagazine.co.uk/travel/the-value-of-a-cultural-focused-holiday/" TargetMode="External"/><Relationship Id="rId13862" Type="http://schemas.openxmlformats.org/officeDocument/2006/relationships/hyperlink" Target="https://embeltonflooring.com/" TargetMode="External"/><Relationship Id="rId14913" Type="http://schemas.openxmlformats.org/officeDocument/2006/relationships/hyperlink" Target="https://customhomesonline.com.au/electric-vs-gas-vs-heat-pump/" TargetMode="External"/><Relationship Id="rId842" Type="http://schemas.openxmlformats.org/officeDocument/2006/relationships/hyperlink" Target="https://www.newlifestyles.com/blog/protecting-our-elders-the-hidden-risks-of-pests-in-senior-living-spaces" TargetMode="External"/><Relationship Id="rId1472" Type="http://schemas.openxmlformats.org/officeDocument/2006/relationships/hyperlink" Target="https://www.elocal.com/profile/rite-window-of-plainville-22198421/?cid=502" TargetMode="External"/><Relationship Id="rId2523" Type="http://schemas.openxmlformats.org/officeDocument/2006/relationships/hyperlink" Target="https://www.simpleshowing.com/" TargetMode="External"/><Relationship Id="rId8085" Type="http://schemas.openxmlformats.org/officeDocument/2006/relationships/hyperlink" Target="https://whiteglovemoving.us/" TargetMode="External"/><Relationship Id="rId9136" Type="http://schemas.openxmlformats.org/officeDocument/2006/relationships/hyperlink" Target="https://nycestimating.us/" TargetMode="External"/><Relationship Id="rId11066" Type="http://schemas.openxmlformats.org/officeDocument/2006/relationships/hyperlink" Target="https://nationalchildrensmuseum.org/learn/steamwork/spool-racers" TargetMode="External"/><Relationship Id="rId12117" Type="http://schemas.openxmlformats.org/officeDocument/2006/relationships/hyperlink" Target="https://www.hamiltoninternationalestates.com/" TargetMode="External"/><Relationship Id="rId1125" Type="http://schemas.openxmlformats.org/officeDocument/2006/relationships/hyperlink" Target="https://www.simpleshowing.com/" TargetMode="External"/><Relationship Id="rId4695" Type="http://schemas.openxmlformats.org/officeDocument/2006/relationships/hyperlink" Target="https://www.kfyrtv.com/2024/05/27/high-school-seniors-can-now-get-real-estate-license-free-this-state/" TargetMode="External"/><Relationship Id="rId14289" Type="http://schemas.openxmlformats.org/officeDocument/2006/relationships/hyperlink" Target="https://dgmnews.com/posts/why-choose-enclosed-auto-transport/" TargetMode="External"/><Relationship Id="rId15687" Type="http://schemas.openxmlformats.org/officeDocument/2006/relationships/hyperlink" Target="https://wattlecourt.com.au/builder/northern-beaches/" TargetMode="External"/><Relationship Id="rId3297" Type="http://schemas.openxmlformats.org/officeDocument/2006/relationships/hyperlink" Target="https://www.simpleshowing.com/" TargetMode="External"/><Relationship Id="rId4348" Type="http://schemas.openxmlformats.org/officeDocument/2006/relationships/hyperlink" Target="https://www.simpleshowing.com/" TargetMode="External"/><Relationship Id="rId5746" Type="http://schemas.openxmlformats.org/officeDocument/2006/relationships/hyperlink" Target="https://www.simpleshowing.com/" TargetMode="External"/><Relationship Id="rId8969" Type="http://schemas.openxmlformats.org/officeDocument/2006/relationships/hyperlink" Target="https://speculativechic.com/material-quantification/" TargetMode="External"/><Relationship Id="rId10899" Type="http://schemas.openxmlformats.org/officeDocument/2006/relationships/hyperlink" Target="https://www.pinoyeplans.com/" TargetMode="External"/><Relationship Id="rId11200" Type="http://schemas.openxmlformats.org/officeDocument/2006/relationships/hyperlink" Target="https://backstageviral.com/top-5-tips-for-choosing-water-damage-restoration-professionals/" TargetMode="External"/><Relationship Id="rId14770" Type="http://schemas.openxmlformats.org/officeDocument/2006/relationships/hyperlink" Target="https://myinteriorpalace.com/" TargetMode="External"/><Relationship Id="rId15821" Type="http://schemas.openxmlformats.org/officeDocument/2006/relationships/hyperlink" Target="https://www.modinex.com.au/" TargetMode="External"/><Relationship Id="rId13372" Type="http://schemas.openxmlformats.org/officeDocument/2006/relationships/hyperlink" Target="https://myinteriorpalace.com/" TargetMode="External"/><Relationship Id="rId14423" Type="http://schemas.openxmlformats.org/officeDocument/2006/relationships/hyperlink" Target="https://milehighhottub.com/" TargetMode="External"/><Relationship Id="rId2380" Type="http://schemas.openxmlformats.org/officeDocument/2006/relationships/hyperlink" Target="https://www.pulte.com/" TargetMode="External"/><Relationship Id="rId3431" Type="http://schemas.openxmlformats.org/officeDocument/2006/relationships/hyperlink" Target="https://www.multifamilyexecutive.com/business-finance/business-trends/forecasters-hedge-bets-on-improvements-in-housing-market-for-2011_o" TargetMode="External"/><Relationship Id="rId13025" Type="http://schemas.openxmlformats.org/officeDocument/2006/relationships/hyperlink" Target="https://www.shma.co.uk/" TargetMode="External"/><Relationship Id="rId352" Type="http://schemas.openxmlformats.org/officeDocument/2006/relationships/hyperlink" Target="http://northernvirginiahomepro.com/" TargetMode="External"/><Relationship Id="rId2033" Type="http://schemas.openxmlformats.org/officeDocument/2006/relationships/hyperlink" Target="https://northpennnow.com/news/2025/jun/25/why-bi-level-homes-are-a-hidden-gem-in-todays-housing-market/" TargetMode="External"/><Relationship Id="rId6654" Type="http://schemas.openxmlformats.org/officeDocument/2006/relationships/hyperlink" Target="https://www.fabuwood.com/blog/20-best-kitchen-accent-wall-ideas/" TargetMode="External"/><Relationship Id="rId7705" Type="http://schemas.openxmlformats.org/officeDocument/2006/relationships/hyperlink" Target="https://www.simpleshowing.com/" TargetMode="External"/><Relationship Id="rId15197" Type="http://schemas.openxmlformats.org/officeDocument/2006/relationships/hyperlink" Target="https://www.luxdeco.com/" TargetMode="External"/><Relationship Id="rId16248" Type="http://schemas.openxmlformats.org/officeDocument/2006/relationships/hyperlink" Target="http://home.kangaroo.vn/?h=156914523" TargetMode="External"/><Relationship Id="rId5256" Type="http://schemas.openxmlformats.org/officeDocument/2006/relationships/hyperlink" Target="https://www.simpleshowing.com/" TargetMode="External"/><Relationship Id="rId6307" Type="http://schemas.openxmlformats.org/officeDocument/2006/relationships/hyperlink" Target="https://www.veloceinternational.com/loan/tips-to-avoid-the-payday-loan-trap/" TargetMode="External"/><Relationship Id="rId8479" Type="http://schemas.openxmlformats.org/officeDocument/2006/relationships/hyperlink" Target="https://thebrandhopper.com/2024/10/12/why-virtual-tour-agencies-are-essential-for-boosting-brand-presence/" TargetMode="External"/><Relationship Id="rId9877" Type="http://schemas.openxmlformats.org/officeDocument/2006/relationships/hyperlink" Target="https://www.teachengineering.org/" TargetMode="External"/><Relationship Id="rId12858" Type="http://schemas.openxmlformats.org/officeDocument/2006/relationships/hyperlink" Target="https://elitebusinessmagazine.co.uk/legal/item/did-theranos-mean-the-end-of-entrepreneurs-fudging-the-numbers" TargetMode="External"/><Relationship Id="rId13909" Type="http://schemas.openxmlformats.org/officeDocument/2006/relationships/hyperlink" Target="https://myinteriorpalace.com/" TargetMode="External"/><Relationship Id="rId1866" Type="http://schemas.openxmlformats.org/officeDocument/2006/relationships/hyperlink" Target="https://www.simpleshowing.com/" TargetMode="External"/><Relationship Id="rId2917" Type="http://schemas.openxmlformats.org/officeDocument/2006/relationships/hyperlink" Target="https://www.pulte.com/" TargetMode="External"/><Relationship Id="rId14280" Type="http://schemas.openxmlformats.org/officeDocument/2006/relationships/hyperlink" Target="https://capitalexotic.com/the-best-luxury-lifestyle-capital-exotics/" TargetMode="External"/><Relationship Id="rId15331" Type="http://schemas.openxmlformats.org/officeDocument/2006/relationships/hyperlink" Target="https://myinteriorpalace.com/" TargetMode="External"/><Relationship Id="rId1519" Type="http://schemas.openxmlformats.org/officeDocument/2006/relationships/hyperlink" Target="https://wolfriverelectric.com/" TargetMode="External"/><Relationship Id="rId8960" Type="http://schemas.openxmlformats.org/officeDocument/2006/relationships/hyperlink" Target="https://glowyp.com/smart-practices-that-enhance-construction-estimating/" TargetMode="External"/><Relationship Id="rId10890" Type="http://schemas.openxmlformats.org/officeDocument/2006/relationships/hyperlink" Target="https://www.pinoyeplans.com/" TargetMode="External"/><Relationship Id="rId7562" Type="http://schemas.openxmlformats.org/officeDocument/2006/relationships/hyperlink" Target="https://www.taylormorrison.com/" TargetMode="External"/><Relationship Id="rId8613" Type="http://schemas.openxmlformats.org/officeDocument/2006/relationships/hyperlink" Target="https://www.buyersadvocate.com.au/" TargetMode="External"/><Relationship Id="rId10543" Type="http://schemas.openxmlformats.org/officeDocument/2006/relationships/hyperlink" Target="https://www.teachengineering.org/" TargetMode="External"/><Relationship Id="rId11941" Type="http://schemas.openxmlformats.org/officeDocument/2006/relationships/hyperlink" Target="https://www.bobvila.com/" TargetMode="External"/><Relationship Id="rId6164" Type="http://schemas.openxmlformats.org/officeDocument/2006/relationships/hyperlink" Target="https://www.simpleshowing.com/" TargetMode="External"/><Relationship Id="rId7215" Type="http://schemas.openxmlformats.org/officeDocument/2006/relationships/hyperlink" Target="https://www.simpleshowing.com/" TargetMode="External"/><Relationship Id="rId2774" Type="http://schemas.openxmlformats.org/officeDocument/2006/relationships/hyperlink" Target="https://www.accio.com/business/innovative-interior-materials-trend" TargetMode="External"/><Relationship Id="rId9387" Type="http://schemas.openxmlformats.org/officeDocument/2006/relationships/hyperlink" Target="https://www.pinoyeplans.com/" TargetMode="External"/><Relationship Id="rId13766" Type="http://schemas.openxmlformats.org/officeDocument/2006/relationships/hyperlink" Target="https://anationofmoms.com/" TargetMode="External"/><Relationship Id="rId14817" Type="http://schemas.openxmlformats.org/officeDocument/2006/relationships/hyperlink" Target="https://sociallifemagazine.com/the-archive/common-reasons-garage-doors-start-shaking-and-safe-ways-to-resolve-them/" TargetMode="External"/><Relationship Id="rId746" Type="http://schemas.openxmlformats.org/officeDocument/2006/relationships/hyperlink" Target="https://www.simpleshowing.com/" TargetMode="External"/><Relationship Id="rId1376" Type="http://schemas.openxmlformats.org/officeDocument/2006/relationships/hyperlink" Target="https://renuityhome.com/about-us/our-brands/" TargetMode="External"/><Relationship Id="rId2427" Type="http://schemas.openxmlformats.org/officeDocument/2006/relationships/hyperlink" Target="https://www.simpleshowing.com/" TargetMode="External"/><Relationship Id="rId3825" Type="http://schemas.openxmlformats.org/officeDocument/2006/relationships/hyperlink" Target="https://www.simpleshowing.com/" TargetMode="External"/><Relationship Id="rId12368" Type="http://schemas.openxmlformats.org/officeDocument/2006/relationships/hyperlink" Target="https://www.postgrad.com/accommodation/providers/" TargetMode="External"/><Relationship Id="rId13419" Type="http://schemas.openxmlformats.org/officeDocument/2006/relationships/hyperlink" Target="https://spicy1.blob.core.windows.net/plumber-melbourne/plumber-melbourne-/plumber-melbourne.html" TargetMode="External"/><Relationship Id="rId1029" Type="http://schemas.openxmlformats.org/officeDocument/2006/relationships/hyperlink" Target="https://www.simpleshowing.com/" TargetMode="External"/><Relationship Id="rId5997" Type="http://schemas.openxmlformats.org/officeDocument/2006/relationships/hyperlink" Target="https://smartreach.io/blog/guide-to-email-deliverability-audit/" TargetMode="External"/><Relationship Id="rId13900" Type="http://schemas.openxmlformats.org/officeDocument/2006/relationships/hyperlink" Target="https://myinteriorpalace.com/" TargetMode="External"/><Relationship Id="rId82" Type="http://schemas.openxmlformats.org/officeDocument/2006/relationships/hyperlink" Target="http://scornful-chainstay.com/" TargetMode="External"/><Relationship Id="rId4599" Type="http://schemas.openxmlformats.org/officeDocument/2006/relationships/hyperlink" Target="https://careers.kogod.american.edu/blog/2025/04/14/can-a-full-time-college-student-work-part-time-in-real-estate-sales/" TargetMode="External"/><Relationship Id="rId7072" Type="http://schemas.openxmlformats.org/officeDocument/2006/relationships/hyperlink" Target="https://www.simpleshowing.com/" TargetMode="External"/><Relationship Id="rId8470" Type="http://schemas.openxmlformats.org/officeDocument/2006/relationships/hyperlink" Target="https://www.cgarchitect.com/companies/7a2eb02e-cylind-studio" TargetMode="External"/><Relationship Id="rId9521" Type="http://schemas.openxmlformats.org/officeDocument/2006/relationships/hyperlink" Target="https://outreach.engineering.utoronto.ca/educators/resources/" TargetMode="External"/><Relationship Id="rId11451" Type="http://schemas.openxmlformats.org/officeDocument/2006/relationships/hyperlink" Target="https://sellhousefast.uk/" TargetMode="External"/><Relationship Id="rId12502" Type="http://schemas.openxmlformats.org/officeDocument/2006/relationships/hyperlink" Target="https://propertypressonline.co.uk/" TargetMode="External"/><Relationship Id="rId1510" Type="http://schemas.openxmlformats.org/officeDocument/2006/relationships/hyperlink" Target="https://wolfriverelectric.com/" TargetMode="External"/><Relationship Id="rId8123" Type="http://schemas.openxmlformats.org/officeDocument/2006/relationships/hyperlink" Target="https://www.pinoyeplans.com/" TargetMode="External"/><Relationship Id="rId10053" Type="http://schemas.openxmlformats.org/officeDocument/2006/relationships/hyperlink" Target="https://www.pinoyeplans.com/" TargetMode="External"/><Relationship Id="rId11104" Type="http://schemas.openxmlformats.org/officeDocument/2006/relationships/hyperlink" Target="https://imagepainting.com/" TargetMode="External"/><Relationship Id="rId14674" Type="http://schemas.openxmlformats.org/officeDocument/2006/relationships/hyperlink" Target="https://myinteriorpalace.com/" TargetMode="External"/><Relationship Id="rId15725" Type="http://schemas.openxmlformats.org/officeDocument/2006/relationships/hyperlink" Target="https://www.modinex.com.au/" TargetMode="External"/><Relationship Id="rId3682" Type="http://schemas.openxmlformats.org/officeDocument/2006/relationships/hyperlink" Target="https://www.overheaddoors.com/" TargetMode="External"/><Relationship Id="rId4733" Type="http://schemas.openxmlformats.org/officeDocument/2006/relationships/hyperlink" Target="https://www.kapre.com/" TargetMode="External"/><Relationship Id="rId13276" Type="http://schemas.openxmlformats.org/officeDocument/2006/relationships/hyperlink" Target="https://propertypressonline.co.uk/" TargetMode="External"/><Relationship Id="rId14327" Type="http://schemas.openxmlformats.org/officeDocument/2006/relationships/hyperlink" Target="https://luxurylifestyle.com/" TargetMode="External"/><Relationship Id="rId2284" Type="http://schemas.openxmlformats.org/officeDocument/2006/relationships/hyperlink" Target="https://www.collectionforsyth.com/" TargetMode="External"/><Relationship Id="rId3335" Type="http://schemas.openxmlformats.org/officeDocument/2006/relationships/hyperlink" Target="https://www.findmassleads.com/websites/pulte.com?h=446222828" TargetMode="External"/><Relationship Id="rId256" Type="http://schemas.openxmlformats.org/officeDocument/2006/relationships/hyperlink" Target="https://www.greatbuildz.com/blog/6-mistakes-sell-your-house/" TargetMode="External"/><Relationship Id="rId6558" Type="http://schemas.openxmlformats.org/officeDocument/2006/relationships/hyperlink" Target="https://www.simpleshowing.com/" TargetMode="External"/><Relationship Id="rId7956" Type="http://schemas.openxmlformats.org/officeDocument/2006/relationships/hyperlink" Target="https://distinctiveroofing.net/" TargetMode="External"/><Relationship Id="rId10937" Type="http://schemas.openxmlformats.org/officeDocument/2006/relationships/hyperlink" Target="https://www.wholesalesuppliesplus.com/blogs/articles/chemistry-of-bath-fizzies-and-bath-bombs" TargetMode="External"/><Relationship Id="rId7609" Type="http://schemas.openxmlformats.org/officeDocument/2006/relationships/hyperlink" Target="https://www.simpleshowing.com/" TargetMode="External"/><Relationship Id="rId9031" Type="http://schemas.openxmlformats.org/officeDocument/2006/relationships/hyperlink" Target="https://nycestimating.us/" TargetMode="External"/><Relationship Id="rId13410" Type="http://schemas.openxmlformats.org/officeDocument/2006/relationships/hyperlink" Target="http://urasiru.s54.xrea.com/sb/sb.cgi?eid=68" TargetMode="External"/><Relationship Id="rId12012" Type="http://schemas.openxmlformats.org/officeDocument/2006/relationships/hyperlink" Target="https://www.hamiltoninternationalestates.com/" TargetMode="External"/><Relationship Id="rId15582" Type="http://schemas.openxmlformats.org/officeDocument/2006/relationships/hyperlink" Target="https://emirateswoman.com/at-home-fitness-equipments-edit/" TargetMode="External"/><Relationship Id="rId1020" Type="http://schemas.openxmlformats.org/officeDocument/2006/relationships/hyperlink" Target="https://www.simpleshowing.com/" TargetMode="External"/><Relationship Id="rId4590" Type="http://schemas.openxmlformats.org/officeDocument/2006/relationships/hyperlink" Target="https://www.1011now.com/2024/05/27/high-school-seniors-can-now-get-real-estate-license-free-this-state/" TargetMode="External"/><Relationship Id="rId5641" Type="http://schemas.openxmlformats.org/officeDocument/2006/relationships/hyperlink" Target="https://www.contactsplus.com/blog/real-estate-investment-journey/" TargetMode="External"/><Relationship Id="rId14184" Type="http://schemas.openxmlformats.org/officeDocument/2006/relationships/hyperlink" Target="https://iyc.com/press/" TargetMode="External"/><Relationship Id="rId15235" Type="http://schemas.openxmlformats.org/officeDocument/2006/relationships/hyperlink" Target="https://myinteriorpalace.com/" TargetMode="External"/><Relationship Id="rId3192" Type="http://schemas.openxmlformats.org/officeDocument/2006/relationships/hyperlink" Target="https://www.simpleshowing.com/" TargetMode="External"/><Relationship Id="rId4243" Type="http://schemas.openxmlformats.org/officeDocument/2006/relationships/hyperlink" Target="https://www.simpleshowing.com/" TargetMode="External"/><Relationship Id="rId8864" Type="http://schemas.openxmlformats.org/officeDocument/2006/relationships/hyperlink" Target="https://newznav.com/why-choosing-a-local-exterminator-matters-for-fast-results/" TargetMode="External"/><Relationship Id="rId9915" Type="http://schemas.openxmlformats.org/officeDocument/2006/relationships/hyperlink" Target="https://www.pinoyeplans.com/" TargetMode="External"/><Relationship Id="rId7466" Type="http://schemas.openxmlformats.org/officeDocument/2006/relationships/hyperlink" Target="https://www.taylormorrison.com/" TargetMode="External"/><Relationship Id="rId8517" Type="http://schemas.openxmlformats.org/officeDocument/2006/relationships/hyperlink" Target="https://www.cylind.com/" TargetMode="External"/><Relationship Id="rId10794" Type="http://schemas.openxmlformats.org/officeDocument/2006/relationships/hyperlink" Target="https://www.pinoyeplans.com/" TargetMode="External"/><Relationship Id="rId11845" Type="http://schemas.openxmlformats.org/officeDocument/2006/relationships/hyperlink" Target="https://sellhousefast.uk/" TargetMode="External"/><Relationship Id="rId1904" Type="http://schemas.openxmlformats.org/officeDocument/2006/relationships/hyperlink" Target="https://www.bankingstuffs.com/why-high-quality-listing-photos-matter-more-than-ever-in-2025/" TargetMode="External"/><Relationship Id="rId6068" Type="http://schemas.openxmlformats.org/officeDocument/2006/relationships/hyperlink" Target="https://www.simpleshowing.com/" TargetMode="External"/><Relationship Id="rId7119" Type="http://schemas.openxmlformats.org/officeDocument/2006/relationships/hyperlink" Target="https://www.taylormorrison.com/" TargetMode="External"/><Relationship Id="rId10447" Type="http://schemas.openxmlformats.org/officeDocument/2006/relationships/hyperlink" Target="https://www.teachengineering.org/" TargetMode="External"/><Relationship Id="rId997" Type="http://schemas.openxmlformats.org/officeDocument/2006/relationships/hyperlink" Target="https://www.matrixbasements.com/" TargetMode="External"/><Relationship Id="rId2678" Type="http://schemas.openxmlformats.org/officeDocument/2006/relationships/hyperlink" Target="https://www.resiclubanalytics.com/p/builder-buydowns-101-find-new-construction-deals" TargetMode="External"/><Relationship Id="rId3729" Type="http://schemas.openxmlformats.org/officeDocument/2006/relationships/hyperlink" Target="https://www.simpleshowing.com/" TargetMode="External"/><Relationship Id="rId5151" Type="http://schemas.openxmlformats.org/officeDocument/2006/relationships/hyperlink" Target="https://www.sotrender.com/blog/2025/11/black-friday-social-media/" TargetMode="External"/><Relationship Id="rId7600" Type="http://schemas.openxmlformats.org/officeDocument/2006/relationships/hyperlink" Target="https://www.simpleshowing.com/" TargetMode="External"/><Relationship Id="rId15092" Type="http://schemas.openxmlformats.org/officeDocument/2006/relationships/hyperlink" Target="https://www.luxdeco.com/" TargetMode="External"/><Relationship Id="rId16143" Type="http://schemas.openxmlformats.org/officeDocument/2006/relationships/hyperlink" Target="http://www.cv-library.co.uk/companies/employers/U" TargetMode="External"/><Relationship Id="rId6202" Type="http://schemas.openxmlformats.org/officeDocument/2006/relationships/hyperlink" Target="https://www.simpleshowing.com/" TargetMode="External"/><Relationship Id="rId9772" Type="http://schemas.openxmlformats.org/officeDocument/2006/relationships/hyperlink" Target="https://www.teachengineering.org/" TargetMode="External"/><Relationship Id="rId12753" Type="http://schemas.openxmlformats.org/officeDocument/2006/relationships/hyperlink" Target="https://fundraising.co.uk/2019/06/06/how-to-protect-your-legacy-donations/" TargetMode="External"/><Relationship Id="rId13804" Type="http://schemas.openxmlformats.org/officeDocument/2006/relationships/hyperlink" Target="https://myinteriorpalace.com/" TargetMode="External"/><Relationship Id="rId1761" Type="http://schemas.openxmlformats.org/officeDocument/2006/relationships/hyperlink" Target="https://www.simpleshowing.com/" TargetMode="External"/><Relationship Id="rId2812" Type="http://schemas.openxmlformats.org/officeDocument/2006/relationships/hyperlink" Target="https://www.pulte.com/" TargetMode="External"/><Relationship Id="rId8374" Type="http://schemas.openxmlformats.org/officeDocument/2006/relationships/hyperlink" Target="https://dutable.com/flood-damage-restoration-step-by-step-guide-with-24-hour-flood-pros/" TargetMode="External"/><Relationship Id="rId9425" Type="http://schemas.openxmlformats.org/officeDocument/2006/relationships/hyperlink" Target="https://www.schooloutfitters.com/blog/inspiring-steam-education-examples-to-use-in-the-classroom" TargetMode="External"/><Relationship Id="rId11355" Type="http://schemas.openxmlformats.org/officeDocument/2006/relationships/hyperlink" Target="http://webuyhouses.com/" TargetMode="External"/><Relationship Id="rId12406" Type="http://schemas.openxmlformats.org/officeDocument/2006/relationships/hyperlink" Target="https://sturents.com/" TargetMode="External"/><Relationship Id="rId1414" Type="http://schemas.openxmlformats.org/officeDocument/2006/relationships/hyperlink" Target="https://ritewindow.com/blog/3-indicators-its-time-to-upgrade-your-shower-or-bath/" TargetMode="External"/><Relationship Id="rId4984" Type="http://schemas.openxmlformats.org/officeDocument/2006/relationships/hyperlink" Target="https://www.simpleshowing.com/" TargetMode="External"/><Relationship Id="rId8027" Type="http://schemas.openxmlformats.org/officeDocument/2006/relationships/hyperlink" Target="https://indyroofandrestoration.com/" TargetMode="External"/><Relationship Id="rId11008" Type="http://schemas.openxmlformats.org/officeDocument/2006/relationships/hyperlink" Target="https://www.teachengineering.org/" TargetMode="External"/><Relationship Id="rId14578" Type="http://schemas.openxmlformats.org/officeDocument/2006/relationships/hyperlink" Target="https://myinteriorpalace.com/" TargetMode="External"/><Relationship Id="rId15976" Type="http://schemas.openxmlformats.org/officeDocument/2006/relationships/hyperlink" Target="https://myinteriorpalace.com/" TargetMode="External"/><Relationship Id="rId3586" Type="http://schemas.openxmlformats.org/officeDocument/2006/relationships/hyperlink" Target="https://www.pulte.com/" TargetMode="External"/><Relationship Id="rId4637" Type="http://schemas.openxmlformats.org/officeDocument/2006/relationships/hyperlink" Target="https://www.kapre.com/" TargetMode="External"/><Relationship Id="rId15629" Type="http://schemas.openxmlformats.org/officeDocument/2006/relationships/hyperlink" Target="https://www.luxdeco.com/" TargetMode="External"/><Relationship Id="rId2188" Type="http://schemas.openxmlformats.org/officeDocument/2006/relationships/hyperlink" Target="https://markspain.com/" TargetMode="External"/><Relationship Id="rId3239" Type="http://schemas.openxmlformats.org/officeDocument/2006/relationships/hyperlink" Target="https://www.festivals.com/seanys-shuffle-77667" TargetMode="External"/><Relationship Id="rId7110" Type="http://schemas.openxmlformats.org/officeDocument/2006/relationships/hyperlink" Target="https://www.simpleshowing.com/" TargetMode="External"/><Relationship Id="rId9282" Type="http://schemas.openxmlformats.org/officeDocument/2006/relationships/hyperlink" Target="https://www.pinoyeplans.com/" TargetMode="External"/><Relationship Id="rId13661" Type="http://schemas.openxmlformats.org/officeDocument/2006/relationships/hyperlink" Target="https://anationofmoms.com/" TargetMode="External"/><Relationship Id="rId14712" Type="http://schemas.openxmlformats.org/officeDocument/2006/relationships/hyperlink" Target="https://mossandfog.com/smart-tips-for-choosing-the-best-garage-doors/" TargetMode="External"/><Relationship Id="rId3720" Type="http://schemas.openxmlformats.org/officeDocument/2006/relationships/hyperlink" Target="https://www.simpleshowing.com/" TargetMode="External"/><Relationship Id="rId12263" Type="http://schemas.openxmlformats.org/officeDocument/2006/relationships/hyperlink" Target="https://www.inkl.com/news/more-than-100-much-needed-family-homes-to-be-built-on-bilborough-playing-fields" TargetMode="External"/><Relationship Id="rId13314" Type="http://schemas.openxmlformats.org/officeDocument/2006/relationships/hyperlink" Target="https://www.terristeffes.com/2020/11/how-to-renovate-house-you-are-renting.html" TargetMode="External"/><Relationship Id="rId641" Type="http://schemas.openxmlformats.org/officeDocument/2006/relationships/hyperlink" Target="https://www.simpleshowing.com/" TargetMode="External"/><Relationship Id="rId1271" Type="http://schemas.openxmlformats.org/officeDocument/2006/relationships/hyperlink" Target="https://timesofmalta.com/article/darscover-launches-full-gozo-coverage-malta-regional-search-a2.1119834" TargetMode="External"/><Relationship Id="rId2322" Type="http://schemas.openxmlformats.org/officeDocument/2006/relationships/hyperlink" Target="https://www.simpleshowing.com/" TargetMode="External"/><Relationship Id="rId5892" Type="http://schemas.openxmlformats.org/officeDocument/2006/relationships/hyperlink" Target="https://www.simpleshowing.com/" TargetMode="External"/><Relationship Id="rId6943" Type="http://schemas.openxmlformats.org/officeDocument/2006/relationships/hyperlink" Target="https://www.simpleshowing.com/" TargetMode="External"/><Relationship Id="rId15486" Type="http://schemas.openxmlformats.org/officeDocument/2006/relationships/hyperlink" Target="https://luxuryartcanvas.com/blogs/home-decor/color-psychology-in-ink-and-art-choosing-tattoo-inspired-palettes-for-modern-rooms" TargetMode="External"/><Relationship Id="rId4494" Type="http://schemas.openxmlformats.org/officeDocument/2006/relationships/hyperlink" Target="https://www.wmbfnews.com/2024/05/27/high-school-seniors-can-now-get-real-estate-license-free-this-state/" TargetMode="External"/><Relationship Id="rId5545" Type="http://schemas.openxmlformats.org/officeDocument/2006/relationships/hyperlink" Target="https://madison.com/shopping/article_721badd1-5dc8-5296-9412-5a3e16b2ede6.html" TargetMode="External"/><Relationship Id="rId14088" Type="http://schemas.openxmlformats.org/officeDocument/2006/relationships/hyperlink" Target="https://s3da-design.com/guest-contribution/top-5-reasons-to-upgrade-your-backyard-with-a-modern-deck/" TargetMode="External"/><Relationship Id="rId15139" Type="http://schemas.openxmlformats.org/officeDocument/2006/relationships/hyperlink" Target="https://myinteriorpalace.com/" TargetMode="External"/><Relationship Id="rId3096" Type="http://schemas.openxmlformats.org/officeDocument/2006/relationships/hyperlink" Target="https://www.simpleshowing.com/" TargetMode="External"/><Relationship Id="rId4147" Type="http://schemas.openxmlformats.org/officeDocument/2006/relationships/hyperlink" Target="https://www.kapre.com/" TargetMode="External"/><Relationship Id="rId8768" Type="http://schemas.openxmlformats.org/officeDocument/2006/relationships/hyperlink" Target="https://www.pinoyeplans.com/" TargetMode="External"/><Relationship Id="rId9819" Type="http://schemas.openxmlformats.org/officeDocument/2006/relationships/hyperlink" Target="https://www.pinoyeplans.com/" TargetMode="External"/><Relationship Id="rId10698" Type="http://schemas.openxmlformats.org/officeDocument/2006/relationships/hyperlink" Target="https://www.pinoyeplans.com/" TargetMode="External"/><Relationship Id="rId11749" Type="http://schemas.openxmlformats.org/officeDocument/2006/relationships/hyperlink" Target="https://sellhousefast.uk/" TargetMode="External"/><Relationship Id="rId15620" Type="http://schemas.openxmlformats.org/officeDocument/2006/relationships/hyperlink" Target="https://www.luxdeco.com/" TargetMode="External"/><Relationship Id="rId1808" Type="http://schemas.openxmlformats.org/officeDocument/2006/relationships/hyperlink" Target="https://michiganmamanews.com/2025/05/30/how-to-raise-your-kids-to-be-tomorrows-eco-warriors/" TargetMode="External"/><Relationship Id="rId13171" Type="http://schemas.openxmlformats.org/officeDocument/2006/relationships/hyperlink" Target="https://propertypressonline.co.uk/" TargetMode="External"/><Relationship Id="rId14222" Type="http://schemas.openxmlformats.org/officeDocument/2006/relationships/hyperlink" Target="https://luxurylifestyle.com/" TargetMode="External"/><Relationship Id="rId151" Type="http://schemas.openxmlformats.org/officeDocument/2006/relationships/hyperlink" Target="https://www.westerlynews.ca/" TargetMode="External"/><Relationship Id="rId3230" Type="http://schemas.openxmlformats.org/officeDocument/2006/relationships/hyperlink" Target="https://mynews13.com/fl/orlando/news/2023/11/13/local-developer-facing-lawsuit-over-allegedly-flooding-local-cemetery" TargetMode="External"/><Relationship Id="rId7851" Type="http://schemas.openxmlformats.org/officeDocument/2006/relationships/hyperlink" Target="https://discoverlakelanier.com/" TargetMode="External"/><Relationship Id="rId8902" Type="http://schemas.openxmlformats.org/officeDocument/2006/relationships/hyperlink" Target="https://www.trianglepest.com/" TargetMode="External"/><Relationship Id="rId10832" Type="http://schemas.openxmlformats.org/officeDocument/2006/relationships/hyperlink" Target="https://zenodo.org/records/15192704" TargetMode="External"/><Relationship Id="rId6453" Type="http://schemas.openxmlformats.org/officeDocument/2006/relationships/hyperlink" Target="https://convo-by-design.blubrry.net/tag/design-hardware/" TargetMode="External"/><Relationship Id="rId7504" Type="http://schemas.openxmlformats.org/officeDocument/2006/relationships/hyperlink" Target="https://www.simpleshowing.com/" TargetMode="External"/><Relationship Id="rId16047" Type="http://schemas.openxmlformats.org/officeDocument/2006/relationships/hyperlink" Target="https://www.elevatedmagazines.com/single-post/best-modern-exterior-home-trends-you-need-to-adopt" TargetMode="External"/><Relationship Id="rId5055" Type="http://schemas.openxmlformats.org/officeDocument/2006/relationships/hyperlink" Target="https://eller.arizona.edu/news/10-unique-career-paths-economics-masters-graduates" TargetMode="External"/><Relationship Id="rId6106" Type="http://schemas.openxmlformats.org/officeDocument/2006/relationships/hyperlink" Target="https://www.simpleshowing.com/" TargetMode="External"/><Relationship Id="rId9676" Type="http://schemas.openxmlformats.org/officeDocument/2006/relationships/hyperlink" Target="https://www.teachengineering.org/" TargetMode="External"/><Relationship Id="rId1665" Type="http://schemas.openxmlformats.org/officeDocument/2006/relationships/hyperlink" Target="https://www.simpleshowing.com/" TargetMode="External"/><Relationship Id="rId2716" Type="http://schemas.openxmlformats.org/officeDocument/2006/relationships/hyperlink" Target="https://www.pulte.com/" TargetMode="External"/><Relationship Id="rId8278" Type="http://schemas.openxmlformats.org/officeDocument/2006/relationships/hyperlink" Target="https://ausdroid.net/news/oc/2025/08/27/why-lighting-shouldnt-be-overlooked-in-home-design/" TargetMode="External"/><Relationship Id="rId9329" Type="http://schemas.openxmlformats.org/officeDocument/2006/relationships/hyperlink" Target="https://www.collegetransitions.com/blog/last-day-of-school-activities/" TargetMode="External"/><Relationship Id="rId11259" Type="http://schemas.openxmlformats.org/officeDocument/2006/relationships/hyperlink" Target="https://www.pinoyeplans.com/" TargetMode="External"/><Relationship Id="rId12657" Type="http://schemas.openxmlformats.org/officeDocument/2006/relationships/hyperlink" Target="https://www.sbs.nhs.uk/services/framework-agreements/legal-services-for-health/" TargetMode="External"/><Relationship Id="rId13708" Type="http://schemas.openxmlformats.org/officeDocument/2006/relationships/hyperlink" Target="https://myinteriorpalace.com/" TargetMode="External"/><Relationship Id="rId15130" Type="http://schemas.openxmlformats.org/officeDocument/2006/relationships/hyperlink" Target="https://myinteriorpalace.com/" TargetMode="External"/><Relationship Id="rId1318" Type="http://schemas.openxmlformats.org/officeDocument/2006/relationships/hyperlink" Target="https://darscover.com/" TargetMode="External"/><Relationship Id="rId4888" Type="http://schemas.openxmlformats.org/officeDocument/2006/relationships/hyperlink" Target="https://www.simpleshowing.com/" TargetMode="External"/><Relationship Id="rId5939" Type="http://schemas.openxmlformats.org/officeDocument/2006/relationships/hyperlink" Target="https://theglobalhues.com/why-youre-prone-to-compulsive-buying/" TargetMode="External"/><Relationship Id="rId7361" Type="http://schemas.openxmlformats.org/officeDocument/2006/relationships/hyperlink" Target="https://www.simpleshowing.com/" TargetMode="External"/><Relationship Id="rId9810" Type="http://schemas.openxmlformats.org/officeDocument/2006/relationships/hyperlink" Target="https://www.pinoyeplans.com/" TargetMode="External"/><Relationship Id="rId11740" Type="http://schemas.openxmlformats.org/officeDocument/2006/relationships/hyperlink" Target="https://sellhousefast.uk/" TargetMode="External"/><Relationship Id="rId24" Type="http://schemas.openxmlformats.org/officeDocument/2006/relationships/hyperlink" Target="https://insightrealtynetwork.com/how-big-is-5-acres/" TargetMode="External"/><Relationship Id="rId7014" Type="http://schemas.openxmlformats.org/officeDocument/2006/relationships/hyperlink" Target="https://offcourse.co/courses/view/stonegate-golf-club-at-solivita/" TargetMode="External"/><Relationship Id="rId8412" Type="http://schemas.openxmlformats.org/officeDocument/2006/relationships/hyperlink" Target="https://24hourfloodpros.com/" TargetMode="External"/><Relationship Id="rId10342" Type="http://schemas.openxmlformats.org/officeDocument/2006/relationships/hyperlink" Target="https://www.teachengineering.org/" TargetMode="External"/><Relationship Id="rId14963" Type="http://schemas.openxmlformats.org/officeDocument/2006/relationships/hyperlink" Target="https://www.luxdeco.com/" TargetMode="External"/><Relationship Id="rId3971" Type="http://schemas.openxmlformats.org/officeDocument/2006/relationships/hyperlink" Target="https://www.saveonenergy.com/solar-energy/oregon/" TargetMode="External"/><Relationship Id="rId13565" Type="http://schemas.openxmlformats.org/officeDocument/2006/relationships/hyperlink" Target="https://anationofmoms.com/" TargetMode="External"/><Relationship Id="rId14616" Type="http://schemas.openxmlformats.org/officeDocument/2006/relationships/hyperlink" Target="https://myinteriorpalace.com/3-garage-door-repair-pros-houston-homeowners-recommend-for-reliable-service/" TargetMode="External"/><Relationship Id="rId892" Type="http://schemas.openxmlformats.org/officeDocument/2006/relationships/hyperlink" Target="https://www.absolutepestmgmt.com/" TargetMode="External"/><Relationship Id="rId2573" Type="http://schemas.openxmlformats.org/officeDocument/2006/relationships/hyperlink" Target="https://www.dailyherald.com/20071130/lifestyle/pulte-opens-models-at-3-neighborhoods/" TargetMode="External"/><Relationship Id="rId3624" Type="http://schemas.openxmlformats.org/officeDocument/2006/relationships/hyperlink" Target="https://www.simpleshowing.com/" TargetMode="External"/><Relationship Id="rId9186" Type="http://schemas.openxmlformats.org/officeDocument/2006/relationships/hyperlink" Target="https://www.pinoyeplans.com/" TargetMode="External"/><Relationship Id="rId12167" Type="http://schemas.openxmlformats.org/officeDocument/2006/relationships/hyperlink" Target="https://cedarparkgaragedoors.com/blog/blog-garage-door-cable-replacement/" TargetMode="External"/><Relationship Id="rId13218" Type="http://schemas.openxmlformats.org/officeDocument/2006/relationships/hyperlink" Target="https://www.tpos.co.uk/business-search/pure-investor/" TargetMode="External"/><Relationship Id="rId545" Type="http://schemas.openxmlformats.org/officeDocument/2006/relationships/hyperlink" Target="https://www.simpleshowing.com/" TargetMode="External"/><Relationship Id="rId1175" Type="http://schemas.openxmlformats.org/officeDocument/2006/relationships/hyperlink" Target="https://trustedtraders.which.co.uk/businesses/happy-2-move-limited/" TargetMode="External"/><Relationship Id="rId2226" Type="http://schemas.openxmlformats.org/officeDocument/2006/relationships/hyperlink" Target="https://www.simpleshowing.com/" TargetMode="External"/><Relationship Id="rId5796" Type="http://schemas.openxmlformats.org/officeDocument/2006/relationships/hyperlink" Target="https://www.simpleshowing.com/" TargetMode="External"/><Relationship Id="rId6847" Type="http://schemas.openxmlformats.org/officeDocument/2006/relationships/hyperlink" Target="https://www.taylormorrison.com/" TargetMode="External"/><Relationship Id="rId4398" Type="http://schemas.openxmlformats.org/officeDocument/2006/relationships/hyperlink" Target="https://www.hondros.com/resources/blog/build-referral-based-business/" TargetMode="External"/><Relationship Id="rId5449" Type="http://schemas.openxmlformats.org/officeDocument/2006/relationships/hyperlink" Target="https://stacker.com/stories/travel/5-ways-take-affordable-family-vacation-summer" TargetMode="External"/><Relationship Id="rId9320" Type="http://schemas.openxmlformats.org/officeDocument/2006/relationships/hyperlink" Target="https://www.pitsco.com/blogs/news/how-do-bicycles-work-the-science-behind-this-simple-machine" TargetMode="External"/><Relationship Id="rId11250" Type="http://schemas.openxmlformats.org/officeDocument/2006/relationships/hyperlink" Target="https://www.pinoyeplans.com/" TargetMode="External"/><Relationship Id="rId12301" Type="http://schemas.openxmlformats.org/officeDocument/2006/relationships/hyperlink" Target="https://www.ridgefieldconsulting.co.uk/" TargetMode="External"/><Relationship Id="rId15871" Type="http://schemas.openxmlformats.org/officeDocument/2006/relationships/hyperlink" Target="https://myinteriorpalace.com/" TargetMode="External"/><Relationship Id="rId5930" Type="http://schemas.openxmlformats.org/officeDocument/2006/relationships/hyperlink" Target="https://www.simpleshowing.com/" TargetMode="External"/><Relationship Id="rId14473" Type="http://schemas.openxmlformats.org/officeDocument/2006/relationships/hyperlink" Target="https://myinteriorpalace.com/" TargetMode="External"/><Relationship Id="rId15524" Type="http://schemas.openxmlformats.org/officeDocument/2006/relationships/hyperlink" Target="https://www.luxdeco.com/" TargetMode="External"/><Relationship Id="rId3481" Type="http://schemas.openxmlformats.org/officeDocument/2006/relationships/hyperlink" Target="https://www.pulte.com/" TargetMode="External"/><Relationship Id="rId4532" Type="http://schemas.openxmlformats.org/officeDocument/2006/relationships/hyperlink" Target="https://www.kapre.com/" TargetMode="External"/><Relationship Id="rId13075" Type="http://schemas.openxmlformats.org/officeDocument/2006/relationships/hyperlink" Target="https://propertypressonline.co.uk/" TargetMode="External"/><Relationship Id="rId14126" Type="http://schemas.openxmlformats.org/officeDocument/2006/relationships/hyperlink" Target="https://keystonecustomdecksny.com/" TargetMode="External"/><Relationship Id="rId2083" Type="http://schemas.openxmlformats.org/officeDocument/2006/relationships/hyperlink" Target="https://markspain.com/" TargetMode="External"/><Relationship Id="rId3134" Type="http://schemas.openxmlformats.org/officeDocument/2006/relationships/hyperlink" Target="https://www.altenergymag.com/story/2018/03/atlantas-first-smart-neighborhood-features-latest-smart-home-technologies/28086/" TargetMode="External"/><Relationship Id="rId7755" Type="http://schemas.openxmlformats.org/officeDocument/2006/relationships/hyperlink" Target="https://www.simpleshowing.com/" TargetMode="External"/><Relationship Id="rId8806" Type="http://schemas.openxmlformats.org/officeDocument/2006/relationships/hyperlink" Target="https://propertychecker.com/" TargetMode="External"/><Relationship Id="rId6357" Type="http://schemas.openxmlformats.org/officeDocument/2006/relationships/hyperlink" Target="https://webzeto.com/what-is-paypal-pay-later/" TargetMode="External"/><Relationship Id="rId7408" Type="http://schemas.openxmlformats.org/officeDocument/2006/relationships/hyperlink" Target="https://www.mcknightsseniorliving.com/news/nahb-names-winners-of-2018-best-of-55-housing-awards/" TargetMode="External"/><Relationship Id="rId10736" Type="http://schemas.openxmlformats.org/officeDocument/2006/relationships/hyperlink" Target="https://www.crestcapital.com/tax/introduction_to_hydropower" TargetMode="External"/><Relationship Id="rId13959" Type="http://schemas.openxmlformats.org/officeDocument/2006/relationships/hyperlink" Target="https://famousparenting.com/heres-a-breakdown-of-how-long-siding-materials-last/" TargetMode="External"/><Relationship Id="rId1569" Type="http://schemas.openxmlformats.org/officeDocument/2006/relationships/hyperlink" Target="https://www.simpleshowing.com/" TargetMode="External"/><Relationship Id="rId2967" Type="http://schemas.openxmlformats.org/officeDocument/2006/relationships/hyperlink" Target="https://www.simpleshowing.com/" TargetMode="External"/><Relationship Id="rId5440" Type="http://schemas.openxmlformats.org/officeDocument/2006/relationships/hyperlink" Target="https://www.simpleshowing.com/" TargetMode="External"/><Relationship Id="rId15381" Type="http://schemas.openxmlformats.org/officeDocument/2006/relationships/hyperlink" Target="https://www.topvoucherscode.co.uk/codes/luxdeco-voucher-code" TargetMode="External"/><Relationship Id="rId939" Type="http://schemas.openxmlformats.org/officeDocument/2006/relationships/hyperlink" Target="https://www.simpleshowing.com/" TargetMode="External"/><Relationship Id="rId4042" Type="http://schemas.openxmlformats.org/officeDocument/2006/relationships/hyperlink" Target="https://appleplumbing.com/" TargetMode="External"/><Relationship Id="rId11991" Type="http://schemas.openxmlformats.org/officeDocument/2006/relationships/hyperlink" Target="https://www.hamiltoninternationalestates.com/" TargetMode="External"/><Relationship Id="rId15034" Type="http://schemas.openxmlformats.org/officeDocument/2006/relationships/hyperlink" Target="https://myinteriorpalace.com/" TargetMode="External"/><Relationship Id="rId8663" Type="http://schemas.openxmlformats.org/officeDocument/2006/relationships/hyperlink" Target="https://www.pinoyeplans.com/" TargetMode="External"/><Relationship Id="rId9714" Type="http://schemas.openxmlformats.org/officeDocument/2006/relationships/hyperlink" Target="https://www.pinoyeplans.com/" TargetMode="External"/><Relationship Id="rId10593" Type="http://schemas.openxmlformats.org/officeDocument/2006/relationships/hyperlink" Target="https://www.pinoyeplans.com/" TargetMode="External"/><Relationship Id="rId11644" Type="http://schemas.openxmlformats.org/officeDocument/2006/relationships/hyperlink" Target="https://sellhousefast.uk/" TargetMode="External"/><Relationship Id="rId1703" Type="http://schemas.openxmlformats.org/officeDocument/2006/relationships/hyperlink" Target="https://podscan.fm/podcasts/the-power-trips-initials-game" TargetMode="External"/><Relationship Id="rId7265" Type="http://schemas.openxmlformats.org/officeDocument/2006/relationships/hyperlink" Target="https://www.simpleshowing.com/" TargetMode="External"/><Relationship Id="rId8316" Type="http://schemas.openxmlformats.org/officeDocument/2006/relationships/hyperlink" Target="https://www.zestlighting.com.au/" TargetMode="External"/><Relationship Id="rId10246" Type="http://schemas.openxmlformats.org/officeDocument/2006/relationships/hyperlink" Target="https://www.teachengineering.org/" TargetMode="External"/><Relationship Id="rId3875" Type="http://schemas.openxmlformats.org/officeDocument/2006/relationships/hyperlink" Target="https://www.campusreel.org/scholarship/the-cover-guy-annual-scholarship" TargetMode="External"/><Relationship Id="rId4926" Type="http://schemas.openxmlformats.org/officeDocument/2006/relationships/hyperlink" Target="https://www.simpleshowing.com/" TargetMode="External"/><Relationship Id="rId13469" Type="http://schemas.openxmlformats.org/officeDocument/2006/relationships/hyperlink" Target="https://anationofmoms.com/" TargetMode="External"/><Relationship Id="rId14867" Type="http://schemas.openxmlformats.org/officeDocument/2006/relationships/hyperlink" Target="https://www.fluidplumbingservices.com.au/" TargetMode="External"/><Relationship Id="rId15918" Type="http://schemas.openxmlformats.org/officeDocument/2006/relationships/hyperlink" Target="http://markets.chroniclejournal.com/chroniclejournal/article/getfeatured-2025-8-13-raynor-garage-doors-of-kansas-city-expands-with-new-location-in-lees-summit-mo" TargetMode="External"/><Relationship Id="rId796" Type="http://schemas.openxmlformats.org/officeDocument/2006/relationships/hyperlink" Target="https://hvac-blog.acca.org/regional-standards-lawsuit-overnow/" TargetMode="External"/><Relationship Id="rId2477" Type="http://schemas.openxmlformats.org/officeDocument/2006/relationships/hyperlink" Target="https://newhomes.howardhanna.com/communities/ohio/cuyahoga-county/preserve-of-olmsted/" TargetMode="External"/><Relationship Id="rId3528" Type="http://schemas.openxmlformats.org/officeDocument/2006/relationships/hyperlink" Target="https://www.simpleshowing.com/" TargetMode="External"/><Relationship Id="rId449" Type="http://schemas.openxmlformats.org/officeDocument/2006/relationships/hyperlink" Target="https://www.simpleshowing.com/" TargetMode="External"/><Relationship Id="rId1079" Type="http://schemas.openxmlformats.org/officeDocument/2006/relationships/hyperlink" Target="https://sales.superagi.com/company/matrix-basement-finishing" TargetMode="External"/><Relationship Id="rId6001" Type="http://schemas.openxmlformats.org/officeDocument/2006/relationships/hyperlink" Target="https://blog.curemd.com/tips-for-physicians-student-loan-debt/" TargetMode="External"/><Relationship Id="rId9571" Type="http://schemas.openxmlformats.org/officeDocument/2006/relationships/hyperlink" Target="https://www.teachengineering.org/" TargetMode="External"/><Relationship Id="rId13950" Type="http://schemas.openxmlformats.org/officeDocument/2006/relationships/hyperlink" Target="https://www.kevinszabojrplumbing.net/blog/2019/8/8/eco-friendly-roofing-options" TargetMode="External"/><Relationship Id="rId8173" Type="http://schemas.openxmlformats.org/officeDocument/2006/relationships/hyperlink" Target="https://qoutermenia.com/how-architectural-rendering-shapes-modern-urban-planning/" TargetMode="External"/><Relationship Id="rId9224" Type="http://schemas.openxmlformats.org/officeDocument/2006/relationships/hyperlink" Target="https://www.eco-outdoor.com/en-us/outdoor-design/pool-design-contemporary-architecture" TargetMode="External"/><Relationship Id="rId12552" Type="http://schemas.openxmlformats.org/officeDocument/2006/relationships/hyperlink" Target="https://civilmediation.org/mediator-search/" TargetMode="External"/><Relationship Id="rId13603" Type="http://schemas.openxmlformats.org/officeDocument/2006/relationships/hyperlink" Target="https://myinteriorpalace.com/" TargetMode="External"/><Relationship Id="rId930" Type="http://schemas.openxmlformats.org/officeDocument/2006/relationships/hyperlink" Target="https://www.simpleshowing.com/" TargetMode="External"/><Relationship Id="rId1560" Type="http://schemas.openxmlformats.org/officeDocument/2006/relationships/hyperlink" Target="https://www.simpleshowing.com/" TargetMode="External"/><Relationship Id="rId2611" Type="http://schemas.openxmlformats.org/officeDocument/2006/relationships/hyperlink" Target="https://www.pulte.com/" TargetMode="External"/><Relationship Id="rId11154" Type="http://schemas.openxmlformats.org/officeDocument/2006/relationships/hyperlink" Target="https://www.socinvestigation.com/investigating-the-science-behind-water-restoration/" TargetMode="External"/><Relationship Id="rId12205" Type="http://schemas.openxmlformats.org/officeDocument/2006/relationships/hyperlink" Target="https://www.bobvila.com/" TargetMode="External"/><Relationship Id="rId15775" Type="http://schemas.openxmlformats.org/officeDocument/2006/relationships/hyperlink" Target="https://myinteriorpalace.com/" TargetMode="External"/><Relationship Id="rId1213" Type="http://schemas.openxmlformats.org/officeDocument/2006/relationships/hyperlink" Target="https://happy2movelondon.co.uk/r" TargetMode="External"/><Relationship Id="rId4783" Type="http://schemas.openxmlformats.org/officeDocument/2006/relationships/hyperlink" Target="https://www.simpleshowing.com/" TargetMode="External"/><Relationship Id="rId5834" Type="http://schemas.openxmlformats.org/officeDocument/2006/relationships/hyperlink" Target="https://www.simpleshowing.com/" TargetMode="External"/><Relationship Id="rId14377" Type="http://schemas.openxmlformats.org/officeDocument/2006/relationships/hyperlink" Target="https://myinteriorpalace.com/" TargetMode="External"/><Relationship Id="rId15428" Type="http://schemas.openxmlformats.org/officeDocument/2006/relationships/hyperlink" Target="https://www.luxdeco.com/" TargetMode="External"/><Relationship Id="rId3385" Type="http://schemas.openxmlformats.org/officeDocument/2006/relationships/hyperlink" Target="https://www.pulte.com/" TargetMode="External"/><Relationship Id="rId4436" Type="http://schemas.openxmlformats.org/officeDocument/2006/relationships/hyperlink" Target="https://www.kapre.com/" TargetMode="External"/><Relationship Id="rId3038" Type="http://schemas.openxmlformats.org/officeDocument/2006/relationships/hyperlink" Target="https://www.coventryhomes.com/new-homes/tx/cove/windcress/" TargetMode="External"/><Relationship Id="rId7659" Type="http://schemas.openxmlformats.org/officeDocument/2006/relationships/hyperlink" Target="https://business.wapakdailynews.com/wapakdailynews/article/ibnspotlights-2023-6-12-taylor-morrison-home-corp-nyse-tmhc-is-a-stock-spotlight-on-612" TargetMode="External"/><Relationship Id="rId10987" Type="http://schemas.openxmlformats.org/officeDocument/2006/relationships/hyperlink" Target="https://www.teachengineering.org/" TargetMode="External"/><Relationship Id="rId9081" Type="http://schemas.openxmlformats.org/officeDocument/2006/relationships/hyperlink" Target="https://www.pinoyeplans.com/" TargetMode="External"/><Relationship Id="rId12062" Type="http://schemas.openxmlformats.org/officeDocument/2006/relationships/hyperlink" Target="https://www.warmup.com/blog/how-much-does-it-cost-to-replace-a-radiator" TargetMode="External"/><Relationship Id="rId13460" Type="http://schemas.openxmlformats.org/officeDocument/2006/relationships/hyperlink" Target="https://anationofmoms.com/" TargetMode="External"/><Relationship Id="rId14511" Type="http://schemas.openxmlformats.org/officeDocument/2006/relationships/hyperlink" Target="https://pr.washingtoncitypaper.com/article/Easy-Garage-Door-Repair-Strengthens-247-Service-and-Community-Trust-in-Houston-TX?storyId=69178e35ee1c6c00023490a8" TargetMode="External"/><Relationship Id="rId440" Type="http://schemas.openxmlformats.org/officeDocument/2006/relationships/hyperlink" Target="https://www.simpleshowing.com/" TargetMode="External"/><Relationship Id="rId1070" Type="http://schemas.openxmlformats.org/officeDocument/2006/relationships/hyperlink" Target="https://home-hearted.com/8-things-to-do-before-putting-your-kenosha-home-on-the-market/" TargetMode="External"/><Relationship Id="rId2121" Type="http://schemas.openxmlformats.org/officeDocument/2006/relationships/hyperlink" Target="https://www.simpleshowing.com/" TargetMode="External"/><Relationship Id="rId13113" Type="http://schemas.openxmlformats.org/officeDocument/2006/relationships/hyperlink" Target="https://www.clodura.ai/directory/company/gl-law-now-shakespeare-martineau" TargetMode="External"/><Relationship Id="rId5691" Type="http://schemas.openxmlformats.org/officeDocument/2006/relationships/hyperlink" Target="https://luxafor.com/how-to-use-technology-to-improve-work-efficiency/" TargetMode="External"/><Relationship Id="rId6742" Type="http://schemas.openxmlformats.org/officeDocument/2006/relationships/hyperlink" Target="https://theprovidencegroup.com/" TargetMode="External"/><Relationship Id="rId15285" Type="http://schemas.openxmlformats.org/officeDocument/2006/relationships/hyperlink" Target="https://uk.ezilon.com/uk/shopping/furniture/index.shtml" TargetMode="External"/><Relationship Id="rId4293" Type="http://schemas.openxmlformats.org/officeDocument/2006/relationships/hyperlink" Target="https://www.bloggang.com/mainblog.php?id=jc2002-warmfamily" TargetMode="External"/><Relationship Id="rId5344" Type="http://schemas.openxmlformats.org/officeDocument/2006/relationships/hyperlink" Target="https://www.simpleshowing.com/" TargetMode="External"/><Relationship Id="rId9965" Type="http://schemas.openxmlformats.org/officeDocument/2006/relationships/hyperlink" Target="https://www.clowns.com/blog/party-planning/2023/07/10/consideration-for-sensory-sensitive-children-at-parties/" TargetMode="External"/><Relationship Id="rId11895" Type="http://schemas.openxmlformats.org/officeDocument/2006/relationships/hyperlink" Target="https://www.hamiltoninternationalestates.com/" TargetMode="External"/><Relationship Id="rId1954" Type="http://schemas.openxmlformats.org/officeDocument/2006/relationships/hyperlink" Target="https://markspain.com/" TargetMode="External"/><Relationship Id="rId8567" Type="http://schemas.openxmlformats.org/officeDocument/2006/relationships/hyperlink" Target="https://www.pinoyeplans.com/" TargetMode="External"/><Relationship Id="rId9618" Type="http://schemas.openxmlformats.org/officeDocument/2006/relationships/hyperlink" Target="https://www.pinoyeplans.com/" TargetMode="External"/><Relationship Id="rId10497" Type="http://schemas.openxmlformats.org/officeDocument/2006/relationships/hyperlink" Target="https://www.pinoyeplans.com/" TargetMode="External"/><Relationship Id="rId11548" Type="http://schemas.openxmlformats.org/officeDocument/2006/relationships/hyperlink" Target="https://www.londonmumsmagazine.com/whats-on/attractions-for-families-in-london/london/great-indoors/london-housing-turns-into-a-buyers-market-against-all-odds/" TargetMode="External"/><Relationship Id="rId12946" Type="http://schemas.openxmlformats.org/officeDocument/2006/relationships/hyperlink" Target="https://propertypressonline.co.uk/" TargetMode="External"/><Relationship Id="rId1607" Type="http://schemas.openxmlformats.org/officeDocument/2006/relationships/hyperlink" Target="https://www.podchaser.com/podcasts/the-power-trips-initials-game-2266522" TargetMode="External"/><Relationship Id="rId7169" Type="http://schemas.openxmlformats.org/officeDocument/2006/relationships/hyperlink" Target="https://www.taylormorrison.com/" TargetMode="External"/><Relationship Id="rId14021" Type="http://schemas.openxmlformats.org/officeDocument/2006/relationships/hyperlink" Target="https://keystonecustomdecksny.com/" TargetMode="External"/><Relationship Id="rId3779" Type="http://schemas.openxmlformats.org/officeDocument/2006/relationships/hyperlink" Target="https://www.o-care.com/blog-posts/hot-tub-cover-lifter" TargetMode="External"/><Relationship Id="rId7650" Type="http://schemas.openxmlformats.org/officeDocument/2006/relationships/hyperlink" Target="https://www.chicagotribune.com/2016/02/25/new-construction-value-and-large-homesite-bring-family-to-woodland-hills-in-lakewood/" TargetMode="External"/><Relationship Id="rId16193" Type="http://schemas.openxmlformats.org/officeDocument/2006/relationships/hyperlink" Target="https://www.unitedcarpetsandbeds.com/" TargetMode="External"/><Relationship Id="rId6252" Type="http://schemas.openxmlformats.org/officeDocument/2006/relationships/hyperlink" Target="https://www.simpleshowing.com/" TargetMode="External"/><Relationship Id="rId7303" Type="http://schemas.openxmlformats.org/officeDocument/2006/relationships/hyperlink" Target="https://www.taylormorrison.com/" TargetMode="External"/><Relationship Id="rId8701" Type="http://schemas.openxmlformats.org/officeDocument/2006/relationships/hyperlink" Target="https://www.constructionlondon.co.uk/d_s/746/15/camden/reclaimed-flooring" TargetMode="External"/><Relationship Id="rId10631" Type="http://schemas.openxmlformats.org/officeDocument/2006/relationships/hyperlink" Target="https://www.globe.gov/web/globe-across-the-curriculum/overview/science-mathematics-and-technology" TargetMode="External"/><Relationship Id="rId13854" Type="http://schemas.openxmlformats.org/officeDocument/2006/relationships/hyperlink" Target="https://aqglassshowerdoorsphoenix.pages.dev/locations/shower-doors-mccormick-ranch" TargetMode="External"/><Relationship Id="rId14905" Type="http://schemas.openxmlformats.org/officeDocument/2006/relationships/hyperlink" Target="https://myinteriorpalace.com/" TargetMode="External"/><Relationship Id="rId2862" Type="http://schemas.openxmlformats.org/officeDocument/2006/relationships/hyperlink" Target="https://www.simpleshowing.com/" TargetMode="External"/><Relationship Id="rId3913" Type="http://schemas.openxmlformats.org/officeDocument/2006/relationships/hyperlink" Target="https://thecoverguy.com/" TargetMode="External"/><Relationship Id="rId8077" Type="http://schemas.openxmlformats.org/officeDocument/2006/relationships/hyperlink" Target="https://lwccareers.lindsey.edu/profiles/2935867-johnson-restoration" TargetMode="External"/><Relationship Id="rId9475" Type="http://schemas.openxmlformats.org/officeDocument/2006/relationships/hyperlink" Target="https://www.teachengineering.org/" TargetMode="External"/><Relationship Id="rId12456" Type="http://schemas.openxmlformats.org/officeDocument/2006/relationships/hyperlink" Target="https://propertypressonline.co.uk/" TargetMode="External"/><Relationship Id="rId13507" Type="http://schemas.openxmlformats.org/officeDocument/2006/relationships/hyperlink" Target="https://myinteriorpalace.com/" TargetMode="External"/><Relationship Id="rId834" Type="http://schemas.openxmlformats.org/officeDocument/2006/relationships/hyperlink" Target="https://www.simpleshowing.com/" TargetMode="External"/><Relationship Id="rId1464" Type="http://schemas.openxmlformats.org/officeDocument/2006/relationships/hyperlink" Target="https://www.simpleshowing.com/" TargetMode="External"/><Relationship Id="rId2515" Type="http://schemas.openxmlformats.org/officeDocument/2006/relationships/hyperlink" Target="https://www.pulte.com/" TargetMode="External"/><Relationship Id="rId9128" Type="http://schemas.openxmlformats.org/officeDocument/2006/relationships/hyperlink" Target="https://influencersgonewildcom.com/construction-estimating-for-contractors-builders/" TargetMode="External"/><Relationship Id="rId11058" Type="http://schemas.openxmlformats.org/officeDocument/2006/relationships/hyperlink" Target="https://www.pinoyeplans.com/" TargetMode="External"/><Relationship Id="rId12109" Type="http://schemas.openxmlformats.org/officeDocument/2006/relationships/hyperlink" Target="https://www.bobvila.com/" TargetMode="External"/><Relationship Id="rId15679" Type="http://schemas.openxmlformats.org/officeDocument/2006/relationships/hyperlink" Target="https://myinteriorpalace.com/" TargetMode="External"/><Relationship Id="rId1117" Type="http://schemas.openxmlformats.org/officeDocument/2006/relationships/hyperlink" Target="https://www.matrixbasements.com/" TargetMode="External"/><Relationship Id="rId4687" Type="http://schemas.openxmlformats.org/officeDocument/2006/relationships/hyperlink" Target="https://www.simpleshowing.com/" TargetMode="External"/><Relationship Id="rId5738" Type="http://schemas.openxmlformats.org/officeDocument/2006/relationships/hyperlink" Target="https://www.simpleshowing.com/" TargetMode="External"/><Relationship Id="rId3289" Type="http://schemas.openxmlformats.org/officeDocument/2006/relationships/hyperlink" Target="https://www.pulte.com/" TargetMode="External"/><Relationship Id="rId7160" Type="http://schemas.openxmlformats.org/officeDocument/2006/relationships/hyperlink" Target="https://www.taylormorrison.com/" TargetMode="External"/><Relationship Id="rId8211" Type="http://schemas.openxmlformats.org/officeDocument/2006/relationships/hyperlink" Target="https://smaarchviz.com/" TargetMode="External"/><Relationship Id="rId10141" Type="http://schemas.openxmlformats.org/officeDocument/2006/relationships/hyperlink" Target="https://www.teachengineering.org/" TargetMode="External"/><Relationship Id="rId14762" Type="http://schemas.openxmlformats.org/officeDocument/2006/relationships/hyperlink" Target="https://www.easygaragedoorrepair.com/" TargetMode="External"/><Relationship Id="rId15813" Type="http://schemas.openxmlformats.org/officeDocument/2006/relationships/hyperlink" Target="https://www.enfield.gov.uk/services/your-council/grt/site-delivery" TargetMode="External"/><Relationship Id="rId3770" Type="http://schemas.openxmlformats.org/officeDocument/2006/relationships/hyperlink" Target="https://forum.gamequitters.com/?f=248059523" TargetMode="External"/><Relationship Id="rId4821" Type="http://schemas.openxmlformats.org/officeDocument/2006/relationships/hyperlink" Target="https://www.scottcountymn.gov/1335/Testing-Services" TargetMode="External"/><Relationship Id="rId13364" Type="http://schemas.openxmlformats.org/officeDocument/2006/relationships/hyperlink" Target="https://anationofmoms.com/" TargetMode="External"/><Relationship Id="rId14415" Type="http://schemas.openxmlformats.org/officeDocument/2006/relationships/hyperlink" Target="https://eselundlandspielhof.de/redirect.php?url=https://telegra.ph/Official-Esta-Application-05-16-2" TargetMode="External"/><Relationship Id="rId344" Type="http://schemas.openxmlformats.org/officeDocument/2006/relationships/hyperlink" Target="http://northernvirginiahomepro.com/" TargetMode="External"/><Relationship Id="rId691" Type="http://schemas.openxmlformats.org/officeDocument/2006/relationships/hyperlink" Target="https://www.charlottemagazine.com/beachin-duck/" TargetMode="External"/><Relationship Id="rId2025" Type="http://schemas.openxmlformats.org/officeDocument/2006/relationships/hyperlink" Target="https://www.simpleshowing.com/" TargetMode="External"/><Relationship Id="rId2372" Type="http://schemas.openxmlformats.org/officeDocument/2006/relationships/hyperlink" Target="https://www.jwhomes.com/" TargetMode="External"/><Relationship Id="rId3423" Type="http://schemas.openxmlformats.org/officeDocument/2006/relationships/hyperlink" Target="https://www.simpleshowing.com/" TargetMode="External"/><Relationship Id="rId6993" Type="http://schemas.openxmlformats.org/officeDocument/2006/relationships/hyperlink" Target="https://estrella.com/taylor-morrison-to-bring-new-homes-to-lucero-at-estrella/" TargetMode="External"/><Relationship Id="rId13017" Type="http://schemas.openxmlformats.org/officeDocument/2006/relationships/hyperlink" Target="https://ditchcarbon.com/organizations/shakespeare-martineau" TargetMode="External"/><Relationship Id="rId5595" Type="http://schemas.openxmlformats.org/officeDocument/2006/relationships/hyperlink" Target="https://thinkcomputers.org/how-credit-card-consolidation-programs-work/" TargetMode="External"/><Relationship Id="rId6646" Type="http://schemas.openxmlformats.org/officeDocument/2006/relationships/hyperlink" Target="https://www.simpleshowing.com/" TargetMode="External"/><Relationship Id="rId15189" Type="http://schemas.openxmlformats.org/officeDocument/2006/relationships/hyperlink" Target="https://www.mybespokeroom.com/inspiration/shop/tracy-s-classic-and-cosy-master-bathroom" TargetMode="External"/><Relationship Id="rId4197" Type="http://schemas.openxmlformats.org/officeDocument/2006/relationships/hyperlink" Target="https://www.dbs.ie/about-dbs/kaplan-dublin-business-school" TargetMode="External"/><Relationship Id="rId5248" Type="http://schemas.openxmlformats.org/officeDocument/2006/relationships/hyperlink" Target="https://www.simpleshowing.com/" TargetMode="External"/><Relationship Id="rId9869" Type="http://schemas.openxmlformats.org/officeDocument/2006/relationships/hyperlink" Target="https://www.gentlemansflair.com/character-of-god/" TargetMode="External"/><Relationship Id="rId12100" Type="http://schemas.openxmlformats.org/officeDocument/2006/relationships/hyperlink" Target="https://www.bobvila.com/" TargetMode="External"/><Relationship Id="rId1858" Type="http://schemas.openxmlformats.org/officeDocument/2006/relationships/hyperlink" Target="https://wolfriverelectric.com/" TargetMode="External"/><Relationship Id="rId11799" Type="http://schemas.openxmlformats.org/officeDocument/2006/relationships/hyperlink" Target="https://www.hamiltoninternationalestates.com/" TargetMode="External"/><Relationship Id="rId14272" Type="http://schemas.openxmlformats.org/officeDocument/2006/relationships/hyperlink" Target="https://myinteriorpalace.com/" TargetMode="External"/><Relationship Id="rId15670" Type="http://schemas.openxmlformats.org/officeDocument/2006/relationships/hyperlink" Target="https://myinteriorpalace.com/" TargetMode="External"/><Relationship Id="rId2909" Type="http://schemas.openxmlformats.org/officeDocument/2006/relationships/hyperlink" Target="https://www.gohebervalley.com/pulte-homes/" TargetMode="External"/><Relationship Id="rId3280" Type="http://schemas.openxmlformats.org/officeDocument/2006/relationships/hyperlink" Target="https://www.pulte.com/" TargetMode="External"/><Relationship Id="rId4331" Type="http://schemas.openxmlformats.org/officeDocument/2006/relationships/hyperlink" Target="https://www.kapre.com/" TargetMode="External"/><Relationship Id="rId15323" Type="http://schemas.openxmlformats.org/officeDocument/2006/relationships/hyperlink" Target="https://www.luxdeco.com/" TargetMode="External"/><Relationship Id="rId8952" Type="http://schemas.openxmlformats.org/officeDocument/2006/relationships/hyperlink" Target="https://www.pinoyeplans.com/" TargetMode="External"/><Relationship Id="rId10882" Type="http://schemas.openxmlformats.org/officeDocument/2006/relationships/hyperlink" Target="https://www.teachengineering.org/" TargetMode="External"/><Relationship Id="rId11933" Type="http://schemas.openxmlformats.org/officeDocument/2006/relationships/hyperlink" Target="https://www.warmzone.com/snow-melting/about-heated-driveways/" TargetMode="External"/><Relationship Id="rId6156" Type="http://schemas.openxmlformats.org/officeDocument/2006/relationships/hyperlink" Target="https://www.simpleshowing.com/" TargetMode="External"/><Relationship Id="rId7554" Type="http://schemas.openxmlformats.org/officeDocument/2006/relationships/hyperlink" Target="https://www.langrealty.com/property/46-F10479723-11834-Sw-Macelli-Way-Port-St-Lucie-FL-34987/" TargetMode="External"/><Relationship Id="rId8605" Type="http://schemas.openxmlformats.org/officeDocument/2006/relationships/hyperlink" Target="https://bambooroutes.com/blogs/news/melbourne-property" TargetMode="External"/><Relationship Id="rId10535" Type="http://schemas.openxmlformats.org/officeDocument/2006/relationships/hyperlink" Target="https://rvalibrary.org/kids/sol-resources/" TargetMode="External"/><Relationship Id="rId16097" Type="http://schemas.openxmlformats.org/officeDocument/2006/relationships/hyperlink" Target="https://www.rwdoors.com/" TargetMode="External"/><Relationship Id="rId7207" Type="http://schemas.openxmlformats.org/officeDocument/2006/relationships/hyperlink" Target="https://www.taylormorrison.com/" TargetMode="External"/><Relationship Id="rId13758" Type="http://schemas.openxmlformats.org/officeDocument/2006/relationships/hyperlink" Target="https://geekvibesnation.com/smart-spaces-how-ai-driven-design-is-revolutionizing-home-transformations/" TargetMode="External"/><Relationship Id="rId14809" Type="http://schemas.openxmlformats.org/officeDocument/2006/relationships/hyperlink" Target="https://myinteriorpalace.com/" TargetMode="External"/><Relationship Id="rId2766" Type="http://schemas.openxmlformats.org/officeDocument/2006/relationships/hyperlink" Target="https://www.simpleshowing.com/" TargetMode="External"/><Relationship Id="rId3817" Type="http://schemas.openxmlformats.org/officeDocument/2006/relationships/hyperlink" Target="https://thecoverguy.com/" TargetMode="External"/><Relationship Id="rId9379" Type="http://schemas.openxmlformats.org/officeDocument/2006/relationships/hyperlink" Target="https://www.teachengineering.org/" TargetMode="External"/><Relationship Id="rId15180" Type="http://schemas.openxmlformats.org/officeDocument/2006/relationships/hyperlink" Target="https://punchlist.com/article/line-definition-in-interior-design/" TargetMode="External"/><Relationship Id="rId16231" Type="http://schemas.openxmlformats.org/officeDocument/2006/relationships/hyperlink" Target="https://myinteriorpalace.com/" TargetMode="External"/><Relationship Id="rId738" Type="http://schemas.openxmlformats.org/officeDocument/2006/relationships/hyperlink" Target="https://www.carolinadesigns.com/" TargetMode="External"/><Relationship Id="rId1368" Type="http://schemas.openxmlformats.org/officeDocument/2006/relationships/hyperlink" Target="https://www.simpleshowing.com/" TargetMode="External"/><Relationship Id="rId2419" Type="http://schemas.openxmlformats.org/officeDocument/2006/relationships/hyperlink" Target="https://www.pulte.com/" TargetMode="External"/><Relationship Id="rId5989" Type="http://schemas.openxmlformats.org/officeDocument/2006/relationships/hyperlink" Target="https://www.businessinitiative.org/business-tips/poor-debt-management-taking-on-too-much-debt-or-wrong-types/" TargetMode="External"/><Relationship Id="rId9860" Type="http://schemas.openxmlformats.org/officeDocument/2006/relationships/hyperlink" Target="https://onlypassionatecuriosity.com/free-homeschool-list/" TargetMode="External"/><Relationship Id="rId74" Type="http://schemas.openxmlformats.org/officeDocument/2006/relationships/hyperlink" Target="http://vmccam.net/" TargetMode="External"/><Relationship Id="rId8462" Type="http://schemas.openxmlformats.org/officeDocument/2006/relationships/hyperlink" Target="https://www.pinoyeplans.com/" TargetMode="External"/><Relationship Id="rId9513" Type="http://schemas.openxmlformats.org/officeDocument/2006/relationships/hyperlink" Target="https://www.pinoyeplans.com/" TargetMode="External"/><Relationship Id="rId11790" Type="http://schemas.openxmlformats.org/officeDocument/2006/relationships/hyperlink" Target="https://www.hamiltoninternationalestates.com/" TargetMode="External"/><Relationship Id="rId12841" Type="http://schemas.openxmlformats.org/officeDocument/2006/relationships/hyperlink" Target="https://propertypressonline.co.uk/" TargetMode="External"/><Relationship Id="rId2900" Type="http://schemas.openxmlformats.org/officeDocument/2006/relationships/hyperlink" Target="https://sfbwmag.com/pultegroup-reveals-single-family-community-in-broward-county/" TargetMode="External"/><Relationship Id="rId7064" Type="http://schemas.openxmlformats.org/officeDocument/2006/relationships/hyperlink" Target="https://www.taylormorrison.com/" TargetMode="External"/><Relationship Id="rId8115" Type="http://schemas.openxmlformats.org/officeDocument/2006/relationships/hyperlink" Target="https://whiteglovemoving.us/" TargetMode="External"/><Relationship Id="rId10392" Type="http://schemas.openxmlformats.org/officeDocument/2006/relationships/hyperlink" Target="https://www.pinoyeplans.com/" TargetMode="External"/><Relationship Id="rId11443" Type="http://schemas.openxmlformats.org/officeDocument/2006/relationships/hyperlink" Target="https://www.thesun.co.uk/fabulous/34766741/lidl-elegant-garden-decor-sunny-days-parasol-cheaper-bq/" TargetMode="External"/><Relationship Id="rId1502" Type="http://schemas.openxmlformats.org/officeDocument/2006/relationships/hyperlink" Target="https://ppc.land/minnesota-solar-company-sues-google-over-false-ai-generated-claims/" TargetMode="External"/><Relationship Id="rId10045" Type="http://schemas.openxmlformats.org/officeDocument/2006/relationships/hyperlink" Target="https://www.teachengineering.org/" TargetMode="External"/><Relationship Id="rId14666" Type="http://schemas.openxmlformats.org/officeDocument/2006/relationships/hyperlink" Target="https://www.easygaragedoorrepair.com/" TargetMode="External"/><Relationship Id="rId15717" Type="http://schemas.openxmlformats.org/officeDocument/2006/relationships/hyperlink" Target="https://grokipedia.com/page/Corymbia" TargetMode="External"/><Relationship Id="rId3674" Type="http://schemas.openxmlformats.org/officeDocument/2006/relationships/hyperlink" Target="https://squareup.com/us/en/press/tap-to-pay-on-android" TargetMode="External"/><Relationship Id="rId4725" Type="http://schemas.openxmlformats.org/officeDocument/2006/relationships/hyperlink" Target="https://www.atlantanewsfirst.com/2024/05/27/high-school-seniors-can-now-get-real-estate-license-free-this-state/" TargetMode="External"/><Relationship Id="rId13268" Type="http://schemas.openxmlformats.org/officeDocument/2006/relationships/hyperlink" Target="https://www.pureinvestor.co.uk/" TargetMode="External"/><Relationship Id="rId14319" Type="http://schemas.openxmlformats.org/officeDocument/2006/relationships/hyperlink" Target="https://4.bing.com/images/search?q=Squale+Top+Grade+Movement&amp;FORM=RESTAB" TargetMode="External"/><Relationship Id="rId595" Type="http://schemas.openxmlformats.org/officeDocument/2006/relationships/hyperlink" Target="https://www.salonprivemag.com/heres-why-you-should-book-a-vacation-home-instead-of-a-hotel/" TargetMode="External"/><Relationship Id="rId2276" Type="http://schemas.openxmlformats.org/officeDocument/2006/relationships/hyperlink" Target="https://belameresuites.com/georgia/cumming-area-guide/" TargetMode="External"/><Relationship Id="rId3327" Type="http://schemas.openxmlformats.org/officeDocument/2006/relationships/hyperlink" Target="https://www.simpleshowing.com/" TargetMode="External"/><Relationship Id="rId6897" Type="http://schemas.openxmlformats.org/officeDocument/2006/relationships/hyperlink" Target="https://www.simpleshowing.com/" TargetMode="External"/><Relationship Id="rId7948" Type="http://schemas.openxmlformats.org/officeDocument/2006/relationships/hyperlink" Target="https://matehope54.pythonanywhere.com/how-to-treat-wooden-floors.html" TargetMode="External"/><Relationship Id="rId248" Type="http://schemas.openxmlformats.org/officeDocument/2006/relationships/hyperlink" Target="http://tinysociety.co/" TargetMode="External"/><Relationship Id="rId5499" Type="http://schemas.openxmlformats.org/officeDocument/2006/relationships/hyperlink" Target="https://www.cs-cart.com/blog/monetary-relations-with-vendors/" TargetMode="External"/><Relationship Id="rId9370" Type="http://schemas.openxmlformats.org/officeDocument/2006/relationships/hyperlink" Target="https://www.teachengineering.org/" TargetMode="External"/><Relationship Id="rId10929" Type="http://schemas.openxmlformats.org/officeDocument/2006/relationships/hyperlink" Target="https://www.pinoyeplans.com/" TargetMode="External"/><Relationship Id="rId12351" Type="http://schemas.openxmlformats.org/officeDocument/2006/relationships/hyperlink" Target="https://propertypressonline.co.uk/" TargetMode="External"/><Relationship Id="rId14800" Type="http://schemas.openxmlformats.org/officeDocument/2006/relationships/hyperlink" Target="https://myinteriorpalace.com/" TargetMode="External"/><Relationship Id="rId2410" Type="http://schemas.openxmlformats.org/officeDocument/2006/relationships/hyperlink" Target="https://www.pulte.com/" TargetMode="External"/><Relationship Id="rId9023" Type="http://schemas.openxmlformats.org/officeDocument/2006/relationships/hyperlink" Target="https://dailyodyssey.co.uk/transform-project-planning-with-reliable-timber-estimates/" TargetMode="External"/><Relationship Id="rId12004" Type="http://schemas.openxmlformats.org/officeDocument/2006/relationships/hyperlink" Target="https://www.bobvila.com/" TargetMode="External"/><Relationship Id="rId13402" Type="http://schemas.openxmlformats.org/officeDocument/2006/relationships/hyperlink" Target="https://myinteriorpalace.com/" TargetMode="External"/><Relationship Id="rId1012" Type="http://schemas.openxmlformats.org/officeDocument/2006/relationships/hyperlink" Target="https://www.matrixbasements.com/" TargetMode="External"/><Relationship Id="rId5980" Type="http://schemas.openxmlformats.org/officeDocument/2006/relationships/hyperlink" Target="https://www.simpleshowing.com/" TargetMode="External"/><Relationship Id="rId15574" Type="http://schemas.openxmlformats.org/officeDocument/2006/relationships/hyperlink" Target="https://myinteriorpalace.com/" TargetMode="External"/><Relationship Id="rId3184" Type="http://schemas.openxmlformats.org/officeDocument/2006/relationships/hyperlink" Target="https://www.pulte.com/" TargetMode="External"/><Relationship Id="rId4235" Type="http://schemas.openxmlformats.org/officeDocument/2006/relationships/hyperlink" Target="https://www.kapre.com/" TargetMode="External"/><Relationship Id="rId4582" Type="http://schemas.openxmlformats.org/officeDocument/2006/relationships/hyperlink" Target="https://www.simpleshowing.com/" TargetMode="External"/><Relationship Id="rId5633" Type="http://schemas.openxmlformats.org/officeDocument/2006/relationships/hyperlink" Target="https://blog.designcrowd.de/article/2232/how-to-visually-capture-customers-in-new-traffic-channels-2025" TargetMode="External"/><Relationship Id="rId14176" Type="http://schemas.openxmlformats.org/officeDocument/2006/relationships/hyperlink" Target="https://myinteriorpalace.com/" TargetMode="External"/><Relationship Id="rId15227" Type="http://schemas.openxmlformats.org/officeDocument/2006/relationships/hyperlink" Target="https://www.luxdeco.com/" TargetMode="External"/><Relationship Id="rId8856" Type="http://schemas.openxmlformats.org/officeDocument/2006/relationships/hyperlink" Target="https://www.pinoyeplans.com/" TargetMode="External"/><Relationship Id="rId9907" Type="http://schemas.openxmlformats.org/officeDocument/2006/relationships/hyperlink" Target="https://www.teachengineering.org/" TargetMode="External"/><Relationship Id="rId10786" Type="http://schemas.openxmlformats.org/officeDocument/2006/relationships/hyperlink" Target="https://www.teachengineering.org/" TargetMode="External"/><Relationship Id="rId11837" Type="http://schemas.openxmlformats.org/officeDocument/2006/relationships/hyperlink" Target="https://www.premierguarantee.com/insite/industry-professionals-offer-insight-into-eco-friendly-building/" TargetMode="External"/><Relationship Id="rId7458" Type="http://schemas.openxmlformats.org/officeDocument/2006/relationships/hyperlink" Target="https://artdaily.com/news/40316/Local-Couple-Build-Round-House-for-Protection-Against-the-Winds" TargetMode="External"/><Relationship Id="rId8509" Type="http://schemas.openxmlformats.org/officeDocument/2006/relationships/hyperlink" Target="https://archinect.com/cylind" TargetMode="External"/><Relationship Id="rId10439" Type="http://schemas.openxmlformats.org/officeDocument/2006/relationships/hyperlink" Target="https://hains.rcboe.org/clubs-organizations/math-club/math-team-practice-websites" TargetMode="External"/><Relationship Id="rId14310" Type="http://schemas.openxmlformats.org/officeDocument/2006/relationships/hyperlink" Target="https://www.blogger.com/profile/12946606412707767988" TargetMode="External"/><Relationship Id="rId989" Type="http://schemas.openxmlformats.org/officeDocument/2006/relationships/hyperlink" Target="https://art-sheep.com/chic-cozy-and-functional-interior-ideas-that-just-work/" TargetMode="External"/><Relationship Id="rId5490" Type="http://schemas.openxmlformats.org/officeDocument/2006/relationships/hyperlink" Target="https://www.simpleshowing.com/" TargetMode="External"/><Relationship Id="rId6541" Type="http://schemas.openxmlformats.org/officeDocument/2006/relationships/hyperlink" Target="https://www.simpleshowing.com/" TargetMode="External"/><Relationship Id="rId10920" Type="http://schemas.openxmlformats.org/officeDocument/2006/relationships/hyperlink" Target="https://www.pinoyeplans.com/" TargetMode="External"/><Relationship Id="rId15084" Type="http://schemas.openxmlformats.org/officeDocument/2006/relationships/hyperlink" Target="https://welshdesignstudio.com/coffee-table-books-for-decorating/" TargetMode="External"/><Relationship Id="rId16135" Type="http://schemas.openxmlformats.org/officeDocument/2006/relationships/hyperlink" Target="https://myinteriorpalace.com/" TargetMode="External"/><Relationship Id="rId4092" Type="http://schemas.openxmlformats.org/officeDocument/2006/relationships/hyperlink" Target="https://help.kaplanlearn.com/s/" TargetMode="External"/><Relationship Id="rId5143" Type="http://schemas.openxmlformats.org/officeDocument/2006/relationships/hyperlink" Target="https://www.leaderonomics.com/articles/business/beste-kredittkort-tips-choosing-best-credit-card" TargetMode="External"/><Relationship Id="rId8366" Type="http://schemas.openxmlformats.org/officeDocument/2006/relationships/hyperlink" Target="https://www.pinoyeplans.com/" TargetMode="External"/><Relationship Id="rId9764" Type="http://schemas.openxmlformats.org/officeDocument/2006/relationships/hyperlink" Target="https://seedstosuccess.com/grade/9-12/" TargetMode="External"/><Relationship Id="rId11694" Type="http://schemas.openxmlformats.org/officeDocument/2006/relationships/hyperlink" Target="https://www.hamiltoninternationalestates.com/" TargetMode="External"/><Relationship Id="rId12745" Type="http://schemas.openxmlformats.org/officeDocument/2006/relationships/hyperlink" Target="https://propertypressonline.co.uk/" TargetMode="External"/><Relationship Id="rId1753" Type="http://schemas.openxmlformats.org/officeDocument/2006/relationships/hyperlink" Target="https://wolfriverelectric.com/" TargetMode="External"/><Relationship Id="rId2804" Type="http://schemas.openxmlformats.org/officeDocument/2006/relationships/hyperlink" Target="https://www.nexton.com/news-events/press-releases/posts-by-date/2022/april/nexton-named-best-mixed-use-community-a-second-time-by-charleston-home-builders-association/" TargetMode="External"/><Relationship Id="rId8019" Type="http://schemas.openxmlformats.org/officeDocument/2006/relationships/hyperlink" Target="https://indyroofandrestoration.com/" TargetMode="External"/><Relationship Id="rId9417" Type="http://schemas.openxmlformats.org/officeDocument/2006/relationships/hyperlink" Target="https://www.pinoyeplans.com/" TargetMode="External"/><Relationship Id="rId10296" Type="http://schemas.openxmlformats.org/officeDocument/2006/relationships/hyperlink" Target="https://www.pinoyeplans.com/" TargetMode="External"/><Relationship Id="rId11347" Type="http://schemas.openxmlformats.org/officeDocument/2006/relationships/hyperlink" Target="https://pressbooks.cuny.edu/mypage/chapter/what-to-do-when-you-need-to-sell-your-philly-home-quickly/" TargetMode="External"/><Relationship Id="rId15968" Type="http://schemas.openxmlformats.org/officeDocument/2006/relationships/hyperlink" Target="https://www.rwdoors.com/" TargetMode="External"/><Relationship Id="rId1406" Type="http://schemas.openxmlformats.org/officeDocument/2006/relationships/hyperlink" Target="https://www.lovehappensmag.com/blog/2024/11/15/the-ultimate-guide-to-transforming-your-home-and-saving-money-with-energy-efficient-windows/" TargetMode="External"/><Relationship Id="rId4976" Type="http://schemas.openxmlformats.org/officeDocument/2006/relationships/hyperlink" Target="https://www.simpleshowing.com/" TargetMode="External"/><Relationship Id="rId3578" Type="http://schemas.openxmlformats.org/officeDocument/2006/relationships/hyperlink" Target="http://qujica.prv.pl/mortgage-myers-internet-ca-pleasanton.php" TargetMode="External"/><Relationship Id="rId4629" Type="http://schemas.openxmlformats.org/officeDocument/2006/relationships/hyperlink" Target="https://www.fsuniverse.net/forum/threads/survivor-ghost-island.103541/page-2" TargetMode="External"/><Relationship Id="rId8500" Type="http://schemas.openxmlformats.org/officeDocument/2006/relationships/hyperlink" Target="https://www.patioandpizza.com/blogs/resources/planning-for-the-seasons-designs-for-year-round-outdoor-use" TargetMode="External"/><Relationship Id="rId10430" Type="http://schemas.openxmlformats.org/officeDocument/2006/relationships/hyperlink" Target="https://issnationallab.org/education-and-workforce-development/expedition-space-lab/elementary/expedition-space-lab-mission-sound-in-space/" TargetMode="External"/><Relationship Id="rId499" Type="http://schemas.openxmlformats.org/officeDocument/2006/relationships/hyperlink" Target="https://www.offthemrkt.com/blogs/why-owning-a-vacation-home-makes-sense" TargetMode="External"/><Relationship Id="rId6051" Type="http://schemas.openxmlformats.org/officeDocument/2006/relationships/hyperlink" Target="https://tfipost.com/2021/01/evaluating-debt-consolidation-companies/" TargetMode="External"/><Relationship Id="rId7102" Type="http://schemas.openxmlformats.org/officeDocument/2006/relationships/hyperlink" Target="https://www.simpleshowing.com/" TargetMode="External"/><Relationship Id="rId9274" Type="http://schemas.openxmlformats.org/officeDocument/2006/relationships/hyperlink" Target="https://www.teachengineering.org/" TargetMode="External"/><Relationship Id="rId13653" Type="http://schemas.openxmlformats.org/officeDocument/2006/relationships/hyperlink" Target="https://www.protopage.com/gordanbzar" TargetMode="External"/><Relationship Id="rId14704" Type="http://schemas.openxmlformats.org/officeDocument/2006/relationships/hyperlink" Target="https://myinteriorpalace.com/" TargetMode="External"/><Relationship Id="rId633" Type="http://schemas.openxmlformats.org/officeDocument/2006/relationships/hyperlink" Target="https://www.carolinadesigns.com/" TargetMode="External"/><Relationship Id="rId980" Type="http://schemas.openxmlformats.org/officeDocument/2006/relationships/hyperlink" Target="https://www.sipthestyle.com/creative-ways-to-add-functional-space-to-your-home" TargetMode="External"/><Relationship Id="rId1263" Type="http://schemas.openxmlformats.org/officeDocument/2006/relationships/hyperlink" Target="https://www.simpleshowing.com/" TargetMode="External"/><Relationship Id="rId2314" Type="http://schemas.openxmlformats.org/officeDocument/2006/relationships/hyperlink" Target="https://www.collectionforsyth.com/" TargetMode="External"/><Relationship Id="rId2661" Type="http://schemas.openxmlformats.org/officeDocument/2006/relationships/hyperlink" Target="https://www.simpleshowing.com/" TargetMode="External"/><Relationship Id="rId3712" Type="http://schemas.openxmlformats.org/officeDocument/2006/relationships/hyperlink" Target="https://www.overheaddoors.com/" TargetMode="External"/><Relationship Id="rId12255" Type="http://schemas.openxmlformats.org/officeDocument/2006/relationships/hyperlink" Target="https://propertypressonline.co.uk/" TargetMode="External"/><Relationship Id="rId13306" Type="http://schemas.openxmlformats.org/officeDocument/2006/relationships/hyperlink" Target="https://myinteriorpalace.com/" TargetMode="External"/><Relationship Id="rId5884" Type="http://schemas.openxmlformats.org/officeDocument/2006/relationships/hyperlink" Target="https://www.simpleshowing.com/" TargetMode="External"/><Relationship Id="rId6935" Type="http://schemas.openxmlformats.org/officeDocument/2006/relationships/hyperlink" Target="https://www.taylormorrison.com/" TargetMode="External"/><Relationship Id="rId15478" Type="http://schemas.openxmlformats.org/officeDocument/2006/relationships/hyperlink" Target="https://myinteriorpalace.com/" TargetMode="External"/><Relationship Id="rId3088" Type="http://schemas.openxmlformats.org/officeDocument/2006/relationships/hyperlink" Target="https://www.pulte.com/" TargetMode="External"/><Relationship Id="rId4486" Type="http://schemas.openxmlformats.org/officeDocument/2006/relationships/hyperlink" Target="https://www.simpleshowing.com/" TargetMode="External"/><Relationship Id="rId5537" Type="http://schemas.openxmlformats.org/officeDocument/2006/relationships/hyperlink" Target="https://usattorneys.com/lifes-big-decisions-how-to-protect-yourself-in-marriage-debt-and-career/" TargetMode="External"/><Relationship Id="rId4139" Type="http://schemas.openxmlformats.org/officeDocument/2006/relationships/hyperlink" Target="mailto:davidtullly@gmail.com" TargetMode="External"/><Relationship Id="rId8010" Type="http://schemas.openxmlformats.org/officeDocument/2006/relationships/hyperlink" Target="https://indyroofandrestoration.com/" TargetMode="External"/><Relationship Id="rId14561" Type="http://schemas.openxmlformats.org/officeDocument/2006/relationships/hyperlink" Target="https://www.easygaragedoorrepair.com/" TargetMode="External"/><Relationship Id="rId4620" Type="http://schemas.openxmlformats.org/officeDocument/2006/relationships/hyperlink" Target="https://www.mysuncoast.com/2024/05/27/high-school-seniors-can-now-get-real-estate-license-free-this-state/" TargetMode="External"/><Relationship Id="rId13163" Type="http://schemas.openxmlformats.org/officeDocument/2006/relationships/hyperlink" Target="https://www.shma.co.uk/" TargetMode="External"/><Relationship Id="rId14214" Type="http://schemas.openxmlformats.org/officeDocument/2006/relationships/hyperlink" Target="https://www.roosevelt.edu/media-mentions" TargetMode="External"/><Relationship Id="rId15612" Type="http://schemas.openxmlformats.org/officeDocument/2006/relationships/hyperlink" Target="https://4.bing.com/images/search?q=Designer+Floor+Lamps&amp;FORM=IRMHRS" TargetMode="External"/><Relationship Id="rId490" Type="http://schemas.openxmlformats.org/officeDocument/2006/relationships/hyperlink" Target="https://www.omnihomeideas.com/design/how-to-design-a-rental-property-interior-that-attracts-long-term-tenants/" TargetMode="External"/><Relationship Id="rId2171" Type="http://schemas.openxmlformats.org/officeDocument/2006/relationships/hyperlink" Target="https://www.atlantaonthecheap.com/companies-hiring-now/" TargetMode="External"/><Relationship Id="rId3222" Type="http://schemas.openxmlformats.org/officeDocument/2006/relationships/hyperlink" Target="https://www.simpleshowing.com/" TargetMode="External"/><Relationship Id="rId143" Type="http://schemas.openxmlformats.org/officeDocument/2006/relationships/hyperlink" Target="https://www.saanichnews.com/" TargetMode="External"/><Relationship Id="rId5394" Type="http://schemas.openxmlformats.org/officeDocument/2006/relationships/hyperlink" Target="https://www.simpleshowing.com/" TargetMode="External"/><Relationship Id="rId6445" Type="http://schemas.openxmlformats.org/officeDocument/2006/relationships/hyperlink" Target="https://www.simpleshowing.com/" TargetMode="External"/><Relationship Id="rId6792" Type="http://schemas.openxmlformats.org/officeDocument/2006/relationships/hyperlink" Target="https://www.simpleshowing.com/" TargetMode="External"/><Relationship Id="rId7843" Type="http://schemas.openxmlformats.org/officeDocument/2006/relationships/hyperlink" Target="https://agenda.fbb.pt/?a=199133215" TargetMode="External"/><Relationship Id="rId10824" Type="http://schemas.openxmlformats.org/officeDocument/2006/relationships/hyperlink" Target="https://www.pinoyeplans.com/" TargetMode="External"/><Relationship Id="rId9" Type="http://schemas.openxmlformats.org/officeDocument/2006/relationships/hyperlink" Target="https://garagefarm.net/blog/benefits-of-3d-rendering-a-comprehensive-overview" TargetMode="External"/><Relationship Id="rId5047" Type="http://schemas.openxmlformats.org/officeDocument/2006/relationships/hyperlink" Target="https://www.creditkarma.com/debt/i/what-happens-when-you-file-for-bankruptcy" TargetMode="External"/><Relationship Id="rId12996" Type="http://schemas.openxmlformats.org/officeDocument/2006/relationships/hyperlink" Target="https://www.birminghamdev.bham.ac.uk/schools/law/flag" TargetMode="External"/><Relationship Id="rId16039" Type="http://schemas.openxmlformats.org/officeDocument/2006/relationships/hyperlink" Target="https://myinteriorpalace.com/" TargetMode="External"/><Relationship Id="rId9668" Type="http://schemas.openxmlformats.org/officeDocument/2006/relationships/hyperlink" Target="https://www.neefusa.org/what-we-do/k-12-education/greening-stem-hub/greening-stem-activities-lessons-and-curricula" TargetMode="External"/><Relationship Id="rId11598" Type="http://schemas.openxmlformats.org/officeDocument/2006/relationships/hyperlink" Target="https://www.hamiltoninternationalestates.com/" TargetMode="External"/><Relationship Id="rId12649" Type="http://schemas.openxmlformats.org/officeDocument/2006/relationships/hyperlink" Target="https://propertypressonline.co.uk/" TargetMode="External"/><Relationship Id="rId1657" Type="http://schemas.openxmlformats.org/officeDocument/2006/relationships/hyperlink" Target="https://wolfriverelectric.com/" TargetMode="External"/><Relationship Id="rId2708" Type="http://schemas.openxmlformats.org/officeDocument/2006/relationships/hyperlink" Target="https://www.crainscleveland.com/stan-bullard-blog/northeast-ohio-needs-its-game-site-selectors" TargetMode="External"/><Relationship Id="rId14071" Type="http://schemas.openxmlformats.org/officeDocument/2006/relationships/hyperlink" Target="https://myinteriorpalace.com/" TargetMode="External"/><Relationship Id="rId15122" Type="http://schemas.openxmlformats.org/officeDocument/2006/relationships/hyperlink" Target="https://www.luxdeco.com/" TargetMode="External"/><Relationship Id="rId4130" Type="http://schemas.openxmlformats.org/officeDocument/2006/relationships/hyperlink" Target="https://www.kapre.com/" TargetMode="External"/><Relationship Id="rId8751" Type="http://schemas.openxmlformats.org/officeDocument/2006/relationships/hyperlink" Target="https://propertychecker.com/" TargetMode="External"/><Relationship Id="rId9802" Type="http://schemas.openxmlformats.org/officeDocument/2006/relationships/hyperlink" Target="https://www.teachengineering.org/" TargetMode="External"/><Relationship Id="rId16" Type="http://schemas.openxmlformats.org/officeDocument/2006/relationships/hyperlink" Target="https://www.tripo3d.ai/content/en/compare/the-best-building-design-visualization" TargetMode="External"/><Relationship Id="rId7353" Type="http://schemas.openxmlformats.org/officeDocument/2006/relationships/hyperlink" Target="https://www.taylormorrison.com/" TargetMode="External"/><Relationship Id="rId8404" Type="http://schemas.openxmlformats.org/officeDocument/2006/relationships/hyperlink" Target="https://www.findtheneedle.co.uk/companies/24-hour-flood-pros" TargetMode="External"/><Relationship Id="rId10681" Type="http://schemas.openxmlformats.org/officeDocument/2006/relationships/hyperlink" Target="https://www.teachengineering.org/" TargetMode="External"/><Relationship Id="rId11732" Type="http://schemas.openxmlformats.org/officeDocument/2006/relationships/hyperlink" Target="https://www.artefactmagazine.com/2018/11/22/black-friday-sales-how-the-retailers-have-us-hooked/" TargetMode="External"/><Relationship Id="rId7006" Type="http://schemas.openxmlformats.org/officeDocument/2006/relationships/hyperlink" Target="https://www.simpleshowing.com/" TargetMode="External"/><Relationship Id="rId10334" Type="http://schemas.openxmlformats.org/officeDocument/2006/relationships/hyperlink" Target="https://middleschoolscience.com/2025/03/31/adopt-a-city-global-winds/" TargetMode="External"/><Relationship Id="rId14955" Type="http://schemas.openxmlformats.org/officeDocument/2006/relationships/hyperlink" Target="https://www.urbansplatter.com/2024/10/efficient-ways-to-reduce-household-water-consumption/" TargetMode="External"/><Relationship Id="rId3963" Type="http://schemas.openxmlformats.org/officeDocument/2006/relationships/hyperlink" Target="https://www.simpleshowing.com/" TargetMode="External"/><Relationship Id="rId9178" Type="http://schemas.openxmlformats.org/officeDocument/2006/relationships/hyperlink" Target="https://nycestimating.us/" TargetMode="External"/><Relationship Id="rId13557" Type="http://schemas.openxmlformats.org/officeDocument/2006/relationships/hyperlink" Target="https://livingpristine.com/steel-doors-the-secret-to-a-consistently-pristine-home-that-stays-organized/" TargetMode="External"/><Relationship Id="rId14608" Type="http://schemas.openxmlformats.org/officeDocument/2006/relationships/hyperlink" Target="https://myinteriorpalace.com/" TargetMode="External"/><Relationship Id="rId884" Type="http://schemas.openxmlformats.org/officeDocument/2006/relationships/hyperlink" Target="https://www.bestaccessdoors.com/blog/5-practical-ways-to-increase-storage-space-using-an-access-panel/" TargetMode="External"/><Relationship Id="rId2565" Type="http://schemas.openxmlformats.org/officeDocument/2006/relationships/hyperlink" Target="https://www.simpleshowing.com/" TargetMode="External"/><Relationship Id="rId3616" Type="http://schemas.openxmlformats.org/officeDocument/2006/relationships/hyperlink" Target="https://www.pulte.com/" TargetMode="External"/><Relationship Id="rId12159" Type="http://schemas.openxmlformats.org/officeDocument/2006/relationships/hyperlink" Target="https://www.hamiltoninternationalestates.com/" TargetMode="External"/><Relationship Id="rId16030" Type="http://schemas.openxmlformats.org/officeDocument/2006/relationships/hyperlink" Target="https://myinteriorpalace.com/" TargetMode="External"/><Relationship Id="rId537" Type="http://schemas.openxmlformats.org/officeDocument/2006/relationships/hyperlink" Target="https://www.carolinadesigns.com/" TargetMode="External"/><Relationship Id="rId1167" Type="http://schemas.openxmlformats.org/officeDocument/2006/relationships/hyperlink" Target="https://www.simpleshowing.com/" TargetMode="External"/><Relationship Id="rId2218" Type="http://schemas.openxmlformats.org/officeDocument/2006/relationships/hyperlink" Target="https://www.tulsahomesforcash.com/" TargetMode="External"/><Relationship Id="rId5788" Type="http://schemas.openxmlformats.org/officeDocument/2006/relationships/hyperlink" Target="https://www.simpleshowing.com/" TargetMode="External"/><Relationship Id="rId6839" Type="http://schemas.openxmlformats.org/officeDocument/2006/relationships/hyperlink" Target="https://www.zrgpartners.com/insights/leading-voices-sheryl-palmer" TargetMode="External"/><Relationship Id="rId12640" Type="http://schemas.openxmlformats.org/officeDocument/2006/relationships/hyperlink" Target="https://propertypressonline.co.uk/" TargetMode="External"/><Relationship Id="rId8261" Type="http://schemas.openxmlformats.org/officeDocument/2006/relationships/hyperlink" Target="https://www.pinoyeplans.com/" TargetMode="External"/><Relationship Id="rId9312" Type="http://schemas.openxmlformats.org/officeDocument/2006/relationships/hyperlink" Target="https://www.pinoyeplans.com/" TargetMode="External"/><Relationship Id="rId10191" Type="http://schemas.openxmlformats.org/officeDocument/2006/relationships/hyperlink" Target="https://www.pinoyeplans.com/" TargetMode="External"/><Relationship Id="rId11242" Type="http://schemas.openxmlformats.org/officeDocument/2006/relationships/hyperlink" Target="https://www.bizzbuzz.news/LifeStyle/how-to-hire-a-mold-remediation-company-1352785" TargetMode="External"/><Relationship Id="rId1301" Type="http://schemas.openxmlformats.org/officeDocument/2006/relationships/hyperlink" Target="https://www.illum.com.mt/ahbarijiet/kummercjali/73439/godod_odda_ta_darscover_jpou_lil_gawdex_u_rrejuni_ta_malta_fuq_ilmappa_talproprjet" TargetMode="External"/><Relationship Id="rId15863" Type="http://schemas.openxmlformats.org/officeDocument/2006/relationships/hyperlink" Target="https://www.modinex.com.au/" TargetMode="External"/><Relationship Id="rId3473" Type="http://schemas.openxmlformats.org/officeDocument/2006/relationships/hyperlink" Target="https://www.arizonafoothillsmagazine.com/be-in-afm/75-best-places-to-live/4517-arizona-foothills-magazines-2012-best-places-to-live.html?start=2" TargetMode="External"/><Relationship Id="rId4524" Type="http://schemas.openxmlformats.org/officeDocument/2006/relationships/hyperlink" Target="https://www.wymt.com/2024/05/27/high-school-seniors-can-now-get-real-estate-license-free-this-state/" TargetMode="External"/><Relationship Id="rId4871" Type="http://schemas.openxmlformats.org/officeDocument/2006/relationships/hyperlink" Target="https://www.360training.com/blog/real-estate-social-network" TargetMode="External"/><Relationship Id="rId5922" Type="http://schemas.openxmlformats.org/officeDocument/2006/relationships/hyperlink" Target="https://www.simpleshowing.com/" TargetMode="External"/><Relationship Id="rId13067" Type="http://schemas.openxmlformats.org/officeDocument/2006/relationships/hyperlink" Target="https://www.shma.co.uk/" TargetMode="External"/><Relationship Id="rId14465" Type="http://schemas.openxmlformats.org/officeDocument/2006/relationships/hyperlink" Target="https://raynordoor.com/" TargetMode="External"/><Relationship Id="rId15516" Type="http://schemas.openxmlformats.org/officeDocument/2006/relationships/hyperlink" Target="https://localnews8.com/life/2024/04/30/legendary-interior-designers-from-every-decade-of-the-20th-century/" TargetMode="External"/><Relationship Id="rId394" Type="http://schemas.openxmlformats.org/officeDocument/2006/relationships/hyperlink" Target="http://northernvirginiahomepro.com/" TargetMode="External"/><Relationship Id="rId2075" Type="http://schemas.openxmlformats.org/officeDocument/2006/relationships/hyperlink" Target="https://atlanta.curbed.com/2016/8/15/12483582/berkeley-park-modern-offered" TargetMode="External"/><Relationship Id="rId3126" Type="http://schemas.openxmlformats.org/officeDocument/2006/relationships/hyperlink" Target="https://www.simpleshowing.com/" TargetMode="External"/><Relationship Id="rId14118" Type="http://schemas.openxmlformats.org/officeDocument/2006/relationships/hyperlink" Target="https://www.freshdesignblog.com/2025/06/smart-curb-appeal-budget-friendly-upgrades-that-make-a-lasting-first-impression/" TargetMode="External"/><Relationship Id="rId5298" Type="http://schemas.openxmlformats.org/officeDocument/2006/relationships/hyperlink" Target="https://www.simpleshowing.com/" TargetMode="External"/><Relationship Id="rId6696" Type="http://schemas.openxmlformats.org/officeDocument/2006/relationships/hyperlink" Target="https://www.simpleshowing.com/" TargetMode="External"/><Relationship Id="rId7747" Type="http://schemas.openxmlformats.org/officeDocument/2006/relationships/hyperlink" Target="https://discoverlakelanier.com/" TargetMode="External"/><Relationship Id="rId10728" Type="http://schemas.openxmlformats.org/officeDocument/2006/relationships/hyperlink" Target="https://www.pinoyeplans.com/" TargetMode="External"/><Relationship Id="rId6349" Type="http://schemas.openxmlformats.org/officeDocument/2006/relationships/hyperlink" Target="https://mooresvilletribune.com/news/nation-world/business/personal-finance/article_40ab9e6b-916c-564c-b6ab-17a7b0bac455.html" TargetMode="External"/><Relationship Id="rId12150" Type="http://schemas.openxmlformats.org/officeDocument/2006/relationships/hyperlink" Target="https://www.hamiltoninternationalestates.com/" TargetMode="External"/><Relationship Id="rId13201" Type="http://schemas.openxmlformats.org/officeDocument/2006/relationships/hyperlink" Target="https://propertypressonline.co.uk/" TargetMode="External"/><Relationship Id="rId2959" Type="http://schemas.openxmlformats.org/officeDocument/2006/relationships/hyperlink" Target="https://www.pulte.com/" TargetMode="External"/><Relationship Id="rId6830" Type="http://schemas.openxmlformats.org/officeDocument/2006/relationships/hyperlink" Target="https://destinationdfw.com/the-ridge-at-northlake-2/" TargetMode="External"/><Relationship Id="rId15373" Type="http://schemas.openxmlformats.org/officeDocument/2006/relationships/hyperlink" Target="https://myinteriorpalace.com/" TargetMode="External"/><Relationship Id="rId4381" Type="http://schemas.openxmlformats.org/officeDocument/2006/relationships/hyperlink" Target="https://www.simpleshowing.com/" TargetMode="External"/><Relationship Id="rId5432" Type="http://schemas.openxmlformats.org/officeDocument/2006/relationships/hyperlink" Target="https://www.simpleshowing.com/" TargetMode="External"/><Relationship Id="rId15026" Type="http://schemas.openxmlformats.org/officeDocument/2006/relationships/hyperlink" Target="https://www.luxdeco.com/" TargetMode="External"/><Relationship Id="rId4034" Type="http://schemas.openxmlformats.org/officeDocument/2006/relationships/hyperlink" Target="https://southernmarylandchronicle.com/2024/08/26/common-water-quality-issues-in-maryland/" TargetMode="External"/><Relationship Id="rId8655" Type="http://schemas.openxmlformats.org/officeDocument/2006/relationships/hyperlink" Target="https://perlelectrical.co.nz/" TargetMode="External"/><Relationship Id="rId11983" Type="http://schemas.openxmlformats.org/officeDocument/2006/relationships/hyperlink" Target="https://www.bobvila.com/" TargetMode="External"/><Relationship Id="rId7257" Type="http://schemas.openxmlformats.org/officeDocument/2006/relationships/hyperlink" Target="https://www.taylormorrison.com/" TargetMode="External"/><Relationship Id="rId8308" Type="http://schemas.openxmlformats.org/officeDocument/2006/relationships/hyperlink" Target="https://www.scalingupexcellence.com/how-home-design-influences-your-daily-mood/" TargetMode="External"/><Relationship Id="rId9706" Type="http://schemas.openxmlformats.org/officeDocument/2006/relationships/hyperlink" Target="https://www.teachengineering.org/" TargetMode="External"/><Relationship Id="rId10585" Type="http://schemas.openxmlformats.org/officeDocument/2006/relationships/hyperlink" Target="https://www.teachengineering.org/" TargetMode="External"/><Relationship Id="rId11636" Type="http://schemas.openxmlformats.org/officeDocument/2006/relationships/hyperlink" Target="https://www.euronews.com/green/2019/09/05/this-community-have-turned-a-wasteland-into-an-urban-paradise" TargetMode="External"/><Relationship Id="rId10238" Type="http://schemas.openxmlformats.org/officeDocument/2006/relationships/hyperlink" Target="https://blog.riversideinsights.com/spatially-talented-kids" TargetMode="External"/><Relationship Id="rId14859" Type="http://schemas.openxmlformats.org/officeDocument/2006/relationships/hyperlink" Target="https://www.oneflare.com.au/b/fluid-plumbing" TargetMode="External"/><Relationship Id="rId3867" Type="http://schemas.openxmlformats.org/officeDocument/2006/relationships/hyperlink" Target="https://www.simpleshowing.com/" TargetMode="External"/><Relationship Id="rId4918" Type="http://schemas.openxmlformats.org/officeDocument/2006/relationships/hyperlink" Target="https://www.simpleshowing.com/" TargetMode="External"/><Relationship Id="rId788" Type="http://schemas.openxmlformats.org/officeDocument/2006/relationships/hyperlink" Target="https://www.simpleshowing.com/" TargetMode="External"/><Relationship Id="rId2469" Type="http://schemas.openxmlformats.org/officeDocument/2006/relationships/hyperlink" Target="https://www.simpleshowing.com/" TargetMode="External"/><Relationship Id="rId6340" Type="http://schemas.openxmlformats.org/officeDocument/2006/relationships/hyperlink" Target="https://www.simpleshowing.com/" TargetMode="External"/><Relationship Id="rId9563" Type="http://schemas.openxmlformats.org/officeDocument/2006/relationships/hyperlink" Target="https://hessunacademy.com/stem-activities-high-school/" TargetMode="External"/><Relationship Id="rId11493" Type="http://schemas.openxmlformats.org/officeDocument/2006/relationships/hyperlink" Target="https://sellhousefast.uk/" TargetMode="External"/><Relationship Id="rId12891" Type="http://schemas.openxmlformats.org/officeDocument/2006/relationships/hyperlink" Target="https://www.localgov.co.uk/Building-a-robust-pothole-related-injury-legal-defence/55495" TargetMode="External"/><Relationship Id="rId13942" Type="http://schemas.openxmlformats.org/officeDocument/2006/relationships/hyperlink" Target="https://myinteriorpalace.com/" TargetMode="External"/><Relationship Id="rId922" Type="http://schemas.openxmlformats.org/officeDocument/2006/relationships/hyperlink" Target="https://www.matrixbasements.com/" TargetMode="External"/><Relationship Id="rId1552" Type="http://schemas.openxmlformats.org/officeDocument/2006/relationships/hyperlink" Target="https://wolfriverelectric.com/" TargetMode="External"/><Relationship Id="rId2603" Type="http://schemas.openxmlformats.org/officeDocument/2006/relationships/hyperlink" Target="https://www.nar.realtor/magazine/real-estate-news/technology/the-ultimate-smart-home-new-construction" TargetMode="External"/><Relationship Id="rId2950" Type="http://schemas.openxmlformats.org/officeDocument/2006/relationships/hyperlink" Target="https://www.pulte.com/" TargetMode="External"/><Relationship Id="rId8165" Type="http://schemas.openxmlformats.org/officeDocument/2006/relationships/hyperlink" Target="https://www.pinoyeplans.com/" TargetMode="External"/><Relationship Id="rId9216" Type="http://schemas.openxmlformats.org/officeDocument/2006/relationships/hyperlink" Target="https://www.pinoyeplans.com/" TargetMode="External"/><Relationship Id="rId10095" Type="http://schemas.openxmlformats.org/officeDocument/2006/relationships/hyperlink" Target="https://www.pinoyeplans.com/" TargetMode="External"/><Relationship Id="rId11146" Type="http://schemas.openxmlformats.org/officeDocument/2006/relationships/hyperlink" Target="https://www.waterdamagespecialist.com.au/" TargetMode="External"/><Relationship Id="rId12544" Type="http://schemas.openxmlformats.org/officeDocument/2006/relationships/hyperlink" Target="https://propertypressonline.co.uk/" TargetMode="External"/><Relationship Id="rId1205" Type="http://schemas.openxmlformats.org/officeDocument/2006/relationships/hyperlink" Target="https://www.luxuo.com/properties/bought-your-property-heres-how-to-make-your-move-stress-free.html" TargetMode="External"/><Relationship Id="rId15767" Type="http://schemas.openxmlformats.org/officeDocument/2006/relationships/hyperlink" Target="https://www.modinex.com.au/" TargetMode="External"/><Relationship Id="rId3377" Type="http://schemas.openxmlformats.org/officeDocument/2006/relationships/hyperlink" Target="https://homeserviceexpert.com/podcast/bill-pulte/" TargetMode="External"/><Relationship Id="rId4775" Type="http://schemas.openxmlformats.org/officeDocument/2006/relationships/hyperlink" Target="https://www.kapre.com/" TargetMode="External"/><Relationship Id="rId5826" Type="http://schemas.openxmlformats.org/officeDocument/2006/relationships/hyperlink" Target="https://www.simpleshowing.com/" TargetMode="External"/><Relationship Id="rId14369" Type="http://schemas.openxmlformats.org/officeDocument/2006/relationships/hyperlink" Target="https://luxurylifestyle.com/" TargetMode="External"/><Relationship Id="rId298" Type="http://schemas.openxmlformats.org/officeDocument/2006/relationships/hyperlink" Target="https://willyhomes.com/sustainable-home-renovation-northern-virginia/" TargetMode="External"/><Relationship Id="rId4428" Type="http://schemas.openxmlformats.org/officeDocument/2006/relationships/hyperlink" Target="https://www.insurancejournal.com/magazines/mag-features/2010/08/16/160003.htm" TargetMode="External"/><Relationship Id="rId7998" Type="http://schemas.openxmlformats.org/officeDocument/2006/relationships/hyperlink" Target="https://indyroofandrestoration.com/" TargetMode="External"/><Relationship Id="rId10979" Type="http://schemas.openxmlformats.org/officeDocument/2006/relationships/hyperlink" Target="https://search.aol.com/reviews?q=the+history+of+phones+for+kids&amp;ei=UTF-8&amp;age=1m&amp;v_t=na&amp;fr2=time&amp;btf=m" TargetMode="External"/><Relationship Id="rId14850" Type="http://schemas.openxmlformats.org/officeDocument/2006/relationships/hyperlink" Target="https://www.mklibrary.com/gas-line-installation-factors-that-influence-the-final-price-tag/" TargetMode="External"/><Relationship Id="rId13452" Type="http://schemas.openxmlformats.org/officeDocument/2006/relationships/hyperlink" Target="https://eclipse23.com/blogs/eclipse-education/astronomy-education-through-telescopes" TargetMode="External"/><Relationship Id="rId14503" Type="http://schemas.openxmlformats.org/officeDocument/2006/relationships/hyperlink" Target="https://myinteriorpalace.com/" TargetMode="External"/><Relationship Id="rId15901" Type="http://schemas.openxmlformats.org/officeDocument/2006/relationships/hyperlink" Target="https://myinteriorpalace.com/" TargetMode="External"/><Relationship Id="rId2460" Type="http://schemas.openxmlformats.org/officeDocument/2006/relationships/hyperlink" Target="https://www.simpleshowing.com/" TargetMode="External"/><Relationship Id="rId3511" Type="http://schemas.openxmlformats.org/officeDocument/2006/relationships/hyperlink" Target="https://www.pulte.com/" TargetMode="External"/><Relationship Id="rId9073" Type="http://schemas.openxmlformats.org/officeDocument/2006/relationships/hyperlink" Target="https://nycestimating.us/" TargetMode="External"/><Relationship Id="rId12054" Type="http://schemas.openxmlformats.org/officeDocument/2006/relationships/hyperlink" Target="https://www.hamiltoninternationalestates.com/" TargetMode="External"/><Relationship Id="rId13105" Type="http://schemas.openxmlformats.org/officeDocument/2006/relationships/hyperlink" Target="https://propertypressonline.co.uk/" TargetMode="External"/><Relationship Id="rId432" Type="http://schemas.openxmlformats.org/officeDocument/2006/relationships/hyperlink" Target="https://www.carolinadesigns.com/" TargetMode="External"/><Relationship Id="rId1062" Type="http://schemas.openxmlformats.org/officeDocument/2006/relationships/hyperlink" Target="https://www.simpleshowing.com/" TargetMode="External"/><Relationship Id="rId2113" Type="http://schemas.openxmlformats.org/officeDocument/2006/relationships/hyperlink" Target="https://markspain.com/" TargetMode="External"/><Relationship Id="rId5683" Type="http://schemas.openxmlformats.org/officeDocument/2006/relationships/hyperlink" Target="https://www.bbntimes.com/environment/help-after-a-hurricane-rebuilding-finances-after-a-storm" TargetMode="External"/><Relationship Id="rId6734" Type="http://schemas.openxmlformats.org/officeDocument/2006/relationships/hyperlink" Target="https://www.olsonhomes.com/news/ideas-for-enjoying-summer-nights-on-your-olson-home-deck/" TargetMode="External"/><Relationship Id="rId15277" Type="http://schemas.openxmlformats.org/officeDocument/2006/relationships/hyperlink" Target="https://myinteriorpalace.com/" TargetMode="External"/><Relationship Id="rId4285" Type="http://schemas.openxmlformats.org/officeDocument/2006/relationships/hyperlink" Target="https://www.simpleshowing.com/" TargetMode="External"/><Relationship Id="rId5336" Type="http://schemas.openxmlformats.org/officeDocument/2006/relationships/hyperlink" Target="https://www.simpleshowing.com/" TargetMode="External"/><Relationship Id="rId9957" Type="http://schemas.openxmlformats.org/officeDocument/2006/relationships/hyperlink" Target="https://www.pinoyeplans.com/" TargetMode="External"/><Relationship Id="rId11887" Type="http://schemas.openxmlformats.org/officeDocument/2006/relationships/hyperlink" Target="https://www.bobvila.com/" TargetMode="External"/><Relationship Id="rId12938" Type="http://schemas.openxmlformats.org/officeDocument/2006/relationships/hyperlink" Target="https://www.shma.co.uk/" TargetMode="External"/><Relationship Id="rId1946" Type="http://schemas.openxmlformats.org/officeDocument/2006/relationships/hyperlink" Target="https://www.businessscroller.com/selling-for-cash-vs-traditional-sale/" TargetMode="External"/><Relationship Id="rId8559" Type="http://schemas.openxmlformats.org/officeDocument/2006/relationships/hyperlink" Target="https://www.cylind.com/" TargetMode="External"/><Relationship Id="rId10489" Type="http://schemas.openxmlformats.org/officeDocument/2006/relationships/hyperlink" Target="https://www.teachengineering.org/" TargetMode="External"/><Relationship Id="rId14360" Type="http://schemas.openxmlformats.org/officeDocument/2006/relationships/hyperlink" Target="https://luxurylifestyle.com/" TargetMode="External"/><Relationship Id="rId15411" Type="http://schemas.openxmlformats.org/officeDocument/2006/relationships/hyperlink" Target="https://www.podchaser.com/podcasts/the-tastemakers-a-luxdeco-podc-1254346/episodes/episode-6-the-case-for-emotion-72969895" TargetMode="External"/><Relationship Id="rId14013" Type="http://schemas.openxmlformats.org/officeDocument/2006/relationships/hyperlink" Target="https://tamaracamerablog.com/top-trends-in-outdoor-entertainment-areas/" TargetMode="External"/><Relationship Id="rId3021" Type="http://schemas.openxmlformats.org/officeDocument/2006/relationships/hyperlink" Target="https://www.simpleshowing.com/" TargetMode="External"/><Relationship Id="rId6591" Type="http://schemas.openxmlformats.org/officeDocument/2006/relationships/hyperlink" Target="https://www.thermasol.com/" TargetMode="External"/><Relationship Id="rId7642" Type="http://schemas.openxmlformats.org/officeDocument/2006/relationships/hyperlink" Target="https://www.simpleshowing.com/" TargetMode="External"/><Relationship Id="rId10970" Type="http://schemas.openxmlformats.org/officeDocument/2006/relationships/hyperlink" Target="https://mathvoices.ams.org/mathmedia/math-digests-february-2024/" TargetMode="External"/><Relationship Id="rId16185" Type="http://schemas.openxmlformats.org/officeDocument/2006/relationships/hyperlink" Target="https://www.greaterbirminghamchambers.com/event-calendar/royal-sutton-coldfield-lichfield-tamworth-and-cannock-chase-awards-2024-240126.html" TargetMode="External"/><Relationship Id="rId5193" Type="http://schemas.openxmlformats.org/officeDocument/2006/relationships/hyperlink" Target="https://www.artsyltech.com/blog/Credit-Card-vs-Virtual-Credit-Card" TargetMode="External"/><Relationship Id="rId6244" Type="http://schemas.openxmlformats.org/officeDocument/2006/relationships/hyperlink" Target="https://www.simpleshowing.com/" TargetMode="External"/><Relationship Id="rId10623" Type="http://schemas.openxmlformats.org/officeDocument/2006/relationships/hyperlink" Target="https://www.pinoyeplans.com/" TargetMode="External"/><Relationship Id="rId9467" Type="http://schemas.openxmlformats.org/officeDocument/2006/relationships/hyperlink" Target="https://ssec.si.edu/energy-forces-motion" TargetMode="External"/><Relationship Id="rId12795" Type="http://schemas.openxmlformats.org/officeDocument/2006/relationships/hyperlink" Target="https://academia.stackexchange.com/questions/161064/do-i-have-to-include-my-pronouns-in-a-course-outline" TargetMode="External"/><Relationship Id="rId13846" Type="http://schemas.openxmlformats.org/officeDocument/2006/relationships/hyperlink" Target="https://myinteriorpalace.com/" TargetMode="External"/><Relationship Id="rId2854" Type="http://schemas.openxmlformats.org/officeDocument/2006/relationships/hyperlink" Target="https://www.pulte.com/" TargetMode="External"/><Relationship Id="rId3905" Type="http://schemas.openxmlformats.org/officeDocument/2006/relationships/hyperlink" Target="https://www.globalbrandsmagazine.com/hot-tub-upgrades-to-elevate-your-soaking-experience/" TargetMode="External"/><Relationship Id="rId8069" Type="http://schemas.openxmlformats.org/officeDocument/2006/relationships/hyperlink" Target="https://www.pinoyeplans.com/" TargetMode="External"/><Relationship Id="rId11397" Type="http://schemas.openxmlformats.org/officeDocument/2006/relationships/hyperlink" Target="http://webuyhouses.com/" TargetMode="External"/><Relationship Id="rId12448" Type="http://schemas.openxmlformats.org/officeDocument/2006/relationships/hyperlink" Target="https://sturents.com/" TargetMode="External"/><Relationship Id="rId826" Type="http://schemas.openxmlformats.org/officeDocument/2006/relationships/hyperlink" Target="https://yourhomify.com/outdoor-care-for-a-healthy-home-environment/" TargetMode="External"/><Relationship Id="rId1109" Type="http://schemas.openxmlformats.org/officeDocument/2006/relationships/hyperlink" Target="https://www.clodura.ai/directory/company/matrix-home-solutions" TargetMode="External"/><Relationship Id="rId1456" Type="http://schemas.openxmlformats.org/officeDocument/2006/relationships/hyperlink" Target="https://ritewindow.com/blog/3-indicators-its-time-to-upgrade-your-shower-or-bath/" TargetMode="External"/><Relationship Id="rId2507" Type="http://schemas.openxmlformats.org/officeDocument/2006/relationships/hyperlink" Target="https://chamber.greensboro.org/list/Details/pultegroup-inc-4200958" TargetMode="External"/><Relationship Id="rId4679" Type="http://schemas.openxmlformats.org/officeDocument/2006/relationships/hyperlink" Target="https://www.kapre.com/" TargetMode="External"/><Relationship Id="rId8550" Type="http://schemas.openxmlformats.org/officeDocument/2006/relationships/hyperlink" Target="https://www.cylind.com/" TargetMode="External"/><Relationship Id="rId9601" Type="http://schemas.openxmlformats.org/officeDocument/2006/relationships/hyperlink" Target="https://www.teachengineering.org/" TargetMode="External"/><Relationship Id="rId10480" Type="http://schemas.openxmlformats.org/officeDocument/2006/relationships/hyperlink" Target="https://www.teachengineering.org/" TargetMode="External"/><Relationship Id="rId11531" Type="http://schemas.openxmlformats.org/officeDocument/2006/relationships/hyperlink" Target="https://www.hamiltoninternationalestates.com/" TargetMode="External"/><Relationship Id="rId7152" Type="http://schemas.openxmlformats.org/officeDocument/2006/relationships/hyperlink" Target="https://www.eoddata.com/stockquote/NYSE/TMHC.htm" TargetMode="External"/><Relationship Id="rId8203" Type="http://schemas.openxmlformats.org/officeDocument/2006/relationships/hyperlink" Target="https://concretesubmarine.activeboard.com/t49971621/concrete-submarine-current-turbines/" TargetMode="External"/><Relationship Id="rId10133" Type="http://schemas.openxmlformats.org/officeDocument/2006/relationships/hyperlink" Target="https://www.csulb.edu/science-education/science-teaching-methods/exploring-online-resources" TargetMode="External"/><Relationship Id="rId3762" Type="http://schemas.openxmlformats.org/officeDocument/2006/relationships/hyperlink" Target="https://www.simpleshowing.com/" TargetMode="External"/><Relationship Id="rId4813" Type="http://schemas.openxmlformats.org/officeDocument/2006/relationships/hyperlink" Target="https://www.simpleshowing.com/" TargetMode="External"/><Relationship Id="rId13356" Type="http://schemas.openxmlformats.org/officeDocument/2006/relationships/hyperlink" Target="https://lookwhatmomfound.com/favorite-25-blogs" TargetMode="External"/><Relationship Id="rId14754" Type="http://schemas.openxmlformats.org/officeDocument/2006/relationships/hyperlink" Target="https://reviews.birdeye.com/easy-garage-door-repair-169873759384476" TargetMode="External"/><Relationship Id="rId15805" Type="http://schemas.openxmlformats.org/officeDocument/2006/relationships/hyperlink" Target="https://myinteriorpalace.com/" TargetMode="External"/><Relationship Id="rId683" Type="http://schemas.openxmlformats.org/officeDocument/2006/relationships/hyperlink" Target="https://www.simpleshowing.com/" TargetMode="External"/><Relationship Id="rId2364" Type="http://schemas.openxmlformats.org/officeDocument/2006/relationships/hyperlink" Target="https://www.simpleshowing.com/" TargetMode="External"/><Relationship Id="rId3415" Type="http://schemas.openxmlformats.org/officeDocument/2006/relationships/hyperlink" Target="https://www.pulte.com/" TargetMode="External"/><Relationship Id="rId13009" Type="http://schemas.openxmlformats.org/officeDocument/2006/relationships/hyperlink" Target="https://propertypressonline.co.uk/" TargetMode="External"/><Relationship Id="rId14407" Type="http://schemas.openxmlformats.org/officeDocument/2006/relationships/hyperlink" Target="https://myinteriorpalace.com/" TargetMode="External"/><Relationship Id="rId336" Type="http://schemas.openxmlformats.org/officeDocument/2006/relationships/hyperlink" Target="http://northernvirginiahomepro.com/" TargetMode="External"/><Relationship Id="rId2017" Type="http://schemas.openxmlformats.org/officeDocument/2006/relationships/hyperlink" Target="https://markspain.com/" TargetMode="External"/><Relationship Id="rId5587" Type="http://schemas.openxmlformats.org/officeDocument/2006/relationships/hyperlink" Target="https://spotifknowledge.com/ways-to-lower-your-cost-of-living/" TargetMode="External"/><Relationship Id="rId6985" Type="http://schemas.openxmlformats.org/officeDocument/2006/relationships/hyperlink" Target="https://www.simpleshowing.com/" TargetMode="External"/><Relationship Id="rId4189" Type="http://schemas.openxmlformats.org/officeDocument/2006/relationships/hyperlink" Target="https://www.simpleshowing.com/" TargetMode="External"/><Relationship Id="rId6638" Type="http://schemas.openxmlformats.org/officeDocument/2006/relationships/hyperlink" Target="https://www.thermasol.com/" TargetMode="External"/><Relationship Id="rId8060" Type="http://schemas.openxmlformats.org/officeDocument/2006/relationships/hyperlink" Target="https://johnsonrestoration.net/" TargetMode="External"/><Relationship Id="rId9111" Type="http://schemas.openxmlformats.org/officeDocument/2006/relationships/hyperlink" Target="https://www.pinoyeplans.com/" TargetMode="External"/><Relationship Id="rId11041" Type="http://schemas.openxmlformats.org/officeDocument/2006/relationships/hyperlink" Target="https://www.teachengineering.org/" TargetMode="External"/><Relationship Id="rId15662" Type="http://schemas.openxmlformats.org/officeDocument/2006/relationships/hyperlink" Target="https://www.luxdeco.com/" TargetMode="External"/><Relationship Id="rId1100" Type="http://schemas.openxmlformats.org/officeDocument/2006/relationships/hyperlink" Target="https://luxurylifestyle.com/headlines/tips-for-creating-a-luxurious-basement-retreat.html" TargetMode="External"/><Relationship Id="rId4670" Type="http://schemas.openxmlformats.org/officeDocument/2006/relationships/hyperlink" Target="https://www.kapre.com/" TargetMode="External"/><Relationship Id="rId5721" Type="http://schemas.openxmlformats.org/officeDocument/2006/relationships/hyperlink" Target="https://bostoninstituteofanalytics.org/blog/how-financial-analytics-can-improve-your-personal-budgeting/" TargetMode="External"/><Relationship Id="rId14264" Type="http://schemas.openxmlformats.org/officeDocument/2006/relationships/hyperlink" Target="https://luxurylifestyle.com/" TargetMode="External"/><Relationship Id="rId15315" Type="http://schemas.openxmlformats.org/officeDocument/2006/relationships/hyperlink" Target="https://www.offthemrkt.com/lifestyle/eating-in-like-youre-eating-out-in-2021" TargetMode="External"/><Relationship Id="rId3272" Type="http://schemas.openxmlformats.org/officeDocument/2006/relationships/hyperlink" Target="https://news.libertysavingsbank.com/blog/top-10-new-communities-arriving-soon-in-sarasota-and-manatee-counties" TargetMode="External"/><Relationship Id="rId4323" Type="http://schemas.openxmlformats.org/officeDocument/2006/relationships/hyperlink" Target="https://www.newwestern.com/guide/real-estate-careers/" TargetMode="External"/><Relationship Id="rId7893" Type="http://schemas.openxmlformats.org/officeDocument/2006/relationships/hyperlink" Target="https://trustroofing.com/" TargetMode="External"/><Relationship Id="rId8944" Type="http://schemas.openxmlformats.org/officeDocument/2006/relationships/hyperlink" Target="https://nycestimating.us/" TargetMode="External"/><Relationship Id="rId193" Type="http://schemas.openxmlformats.org/officeDocument/2006/relationships/hyperlink" Target="https://www.steamandsaunaexperts.com/blog/how-much-does-a-sauna-cost" TargetMode="External"/><Relationship Id="rId6495" Type="http://schemas.openxmlformats.org/officeDocument/2006/relationships/hyperlink" Target="https://www.simpleshowing.com/" TargetMode="External"/><Relationship Id="rId7546" Type="http://schemas.openxmlformats.org/officeDocument/2006/relationships/hyperlink" Target="https://www.simpleshowing.com/" TargetMode="External"/><Relationship Id="rId10874" Type="http://schemas.openxmlformats.org/officeDocument/2006/relationships/hyperlink" Target="https://blogs.bend.k12.or.us/blsmentorprogram/2017/02/15/science-resources-aligned-to-ngss/" TargetMode="External"/><Relationship Id="rId11925" Type="http://schemas.openxmlformats.org/officeDocument/2006/relationships/hyperlink" Target="https://www.hamiltoninternationalestates.com/" TargetMode="External"/><Relationship Id="rId16089" Type="http://schemas.openxmlformats.org/officeDocument/2006/relationships/hyperlink" Target="https://www.flexhouse.org/why-are-the-services-of-the-garage-door-company-mississauga-most-important/" TargetMode="External"/><Relationship Id="rId5097" Type="http://schemas.openxmlformats.org/officeDocument/2006/relationships/hyperlink" Target="https://martinsvillebulletin.com/news/" TargetMode="External"/><Relationship Id="rId6148" Type="http://schemas.openxmlformats.org/officeDocument/2006/relationships/hyperlink" Target="https://www.simpleshowing.com/" TargetMode="External"/><Relationship Id="rId10527" Type="http://schemas.openxmlformats.org/officeDocument/2006/relationships/hyperlink" Target="https://www.pinoyeplans.com/" TargetMode="External"/><Relationship Id="rId12699" Type="http://schemas.openxmlformats.org/officeDocument/2006/relationships/hyperlink" Target="https://www.aoc.co.uk/events-training/events/aoc-hr-conf-2025" TargetMode="External"/><Relationship Id="rId13000" Type="http://schemas.openxmlformats.org/officeDocument/2006/relationships/hyperlink" Target="https://propertypressonline.co.uk/" TargetMode="External"/><Relationship Id="rId2758" Type="http://schemas.openxmlformats.org/officeDocument/2006/relationships/hyperlink" Target="https://www.pulte.com/" TargetMode="External"/><Relationship Id="rId3809" Type="http://schemas.openxmlformats.org/officeDocument/2006/relationships/hyperlink" Target="https://www.inc.com/bill-murphy-jr/17-horrible-business-cliches-that-make-people-ignore-whatever-else-you-have-to-say.html" TargetMode="External"/><Relationship Id="rId15172" Type="http://schemas.openxmlformats.org/officeDocument/2006/relationships/hyperlink" Target="https://myinteriorpalace.com/" TargetMode="External"/><Relationship Id="rId16223" Type="http://schemas.openxmlformats.org/officeDocument/2006/relationships/hyperlink" Target="https://www.unitedcarpetsandbeds.com/" TargetMode="External"/><Relationship Id="rId4180" Type="http://schemas.openxmlformats.org/officeDocument/2006/relationships/hyperlink" Target="https://www.simpleshowing.com/" TargetMode="External"/><Relationship Id="rId5231" Type="http://schemas.openxmlformats.org/officeDocument/2006/relationships/hyperlink" Target="https://www.sbcanning.com/how-to-start-a-food-business-from-home" TargetMode="External"/><Relationship Id="rId9852" Type="http://schemas.openxmlformats.org/officeDocument/2006/relationships/hyperlink" Target="https://www.pinoyeplans.com/" TargetMode="External"/><Relationship Id="rId11782" Type="http://schemas.openxmlformats.org/officeDocument/2006/relationships/hyperlink" Target="https://sellhousefast.uk/" TargetMode="External"/><Relationship Id="rId66" Type="http://schemas.openxmlformats.org/officeDocument/2006/relationships/hyperlink" Target="http://downtonabbeycooks.com/" TargetMode="External"/><Relationship Id="rId1841" Type="http://schemas.openxmlformats.org/officeDocument/2006/relationships/hyperlink" Target="https://ecommercefastlane.com/clever-investments-to-make-in-your-business/" TargetMode="External"/><Relationship Id="rId8454" Type="http://schemas.openxmlformats.org/officeDocument/2006/relationships/hyperlink" Target="https://www.cylind.com/" TargetMode="External"/><Relationship Id="rId9505" Type="http://schemas.openxmlformats.org/officeDocument/2006/relationships/hyperlink" Target="https://www.teachengineering.org/" TargetMode="External"/><Relationship Id="rId10384" Type="http://schemas.openxmlformats.org/officeDocument/2006/relationships/hyperlink" Target="https://www.teachengineering.org/" TargetMode="External"/><Relationship Id="rId11435" Type="http://schemas.openxmlformats.org/officeDocument/2006/relationships/hyperlink" Target="https://www.hamiltoninternationalestates.com/" TargetMode="External"/><Relationship Id="rId12833" Type="http://schemas.openxmlformats.org/officeDocument/2006/relationships/hyperlink" Target="https://www.shma.co.uk/" TargetMode="External"/><Relationship Id="rId7056" Type="http://schemas.openxmlformats.org/officeDocument/2006/relationships/hyperlink" Target="https://www.petage.com/taylor-morrison-expands-into-custom-pet-homes-offers-tailored-living-spaces-for-furbabies/" TargetMode="External"/><Relationship Id="rId8107" Type="http://schemas.openxmlformats.org/officeDocument/2006/relationships/hyperlink" Target="https://www.transportreviews.com/Company/White-Glove-Moving" TargetMode="External"/><Relationship Id="rId10037" Type="http://schemas.openxmlformats.org/officeDocument/2006/relationships/hyperlink" Target="https://www.flightschoolusa.com/plane-parts-know-the-7-basics-and-their-ul/" TargetMode="External"/><Relationship Id="rId3666" Type="http://schemas.openxmlformats.org/officeDocument/2006/relationships/hyperlink" Target="https://www.simpleshowing.com/" TargetMode="External"/><Relationship Id="rId14658" Type="http://schemas.openxmlformats.org/officeDocument/2006/relationships/hyperlink" Target="https://activepropertycare.com/professional-vs-diy-ideal-choice-for-spring-replacement-in-houston/" TargetMode="External"/><Relationship Id="rId15709" Type="http://schemas.openxmlformats.org/officeDocument/2006/relationships/hyperlink" Target="https://myinteriorpalace.com/" TargetMode="External"/><Relationship Id="rId16080" Type="http://schemas.openxmlformats.org/officeDocument/2006/relationships/hyperlink" Target="https://blog.housesitmatch.com/blog/timeless-garage-doors-trapid-access-for-lasting-appeal/" TargetMode="External"/><Relationship Id="rId587" Type="http://schemas.openxmlformats.org/officeDocument/2006/relationships/hyperlink" Target="https://www.simpleshowing.com/" TargetMode="External"/><Relationship Id="rId2268" Type="http://schemas.openxmlformats.org/officeDocument/2006/relationships/hyperlink" Target="https://www.simpleshowing.com/" TargetMode="External"/><Relationship Id="rId3319" Type="http://schemas.openxmlformats.org/officeDocument/2006/relationships/hyperlink" Target="https://www.pulte.com/" TargetMode="External"/><Relationship Id="rId4717" Type="http://schemas.openxmlformats.org/officeDocument/2006/relationships/hyperlink" Target="https://www.simpleshowing.com/" TargetMode="External"/><Relationship Id="rId6889" Type="http://schemas.openxmlformats.org/officeDocument/2006/relationships/hyperlink" Target="https://www.taylormorrison.com/" TargetMode="External"/><Relationship Id="rId12690" Type="http://schemas.openxmlformats.org/officeDocument/2006/relationships/hyperlink" Target="https://www.thepropertybuyingcompany.co.uk/news/can-you-sell-a-derelict-property" TargetMode="External"/><Relationship Id="rId13741" Type="http://schemas.openxmlformats.org/officeDocument/2006/relationships/hyperlink" Target="https://myinteriorpalace.com/" TargetMode="External"/><Relationship Id="rId3800" Type="http://schemas.openxmlformats.org/officeDocument/2006/relationships/hyperlink" Target="https://www.arcticspas.ca/arctic-spas-reviews-2023-the-ultimate-guide-to-finding-your-perfect-hot-tub/" TargetMode="External"/><Relationship Id="rId9362" Type="http://schemas.openxmlformats.org/officeDocument/2006/relationships/hyperlink" Target="https://www.lumiere-education.com/post/10-of-the-best-engineering-projects-for-middle-school-students" TargetMode="External"/><Relationship Id="rId11292" Type="http://schemas.openxmlformats.org/officeDocument/2006/relationships/hyperlink" Target="https://citychicliving.com/city-living-safeguarding-chic-homes-from-water-damage/" TargetMode="External"/><Relationship Id="rId12343" Type="http://schemas.openxmlformats.org/officeDocument/2006/relationships/hyperlink" Target="https://sturents.com/" TargetMode="External"/><Relationship Id="rId721" Type="http://schemas.openxmlformats.org/officeDocument/2006/relationships/hyperlink" Target="https://www.lifeinabreakdown.com/need-a-break-southern-shores-is-calling/" TargetMode="External"/><Relationship Id="rId1351" Type="http://schemas.openxmlformats.org/officeDocument/2006/relationships/hyperlink" Target="https://darscover.com/" TargetMode="External"/><Relationship Id="rId2402" Type="http://schemas.openxmlformats.org/officeDocument/2006/relationships/hyperlink" Target="https://pamharringtonexclusives.com/blog/johns-island-sc-what-to-know/" TargetMode="External"/><Relationship Id="rId5972" Type="http://schemas.openxmlformats.org/officeDocument/2006/relationships/hyperlink" Target="https://www.simpleshowing.com/" TargetMode="External"/><Relationship Id="rId9015" Type="http://schemas.openxmlformats.org/officeDocument/2006/relationships/hyperlink" Target="https://www.pinoyeplans.com/" TargetMode="External"/><Relationship Id="rId15566" Type="http://schemas.openxmlformats.org/officeDocument/2006/relationships/hyperlink" Target="https://www.luxdeco.com/" TargetMode="External"/><Relationship Id="rId1004" Type="http://schemas.openxmlformats.org/officeDocument/2006/relationships/hyperlink" Target="https://upcyclethat.com/add-living-space/" TargetMode="External"/><Relationship Id="rId4574" Type="http://schemas.openxmlformats.org/officeDocument/2006/relationships/hyperlink" Target="https://www.kapre.com/" TargetMode="External"/><Relationship Id="rId5625" Type="http://schemas.openxmlformats.org/officeDocument/2006/relationships/hyperlink" Target="https://uncovercounseling.com/blog/financial-literacy-and-mental-health-why-it-matters-more-than-you-think/" TargetMode="External"/><Relationship Id="rId14168" Type="http://schemas.openxmlformats.org/officeDocument/2006/relationships/hyperlink" Target="https://luxurylifestyle.com/" TargetMode="External"/><Relationship Id="rId15219" Type="http://schemas.openxmlformats.org/officeDocument/2006/relationships/hyperlink" Target="https://www.urbanturnip.org/what-makes-home-decor-plant-choices-classic/" TargetMode="External"/><Relationship Id="rId3176" Type="http://schemas.openxmlformats.org/officeDocument/2006/relationships/hyperlink" Target="https://woburnma.gov/news/2023/07/new-affordable-housing-oppurtunity/" TargetMode="External"/><Relationship Id="rId4227" Type="http://schemas.openxmlformats.org/officeDocument/2006/relationships/hyperlink" Target="https://www.nj.gov/dobi/division_rec/licensing/schlist.html" TargetMode="External"/><Relationship Id="rId7797" Type="http://schemas.openxmlformats.org/officeDocument/2006/relationships/hyperlink" Target="https://discoverlakelanier.com/" TargetMode="External"/><Relationship Id="rId6399" Type="http://schemas.openxmlformats.org/officeDocument/2006/relationships/hyperlink" Target="https://philomathnews.com/5-ways-to-take-an-affordable-family-vacation-this-summer/" TargetMode="External"/><Relationship Id="rId8848" Type="http://schemas.openxmlformats.org/officeDocument/2006/relationships/hyperlink" Target="https://www.trianglepest.com/" TargetMode="External"/><Relationship Id="rId10778" Type="http://schemas.openxmlformats.org/officeDocument/2006/relationships/hyperlink" Target="https://www.cruisersforum.com/forums/f116/tackle-mechanical-advantage-289167-2.html" TargetMode="External"/><Relationship Id="rId11829" Type="http://schemas.openxmlformats.org/officeDocument/2006/relationships/hyperlink" Target="https://www.hamiltoninternationalestates.com/" TargetMode="External"/><Relationship Id="rId15700" Type="http://schemas.openxmlformats.org/officeDocument/2006/relationships/hyperlink" Target="https://myinteriorpalace.com/" TargetMode="External"/><Relationship Id="rId13251" Type="http://schemas.openxmlformats.org/officeDocument/2006/relationships/hyperlink" Target="https://investropa.com/blogs/news/london-property-investment" TargetMode="External"/><Relationship Id="rId14302" Type="http://schemas.openxmlformats.org/officeDocument/2006/relationships/hyperlink" Target="https://myinteriorpalace.com/" TargetMode="External"/><Relationship Id="rId3310" Type="http://schemas.openxmlformats.org/officeDocument/2006/relationships/hyperlink" Target="https://www.pulte.com/" TargetMode="External"/><Relationship Id="rId6880" Type="http://schemas.openxmlformats.org/officeDocument/2006/relationships/hyperlink" Target="https://www.taylormorrison.com/" TargetMode="External"/><Relationship Id="rId7931" Type="http://schemas.openxmlformats.org/officeDocument/2006/relationships/hyperlink" Target="https://www.pinoyeplans.com/" TargetMode="External"/><Relationship Id="rId231" Type="http://schemas.openxmlformats.org/officeDocument/2006/relationships/hyperlink" Target="http://northernvirginiahomepro.com/" TargetMode="External"/><Relationship Id="rId5482" Type="http://schemas.openxmlformats.org/officeDocument/2006/relationships/hyperlink" Target="https://www.simpleshowing.com/" TargetMode="External"/><Relationship Id="rId6533" Type="http://schemas.openxmlformats.org/officeDocument/2006/relationships/hyperlink" Target="https://www.thermasol.com/" TargetMode="External"/><Relationship Id="rId10912" Type="http://schemas.openxmlformats.org/officeDocument/2006/relationships/hyperlink" Target="https://www.teachengineering.org/" TargetMode="External"/><Relationship Id="rId15076" Type="http://schemas.openxmlformats.org/officeDocument/2006/relationships/hyperlink" Target="https://myinteriorpalace.com/" TargetMode="External"/><Relationship Id="rId16127" Type="http://schemas.openxmlformats.org/officeDocument/2006/relationships/hyperlink" Target="https://www.unitedcarpetsandbeds.com/" TargetMode="External"/><Relationship Id="rId4084" Type="http://schemas.openxmlformats.org/officeDocument/2006/relationships/hyperlink" Target="https://www.simpleshowing.com/" TargetMode="External"/><Relationship Id="rId5135" Type="http://schemas.openxmlformats.org/officeDocument/2006/relationships/hyperlink" Target="https://www.inbeat.co/articles/burst-campaign/" TargetMode="External"/><Relationship Id="rId9756" Type="http://schemas.openxmlformats.org/officeDocument/2006/relationships/hyperlink" Target="https://www.pinoyeplans.com/" TargetMode="External"/><Relationship Id="rId8358" Type="http://schemas.openxmlformats.org/officeDocument/2006/relationships/hyperlink" Target="https://australiansecurecapital.com.au/" TargetMode="External"/><Relationship Id="rId9409" Type="http://schemas.openxmlformats.org/officeDocument/2006/relationships/hyperlink" Target="https://www.teachengineering.org/" TargetMode="External"/><Relationship Id="rId10288" Type="http://schemas.openxmlformats.org/officeDocument/2006/relationships/hyperlink" Target="https://www.teachengineering.org/" TargetMode="External"/><Relationship Id="rId11686" Type="http://schemas.openxmlformats.org/officeDocument/2006/relationships/hyperlink" Target="https://sellhousefast.uk/" TargetMode="External"/><Relationship Id="rId12737" Type="http://schemas.openxmlformats.org/officeDocument/2006/relationships/hyperlink" Target="https://www.shma.co.uk/" TargetMode="External"/><Relationship Id="rId1745" Type="http://schemas.openxmlformats.org/officeDocument/2006/relationships/hyperlink" Target="https://newstalkkit.com/ixp/137/p/washington-energy-efficiency/" TargetMode="External"/><Relationship Id="rId11339" Type="http://schemas.openxmlformats.org/officeDocument/2006/relationships/hyperlink" Target="http://webuyhouses.com/" TargetMode="External"/><Relationship Id="rId15210" Type="http://schemas.openxmlformats.org/officeDocument/2006/relationships/hyperlink" Target="https://www.we-heart.com/2019/11/22/luxury-design-tips-for-interiors-living/" TargetMode="External"/><Relationship Id="rId4968" Type="http://schemas.openxmlformats.org/officeDocument/2006/relationships/hyperlink" Target="https://www.simpleshowing.com/" TargetMode="External"/><Relationship Id="rId11820" Type="http://schemas.openxmlformats.org/officeDocument/2006/relationships/hyperlink" Target="https://www.hamiltoninternationalestates.com/" TargetMode="External"/><Relationship Id="rId6390" Type="http://schemas.openxmlformats.org/officeDocument/2006/relationships/hyperlink" Target="https://www.simpleshowing.com/" TargetMode="External"/><Relationship Id="rId7441" Type="http://schemas.openxmlformats.org/officeDocument/2006/relationships/hyperlink" Target="https://www.simpleshowing.com/" TargetMode="External"/><Relationship Id="rId10422" Type="http://schemas.openxmlformats.org/officeDocument/2006/relationships/hyperlink" Target="https://www.pinoyeplans.com/" TargetMode="External"/><Relationship Id="rId13992" Type="http://schemas.openxmlformats.org/officeDocument/2006/relationships/hyperlink" Target="https://keystonecustomdecks.com/" TargetMode="External"/><Relationship Id="rId6043" Type="http://schemas.openxmlformats.org/officeDocument/2006/relationships/hyperlink" Target="https://careerhub.ufl.edu/blog/2025/06/23/the-hour-a-day-job-hunt-routine-that-works/" TargetMode="External"/><Relationship Id="rId12594" Type="http://schemas.openxmlformats.org/officeDocument/2006/relationships/hyperlink" Target="https://www.mayowynnebaxter.co.uk/latest-news/mwb-join-ampa-group/" TargetMode="External"/><Relationship Id="rId13645" Type="http://schemas.openxmlformats.org/officeDocument/2006/relationships/hyperlink" Target="https://myinteriorpalace.com/" TargetMode="External"/><Relationship Id="rId972" Type="http://schemas.openxmlformats.org/officeDocument/2006/relationships/hyperlink" Target="https://www.simpleshowing.com/" TargetMode="External"/><Relationship Id="rId2653" Type="http://schemas.openxmlformats.org/officeDocument/2006/relationships/hyperlink" Target="https://www.pulte.com/" TargetMode="External"/><Relationship Id="rId3704" Type="http://schemas.openxmlformats.org/officeDocument/2006/relationships/hyperlink" Target="https://rjgaragedoorservice.com/blog/garage-door-opener-technology-explained/" TargetMode="External"/><Relationship Id="rId9266" Type="http://schemas.openxmlformats.org/officeDocument/2006/relationships/hyperlink" Target="https://www.nist.gov/pml/owm/si-units-electric-current" TargetMode="External"/><Relationship Id="rId11196" Type="http://schemas.openxmlformats.org/officeDocument/2006/relationships/hyperlink" Target="https://www.waterdamagespecialist.com.au/" TargetMode="External"/><Relationship Id="rId12247" Type="http://schemas.openxmlformats.org/officeDocument/2006/relationships/hyperlink" Target="https://marrons.co.uk/" TargetMode="External"/><Relationship Id="rId625" Type="http://schemas.openxmlformats.org/officeDocument/2006/relationships/hyperlink" Target="https://www.ctinsider.com/living/article/Explore-North-Carolina-s-Historic-Outer-Banks-17044781.php" TargetMode="External"/><Relationship Id="rId1255" Type="http://schemas.openxmlformats.org/officeDocument/2006/relationships/hyperlink" Target="https://happy2movelondon.co.uk/r" TargetMode="External"/><Relationship Id="rId2306" Type="http://schemas.openxmlformats.org/officeDocument/2006/relationships/hyperlink" Target="https://dev-fa-nextjs.familyassets.com/assisted-living/georgia/cumming/gardens-of-shiloh-point" TargetMode="External"/><Relationship Id="rId5876" Type="http://schemas.openxmlformats.org/officeDocument/2006/relationships/hyperlink" Target="https://www.simpleshowing.com/" TargetMode="External"/><Relationship Id="rId4478" Type="http://schemas.openxmlformats.org/officeDocument/2006/relationships/hyperlink" Target="https://www.kapre.com/" TargetMode="External"/><Relationship Id="rId5529" Type="http://schemas.openxmlformats.org/officeDocument/2006/relationships/hyperlink" Target="https://sweeten.com/advice-and-faq/mortgage-101-everything-need-home-loans/" TargetMode="External"/><Relationship Id="rId6927" Type="http://schemas.openxmlformats.org/officeDocument/2006/relationships/hyperlink" Target="https://www.placera.se/pressmeddelanden/taylor-morrison-home-taylor-morrison-reports-third-quarter-2025-results-20251022" TargetMode="External"/><Relationship Id="rId9400" Type="http://schemas.openxmlformats.org/officeDocument/2006/relationships/hyperlink" Target="https://www.teachengineering.org/" TargetMode="External"/><Relationship Id="rId8002" Type="http://schemas.openxmlformats.org/officeDocument/2006/relationships/hyperlink" Target="https://getroofsmart.com/blog/workmanship-warranty-vs-manufacturers-warranty-whats-the-difference" TargetMode="External"/><Relationship Id="rId11330" Type="http://schemas.openxmlformats.org/officeDocument/2006/relationships/hyperlink" Target="http://webuyhouses.com/" TargetMode="External"/><Relationship Id="rId15951" Type="http://schemas.openxmlformats.org/officeDocument/2006/relationships/hyperlink" Target="https://www.accio.com/business/best_selling_garage_doors" TargetMode="External"/><Relationship Id="rId14553" Type="http://schemas.openxmlformats.org/officeDocument/2006/relationships/hyperlink" Target="https://www.woodlandsonline.com/epps/epsend.cfm?epid=13445" TargetMode="External"/><Relationship Id="rId15604" Type="http://schemas.openxmlformats.org/officeDocument/2006/relationships/hyperlink" Target="https://myinteriorpalace.com/" TargetMode="External"/><Relationship Id="rId3561" Type="http://schemas.openxmlformats.org/officeDocument/2006/relationships/hyperlink" Target="https://www.simpleshowing.com/" TargetMode="External"/><Relationship Id="rId4612" Type="http://schemas.openxmlformats.org/officeDocument/2006/relationships/hyperlink" Target="https://www.simpleshowing.com/" TargetMode="External"/><Relationship Id="rId13155" Type="http://schemas.openxmlformats.org/officeDocument/2006/relationships/hyperlink" Target="https://www.inkl.com/news/what-pensioners-need-to-know-about-income-tax" TargetMode="External"/><Relationship Id="rId14206" Type="http://schemas.openxmlformats.org/officeDocument/2006/relationships/hyperlink" Target="https://myinteriorpalace.com/" TargetMode="External"/><Relationship Id="rId482" Type="http://schemas.openxmlformats.org/officeDocument/2006/relationships/hyperlink" Target="https://www.simpleshowing.com/" TargetMode="External"/><Relationship Id="rId2163" Type="http://schemas.openxmlformats.org/officeDocument/2006/relationships/hyperlink" Target="https://www.simpleshowing.com/" TargetMode="External"/><Relationship Id="rId3214" Type="http://schemas.openxmlformats.org/officeDocument/2006/relationships/hyperlink" Target="https://www.pulte.com/" TargetMode="External"/><Relationship Id="rId6784" Type="http://schemas.openxmlformats.org/officeDocument/2006/relationships/hyperlink" Target="https://www.taylormorrison.com/" TargetMode="External"/><Relationship Id="rId7835" Type="http://schemas.openxmlformats.org/officeDocument/2006/relationships/hyperlink" Target="https://www.simpleshowing.com/" TargetMode="External"/><Relationship Id="rId135" Type="http://schemas.openxmlformats.org/officeDocument/2006/relationships/hyperlink" Target="https://www.narpm.org/" TargetMode="External"/><Relationship Id="rId5386" Type="http://schemas.openxmlformats.org/officeDocument/2006/relationships/hyperlink" Target="https://www.simpleshowing.com/" TargetMode="External"/><Relationship Id="rId6437" Type="http://schemas.openxmlformats.org/officeDocument/2006/relationships/hyperlink" Target="https://www.thermasol.com/" TargetMode="External"/><Relationship Id="rId10816" Type="http://schemas.openxmlformats.org/officeDocument/2006/relationships/hyperlink" Target="https://www.teachengineering.org/" TargetMode="External"/><Relationship Id="rId5039" Type="http://schemas.openxmlformats.org/officeDocument/2006/relationships/hyperlink" Target="https://suremembers.com/resources/online-business-ideas/" TargetMode="External"/><Relationship Id="rId12988" Type="http://schemas.openxmlformats.org/officeDocument/2006/relationships/hyperlink" Target="https://propertypressonline.co.uk/" TargetMode="External"/><Relationship Id="rId1996" Type="http://schemas.openxmlformats.org/officeDocument/2006/relationships/hyperlink" Target="https://markspain.com/" TargetMode="External"/><Relationship Id="rId15461" Type="http://schemas.openxmlformats.org/officeDocument/2006/relationships/hyperlink" Target="https://www.luxdeco.com/" TargetMode="External"/><Relationship Id="rId1649" Type="http://schemas.openxmlformats.org/officeDocument/2006/relationships/hyperlink" Target="https://975now.com/ixp/691/p/consumers-energy-rate-hike-michigan/" TargetMode="External"/><Relationship Id="rId3071" Type="http://schemas.openxmlformats.org/officeDocument/2006/relationships/hyperlink" Target="https://orchard.com/homes/details/7134-glennwick-grove-ln-richmond-tx-77469" TargetMode="External"/><Relationship Id="rId5520" Type="http://schemas.openxmlformats.org/officeDocument/2006/relationships/hyperlink" Target="https://www.simpleshowing.com/" TargetMode="External"/><Relationship Id="rId14063" Type="http://schemas.openxmlformats.org/officeDocument/2006/relationships/hyperlink" Target="https://keystonecustomdecksny.com/" TargetMode="External"/><Relationship Id="rId15114" Type="http://schemas.openxmlformats.org/officeDocument/2006/relationships/hyperlink" Target="https://bodaq.com/metallic-finishes-for-luxurious-and-glamorous-interiors/" TargetMode="External"/><Relationship Id="rId4122" Type="http://schemas.openxmlformats.org/officeDocument/2006/relationships/hyperlink" Target="mailto:davidtullly@gmail.com" TargetMode="External"/><Relationship Id="rId7692" Type="http://schemas.openxmlformats.org/officeDocument/2006/relationships/hyperlink" Target="https://www.ngmcgme.org/things-to-do/" TargetMode="External"/><Relationship Id="rId8743" Type="http://schemas.openxmlformats.org/officeDocument/2006/relationships/hyperlink" Target="https://songoftruth.org/how-to-maintain-your-roof-like-a-pro-7-tips-inside/" TargetMode="External"/><Relationship Id="rId10673" Type="http://schemas.openxmlformats.org/officeDocument/2006/relationships/hyperlink" Target="https://ads-coffee-supplies.co.uk/ripple-vs-double-wall-paper-cups-which-keeps-drinks-hotter/" TargetMode="External"/><Relationship Id="rId11724" Type="http://schemas.openxmlformats.org/officeDocument/2006/relationships/hyperlink" Target="https://www.hamiltoninternationalestates.com/" TargetMode="External"/><Relationship Id="rId6294" Type="http://schemas.openxmlformats.org/officeDocument/2006/relationships/hyperlink" Target="https://www.simpleshowing.com/" TargetMode="External"/><Relationship Id="rId7345" Type="http://schemas.openxmlformats.org/officeDocument/2006/relationships/hyperlink" Target="https://dnbeiendom.no/gtm-proxy/*(d3d3Lmdvb2dsZS5jb20)*/finance/quote/TMHC:NYSE" TargetMode="External"/><Relationship Id="rId10326" Type="http://schemas.openxmlformats.org/officeDocument/2006/relationships/hyperlink" Target="https://www.pinoyeplans.com/" TargetMode="External"/><Relationship Id="rId12498" Type="http://schemas.openxmlformats.org/officeDocument/2006/relationships/hyperlink" Target="mailto:emmacate@edtechinnovationhub.com" TargetMode="External"/><Relationship Id="rId13896" Type="http://schemas.openxmlformats.org/officeDocument/2006/relationships/hyperlink" Target="https://www.sciencetimes.com/articles/44489/20230623/the-future-of-flooring-exploring-the-impact-of-emerging-technologies.htm" TargetMode="External"/><Relationship Id="rId14947" Type="http://schemas.openxmlformats.org/officeDocument/2006/relationships/hyperlink" Target="https://myinteriorpalace.com/" TargetMode="External"/><Relationship Id="rId876" Type="http://schemas.openxmlformats.org/officeDocument/2006/relationships/hyperlink" Target="https://www.simpleshowing.com/" TargetMode="External"/><Relationship Id="rId2557" Type="http://schemas.openxmlformats.org/officeDocument/2006/relationships/hyperlink" Target="https://www.pulte.com/" TargetMode="External"/><Relationship Id="rId3608" Type="http://schemas.openxmlformats.org/officeDocument/2006/relationships/hyperlink" Target="https://www.procore.com/network/p/pulte-homes-of-new-england-llc-westborough" TargetMode="External"/><Relationship Id="rId3955" Type="http://schemas.openxmlformats.org/officeDocument/2006/relationships/hyperlink" Target="https://www.smartsolarenergyco.com/" TargetMode="External"/><Relationship Id="rId13549" Type="http://schemas.openxmlformats.org/officeDocument/2006/relationships/hyperlink" Target="https://myinteriorpalace.com/" TargetMode="External"/><Relationship Id="rId16022" Type="http://schemas.openxmlformats.org/officeDocument/2006/relationships/hyperlink" Target="https://www.rwdoors.com/" TargetMode="External"/><Relationship Id="rId529" Type="http://schemas.openxmlformats.org/officeDocument/2006/relationships/hyperlink" Target="https://www.thislifeintrips.com/things-to-keep-in-mind-while-travelling-the-obx-with-your-pet/" TargetMode="External"/><Relationship Id="rId1159" Type="http://schemas.openxmlformats.org/officeDocument/2006/relationships/hyperlink" Target="https://www.matrixbasements.com/" TargetMode="External"/><Relationship Id="rId5030" Type="http://schemas.openxmlformats.org/officeDocument/2006/relationships/hyperlink" Target="https://www.simpleshowing.com/" TargetMode="External"/><Relationship Id="rId9651" Type="http://schemas.openxmlformats.org/officeDocument/2006/relationships/hyperlink" Target="https://www.pinoyeplans.com/" TargetMode="External"/><Relationship Id="rId11581" Type="http://schemas.openxmlformats.org/officeDocument/2006/relationships/hyperlink" Target="https://sellhousefast.uk/" TargetMode="External"/><Relationship Id="rId12632" Type="http://schemas.openxmlformats.org/officeDocument/2006/relationships/hyperlink" Target="https://www.shma.co.uk/" TargetMode="External"/><Relationship Id="rId1640" Type="http://schemas.openxmlformats.org/officeDocument/2006/relationships/hyperlink" Target="https://1033thegoat.com/ixp/513/p/central-texas-power-project/" TargetMode="External"/><Relationship Id="rId8253" Type="http://schemas.openxmlformats.org/officeDocument/2006/relationships/hyperlink" Target="https://smaarchviz.com/" TargetMode="External"/><Relationship Id="rId9304" Type="http://schemas.openxmlformats.org/officeDocument/2006/relationships/hyperlink" Target="https://www.teachengineering.org/" TargetMode="External"/><Relationship Id="rId10183" Type="http://schemas.openxmlformats.org/officeDocument/2006/relationships/hyperlink" Target="https://www.teachengineering.org/" TargetMode="External"/><Relationship Id="rId11234" Type="http://schemas.openxmlformats.org/officeDocument/2006/relationships/hyperlink" Target="https://www.pinoyeplans.com/" TargetMode="External"/><Relationship Id="rId15855" Type="http://schemas.openxmlformats.org/officeDocument/2006/relationships/hyperlink" Target="https://www.arounddeal.com/c/coach-house-timbers-pty-ltd/y1gottowxo" TargetMode="External"/><Relationship Id="rId4863" Type="http://schemas.openxmlformats.org/officeDocument/2006/relationships/hyperlink" Target="https://www.manifest.ly/blog/top-real-estate-lead-generation-strategies-2025-guide/" TargetMode="External"/><Relationship Id="rId5914" Type="http://schemas.openxmlformats.org/officeDocument/2006/relationships/hyperlink" Target="https://www.simpleshowing.com/" TargetMode="External"/><Relationship Id="rId14457" Type="http://schemas.openxmlformats.org/officeDocument/2006/relationships/hyperlink" Target="https://raynordoorauthority.com/does-an-overhead-fire-door-need-to-be-tested-annually/" TargetMode="External"/><Relationship Id="rId15508" Type="http://schemas.openxmlformats.org/officeDocument/2006/relationships/hyperlink" Target="https://myinteriorpalace.com/" TargetMode="External"/><Relationship Id="rId3465" Type="http://schemas.openxmlformats.org/officeDocument/2006/relationships/hyperlink" Target="https://www.simpleshowing.com/" TargetMode="External"/><Relationship Id="rId4516" Type="http://schemas.openxmlformats.org/officeDocument/2006/relationships/hyperlink" Target="https://www.simpleshowing.com/" TargetMode="External"/><Relationship Id="rId13059" Type="http://schemas.openxmlformats.org/officeDocument/2006/relationships/hyperlink" Target="https://thepioneergroup.com/event/online-workshop-finance/" TargetMode="External"/><Relationship Id="rId386" Type="http://schemas.openxmlformats.org/officeDocument/2006/relationships/hyperlink" Target="http://northernvirginiahomepro.com/" TargetMode="External"/><Relationship Id="rId2067" Type="http://schemas.openxmlformats.org/officeDocument/2006/relationships/hyperlink" Target="https://www.simpleshowing.com/" TargetMode="External"/><Relationship Id="rId3118" Type="http://schemas.openxmlformats.org/officeDocument/2006/relationships/hyperlink" Target="https://www.pulte.com/" TargetMode="External"/><Relationship Id="rId6688" Type="http://schemas.openxmlformats.org/officeDocument/2006/relationships/hyperlink" Target="https://www.eplanters.com/blog/" TargetMode="External"/><Relationship Id="rId7739" Type="http://schemas.openxmlformats.org/officeDocument/2006/relationships/hyperlink" Target="https://www.arborcompany.com/locations/georgia/suwanee-south-forsyth/blog/why-suwanee-ga-is-a-nice-place-to-retire" TargetMode="External"/><Relationship Id="rId9161" Type="http://schemas.openxmlformats.org/officeDocument/2006/relationships/hyperlink" Target="https://droidkit.org/your-partner-construction-estimating-company-for-precise-lumber-takeoff/" TargetMode="External"/><Relationship Id="rId11091" Type="http://schemas.openxmlformats.org/officeDocument/2006/relationships/hyperlink" Target="https://www.pinoyeplans.com/" TargetMode="External"/><Relationship Id="rId13540" Type="http://schemas.openxmlformats.org/officeDocument/2006/relationships/hyperlink" Target="https://myinteriorpalace.com/" TargetMode="External"/><Relationship Id="rId1150" Type="http://schemas.openxmlformats.org/officeDocument/2006/relationships/hyperlink" Target="https://www.matrixbasements.com/" TargetMode="External"/><Relationship Id="rId12142" Type="http://schemas.openxmlformats.org/officeDocument/2006/relationships/hyperlink" Target="https://www.bobvila.com/" TargetMode="External"/><Relationship Id="rId520" Type="http://schemas.openxmlformats.org/officeDocument/2006/relationships/hyperlink" Target="https://programminginsider.com/the-importance-of-taking-a-vacation-for-mental-health/" TargetMode="External"/><Relationship Id="rId2201" Type="http://schemas.openxmlformats.org/officeDocument/2006/relationships/hyperlink" Target="https://endeavourarticles.com/homeownership-for-entrepreneurs-what-you-should-know-before-buying/" TargetMode="External"/><Relationship Id="rId5771" Type="http://schemas.openxmlformats.org/officeDocument/2006/relationships/hyperlink" Target="https://elevate.iit.edu/blog/2025/10/08/a-job-search-playbook-five-weekly-habits-that-deliver-results/" TargetMode="External"/><Relationship Id="rId6822" Type="http://schemas.openxmlformats.org/officeDocument/2006/relationships/hyperlink" Target="https://www.simpleshowing.com/" TargetMode="External"/><Relationship Id="rId15365" Type="http://schemas.openxmlformats.org/officeDocument/2006/relationships/hyperlink" Target="https://www.luxdeco.com/" TargetMode="External"/><Relationship Id="rId4373" Type="http://schemas.openxmlformats.org/officeDocument/2006/relationships/hyperlink" Target="https://www.kapre.com/" TargetMode="External"/><Relationship Id="rId5424" Type="http://schemas.openxmlformats.org/officeDocument/2006/relationships/hyperlink" Target="https://www.simpleshowing.com/" TargetMode="External"/><Relationship Id="rId8994" Type="http://schemas.openxmlformats.org/officeDocument/2006/relationships/hyperlink" Target="https://www.pinoyeplans.com/" TargetMode="External"/><Relationship Id="rId15018" Type="http://schemas.openxmlformats.org/officeDocument/2006/relationships/hyperlink" Target="https://www.luxxu.net/blog/best-25-bookcases-for-a-luxurious-home-office/" TargetMode="External"/><Relationship Id="rId4026" Type="http://schemas.openxmlformats.org/officeDocument/2006/relationships/hyperlink" Target="https://www.simpleshowing.com/" TargetMode="External"/><Relationship Id="rId7596" Type="http://schemas.openxmlformats.org/officeDocument/2006/relationships/hyperlink" Target="https://blog.allentate.com/allen-tate-realtors-raise-26000-for-public-education-in-the-triangle/" TargetMode="External"/><Relationship Id="rId8647" Type="http://schemas.openxmlformats.org/officeDocument/2006/relationships/hyperlink" Target="https://franchise.co.nz/franchise-directory/1630-perl-plumbing-perl-electrical?object=price_range&amp;object_id=1" TargetMode="External"/><Relationship Id="rId10577" Type="http://schemas.openxmlformats.org/officeDocument/2006/relationships/hyperlink" Target="http://faculty.trinity.edu/rjensen/bookbob2-Part2.htm" TargetMode="External"/><Relationship Id="rId11975" Type="http://schemas.openxmlformats.org/officeDocument/2006/relationships/hyperlink" Target="https://www.windriverbuilt.com/" TargetMode="External"/><Relationship Id="rId6198" Type="http://schemas.openxmlformats.org/officeDocument/2006/relationships/hyperlink" Target="https://www.simpleshowing.com/" TargetMode="External"/><Relationship Id="rId7249" Type="http://schemas.openxmlformats.org/officeDocument/2006/relationships/hyperlink" Target="https://www.cience.com/profile/jeanne-wright/6288969" TargetMode="External"/><Relationship Id="rId11628" Type="http://schemas.openxmlformats.org/officeDocument/2006/relationships/hyperlink" Target="https://www.hamiltoninternationalestates.com/" TargetMode="External"/><Relationship Id="rId13050" Type="http://schemas.openxmlformats.org/officeDocument/2006/relationships/hyperlink" Target="https://lifeledger.com/ledger/why-is-estate-planning-important-more-than-just-a-will/" TargetMode="External"/><Relationship Id="rId14101" Type="http://schemas.openxmlformats.org/officeDocument/2006/relationships/hyperlink" Target="https://myinteriorpalace.com/" TargetMode="External"/><Relationship Id="rId3859" Type="http://schemas.openxmlformats.org/officeDocument/2006/relationships/hyperlink" Target="https://thecoverguy.com/" TargetMode="External"/><Relationship Id="rId5281" Type="http://schemas.openxmlformats.org/officeDocument/2006/relationships/hyperlink" Target="https://databox.com/what-is-data-preparation-a-5-step-framework-for-analytics-ready-data" TargetMode="External"/><Relationship Id="rId7730" Type="http://schemas.openxmlformats.org/officeDocument/2006/relationships/hyperlink" Target="https://discoverlakelanier.com/" TargetMode="External"/><Relationship Id="rId10711" Type="http://schemas.openxmlformats.org/officeDocument/2006/relationships/hyperlink" Target="https://www.teachengineering.org/" TargetMode="External"/><Relationship Id="rId16273" Type="http://schemas.microsoft.com/office/2017/10/relationships/threadedComment" Target="../threadedComments/threadedComment1.xml"/><Relationship Id="rId6332" Type="http://schemas.openxmlformats.org/officeDocument/2006/relationships/hyperlink" Target="https://www.simpleshowing.com/" TargetMode="External"/><Relationship Id="rId12883" Type="http://schemas.openxmlformats.org/officeDocument/2006/relationships/hyperlink" Target="https://propertypressonline.co.uk/" TargetMode="External"/><Relationship Id="rId13934" Type="http://schemas.openxmlformats.org/officeDocument/2006/relationships/hyperlink" Target="https://faheyroofingcontractors.com/" TargetMode="External"/><Relationship Id="rId1891" Type="http://schemas.openxmlformats.org/officeDocument/2006/relationships/hyperlink" Target="https://markspain.com/" TargetMode="External"/><Relationship Id="rId2942" Type="http://schemas.openxmlformats.org/officeDocument/2006/relationships/hyperlink" Target="https://www.utahrealestate.com/roster/agent.listings.report.public/agentid/4023617" TargetMode="External"/><Relationship Id="rId9555" Type="http://schemas.openxmlformats.org/officeDocument/2006/relationships/hyperlink" Target="https://www.pinoyeplans.com/" TargetMode="External"/><Relationship Id="rId11485" Type="http://schemas.openxmlformats.org/officeDocument/2006/relationships/hyperlink" Target="https://moneyweek.com/personal-finance/tax/mansion-tax-home-valuations" TargetMode="External"/><Relationship Id="rId12536" Type="http://schemas.openxmlformats.org/officeDocument/2006/relationships/hyperlink" Target="https://www.ridgefieldconsulting.co.uk/" TargetMode="External"/><Relationship Id="rId914" Type="http://schemas.openxmlformats.org/officeDocument/2006/relationships/hyperlink" Target="https://sense.com/consumer-blog/using-a-sump-pump-to-keep-your-basement-dry-without-wasting-energy/" TargetMode="External"/><Relationship Id="rId1544" Type="http://schemas.openxmlformats.org/officeDocument/2006/relationships/hyperlink" Target="https://wkfr.com/ixp/691/p/michigan-consumers-gas-bill-increase/" TargetMode="External"/><Relationship Id="rId8157" Type="http://schemas.openxmlformats.org/officeDocument/2006/relationships/hyperlink" Target="https://smaarchviz.com/" TargetMode="External"/><Relationship Id="rId9208" Type="http://schemas.openxmlformats.org/officeDocument/2006/relationships/hyperlink" Target="https://oversonroofing.com/" TargetMode="External"/><Relationship Id="rId10087" Type="http://schemas.openxmlformats.org/officeDocument/2006/relationships/hyperlink" Target="https://www.teachengineering.org/" TargetMode="External"/><Relationship Id="rId11138" Type="http://schemas.openxmlformats.org/officeDocument/2006/relationships/hyperlink" Target="https://www.waterdamagespecialist.com.au/" TargetMode="External"/><Relationship Id="rId4767" Type="http://schemas.openxmlformats.org/officeDocument/2006/relationships/hyperlink" Target="https://www.labor.md.gov/license/mrec/mrecproviders.shtml" TargetMode="External"/><Relationship Id="rId5818" Type="http://schemas.openxmlformats.org/officeDocument/2006/relationships/hyperlink" Target="https://www.simpleshowing.com/" TargetMode="External"/><Relationship Id="rId15759" Type="http://schemas.openxmlformats.org/officeDocument/2006/relationships/hyperlink" Target="https://blog.westbuilt.com.au/the-bergen-a-modern-modular-home-by-westbuilt" TargetMode="External"/><Relationship Id="rId3369" Type="http://schemas.openxmlformats.org/officeDocument/2006/relationships/hyperlink" Target="https://www.simpleshowing.com/" TargetMode="External"/><Relationship Id="rId7240" Type="http://schemas.openxmlformats.org/officeDocument/2006/relationships/hyperlink" Target="https://www.taylormorrison.com/" TargetMode="External"/><Relationship Id="rId10221" Type="http://schemas.openxmlformats.org/officeDocument/2006/relationships/hyperlink" Target="https://www.pinoyeplans.com/" TargetMode="External"/><Relationship Id="rId13791" Type="http://schemas.openxmlformats.org/officeDocument/2006/relationships/hyperlink" Target="https://bernadettesutherlandvxp.mystrikingly.com/blog/benefits-of-investing-in-quality-kid-s-garments" TargetMode="External"/><Relationship Id="rId14842" Type="http://schemas.openxmlformats.org/officeDocument/2006/relationships/hyperlink" Target="https://myinteriorpalace.com/" TargetMode="External"/><Relationship Id="rId3850" Type="http://schemas.openxmlformats.org/officeDocument/2006/relationships/hyperlink" Target="https://thecoverguy.com/" TargetMode="External"/><Relationship Id="rId4901" Type="http://schemas.openxmlformats.org/officeDocument/2006/relationships/hyperlink" Target="https://www.dochipo.com/marketing-tips-for-realtors/" TargetMode="External"/><Relationship Id="rId9065" Type="http://schemas.openxmlformats.org/officeDocument/2006/relationships/hyperlink" Target="https://baddiehub.org.uk/understanding-the-importance-of-project-planning-in-the-construction-industry/" TargetMode="External"/><Relationship Id="rId12393" Type="http://schemas.openxmlformats.org/officeDocument/2006/relationships/hyperlink" Target="https://propertypressonline.co.uk/" TargetMode="External"/><Relationship Id="rId13444" Type="http://schemas.openxmlformats.org/officeDocument/2006/relationships/hyperlink" Target="https://myinteriorpalace.com/" TargetMode="External"/><Relationship Id="rId771" Type="http://schemas.openxmlformats.org/officeDocument/2006/relationships/hyperlink" Target="https://www.schaafsma.com/" TargetMode="External"/><Relationship Id="rId2452" Type="http://schemas.openxmlformats.org/officeDocument/2006/relationships/hyperlink" Target="https://www.pulte.com/" TargetMode="External"/><Relationship Id="rId3503" Type="http://schemas.openxmlformats.org/officeDocument/2006/relationships/hyperlink" Target="https://www.wbjournal.com/article/40b-projects-progress-in-natick" TargetMode="External"/><Relationship Id="rId12046" Type="http://schemas.openxmlformats.org/officeDocument/2006/relationships/hyperlink" Target="https://www.bobvila.com/" TargetMode="External"/><Relationship Id="rId424" Type="http://schemas.openxmlformats.org/officeDocument/2006/relationships/hyperlink" Target="https://www.thelostcolony.org/" TargetMode="External"/><Relationship Id="rId1054" Type="http://schemas.openxmlformats.org/officeDocument/2006/relationships/hyperlink" Target="https://www.matrixbasements.com/" TargetMode="External"/><Relationship Id="rId2105" Type="http://schemas.openxmlformats.org/officeDocument/2006/relationships/hyperlink" Target="https://laltoday.6amcity.com/newsletter/00000194-41f5-d9f3-a39f-f3fd28e90024" TargetMode="External"/><Relationship Id="rId5675" Type="http://schemas.openxmlformats.org/officeDocument/2006/relationships/hyperlink" Target="https://dialerhq.com/blog/how-to-start-a-virtual-call-center/" TargetMode="External"/><Relationship Id="rId6726" Type="http://schemas.openxmlformats.org/officeDocument/2006/relationships/hyperlink" Target="https://www.simpleshowing.com/" TargetMode="External"/><Relationship Id="rId15269" Type="http://schemas.openxmlformats.org/officeDocument/2006/relationships/hyperlink" Target="https://www.luxdeco.com/" TargetMode="External"/><Relationship Id="rId4277" Type="http://schemas.openxmlformats.org/officeDocument/2006/relationships/hyperlink" Target="https://www.kapre.com/" TargetMode="External"/><Relationship Id="rId5328" Type="http://schemas.openxmlformats.org/officeDocument/2006/relationships/hyperlink" Target="https://www.simpleshowing.com/" TargetMode="External"/><Relationship Id="rId8898" Type="http://schemas.openxmlformats.org/officeDocument/2006/relationships/hyperlink" Target="https://www.pinoyeplans.com/" TargetMode="External"/><Relationship Id="rId9949" Type="http://schemas.openxmlformats.org/officeDocument/2006/relationships/hyperlink" Target="https://www.teachengineering.org/" TargetMode="External"/><Relationship Id="rId11879" Type="http://schemas.openxmlformats.org/officeDocument/2006/relationships/hyperlink" Target="https://www.collegerecruiter.com/blog/2025/10/07/how-can-an-employee-turn-a-part-time-seasonal-job-into-a-full-time-permanent-finance-career" TargetMode="External"/><Relationship Id="rId15750" Type="http://schemas.openxmlformats.org/officeDocument/2006/relationships/hyperlink" Target="https://www.housedigest.com/1196759/creative-ways-to-use-wood-to-transform-your-ceiling/" TargetMode="External"/><Relationship Id="rId1938" Type="http://schemas.openxmlformats.org/officeDocument/2006/relationships/hyperlink" Target="https://www.simpleshowing.com/" TargetMode="External"/><Relationship Id="rId3360" Type="http://schemas.openxmlformats.org/officeDocument/2006/relationships/hyperlink" Target="https://www.simpleshowing.com/" TargetMode="External"/><Relationship Id="rId14352" Type="http://schemas.openxmlformats.org/officeDocument/2006/relationships/hyperlink" Target="https://wnynewsnow.com/2025/04/30/morning-calm-to-evening-clarity-creating-a-kratom-wellness-routine-that-supports-your-day/" TargetMode="External"/><Relationship Id="rId15403" Type="http://schemas.openxmlformats.org/officeDocument/2006/relationships/hyperlink" Target="https://myinteriorpalace.com/" TargetMode="External"/><Relationship Id="rId281" Type="http://schemas.openxmlformats.org/officeDocument/2006/relationships/hyperlink" Target="http://addicted2success.com/" TargetMode="External"/><Relationship Id="rId3013" Type="http://schemas.openxmlformats.org/officeDocument/2006/relationships/hyperlink" Target="https://www.pulte.com/" TargetMode="External"/><Relationship Id="rId4411" Type="http://schemas.openxmlformats.org/officeDocument/2006/relationships/hyperlink" Target="https://www.simpleshowing.com/" TargetMode="External"/><Relationship Id="rId7981" Type="http://schemas.openxmlformats.org/officeDocument/2006/relationships/hyperlink" Target="https://www.onlinedesignteacher.com/2024/03/upgrading-design-durability-of-your.html" TargetMode="External"/><Relationship Id="rId10962" Type="http://schemas.openxmlformats.org/officeDocument/2006/relationships/hyperlink" Target="https://www.pinoyeplans.com/" TargetMode="External"/><Relationship Id="rId14005" Type="http://schemas.openxmlformats.org/officeDocument/2006/relationships/hyperlink" Target="https://myinteriorpalace.com/" TargetMode="External"/><Relationship Id="rId6583" Type="http://schemas.openxmlformats.org/officeDocument/2006/relationships/hyperlink" Target="https://www.urbansplatter.com/2023/08/how-to-choose-the-right-steam-showers/" TargetMode="External"/><Relationship Id="rId7634" Type="http://schemas.openxmlformats.org/officeDocument/2006/relationships/hyperlink" Target="https://www.taylormorrison.com/" TargetMode="External"/><Relationship Id="rId10615" Type="http://schemas.openxmlformats.org/officeDocument/2006/relationships/hyperlink" Target="https://www.teachengineering.org/" TargetMode="External"/><Relationship Id="rId16177" Type="http://schemas.openxmlformats.org/officeDocument/2006/relationships/hyperlink" Target="https://myinteriorpalace.com/" TargetMode="External"/><Relationship Id="rId5185" Type="http://schemas.openxmlformats.org/officeDocument/2006/relationships/hyperlink" Target="https://bachbride.com/blogs/weddings/rehearsal-dinner-mistakes" TargetMode="External"/><Relationship Id="rId6236" Type="http://schemas.openxmlformats.org/officeDocument/2006/relationships/hyperlink" Target="https://www.simpleshowing.com/" TargetMode="External"/><Relationship Id="rId12787" Type="http://schemas.openxmlformats.org/officeDocument/2006/relationships/hyperlink" Target="https://propertypressonline.co.uk/" TargetMode="External"/><Relationship Id="rId1795" Type="http://schemas.openxmlformats.org/officeDocument/2006/relationships/hyperlink" Target="https://wolfriverelectric.com/" TargetMode="External"/><Relationship Id="rId2846" Type="http://schemas.openxmlformats.org/officeDocument/2006/relationships/hyperlink" Target="https://www.srqmagazine.com/srq-daily/2024-03-25" TargetMode="External"/><Relationship Id="rId9459" Type="http://schemas.openxmlformats.org/officeDocument/2006/relationships/hyperlink" Target="https://www.pinoyeplans.com/" TargetMode="External"/><Relationship Id="rId11389" Type="http://schemas.openxmlformats.org/officeDocument/2006/relationships/hyperlink" Target="https://sotellus.com/reviews/webuyhousescom/" TargetMode="External"/><Relationship Id="rId13838" Type="http://schemas.openxmlformats.org/officeDocument/2006/relationships/hyperlink" Target="https://aqglassshowerdoorsphoenix.com/" TargetMode="External"/><Relationship Id="rId15260" Type="http://schemas.openxmlformats.org/officeDocument/2006/relationships/hyperlink" Target="https://www.luxdeco.com/" TargetMode="External"/><Relationship Id="rId818" Type="http://schemas.openxmlformats.org/officeDocument/2006/relationships/hyperlink" Target="https://www.simpleshowing.com/" TargetMode="External"/><Relationship Id="rId1448" Type="http://schemas.openxmlformats.org/officeDocument/2006/relationships/hyperlink" Target="https://mandolin-ellipse-j9be.squarespace.com/" TargetMode="External"/><Relationship Id="rId7491" Type="http://schemas.openxmlformats.org/officeDocument/2006/relationships/hyperlink" Target="https://cg-wp-website.azurewebsites.net/castle-group-partners-with-taylor-morrison-for-extreme-makeover-home-edition/" TargetMode="External"/><Relationship Id="rId9940" Type="http://schemas.openxmlformats.org/officeDocument/2006/relationships/hyperlink" Target="https://www.teachengineering.org/" TargetMode="External"/><Relationship Id="rId11870" Type="http://schemas.openxmlformats.org/officeDocument/2006/relationships/hyperlink" Target="https://www.scottishfield.co.uk/scotland-travel/we-list-some-of-the-most-festive-streets-in-scotland/" TargetMode="External"/><Relationship Id="rId12921" Type="http://schemas.openxmlformats.org/officeDocument/2006/relationships/hyperlink" Target="https://app.croneri.co.uk/feature-articles/planning-change?product=139" TargetMode="External"/><Relationship Id="rId6093" Type="http://schemas.openxmlformats.org/officeDocument/2006/relationships/hyperlink" Target="https://www.happeo.com/contributors/30-day-employee-engagement-challenge-small-actions-big-results" TargetMode="External"/><Relationship Id="rId7144" Type="http://schemas.openxmlformats.org/officeDocument/2006/relationships/hyperlink" Target="https://www.simpleshowing.com/" TargetMode="External"/><Relationship Id="rId8542" Type="http://schemas.openxmlformats.org/officeDocument/2006/relationships/hyperlink" Target="https://www.majalahsains.com/careers/employer/cylind/" TargetMode="External"/><Relationship Id="rId10472" Type="http://schemas.openxmlformats.org/officeDocument/2006/relationships/hyperlink" Target="https://www.elizabethtowngas.com/conserve/back-to-school-lessons-in-energy-conservation" TargetMode="External"/><Relationship Id="rId11523" Type="http://schemas.openxmlformats.org/officeDocument/2006/relationships/hyperlink" Target="https://sellhousefast.uk/" TargetMode="External"/><Relationship Id="rId10125" Type="http://schemas.openxmlformats.org/officeDocument/2006/relationships/hyperlink" Target="https://www.pinoyeplans.com/" TargetMode="External"/><Relationship Id="rId13695" Type="http://schemas.openxmlformats.org/officeDocument/2006/relationships/hyperlink" Target="https://www.visitwichita.com/articles/post/dashing-through-the-snow-on-the-back-of-a-dino-in-wichita/" TargetMode="External"/><Relationship Id="rId14746" Type="http://schemas.openxmlformats.org/officeDocument/2006/relationships/hyperlink" Target="https://myinteriorpalace.com/" TargetMode="External"/><Relationship Id="rId3754" Type="http://schemas.openxmlformats.org/officeDocument/2006/relationships/hyperlink" Target="https://www.overheaddoors.com/" TargetMode="External"/><Relationship Id="rId4805" Type="http://schemas.openxmlformats.org/officeDocument/2006/relationships/hyperlink" Target="https://www.kapre.com/" TargetMode="External"/><Relationship Id="rId12297" Type="http://schemas.openxmlformats.org/officeDocument/2006/relationships/hyperlink" Target="https://propertypressonline.co.uk/" TargetMode="External"/><Relationship Id="rId13348" Type="http://schemas.openxmlformats.org/officeDocument/2006/relationships/hyperlink" Target="https://myinteriorpalace.com/" TargetMode="External"/><Relationship Id="rId675" Type="http://schemas.openxmlformats.org/officeDocument/2006/relationships/hyperlink" Target="https://www.carolinadesigns.com/" TargetMode="External"/><Relationship Id="rId2356" Type="http://schemas.openxmlformats.org/officeDocument/2006/relationships/hyperlink" Target="https://www.pulte.com/" TargetMode="External"/><Relationship Id="rId3407" Type="http://schemas.openxmlformats.org/officeDocument/2006/relationships/hyperlink" Target="https://serviceone.com/blog/article/gas-or-electric-which-stove-is-right-for-your-home" TargetMode="External"/><Relationship Id="rId6977" Type="http://schemas.openxmlformats.org/officeDocument/2006/relationships/hyperlink" Target="https://www.taylormorrison.com/" TargetMode="External"/><Relationship Id="rId328" Type="http://schemas.openxmlformats.org/officeDocument/2006/relationships/hyperlink" Target="https://trustedhousepainter.com/locations/painters-in-kelowna/" TargetMode="External"/><Relationship Id="rId2009" Type="http://schemas.openxmlformats.org/officeDocument/2006/relationships/hyperlink" Target="https://investorweeklynews.com/blog/green-homes-and-esg-in-raleigh/" TargetMode="External"/><Relationship Id="rId5579" Type="http://schemas.openxmlformats.org/officeDocument/2006/relationships/hyperlink" Target="https://blog.designcrowd.com.au/article/2232/how-to-visually-capture-customers-in-new-traffic-channels-2025" TargetMode="External"/><Relationship Id="rId9450" Type="http://schemas.openxmlformats.org/officeDocument/2006/relationships/hyperlink" Target="https://www.pinoyeplans.com/" TargetMode="External"/><Relationship Id="rId8052" Type="http://schemas.openxmlformats.org/officeDocument/2006/relationships/hyperlink" Target="https://rubberandseal.com/epdm-vs-silicone-gasket-materials-for-spiral-duct-fittings/" TargetMode="External"/><Relationship Id="rId9103" Type="http://schemas.openxmlformats.org/officeDocument/2006/relationships/hyperlink" Target="https://nycestimating.us/" TargetMode="External"/><Relationship Id="rId11033" Type="http://schemas.openxmlformats.org/officeDocument/2006/relationships/hyperlink" Target="https://archive.iyfglobal.org/blog/stem-student-kazakhstan-clean-energy-moon-isnt-sci-fi" TargetMode="External"/><Relationship Id="rId11380" Type="http://schemas.openxmlformats.org/officeDocument/2006/relationships/hyperlink" Target="https://mail.realtytimes.com/consumeradvice/ask-the-expert/item/1046070-a-guide-on-the-best-time-to-sell-a-house" TargetMode="External"/><Relationship Id="rId12431" Type="http://schemas.openxmlformats.org/officeDocument/2006/relationships/hyperlink" Target="https://www.thewirechina.com/2025/11/09/the-debate-around-chinese-students-in-western-colleges-is-missing-a-key-voice/" TargetMode="External"/><Relationship Id="rId15654" Type="http://schemas.openxmlformats.org/officeDocument/2006/relationships/hyperlink" Target="https://www.urbansplatter.com/2023/05/3-statement-renovations-to-transform-your-home/" TargetMode="External"/><Relationship Id="rId4662" Type="http://schemas.openxmlformats.org/officeDocument/2006/relationships/hyperlink" Target="https://www.kyoutv.com/2024/05/27/high-school-seniors-can-now-get-real-estate-license-free-this-state/" TargetMode="External"/><Relationship Id="rId5713" Type="http://schemas.openxmlformats.org/officeDocument/2006/relationships/hyperlink" Target="https://www.advisoryexcellence.com/ultimate-guide-to-credit-card-consolidation-compared-to-bankruptcy-which-is-right-for-you/" TargetMode="External"/><Relationship Id="rId14256" Type="http://schemas.openxmlformats.org/officeDocument/2006/relationships/hyperlink" Target="https://valiantceo.com/jayson-robert-pocius/" TargetMode="External"/><Relationship Id="rId15307" Type="http://schemas.openxmlformats.org/officeDocument/2006/relationships/hyperlink" Target="https://myinteriorpalace.com/" TargetMode="External"/><Relationship Id="rId185" Type="http://schemas.openxmlformats.org/officeDocument/2006/relationships/hyperlink" Target="https://www.insideparkcityrealestate.com/" TargetMode="External"/><Relationship Id="rId3264" Type="http://schemas.openxmlformats.org/officeDocument/2006/relationships/hyperlink" Target="https://www.simpleshowing.com/" TargetMode="External"/><Relationship Id="rId4315" Type="http://schemas.openxmlformats.org/officeDocument/2006/relationships/hyperlink" Target="https://www.simpleshowing.com/" TargetMode="External"/><Relationship Id="rId7885" Type="http://schemas.openxmlformats.org/officeDocument/2006/relationships/hyperlink" Target="https://cm.dunedinfl.com/members/ql/home-services-supplies-69" TargetMode="External"/><Relationship Id="rId8936" Type="http://schemas.openxmlformats.org/officeDocument/2006/relationships/hyperlink" Target="https://r6marketplace.ca/cost-focused-resource-review-systems-designed-for-complex-build-environments/" TargetMode="External"/><Relationship Id="rId10866" Type="http://schemas.openxmlformats.org/officeDocument/2006/relationships/hyperlink" Target="https://www.pinoyeplans.com/" TargetMode="External"/><Relationship Id="rId6487" Type="http://schemas.openxmlformats.org/officeDocument/2006/relationships/hyperlink" Target="https://www.thermasol.com/" TargetMode="External"/><Relationship Id="rId7538" Type="http://schemas.openxmlformats.org/officeDocument/2006/relationships/hyperlink" Target="https://www.taylormorrison.com/" TargetMode="External"/><Relationship Id="rId10519" Type="http://schemas.openxmlformats.org/officeDocument/2006/relationships/hyperlink" Target="https://www.teachengineering.org/" TargetMode="External"/><Relationship Id="rId11917" Type="http://schemas.openxmlformats.org/officeDocument/2006/relationships/hyperlink" Target="https://www.bobvila.com/" TargetMode="External"/><Relationship Id="rId5089" Type="http://schemas.openxmlformats.org/officeDocument/2006/relationships/hyperlink" Target="https://www.autonomous.ai/ourblog/explore-ibm-employee-benefits-and-perks" TargetMode="External"/><Relationship Id="rId1699" Type="http://schemas.openxmlformats.org/officeDocument/2006/relationships/hyperlink" Target="https://wolfriverelectric.com/" TargetMode="External"/><Relationship Id="rId2000" Type="http://schemas.openxmlformats.org/officeDocument/2006/relationships/hyperlink" Target="https://www.rismedia.com/2021/02/10/mark-spain-named-2021-real-estate-newsmaker/" TargetMode="External"/><Relationship Id="rId5570" Type="http://schemas.openxmlformats.org/officeDocument/2006/relationships/hyperlink" Target="https://www.simpleshowing.com/" TargetMode="External"/><Relationship Id="rId15164" Type="http://schemas.openxmlformats.org/officeDocument/2006/relationships/hyperlink" Target="https://www.luxdeco.com/" TargetMode="External"/><Relationship Id="rId4172" Type="http://schemas.openxmlformats.org/officeDocument/2006/relationships/hyperlink" Target="https://www.kapre.com/" TargetMode="External"/><Relationship Id="rId5223" Type="http://schemas.openxmlformats.org/officeDocument/2006/relationships/hyperlink" Target="https://www.solosuit.com/posts/best-debt-settlement-companies" TargetMode="External"/><Relationship Id="rId6621" Type="http://schemas.openxmlformats.org/officeDocument/2006/relationships/hyperlink" Target="https://www.thermasol.com/" TargetMode="External"/><Relationship Id="rId16215" Type="http://schemas.openxmlformats.org/officeDocument/2006/relationships/hyperlink" Target="https://www.teesactive.co.uk/local-discounts/" TargetMode="External"/><Relationship Id="rId8793" Type="http://schemas.openxmlformats.org/officeDocument/2006/relationships/hyperlink" Target="https://propertychecker.com/" TargetMode="External"/><Relationship Id="rId9844" Type="http://schemas.openxmlformats.org/officeDocument/2006/relationships/hyperlink" Target="https://www.teachengineering.org/" TargetMode="External"/><Relationship Id="rId11774" Type="http://schemas.openxmlformats.org/officeDocument/2006/relationships/hyperlink" Target="https://www.prima.co.uk/home-ideas/home-accessories-buys/a31694723/nterior-design-trend-googled/" TargetMode="External"/><Relationship Id="rId12825" Type="http://schemas.openxmlformats.org/officeDocument/2006/relationships/hyperlink" Target="https://www.miltonkeynes.co.uk/community/six-times-as-many-mk-homes-could-be-burdened-by-inheritance-tax-freeze-5103422" TargetMode="External"/><Relationship Id="rId58" Type="http://schemas.openxmlformats.org/officeDocument/2006/relationships/hyperlink" Target="http://goodnever.com/" TargetMode="External"/><Relationship Id="rId1833" Type="http://schemas.openxmlformats.org/officeDocument/2006/relationships/hyperlink" Target="https://www.simpleshowing.com/" TargetMode="External"/><Relationship Id="rId7048" Type="http://schemas.openxmlformats.org/officeDocument/2006/relationships/hyperlink" Target="https://www.simpleshowing.com/" TargetMode="External"/><Relationship Id="rId7395" Type="http://schemas.openxmlformats.org/officeDocument/2006/relationships/hyperlink" Target="https://www.taylormorrison.com/" TargetMode="External"/><Relationship Id="rId8446" Type="http://schemas.openxmlformats.org/officeDocument/2006/relationships/hyperlink" Target="https://knowff.com/choosing-the-right-partner-a-guide-to-evaluating-a-3d-visualisation-company/" TargetMode="External"/><Relationship Id="rId10376" Type="http://schemas.openxmlformats.org/officeDocument/2006/relationships/hyperlink" Target="https://formlabs.com/blog/fab-lab-at-the-forefront-of-advanced-manufacturing-education/" TargetMode="External"/><Relationship Id="rId11427" Type="http://schemas.openxmlformats.org/officeDocument/2006/relationships/hyperlink" Target="http://webuyhouses.com/" TargetMode="External"/><Relationship Id="rId14997" Type="http://schemas.openxmlformats.org/officeDocument/2006/relationships/hyperlink" Target="https://sokahome.com/blogs/news/discover-the-top-chinese-interior-design-trends" TargetMode="External"/><Relationship Id="rId10029" Type="http://schemas.openxmlformats.org/officeDocument/2006/relationships/hyperlink" Target="https://www.pinoyeplans.com/" TargetMode="External"/><Relationship Id="rId13599" Type="http://schemas.openxmlformats.org/officeDocument/2006/relationships/hyperlink" Target="https://www.modpodpodiatry.com.au/interesting-articles/" TargetMode="External"/><Relationship Id="rId3658" Type="http://schemas.openxmlformats.org/officeDocument/2006/relationships/hyperlink" Target="https://www.overheaddoors.com/" TargetMode="External"/><Relationship Id="rId4709" Type="http://schemas.openxmlformats.org/officeDocument/2006/relationships/hyperlink" Target="https://www.kapre.com/" TargetMode="External"/><Relationship Id="rId16072" Type="http://schemas.openxmlformats.org/officeDocument/2006/relationships/hyperlink" Target="https://myinteriorpalace.com/" TargetMode="External"/><Relationship Id="rId579" Type="http://schemas.openxmlformats.org/officeDocument/2006/relationships/hyperlink" Target="https://www.carolinadesigns.com/" TargetMode="External"/><Relationship Id="rId5080" Type="http://schemas.openxmlformats.org/officeDocument/2006/relationships/hyperlink" Target="https://www.simpleshowing.com/" TargetMode="External"/><Relationship Id="rId6131" Type="http://schemas.openxmlformats.org/officeDocument/2006/relationships/hyperlink" Target="https://starexponent.com/shopping/article_be079c6e-2a72-5847-aaa0-5a822b4e465b.html" TargetMode="External"/><Relationship Id="rId10510" Type="http://schemas.openxmlformats.org/officeDocument/2006/relationships/hyperlink" Target="https://www.teachengineering.org/" TargetMode="External"/><Relationship Id="rId9354" Type="http://schemas.openxmlformats.org/officeDocument/2006/relationships/hyperlink" Target="https://www.pinoyeplans.com/" TargetMode="External"/><Relationship Id="rId12682" Type="http://schemas.openxmlformats.org/officeDocument/2006/relationships/hyperlink" Target="https://propertypressonline.co.uk/" TargetMode="External"/><Relationship Id="rId13733" Type="http://schemas.openxmlformats.org/officeDocument/2006/relationships/hyperlink" Target="https://anationofmoms.com/" TargetMode="External"/><Relationship Id="rId1690" Type="http://schemas.openxmlformats.org/officeDocument/2006/relationships/hyperlink" Target="https://wolfriverelectric.com/" TargetMode="External"/><Relationship Id="rId2741" Type="http://schemas.openxmlformats.org/officeDocument/2006/relationships/hyperlink" Target="https://www.kvue.com/article/money/economy/boomtown-2040/marble-falls-gregg-ranch-240-acres-boomtown-new-homes/269-ced2396c-b7c6-4dde-ac40-3cf0f525a47b" TargetMode="External"/><Relationship Id="rId9007" Type="http://schemas.openxmlformats.org/officeDocument/2006/relationships/hyperlink" Target="https://nycestimating.us/" TargetMode="External"/><Relationship Id="rId11284" Type="http://schemas.openxmlformats.org/officeDocument/2006/relationships/hyperlink" Target="https://www.mommacuisine.com/blog/foodie-s-guide-rescuing-your-kitchenware-after-a-water-mishap" TargetMode="External"/><Relationship Id="rId12335" Type="http://schemas.openxmlformats.org/officeDocument/2006/relationships/hyperlink" Target="https://almerostudent.com/properties/birmingham/b16-studios/" TargetMode="External"/><Relationship Id="rId713" Type="http://schemas.openxmlformats.org/officeDocument/2006/relationships/hyperlink" Target="https://www.simpleshowing.com/" TargetMode="External"/><Relationship Id="rId1343" Type="http://schemas.openxmlformats.org/officeDocument/2006/relationships/hyperlink" Target="https://aicontentfy.com/en/blog/lead-generation-strategies-for-real-estate-professionals" TargetMode="External"/><Relationship Id="rId5964" Type="http://schemas.openxmlformats.org/officeDocument/2006/relationships/hyperlink" Target="https://www.simpleshowing.com/" TargetMode="External"/><Relationship Id="rId15558" Type="http://schemas.openxmlformats.org/officeDocument/2006/relationships/hyperlink" Target="https://www-ft-com.ezproxy.depaul.edu/content/714a2d24-4e82-46de-88b7-c1b708fb80f4" TargetMode="External"/><Relationship Id="rId4566" Type="http://schemas.openxmlformats.org/officeDocument/2006/relationships/hyperlink" Target="https://www.kmvt.com/2024/05/27/high-school-seniors-can-now-get-real-estate-license-free-this-state/" TargetMode="External"/><Relationship Id="rId5617" Type="http://schemas.openxmlformats.org/officeDocument/2006/relationships/hyperlink" Target="https://blog.solsticebenefits.com/solstice-broker-blog/hrs-new-challenge-subscription-style-benefits-for-gen-z" TargetMode="External"/><Relationship Id="rId3168" Type="http://schemas.openxmlformats.org/officeDocument/2006/relationships/hyperlink" Target="https://www.simpleshowing.com/" TargetMode="External"/><Relationship Id="rId4219" Type="http://schemas.openxmlformats.org/officeDocument/2006/relationships/hyperlink" Target="https://www.simpleshowing.com/" TargetMode="External"/><Relationship Id="rId7789" Type="http://schemas.openxmlformats.org/officeDocument/2006/relationships/hyperlink" Target="https://lakelanier.com/2013/05/lake-lanier-promotes-safe-boating-week/" TargetMode="External"/><Relationship Id="rId10020" Type="http://schemas.openxmlformats.org/officeDocument/2006/relationships/hyperlink" Target="https://www.pinoyeplans.com/" TargetMode="External"/><Relationship Id="rId13590" Type="http://schemas.openxmlformats.org/officeDocument/2006/relationships/hyperlink" Target="https://www.terristeffes.com/2023/08/spiritual-nourishment-blending-faith.html" TargetMode="External"/><Relationship Id="rId12192" Type="http://schemas.openxmlformats.org/officeDocument/2006/relationships/hyperlink" Target="https://www.hamiltoninternationalestates.com/" TargetMode="External"/><Relationship Id="rId13243" Type="http://schemas.openxmlformats.org/officeDocument/2006/relationships/hyperlink" Target="https://propertypressonline.co.uk/" TargetMode="External"/><Relationship Id="rId14641" Type="http://schemas.openxmlformats.org/officeDocument/2006/relationships/hyperlink" Target="https://myinteriorpalace.com/" TargetMode="External"/><Relationship Id="rId570" Type="http://schemas.openxmlformats.org/officeDocument/2006/relationships/hyperlink" Target="https://www.carolinadesigns.com/" TargetMode="External"/><Relationship Id="rId2251" Type="http://schemas.openxmlformats.org/officeDocument/2006/relationships/hyperlink" Target="https://www.collectionforsyth.com/" TargetMode="External"/><Relationship Id="rId3302" Type="http://schemas.openxmlformats.org/officeDocument/2006/relationships/hyperlink" Target="https://lasvegasaviators.enmotive.com/event-partners" TargetMode="External"/><Relationship Id="rId4700" Type="http://schemas.openxmlformats.org/officeDocument/2006/relationships/hyperlink" Target="https://www.kapre.com/" TargetMode="External"/><Relationship Id="rId223" Type="http://schemas.openxmlformats.org/officeDocument/2006/relationships/hyperlink" Target="https://www.baymgmtgroup.com/blog/selling-a-property-as-is/" TargetMode="External"/><Relationship Id="rId6872" Type="http://schemas.openxmlformats.org/officeDocument/2006/relationships/hyperlink" Target="https://www.bridgeland.com/news/bridgeland-showcases-patio-homes-in-parkland-village/" TargetMode="External"/><Relationship Id="rId7923" Type="http://schemas.openxmlformats.org/officeDocument/2006/relationships/hyperlink" Target="https://certifiedrestorationinc.com/" TargetMode="External"/><Relationship Id="rId10904" Type="http://schemas.openxmlformats.org/officeDocument/2006/relationships/hyperlink" Target="https://www.envisionexperience.com/blog/anatomy-activity-models-of-the-body" TargetMode="External"/><Relationship Id="rId4076" Type="http://schemas.openxmlformats.org/officeDocument/2006/relationships/hyperlink" Target="https://enhancv.com/resume-examples/real-estate-agent/" TargetMode="External"/><Relationship Id="rId5474" Type="http://schemas.openxmlformats.org/officeDocument/2006/relationships/hyperlink" Target="https://www.simpleshowing.com/" TargetMode="External"/><Relationship Id="rId6525" Type="http://schemas.openxmlformats.org/officeDocument/2006/relationships/hyperlink" Target="https://skyryedesign.com/tutorials/exploring-modern-trends-that-are-transforming-home-interiors/" TargetMode="External"/><Relationship Id="rId15068" Type="http://schemas.openxmlformats.org/officeDocument/2006/relationships/hyperlink" Target="https://www.luxdeco.com/" TargetMode="External"/><Relationship Id="rId16119" Type="http://schemas.openxmlformats.org/officeDocument/2006/relationships/hyperlink" Target="https://internship.odu.edu/blog/2025/05/22/19-tips-for-sociology-majors-who-are-mapping-their-careers/" TargetMode="External"/><Relationship Id="rId5127" Type="http://schemas.openxmlformats.org/officeDocument/2006/relationships/hyperlink" Target="https://www.elliott.org/company-contacts/freedom-debt-relief-customer-service-contacts-2/" TargetMode="External"/><Relationship Id="rId8697" Type="http://schemas.openxmlformats.org/officeDocument/2006/relationships/hyperlink" Target="https://lubelska.co.uk/" TargetMode="External"/><Relationship Id="rId9748" Type="http://schemas.openxmlformats.org/officeDocument/2006/relationships/hyperlink" Target="https://www.teachengineering.org/" TargetMode="External"/><Relationship Id="rId11678" Type="http://schemas.openxmlformats.org/officeDocument/2006/relationships/hyperlink" Target="https://michaelmurphy.ie/author/milkod2001/page/14/" TargetMode="External"/><Relationship Id="rId12729" Type="http://schemas.openxmlformats.org/officeDocument/2006/relationships/hyperlink" Target="https://www.buildington.co.uk/companies/shakespeare-martineau/id/2958" TargetMode="External"/><Relationship Id="rId1737" Type="http://schemas.openxmlformats.org/officeDocument/2006/relationships/hyperlink" Target="https://www.simpleshowing.com/" TargetMode="External"/><Relationship Id="rId7299" Type="http://schemas.openxmlformats.org/officeDocument/2006/relationships/hyperlink" Target="https://procurementmag.com/company/taylor-morrison" TargetMode="External"/><Relationship Id="rId14151" Type="http://schemas.openxmlformats.org/officeDocument/2006/relationships/hyperlink" Target="https://leosdevelopments.com/" TargetMode="External"/><Relationship Id="rId15202" Type="http://schemas.openxmlformats.org/officeDocument/2006/relationships/hyperlink" Target="https://myinteriorpalace.com/" TargetMode="External"/><Relationship Id="rId4210" Type="http://schemas.openxmlformats.org/officeDocument/2006/relationships/hyperlink" Target="https://www.simpleshowing.com/" TargetMode="External"/><Relationship Id="rId7780" Type="http://schemas.openxmlformats.org/officeDocument/2006/relationships/hyperlink" Target="https://discoverlakelanier.com/" TargetMode="External"/><Relationship Id="rId6382" Type="http://schemas.openxmlformats.org/officeDocument/2006/relationships/hyperlink" Target="https://www.simpleshowing.com/" TargetMode="External"/><Relationship Id="rId7433" Type="http://schemas.openxmlformats.org/officeDocument/2006/relationships/hyperlink" Target="https://www.taylormorrison.com/" TargetMode="External"/><Relationship Id="rId8831" Type="http://schemas.openxmlformats.org/officeDocument/2006/relationships/hyperlink" Target="https://www.pctonline.com/news/pmps-adapt-coronavirus-covid-19-business-safety-considerations/" TargetMode="External"/><Relationship Id="rId10761" Type="http://schemas.openxmlformats.org/officeDocument/2006/relationships/hyperlink" Target="https://www.pinoyeplans.com/" TargetMode="External"/><Relationship Id="rId11812" Type="http://schemas.openxmlformats.org/officeDocument/2006/relationships/hyperlink" Target="https://sellhousefast.uk/" TargetMode="External"/><Relationship Id="rId6035" Type="http://schemas.openxmlformats.org/officeDocument/2006/relationships/hyperlink" Target="https://vteams.com/blog/benefits-of-remote-development-teams/" TargetMode="External"/><Relationship Id="rId10414" Type="http://schemas.openxmlformats.org/officeDocument/2006/relationships/hyperlink" Target="https://www.teachengineering.org/" TargetMode="External"/><Relationship Id="rId13984" Type="http://schemas.openxmlformats.org/officeDocument/2006/relationships/hyperlink" Target="https://myinteriorpalace.com/" TargetMode="External"/><Relationship Id="rId2992" Type="http://schemas.openxmlformats.org/officeDocument/2006/relationships/hyperlink" Target="https://www.pulte.com/" TargetMode="External"/><Relationship Id="rId9258" Type="http://schemas.openxmlformats.org/officeDocument/2006/relationships/hyperlink" Target="https://www.pinoyeplans.com/" TargetMode="External"/><Relationship Id="rId12586" Type="http://schemas.openxmlformats.org/officeDocument/2006/relationships/hyperlink" Target="https://propertypressonline.co.uk/" TargetMode="External"/><Relationship Id="rId13637" Type="http://schemas.openxmlformats.org/officeDocument/2006/relationships/hyperlink" Target="https://anationofmoms.com/" TargetMode="External"/><Relationship Id="rId964" Type="http://schemas.openxmlformats.org/officeDocument/2006/relationships/hyperlink" Target="https://www.matrixbasements.com/" TargetMode="External"/><Relationship Id="rId1594" Type="http://schemas.openxmlformats.org/officeDocument/2006/relationships/hyperlink" Target="https://wolfriverelectric.com/" TargetMode="External"/><Relationship Id="rId2645" Type="http://schemas.openxmlformats.org/officeDocument/2006/relationships/hyperlink" Target="https://timp180.sg-host.com/faqs/" TargetMode="External"/><Relationship Id="rId11188" Type="http://schemas.openxmlformats.org/officeDocument/2006/relationships/hyperlink" Target="https://houseofcoco.net/luxury-living-meets-masterful-water-damage-recovery/" TargetMode="External"/><Relationship Id="rId12239" Type="http://schemas.openxmlformats.org/officeDocument/2006/relationships/hyperlink" Target="https://constructionwave.co.uk/2023/04/14/major-stoke-on-trent-city-regen-set-for-approval/" TargetMode="External"/><Relationship Id="rId16110" Type="http://schemas.openxmlformats.org/officeDocument/2006/relationships/hyperlink" Target="https://www.caddetails.com/projects/richards-wilcox/5599/garage-door-installations-expectations-and-things-to-consider/5953/" TargetMode="External"/><Relationship Id="rId617" Type="http://schemas.openxmlformats.org/officeDocument/2006/relationships/hyperlink" Target="https://www.simpleshowing.com/" TargetMode="External"/><Relationship Id="rId1247" Type="http://schemas.openxmlformats.org/officeDocument/2006/relationships/hyperlink" Target="https://landing.residentialland.com/2016/08/moving-central-london-property-top-ten-packing-moving-day-tips/" TargetMode="External"/><Relationship Id="rId5868" Type="http://schemas.openxmlformats.org/officeDocument/2006/relationships/hyperlink" Target="https://www.simpleshowing.com/" TargetMode="External"/><Relationship Id="rId6919" Type="http://schemas.openxmlformats.org/officeDocument/2006/relationships/hyperlink" Target="https://www.simpleshowing.com/" TargetMode="External"/><Relationship Id="rId7290" Type="http://schemas.openxmlformats.org/officeDocument/2006/relationships/hyperlink" Target="https://www.har.com/blog_91966_cross-creek-ranch-home-builders---new-construction-homes" TargetMode="External"/><Relationship Id="rId8341" Type="http://schemas.openxmlformats.org/officeDocument/2006/relationships/hyperlink" Target="https://www.acquisition-international.com/strategic-financing-how-secured-loans-can-transform-your-business-landscape/" TargetMode="External"/><Relationship Id="rId10271" Type="http://schemas.openxmlformats.org/officeDocument/2006/relationships/hyperlink" Target="https://bop-iitk.vlabs.ac.in/exp/liquid-viscosity/references.html" TargetMode="External"/><Relationship Id="rId11322" Type="http://schemas.openxmlformats.org/officeDocument/2006/relationships/hyperlink" Target="https://www.reedyandcompany.com/" TargetMode="External"/><Relationship Id="rId12720" Type="http://schemas.openxmlformats.org/officeDocument/2006/relationships/hyperlink" Target="https://www.gov.uk/government/publications/the-older-peoples-housing-taskforce-report/our-future-homes-housing-that-promotes-wellbeing-and-community-for-an-ageing-population" TargetMode="External"/><Relationship Id="rId14892" Type="http://schemas.openxmlformats.org/officeDocument/2006/relationships/hyperlink" Target="https://myinteriorpalace.com/exploring-whole-house-water-filters-are-they-a-necessity-for-your-household/" TargetMode="External"/><Relationship Id="rId15943" Type="http://schemas.openxmlformats.org/officeDocument/2006/relationships/hyperlink" Target="https://myinteriorpalace.com/" TargetMode="External"/><Relationship Id="rId4951" Type="http://schemas.openxmlformats.org/officeDocument/2006/relationships/hyperlink" Target="https://the-nexus-now.beehiiv.com/p/work-home-affects" TargetMode="External"/><Relationship Id="rId12096" Type="http://schemas.openxmlformats.org/officeDocument/2006/relationships/hyperlink" Target="https://www.hamiltoninternationalestates.com/" TargetMode="External"/><Relationship Id="rId13494" Type="http://schemas.openxmlformats.org/officeDocument/2006/relationships/hyperlink" Target="https://soundsandcolours.com/subjects/travel/the-struggles-and-triumphs-of-being-a-latino-parent-67984/" TargetMode="External"/><Relationship Id="rId14545" Type="http://schemas.openxmlformats.org/officeDocument/2006/relationships/hyperlink" Target="https://myinteriorpalace.com/" TargetMode="External"/><Relationship Id="rId474" Type="http://schemas.openxmlformats.org/officeDocument/2006/relationships/hyperlink" Target="https://www.carolinadesigns.com/" TargetMode="External"/><Relationship Id="rId2155" Type="http://schemas.openxmlformats.org/officeDocument/2006/relationships/hyperlink" Target="https://markspain.com/" TargetMode="External"/><Relationship Id="rId3553" Type="http://schemas.openxmlformats.org/officeDocument/2006/relationships/hyperlink" Target="https://www.pulte.com/" TargetMode="External"/><Relationship Id="rId4604" Type="http://schemas.openxmlformats.org/officeDocument/2006/relationships/hyperlink" Target="https://www.kapre.com/" TargetMode="External"/><Relationship Id="rId13147" Type="http://schemas.openxmlformats.org/officeDocument/2006/relationships/hyperlink" Target="https://propertypressonline.co.uk/" TargetMode="External"/><Relationship Id="rId127" Type="http://schemas.openxmlformats.org/officeDocument/2006/relationships/hyperlink" Target="https://www.chicagoagentmagazine.com/" TargetMode="External"/><Relationship Id="rId3206" Type="http://schemas.openxmlformats.org/officeDocument/2006/relationships/hyperlink" Target="https://www.mirealsource.com/offices.cfm?frompage=41&amp;StartRow=1321&amp;Company=P&amp;search=yes&amp;maxrows=30" TargetMode="External"/><Relationship Id="rId6776" Type="http://schemas.openxmlformats.org/officeDocument/2006/relationships/hyperlink" Target="https://themountainlifeteam.com/property/631-skytop-drive-cumming-ga-30040/90035779/" TargetMode="External"/><Relationship Id="rId7827" Type="http://schemas.openxmlformats.org/officeDocument/2006/relationships/hyperlink" Target="https://discoverlakelanier.com/" TargetMode="External"/><Relationship Id="rId10808" Type="http://schemas.openxmlformats.org/officeDocument/2006/relationships/hyperlink" Target="https://www.clarke.k12.va.us/our-district/curriculum-instruction/stem/2017-stem-festival" TargetMode="External"/><Relationship Id="rId5378" Type="http://schemas.openxmlformats.org/officeDocument/2006/relationships/hyperlink" Target="https://www.simpleshowing.com/" TargetMode="External"/><Relationship Id="rId6429" Type="http://schemas.openxmlformats.org/officeDocument/2006/relationships/hyperlink" Target="https://www.tapsbath.com/brands-we-carry/" TargetMode="External"/><Relationship Id="rId9999" Type="http://schemas.openxmlformats.org/officeDocument/2006/relationships/hyperlink" Target="https://www.pinoyeplans.com/" TargetMode="External"/><Relationship Id="rId12230" Type="http://schemas.openxmlformats.org/officeDocument/2006/relationships/hyperlink" Target="https://selectproperty.com/insights/birminghams-need-for-over-100k-homes/" TargetMode="External"/><Relationship Id="rId1988" Type="http://schemas.openxmlformats.org/officeDocument/2006/relationships/hyperlink" Target="https://magazinesweeklys.com/blog/boost-productivity-creating-the-perfect-home-office-in-jacksonville/" TargetMode="External"/><Relationship Id="rId15453" Type="http://schemas.openxmlformats.org/officeDocument/2006/relationships/hyperlink" Target="https://techktimes.co.uk/are-picture-rails-a-good-choice-for-displaying-art-in-your-home/" TargetMode="External"/><Relationship Id="rId4461" Type="http://schemas.openxmlformats.org/officeDocument/2006/relationships/hyperlink" Target="https://www.kttc.com/2024/05/27/high-school-seniors-can-now-get-real-estate-license-free-this-state/" TargetMode="External"/><Relationship Id="rId5512" Type="http://schemas.openxmlformats.org/officeDocument/2006/relationships/hyperlink" Target="https://www.simpleshowing.com/" TargetMode="External"/><Relationship Id="rId6910" Type="http://schemas.openxmlformats.org/officeDocument/2006/relationships/hyperlink" Target="https://creekviewrealty.com/new-home-2-percent-rebate/" TargetMode="External"/><Relationship Id="rId14055" Type="http://schemas.openxmlformats.org/officeDocument/2006/relationships/hyperlink" Target="https://osvira.com/an-expert-game-plan-for-designing-a-backyard-deck-that-feels-like-a-private-escape/" TargetMode="External"/><Relationship Id="rId15106" Type="http://schemas.openxmlformats.org/officeDocument/2006/relationships/hyperlink" Target="https://myinteriorpalace.com/" TargetMode="External"/><Relationship Id="rId3063" Type="http://schemas.openxmlformats.org/officeDocument/2006/relationships/hyperlink" Target="https://www.simpleshowing.com/" TargetMode="External"/><Relationship Id="rId4114" Type="http://schemas.openxmlformats.org/officeDocument/2006/relationships/hyperlink" Target="https://rankings.newsweek.com/americas-top-online-colleges-2026/americas-top-online-learning-providers-2026" TargetMode="External"/><Relationship Id="rId6286" Type="http://schemas.openxmlformats.org/officeDocument/2006/relationships/hyperlink" Target="https://www.simpleshowing.com/" TargetMode="External"/><Relationship Id="rId7337" Type="http://schemas.openxmlformats.org/officeDocument/2006/relationships/hyperlink" Target="https://www.simpleshowing.com/" TargetMode="External"/><Relationship Id="rId7684" Type="http://schemas.openxmlformats.org/officeDocument/2006/relationships/hyperlink" Target="https://www.simpleshowing.com/" TargetMode="External"/><Relationship Id="rId8735" Type="http://schemas.openxmlformats.org/officeDocument/2006/relationships/hyperlink" Target="https://www.pinoyeplans.com/" TargetMode="External"/><Relationship Id="rId10665" Type="http://schemas.openxmlformats.org/officeDocument/2006/relationships/hyperlink" Target="https://www.pinoyeplans.com/" TargetMode="External"/><Relationship Id="rId11716" Type="http://schemas.openxmlformats.org/officeDocument/2006/relationships/hyperlink" Target="https://sellhousefast.uk/" TargetMode="External"/><Relationship Id="rId10318" Type="http://schemas.openxmlformats.org/officeDocument/2006/relationships/hyperlink" Target="https://www.teachengineering.org/" TargetMode="External"/><Relationship Id="rId13888" Type="http://schemas.openxmlformats.org/officeDocument/2006/relationships/hyperlink" Target="https://myinteriorpalace.com/" TargetMode="External"/><Relationship Id="rId14939" Type="http://schemas.openxmlformats.org/officeDocument/2006/relationships/hyperlink" Target="https://www.fluidplumbingservices.com.au/" TargetMode="External"/><Relationship Id="rId2896" Type="http://schemas.openxmlformats.org/officeDocument/2006/relationships/hyperlink" Target="https://www.pulte.com/" TargetMode="External"/><Relationship Id="rId3947" Type="http://schemas.openxmlformats.org/officeDocument/2006/relationships/hyperlink" Target="https://nationaldirectory.com.au/amjmetalroofing/home" TargetMode="External"/><Relationship Id="rId868" Type="http://schemas.openxmlformats.org/officeDocument/2006/relationships/hyperlink" Target="https://www.absolutepestmgmt.com/" TargetMode="External"/><Relationship Id="rId1498" Type="http://schemas.openxmlformats.org/officeDocument/2006/relationships/hyperlink" Target="https://wolfriverelectric.com/" TargetMode="External"/><Relationship Id="rId2549" Type="http://schemas.openxmlformats.org/officeDocument/2006/relationships/hyperlink" Target="https://www.theorlandoreal.com/lake-nona-neighborhoods/" TargetMode="External"/><Relationship Id="rId6420" Type="http://schemas.openxmlformats.org/officeDocument/2006/relationships/hyperlink" Target="https://almostheaven.com/collections/saunas" TargetMode="External"/><Relationship Id="rId9990" Type="http://schemas.openxmlformats.org/officeDocument/2006/relationships/hyperlink" Target="https://www.pinoyeplans.com/" TargetMode="External"/><Relationship Id="rId16014" Type="http://schemas.openxmlformats.org/officeDocument/2006/relationships/hyperlink" Target="https://www.thepinnaclelist.com/articles/how-can-you-benefit-from-industrial-overhead-doors/" TargetMode="External"/><Relationship Id="rId5022" Type="http://schemas.openxmlformats.org/officeDocument/2006/relationships/hyperlink" Target="https://www.simpleshowing.com/" TargetMode="External"/><Relationship Id="rId8592" Type="http://schemas.openxmlformats.org/officeDocument/2006/relationships/hyperlink" Target="https://www.buyersadvocate.com.au/" TargetMode="External"/><Relationship Id="rId9643" Type="http://schemas.openxmlformats.org/officeDocument/2006/relationships/hyperlink" Target="https://www.teachengineering.org/" TargetMode="External"/><Relationship Id="rId12971" Type="http://schemas.openxmlformats.org/officeDocument/2006/relationships/hyperlink" Target="https://www.shma.co.uk/" TargetMode="External"/><Relationship Id="rId7194" Type="http://schemas.openxmlformats.org/officeDocument/2006/relationships/hyperlink" Target="https://www.simpleshowing.com/" TargetMode="External"/><Relationship Id="rId8245" Type="http://schemas.openxmlformats.org/officeDocument/2006/relationships/hyperlink" Target="https://ezine-articles.com/what-is-art-deco-architecture-and-why-is-it-iconic/" TargetMode="External"/><Relationship Id="rId10175" Type="http://schemas.openxmlformats.org/officeDocument/2006/relationships/hyperlink" Target="https://www.kirkwood.edu/workplace-learning-connection/stem-it-up" TargetMode="External"/><Relationship Id="rId11573" Type="http://schemas.openxmlformats.org/officeDocument/2006/relationships/hyperlink" Target="https://www.mpamag.com/uk/mortgage-types/later-life-lending/why-downsizing-is-key-for-older-homeowners/546926" TargetMode="External"/><Relationship Id="rId12624" Type="http://schemas.openxmlformats.org/officeDocument/2006/relationships/hyperlink" Target="https://midsummerplace.co.uk/blog/christmas-tree-festival-winners-announced" TargetMode="External"/><Relationship Id="rId1632" Type="http://schemas.openxmlformats.org/officeDocument/2006/relationships/hyperlink" Target="https://www.simpleshowing.com/" TargetMode="External"/><Relationship Id="rId11226" Type="http://schemas.openxmlformats.org/officeDocument/2006/relationships/hyperlink" Target="https://contentbase.com/blog/mold-inspection-who-to-call/" TargetMode="External"/><Relationship Id="rId14796" Type="http://schemas.openxmlformats.org/officeDocument/2006/relationships/hyperlink" Target="https://espaciodca.fedace.org/content/embark-unforgettable-adventures-kimsatravel" TargetMode="External"/><Relationship Id="rId15847" Type="http://schemas.openxmlformats.org/officeDocument/2006/relationships/hyperlink" Target="https://myinteriorpalace.com/" TargetMode="External"/><Relationship Id="rId4855" Type="http://schemas.openxmlformats.org/officeDocument/2006/relationships/hyperlink" Target="https://www.mtb.com/library/article/open-house-ideas" TargetMode="External"/><Relationship Id="rId5906" Type="http://schemas.openxmlformats.org/officeDocument/2006/relationships/hyperlink" Target="https://www.simpleshowing.com/" TargetMode="External"/><Relationship Id="rId13398" Type="http://schemas.openxmlformats.org/officeDocument/2006/relationships/hyperlink" Target="https://getjubileetv.com/pages/press" TargetMode="External"/><Relationship Id="rId14449" Type="http://schemas.openxmlformats.org/officeDocument/2006/relationships/hyperlink" Target="https://myinteriorpalace.com/" TargetMode="External"/><Relationship Id="rId3457" Type="http://schemas.openxmlformats.org/officeDocument/2006/relationships/hyperlink" Target="https://www.pulte.com/" TargetMode="External"/><Relationship Id="rId4508" Type="http://schemas.openxmlformats.org/officeDocument/2006/relationships/hyperlink" Target="https://www.kapre.com/" TargetMode="External"/><Relationship Id="rId378" Type="http://schemas.openxmlformats.org/officeDocument/2006/relationships/hyperlink" Target="http://northernvirginiahomepro.com/" TargetMode="External"/><Relationship Id="rId2059" Type="http://schemas.openxmlformats.org/officeDocument/2006/relationships/hyperlink" Target="https://markspain.com/" TargetMode="External"/><Relationship Id="rId12481" Type="http://schemas.openxmlformats.org/officeDocument/2006/relationships/hyperlink" Target="https://sturents.com/" TargetMode="External"/><Relationship Id="rId13532" Type="http://schemas.openxmlformats.org/officeDocument/2006/relationships/hyperlink" Target="https://anationofmoms.com/" TargetMode="External"/><Relationship Id="rId14930" Type="http://schemas.openxmlformats.org/officeDocument/2006/relationships/hyperlink" Target="https://www.fluidplumbingservices.com.au/" TargetMode="External"/><Relationship Id="rId2540" Type="http://schemas.openxmlformats.org/officeDocument/2006/relationships/hyperlink" Target="https://econdev.fishersin.gov/living-in-fishers/housing-in-fishers/" TargetMode="External"/><Relationship Id="rId9153" Type="http://schemas.openxmlformats.org/officeDocument/2006/relationships/hyperlink" Target="https://www.pinoyeplans.com/" TargetMode="External"/><Relationship Id="rId11083" Type="http://schemas.openxmlformats.org/officeDocument/2006/relationships/hyperlink" Target="https://www.teachengineering.org/" TargetMode="External"/><Relationship Id="rId12134" Type="http://schemas.openxmlformats.org/officeDocument/2006/relationships/hyperlink" Target="https://sealed.com/resources/how-to-fix-drafty-windows/" TargetMode="External"/><Relationship Id="rId512" Type="http://schemas.openxmlformats.org/officeDocument/2006/relationships/hyperlink" Target="https://www.simpleshowing.com/" TargetMode="External"/><Relationship Id="rId1142" Type="http://schemas.openxmlformats.org/officeDocument/2006/relationships/hyperlink" Target="https://ezlocal.com/il/arlington-heights/contractors---building/09626480" TargetMode="External"/><Relationship Id="rId4365" Type="http://schemas.openxmlformats.org/officeDocument/2006/relationships/hyperlink" Target="https://www.wvlt.tv/2024/05/21/tenn-high-school-seniors-get-free-real-estate-licenses/" TargetMode="External"/><Relationship Id="rId5763" Type="http://schemas.openxmlformats.org/officeDocument/2006/relationships/hyperlink" Target="https://fabfitfun.com/magazine/should-you-pay-debt-before-saving/" TargetMode="External"/><Relationship Id="rId6814" Type="http://schemas.openxmlformats.org/officeDocument/2006/relationships/hyperlink" Target="https://www.taylormorrison.com/" TargetMode="External"/><Relationship Id="rId15357" Type="http://schemas.openxmlformats.org/officeDocument/2006/relationships/hyperlink" Target="https://www.westlondonliving.co.uk/fashion-design/style/seasonal/" TargetMode="External"/><Relationship Id="rId4018" Type="http://schemas.openxmlformats.org/officeDocument/2006/relationships/hyperlink" Target="https://appleplumbing.com/" TargetMode="External"/><Relationship Id="rId5416" Type="http://schemas.openxmlformats.org/officeDocument/2006/relationships/hyperlink" Target="https://www.simpleshowing.com/" TargetMode="External"/><Relationship Id="rId8986" Type="http://schemas.openxmlformats.org/officeDocument/2006/relationships/hyperlink" Target="https://nycestimating.us/" TargetMode="External"/><Relationship Id="rId11967" Type="http://schemas.openxmlformats.org/officeDocument/2006/relationships/hyperlink" Target="https://www.hamiltoninternationalestates.com/" TargetMode="External"/><Relationship Id="rId7588" Type="http://schemas.openxmlformats.org/officeDocument/2006/relationships/hyperlink" Target="https://www.simpleshowing.com/" TargetMode="External"/><Relationship Id="rId8639" Type="http://schemas.openxmlformats.org/officeDocument/2006/relationships/hyperlink" Target="https://www.pinoyeplans.com/" TargetMode="External"/><Relationship Id="rId10569" Type="http://schemas.openxmlformats.org/officeDocument/2006/relationships/hyperlink" Target="https://www.pinoyeplans.com/" TargetMode="External"/><Relationship Id="rId14440" Type="http://schemas.openxmlformats.org/officeDocument/2006/relationships/hyperlink" Target="https://myinteriorpalace.com/" TargetMode="External"/><Relationship Id="rId13042" Type="http://schemas.openxmlformats.org/officeDocument/2006/relationships/hyperlink" Target="https://propertypressonline.co.uk/" TargetMode="External"/><Relationship Id="rId2050" Type="http://schemas.openxmlformats.org/officeDocument/2006/relationships/hyperlink" Target="https://markspain.com/" TargetMode="External"/><Relationship Id="rId3101" Type="http://schemas.openxmlformats.org/officeDocument/2006/relationships/hyperlink" Target="https://jobgether.com/offer/66a00c68913adf4119c13fef-software-engineer-ii-pulte-mortgage" TargetMode="External"/><Relationship Id="rId6671" Type="http://schemas.openxmlformats.org/officeDocument/2006/relationships/hyperlink" Target="https://www.eplanters.com/blog/" TargetMode="External"/><Relationship Id="rId7722" Type="http://schemas.openxmlformats.org/officeDocument/2006/relationships/hyperlink" Target="https://www.pulte.com/blog/pros-and-cons-of-living-in-atlanta-ga" TargetMode="External"/><Relationship Id="rId16265" Type="http://schemas.openxmlformats.org/officeDocument/2006/relationships/hyperlink" Target="https://www.unitedcarpetsandbeds.com/" TargetMode="External"/><Relationship Id="rId5273" Type="http://schemas.openxmlformats.org/officeDocument/2006/relationships/hyperlink" Target="https://theinspiringjournal.com/do-i-have-to-pay-a-debt-thats-very-old/" TargetMode="External"/><Relationship Id="rId6324" Type="http://schemas.openxmlformats.org/officeDocument/2006/relationships/hyperlink" Target="https://www.simpleshowing.com/" TargetMode="External"/><Relationship Id="rId10703" Type="http://schemas.openxmlformats.org/officeDocument/2006/relationships/hyperlink" Target="https://anastasialuc.wixsite.com/teacheridentity/family-resources" TargetMode="External"/><Relationship Id="rId8496" Type="http://schemas.openxmlformats.org/officeDocument/2006/relationships/hyperlink" Target="https://www.cylind.com/" TargetMode="External"/><Relationship Id="rId9547" Type="http://schemas.openxmlformats.org/officeDocument/2006/relationships/hyperlink" Target="https://www.teachengineering.org/" TargetMode="External"/><Relationship Id="rId9894" Type="http://schemas.openxmlformats.org/officeDocument/2006/relationships/hyperlink" Target="https://www.pinoyeplans.com/" TargetMode="External"/><Relationship Id="rId12875" Type="http://schemas.openxmlformats.org/officeDocument/2006/relationships/hyperlink" Target="https://www.shma.co.uk/" TargetMode="External"/><Relationship Id="rId13926" Type="http://schemas.openxmlformats.org/officeDocument/2006/relationships/hyperlink" Target="https://ahouseinthehills.com/shielding-charm-for-your-abode-5-solid-grounds-to-embrace-vinyl-siding/" TargetMode="External"/><Relationship Id="rId1883" Type="http://schemas.openxmlformats.org/officeDocument/2006/relationships/hyperlink" Target="https://buildingbetteragents.com/top-real-estate-teams-2021/" TargetMode="External"/><Relationship Id="rId2934" Type="http://schemas.openxmlformats.org/officeDocument/2006/relationships/hyperlink" Target="https://www.simpleshowing.com/" TargetMode="External"/><Relationship Id="rId7098" Type="http://schemas.openxmlformats.org/officeDocument/2006/relationships/hyperlink" Target="https://www.pressdemocrat.com/2025/06/06/sales-momentum-continues-at-large-vacaville-housing-project-2/" TargetMode="External"/><Relationship Id="rId8149" Type="http://schemas.openxmlformats.org/officeDocument/2006/relationships/hyperlink" Target="https://koriathome.com/is-it-time-for-a-roof-repair-or-a-full-replacement/" TargetMode="External"/><Relationship Id="rId11477" Type="http://schemas.openxmlformats.org/officeDocument/2006/relationships/hyperlink" Target="https://www.hamiltoninternationalestates.com/" TargetMode="External"/><Relationship Id="rId12528" Type="http://schemas.openxmlformats.org/officeDocument/2006/relationships/hyperlink" Target="https://hu6zg0fcclhktccq4kuppxhub.js.wpenginepowered.com/news/housing/student-accommodation-boom-housing-cardiff/" TargetMode="External"/><Relationship Id="rId906" Type="http://schemas.openxmlformats.org/officeDocument/2006/relationships/hyperlink" Target="https://www.simpleshowing.com/" TargetMode="External"/><Relationship Id="rId1536" Type="http://schemas.openxmlformats.org/officeDocument/2006/relationships/hyperlink" Target="https://www.simpleshowing.com/" TargetMode="External"/><Relationship Id="rId10079" Type="http://schemas.openxmlformats.org/officeDocument/2006/relationships/hyperlink" Target="https://buffalorivertruss.com/blog/ensuring-safety-and-reliability-with-steel-trusses/" TargetMode="External"/><Relationship Id="rId15001" Type="http://schemas.openxmlformats.org/officeDocument/2006/relationships/hyperlink" Target="https://myinteriorpalace.com/" TargetMode="External"/><Relationship Id="rId4759" Type="http://schemas.openxmlformats.org/officeDocument/2006/relationships/hyperlink" Target="https://www.simpleshowing.com/" TargetMode="External"/><Relationship Id="rId8630" Type="http://schemas.openxmlformats.org/officeDocument/2006/relationships/hyperlink" Target="https://www.pinoyeplans.com/" TargetMode="External"/><Relationship Id="rId10560" Type="http://schemas.openxmlformats.org/officeDocument/2006/relationships/hyperlink" Target="https://www.pinoyeplans.com/" TargetMode="External"/><Relationship Id="rId11611" Type="http://schemas.openxmlformats.org/officeDocument/2006/relationships/hyperlink" Target="https://sellhousefast.uk/" TargetMode="External"/><Relationship Id="rId6181" Type="http://schemas.openxmlformats.org/officeDocument/2006/relationships/hyperlink" Target="https://www.hse-network.com/how-to-choose-solar-panel-installation-company/" TargetMode="External"/><Relationship Id="rId7232" Type="http://schemas.openxmlformats.org/officeDocument/2006/relationships/hyperlink" Target="http://www.skymem.info/srch?q=rnewell@taylormorrison.com" TargetMode="External"/><Relationship Id="rId10213" Type="http://schemas.openxmlformats.org/officeDocument/2006/relationships/hyperlink" Target="https://www.teachengineering.org/" TargetMode="External"/><Relationship Id="rId2791" Type="http://schemas.openxmlformats.org/officeDocument/2006/relationships/hyperlink" Target="https://www.pulte.com/" TargetMode="External"/><Relationship Id="rId12385" Type="http://schemas.openxmlformats.org/officeDocument/2006/relationships/hyperlink" Target="https://sturents.com/" TargetMode="External"/><Relationship Id="rId13783" Type="http://schemas.openxmlformats.org/officeDocument/2006/relationships/hyperlink" Target="https://myinteriorpalace.com/" TargetMode="External"/><Relationship Id="rId14834" Type="http://schemas.openxmlformats.org/officeDocument/2006/relationships/hyperlink" Target="https://www.fluidplumbingservices.com.au/" TargetMode="External"/><Relationship Id="rId763" Type="http://schemas.openxmlformats.org/officeDocument/2006/relationships/hyperlink" Target="https://www.fox17online.com/morning-mix/schaafsma-heating-and-cooling-and-lennox-partner-up-for-feel-the-love-campaign" TargetMode="External"/><Relationship Id="rId1393" Type="http://schemas.openxmlformats.org/officeDocument/2006/relationships/hyperlink" Target="https://ritewindow.com/blog/3-indicators-its-time-to-upgrade-your-shower-or-bath/" TargetMode="External"/><Relationship Id="rId2444" Type="http://schemas.openxmlformats.org/officeDocument/2006/relationships/hyperlink" Target="https://www.aspirejohnsoncounty.com/" TargetMode="External"/><Relationship Id="rId3842" Type="http://schemas.openxmlformats.org/officeDocument/2006/relationships/hyperlink" Target="https://blog.squaretrade.com/hot-tub-gadgets/" TargetMode="External"/><Relationship Id="rId9057" Type="http://schemas.openxmlformats.org/officeDocument/2006/relationships/hyperlink" Target="https://www.pinoyeplans.com/" TargetMode="External"/><Relationship Id="rId12038" Type="http://schemas.openxmlformats.org/officeDocument/2006/relationships/hyperlink" Target="https://www.wd40.com/useArticle/unusual-uses-wd40/" TargetMode="External"/><Relationship Id="rId13436" Type="http://schemas.openxmlformats.org/officeDocument/2006/relationships/hyperlink" Target="https://anationofmoms.com/" TargetMode="External"/><Relationship Id="rId416" Type="http://schemas.openxmlformats.org/officeDocument/2006/relationships/hyperlink" Target="https://www.simpleshowing.com/" TargetMode="External"/><Relationship Id="rId1046" Type="http://schemas.openxmlformats.org/officeDocument/2006/relationships/hyperlink" Target="http://kalamazoohomepagemi.memberzone.com/list/member/matrix-home-solutions-3367" TargetMode="External"/><Relationship Id="rId5667" Type="http://schemas.openxmlformats.org/officeDocument/2006/relationships/hyperlink" Target="https://tivazo.com/blogs/50-30-20-rule/" TargetMode="External"/><Relationship Id="rId6718" Type="http://schemas.openxmlformats.org/officeDocument/2006/relationships/hyperlink" Target="https://www.eplanters.com/blog/" TargetMode="External"/><Relationship Id="rId4269" Type="http://schemas.openxmlformats.org/officeDocument/2006/relationships/hyperlink" Target="https://blog.cheapism.com/ways-to-make-extra-money/" TargetMode="External"/><Relationship Id="rId8140" Type="http://schemas.openxmlformats.org/officeDocument/2006/relationships/hyperlink" Target="https://www.homeadvisor.com/rated.IntegrityHomeExteriors.88568049.html" TargetMode="External"/><Relationship Id="rId10070" Type="http://schemas.openxmlformats.org/officeDocument/2006/relationships/hyperlink" Target="https://www.globalspec.com/FeaturedProducts/Detail/OriginDataGlobalODG/362186/How_to_Start_with_Arduino" TargetMode="External"/><Relationship Id="rId11121" Type="http://schemas.openxmlformats.org/officeDocument/2006/relationships/hyperlink" Target="https://www.experienceparry.com/" TargetMode="External"/><Relationship Id="rId14691" Type="http://schemas.openxmlformats.org/officeDocument/2006/relationships/hyperlink" Target="https://www.pearland.com/news/index.php?newstype=upbeat&amp;page=8" TargetMode="External"/><Relationship Id="rId15742" Type="http://schemas.openxmlformats.org/officeDocument/2006/relationships/hyperlink" Target="https://myinteriorpalace.com/" TargetMode="External"/><Relationship Id="rId4750" Type="http://schemas.openxmlformats.org/officeDocument/2006/relationships/hyperlink" Target="https://www.simpleshowing.com/" TargetMode="External"/><Relationship Id="rId5801" Type="http://schemas.openxmlformats.org/officeDocument/2006/relationships/hyperlink" Target="https://opportunitydesk.org/2021/03/15/how-to-qualify-for-credit-card-debt-relief-programs/" TargetMode="External"/><Relationship Id="rId13293" Type="http://schemas.openxmlformats.org/officeDocument/2006/relationships/hyperlink" Target="https://www.businessfirstonline.co.uk/other-articles/why-use-an-agent-to-let-your-property/" TargetMode="External"/><Relationship Id="rId14344" Type="http://schemas.openxmlformats.org/officeDocument/2006/relationships/hyperlink" Target="https://myinteriorpalace.com/" TargetMode="External"/><Relationship Id="rId3352" Type="http://schemas.openxmlformats.org/officeDocument/2006/relationships/hyperlink" Target="https://www.pulte.com/" TargetMode="External"/><Relationship Id="rId4403" Type="http://schemas.openxmlformats.org/officeDocument/2006/relationships/hyperlink" Target="https://www.kapre.com/" TargetMode="External"/><Relationship Id="rId273" Type="http://schemas.openxmlformats.org/officeDocument/2006/relationships/hyperlink" Target="http://northernvirginiahomepro.com/" TargetMode="External"/><Relationship Id="rId3005" Type="http://schemas.openxmlformats.org/officeDocument/2006/relationships/hyperlink" Target="https://www.pickleheads.com/courts/us/nevada/las-vegas/reverence-pickleball-courts" TargetMode="External"/><Relationship Id="rId6575" Type="http://schemas.openxmlformats.org/officeDocument/2006/relationships/hyperlink" Target="https://www.thermasol.com/" TargetMode="External"/><Relationship Id="rId7626" Type="http://schemas.openxmlformats.org/officeDocument/2006/relationships/hyperlink" Target="https://mccl-impresslocal.pdqs.mobi/taylor-morrison-of-california/reviews/display/" TargetMode="External"/><Relationship Id="rId7973" Type="http://schemas.openxmlformats.org/officeDocument/2006/relationships/hyperlink" Target="https://www.pinoyeplans.com/" TargetMode="External"/><Relationship Id="rId10954" Type="http://schemas.openxmlformats.org/officeDocument/2006/relationships/hyperlink" Target="https://www.teachengineering.org/" TargetMode="External"/><Relationship Id="rId16169" Type="http://schemas.openxmlformats.org/officeDocument/2006/relationships/hyperlink" Target="https://www.unitedcarpetsandbeds.com/" TargetMode="External"/><Relationship Id="rId5177" Type="http://schemas.openxmlformats.org/officeDocument/2006/relationships/hyperlink" Target="https://ivyexec.com/career-advice/2025/the-hour-a-day-job-hunt-routine-that-works/" TargetMode="External"/><Relationship Id="rId6228" Type="http://schemas.openxmlformats.org/officeDocument/2006/relationships/hyperlink" Target="https://www.simpleshowing.com/" TargetMode="External"/><Relationship Id="rId10607" Type="http://schemas.openxmlformats.org/officeDocument/2006/relationships/hyperlink" Target="https://sciencejournalforkids.substack.com/p/lesson-ideas-1-batty-for-bat-calls" TargetMode="External"/><Relationship Id="rId9798" Type="http://schemas.openxmlformats.org/officeDocument/2006/relationships/hyperlink" Target="https://www.pinoyeplans.com/" TargetMode="External"/><Relationship Id="rId12779" Type="http://schemas.openxmlformats.org/officeDocument/2006/relationships/hyperlink" Target="https://www.shma.co.uk/" TargetMode="External"/><Relationship Id="rId1787" Type="http://schemas.openxmlformats.org/officeDocument/2006/relationships/hyperlink" Target="https://us105fm.com/ixp/513/p/central-texas-power-project/" TargetMode="External"/><Relationship Id="rId2838" Type="http://schemas.openxmlformats.org/officeDocument/2006/relationships/hyperlink" Target="https://www.simpleshowing.com/" TargetMode="External"/><Relationship Id="rId15252" Type="http://schemas.openxmlformats.org/officeDocument/2006/relationships/hyperlink" Target="https://ecofurnituredesign.com/steel-and-wood-shelves/" TargetMode="External"/><Relationship Id="rId4260" Type="http://schemas.openxmlformats.org/officeDocument/2006/relationships/hyperlink" Target="https://careersidekick.com/real-estate-agent/" TargetMode="External"/><Relationship Id="rId5311" Type="http://schemas.openxmlformats.org/officeDocument/2006/relationships/hyperlink" Target="https://www.finder.com/debt-relief/freedom-debt-relief" TargetMode="External"/><Relationship Id="rId8881" Type="http://schemas.openxmlformats.org/officeDocument/2006/relationships/hyperlink" Target="https://www.trianglepest.com/" TargetMode="External"/><Relationship Id="rId9932" Type="http://schemas.openxmlformats.org/officeDocument/2006/relationships/hyperlink" Target="https://css.umich.edu/page/sustainability-resources-teachers-personal-transportation" TargetMode="External"/><Relationship Id="rId7483" Type="http://schemas.openxmlformats.org/officeDocument/2006/relationships/hyperlink" Target="https://www.simpleshowing.com/" TargetMode="External"/><Relationship Id="rId8534" Type="http://schemas.openxmlformats.org/officeDocument/2006/relationships/hyperlink" Target="https://www.pinoyeplans.com/" TargetMode="External"/><Relationship Id="rId10464" Type="http://schemas.openxmlformats.org/officeDocument/2006/relationships/hyperlink" Target="https://www.pinoyeplans.com/" TargetMode="External"/><Relationship Id="rId11862" Type="http://schemas.openxmlformats.org/officeDocument/2006/relationships/hyperlink" Target="https://www.hamiltoninternationalestates.com/" TargetMode="External"/><Relationship Id="rId12913" Type="http://schemas.openxmlformats.org/officeDocument/2006/relationships/hyperlink" Target="https://propertypressonline.co.uk/" TargetMode="External"/><Relationship Id="rId1921" Type="http://schemas.openxmlformats.org/officeDocument/2006/relationships/hyperlink" Target="https://markspain.com/" TargetMode="External"/><Relationship Id="rId6085" Type="http://schemas.openxmlformats.org/officeDocument/2006/relationships/hyperlink" Target="https://www.londondaily.news/managing-your-finances-in-old-age/" TargetMode="External"/><Relationship Id="rId7136" Type="http://schemas.openxmlformats.org/officeDocument/2006/relationships/hyperlink" Target="https://www.simpleshowing.com/" TargetMode="External"/><Relationship Id="rId10117" Type="http://schemas.openxmlformats.org/officeDocument/2006/relationships/hyperlink" Target="https://www.teachengineering.org/" TargetMode="External"/><Relationship Id="rId11515" Type="http://schemas.openxmlformats.org/officeDocument/2006/relationships/hyperlink" Target="https://www.newwavemagazine.com/single-post/the-rise-of-maximalist-interiors-why-homeowners-are-embracing-bold-designs" TargetMode="External"/><Relationship Id="rId13687" Type="http://schemas.openxmlformats.org/officeDocument/2006/relationships/hyperlink" Target="https://myinteriorpalace.com/" TargetMode="External"/><Relationship Id="rId14738" Type="http://schemas.openxmlformats.org/officeDocument/2006/relationships/hyperlink" Target="https://www.easygaragedoorrepair.com/" TargetMode="External"/><Relationship Id="rId1297" Type="http://schemas.openxmlformats.org/officeDocument/2006/relationships/hyperlink" Target="https://darscover.com/" TargetMode="External"/><Relationship Id="rId2695" Type="http://schemas.openxmlformats.org/officeDocument/2006/relationships/hyperlink" Target="https://www.pulte.com/" TargetMode="External"/><Relationship Id="rId3746" Type="http://schemas.openxmlformats.org/officeDocument/2006/relationships/hyperlink" Target="https://network.procore.com/p/overhead-door-co-of-central-va-ashland" TargetMode="External"/><Relationship Id="rId12289" Type="http://schemas.openxmlformats.org/officeDocument/2006/relationships/hyperlink" Target="https://www.ridgefieldconsulting.co.uk/" TargetMode="External"/><Relationship Id="rId16160" Type="http://schemas.openxmlformats.org/officeDocument/2006/relationships/hyperlink" Target="https://www.unitedcarpetsandbeds.com/" TargetMode="External"/><Relationship Id="rId667" Type="http://schemas.openxmlformats.org/officeDocument/2006/relationships/hyperlink" Target="http://user1641665.sites.myregisteredsite.com/2010.09.01_arch.html" TargetMode="External"/><Relationship Id="rId2348" Type="http://schemas.openxmlformats.org/officeDocument/2006/relationships/hyperlink" Target="https://www.mismo.org/" TargetMode="External"/><Relationship Id="rId6969" Type="http://schemas.openxmlformats.org/officeDocument/2006/relationships/hyperlink" Target="https://flaglerlive.com/final-plat-series/" TargetMode="External"/><Relationship Id="rId12770" Type="http://schemas.openxmlformats.org/officeDocument/2006/relationships/hyperlink" Target="https://www.shma.co.uk/" TargetMode="External"/><Relationship Id="rId13821" Type="http://schemas.openxmlformats.org/officeDocument/2006/relationships/hyperlink" Target="https://alittledelightful.com/how-to-measure-your-shower-space-for-perfect-door-installation/" TargetMode="External"/><Relationship Id="rId8391" Type="http://schemas.openxmlformats.org/officeDocument/2006/relationships/hyperlink" Target="https://24hourfloodpros.com/" TargetMode="External"/><Relationship Id="rId9442" Type="http://schemas.openxmlformats.org/officeDocument/2006/relationships/hyperlink" Target="https://www.teachengineering.org/" TargetMode="External"/><Relationship Id="rId11372" Type="http://schemas.openxmlformats.org/officeDocument/2006/relationships/hyperlink" Target="https://www.hamiltoninternationalestates.com/" TargetMode="External"/><Relationship Id="rId12423" Type="http://schemas.openxmlformats.org/officeDocument/2006/relationships/hyperlink" Target="https://propertypressonline.co.uk/" TargetMode="External"/><Relationship Id="rId801" Type="http://schemas.openxmlformats.org/officeDocument/2006/relationships/hyperlink" Target="https://www.schaafsma.com/" TargetMode="External"/><Relationship Id="rId1431" Type="http://schemas.openxmlformats.org/officeDocument/2006/relationships/hyperlink" Target="https://www.simpleshowing.com/" TargetMode="External"/><Relationship Id="rId8044" Type="http://schemas.openxmlformats.org/officeDocument/2006/relationships/hyperlink" Target="https://www.pinoyeplans.com/" TargetMode="External"/><Relationship Id="rId11025" Type="http://schemas.openxmlformats.org/officeDocument/2006/relationships/hyperlink" Target="https://www.pinoyeplans.com/" TargetMode="External"/><Relationship Id="rId14595" Type="http://schemas.openxmlformats.org/officeDocument/2006/relationships/hyperlink" Target="https://joyfullytreasured.com/7-expert-tips-for-keeping-a-garage-door-operating-smoothly-year-round" TargetMode="External"/><Relationship Id="rId15993" Type="http://schemas.openxmlformats.org/officeDocument/2006/relationships/hyperlink" Target="https://opplehouse.com/why-heavy-duty-doors-with-fire-resistance-are-a-smart-investment-for-every-building/" TargetMode="External"/><Relationship Id="rId4654" Type="http://schemas.openxmlformats.org/officeDocument/2006/relationships/hyperlink" Target="https://www.simpleshowing.com/" TargetMode="External"/><Relationship Id="rId13197" Type="http://schemas.openxmlformats.org/officeDocument/2006/relationships/hyperlink" Target="https://www.propertywire.com/blog/guest-blog-looking-beyond-the-first-homes-initiative/" TargetMode="External"/><Relationship Id="rId14248" Type="http://schemas.openxmlformats.org/officeDocument/2006/relationships/hyperlink" Target="https://myinteriorpalace.com/" TargetMode="External"/><Relationship Id="rId15646" Type="http://schemas.openxmlformats.org/officeDocument/2006/relationships/hyperlink" Target="https://myinteriorpalace.com/" TargetMode="External"/><Relationship Id="rId3256" Type="http://schemas.openxmlformats.org/officeDocument/2006/relationships/hyperlink" Target="https://www.pulte.com/" TargetMode="External"/><Relationship Id="rId4307" Type="http://schemas.openxmlformats.org/officeDocument/2006/relationships/hyperlink" Target="https://www.kapre.com/" TargetMode="External"/><Relationship Id="rId5705" Type="http://schemas.openxmlformats.org/officeDocument/2006/relationships/hyperlink" Target="https://parade.com/922172/parade/tips-for-saving-money-on-holiday-gifts/" TargetMode="External"/><Relationship Id="rId177" Type="http://schemas.openxmlformats.org/officeDocument/2006/relationships/hyperlink" Target="https://www.adventuresincre.com/" TargetMode="External"/><Relationship Id="rId7877" Type="http://schemas.openxmlformats.org/officeDocument/2006/relationships/hyperlink" Target="https://www.pinoyeplans.com/" TargetMode="External"/><Relationship Id="rId8928" Type="http://schemas.openxmlformats.org/officeDocument/2006/relationships/hyperlink" Target="https://www.pinoyeplans.com/" TargetMode="External"/><Relationship Id="rId10858" Type="http://schemas.openxmlformats.org/officeDocument/2006/relationships/hyperlink" Target="https://www.teachengineering.org/" TargetMode="External"/><Relationship Id="rId11909" Type="http://schemas.openxmlformats.org/officeDocument/2006/relationships/hyperlink" Target="https://www.zimmermanmulch.com/blog/gravel-crushed-stone-buying-guide/" TargetMode="External"/><Relationship Id="rId6479" Type="http://schemas.openxmlformats.org/officeDocument/2006/relationships/hyperlink" Target="https://www.thermasol.com/" TargetMode="External"/><Relationship Id="rId12280" Type="http://schemas.openxmlformats.org/officeDocument/2006/relationships/hyperlink" Target="https://www.ridgefieldconsulting.co.uk/" TargetMode="External"/><Relationship Id="rId13331" Type="http://schemas.openxmlformats.org/officeDocument/2006/relationships/hyperlink" Target="https://a1floorsnc.com/" TargetMode="External"/><Relationship Id="rId6960" Type="http://schemas.openxmlformats.org/officeDocument/2006/relationships/hyperlink" Target="https://tickernerd.com/stock/tmhc-forecast/" TargetMode="External"/><Relationship Id="rId311" Type="http://schemas.openxmlformats.org/officeDocument/2006/relationships/hyperlink" Target="http://hometriangle.com/" TargetMode="External"/><Relationship Id="rId5562" Type="http://schemas.openxmlformats.org/officeDocument/2006/relationships/hyperlink" Target="https://www.simpleshowing.com/" TargetMode="External"/><Relationship Id="rId6613" Type="http://schemas.openxmlformats.org/officeDocument/2006/relationships/hyperlink" Target="https://consolidatetimes.com/exploring-the-health-advantages-of-regular-sauna-sessions/" TargetMode="External"/><Relationship Id="rId15156" Type="http://schemas.openxmlformats.org/officeDocument/2006/relationships/hyperlink" Target="https://www.simshilditch.com/about-us/journal/building-a-home-to-last/" TargetMode="External"/><Relationship Id="rId16207" Type="http://schemas.openxmlformats.org/officeDocument/2006/relationships/hyperlink" Target="https://myinteriorpalace.com/" TargetMode="External"/><Relationship Id="rId4164" Type="http://schemas.openxmlformats.org/officeDocument/2006/relationships/hyperlink" Target="https://wisepelican.com/real-estate-ce-guide/" TargetMode="External"/><Relationship Id="rId5215" Type="http://schemas.openxmlformats.org/officeDocument/2006/relationships/hyperlink" Target="https://advertisers.mediaradar.com/Top_Financial_and_Real_Estate_Advertisers" TargetMode="External"/><Relationship Id="rId8785" Type="http://schemas.openxmlformats.org/officeDocument/2006/relationships/hyperlink" Target="https://masterrealtysolutions.com/property-investment-101-a-beginner-s-guide-to-getting-started/" TargetMode="External"/><Relationship Id="rId9836" Type="http://schemas.openxmlformats.org/officeDocument/2006/relationships/hyperlink" Target="https://www.unbc.ca/engineering/teacher-resources" TargetMode="External"/><Relationship Id="rId7387" Type="http://schemas.openxmlformats.org/officeDocument/2006/relationships/hyperlink" Target="http://content.yudu.com/A1g103/MOAA0309/resources/60.htm" TargetMode="External"/><Relationship Id="rId8438" Type="http://schemas.openxmlformats.org/officeDocument/2006/relationships/hyperlink" Target="https://www.pinoyeplans.com/" TargetMode="External"/><Relationship Id="rId11766" Type="http://schemas.openxmlformats.org/officeDocument/2006/relationships/hyperlink" Target="https://www.hamiltoninternationalestates.com/" TargetMode="External"/><Relationship Id="rId12817" Type="http://schemas.openxmlformats.org/officeDocument/2006/relationships/hyperlink" Target="https://propertypressonline.co.uk/" TargetMode="External"/><Relationship Id="rId1825" Type="http://schemas.openxmlformats.org/officeDocument/2006/relationships/hyperlink" Target="https://wolfriverelectric.com/" TargetMode="External"/><Relationship Id="rId10368" Type="http://schemas.openxmlformats.org/officeDocument/2006/relationships/hyperlink" Target="https://www.pinoyeplans.com/" TargetMode="External"/><Relationship Id="rId11419" Type="http://schemas.openxmlformats.org/officeDocument/2006/relationships/hyperlink" Target="https://blogs.orgfree.com/should-you-sell-your-house-as-is/" TargetMode="External"/><Relationship Id="rId14989" Type="http://schemas.openxmlformats.org/officeDocument/2006/relationships/hyperlink" Target="https://myinteriorpalace.com/" TargetMode="External"/><Relationship Id="rId3997" Type="http://schemas.openxmlformats.org/officeDocument/2006/relationships/hyperlink" Target="https://www.smartsolarenergyco.com/" TargetMode="External"/><Relationship Id="rId11900" Type="http://schemas.openxmlformats.org/officeDocument/2006/relationships/hyperlink" Target="https://leviton.com/" TargetMode="External"/><Relationship Id="rId2599" Type="http://schemas.openxmlformats.org/officeDocument/2006/relationships/hyperlink" Target="https://www.pulte.com/" TargetMode="External"/><Relationship Id="rId6470" Type="http://schemas.openxmlformats.org/officeDocument/2006/relationships/hyperlink" Target="https://design-milk.com/thermasols-new-saunas-meld-scandinavian-design-with-wellness-innovation/" TargetMode="External"/><Relationship Id="rId7521" Type="http://schemas.openxmlformats.org/officeDocument/2006/relationships/hyperlink" Target="https://valdostadailytimes.com/2024/07/23/taylor-morrison-enlists-community-volunteers-to-help-build-two-new-homes-in-tampa-for-local-families-for-abcs-extreme-makeover-home-edition/" TargetMode="External"/><Relationship Id="rId10502" Type="http://schemas.openxmlformats.org/officeDocument/2006/relationships/hyperlink" Target="https://chemwatch.net/blog/ever-wondered-how-insects-can-walk-on-water/" TargetMode="External"/><Relationship Id="rId16064" Type="http://schemas.openxmlformats.org/officeDocument/2006/relationships/hyperlink" Target="https://www.rwdoors.com/" TargetMode="External"/><Relationship Id="rId5072" Type="http://schemas.openxmlformats.org/officeDocument/2006/relationships/hyperlink" Target="https://www.simpleshowing.com/" TargetMode="External"/><Relationship Id="rId6123" Type="http://schemas.openxmlformats.org/officeDocument/2006/relationships/hyperlink" Target="https://www.99techpost.com/building-healthy-emotional-habits-around-money/" TargetMode="External"/><Relationship Id="rId9693" Type="http://schemas.openxmlformats.org/officeDocument/2006/relationships/hyperlink" Target="https://www.pinoyeplans.com/" TargetMode="External"/><Relationship Id="rId12674" Type="http://schemas.openxmlformats.org/officeDocument/2006/relationships/hyperlink" Target="https://www.shma.co.uk/" TargetMode="External"/><Relationship Id="rId1682" Type="http://schemas.openxmlformats.org/officeDocument/2006/relationships/hyperlink" Target="https://banana1015.com/ixp/691/p/michigan-consumers-gas-bill-increase/" TargetMode="External"/><Relationship Id="rId2733" Type="http://schemas.openxmlformats.org/officeDocument/2006/relationships/hyperlink" Target="https://www.simpleshowing.com/" TargetMode="External"/><Relationship Id="rId8295" Type="http://schemas.openxmlformats.org/officeDocument/2006/relationships/hyperlink" Target="https://www.zestlighting.com.au/" TargetMode="External"/><Relationship Id="rId9346" Type="http://schemas.openxmlformats.org/officeDocument/2006/relationships/hyperlink" Target="https://www.teachengineering.org/" TargetMode="External"/><Relationship Id="rId11276" Type="http://schemas.openxmlformats.org/officeDocument/2006/relationships/hyperlink" Target="https://www.waterdamagespecialist.com.au/" TargetMode="External"/><Relationship Id="rId12327" Type="http://schemas.openxmlformats.org/officeDocument/2006/relationships/hyperlink" Target="https://propertypressonline.co.uk/" TargetMode="External"/><Relationship Id="rId13725" Type="http://schemas.openxmlformats.org/officeDocument/2006/relationships/hyperlink" Target="https://ccr-mag.com/what-services-does-a-commercial-locksmith-provide/" TargetMode="External"/><Relationship Id="rId705" Type="http://schemas.openxmlformats.org/officeDocument/2006/relationships/hyperlink" Target="https://www.carolinadesigns.com/" TargetMode="External"/><Relationship Id="rId1335" Type="http://schemas.openxmlformats.org/officeDocument/2006/relationships/hyperlink" Target="https://www.simpleshowing.com/" TargetMode="External"/><Relationship Id="rId15897" Type="http://schemas.openxmlformats.org/officeDocument/2006/relationships/hyperlink" Target="https://directory.coldlytics.com/companies/raynorkc" TargetMode="External"/><Relationship Id="rId5956" Type="http://schemas.openxmlformats.org/officeDocument/2006/relationships/hyperlink" Target="https://www.simpleshowing.com/" TargetMode="External"/><Relationship Id="rId14499" Type="http://schemas.openxmlformats.org/officeDocument/2006/relationships/hyperlink" Target="http://wilmettechamber.chambermaster.com/list/member/raynor-door-company-536" TargetMode="External"/><Relationship Id="rId41" Type="http://schemas.openxmlformats.org/officeDocument/2006/relationships/hyperlink" Target="http://usefulideas.net/" TargetMode="External"/><Relationship Id="rId4558" Type="http://schemas.openxmlformats.org/officeDocument/2006/relationships/hyperlink" Target="https://www.simpleshowing.com/" TargetMode="External"/><Relationship Id="rId5609" Type="http://schemas.openxmlformats.org/officeDocument/2006/relationships/hyperlink" Target="https://www.thedailymeal.com/holidays/people-you-arent-gifting-gallery/" TargetMode="External"/><Relationship Id="rId7031" Type="http://schemas.openxmlformats.org/officeDocument/2006/relationships/hyperlink" Target="https://www.taylormorrison.com/" TargetMode="External"/><Relationship Id="rId11410" Type="http://schemas.openxmlformats.org/officeDocument/2006/relationships/hyperlink" Target="https://zecommentaires.com/why-fast-house-buyers-are-a-game-changer-in-the-real-estate-market/" TargetMode="External"/><Relationship Id="rId14980" Type="http://schemas.openxmlformats.org/officeDocument/2006/relationships/hyperlink" Target="https://myinteriorpalace.com/" TargetMode="External"/><Relationship Id="rId10012" Type="http://schemas.openxmlformats.org/officeDocument/2006/relationships/hyperlink" Target="https://www.teachengineering.org/" TargetMode="External"/><Relationship Id="rId13582" Type="http://schemas.openxmlformats.org/officeDocument/2006/relationships/hyperlink" Target="https://myinteriorpalace.com/" TargetMode="External"/><Relationship Id="rId14633" Type="http://schemas.openxmlformats.org/officeDocument/2006/relationships/hyperlink" Target="https://www.easygaragedoorrepair.com/" TargetMode="External"/><Relationship Id="rId2590" Type="http://schemas.openxmlformats.org/officeDocument/2006/relationships/hyperlink" Target="https://www.pulte.com/" TargetMode="External"/><Relationship Id="rId3641" Type="http://schemas.openxmlformats.org/officeDocument/2006/relationships/hyperlink" Target="https://www.arlingtoncardinal.com/2011/01/arlington-crossings-offers-new-construction-urban-lifestyle-in-chicagos-northwest-suburb-of-arlington-heights/" TargetMode="External"/><Relationship Id="rId12184" Type="http://schemas.openxmlformats.org/officeDocument/2006/relationships/hyperlink" Target="https://www.bobvila.com/" TargetMode="External"/><Relationship Id="rId13235" Type="http://schemas.openxmlformats.org/officeDocument/2006/relationships/hyperlink" Target="https://www.pureinvestor.co.uk/" TargetMode="External"/><Relationship Id="rId562" Type="http://schemas.openxmlformats.org/officeDocument/2006/relationships/hyperlink" Target="https://www.thepinnaclelist.com/articles/3-premier-oceanfront-communities-for-beachfront-rentals-in-the-outer-banks-north-carolina/" TargetMode="External"/><Relationship Id="rId1192" Type="http://schemas.openxmlformats.org/officeDocument/2006/relationships/hyperlink" Target="https://happy2movelondon.co.uk/r" TargetMode="External"/><Relationship Id="rId2243" Type="http://schemas.openxmlformats.org/officeDocument/2006/relationships/hyperlink" Target="http://www.breken.com/ylm/ylm_comp_detail.aspx?comp_id=654522&amp;name=Cheap+Plumber&amp;f=toronto" TargetMode="External"/><Relationship Id="rId6864" Type="http://schemas.openxmlformats.org/officeDocument/2006/relationships/hyperlink" Target="https://www.simpleshowing.com/" TargetMode="External"/><Relationship Id="rId7915" Type="http://schemas.openxmlformats.org/officeDocument/2006/relationships/hyperlink" Target="https://blog.servicedirect.com/water-damage-website" TargetMode="External"/><Relationship Id="rId215" Type="http://schemas.openxmlformats.org/officeDocument/2006/relationships/hyperlink" Target="http://propertysolvers.co.uk/" TargetMode="External"/><Relationship Id="rId5466" Type="http://schemas.openxmlformats.org/officeDocument/2006/relationships/hyperlink" Target="https://www.simpleshowing.com/" TargetMode="External"/><Relationship Id="rId6517" Type="http://schemas.openxmlformats.org/officeDocument/2006/relationships/hyperlink" Target="https://www.thermasol.com/" TargetMode="External"/><Relationship Id="rId4068" Type="http://schemas.openxmlformats.org/officeDocument/2006/relationships/hyperlink" Target="https://www.kapre.com/" TargetMode="External"/><Relationship Id="rId5119" Type="http://schemas.openxmlformats.org/officeDocument/2006/relationships/hyperlink" Target="https://www.activatedscale.com/blog/best-debt-relief-companies" TargetMode="External"/><Relationship Id="rId8689" Type="http://schemas.openxmlformats.org/officeDocument/2006/relationships/hyperlink" Target="https://bloomstonehome.com/cost-effective-flooring-solutions-for-home-redesign-enthusiasts/" TargetMode="External"/><Relationship Id="rId14490" Type="http://schemas.openxmlformats.org/officeDocument/2006/relationships/hyperlink" Target="https://musicthinktank.squarespace.com/blog/music-venue-maintenance-4-areas-for-owners-to-focus-on.html" TargetMode="External"/><Relationship Id="rId15541" Type="http://schemas.openxmlformats.org/officeDocument/2006/relationships/hyperlink" Target="https://myinteriorpalace.com/" TargetMode="External"/><Relationship Id="rId1729" Type="http://schemas.openxmlformats.org/officeDocument/2006/relationships/hyperlink" Target="https://wolfriverelectric.com/" TargetMode="External"/><Relationship Id="rId5600" Type="http://schemas.openxmlformats.org/officeDocument/2006/relationships/hyperlink" Target="https://www.simpleshowing.com/" TargetMode="External"/><Relationship Id="rId13092" Type="http://schemas.openxmlformats.org/officeDocument/2006/relationships/hyperlink" Target="https://www.bitc.org.uk/joanna-deffley/" TargetMode="External"/><Relationship Id="rId14143" Type="http://schemas.openxmlformats.org/officeDocument/2006/relationships/hyperlink" Target="https://myinteriorpalace.com/" TargetMode="External"/><Relationship Id="rId3151" Type="http://schemas.openxmlformats.org/officeDocument/2006/relationships/hyperlink" Target="https://www.pulte.com/" TargetMode="External"/><Relationship Id="rId4202" Type="http://schemas.openxmlformats.org/officeDocument/2006/relationships/hyperlink" Target="https://www.kapre.com/" TargetMode="External"/><Relationship Id="rId7772" Type="http://schemas.openxmlformats.org/officeDocument/2006/relationships/hyperlink" Target="https://simpleshowing.ghost.io/top-new-home-communities-in-atlanta/" TargetMode="External"/><Relationship Id="rId8823" Type="http://schemas.openxmlformats.org/officeDocument/2006/relationships/hyperlink" Target="https://www.pinoyeplans.com/" TargetMode="External"/><Relationship Id="rId10753" Type="http://schemas.openxmlformats.org/officeDocument/2006/relationships/hyperlink" Target="https://www.teachengineering.org/" TargetMode="External"/><Relationship Id="rId6374" Type="http://schemas.openxmlformats.org/officeDocument/2006/relationships/hyperlink" Target="https://www.simpleshowing.com/" TargetMode="External"/><Relationship Id="rId7425" Type="http://schemas.openxmlformats.org/officeDocument/2006/relationships/hyperlink" Target="https://www.wthr.com/article/money/consumer/taylor-morrison-files-complaint-against-home-inspector-who-posts-videos-of-inspections-on-social-media/75-fc64bf74-360c-4f54-ac08-1d79f2af1d67" TargetMode="External"/><Relationship Id="rId10406" Type="http://schemas.openxmlformats.org/officeDocument/2006/relationships/hyperlink" Target="https://www.americanvisionwindows.com/all-about-wind-energy/" TargetMode="External"/><Relationship Id="rId11804" Type="http://schemas.openxmlformats.org/officeDocument/2006/relationships/hyperlink" Target="https://www-ft-com.ezproxy.brunel.ac.uk/content/0ae64e5a-ba98-11e9-8a88-aa6628ac896c" TargetMode="External"/><Relationship Id="rId6027" Type="http://schemas.openxmlformats.org/officeDocument/2006/relationships/hyperlink" Target="https://agirlworthsaving.net/what-exactly-is-debt-relief/" TargetMode="External"/><Relationship Id="rId9597" Type="http://schemas.openxmlformats.org/officeDocument/2006/relationships/hyperlink" Target="https://www.pinoyeplans.com/" TargetMode="External"/><Relationship Id="rId13976" Type="http://schemas.openxmlformats.org/officeDocument/2006/relationships/hyperlink" Target="https://faheyroofingcontractors.com/" TargetMode="External"/><Relationship Id="rId1586" Type="http://schemas.openxmlformats.org/officeDocument/2006/relationships/hyperlink" Target="https://www.nationalworld.com/lifestyle/money/data-reveals-uk-regions-where-driving-electric-saves-the-most-5178387" TargetMode="External"/><Relationship Id="rId2984" Type="http://schemas.openxmlformats.org/officeDocument/2006/relationships/hyperlink" Target="https://www.ocregister.com/2015/04/24/pulte-homes-life-tested-homes-deliver-innovative-options-to-inland-empire-families/" TargetMode="External"/><Relationship Id="rId8199" Type="http://schemas.openxmlformats.org/officeDocument/2006/relationships/hyperlink" Target="https://smaarchviz.com/" TargetMode="External"/><Relationship Id="rId12578" Type="http://schemas.openxmlformats.org/officeDocument/2006/relationships/hyperlink" Target="https://www.shma.co.uk/" TargetMode="External"/><Relationship Id="rId13629" Type="http://schemas.openxmlformats.org/officeDocument/2006/relationships/hyperlink" Target="https://breakingac.com/news/2026/feb/22/can-diamonds-still-be-considered-a-long-term-investment/" TargetMode="External"/><Relationship Id="rId15051" Type="http://schemas.openxmlformats.org/officeDocument/2006/relationships/hyperlink" Target="https://www.bostonbrandmedia.com/news/6-on-trend-coffee-table-styles" TargetMode="External"/><Relationship Id="rId609" Type="http://schemas.openxmlformats.org/officeDocument/2006/relationships/hyperlink" Target="https://www.carolinadesigns.com/" TargetMode="External"/><Relationship Id="rId956" Type="http://schemas.openxmlformats.org/officeDocument/2006/relationships/hyperlink" Target="https://homeworlddesign.com/the-best-home-upgrades-for-growing-families/" TargetMode="External"/><Relationship Id="rId1239" Type="http://schemas.openxmlformats.org/officeDocument/2006/relationships/hyperlink" Target="https://www.simpleshowing.com/" TargetMode="External"/><Relationship Id="rId2637" Type="http://schemas.openxmlformats.org/officeDocument/2006/relationships/hyperlink" Target="https://www.simpleshowing.com/" TargetMode="External"/><Relationship Id="rId5110" Type="http://schemas.openxmlformats.org/officeDocument/2006/relationships/hyperlink" Target="https://www.simpleshowing.com/" TargetMode="External"/><Relationship Id="rId16102" Type="http://schemas.openxmlformats.org/officeDocument/2006/relationships/hyperlink" Target="https://myinteriorpalace.com/" TargetMode="External"/><Relationship Id="rId8680" Type="http://schemas.openxmlformats.org/officeDocument/2006/relationships/hyperlink" Target="https://www.lukearthurwells.com/my-house/small-courtyard-garden-before-and-after" TargetMode="External"/><Relationship Id="rId9731" Type="http://schemas.openxmlformats.org/officeDocument/2006/relationships/hyperlink" Target="https://brittanywashburn.com/2021/07/unplugged-technology-activities/" TargetMode="External"/><Relationship Id="rId11661" Type="http://schemas.openxmlformats.org/officeDocument/2006/relationships/hyperlink" Target="https://www.hamiltoninternationalestates.com/" TargetMode="External"/><Relationship Id="rId12712" Type="http://schemas.openxmlformats.org/officeDocument/2006/relationships/hyperlink" Target="https://propertypressonline.co.uk/" TargetMode="External"/><Relationship Id="rId1720" Type="http://schemas.openxmlformats.org/officeDocument/2006/relationships/hyperlink" Target="https://wolfriverelectric.com/" TargetMode="External"/><Relationship Id="rId7282" Type="http://schemas.openxmlformats.org/officeDocument/2006/relationships/hyperlink" Target="https://texasoutside.com/golfing/golf-communities/" TargetMode="External"/><Relationship Id="rId8333" Type="http://schemas.openxmlformats.org/officeDocument/2006/relationships/hyperlink" Target="https://www.pinoyeplans.com/" TargetMode="External"/><Relationship Id="rId10263" Type="http://schemas.openxmlformats.org/officeDocument/2006/relationships/hyperlink" Target="https://www.pinoyeplans.com/" TargetMode="External"/><Relationship Id="rId11314" Type="http://schemas.openxmlformats.org/officeDocument/2006/relationships/hyperlink" Target="https://www.hamiltoninternationalestates.com/" TargetMode="External"/><Relationship Id="rId14884" Type="http://schemas.openxmlformats.org/officeDocument/2006/relationships/hyperlink" Target="https://myinteriorpalace.com/" TargetMode="External"/><Relationship Id="rId3892" Type="http://schemas.openxmlformats.org/officeDocument/2006/relationships/hyperlink" Target="https://thecoverguy.com/" TargetMode="External"/><Relationship Id="rId4943" Type="http://schemas.openxmlformats.org/officeDocument/2006/relationships/hyperlink" Target="https://syg.ma/@renb-social/seo-services-for-real-estate-keywords-that-close-deals" TargetMode="External"/><Relationship Id="rId13486" Type="http://schemas.openxmlformats.org/officeDocument/2006/relationships/hyperlink" Target="https://myinteriorpalace.com/" TargetMode="External"/><Relationship Id="rId14537" Type="http://schemas.openxmlformats.org/officeDocument/2006/relationships/hyperlink" Target="https://www.easygaragedoorrepair.com/" TargetMode="External"/><Relationship Id="rId15935" Type="http://schemas.openxmlformats.org/officeDocument/2006/relationships/hyperlink" Target="https://www.rwdoors.com/" TargetMode="External"/><Relationship Id="rId2494" Type="http://schemas.openxmlformats.org/officeDocument/2006/relationships/hyperlink" Target="https://www.pulte.com/" TargetMode="External"/><Relationship Id="rId3545" Type="http://schemas.openxmlformats.org/officeDocument/2006/relationships/hyperlink" Target="https://zillow.mediaroom.com/2011-11-01-Zillow-and-Pulte-Homes-to-Give-Away-350-000-House-in-Life-Changing-I-Want-a-New-Home-Sweepstakes" TargetMode="External"/><Relationship Id="rId12088" Type="http://schemas.openxmlformats.org/officeDocument/2006/relationships/hyperlink" Target="https://www.bobvila.com/" TargetMode="External"/><Relationship Id="rId13139" Type="http://schemas.openxmlformats.org/officeDocument/2006/relationships/hyperlink" Target="https://www.shma.co.uk/" TargetMode="External"/><Relationship Id="rId466" Type="http://schemas.openxmlformats.org/officeDocument/2006/relationships/hyperlink" Target="https://www.daytranslations.com/blog/how-multilingual-communication-enhances-the-travel-experience-for-global-tourists/" TargetMode="External"/><Relationship Id="rId1096" Type="http://schemas.openxmlformats.org/officeDocument/2006/relationships/hyperlink" Target="https://www.matrixbasements.com/" TargetMode="External"/><Relationship Id="rId2147" Type="http://schemas.openxmlformats.org/officeDocument/2006/relationships/hyperlink" Target="https://ceocolumn.com/blog/leadership-lessons-from-the-real-estate-market-when-to-hold-and-when-to-list/" TargetMode="External"/><Relationship Id="rId119" Type="http://schemas.openxmlformats.org/officeDocument/2006/relationships/hyperlink" Target="https://www.realtyexecutives.com/" TargetMode="External"/><Relationship Id="rId6768" Type="http://schemas.openxmlformats.org/officeDocument/2006/relationships/hyperlink" Target="https://www.simpleshowing.com/" TargetMode="External"/><Relationship Id="rId7819" Type="http://schemas.openxmlformats.org/officeDocument/2006/relationships/hyperlink" Target="https://news.gsu.edu/2024/04/09/national-geographic-internship-drives-history-major-to-continue-conservation-work/" TargetMode="External"/><Relationship Id="rId8190" Type="http://schemas.openxmlformats.org/officeDocument/2006/relationships/hyperlink" Target="https://smaarchviz.com/" TargetMode="External"/><Relationship Id="rId9241" Type="http://schemas.openxmlformats.org/officeDocument/2006/relationships/hyperlink" Target="https://scgmn.com/" TargetMode="External"/><Relationship Id="rId13620" Type="http://schemas.openxmlformats.org/officeDocument/2006/relationships/hyperlink" Target="https://fn29f.mssg.me/" TargetMode="External"/><Relationship Id="rId11171" Type="http://schemas.openxmlformats.org/officeDocument/2006/relationships/hyperlink" Target="https://www.greekexclusiveproperties.com/where-mold-hides-after-floods-in-sydney-reveals/" TargetMode="External"/><Relationship Id="rId12222" Type="http://schemas.openxmlformats.org/officeDocument/2006/relationships/hyperlink" Target="https://propertypressonline.co.uk/" TargetMode="External"/><Relationship Id="rId15792" Type="http://schemas.openxmlformats.org/officeDocument/2006/relationships/hyperlink" Target="https://www.brisbane-australia.com/directory/home-services-renovation/interior-design/modinex" TargetMode="External"/><Relationship Id="rId600" Type="http://schemas.openxmlformats.org/officeDocument/2006/relationships/hyperlink" Target="https://www.carolinadesigns.com/" TargetMode="External"/><Relationship Id="rId1230" Type="http://schemas.openxmlformats.org/officeDocument/2006/relationships/hyperlink" Target="https://www.simpleshowing.com/" TargetMode="External"/><Relationship Id="rId5851" Type="http://schemas.openxmlformats.org/officeDocument/2006/relationships/hyperlink" Target="https://www.vbout.com/blog/8-techniques-for-using-ai-powered-chatbots-to-improve-client-communication-in-financial-services/" TargetMode="External"/><Relationship Id="rId6902" Type="http://schemas.openxmlformats.org/officeDocument/2006/relationships/hyperlink" Target="https://mergr.com/companies/construction/united-states/arizona" TargetMode="External"/><Relationship Id="rId14394" Type="http://schemas.openxmlformats.org/officeDocument/2006/relationships/hyperlink" Target="https://www.offthemrkt.com/lifestyle/solar-energy-and-ev-charging-why-contractors-are-pairing-panels-with-home-charging-stations" TargetMode="External"/><Relationship Id="rId15445" Type="http://schemas.openxmlformats.org/officeDocument/2006/relationships/hyperlink" Target="https://myinteriorpalace.com/" TargetMode="External"/><Relationship Id="rId4453" Type="http://schemas.openxmlformats.org/officeDocument/2006/relationships/hyperlink" Target="https://www.simpleshowing.com/" TargetMode="External"/><Relationship Id="rId5504" Type="http://schemas.openxmlformats.org/officeDocument/2006/relationships/hyperlink" Target="https://www.simpleshowing.com/" TargetMode="External"/><Relationship Id="rId14047" Type="http://schemas.openxmlformats.org/officeDocument/2006/relationships/hyperlink" Target="https://myinteriorpalace.com/" TargetMode="External"/><Relationship Id="rId3055" Type="http://schemas.openxmlformats.org/officeDocument/2006/relationships/hyperlink" Target="https://www.pulte.com/" TargetMode="External"/><Relationship Id="rId4106" Type="http://schemas.openxmlformats.org/officeDocument/2006/relationships/hyperlink" Target="https://www.kapre.com/" TargetMode="External"/><Relationship Id="rId7676" Type="http://schemas.openxmlformats.org/officeDocument/2006/relationships/hyperlink" Target="https://discoverlakelanier.com/" TargetMode="External"/><Relationship Id="rId8727" Type="http://schemas.openxmlformats.org/officeDocument/2006/relationships/hyperlink" Target="https://roof-troopers.com/" TargetMode="External"/><Relationship Id="rId6278" Type="http://schemas.openxmlformats.org/officeDocument/2006/relationships/hyperlink" Target="https://www.simpleshowing.com/" TargetMode="External"/><Relationship Id="rId7329" Type="http://schemas.openxmlformats.org/officeDocument/2006/relationships/hyperlink" Target="https://www.simpleshowing.com/" TargetMode="External"/><Relationship Id="rId10657" Type="http://schemas.openxmlformats.org/officeDocument/2006/relationships/hyperlink" Target="https://www.teachengineering.org/" TargetMode="External"/><Relationship Id="rId11708" Type="http://schemas.openxmlformats.org/officeDocument/2006/relationships/hyperlink" Target="https://anglotopia.net/news-features/britains-favourite-energy-supplier-set-to-offer-113-more-new-zero-bills-homes-in-2025/" TargetMode="External"/><Relationship Id="rId13130" Type="http://schemas.openxmlformats.org/officeDocument/2006/relationships/hyperlink" Target="https://www.shma.co.uk/" TargetMode="External"/><Relationship Id="rId110" Type="http://schemas.openxmlformats.org/officeDocument/2006/relationships/hyperlink" Target="https://www.debtfreedr.com/" TargetMode="External"/><Relationship Id="rId2888" Type="http://schemas.openxmlformats.org/officeDocument/2006/relationships/hyperlink" Target="https://meyerlucas.com/neighborhoods/mirasol" TargetMode="External"/><Relationship Id="rId3939" Type="http://schemas.openxmlformats.org/officeDocument/2006/relationships/hyperlink" Target="https://www.simpleshowing.com/" TargetMode="External"/><Relationship Id="rId7810" Type="http://schemas.openxmlformats.org/officeDocument/2006/relationships/hyperlink" Target="https://upgradedpoints.com/travel/best-beaches-in-georgia/" TargetMode="External"/><Relationship Id="rId5361" Type="http://schemas.openxmlformats.org/officeDocument/2006/relationships/hyperlink" Target="https://elasticemail.com/blog/subject-lines-that-work-10-tips-to-skyrocket-open-rates" TargetMode="External"/><Relationship Id="rId6412" Type="http://schemas.openxmlformats.org/officeDocument/2006/relationships/hyperlink" Target="https://www.simpleshowing.com/" TargetMode="External"/><Relationship Id="rId9982" Type="http://schemas.openxmlformats.org/officeDocument/2006/relationships/hyperlink" Target="https://www.teachengineering.org/" TargetMode="External"/><Relationship Id="rId12963" Type="http://schemas.openxmlformats.org/officeDocument/2006/relationships/hyperlink" Target="https://www.mylocalservices.co.uk/Shakespeare+Martineau+Solicitors-London-3345541.html" TargetMode="External"/><Relationship Id="rId16006" Type="http://schemas.openxmlformats.org/officeDocument/2006/relationships/hyperlink" Target="https://myinteriorpalace.com/" TargetMode="External"/><Relationship Id="rId1971" Type="http://schemas.openxmlformats.org/officeDocument/2006/relationships/hyperlink" Target="https://www.simpleshowing.com/" TargetMode="External"/><Relationship Id="rId5014" Type="http://schemas.openxmlformats.org/officeDocument/2006/relationships/hyperlink" Target="https://www.simpleshowing.com/" TargetMode="External"/><Relationship Id="rId8584" Type="http://schemas.openxmlformats.org/officeDocument/2006/relationships/hyperlink" Target="https://www.realestate.com.au/agency/buyers-advocate-hawthorn-NITYER" TargetMode="External"/><Relationship Id="rId9635" Type="http://schemas.openxmlformats.org/officeDocument/2006/relationships/hyperlink" Target="https://www.mhelpdesk.com/girls-in-stem/" TargetMode="External"/><Relationship Id="rId11565" Type="http://schemas.openxmlformats.org/officeDocument/2006/relationships/hyperlink" Target="https://www.hamiltoninternationalestates.com/" TargetMode="External"/><Relationship Id="rId12616" Type="http://schemas.openxmlformats.org/officeDocument/2006/relationships/hyperlink" Target="https://propertypressonline.co.uk/" TargetMode="External"/><Relationship Id="rId1624" Type="http://schemas.openxmlformats.org/officeDocument/2006/relationships/hyperlink" Target="https://wolfriverelectric.com/" TargetMode="External"/><Relationship Id="rId7186" Type="http://schemas.openxmlformats.org/officeDocument/2006/relationships/hyperlink" Target="https://www.taylormorrison.com/" TargetMode="External"/><Relationship Id="rId8237" Type="http://schemas.openxmlformats.org/officeDocument/2006/relationships/hyperlink" Target="https://www.pinoyeplans.com/" TargetMode="External"/><Relationship Id="rId10167" Type="http://schemas.openxmlformats.org/officeDocument/2006/relationships/hyperlink" Target="https://www.pinoyeplans.com/" TargetMode="External"/><Relationship Id="rId11218" Type="http://schemas.openxmlformats.org/officeDocument/2006/relationships/hyperlink" Target="https://michiganmamanews.com/2025/09/03/americas-rainiest-cities-revealed-where-summer-downpours-hit-the-hardest-muskegon-leads-in-michigan/" TargetMode="External"/><Relationship Id="rId3796" Type="http://schemas.openxmlformats.org/officeDocument/2006/relationships/hyperlink" Target="https://thecoverguy.com/" TargetMode="External"/><Relationship Id="rId14788" Type="http://schemas.openxmlformats.org/officeDocument/2006/relationships/hyperlink" Target="https://myinteriorpalace.com/" TargetMode="External"/><Relationship Id="rId15839" Type="http://schemas.openxmlformats.org/officeDocument/2006/relationships/hyperlink" Target="https://www.modinex.com.au/" TargetMode="External"/><Relationship Id="rId2398" Type="http://schemas.openxmlformats.org/officeDocument/2006/relationships/hyperlink" Target="https://www.pulte.com/" TargetMode="External"/><Relationship Id="rId3449" Type="http://schemas.openxmlformats.org/officeDocument/2006/relationships/hyperlink" Target="https://yourdigitalteam.pdqs.mobi/southridge-by-pulte-homes/" TargetMode="External"/><Relationship Id="rId4847" Type="http://schemas.openxmlformats.org/officeDocument/2006/relationships/hyperlink" Target="https://www.iovox.com/blog/real-estate-marketing" TargetMode="External"/><Relationship Id="rId7320" Type="http://schemas.openxmlformats.org/officeDocument/2006/relationships/hyperlink" Target="https://www.simpleshowing.com/" TargetMode="External"/><Relationship Id="rId10301" Type="http://schemas.openxmlformats.org/officeDocument/2006/relationships/hyperlink" Target="https://evolution-outreach.biomedcentral.com/articles/10.1186/s12052-024-00211-2" TargetMode="External"/><Relationship Id="rId13871" Type="http://schemas.openxmlformats.org/officeDocument/2006/relationships/hyperlink" Target="https://embeltonflooring.com/" TargetMode="External"/><Relationship Id="rId14922" Type="http://schemas.openxmlformats.org/officeDocument/2006/relationships/hyperlink" Target="https://4.bing.com/images/search?q=Whole+House+Water+Booster+Pump&amp;FORM=RESTAB&amp;qft=%2Bfilterui%3Aface-face" TargetMode="External"/><Relationship Id="rId3930" Type="http://schemas.openxmlformats.org/officeDocument/2006/relationships/hyperlink" Target="https://www.simpleshowing.com/" TargetMode="External"/><Relationship Id="rId8094" Type="http://schemas.openxmlformats.org/officeDocument/2006/relationships/hyperlink" Target="https://whiteglovemoving.us/" TargetMode="External"/><Relationship Id="rId9492" Type="http://schemas.openxmlformats.org/officeDocument/2006/relationships/hyperlink" Target="https://www.pinoyeplans.com/" TargetMode="External"/><Relationship Id="rId12473" Type="http://schemas.openxmlformats.org/officeDocument/2006/relationships/hyperlink" Target="https://www.dur.ac.uk/colleges-and-student-experience/housing-hub/student-lettings-code-of-practice/" TargetMode="External"/><Relationship Id="rId13524" Type="http://schemas.openxmlformats.org/officeDocument/2006/relationships/hyperlink" Target="https://theprothots.com/what-weather-actually-does-to-hard-surfaces/" TargetMode="External"/><Relationship Id="rId851" Type="http://schemas.openxmlformats.org/officeDocument/2006/relationships/hyperlink" Target="https://ecogardener.com/blogs/news/how-seasonal-changes-affect-pests" TargetMode="External"/><Relationship Id="rId1481" Type="http://schemas.openxmlformats.org/officeDocument/2006/relationships/hyperlink" Target="https://directory.yext.com/en/rite-window-of-massachusetts-3661084814" TargetMode="External"/><Relationship Id="rId2532" Type="http://schemas.openxmlformats.org/officeDocument/2006/relationships/hyperlink" Target="https://www.simpleshowing.com/" TargetMode="External"/><Relationship Id="rId9145" Type="http://schemas.openxmlformats.org/officeDocument/2006/relationships/hyperlink" Target="https://nycestimating.us/" TargetMode="External"/><Relationship Id="rId11075" Type="http://schemas.openxmlformats.org/officeDocument/2006/relationships/hyperlink" Target="https://nairs.mufaculty.umsystem.edu/training-and-outreach/microcredentials-for-courses-and-self-learning" TargetMode="External"/><Relationship Id="rId12126" Type="http://schemas.openxmlformats.org/officeDocument/2006/relationships/hyperlink" Target="https://www.hamiltoninternationalestates.com/" TargetMode="External"/><Relationship Id="rId15696" Type="http://schemas.openxmlformats.org/officeDocument/2006/relationships/hyperlink" Target="https://www.bbntimes.com/society/how-timber-cladding-performs-in-coastal-environments" TargetMode="External"/><Relationship Id="rId504" Type="http://schemas.openxmlformats.org/officeDocument/2006/relationships/hyperlink" Target="https://www.carolinadesigns.com/" TargetMode="External"/><Relationship Id="rId1134" Type="http://schemas.openxmlformats.org/officeDocument/2006/relationships/hyperlink" Target="https://www.simpleshowing.com/" TargetMode="External"/><Relationship Id="rId5755" Type="http://schemas.openxmlformats.org/officeDocument/2006/relationships/hyperlink" Target="https://www.uplyftcapital.com/small-business-blog/ppp-loan-forgiveness-misconceptions" TargetMode="External"/><Relationship Id="rId6806" Type="http://schemas.openxmlformats.org/officeDocument/2006/relationships/hyperlink" Target="https://www.austinrealestate.com/travisso.php" TargetMode="External"/><Relationship Id="rId14298" Type="http://schemas.openxmlformats.org/officeDocument/2006/relationships/hyperlink" Target="https://www.outerreefyachts.com/news/outer-reef-780-adventure-powers-ahead/5955" TargetMode="External"/><Relationship Id="rId15349" Type="http://schemas.openxmlformats.org/officeDocument/2006/relationships/hyperlink" Target="https://myinteriorpalace.com/" TargetMode="External"/><Relationship Id="rId4357" Type="http://schemas.openxmlformats.org/officeDocument/2006/relationships/hyperlink" Target="https://www.simpleshowing.com/" TargetMode="External"/><Relationship Id="rId5408" Type="http://schemas.openxmlformats.org/officeDocument/2006/relationships/hyperlink" Target="https://www.simpleshowing.com/" TargetMode="External"/><Relationship Id="rId8978" Type="http://schemas.openxmlformats.org/officeDocument/2006/relationships/hyperlink" Target="https://www.easygrader.net/blog/the-importance-of-accurate-construction-estimation-in-modern-projects/" TargetMode="External"/><Relationship Id="rId11959" Type="http://schemas.openxmlformats.org/officeDocument/2006/relationships/hyperlink" Target="https://www.bobvila.com/" TargetMode="External"/><Relationship Id="rId15830" Type="http://schemas.openxmlformats.org/officeDocument/2006/relationships/hyperlink" Target="https://www.modinex.com.au/" TargetMode="External"/><Relationship Id="rId13381" Type="http://schemas.openxmlformats.org/officeDocument/2006/relationships/hyperlink" Target="https://myinteriorpalace.com/" TargetMode="External"/><Relationship Id="rId14432" Type="http://schemas.openxmlformats.org/officeDocument/2006/relationships/hyperlink" Target="https://milehighhottub.com/" TargetMode="External"/><Relationship Id="rId361" Type="http://schemas.openxmlformats.org/officeDocument/2006/relationships/hyperlink" Target="https://www.copypress.com/blog/realtors-what-you-should-be-blogging-about" TargetMode="External"/><Relationship Id="rId2042" Type="http://schemas.openxmlformats.org/officeDocument/2006/relationships/hyperlink" Target="https://glowtechy.com/tech-essentials-new-homeowners-smart-living-guide/" TargetMode="External"/><Relationship Id="rId3440" Type="http://schemas.openxmlformats.org/officeDocument/2006/relationships/hyperlink" Target="https://web.dallasbuilders.org/BUILDERS-RESIDENTIAL/Carson-Henderson-9269" TargetMode="External"/><Relationship Id="rId13034" Type="http://schemas.openxmlformats.org/officeDocument/2006/relationships/hyperlink" Target="https://www.shma.co.uk/" TargetMode="External"/><Relationship Id="rId6663" Type="http://schemas.openxmlformats.org/officeDocument/2006/relationships/hyperlink" Target="https://www.twpinc.com/blog/how-to-squirrel-proof-your-home--yard-with-wire-mesh-screens.html" TargetMode="External"/><Relationship Id="rId7714" Type="http://schemas.openxmlformats.org/officeDocument/2006/relationships/hyperlink" Target="https://www.simpleshowing.com/" TargetMode="External"/><Relationship Id="rId16257" Type="http://schemas.openxmlformats.org/officeDocument/2006/relationships/hyperlink" Target="https://elth.ucv.ro/?e=505760913" TargetMode="External"/><Relationship Id="rId5265" Type="http://schemas.openxmlformats.org/officeDocument/2006/relationships/hyperlink" Target="https://www.newsgram.com/business/2023/08/29/key-factors-to-consider-before-investing-in-a-crypto" TargetMode="External"/><Relationship Id="rId6316" Type="http://schemas.openxmlformats.org/officeDocument/2006/relationships/hyperlink" Target="https://www.simpleshowing.com/" TargetMode="External"/><Relationship Id="rId9886" Type="http://schemas.openxmlformats.org/officeDocument/2006/relationships/hyperlink" Target="https://www.teachengineering.org/" TargetMode="External"/><Relationship Id="rId1875" Type="http://schemas.openxmlformats.org/officeDocument/2006/relationships/hyperlink" Target="https://www.simpleshowing.com/" TargetMode="External"/><Relationship Id="rId8488" Type="http://schemas.openxmlformats.org/officeDocument/2006/relationships/hyperlink" Target="https://www.modernistic.com/mod-blog/360-immersion-for-real-estate-and-business-virtual-tour-services-today/" TargetMode="External"/><Relationship Id="rId9539" Type="http://schemas.openxmlformats.org/officeDocument/2006/relationships/hyperlink" Target="https://thecanadianhomeschooler.com/grade-7-learn-at-home-plan/" TargetMode="External"/><Relationship Id="rId11469" Type="http://schemas.openxmlformats.org/officeDocument/2006/relationships/hyperlink" Target="https://sellhousefast.uk/" TargetMode="External"/><Relationship Id="rId12867" Type="http://schemas.openxmlformats.org/officeDocument/2006/relationships/hyperlink" Target="https://www.teamengland.org/news/uniting-staff-and-promoting-talent-development" TargetMode="External"/><Relationship Id="rId13918" Type="http://schemas.openxmlformats.org/officeDocument/2006/relationships/hyperlink" Target="https://myinteriorpalace.com/" TargetMode="External"/><Relationship Id="rId15340" Type="http://schemas.openxmlformats.org/officeDocument/2006/relationships/hyperlink" Target="https://myinteriorpalace.com/" TargetMode="External"/><Relationship Id="rId1528" Type="http://schemas.openxmlformats.org/officeDocument/2006/relationships/hyperlink" Target="https://wolfriverelectric.com/" TargetMode="External"/><Relationship Id="rId2926" Type="http://schemas.openxmlformats.org/officeDocument/2006/relationships/hyperlink" Target="https://www.pulte.com/" TargetMode="External"/><Relationship Id="rId4001" Type="http://schemas.openxmlformats.org/officeDocument/2006/relationships/hyperlink" Target="https://pdxtoday.6amcity.com/city/residential-solar-panels-regulations-portland" TargetMode="External"/><Relationship Id="rId11950" Type="http://schemas.openxmlformats.org/officeDocument/2006/relationships/hyperlink" Target="https://www.bobvila.com/" TargetMode="External"/><Relationship Id="rId6173" Type="http://schemas.openxmlformats.org/officeDocument/2006/relationships/hyperlink" Target="https://www.mywowhealth.com/why-wow-health-is-the-leading-tax-plan-savings-agency-with-0-healthcare-benefits/" TargetMode="External"/><Relationship Id="rId7571" Type="http://schemas.openxmlformats.org/officeDocument/2006/relationships/hyperlink" Target="https://www.taylormorrison.com/" TargetMode="External"/><Relationship Id="rId8622" Type="http://schemas.openxmlformats.org/officeDocument/2006/relationships/hyperlink" Target="https://aucklandpremiumpainters.co.nz/" TargetMode="External"/><Relationship Id="rId10552" Type="http://schemas.openxmlformats.org/officeDocument/2006/relationships/hyperlink" Target="https://www.teachengineering.org/" TargetMode="External"/><Relationship Id="rId11603" Type="http://schemas.openxmlformats.org/officeDocument/2006/relationships/hyperlink" Target="https://www.ceotodaymagazine.com/2025/09/how-japanese-minimalist-design-creates-a-luxury-aesthetic-in-any-space/" TargetMode="External"/><Relationship Id="rId7224" Type="http://schemas.openxmlformats.org/officeDocument/2006/relationships/hyperlink" Target="https://www.simpleshowing.com/" TargetMode="External"/><Relationship Id="rId10205" Type="http://schemas.openxmlformats.org/officeDocument/2006/relationships/hyperlink" Target="https://towcenter.gitbooks.io/guide-to-journalism-and-design/content/citations/" TargetMode="External"/><Relationship Id="rId13775" Type="http://schemas.openxmlformats.org/officeDocument/2006/relationships/hyperlink" Target="https://anationofmoms.com/" TargetMode="External"/><Relationship Id="rId14826" Type="http://schemas.openxmlformats.org/officeDocument/2006/relationships/hyperlink" Target="https://buy.nsw.gov.au/supplier/profile/182431" TargetMode="External"/><Relationship Id="rId2783" Type="http://schemas.openxmlformats.org/officeDocument/2006/relationships/hyperlink" Target="https://nationalland.com/blog/national-land-realty-hosts-inaugural-golf-tournament/" TargetMode="External"/><Relationship Id="rId3834" Type="http://schemas.openxmlformats.org/officeDocument/2006/relationships/hyperlink" Target="https://www.simpleshowing.com/" TargetMode="External"/><Relationship Id="rId9396" Type="http://schemas.openxmlformats.org/officeDocument/2006/relationships/hyperlink" Target="https://www.pinoyeplans.com/" TargetMode="External"/><Relationship Id="rId12377" Type="http://schemas.openxmlformats.org/officeDocument/2006/relationships/hyperlink" Target="https://brickflow.com/bristol" TargetMode="External"/><Relationship Id="rId13428" Type="http://schemas.openxmlformats.org/officeDocument/2006/relationships/hyperlink" Target="https://raisingarrows.net/is-there-anything-worse-than-this/" TargetMode="External"/><Relationship Id="rId755" Type="http://schemas.openxmlformats.org/officeDocument/2006/relationships/hyperlink" Target="https://www.simpleshowing.com/" TargetMode="External"/><Relationship Id="rId1385" Type="http://schemas.openxmlformats.org/officeDocument/2006/relationships/hyperlink" Target="https://www.callrevise.com/our-story/" TargetMode="External"/><Relationship Id="rId2436" Type="http://schemas.openxmlformats.org/officeDocument/2006/relationships/hyperlink" Target="https://www.simpleshowing.com/" TargetMode="External"/><Relationship Id="rId9049" Type="http://schemas.openxmlformats.org/officeDocument/2006/relationships/hyperlink" Target="https://nycestimating.us/" TargetMode="External"/><Relationship Id="rId91" Type="http://schemas.openxmlformats.org/officeDocument/2006/relationships/hyperlink" Target="http://metaldevastationradio.com/" TargetMode="External"/><Relationship Id="rId408" Type="http://schemas.openxmlformats.org/officeDocument/2006/relationships/hyperlink" Target="http://northernvirginiahomepro.com/" TargetMode="External"/><Relationship Id="rId1038" Type="http://schemas.openxmlformats.org/officeDocument/2006/relationships/hyperlink" Target="https://www.simpleshowing.com/" TargetMode="External"/><Relationship Id="rId5659" Type="http://schemas.openxmlformats.org/officeDocument/2006/relationships/hyperlink" Target="https://www.derektime.com/how-to-handle-collection-calls-legally/" TargetMode="External"/><Relationship Id="rId9530" Type="http://schemas.openxmlformats.org/officeDocument/2006/relationships/hyperlink" Target="https://www.afterschoolalliance.org/loaSTEM.cfm" TargetMode="External"/><Relationship Id="rId7081" Type="http://schemas.openxmlformats.org/officeDocument/2006/relationships/hyperlink" Target="https://www.simpleshowing.com/" TargetMode="External"/><Relationship Id="rId8132" Type="http://schemas.openxmlformats.org/officeDocument/2006/relationships/hyperlink" Target="https://www.pinoyeplans.com/" TargetMode="External"/><Relationship Id="rId11460" Type="http://schemas.openxmlformats.org/officeDocument/2006/relationships/hyperlink" Target="https://sellhousefast.uk/" TargetMode="External"/><Relationship Id="rId12511" Type="http://schemas.openxmlformats.org/officeDocument/2006/relationships/hyperlink" Target="https://propertypressonline.co.uk/" TargetMode="External"/><Relationship Id="rId10062" Type="http://schemas.openxmlformats.org/officeDocument/2006/relationships/hyperlink" Target="https://www.pinoyeplans.com/" TargetMode="External"/><Relationship Id="rId11113" Type="http://schemas.openxmlformats.org/officeDocument/2006/relationships/hyperlink" Target="https://www.bydesignandviz.com/post/how-to-choose-the-right-paint-colors" TargetMode="External"/><Relationship Id="rId14683" Type="http://schemas.openxmlformats.org/officeDocument/2006/relationships/hyperlink" Target="https://myinteriorpalace.com/" TargetMode="External"/><Relationship Id="rId15734" Type="http://schemas.openxmlformats.org/officeDocument/2006/relationships/hyperlink" Target="https://www.modinex.com.au/" TargetMode="External"/><Relationship Id="rId3691" Type="http://schemas.openxmlformats.org/officeDocument/2006/relationships/hyperlink" Target="https://www.overheaddoors.com/" TargetMode="External"/><Relationship Id="rId4742" Type="http://schemas.openxmlformats.org/officeDocument/2006/relationships/hyperlink" Target="https://www.kapre.com/" TargetMode="External"/><Relationship Id="rId13285" Type="http://schemas.openxmlformats.org/officeDocument/2006/relationships/hyperlink" Target="https://propertypressonline.co.uk/" TargetMode="External"/><Relationship Id="rId14336" Type="http://schemas.openxmlformats.org/officeDocument/2006/relationships/hyperlink" Target="https://luxurylifestyle.com/" TargetMode="External"/><Relationship Id="rId2293" Type="http://schemas.openxmlformats.org/officeDocument/2006/relationships/hyperlink" Target="https://www.collectionforsyth.com/" TargetMode="External"/><Relationship Id="rId3344" Type="http://schemas.openxmlformats.org/officeDocument/2006/relationships/hyperlink" Target="https://imunovacin.websiteseguro.com/57jws/toll-brothers-deposit-requirements" TargetMode="External"/><Relationship Id="rId7965" Type="http://schemas.openxmlformats.org/officeDocument/2006/relationships/hyperlink" Target="https://distinctiveroofing.net/" TargetMode="External"/><Relationship Id="rId265" Type="http://schemas.openxmlformats.org/officeDocument/2006/relationships/hyperlink" Target="https://hauslane.com/blogs/resources/kitchen-trends-nyc" TargetMode="External"/><Relationship Id="rId6567" Type="http://schemas.openxmlformats.org/officeDocument/2006/relationships/hyperlink" Target="https://www.thermasol.com/" TargetMode="External"/><Relationship Id="rId7618" Type="http://schemas.openxmlformats.org/officeDocument/2006/relationships/hyperlink" Target="https://www.simpleshowing.com/" TargetMode="External"/><Relationship Id="rId10946" Type="http://schemas.openxmlformats.org/officeDocument/2006/relationships/hyperlink" Target="https://www.bassresource.com/bass-fishing-forums/topic/247600-does-anyone-remember-what-each-foot-increase-of-rod-length-increases-distance/" TargetMode="External"/><Relationship Id="rId5169" Type="http://schemas.openxmlformats.org/officeDocument/2006/relationships/hyperlink" Target="https://cubecreative.design/blog/partners/advanced-tactics-attract-service-clients" TargetMode="External"/><Relationship Id="rId9040" Type="http://schemas.openxmlformats.org/officeDocument/2006/relationships/hyperlink" Target="https://nycestimating.us/" TargetMode="External"/><Relationship Id="rId12021" Type="http://schemas.openxmlformats.org/officeDocument/2006/relationships/hyperlink" Target="https://www.hamiltoninternationalestates.com/" TargetMode="External"/><Relationship Id="rId15591" Type="http://schemas.openxmlformats.org/officeDocument/2006/relationships/hyperlink" Target="https://rumahhq.com/en/rahasia-lampu-mewah-yang-disembunyikan-8-tips-pilih-hiasan-lampu-premium-untuk-rekabentuk-rumah-mewah-yang-buat-jiran-cemburu-panduan-seo-terlengkap-untuk-malaysians/" TargetMode="External"/><Relationship Id="rId1779" Type="http://schemas.openxmlformats.org/officeDocument/2006/relationships/hyperlink" Target="https://www.simpleshowing.com/" TargetMode="External"/><Relationship Id="rId4252" Type="http://schemas.openxmlformats.org/officeDocument/2006/relationships/hyperlink" Target="https://www.simpleshowing.com/" TargetMode="External"/><Relationship Id="rId5650" Type="http://schemas.openxmlformats.org/officeDocument/2006/relationships/hyperlink" Target="https://www.simpleshowing.com/" TargetMode="External"/><Relationship Id="rId6701" Type="http://schemas.openxmlformats.org/officeDocument/2006/relationships/hyperlink" Target="https://forums.loaches.com/viewtopic.php?t=18203" TargetMode="External"/><Relationship Id="rId14193" Type="http://schemas.openxmlformats.org/officeDocument/2006/relationships/hyperlink" Target="https://www.thedesignagency.ca/press/" TargetMode="External"/><Relationship Id="rId15244" Type="http://schemas.openxmlformats.org/officeDocument/2006/relationships/hyperlink" Target="https://myinteriorpalace.com/" TargetMode="External"/><Relationship Id="rId5303" Type="http://schemas.openxmlformats.org/officeDocument/2006/relationships/hyperlink" Target="https://narrato.io/blog/marketing-survival-tactics-saas-coronavirus/" TargetMode="External"/><Relationship Id="rId8873" Type="http://schemas.openxmlformats.org/officeDocument/2006/relationships/hyperlink" Target="https://insightpest.com/test/" TargetMode="External"/><Relationship Id="rId9924" Type="http://schemas.openxmlformats.org/officeDocument/2006/relationships/hyperlink" Target="https://www.pinoyeplans.com/" TargetMode="External"/><Relationship Id="rId11854" Type="http://schemas.openxmlformats.org/officeDocument/2006/relationships/hyperlink" Target="https://sellhousefast.uk/" TargetMode="External"/><Relationship Id="rId12905" Type="http://schemas.openxmlformats.org/officeDocument/2006/relationships/hyperlink" Target="https://www.shma.co.uk/" TargetMode="External"/><Relationship Id="rId1913" Type="http://schemas.openxmlformats.org/officeDocument/2006/relationships/hyperlink" Target="http://www.smiletotalk.com/blog/what-sells-best-in-tampa-neighborhood-trends-sellers-need-to-know" TargetMode="External"/><Relationship Id="rId7475" Type="http://schemas.openxmlformats.org/officeDocument/2006/relationships/hyperlink" Target="https://www.taylormorrison.com/" TargetMode="External"/><Relationship Id="rId8526" Type="http://schemas.openxmlformats.org/officeDocument/2006/relationships/hyperlink" Target="https://www.cylind.com/" TargetMode="External"/><Relationship Id="rId10456" Type="http://schemas.openxmlformats.org/officeDocument/2006/relationships/hyperlink" Target="https://www.teachengineering.org/" TargetMode="External"/><Relationship Id="rId11507" Type="http://schemas.openxmlformats.org/officeDocument/2006/relationships/hyperlink" Target="https://www.hamiltoninternationalestates.com/" TargetMode="External"/><Relationship Id="rId6077" Type="http://schemas.openxmlformats.org/officeDocument/2006/relationships/hyperlink" Target="https://ocnjdaily.com/news/2024/oct/08/tips-for-mindful-spending/" TargetMode="External"/><Relationship Id="rId7128" Type="http://schemas.openxmlformats.org/officeDocument/2006/relationships/hyperlink" Target="https://www.taylormorrison.com/" TargetMode="External"/><Relationship Id="rId10109" Type="http://schemas.openxmlformats.org/officeDocument/2006/relationships/hyperlink" Target="http://vjes.vnies.edu.vn/en/organizing-activities-teaching-some-mathematics-topics-direction-stem-education-high-schools" TargetMode="External"/><Relationship Id="rId13679" Type="http://schemas.openxmlformats.org/officeDocument/2006/relationships/hyperlink" Target="https://anationofmoms.com/" TargetMode="External"/><Relationship Id="rId2687" Type="http://schemas.openxmlformats.org/officeDocument/2006/relationships/hyperlink" Target="https://www.dnb.com/business-directory/company-profiles.pulte_home_company_llc.b41baaec1f46f23a75805361f2a41583.html" TargetMode="External"/><Relationship Id="rId3738" Type="http://schemas.openxmlformats.org/officeDocument/2006/relationships/hyperlink" Target="https://www.simpleshowing.com/" TargetMode="External"/><Relationship Id="rId16152" Type="http://schemas.openxmlformats.org/officeDocument/2006/relationships/hyperlink" Target="https://blog.catalink.com/category/gift-ideas/" TargetMode="External"/><Relationship Id="rId659" Type="http://schemas.openxmlformats.org/officeDocument/2006/relationships/hyperlink" Target="https://www.simpleshowing.com/" TargetMode="External"/><Relationship Id="rId1289" Type="http://schemas.openxmlformats.org/officeDocument/2006/relationships/hyperlink" Target="https://underconstructionpage.com/the-ultimate-list-of-real-estate-tools-for-investors-to-automate-and-optimize-their-strategy/" TargetMode="External"/><Relationship Id="rId5160" Type="http://schemas.openxmlformats.org/officeDocument/2006/relationships/hyperlink" Target="https://www.simpleshowing.com/" TargetMode="External"/><Relationship Id="rId6211" Type="http://schemas.openxmlformats.org/officeDocument/2006/relationships/hyperlink" Target="https://fileproinfo.com/blog/how-to-get-credit-card-debt-relief/2023/" TargetMode="External"/><Relationship Id="rId8383" Type="http://schemas.openxmlformats.org/officeDocument/2006/relationships/hyperlink" Target="https://leetcode.com/u/weriney262/" TargetMode="External"/><Relationship Id="rId9781" Type="http://schemas.openxmlformats.org/officeDocument/2006/relationships/hyperlink" Target="https://www.teachengineering.org/" TargetMode="External"/><Relationship Id="rId12762" Type="http://schemas.openxmlformats.org/officeDocument/2006/relationships/hyperlink" Target="https://business.warwickshire.gov.uk/january-2021/print" TargetMode="External"/><Relationship Id="rId13813" Type="http://schemas.openxmlformats.org/officeDocument/2006/relationships/hyperlink" Target="https://myinteriorpalace.com/" TargetMode="External"/><Relationship Id="rId1770" Type="http://schemas.openxmlformats.org/officeDocument/2006/relationships/hyperlink" Target="https://www.simpleshowing.com/" TargetMode="External"/><Relationship Id="rId2821" Type="http://schemas.openxmlformats.org/officeDocument/2006/relationships/hyperlink" Target="https://www.pulte.com/" TargetMode="External"/><Relationship Id="rId8036" Type="http://schemas.openxmlformats.org/officeDocument/2006/relationships/hyperlink" Target="https://indyroofandrestoration.com/" TargetMode="External"/><Relationship Id="rId9434" Type="http://schemas.openxmlformats.org/officeDocument/2006/relationships/hyperlink" Target="https://www.designnews.com/automation/friday-funny-engineers-are-problem-solvers-who-love-impossible-challenges" TargetMode="External"/><Relationship Id="rId11364" Type="http://schemas.openxmlformats.org/officeDocument/2006/relationships/hyperlink" Target="http://webuyhouses.com/" TargetMode="External"/><Relationship Id="rId12415" Type="http://schemas.openxmlformats.org/officeDocument/2006/relationships/hyperlink" Target="https://sturents.com/" TargetMode="External"/><Relationship Id="rId15985" Type="http://schemas.openxmlformats.org/officeDocument/2006/relationships/hyperlink" Target="https://myinteriorpalace.com/" TargetMode="External"/><Relationship Id="rId1423" Type="http://schemas.openxmlformats.org/officeDocument/2006/relationships/hyperlink" Target="https://ritewindow.com/blog/3-indicators-its-time-to-upgrade-your-shower-or-bath/" TargetMode="External"/><Relationship Id="rId4993" Type="http://schemas.openxmlformats.org/officeDocument/2006/relationships/hyperlink" Target="https://apps.apple.com/us/app/freedom-debt-relief/id6576817794" TargetMode="External"/><Relationship Id="rId11017" Type="http://schemas.openxmlformats.org/officeDocument/2006/relationships/hyperlink" Target="https://www.teachengineering.org/" TargetMode="External"/><Relationship Id="rId14587" Type="http://schemas.openxmlformats.org/officeDocument/2006/relationships/hyperlink" Target="https://myinteriorpalace.com/" TargetMode="External"/><Relationship Id="rId15638" Type="http://schemas.openxmlformats.org/officeDocument/2006/relationships/hyperlink" Target="https://www.luxdeco.com/" TargetMode="External"/><Relationship Id="rId3595" Type="http://schemas.openxmlformats.org/officeDocument/2006/relationships/hyperlink" Target="https://www.pulte.com/" TargetMode="External"/><Relationship Id="rId4646" Type="http://schemas.openxmlformats.org/officeDocument/2006/relationships/hyperlink" Target="https://www.kapre.com/" TargetMode="External"/><Relationship Id="rId13189" Type="http://schemas.openxmlformats.org/officeDocument/2006/relationships/hyperlink" Target="https://propertypressonline.co.uk/" TargetMode="External"/><Relationship Id="rId2197" Type="http://schemas.openxmlformats.org/officeDocument/2006/relationships/hyperlink" Target="https://markspain.com/" TargetMode="External"/><Relationship Id="rId3248" Type="http://schemas.openxmlformats.org/officeDocument/2006/relationships/hyperlink" Target="https://www.redlandsdailyfacts.com/2021/09/12/best-of-inland-empire-2021-best-new-home-builder/" TargetMode="External"/><Relationship Id="rId7869" Type="http://schemas.openxmlformats.org/officeDocument/2006/relationships/hyperlink" Target="https://trustroofing.com/" TargetMode="External"/><Relationship Id="rId10100" Type="http://schemas.openxmlformats.org/officeDocument/2006/relationships/hyperlink" Target="https://schoolposterprinters.com/stem-education-what-is-stem-defined-stem-in-schools-visuals/" TargetMode="External"/><Relationship Id="rId169" Type="http://schemas.openxmlformats.org/officeDocument/2006/relationships/hyperlink" Target="https://www.blanchardandcalhoun.com/" TargetMode="External"/><Relationship Id="rId9291" Type="http://schemas.openxmlformats.org/officeDocument/2006/relationships/hyperlink" Target="https://www.pinoyeplans.com/" TargetMode="External"/><Relationship Id="rId13670" Type="http://schemas.openxmlformats.org/officeDocument/2006/relationships/hyperlink" Target="https://anationofmoms.com/" TargetMode="External"/><Relationship Id="rId14721" Type="http://schemas.openxmlformats.org/officeDocument/2006/relationships/hyperlink" Target="https://www.provenexpert.com/en-us/easy-garage-door-repair4/" TargetMode="External"/><Relationship Id="rId650" Type="http://schemas.openxmlformats.org/officeDocument/2006/relationships/hyperlink" Target="https://www.simpleshowing.com/" TargetMode="External"/><Relationship Id="rId1280" Type="http://schemas.openxmlformats.org/officeDocument/2006/relationships/hyperlink" Target="https://www.wallstreetmojo.com/real-estate-investment-strategy/" TargetMode="External"/><Relationship Id="rId2331" Type="http://schemas.openxmlformats.org/officeDocument/2006/relationships/hyperlink" Target="https://www.simpleshowing.com/" TargetMode="External"/><Relationship Id="rId12272" Type="http://schemas.openxmlformats.org/officeDocument/2006/relationships/hyperlink" Target="https://oxfordcity.co.uk/business/ridgefield-consulting/" TargetMode="External"/><Relationship Id="rId13323" Type="http://schemas.openxmlformats.org/officeDocument/2006/relationships/hyperlink" Target="https://middleclasshomes.net/5-factors-that-matter-when-choosing-hardwood-flooring/" TargetMode="External"/><Relationship Id="rId303" Type="http://schemas.openxmlformats.org/officeDocument/2006/relationships/hyperlink" Target="http://northernvirginiahomepro.com/" TargetMode="External"/><Relationship Id="rId6952" Type="http://schemas.openxmlformats.org/officeDocument/2006/relationships/hyperlink" Target="https://www.simpleshowing.com/" TargetMode="External"/><Relationship Id="rId15495" Type="http://schemas.openxmlformats.org/officeDocument/2006/relationships/hyperlink" Target="https://us.aabcollection.com/blogs/journal/the-knits-you-need" TargetMode="External"/><Relationship Id="rId5554" Type="http://schemas.openxmlformats.org/officeDocument/2006/relationships/hyperlink" Target="https://www.simpleshowing.com/" TargetMode="External"/><Relationship Id="rId6605" Type="http://schemas.openxmlformats.org/officeDocument/2006/relationships/hyperlink" Target="https://www.simpleshowing.com/" TargetMode="External"/><Relationship Id="rId14097" Type="http://schemas.openxmlformats.org/officeDocument/2006/relationships/hyperlink" Target="https://www.tinyhouse.com/post/simple-tricks-to-keep-your-home-looking-its-best" TargetMode="External"/><Relationship Id="rId15148" Type="http://schemas.openxmlformats.org/officeDocument/2006/relationships/hyperlink" Target="https://myinteriorpalace.com/" TargetMode="External"/><Relationship Id="rId4156" Type="http://schemas.openxmlformats.org/officeDocument/2006/relationships/hyperlink" Target="https://www.simpleshowing.com/" TargetMode="External"/><Relationship Id="rId5207" Type="http://schemas.openxmlformats.org/officeDocument/2006/relationships/hyperlink" Target="https://chamberlains.com.au/taking-out-a-loan-after-bankruptcy/" TargetMode="External"/><Relationship Id="rId8777" Type="http://schemas.openxmlformats.org/officeDocument/2006/relationships/hyperlink" Target="https://www.pinoyeplans.com/" TargetMode="External"/><Relationship Id="rId9828" Type="http://schemas.openxmlformats.org/officeDocument/2006/relationships/hyperlink" Target="https://www.pinoyeplans.com/" TargetMode="External"/><Relationship Id="rId11758" Type="http://schemas.openxmlformats.org/officeDocument/2006/relationships/hyperlink" Target="https://sellhousefast.uk/" TargetMode="External"/><Relationship Id="rId1817" Type="http://schemas.openxmlformats.org/officeDocument/2006/relationships/hyperlink" Target="https://europeanbusinessmagazine.com/business/solar-energy-in-business-7-strategies-for-sustainability/" TargetMode="External"/><Relationship Id="rId7379" Type="http://schemas.openxmlformats.org/officeDocument/2006/relationships/hyperlink" Target="https://www.simpleshowing.com/" TargetMode="External"/><Relationship Id="rId12809" Type="http://schemas.openxmlformats.org/officeDocument/2006/relationships/hyperlink" Target="https://www.shma.co.uk/" TargetMode="External"/><Relationship Id="rId13180" Type="http://schemas.openxmlformats.org/officeDocument/2006/relationships/hyperlink" Target="https://propertypressonline.co.uk/" TargetMode="External"/><Relationship Id="rId14231" Type="http://schemas.openxmlformats.org/officeDocument/2006/relationships/hyperlink" Target="https://luxurylifestyle.com/" TargetMode="External"/><Relationship Id="rId160" Type="http://schemas.openxmlformats.org/officeDocument/2006/relationships/hyperlink" Target="https://www.morrisoncohen.com/" TargetMode="External"/><Relationship Id="rId3989" Type="http://schemas.openxmlformats.org/officeDocument/2006/relationships/hyperlink" Target="https://businessnewsthisweek.com/business/choosing-the-right-smart-solar-energy-system-for-your-home/" TargetMode="External"/><Relationship Id="rId6462" Type="http://schemas.openxmlformats.org/officeDocument/2006/relationships/hyperlink" Target="https://www.simpleshowing.com/" TargetMode="External"/><Relationship Id="rId7860" Type="http://schemas.openxmlformats.org/officeDocument/2006/relationships/hyperlink" Target="https://discoverlakelanier.com/" TargetMode="External"/><Relationship Id="rId8911" Type="http://schemas.openxmlformats.org/officeDocument/2006/relationships/hyperlink" Target="https://www.trianglepest.com/" TargetMode="External"/><Relationship Id="rId10841" Type="http://schemas.openxmlformats.org/officeDocument/2006/relationships/hyperlink" Target="https://ocw.tau.edu.ng/courses/biological-engineering/20-020-introduction-to-biological-engineering-design-spring-2009/lecture-and-studio-notes/wk08/" TargetMode="External"/><Relationship Id="rId16056" Type="http://schemas.openxmlformats.org/officeDocument/2006/relationships/hyperlink" Target="https://careerlaunch.unlv.edu/blog/2025/03/17/19-tips-for-sociology-majors-who-are-mapping-their-careers/" TargetMode="External"/><Relationship Id="rId5064" Type="http://schemas.openxmlformats.org/officeDocument/2006/relationships/hyperlink" Target="https://www.simpleshowing.com/" TargetMode="External"/><Relationship Id="rId6115" Type="http://schemas.openxmlformats.org/officeDocument/2006/relationships/hyperlink" Target="https://www.lyliarose.com/blog/read_197222/spotting-a-crooked-credit-card-debt-relief-agency.html" TargetMode="External"/><Relationship Id="rId7513" Type="http://schemas.openxmlformats.org/officeDocument/2006/relationships/hyperlink" Target="https://www.simpleshowing.com/" TargetMode="External"/><Relationship Id="rId9685" Type="http://schemas.openxmlformats.org/officeDocument/2006/relationships/hyperlink" Target="https://www.teachengineering.org/" TargetMode="External"/><Relationship Id="rId12666" Type="http://schemas.openxmlformats.org/officeDocument/2006/relationships/hyperlink" Target="https://med-techinsights.com/2025/10/23/a-and-b-smart-materials-wins-2025-tbat-innovation-challenge/" TargetMode="External"/><Relationship Id="rId13717" Type="http://schemas.openxmlformats.org/officeDocument/2006/relationships/hyperlink" Target="https://myinteriorpalace.com/" TargetMode="External"/><Relationship Id="rId1674" Type="http://schemas.openxmlformats.org/officeDocument/2006/relationships/hyperlink" Target="https://www.simpleshowing.com/" TargetMode="External"/><Relationship Id="rId2725" Type="http://schemas.openxmlformats.org/officeDocument/2006/relationships/hyperlink" Target="https://www.pulte.com/" TargetMode="External"/><Relationship Id="rId8287" Type="http://schemas.openxmlformats.org/officeDocument/2006/relationships/hyperlink" Target="https://appinstitute.com/5-simple-but-effective-ways-you-can-make-life-easier-for-your-customer-service-staff/" TargetMode="External"/><Relationship Id="rId9338" Type="http://schemas.openxmlformats.org/officeDocument/2006/relationships/hyperlink" Target="https://eclipse.montana.edu/education/icebreakers.html" TargetMode="External"/><Relationship Id="rId11268" Type="http://schemas.openxmlformats.org/officeDocument/2006/relationships/hyperlink" Target="https://www.thedevondaily.co.uk/news/homes-gardens/what-are-first-steps-take-after-discovering-water-damage" TargetMode="External"/><Relationship Id="rId12319" Type="http://schemas.openxmlformats.org/officeDocument/2006/relationships/hyperlink" Target="https://sturents.com/" TargetMode="External"/><Relationship Id="rId15889" Type="http://schemas.openxmlformats.org/officeDocument/2006/relationships/hyperlink" Target="https://myinteriorpalace.com/" TargetMode="External"/><Relationship Id="rId1327" Type="http://schemas.openxmlformats.org/officeDocument/2006/relationships/hyperlink" Target="https://darscover.com/" TargetMode="External"/><Relationship Id="rId4897" Type="http://schemas.openxmlformats.org/officeDocument/2006/relationships/hyperlink" Target="https://awesome.ecosyste.ms/lists/trackawesomelist%2Ftrackawesomelist" TargetMode="External"/><Relationship Id="rId5948" Type="http://schemas.openxmlformats.org/officeDocument/2006/relationships/hyperlink" Target="https://www.simpleshowing.com/" TargetMode="External"/><Relationship Id="rId33" Type="http://schemas.openxmlformats.org/officeDocument/2006/relationships/hyperlink" Target="http://applianceicon.com/" TargetMode="External"/><Relationship Id="rId3499" Type="http://schemas.openxmlformats.org/officeDocument/2006/relationships/hyperlink" Target="https://www.pulte.com/" TargetMode="External"/><Relationship Id="rId7370" Type="http://schemas.openxmlformats.org/officeDocument/2006/relationships/hyperlink" Target="https://www.simpleshowing.com/" TargetMode="External"/><Relationship Id="rId8421" Type="http://schemas.openxmlformats.org/officeDocument/2006/relationships/hyperlink" Target="https://www.pacificsheetmetal.net/" TargetMode="External"/><Relationship Id="rId12800" Type="http://schemas.openxmlformats.org/officeDocument/2006/relationships/hyperlink" Target="https://www.shma.co.uk/" TargetMode="External"/><Relationship Id="rId7023" Type="http://schemas.openxmlformats.org/officeDocument/2006/relationships/hyperlink" Target="https://diversityjobs.com/employer/company/1544/Taylor-Morrison" TargetMode="External"/><Relationship Id="rId10351" Type="http://schemas.openxmlformats.org/officeDocument/2006/relationships/hyperlink" Target="https://www.teachengineering.org/" TargetMode="External"/><Relationship Id="rId11402" Type="http://schemas.openxmlformats.org/officeDocument/2006/relationships/hyperlink" Target="https://www.hamiltoninternationalestates.com/" TargetMode="External"/><Relationship Id="rId14972" Type="http://schemas.openxmlformats.org/officeDocument/2006/relationships/hyperlink" Target="https://www.luxdeco.com/" TargetMode="External"/><Relationship Id="rId3980" Type="http://schemas.openxmlformats.org/officeDocument/2006/relationships/hyperlink" Target="https://www.homecrux.com/how-to-create-energy-efficient-home/176872/" TargetMode="External"/><Relationship Id="rId9195" Type="http://schemas.openxmlformats.org/officeDocument/2006/relationships/hyperlink" Target="https://www.pinoyeplans.com/" TargetMode="External"/><Relationship Id="rId10004" Type="http://schemas.openxmlformats.org/officeDocument/2006/relationships/hyperlink" Target="https://theowlteacher.com/human-body-systems/" TargetMode="External"/><Relationship Id="rId13574" Type="http://schemas.openxmlformats.org/officeDocument/2006/relationships/hyperlink" Target="https://anationofmoms.com/" TargetMode="External"/><Relationship Id="rId14625" Type="http://schemas.openxmlformats.org/officeDocument/2006/relationships/hyperlink" Target="https://bigboxratio.com/backyard-housing/leading-3-garage-door-teams-in-houston-offering-24-7-spring-replacements-reliable-experts-for-emergency-repairs/" TargetMode="External"/><Relationship Id="rId1184" Type="http://schemas.openxmlformats.org/officeDocument/2006/relationships/hyperlink" Target="http://www.peevish.co.uk/slang/language-links.htm" TargetMode="External"/><Relationship Id="rId2582" Type="http://schemas.openxmlformats.org/officeDocument/2006/relationships/hyperlink" Target="https://www.ana.net/members/list" TargetMode="External"/><Relationship Id="rId3633" Type="http://schemas.openxmlformats.org/officeDocument/2006/relationships/hyperlink" Target="https://www.simpleshowing.com/" TargetMode="External"/><Relationship Id="rId12176" Type="http://schemas.openxmlformats.org/officeDocument/2006/relationships/hyperlink" Target="https://nativetrailshome.com/industrial-farmhouse-style/" TargetMode="External"/><Relationship Id="rId13227" Type="http://schemas.openxmlformats.org/officeDocument/2006/relationships/hyperlink" Target="https://vocal.media/authors/mark-burns" TargetMode="External"/><Relationship Id="rId554" Type="http://schemas.openxmlformats.org/officeDocument/2006/relationships/hyperlink" Target="https://www.simpleshowing.com/" TargetMode="External"/><Relationship Id="rId2235" Type="http://schemas.openxmlformats.org/officeDocument/2006/relationships/hyperlink" Target="https://www.simpleshowing.com/" TargetMode="External"/><Relationship Id="rId6856" Type="http://schemas.openxmlformats.org/officeDocument/2006/relationships/hyperlink" Target="https://www.taylormorrison.com/" TargetMode="External"/><Relationship Id="rId7907" Type="http://schemas.openxmlformats.org/officeDocument/2006/relationships/hyperlink" Target="https://www.pinoyeplans.com/" TargetMode="External"/><Relationship Id="rId15399" Type="http://schemas.openxmlformats.org/officeDocument/2006/relationships/hyperlink" Target="https://www.brabbu.com/en/inspiration-and-ideas/interior-design/25-floor-lights-to-illumine-your-wintery-nights" TargetMode="External"/><Relationship Id="rId207" Type="http://schemas.openxmlformats.org/officeDocument/2006/relationships/hyperlink" Target="http://northernvirginiahomepro.com/" TargetMode="External"/><Relationship Id="rId5458" Type="http://schemas.openxmlformats.org/officeDocument/2006/relationships/hyperlink" Target="https://www.simpleshowing.com/" TargetMode="External"/><Relationship Id="rId6509" Type="http://schemas.openxmlformats.org/officeDocument/2006/relationships/hyperlink" Target="https://www.thermasol.com/" TargetMode="External"/><Relationship Id="rId12310" Type="http://schemas.openxmlformats.org/officeDocument/2006/relationships/hyperlink" Target="https://www.ridgefieldconsulting.co.uk/" TargetMode="External"/><Relationship Id="rId15880" Type="http://schemas.openxmlformats.org/officeDocument/2006/relationships/hyperlink" Target="https://myinteriorpalace.com/" TargetMode="External"/><Relationship Id="rId3490" Type="http://schemas.openxmlformats.org/officeDocument/2006/relationships/hyperlink" Target="https://www.pulte.com/" TargetMode="External"/><Relationship Id="rId4541" Type="http://schemas.openxmlformats.org/officeDocument/2006/relationships/hyperlink" Target="https://www.kapre.com/" TargetMode="External"/><Relationship Id="rId13084" Type="http://schemas.openxmlformats.org/officeDocument/2006/relationships/hyperlink" Target="https://propertypressonline.co.uk/" TargetMode="External"/><Relationship Id="rId14135" Type="http://schemas.openxmlformats.org/officeDocument/2006/relationships/hyperlink" Target="https://keystonecustomdecksny.com/" TargetMode="External"/><Relationship Id="rId14482" Type="http://schemas.openxmlformats.org/officeDocument/2006/relationships/hyperlink" Target="https://myinteriorpalace.com/" TargetMode="External"/><Relationship Id="rId15533" Type="http://schemas.openxmlformats.org/officeDocument/2006/relationships/hyperlink" Target="https://www.luxdeco.com/" TargetMode="External"/><Relationship Id="rId2092" Type="http://schemas.openxmlformats.org/officeDocument/2006/relationships/hyperlink" Target="https://markspain.com/" TargetMode="External"/><Relationship Id="rId3143" Type="http://schemas.openxmlformats.org/officeDocument/2006/relationships/hyperlink" Target="https://www.mapquest.com/us/florida/vizcaya-by-pulte-homes-490369810" TargetMode="External"/><Relationship Id="rId7764" Type="http://schemas.openxmlformats.org/officeDocument/2006/relationships/hyperlink" Target="https://www.simpleshowing.com/" TargetMode="External"/><Relationship Id="rId8815" Type="http://schemas.openxmlformats.org/officeDocument/2006/relationships/hyperlink" Target="https://www.trianglepest.com/" TargetMode="External"/><Relationship Id="rId10745" Type="http://schemas.openxmlformats.org/officeDocument/2006/relationships/hyperlink" Target="https://eepro.naaee.org/community/blog/your-back-school-e-stem-resource-guide" TargetMode="External"/><Relationship Id="rId6366" Type="http://schemas.openxmlformats.org/officeDocument/2006/relationships/hyperlink" Target="https://www.simpleshowing.com/" TargetMode="External"/><Relationship Id="rId7417" Type="http://schemas.openxmlformats.org/officeDocument/2006/relationships/hyperlink" Target="https://www.simpleshowing.com/" TargetMode="External"/><Relationship Id="rId13968" Type="http://schemas.openxmlformats.org/officeDocument/2006/relationships/hyperlink" Target="https://www.offthemrkt.com/lifestyle/whats-the-best-material-for-a-garage-roof-roof-materials-explained" TargetMode="External"/><Relationship Id="rId2976" Type="http://schemas.openxmlformats.org/officeDocument/2006/relationships/hyperlink" Target="https://www.simpleshowing.com/" TargetMode="External"/><Relationship Id="rId6019" Type="http://schemas.openxmlformats.org/officeDocument/2006/relationships/hyperlink" Target="https://www.build-review.com/the-difference-between-a-mortgage-and-a-construction-loan/" TargetMode="External"/><Relationship Id="rId9589" Type="http://schemas.openxmlformats.org/officeDocument/2006/relationships/hyperlink" Target="https://www.teachengineering.org/" TargetMode="External"/><Relationship Id="rId15390" Type="http://schemas.openxmlformats.org/officeDocument/2006/relationships/hyperlink" Target="https://www.tinyhouse.com/post/top-bathroom-tile-trends-for-2023" TargetMode="External"/><Relationship Id="rId948" Type="http://schemas.openxmlformats.org/officeDocument/2006/relationships/hyperlink" Target="https://www.simpleshowing.com/" TargetMode="External"/><Relationship Id="rId1578" Type="http://schemas.openxmlformats.org/officeDocument/2006/relationships/hyperlink" Target="https://www.simpleshowing.com/" TargetMode="External"/><Relationship Id="rId2629" Type="http://schemas.openxmlformats.org/officeDocument/2006/relationships/hyperlink" Target="https://www.pulte.com/" TargetMode="External"/><Relationship Id="rId6500" Type="http://schemas.openxmlformats.org/officeDocument/2006/relationships/hyperlink" Target="https://www.bestplumbing.ca/Brands/13416-thermasol-thermasol" TargetMode="External"/><Relationship Id="rId15043" Type="http://schemas.openxmlformats.org/officeDocument/2006/relationships/hyperlink" Target="https://myinteriorpalace.com/" TargetMode="External"/><Relationship Id="rId4051" Type="http://schemas.openxmlformats.org/officeDocument/2006/relationships/hyperlink" Target="https://www.kapre.com/" TargetMode="External"/><Relationship Id="rId5102" Type="http://schemas.openxmlformats.org/officeDocument/2006/relationships/hyperlink" Target="https://www.simpleshowing.com/" TargetMode="External"/><Relationship Id="rId8672" Type="http://schemas.openxmlformats.org/officeDocument/2006/relationships/hyperlink" Target="https://www.pinoyeplans.com/" TargetMode="External"/><Relationship Id="rId7274" Type="http://schemas.openxmlformats.org/officeDocument/2006/relationships/hyperlink" Target="https://www.simpleshowing.com/" TargetMode="External"/><Relationship Id="rId8325" Type="http://schemas.openxmlformats.org/officeDocument/2006/relationships/hyperlink" Target="https://www.zestlighting.com.au/" TargetMode="External"/><Relationship Id="rId9723" Type="http://schemas.openxmlformats.org/officeDocument/2006/relationships/hyperlink" Target="https://www.pinoyeplans.com/" TargetMode="External"/><Relationship Id="rId11653" Type="http://schemas.openxmlformats.org/officeDocument/2006/relationships/hyperlink" Target="https://sellhousefast.uk/" TargetMode="External"/><Relationship Id="rId12704" Type="http://schemas.openxmlformats.org/officeDocument/2006/relationships/hyperlink" Target="https://www.shma.co.uk/" TargetMode="External"/><Relationship Id="rId1712" Type="http://schemas.openxmlformats.org/officeDocument/2006/relationships/hyperlink" Target="https://www.housebeautiful.com/lifestyle/a64841107/states-at-risk-summer-blackout/" TargetMode="External"/><Relationship Id="rId10255" Type="http://schemas.openxmlformats.org/officeDocument/2006/relationships/hyperlink" Target="https://www.teachengineering.org/" TargetMode="External"/><Relationship Id="rId11306" Type="http://schemas.openxmlformats.org/officeDocument/2006/relationships/hyperlink" Target="https://www.savemax.com/" TargetMode="External"/><Relationship Id="rId14876" Type="http://schemas.openxmlformats.org/officeDocument/2006/relationships/hyperlink" Target="https://www.fluidplumbingservices.com.au/" TargetMode="External"/><Relationship Id="rId15927" Type="http://schemas.openxmlformats.org/officeDocument/2006/relationships/hyperlink" Target="https://money.mymotherlode.com/clarkebroadcasting.mymotherlode/article/getfeatured-2025-8-13-raynor-garage-doors-of-kansas-city-expands-with-new-location-in-lees-summit-mo" TargetMode="External"/><Relationship Id="rId3884" Type="http://schemas.openxmlformats.org/officeDocument/2006/relationships/hyperlink" Target="https://llmrefs.com/keywords/outdoor-whirlpool" TargetMode="External"/><Relationship Id="rId4935" Type="http://schemas.openxmlformats.org/officeDocument/2006/relationships/hyperlink" Target="https://www.attomdata.com/news/attom-insights/client-case-studies/attom-helps-agentfire-create-hyper-local-real-estate-websites-that-set-agents-apart-from-the-crowd/" TargetMode="External"/><Relationship Id="rId9099" Type="http://schemas.openxmlformats.org/officeDocument/2006/relationships/hyperlink" Target="https://www.pinoyeplans.com/" TargetMode="External"/><Relationship Id="rId13478" Type="http://schemas.openxmlformats.org/officeDocument/2006/relationships/hyperlink" Target="https://anationofmoms.com/" TargetMode="External"/><Relationship Id="rId14529" Type="http://schemas.openxmlformats.org/officeDocument/2006/relationships/hyperlink" Target="https://www.gigwise.com/how-often-should-you-replace-garage-door-springs-in-houston-for-smooth-operation/" TargetMode="External"/><Relationship Id="rId2486" Type="http://schemas.openxmlformats.org/officeDocument/2006/relationships/hyperlink" Target="https://www.thecreativityexchange.com/2017/03/sherwin-williams-mindful-gray-color-spotlight.html" TargetMode="External"/><Relationship Id="rId3537" Type="http://schemas.openxmlformats.org/officeDocument/2006/relationships/hyperlink" Target="https://www.simpleshowing.com/" TargetMode="External"/><Relationship Id="rId458" Type="http://schemas.openxmlformats.org/officeDocument/2006/relationships/hyperlink" Target="https://www.simpleshowing.com/" TargetMode="External"/><Relationship Id="rId1088" Type="http://schemas.openxmlformats.org/officeDocument/2006/relationships/hyperlink" Target="https://www.e-architect.com/articles/here-is-how-to-transform-with-smart-upgrades" TargetMode="External"/><Relationship Id="rId2139" Type="http://schemas.openxmlformats.org/officeDocument/2006/relationships/hyperlink" Target="https://www.simpleshowing.com/" TargetMode="External"/><Relationship Id="rId6010" Type="http://schemas.openxmlformats.org/officeDocument/2006/relationships/hyperlink" Target="https://www.simpleshowing.com/" TargetMode="External"/><Relationship Id="rId9580" Type="http://schemas.openxmlformats.org/officeDocument/2006/relationships/hyperlink" Target="https://www.teachengineering.org/" TargetMode="External"/><Relationship Id="rId2620" Type="http://schemas.openxmlformats.org/officeDocument/2006/relationships/hyperlink" Target="https://www.pulte.com/" TargetMode="External"/><Relationship Id="rId8182" Type="http://schemas.openxmlformats.org/officeDocument/2006/relationships/hyperlink" Target="https://boringmagazine.net/what-is-3d-modeling-and-why-do-architects-use-it/" TargetMode="External"/><Relationship Id="rId9233" Type="http://schemas.openxmlformats.org/officeDocument/2006/relationships/hyperlink" Target="https://blogsternation.com/air-duct-cleaning-average-cost-what-does-air-duct-cleaning-cost/" TargetMode="External"/><Relationship Id="rId11163" Type="http://schemas.openxmlformats.org/officeDocument/2006/relationships/hyperlink" Target="https://www.pinoyeplans.com/" TargetMode="External"/><Relationship Id="rId12214" Type="http://schemas.openxmlformats.org/officeDocument/2006/relationships/hyperlink" Target="https://marrons.co.uk/" TargetMode="External"/><Relationship Id="rId12561" Type="http://schemas.openxmlformats.org/officeDocument/2006/relationships/hyperlink" Target="https://www.sra.org.uk/consumers/register/organisation/?sraNumber=442480" TargetMode="External"/><Relationship Id="rId13612" Type="http://schemas.openxmlformats.org/officeDocument/2006/relationships/hyperlink" Target="https://myinteriorpalace.com/" TargetMode="External"/><Relationship Id="rId1222" Type="http://schemas.openxmlformats.org/officeDocument/2006/relationships/hyperlink" Target="https://happy2movelondon.co.uk/r" TargetMode="External"/><Relationship Id="rId15784" Type="http://schemas.openxmlformats.org/officeDocument/2006/relationships/hyperlink" Target="https://myinteriorpalace.com/" TargetMode="External"/><Relationship Id="rId3394" Type="http://schemas.openxmlformats.org/officeDocument/2006/relationships/hyperlink" Target="https://www.pulte.com/" TargetMode="External"/><Relationship Id="rId4792" Type="http://schemas.openxmlformats.org/officeDocument/2006/relationships/hyperlink" Target="https://www.simpleshowing.com/" TargetMode="External"/><Relationship Id="rId5843" Type="http://schemas.openxmlformats.org/officeDocument/2006/relationships/hyperlink" Target="https://mycreditsummit.com/debt-consolidation/arizona/" TargetMode="External"/><Relationship Id="rId14386" Type="http://schemas.openxmlformats.org/officeDocument/2006/relationships/hyperlink" Target="https://myinteriorpalace.com/" TargetMode="External"/><Relationship Id="rId15437" Type="http://schemas.openxmlformats.org/officeDocument/2006/relationships/hyperlink" Target="https://www.luxdeco.com/" TargetMode="External"/><Relationship Id="rId3047" Type="http://schemas.openxmlformats.org/officeDocument/2006/relationships/hyperlink" Target="https://storymaps.arcgis.com/stories/2cb9751a28d345718fc8bcddf93a5d0b" TargetMode="External"/><Relationship Id="rId4445" Type="http://schemas.openxmlformats.org/officeDocument/2006/relationships/hyperlink" Target="https://www.kapre.com/" TargetMode="External"/><Relationship Id="rId10996" Type="http://schemas.openxmlformats.org/officeDocument/2006/relationships/hyperlink" Target="https://www.teachengineering.org/" TargetMode="External"/><Relationship Id="rId14039" Type="http://schemas.openxmlformats.org/officeDocument/2006/relationships/hyperlink" Target="https://keystonecustomdecksny.com/" TargetMode="External"/><Relationship Id="rId7668" Type="http://schemas.openxmlformats.org/officeDocument/2006/relationships/hyperlink" Target="https://fundamentei.com/en-US/us/tmhc" TargetMode="External"/><Relationship Id="rId8719" Type="http://schemas.openxmlformats.org/officeDocument/2006/relationships/hyperlink" Target="https://cdscrapmetal.com/recycling-a-to-z/" TargetMode="External"/><Relationship Id="rId10649" Type="http://schemas.openxmlformats.org/officeDocument/2006/relationships/hyperlink" Target="https://steemit.com/technology/@bitcoinparadise/71-percent-of-earth-s-surface-is-water-why-not-use-it-for-communications" TargetMode="External"/><Relationship Id="rId14520" Type="http://schemas.openxmlformats.org/officeDocument/2006/relationships/hyperlink" Target="https://www.nikkisplate.com/garage-door-repair-companies-in-houston/" TargetMode="External"/><Relationship Id="rId9090" Type="http://schemas.openxmlformats.org/officeDocument/2006/relationships/hyperlink" Target="https://www.pinoyeplans.com/" TargetMode="External"/><Relationship Id="rId12071" Type="http://schemas.openxmlformats.org/officeDocument/2006/relationships/hyperlink" Target="https://saviorheat.com/" TargetMode="External"/><Relationship Id="rId13122" Type="http://schemas.openxmlformats.org/officeDocument/2006/relationships/hyperlink" Target="https://www.citma.org.uk/events-calendar/ip-inclusive-reasonable-adjustments-what-are-they-and-how-can-we-get-them-right-.html" TargetMode="External"/><Relationship Id="rId2130" Type="http://schemas.openxmlformats.org/officeDocument/2006/relationships/hyperlink" Target="https://www.simpleshowing.com/" TargetMode="External"/><Relationship Id="rId6751" Type="http://schemas.openxmlformats.org/officeDocument/2006/relationships/hyperlink" Target="https://theprovidencegroup.com/" TargetMode="External"/><Relationship Id="rId15294" Type="http://schemas.openxmlformats.org/officeDocument/2006/relationships/hyperlink" Target="https://www.goodhomesmagazine.com/inspiration/bridgerton-pink-inspired-decor-ideas/" TargetMode="External"/><Relationship Id="rId102" Type="http://schemas.openxmlformats.org/officeDocument/2006/relationships/hyperlink" Target="https://www.timescall.com/" TargetMode="External"/><Relationship Id="rId5353" Type="http://schemas.openxmlformats.org/officeDocument/2006/relationships/hyperlink" Target="https://uiverse.io/blog/voice-enabled-ui-components-the-new-frontier-in-2025" TargetMode="External"/><Relationship Id="rId6404" Type="http://schemas.openxmlformats.org/officeDocument/2006/relationships/hyperlink" Target="https://www.simpleshowing.com/" TargetMode="External"/><Relationship Id="rId7802" Type="http://schemas.openxmlformats.org/officeDocument/2006/relationships/hyperlink" Target="https://www.simpleshowing.com/" TargetMode="External"/><Relationship Id="rId5006" Type="http://schemas.openxmlformats.org/officeDocument/2006/relationships/hyperlink" Target="https://www.simpleshowing.com/" TargetMode="External"/><Relationship Id="rId9974" Type="http://schemas.openxmlformats.org/officeDocument/2006/relationships/hyperlink" Target="https://scienceinschool.org/article/2025/explore-the-sound-waves-by-using-robotics/" TargetMode="External"/><Relationship Id="rId12955" Type="http://schemas.openxmlformats.org/officeDocument/2006/relationships/hyperlink" Target="https://propertypressonline.co.uk/" TargetMode="External"/><Relationship Id="rId1963" Type="http://schemas.openxmlformats.org/officeDocument/2006/relationships/hyperlink" Target="https://markspain.com/" TargetMode="External"/><Relationship Id="rId7178" Type="http://schemas.openxmlformats.org/officeDocument/2006/relationships/hyperlink" Target="https://www.taylormorrison.com/" TargetMode="External"/><Relationship Id="rId8576" Type="http://schemas.openxmlformats.org/officeDocument/2006/relationships/hyperlink" Target="https://www.pinoyeplans.com/" TargetMode="External"/><Relationship Id="rId9627" Type="http://schemas.openxmlformats.org/officeDocument/2006/relationships/hyperlink" Target="https://www.pinoyeplans.com/" TargetMode="External"/><Relationship Id="rId11557" Type="http://schemas.openxmlformats.org/officeDocument/2006/relationships/hyperlink" Target="https://sellhousefast.uk/" TargetMode="External"/><Relationship Id="rId12608" Type="http://schemas.openxmlformats.org/officeDocument/2006/relationships/hyperlink" Target="https://www.shma.co.uk/" TargetMode="External"/><Relationship Id="rId1616" Type="http://schemas.openxmlformats.org/officeDocument/2006/relationships/hyperlink" Target="https://www.starleaf.com/blog/eco-friendly-workspace-solutions-for-businesses/" TargetMode="External"/><Relationship Id="rId8229" Type="http://schemas.openxmlformats.org/officeDocument/2006/relationships/hyperlink" Target="https://smaarchviz.com/" TargetMode="External"/><Relationship Id="rId10159" Type="http://schemas.openxmlformats.org/officeDocument/2006/relationships/hyperlink" Target="https://www.teachengineering.org/" TargetMode="External"/><Relationship Id="rId14030" Type="http://schemas.openxmlformats.org/officeDocument/2006/relationships/hyperlink" Target="https://keystonecustomdecksny.com/" TargetMode="External"/><Relationship Id="rId3788" Type="http://schemas.openxmlformats.org/officeDocument/2006/relationships/hyperlink" Target="https://thecoverguy.zendesk.com/hc/en-us/articles/27788819319956-What-is-your-warranty-policy" TargetMode="External"/><Relationship Id="rId4839" Type="http://schemas.openxmlformats.org/officeDocument/2006/relationships/hyperlink" Target="https://donsak-cbt.sru.ac.th/images/places/evyy/texas-home-appraisal-license.html" TargetMode="External"/><Relationship Id="rId8710" Type="http://schemas.openxmlformats.org/officeDocument/2006/relationships/hyperlink" Target="https://www.elevatedmagazines.com/single-post/rustic-flooring-design-ideas-to-transform-your-space" TargetMode="External"/><Relationship Id="rId6261" Type="http://schemas.openxmlformats.org/officeDocument/2006/relationships/hyperlink" Target="https://www.talesfromasouthernmom.com/2019/09/creditors-sold-your-debt-to-collections-what-now/" TargetMode="External"/><Relationship Id="rId7312" Type="http://schemas.openxmlformats.org/officeDocument/2006/relationships/hyperlink" Target="https://www.taylormorrison.com/" TargetMode="External"/><Relationship Id="rId10640" Type="http://schemas.openxmlformats.org/officeDocument/2006/relationships/hyperlink" Target="https://worldwidevoyage.hokulea.com/classroom-connections-locks-canals/" TargetMode="External"/><Relationship Id="rId9484" Type="http://schemas.openxmlformats.org/officeDocument/2006/relationships/hyperlink" Target="https://www.teachengineering.org/" TargetMode="External"/><Relationship Id="rId13863" Type="http://schemas.openxmlformats.org/officeDocument/2006/relationships/hyperlink" Target="https://www.e-architect.com/articles/top-5-flooring-trends-for-2026" TargetMode="External"/><Relationship Id="rId14914" Type="http://schemas.openxmlformats.org/officeDocument/2006/relationships/hyperlink" Target="https://myinteriorpalace.com/" TargetMode="External"/><Relationship Id="rId1473" Type="http://schemas.openxmlformats.org/officeDocument/2006/relationships/hyperlink" Target="https://www.simpleshowing.com/" TargetMode="External"/><Relationship Id="rId2871" Type="http://schemas.openxmlformats.org/officeDocument/2006/relationships/hyperlink" Target="https://www.simpleshowing.com/" TargetMode="External"/><Relationship Id="rId3922" Type="http://schemas.openxmlformats.org/officeDocument/2006/relationships/hyperlink" Target="https://thecoverguy.com/" TargetMode="External"/><Relationship Id="rId8086" Type="http://schemas.openxmlformats.org/officeDocument/2006/relationships/hyperlink" Target="https://avalaunchmedia.com/digital-marketing-services/web-and-conversion/" TargetMode="External"/><Relationship Id="rId9137" Type="http://schemas.openxmlformats.org/officeDocument/2006/relationships/hyperlink" Target="https://exploreclarion.co.uk/sustainable-building-starts-with-smarter-lumber-estimates/" TargetMode="External"/><Relationship Id="rId12465" Type="http://schemas.openxmlformats.org/officeDocument/2006/relationships/hyperlink" Target="https://propertypressonline.co.uk/" TargetMode="External"/><Relationship Id="rId13516" Type="http://schemas.openxmlformats.org/officeDocument/2006/relationships/hyperlink" Target="https://myinteriorpalace.com/" TargetMode="External"/><Relationship Id="rId843" Type="http://schemas.openxmlformats.org/officeDocument/2006/relationships/hyperlink" Target="https://www.simpleshowing.com/" TargetMode="External"/><Relationship Id="rId1126" Type="http://schemas.openxmlformats.org/officeDocument/2006/relationships/hyperlink" Target="https://www.matrixbasements.com/" TargetMode="External"/><Relationship Id="rId2524" Type="http://schemas.openxmlformats.org/officeDocument/2006/relationships/hyperlink" Target="https://www.pulte.com/" TargetMode="External"/><Relationship Id="rId11067" Type="http://schemas.openxmlformats.org/officeDocument/2006/relationships/hyperlink" Target="https://www.pinoyeplans.com/" TargetMode="External"/><Relationship Id="rId12118" Type="http://schemas.openxmlformats.org/officeDocument/2006/relationships/hyperlink" Target="https://www.bobvila.com/" TargetMode="External"/><Relationship Id="rId15688" Type="http://schemas.openxmlformats.org/officeDocument/2006/relationships/hyperlink" Target="https://myinteriorpalace.com/" TargetMode="External"/><Relationship Id="rId4696" Type="http://schemas.openxmlformats.org/officeDocument/2006/relationships/hyperlink" Target="https://www.simpleshowing.com/" TargetMode="External"/><Relationship Id="rId5747" Type="http://schemas.openxmlformats.org/officeDocument/2006/relationships/hyperlink" Target="https://www.giftlips.com/blog/happy-workplace" TargetMode="External"/><Relationship Id="rId3298" Type="http://schemas.openxmlformats.org/officeDocument/2006/relationships/hyperlink" Target="https://www.pulte.com/" TargetMode="External"/><Relationship Id="rId4349" Type="http://schemas.openxmlformats.org/officeDocument/2006/relationships/hyperlink" Target="https://www.kapre.com/" TargetMode="External"/><Relationship Id="rId8220" Type="http://schemas.openxmlformats.org/officeDocument/2006/relationships/hyperlink" Target="https://smaarchviz.com/" TargetMode="External"/><Relationship Id="rId10150" Type="http://schemas.openxmlformats.org/officeDocument/2006/relationships/hyperlink" Target="https://www.teachengineering.org/" TargetMode="External"/><Relationship Id="rId11201" Type="http://schemas.openxmlformats.org/officeDocument/2006/relationships/hyperlink" Target="https://www.waterdamagespecialist.com.au/" TargetMode="External"/><Relationship Id="rId4830" Type="http://schemas.openxmlformats.org/officeDocument/2006/relationships/hyperlink" Target="https://www.ky3.com/2024/05/27/high-school-seniors-can-now-get-real-estate-license-free-this-state/" TargetMode="External"/><Relationship Id="rId13373" Type="http://schemas.openxmlformats.org/officeDocument/2006/relationships/hyperlink" Target="https://anationofmoms.com/" TargetMode="External"/><Relationship Id="rId14424" Type="http://schemas.openxmlformats.org/officeDocument/2006/relationships/hyperlink" Target="https://wanderlog.com/list/geoCategory/109032/best-baths-in-denver" TargetMode="External"/><Relationship Id="rId14771" Type="http://schemas.openxmlformats.org/officeDocument/2006/relationships/hyperlink" Target="https://www.easygaragedoorrepair.com/" TargetMode="External"/><Relationship Id="rId15822" Type="http://schemas.openxmlformats.org/officeDocument/2006/relationships/hyperlink" Target="https://hia.com.au/our-industry/housing/projects/2024/10/waters-edge" TargetMode="External"/><Relationship Id="rId2381" Type="http://schemas.openxmlformats.org/officeDocument/2006/relationships/hyperlink" Target="https://www.multifamily.loans/apartment-finance-blog/the-top-10-multifamily-developers-in-the-united-states/" TargetMode="External"/><Relationship Id="rId3432" Type="http://schemas.openxmlformats.org/officeDocument/2006/relationships/hyperlink" Target="https://www.simpleshowing.com/" TargetMode="External"/><Relationship Id="rId13026" Type="http://schemas.openxmlformats.org/officeDocument/2006/relationships/hyperlink" Target="https://www.nottingham.co.uk/listing/1389372-Shakespeare-Martineau/" TargetMode="External"/><Relationship Id="rId353" Type="http://schemas.openxmlformats.org/officeDocument/2006/relationships/hyperlink" Target="https://clearsurance.com/blog/ho6-insurance-policy" TargetMode="External"/><Relationship Id="rId2034" Type="http://schemas.openxmlformats.org/officeDocument/2006/relationships/hyperlink" Target="https://www.simpleshowing.com/" TargetMode="External"/><Relationship Id="rId15198" Type="http://schemas.openxmlformats.org/officeDocument/2006/relationships/hyperlink" Target="https://www.harpersbazaar.com/uk/culture/homes/g32307532/best-luxury-designer-board-games/" TargetMode="External"/><Relationship Id="rId5257" Type="http://schemas.openxmlformats.org/officeDocument/2006/relationships/hyperlink" Target="https://www.diplomaframe.com/chc-blog/why-a-custom-diploma-frame-is-worth-the-investment-for-your-career/" TargetMode="External"/><Relationship Id="rId6655" Type="http://schemas.openxmlformats.org/officeDocument/2006/relationships/hyperlink" Target="https://www.simpleshowing.com/" TargetMode="External"/><Relationship Id="rId7706" Type="http://schemas.openxmlformats.org/officeDocument/2006/relationships/hyperlink" Target="https://discoverlakelanier.com/" TargetMode="External"/><Relationship Id="rId16249" Type="http://schemas.openxmlformats.org/officeDocument/2006/relationships/hyperlink" Target="https://myinteriorpalace.com/" TargetMode="External"/><Relationship Id="rId6308" Type="http://schemas.openxmlformats.org/officeDocument/2006/relationships/hyperlink" Target="https://www.simpleshowing.com/" TargetMode="External"/><Relationship Id="rId9878" Type="http://schemas.openxmlformats.org/officeDocument/2006/relationships/hyperlink" Target="https://wiki.ezvid.com/best-tree-swings" TargetMode="External"/><Relationship Id="rId12859" Type="http://schemas.openxmlformats.org/officeDocument/2006/relationships/hyperlink" Target="https://propertypressonline.co.uk/" TargetMode="External"/><Relationship Id="rId1867" Type="http://schemas.openxmlformats.org/officeDocument/2006/relationships/hyperlink" Target="https://wolfriverelectric.com/" TargetMode="External"/><Relationship Id="rId2918" Type="http://schemas.openxmlformats.org/officeDocument/2006/relationships/hyperlink" Target="https://www.realestateone.com/MI/Macomb/Macomb/51410-Green-Meadows-Drive-Macomb-MI-48042/20251053965-MIRC" TargetMode="External"/><Relationship Id="rId14281" Type="http://schemas.openxmlformats.org/officeDocument/2006/relationships/hyperlink" Target="https://myinteriorpalace.com/" TargetMode="External"/><Relationship Id="rId15332" Type="http://schemas.openxmlformats.org/officeDocument/2006/relationships/hyperlink" Target="https://www.luxdeco.com/" TargetMode="External"/><Relationship Id="rId4340" Type="http://schemas.openxmlformats.org/officeDocument/2006/relationships/hyperlink" Target="https://www.kapre.com/" TargetMode="External"/><Relationship Id="rId8961" Type="http://schemas.openxmlformats.org/officeDocument/2006/relationships/hyperlink" Target="https://www.pinoyeplans.com/" TargetMode="External"/><Relationship Id="rId7563" Type="http://schemas.openxmlformats.org/officeDocument/2006/relationships/hyperlink" Target="http://money.mymotherlode.com/clarkebroadcasting.mymotherlode/article/ibnspotlights-2024-1-18-taylor-morrison-home-corp-nyse-tmhc-making-surprising-moves-in-thursday-session" TargetMode="External"/><Relationship Id="rId8614" Type="http://schemas.openxmlformats.org/officeDocument/2006/relationships/hyperlink" Target="https://m.insidertracking.com/buyers-advocate-melbourne-s-trusted-vendor-advocacy-experts-report-shows-the-importance-of-professional-guidance-amid-falling-house-prices" TargetMode="External"/><Relationship Id="rId10891" Type="http://schemas.openxmlformats.org/officeDocument/2006/relationships/hyperlink" Target="https://www.teachengineering.org/" TargetMode="External"/><Relationship Id="rId11942" Type="http://schemas.openxmlformats.org/officeDocument/2006/relationships/hyperlink" Target="https://www.stikwood.com/blogs/workbench/mdf-vs-wood-the-ultimate-guide" TargetMode="External"/><Relationship Id="rId6165" Type="http://schemas.openxmlformats.org/officeDocument/2006/relationships/hyperlink" Target="https://citationbuilderpro.com/blog/reputation-of-business-measured-in-terms-of-money/" TargetMode="External"/><Relationship Id="rId7216" Type="http://schemas.openxmlformats.org/officeDocument/2006/relationships/hyperlink" Target="https://www.taylormorrison.com/" TargetMode="External"/><Relationship Id="rId10544" Type="http://schemas.openxmlformats.org/officeDocument/2006/relationships/hyperlink" Target="https://www.etstatefair.com/p/academic-rodeo/ar-contests/engineering-challenge" TargetMode="External"/><Relationship Id="rId9388" Type="http://schemas.openxmlformats.org/officeDocument/2006/relationships/hyperlink" Target="https://www.teachengineering.org/" TargetMode="External"/><Relationship Id="rId13767" Type="http://schemas.openxmlformats.org/officeDocument/2006/relationships/hyperlink" Target="https://www.microfiberwholesale.com/blogs/blog/top-80-blogs-for-cleaning-inspiration" TargetMode="External"/><Relationship Id="rId14818" Type="http://schemas.openxmlformats.org/officeDocument/2006/relationships/hyperlink" Target="https://myinteriorpalace.com/" TargetMode="External"/><Relationship Id="rId2775" Type="http://schemas.openxmlformats.org/officeDocument/2006/relationships/hyperlink" Target="https://www.simpleshowing.com/" TargetMode="External"/><Relationship Id="rId3826" Type="http://schemas.openxmlformats.org/officeDocument/2006/relationships/hyperlink" Target="https://thecoverguy.com/" TargetMode="External"/><Relationship Id="rId12369" Type="http://schemas.openxmlformats.org/officeDocument/2006/relationships/hyperlink" Target="https://propertypressonline.co.uk/" TargetMode="External"/><Relationship Id="rId16240" Type="http://schemas.openxmlformats.org/officeDocument/2006/relationships/hyperlink" Target="https://myinteriorpalace.com/" TargetMode="External"/><Relationship Id="rId747" Type="http://schemas.openxmlformats.org/officeDocument/2006/relationships/hyperlink" Target="https://www.carolinadesigns.com/" TargetMode="External"/><Relationship Id="rId1377" Type="http://schemas.openxmlformats.org/officeDocument/2006/relationships/hyperlink" Target="https://www.simpleshowing.com/" TargetMode="External"/><Relationship Id="rId2428" Type="http://schemas.openxmlformats.org/officeDocument/2006/relationships/hyperlink" Target="https://www.pulte.com/" TargetMode="External"/><Relationship Id="rId5998" Type="http://schemas.openxmlformats.org/officeDocument/2006/relationships/hyperlink" Target="https://www.simpleshowing.com/" TargetMode="External"/><Relationship Id="rId83" Type="http://schemas.openxmlformats.org/officeDocument/2006/relationships/hyperlink" Target="http://same-vol.org/" TargetMode="External"/><Relationship Id="rId8471" Type="http://schemas.openxmlformats.org/officeDocument/2006/relationships/hyperlink" Target="https://www.pinoyeplans.com/" TargetMode="External"/><Relationship Id="rId9522" Type="http://schemas.openxmlformats.org/officeDocument/2006/relationships/hyperlink" Target="https://www.pinoyeplans.com/" TargetMode="External"/><Relationship Id="rId11452" Type="http://schemas.openxmlformats.org/officeDocument/2006/relationships/hyperlink" Target="https://metro.co.uk/2025/06/24/this-long-takes-sell-a-home-uk-city-23491888/" TargetMode="External"/><Relationship Id="rId12503" Type="http://schemas.openxmlformats.org/officeDocument/2006/relationships/hyperlink" Target="https://sturents.com/" TargetMode="External"/><Relationship Id="rId12850" Type="http://schemas.openxmlformats.org/officeDocument/2006/relationships/hyperlink" Target="https://propertypressonline.co.uk/" TargetMode="External"/><Relationship Id="rId13901" Type="http://schemas.openxmlformats.org/officeDocument/2006/relationships/hyperlink" Target="https://embeltonflooring.com/" TargetMode="External"/><Relationship Id="rId1511" Type="http://schemas.openxmlformats.org/officeDocument/2006/relationships/hyperlink" Target="https://www.thebluebook.com/iProView/1695168/wolf-river-electric-company/subcontractors/" TargetMode="External"/><Relationship Id="rId7073" Type="http://schemas.openxmlformats.org/officeDocument/2006/relationships/hyperlink" Target="https://www.taylormorrison.com/" TargetMode="External"/><Relationship Id="rId8124" Type="http://schemas.openxmlformats.org/officeDocument/2006/relationships/hyperlink" Target="https://whiteglovemoving.us/" TargetMode="External"/><Relationship Id="rId10054" Type="http://schemas.openxmlformats.org/officeDocument/2006/relationships/hyperlink" Target="https://www.teachengineering.org/" TargetMode="External"/><Relationship Id="rId11105" Type="http://schemas.openxmlformats.org/officeDocument/2006/relationships/hyperlink" Target="https://fashionisk.com/home-renovation-101-how-to-plan-your-project-like-a-pro/" TargetMode="External"/><Relationship Id="rId3683" Type="http://schemas.openxmlformats.org/officeDocument/2006/relationships/hyperlink" Target="https://www.olgchs.org/support-gc/communitypartnersprogram" TargetMode="External"/><Relationship Id="rId14675" Type="http://schemas.openxmlformats.org/officeDocument/2006/relationships/hyperlink" Target="https://www.easygaragedoorrepair.com/" TargetMode="External"/><Relationship Id="rId15726" Type="http://schemas.openxmlformats.org/officeDocument/2006/relationships/hyperlink" Target="https://impactwealth.org/what-adds-value-to-a-home-smart-bedroom-updates-real-estate-agents-recommend/" TargetMode="External"/><Relationship Id="rId2285" Type="http://schemas.openxmlformats.org/officeDocument/2006/relationships/hyperlink" Target="https://www.justinlandisgroup.com/georgia/cumming" TargetMode="External"/><Relationship Id="rId3336" Type="http://schemas.openxmlformats.org/officeDocument/2006/relationships/hyperlink" Target="https://www.simpleshowing.com/" TargetMode="External"/><Relationship Id="rId4734" Type="http://schemas.openxmlformats.org/officeDocument/2006/relationships/hyperlink" Target="https://www.wvva.com/2024/05/27/high-school-seniors-can-now-get-real-estate-license-free-this-state/" TargetMode="External"/><Relationship Id="rId13277" Type="http://schemas.openxmlformats.org/officeDocument/2006/relationships/hyperlink" Target="https://www.pureinvestor.co.uk/" TargetMode="External"/><Relationship Id="rId14328" Type="http://schemas.openxmlformats.org/officeDocument/2006/relationships/hyperlink" Target="http://www.linda-goodman.com/ubb/Forum1/HTML/012346.html" TargetMode="External"/><Relationship Id="rId257" Type="http://schemas.openxmlformats.org/officeDocument/2006/relationships/hyperlink" Target="http://greatbuildz.com/" TargetMode="External"/><Relationship Id="rId7957" Type="http://schemas.openxmlformats.org/officeDocument/2006/relationships/hyperlink" Target="https://www.floridaroof.com/DISTINCTIVE-ROOFING-INC-10-1742239.html" TargetMode="External"/><Relationship Id="rId10938" Type="http://schemas.openxmlformats.org/officeDocument/2006/relationships/hyperlink" Target="https://www.pinoyeplans.com/" TargetMode="External"/><Relationship Id="rId6559" Type="http://schemas.openxmlformats.org/officeDocument/2006/relationships/hyperlink" Target="https://www.thermasol.com/" TargetMode="External"/><Relationship Id="rId12360" Type="http://schemas.openxmlformats.org/officeDocument/2006/relationships/hyperlink" Target="https://propertypressonline.co.uk/" TargetMode="External"/><Relationship Id="rId13411" Type="http://schemas.openxmlformats.org/officeDocument/2006/relationships/hyperlink" Target="https://myinteriorpalace.com/" TargetMode="External"/><Relationship Id="rId9032" Type="http://schemas.openxmlformats.org/officeDocument/2006/relationships/hyperlink" Target="https://instander-official.com/top-rated-construction-estimation-services-for-your-next-build/" TargetMode="External"/><Relationship Id="rId12013" Type="http://schemas.openxmlformats.org/officeDocument/2006/relationships/hyperlink" Target="https://www.bobvila.com/" TargetMode="External"/><Relationship Id="rId15583" Type="http://schemas.openxmlformats.org/officeDocument/2006/relationships/hyperlink" Target="https://myinteriorpalace.com/" TargetMode="External"/><Relationship Id="rId1021" Type="http://schemas.openxmlformats.org/officeDocument/2006/relationships/hyperlink" Target="https://www.matrixbasements.com/" TargetMode="External"/><Relationship Id="rId4591" Type="http://schemas.openxmlformats.org/officeDocument/2006/relationships/hyperlink" Target="https://www.simpleshowing.com/" TargetMode="External"/><Relationship Id="rId5642" Type="http://schemas.openxmlformats.org/officeDocument/2006/relationships/hyperlink" Target="https://www.simpleshowing.com/" TargetMode="External"/><Relationship Id="rId14185" Type="http://schemas.openxmlformats.org/officeDocument/2006/relationships/hyperlink" Target="https://myinteriorpalace.com/" TargetMode="External"/><Relationship Id="rId15236" Type="http://schemas.openxmlformats.org/officeDocument/2006/relationships/hyperlink" Target="https://www.luxdeco.com/" TargetMode="External"/><Relationship Id="rId3193" Type="http://schemas.openxmlformats.org/officeDocument/2006/relationships/hyperlink" Target="https://www.pulte.com/" TargetMode="External"/><Relationship Id="rId4244" Type="http://schemas.openxmlformats.org/officeDocument/2006/relationships/hyperlink" Target="https://www.kapre.com/" TargetMode="External"/><Relationship Id="rId7467" Type="http://schemas.openxmlformats.org/officeDocument/2006/relationships/hyperlink" Target="https://www.9news.com/article/money/consumer/taylor-morrison-files-complaint-against-home-inspector-who-posts-videos-of-inspections-on-social-media/75-fc64bf74-360c-4f54-ac08-1d79f2af1d67" TargetMode="External"/><Relationship Id="rId8865" Type="http://schemas.openxmlformats.org/officeDocument/2006/relationships/hyperlink" Target="https://www.pinoyeplans.com/" TargetMode="External"/><Relationship Id="rId9916" Type="http://schemas.openxmlformats.org/officeDocument/2006/relationships/hyperlink" Target="https://www.teachengineering.org/" TargetMode="External"/><Relationship Id="rId10795" Type="http://schemas.openxmlformats.org/officeDocument/2006/relationships/hyperlink" Target="https://www.teachengineering.org/" TargetMode="External"/><Relationship Id="rId11846" Type="http://schemas.openxmlformats.org/officeDocument/2006/relationships/hyperlink" Target="https://www.kentonline.co.uk/dartford/news/towns-among-worst-in-country-for-fly-tipping-183724/" TargetMode="External"/><Relationship Id="rId1905" Type="http://schemas.openxmlformats.org/officeDocument/2006/relationships/hyperlink" Target="https://www.simpleshowing.com/" TargetMode="External"/><Relationship Id="rId6069" Type="http://schemas.openxmlformats.org/officeDocument/2006/relationships/hyperlink" Target="https://careers.augsburg.edu/blog/2025/04/17/the-truth-about-employee-engagement-what-actually-motivates-teams/" TargetMode="External"/><Relationship Id="rId8518" Type="http://schemas.openxmlformats.org/officeDocument/2006/relationships/hyperlink" Target="https://www.pnmmedia.com/b2b-marketing-for-architects-differentiating-your-firm-with-premium-3d-architectural-visualization-services/" TargetMode="External"/><Relationship Id="rId10448" Type="http://schemas.openxmlformats.org/officeDocument/2006/relationships/hyperlink" Target="https://www.dochub.com/fillable-form/386612-reduce-reuse-and-recycle-tips-for-kids-reusethisbag" TargetMode="External"/><Relationship Id="rId998" Type="http://schemas.openxmlformats.org/officeDocument/2006/relationships/hyperlink" Target="https://alittledelightful.com/why-finished-basements-are-a-must-have-for-modern-families/" TargetMode="External"/><Relationship Id="rId2679" Type="http://schemas.openxmlformats.org/officeDocument/2006/relationships/hyperlink" Target="https://www.simpleshowing.com/" TargetMode="External"/><Relationship Id="rId6550" Type="http://schemas.openxmlformats.org/officeDocument/2006/relationships/hyperlink" Target="https://www.thermasol.com/" TargetMode="External"/><Relationship Id="rId7601" Type="http://schemas.openxmlformats.org/officeDocument/2006/relationships/hyperlink" Target="https://www.taylormorrison.com/" TargetMode="External"/><Relationship Id="rId15093" Type="http://schemas.openxmlformats.org/officeDocument/2006/relationships/hyperlink" Target="https://sunsgoods.com/what-is-a-sectional-sofa/" TargetMode="External"/><Relationship Id="rId16144" Type="http://schemas.openxmlformats.org/officeDocument/2006/relationships/hyperlink" Target="https://myinteriorpalace.com/" TargetMode="External"/><Relationship Id="rId5152" Type="http://schemas.openxmlformats.org/officeDocument/2006/relationships/hyperlink" Target="https://www.simpleshowing.com/" TargetMode="External"/><Relationship Id="rId6203" Type="http://schemas.openxmlformats.org/officeDocument/2006/relationships/hyperlink" Target="https://luxurylifestyle.com/headlines/how-financial-infidelity-affects-a-relationship.html" TargetMode="External"/><Relationship Id="rId9773" Type="http://schemas.openxmlformats.org/officeDocument/2006/relationships/hyperlink" Target="https://hu.gatech.edu/0-hu-cv-word-htm/" TargetMode="External"/><Relationship Id="rId1762" Type="http://schemas.openxmlformats.org/officeDocument/2006/relationships/hyperlink" Target="https://wolfriverelectric.com/" TargetMode="External"/><Relationship Id="rId8375" Type="http://schemas.openxmlformats.org/officeDocument/2006/relationships/hyperlink" Target="https://www.pinoyeplans.com/" TargetMode="External"/><Relationship Id="rId9426" Type="http://schemas.openxmlformats.org/officeDocument/2006/relationships/hyperlink" Target="https://www.pinoyeplans.com/" TargetMode="External"/><Relationship Id="rId12754" Type="http://schemas.openxmlformats.org/officeDocument/2006/relationships/hyperlink" Target="https://propertypressonline.co.uk/" TargetMode="External"/><Relationship Id="rId13805" Type="http://schemas.openxmlformats.org/officeDocument/2006/relationships/hyperlink" Target="https://anationofmoms.com/" TargetMode="External"/><Relationship Id="rId1415" Type="http://schemas.openxmlformats.org/officeDocument/2006/relationships/hyperlink" Target="https://www.unfinishedman.com/rich-bathroom-inspiration/" TargetMode="External"/><Relationship Id="rId2813" Type="http://schemas.openxmlformats.org/officeDocument/2006/relationships/hyperlink" Target="https://admin.mylocal.orlandosentinel.com/rancho%20cucamonga-ca/pulte-homes-909-922-8071" TargetMode="External"/><Relationship Id="rId8028" Type="http://schemas.openxmlformats.org/officeDocument/2006/relationships/hyperlink" Target="https://insidea.com/blog/marketing/roofing-companies/top-website-design-ideas/" TargetMode="External"/><Relationship Id="rId11009" Type="http://schemas.openxmlformats.org/officeDocument/2006/relationships/hyperlink" Target="https://nmt.edu/academics/psych-ed/activities/CivilEngineering.php" TargetMode="External"/><Relationship Id="rId11356" Type="http://schemas.openxmlformats.org/officeDocument/2006/relationships/hyperlink" Target="https://alaska.propertychecker.com/distressed-properties" TargetMode="External"/><Relationship Id="rId12407" Type="http://schemas.openxmlformats.org/officeDocument/2006/relationships/hyperlink" Target="https://www.propertytribes.com/hmo-oversaturation-warning-signs-remedies-t-127636815.html" TargetMode="External"/><Relationship Id="rId15977" Type="http://schemas.openxmlformats.org/officeDocument/2006/relationships/hyperlink" Target="https://www.rwdoors.com/" TargetMode="External"/><Relationship Id="rId4985" Type="http://schemas.openxmlformats.org/officeDocument/2006/relationships/hyperlink" Target="https://www.emailsherlock.com/hosts/agentfire.com/" TargetMode="External"/><Relationship Id="rId14579" Type="http://schemas.openxmlformats.org/officeDocument/2006/relationships/hyperlink" Target="https://www.easygaragedoorrepair.com/" TargetMode="External"/><Relationship Id="rId2189" Type="http://schemas.openxmlformats.org/officeDocument/2006/relationships/hyperlink" Target="https://www.orangeobserver.com/news/2025/feb/19/arden-park-north-home-tops-ocoee-sales-from-feb-10-to-16/" TargetMode="External"/><Relationship Id="rId3587" Type="http://schemas.openxmlformats.org/officeDocument/2006/relationships/hyperlink" Target="https://teamcarver.com/5268-tipper-ave-las-vegas-real-estate-team-carver" TargetMode="External"/><Relationship Id="rId4638" Type="http://schemas.openxmlformats.org/officeDocument/2006/relationships/hyperlink" Target="https://www.simplybusiness.com/resource/do-you-need-real-estate-certification-in-florida-2/" TargetMode="External"/><Relationship Id="rId6060" Type="http://schemas.openxmlformats.org/officeDocument/2006/relationships/hyperlink" Target="https://www.simpleshowing.com/" TargetMode="External"/><Relationship Id="rId7111" Type="http://schemas.openxmlformats.org/officeDocument/2006/relationships/hyperlink" Target="https://www.taylormorrison.com/" TargetMode="External"/><Relationship Id="rId13662" Type="http://schemas.openxmlformats.org/officeDocument/2006/relationships/hyperlink" Target="https://filmdaily.co/news/discover-what-motivates-david-bolno-as-a-successful-music-business-manager/" TargetMode="External"/><Relationship Id="rId14713" Type="http://schemas.openxmlformats.org/officeDocument/2006/relationships/hyperlink" Target="https://myinteriorpalace.com/" TargetMode="External"/><Relationship Id="rId2670" Type="http://schemas.openxmlformats.org/officeDocument/2006/relationships/hyperlink" Target="https://www.simpleshowing.com/" TargetMode="External"/><Relationship Id="rId3721" Type="http://schemas.openxmlformats.org/officeDocument/2006/relationships/hyperlink" Target="https://www.overheaddoors.com/" TargetMode="External"/><Relationship Id="rId9283" Type="http://schemas.openxmlformats.org/officeDocument/2006/relationships/hyperlink" Target="https://www.teachengineering.org/" TargetMode="External"/><Relationship Id="rId12264" Type="http://schemas.openxmlformats.org/officeDocument/2006/relationships/hyperlink" Target="https://propertypressonline.co.uk/" TargetMode="External"/><Relationship Id="rId13315" Type="http://schemas.openxmlformats.org/officeDocument/2006/relationships/hyperlink" Target="https://myinteriorpalace.com/" TargetMode="External"/><Relationship Id="rId642" Type="http://schemas.openxmlformats.org/officeDocument/2006/relationships/hyperlink" Target="https://www.carolinadesigns.com/" TargetMode="External"/><Relationship Id="rId1272" Type="http://schemas.openxmlformats.org/officeDocument/2006/relationships/hyperlink" Target="https://www.simpleshowing.com/" TargetMode="External"/><Relationship Id="rId2323" Type="http://schemas.openxmlformats.org/officeDocument/2006/relationships/hyperlink" Target="https://www.collectionforsyth.com/" TargetMode="External"/><Relationship Id="rId5893" Type="http://schemas.openxmlformats.org/officeDocument/2006/relationships/hyperlink" Target="https://www.canarianweekly.com/posts/10-Financial-Habits-That-Will-Improve-Your-Life" TargetMode="External"/><Relationship Id="rId15487" Type="http://schemas.openxmlformats.org/officeDocument/2006/relationships/hyperlink" Target="https://myinteriorpalace.com/" TargetMode="External"/><Relationship Id="rId4495" Type="http://schemas.openxmlformats.org/officeDocument/2006/relationships/hyperlink" Target="https://www.simpleshowing.com/" TargetMode="External"/><Relationship Id="rId5546" Type="http://schemas.openxmlformats.org/officeDocument/2006/relationships/hyperlink" Target="https://www.simpleshowing.com/" TargetMode="External"/><Relationship Id="rId6944" Type="http://schemas.openxmlformats.org/officeDocument/2006/relationships/hyperlink" Target="https://www.taylormorrison.com/" TargetMode="External"/><Relationship Id="rId14089" Type="http://schemas.openxmlformats.org/officeDocument/2006/relationships/hyperlink" Target="https://myinteriorpalace.com/" TargetMode="External"/><Relationship Id="rId3097" Type="http://schemas.openxmlformats.org/officeDocument/2006/relationships/hyperlink" Target="https://www.pulte.com/" TargetMode="External"/><Relationship Id="rId4148" Type="http://schemas.openxmlformats.org/officeDocument/2006/relationships/hyperlink" Target="https://fortune.com/education/articles/best-real-estate-schools/" TargetMode="External"/><Relationship Id="rId8769" Type="http://schemas.openxmlformats.org/officeDocument/2006/relationships/hyperlink" Target="https://propertychecker.com/" TargetMode="External"/><Relationship Id="rId10699" Type="http://schemas.openxmlformats.org/officeDocument/2006/relationships/hyperlink" Target="https://www.teachengineering.org/" TargetMode="External"/><Relationship Id="rId11000" Type="http://schemas.openxmlformats.org/officeDocument/2006/relationships/hyperlink" Target="https://elearning.coco-mat.com/essential_old/style/4yhva/article.php?tag=how-do-engineering-students-study" TargetMode="External"/><Relationship Id="rId14570" Type="http://schemas.openxmlformats.org/officeDocument/2006/relationships/hyperlink" Target="https://www.easygaragedoorrepair.com/" TargetMode="External"/><Relationship Id="rId15621" Type="http://schemas.openxmlformats.org/officeDocument/2006/relationships/hyperlink" Target="https://www.corporatevision-news.com/the-most-productive-colour-to-paint-your-home-working-space/" TargetMode="External"/><Relationship Id="rId1809" Type="http://schemas.openxmlformats.org/officeDocument/2006/relationships/hyperlink" Target="https://www.simpleshowing.com/" TargetMode="External"/><Relationship Id="rId13172" Type="http://schemas.openxmlformats.org/officeDocument/2006/relationships/hyperlink" Target="https://www.shma.co.uk/" TargetMode="External"/><Relationship Id="rId14223" Type="http://schemas.openxmlformats.org/officeDocument/2006/relationships/hyperlink" Target="https://www.setouchi.travel/de/media/" TargetMode="External"/><Relationship Id="rId2180" Type="http://schemas.openxmlformats.org/officeDocument/2006/relationships/hyperlink" Target="https://www.bignewsnetwork.com/news/278234468/how-smart-home-technology-is-reshaping-property-values-and-buyer-expectations" TargetMode="External"/><Relationship Id="rId3231" Type="http://schemas.openxmlformats.org/officeDocument/2006/relationships/hyperlink" Target="https://www.simpleshowing.com/" TargetMode="External"/><Relationship Id="rId7852" Type="http://schemas.openxmlformats.org/officeDocument/2006/relationships/hyperlink" Target="http://eg-web.georgialibraries.org/conference/2020-evergreen-international-conference/local/" TargetMode="External"/><Relationship Id="rId8903" Type="http://schemas.openxmlformats.org/officeDocument/2006/relationships/hyperlink" Target="https://www.wccbcharlotte.com/2025/07/10/above-average-summer-heat-causing-more-bugs-to-come-into-homes/" TargetMode="External"/><Relationship Id="rId152" Type="http://schemas.openxmlformats.org/officeDocument/2006/relationships/hyperlink" Target="https://www.cityhomecollective.com/" TargetMode="External"/><Relationship Id="rId6454" Type="http://schemas.openxmlformats.org/officeDocument/2006/relationships/hyperlink" Target="https://www.thermasol.com/" TargetMode="External"/><Relationship Id="rId7505" Type="http://schemas.openxmlformats.org/officeDocument/2006/relationships/hyperlink" Target="https://www.taylormorrison.com/" TargetMode="External"/><Relationship Id="rId10833" Type="http://schemas.openxmlformats.org/officeDocument/2006/relationships/hyperlink" Target="https://www.pinoyeplans.com/" TargetMode="External"/><Relationship Id="rId16048" Type="http://schemas.openxmlformats.org/officeDocument/2006/relationships/hyperlink" Target="https://myinteriorpalace.com/" TargetMode="External"/><Relationship Id="rId5056" Type="http://schemas.openxmlformats.org/officeDocument/2006/relationships/hyperlink" Target="https://www.simpleshowing.com/" TargetMode="External"/><Relationship Id="rId6107" Type="http://schemas.openxmlformats.org/officeDocument/2006/relationships/hyperlink" Target="https://www.noupe.com/magazine/essentials/why-term-insurance-policies-are-the-best-choice-for-people-in-debt.html" TargetMode="External"/><Relationship Id="rId9677" Type="http://schemas.openxmlformats.org/officeDocument/2006/relationships/hyperlink" Target="https://www.zenadrone.com/architecture-and-construction/" TargetMode="External"/><Relationship Id="rId8279" Type="http://schemas.openxmlformats.org/officeDocument/2006/relationships/hyperlink" Target="https://www.pinoyeplans.com/" TargetMode="External"/><Relationship Id="rId12658" Type="http://schemas.openxmlformats.org/officeDocument/2006/relationships/hyperlink" Target="https://propertypressonline.co.uk/" TargetMode="External"/><Relationship Id="rId13709" Type="http://schemas.openxmlformats.org/officeDocument/2006/relationships/hyperlink" Target="https://anationofmoms.com/" TargetMode="External"/><Relationship Id="rId1666" Type="http://schemas.openxmlformats.org/officeDocument/2006/relationships/hyperlink" Target="https://wolfriverelectric.com/" TargetMode="External"/><Relationship Id="rId2717" Type="http://schemas.openxmlformats.org/officeDocument/2006/relationships/hyperlink" Target="https://www.localprofile.com/real-estate/2200-single-family-homes-planned-for-van-alstyne-texas-9686716" TargetMode="External"/><Relationship Id="rId14080" Type="http://schemas.openxmlformats.org/officeDocument/2006/relationships/hyperlink" Target="https://myinteriorpalace.com/" TargetMode="External"/><Relationship Id="rId15131" Type="http://schemas.openxmlformats.org/officeDocument/2006/relationships/hyperlink" Target="https://www.luxdeco.com/" TargetMode="External"/><Relationship Id="rId1319" Type="http://schemas.openxmlformats.org/officeDocument/2006/relationships/hyperlink" Target="https://lovinmalta.com/accomodation/discover-maltas-newest-property-platform-built-for-the-future-of-real-estate/" TargetMode="External"/><Relationship Id="rId4889" Type="http://schemas.openxmlformats.org/officeDocument/2006/relationships/hyperlink" Target="https://colorwhistle.com/real-estate-digital-marketing-case-studies/" TargetMode="External"/><Relationship Id="rId8760" Type="http://schemas.openxmlformats.org/officeDocument/2006/relationships/hyperlink" Target="https://propertychecker.com/" TargetMode="External"/><Relationship Id="rId9811" Type="http://schemas.openxmlformats.org/officeDocument/2006/relationships/hyperlink" Target="https://www.teachengineering.org/" TargetMode="External"/><Relationship Id="rId10690" Type="http://schemas.openxmlformats.org/officeDocument/2006/relationships/hyperlink" Target="https://www.teachengineering.org/" TargetMode="External"/><Relationship Id="rId11741" Type="http://schemas.openxmlformats.org/officeDocument/2006/relationships/hyperlink" Target="https://www.sehbac.com/blog/how-to-soundproof-home-and-increase-value" TargetMode="External"/><Relationship Id="rId25" Type="http://schemas.openxmlformats.org/officeDocument/2006/relationships/hyperlink" Target="https://www.oceanhomemag.com/uncategorized/tips-for-growing-your-real-estate-business/" TargetMode="External"/><Relationship Id="rId1800" Type="http://schemas.openxmlformats.org/officeDocument/2006/relationships/hyperlink" Target="https://www.simpleshowing.com/" TargetMode="External"/><Relationship Id="rId7362" Type="http://schemas.openxmlformats.org/officeDocument/2006/relationships/hyperlink" Target="https://www.taylormorrison.com/" TargetMode="External"/><Relationship Id="rId8413" Type="http://schemas.openxmlformats.org/officeDocument/2006/relationships/hyperlink" Target="https://24-hour-flood-pros-llc.careerplug.com/account?locale=es" TargetMode="External"/><Relationship Id="rId10343" Type="http://schemas.openxmlformats.org/officeDocument/2006/relationships/hyperlink" Target="https://groups.cs.umass.edu/makerspace/exceptional-reference-material/" TargetMode="External"/><Relationship Id="rId3972" Type="http://schemas.openxmlformats.org/officeDocument/2006/relationships/hyperlink" Target="https://www.simpleshowing.com/" TargetMode="External"/><Relationship Id="rId7015" Type="http://schemas.openxmlformats.org/officeDocument/2006/relationships/hyperlink" Target="https://www.simpleshowing.com/" TargetMode="External"/><Relationship Id="rId14964" Type="http://schemas.openxmlformats.org/officeDocument/2006/relationships/hyperlink" Target="https://www.bigoxprinting.com/blogs/color-guides/colors-that-go-with-gray" TargetMode="External"/><Relationship Id="rId893" Type="http://schemas.openxmlformats.org/officeDocument/2006/relationships/hyperlink" Target="https://news.marketersmedia.com/absolute-pest-management-launches-campaign-to-eliminate-bedbugs-and-future-outbreaks/8991" TargetMode="External"/><Relationship Id="rId2574" Type="http://schemas.openxmlformats.org/officeDocument/2006/relationships/hyperlink" Target="https://www.simpleshowing.com/" TargetMode="External"/><Relationship Id="rId3625" Type="http://schemas.openxmlformats.org/officeDocument/2006/relationships/hyperlink" Target="https://www.pulte.com/" TargetMode="External"/><Relationship Id="rId9187" Type="http://schemas.openxmlformats.org/officeDocument/2006/relationships/hyperlink" Target="https://nycestimating.us/" TargetMode="External"/><Relationship Id="rId12168" Type="http://schemas.openxmlformats.org/officeDocument/2006/relationships/hyperlink" Target="https://www.hamiltoninternationalestates.com/" TargetMode="External"/><Relationship Id="rId13219" Type="http://schemas.openxmlformats.org/officeDocument/2006/relationships/hyperlink" Target="https://propertypressonline.co.uk/" TargetMode="External"/><Relationship Id="rId13566" Type="http://schemas.openxmlformats.org/officeDocument/2006/relationships/hyperlink" Target="https://craftsyhacks.com/seashell-crafts/" TargetMode="External"/><Relationship Id="rId14617" Type="http://schemas.openxmlformats.org/officeDocument/2006/relationships/hyperlink" Target="https://myinteriorpalace.com/" TargetMode="External"/><Relationship Id="rId546" Type="http://schemas.openxmlformats.org/officeDocument/2006/relationships/hyperlink" Target="https://www.carolinadesigns.com/" TargetMode="External"/><Relationship Id="rId1176" Type="http://schemas.openxmlformats.org/officeDocument/2006/relationships/hyperlink" Target="https://www.simpleshowing.com/" TargetMode="External"/><Relationship Id="rId2227" Type="http://schemas.openxmlformats.org/officeDocument/2006/relationships/hyperlink" Target="https://cheapplumber.ca/" TargetMode="External"/><Relationship Id="rId4399" Type="http://schemas.openxmlformats.org/officeDocument/2006/relationships/hyperlink" Target="https://www.simpleshowing.com/" TargetMode="External"/><Relationship Id="rId5797" Type="http://schemas.openxmlformats.org/officeDocument/2006/relationships/hyperlink" Target="https://theworldonmynecklace.com/cut-down-on-stress-on-vacation/" TargetMode="External"/><Relationship Id="rId6848" Type="http://schemas.openxmlformats.org/officeDocument/2006/relationships/hyperlink" Target="https://info.hyphensolutions.com/company/customer-stories/taylor-morrison-homes/" TargetMode="External"/><Relationship Id="rId8270" Type="http://schemas.openxmlformats.org/officeDocument/2006/relationships/hyperlink" Target="https://www.pinoyeplans.com/" TargetMode="External"/><Relationship Id="rId13700" Type="http://schemas.openxmlformats.org/officeDocument/2006/relationships/hyperlink" Target="https://anationofmoms.com/" TargetMode="External"/><Relationship Id="rId9321" Type="http://schemas.openxmlformats.org/officeDocument/2006/relationships/hyperlink" Target="https://www.pinoyeplans.com/" TargetMode="External"/><Relationship Id="rId11251" Type="http://schemas.openxmlformats.org/officeDocument/2006/relationships/hyperlink" Target="https://www.waterdamagespecialist.com.au/" TargetMode="External"/><Relationship Id="rId12302" Type="http://schemas.openxmlformats.org/officeDocument/2006/relationships/hyperlink" Target="https://musictune43.bitbucket.io/how-to-claim-council-tax-relief.html" TargetMode="External"/><Relationship Id="rId15872" Type="http://schemas.openxmlformats.org/officeDocument/2006/relationships/hyperlink" Target="https://www.modinex.com.au/" TargetMode="External"/><Relationship Id="rId1310" Type="http://schemas.openxmlformats.org/officeDocument/2006/relationships/hyperlink" Target="https://neoreach.com/best-real-estate-social-media-campaigns-and-influencers/" TargetMode="External"/><Relationship Id="rId4880" Type="http://schemas.openxmlformats.org/officeDocument/2006/relationships/hyperlink" Target="https://www.simpleshowing.com/" TargetMode="External"/><Relationship Id="rId5931" Type="http://schemas.openxmlformats.org/officeDocument/2006/relationships/hyperlink" Target="https://ravallirepublic.com/news/nation-world/business/personal-finance/article_5472b389-6e76-500b-a5cf-dc8ef0734c6c.html" TargetMode="External"/><Relationship Id="rId14474" Type="http://schemas.openxmlformats.org/officeDocument/2006/relationships/hyperlink" Target="https://raynordoor.com/" TargetMode="External"/><Relationship Id="rId15525" Type="http://schemas.openxmlformats.org/officeDocument/2006/relationships/hyperlink" Target="https://captainbobcat.com/thinking-of-moving-to-italy-design-tips-for-a-beautiful-home-in-the-heart-of-the-mediterranean/" TargetMode="External"/><Relationship Id="rId3482" Type="http://schemas.openxmlformats.org/officeDocument/2006/relationships/hyperlink" Target="http://user.xmission.com/~realtor1/rg-us.htm" TargetMode="External"/><Relationship Id="rId4533" Type="http://schemas.openxmlformats.org/officeDocument/2006/relationships/hyperlink" Target="https://www.builtinla.com/articles/career-paths-entrepreneur-teens-shouldnt-overlook" TargetMode="External"/><Relationship Id="rId13076" Type="http://schemas.openxmlformats.org/officeDocument/2006/relationships/hyperlink" Target="https://www.shma.co.uk/" TargetMode="External"/><Relationship Id="rId14127" Type="http://schemas.openxmlformats.org/officeDocument/2006/relationships/hyperlink" Target="https://gharpedia.com/blog/year-round-outdoor-space-maintenance-tips/" TargetMode="External"/><Relationship Id="rId2084" Type="http://schemas.openxmlformats.org/officeDocument/2006/relationships/hyperlink" Target="https://www.instantcheckmate.com/people/rachel-jackson/" TargetMode="External"/><Relationship Id="rId3135" Type="http://schemas.openxmlformats.org/officeDocument/2006/relationships/hyperlink" Target="https://www.simpleshowing.com/" TargetMode="External"/><Relationship Id="rId7756" Type="http://schemas.openxmlformats.org/officeDocument/2006/relationships/hyperlink" Target="https://discoverlakelanier.com/" TargetMode="External"/><Relationship Id="rId6358" Type="http://schemas.openxmlformats.org/officeDocument/2006/relationships/hyperlink" Target="https://www.simpleshowing.com/" TargetMode="External"/><Relationship Id="rId7409" Type="http://schemas.openxmlformats.org/officeDocument/2006/relationships/hyperlink" Target="https://www.simpleshowing.com/" TargetMode="External"/><Relationship Id="rId8807" Type="http://schemas.openxmlformats.org/officeDocument/2006/relationships/hyperlink" Target="https://huliq.com/understanding-property-taxes/" TargetMode="External"/><Relationship Id="rId10737" Type="http://schemas.openxmlformats.org/officeDocument/2006/relationships/hyperlink" Target="https://www.pinoyeplans.com/" TargetMode="External"/><Relationship Id="rId13210" Type="http://schemas.openxmlformats.org/officeDocument/2006/relationships/hyperlink" Target="https://propertypressonline.co.uk/" TargetMode="External"/><Relationship Id="rId2968" Type="http://schemas.openxmlformats.org/officeDocument/2006/relationships/hyperlink" Target="https://www.pulte.com/" TargetMode="External"/><Relationship Id="rId15382" Type="http://schemas.openxmlformats.org/officeDocument/2006/relationships/hyperlink" Target="https://myinteriorpalace.com/" TargetMode="External"/><Relationship Id="rId4390" Type="http://schemas.openxmlformats.org/officeDocument/2006/relationships/hyperlink" Target="https://www.simpleshowing.com/" TargetMode="External"/><Relationship Id="rId5441" Type="http://schemas.openxmlformats.org/officeDocument/2006/relationships/hyperlink" Target="https://www.parkingmadeeasy.com.au/blog/how-start-car-parking-rental-business" TargetMode="External"/><Relationship Id="rId15035" Type="http://schemas.openxmlformats.org/officeDocument/2006/relationships/hyperlink" Target="https://www.luxdeco.com/" TargetMode="External"/><Relationship Id="rId4043" Type="http://schemas.openxmlformats.org/officeDocument/2006/relationships/hyperlink" Target="https://mylocal.capitalgazette.com/westminster-md/apple-plumbing-and-heating-410-840-8118" TargetMode="External"/><Relationship Id="rId8664" Type="http://schemas.openxmlformats.org/officeDocument/2006/relationships/hyperlink" Target="https://perlelectrical.co.nz/" TargetMode="External"/><Relationship Id="rId9715" Type="http://schemas.openxmlformats.org/officeDocument/2006/relationships/hyperlink" Target="https://www.teachengineering.org/" TargetMode="External"/><Relationship Id="rId10594" Type="http://schemas.openxmlformats.org/officeDocument/2006/relationships/hyperlink" Target="https://www.teachengineering.org/" TargetMode="External"/><Relationship Id="rId11992" Type="http://schemas.openxmlformats.org/officeDocument/2006/relationships/hyperlink" Target="https://www.bobvila.com/" TargetMode="External"/><Relationship Id="rId1704" Type="http://schemas.openxmlformats.org/officeDocument/2006/relationships/hyperlink" Target="https://www.simpleshowing.com/" TargetMode="External"/><Relationship Id="rId7266" Type="http://schemas.openxmlformats.org/officeDocument/2006/relationships/hyperlink" Target="https://www.taylormorrison.com/" TargetMode="External"/><Relationship Id="rId8317" Type="http://schemas.openxmlformats.org/officeDocument/2006/relationships/hyperlink" Target="https://xpressmag.com.au/how-to-use-lighting-to-change-the-mood-of-a-living-room/" TargetMode="External"/><Relationship Id="rId10247" Type="http://schemas.openxmlformats.org/officeDocument/2006/relationships/hyperlink" Target="https://eoncoat.com/how-can-we-offer-a-30-year-warranty-when-others-dont/" TargetMode="External"/><Relationship Id="rId11645" Type="http://schemas.openxmlformats.org/officeDocument/2006/relationships/hyperlink" Target="https://www.totalguidetodorset.com/lifestyle/how-the-rich-and-famous-buy-and-sell-their-exorbitant-homes/" TargetMode="External"/><Relationship Id="rId14868" Type="http://schemas.openxmlformats.org/officeDocument/2006/relationships/hyperlink" Target="https://wsbsport.com/en/5-things-to-know-about-the-profit-of-indoor-sport-facilities/" TargetMode="External"/><Relationship Id="rId15919" Type="http://schemas.openxmlformats.org/officeDocument/2006/relationships/hyperlink" Target="https://myinteriorpalace.com/" TargetMode="External"/><Relationship Id="rId797" Type="http://schemas.openxmlformats.org/officeDocument/2006/relationships/hyperlink" Target="https://www.simpleshowing.com/" TargetMode="External"/><Relationship Id="rId2478" Type="http://schemas.openxmlformats.org/officeDocument/2006/relationships/hyperlink" Target="https://www.simpleshowing.com/" TargetMode="External"/><Relationship Id="rId3876" Type="http://schemas.openxmlformats.org/officeDocument/2006/relationships/hyperlink" Target="https://www.simpleshowing.com/" TargetMode="External"/><Relationship Id="rId4927" Type="http://schemas.openxmlformats.org/officeDocument/2006/relationships/hyperlink" Target="https://www.voicedrop.ai/kvcore-integration/" TargetMode="External"/><Relationship Id="rId3529" Type="http://schemas.openxmlformats.org/officeDocument/2006/relationships/hyperlink" Target="https://www.pulte.com/" TargetMode="External"/><Relationship Id="rId6002" Type="http://schemas.openxmlformats.org/officeDocument/2006/relationships/hyperlink" Target="https://www.simpleshowing.com/" TargetMode="External"/><Relationship Id="rId7400" Type="http://schemas.openxmlformats.org/officeDocument/2006/relationships/hyperlink" Target="https://www.simpleshowing.com/" TargetMode="External"/><Relationship Id="rId13951" Type="http://schemas.openxmlformats.org/officeDocument/2006/relationships/hyperlink" Target="https://myinteriorpalace.com/" TargetMode="External"/><Relationship Id="rId9572" Type="http://schemas.openxmlformats.org/officeDocument/2006/relationships/hyperlink" Target="https://open.ocolearnok.org/biolab/chapter/fermentation-lab/" TargetMode="External"/><Relationship Id="rId12553" Type="http://schemas.openxmlformats.org/officeDocument/2006/relationships/hyperlink" Target="https://propertypressonline.co.uk/" TargetMode="External"/><Relationship Id="rId13604" Type="http://schemas.openxmlformats.org/officeDocument/2006/relationships/hyperlink" Target="https://anationofmoms.com/" TargetMode="External"/><Relationship Id="rId931" Type="http://schemas.openxmlformats.org/officeDocument/2006/relationships/hyperlink" Target="https://www.matrixbasements.com/" TargetMode="External"/><Relationship Id="rId1561" Type="http://schemas.openxmlformats.org/officeDocument/2006/relationships/hyperlink" Target="https://wolfriverelectric.com/" TargetMode="External"/><Relationship Id="rId2612" Type="http://schemas.openxmlformats.org/officeDocument/2006/relationships/hyperlink" Target="https://inchargeelectricalservices.com/partners/" TargetMode="External"/><Relationship Id="rId8174" Type="http://schemas.openxmlformats.org/officeDocument/2006/relationships/hyperlink" Target="https://www.pinoyeplans.com/" TargetMode="External"/><Relationship Id="rId9225" Type="http://schemas.openxmlformats.org/officeDocument/2006/relationships/hyperlink" Target="https://www.pinoyeplans.com/" TargetMode="External"/><Relationship Id="rId11155" Type="http://schemas.openxmlformats.org/officeDocument/2006/relationships/hyperlink" Target="https://www.pinoyeplans.com/" TargetMode="External"/><Relationship Id="rId12206" Type="http://schemas.openxmlformats.org/officeDocument/2006/relationships/hyperlink" Target="https://www.guildmortgage.com/blog/how-much-does-pool-maintenance-cost/" TargetMode="External"/><Relationship Id="rId15776" Type="http://schemas.openxmlformats.org/officeDocument/2006/relationships/hyperlink" Target="https://www.modinex.com.au/" TargetMode="External"/><Relationship Id="rId1214" Type="http://schemas.openxmlformats.org/officeDocument/2006/relationships/hyperlink" Target="https://diib.com/featuredmembers/category/our-clients/page/761/" TargetMode="External"/><Relationship Id="rId4784" Type="http://schemas.openxmlformats.org/officeDocument/2006/relationships/hyperlink" Target="https://www.kapre.com/" TargetMode="External"/><Relationship Id="rId5835" Type="http://schemas.openxmlformats.org/officeDocument/2006/relationships/hyperlink" Target="https://herald-review.com/news/nation-world/business/personal-finance/article_4e2e061e-935c-5b35-aff6-f6e79bcde529.html" TargetMode="External"/><Relationship Id="rId14378" Type="http://schemas.openxmlformats.org/officeDocument/2006/relationships/hyperlink" Target="https://luxurylifestyle.com/" TargetMode="External"/><Relationship Id="rId15429" Type="http://schemas.openxmlformats.org/officeDocument/2006/relationships/hyperlink" Target="https://www.trustprofile.com/webshop/LuxDeco_4066140" TargetMode="External"/><Relationship Id="rId3386" Type="http://schemas.openxmlformats.org/officeDocument/2006/relationships/hyperlink" Target="https://foxsanantonio.com/news/local/experts-share-how-to-avoid-problems-when-purchasing-your-new-home" TargetMode="External"/><Relationship Id="rId4437" Type="http://schemas.openxmlformats.org/officeDocument/2006/relationships/hyperlink" Target="https://www.21alivenews.com/2024/05/27/high-school-seniors-can-now-get-real-estate-license-free-this-state/" TargetMode="External"/><Relationship Id="rId3039" Type="http://schemas.openxmlformats.org/officeDocument/2006/relationships/hyperlink" Target="https://www.simpleshowing.com/" TargetMode="External"/><Relationship Id="rId10988" Type="http://schemas.openxmlformats.org/officeDocument/2006/relationships/hyperlink" Target="https://blog.dsstpublicschools.org/helix/project-create-week-2-challenge-is-here" TargetMode="External"/><Relationship Id="rId15910" Type="http://schemas.openxmlformats.org/officeDocument/2006/relationships/hyperlink" Target="https://myinteriorpalace.com/" TargetMode="External"/><Relationship Id="rId9082" Type="http://schemas.openxmlformats.org/officeDocument/2006/relationships/hyperlink" Target="https://nycestimating.us/" TargetMode="External"/><Relationship Id="rId13461" Type="http://schemas.openxmlformats.org/officeDocument/2006/relationships/hyperlink" Target="https://www.aroundmyfamilytable.com/veggie-fried-rice/" TargetMode="External"/><Relationship Id="rId14512" Type="http://schemas.openxmlformats.org/officeDocument/2006/relationships/hyperlink" Target="https://myinteriorpalace.com/" TargetMode="External"/><Relationship Id="rId3520" Type="http://schemas.openxmlformats.org/officeDocument/2006/relationships/hyperlink" Target="https://www.pulte.com/" TargetMode="External"/><Relationship Id="rId12063" Type="http://schemas.openxmlformats.org/officeDocument/2006/relationships/hyperlink" Target="https://www.hamiltoninternationalestates.com/" TargetMode="External"/><Relationship Id="rId13114" Type="http://schemas.openxmlformats.org/officeDocument/2006/relationships/hyperlink" Target="https://propertypressonline.co.uk/" TargetMode="External"/><Relationship Id="rId441" Type="http://schemas.openxmlformats.org/officeDocument/2006/relationships/hyperlink" Target="https://www.carolinadesigns.com/" TargetMode="External"/><Relationship Id="rId1071" Type="http://schemas.openxmlformats.org/officeDocument/2006/relationships/hyperlink" Target="https://www.simpleshowing.com/" TargetMode="External"/><Relationship Id="rId2122" Type="http://schemas.openxmlformats.org/officeDocument/2006/relationships/hyperlink" Target="https://markspain.com/" TargetMode="External"/><Relationship Id="rId5692" Type="http://schemas.openxmlformats.org/officeDocument/2006/relationships/hyperlink" Target="https://www.simpleshowing.com/" TargetMode="External"/><Relationship Id="rId6743" Type="http://schemas.openxmlformats.org/officeDocument/2006/relationships/hyperlink" Target="https://greenbrickpartners.com/" TargetMode="External"/><Relationship Id="rId15286" Type="http://schemas.openxmlformats.org/officeDocument/2006/relationships/hyperlink" Target="https://myinteriorpalace.com/" TargetMode="External"/><Relationship Id="rId4294" Type="http://schemas.openxmlformats.org/officeDocument/2006/relationships/hyperlink" Target="https://www.simpleshowing.com/" TargetMode="External"/><Relationship Id="rId5345" Type="http://schemas.openxmlformats.org/officeDocument/2006/relationships/hyperlink" Target="https://www.hiddenbrains.com/blog/ai-in-banking.html" TargetMode="External"/><Relationship Id="rId9966" Type="http://schemas.openxmlformats.org/officeDocument/2006/relationships/hyperlink" Target="https://www.pinoyeplans.com/" TargetMode="External"/><Relationship Id="rId8568" Type="http://schemas.openxmlformats.org/officeDocument/2006/relationships/hyperlink" Target="https://www.cylind.com/" TargetMode="External"/><Relationship Id="rId9619" Type="http://schemas.openxmlformats.org/officeDocument/2006/relationships/hyperlink" Target="https://www.teachengineering.org/" TargetMode="External"/><Relationship Id="rId11896" Type="http://schemas.openxmlformats.org/officeDocument/2006/relationships/hyperlink" Target="https://www.bobvila.com/" TargetMode="External"/><Relationship Id="rId12947" Type="http://schemas.openxmlformats.org/officeDocument/2006/relationships/hyperlink" Target="https://www.shma.co.uk/" TargetMode="External"/><Relationship Id="rId1955" Type="http://schemas.openxmlformats.org/officeDocument/2006/relationships/hyperlink" Target="https://notinthekitchenanymore.com/category/interesting-facts/page/2/" TargetMode="External"/><Relationship Id="rId10498" Type="http://schemas.openxmlformats.org/officeDocument/2006/relationships/hyperlink" Target="https://www.teachengineering.org/" TargetMode="External"/><Relationship Id="rId11549" Type="http://schemas.openxmlformats.org/officeDocument/2006/relationships/hyperlink" Target="mailto:diliona750@gmail.com" TargetMode="External"/><Relationship Id="rId15420" Type="http://schemas.openxmlformats.org/officeDocument/2006/relationships/hyperlink" Target="https://www.signatureluxurytravel.com.au/modern-palace-peninsula-paris/" TargetMode="External"/><Relationship Id="rId1608" Type="http://schemas.openxmlformats.org/officeDocument/2006/relationships/hyperlink" Target="https://www.simpleshowing.com/" TargetMode="External"/><Relationship Id="rId3030" Type="http://schemas.openxmlformats.org/officeDocument/2006/relationships/hyperlink" Target="https://www.simpleshowing.com/" TargetMode="External"/><Relationship Id="rId14022" Type="http://schemas.openxmlformats.org/officeDocument/2006/relationships/hyperlink" Target="https://greenecodream.com/how-to-maintain-a-gorgeous-garden-and-patio-through-every-season-tips-for-year-round-appeal/" TargetMode="External"/><Relationship Id="rId7651" Type="http://schemas.openxmlformats.org/officeDocument/2006/relationships/hyperlink" Target="https://www.simpleshowing.com/" TargetMode="External"/><Relationship Id="rId8702" Type="http://schemas.openxmlformats.org/officeDocument/2006/relationships/hyperlink" Target="https://www.pinoyeplans.com/" TargetMode="External"/><Relationship Id="rId10632" Type="http://schemas.openxmlformats.org/officeDocument/2006/relationships/hyperlink" Target="https://www.pinoyeplans.com/" TargetMode="External"/><Relationship Id="rId16194" Type="http://schemas.openxmlformats.org/officeDocument/2006/relationships/hyperlink" Target="https://crewe.nub.news/news/local-news/sp8556-popular-crewe-south-shop-trials-quiet-hours-252858" TargetMode="External"/><Relationship Id="rId6253" Type="http://schemas.openxmlformats.org/officeDocument/2006/relationships/hyperlink" Target="https://cocofax.com/blog/6-challenges-for-growing-businesses-how-to-fix-them/" TargetMode="External"/><Relationship Id="rId7304" Type="http://schemas.openxmlformats.org/officeDocument/2006/relationships/hyperlink" Target="https://wochamber.com/new-renewed-members-january-2020/" TargetMode="External"/><Relationship Id="rId2863" Type="http://schemas.openxmlformats.org/officeDocument/2006/relationships/hyperlink" Target="https://www.pulte.com/" TargetMode="External"/><Relationship Id="rId3914" Type="http://schemas.openxmlformats.org/officeDocument/2006/relationships/hyperlink" Target="https://lakelandcollege.ca/admissions/funding-your-education/external-awards.html" TargetMode="External"/><Relationship Id="rId9476" Type="http://schemas.openxmlformats.org/officeDocument/2006/relationships/hyperlink" Target="https://practicetestgeeks.com/ibew-aptitude-test/" TargetMode="External"/><Relationship Id="rId12457" Type="http://schemas.openxmlformats.org/officeDocument/2006/relationships/hyperlink" Target="https://sturents.com/" TargetMode="External"/><Relationship Id="rId13508" Type="http://schemas.openxmlformats.org/officeDocument/2006/relationships/hyperlink" Target="https://anationofmoms.com/" TargetMode="External"/><Relationship Id="rId13855" Type="http://schemas.openxmlformats.org/officeDocument/2006/relationships/hyperlink" Target="https://myinteriorpalace.com/" TargetMode="External"/><Relationship Id="rId14906" Type="http://schemas.openxmlformats.org/officeDocument/2006/relationships/hyperlink" Target="https://www.fluidplumbingservices.com.au/" TargetMode="External"/><Relationship Id="rId835" Type="http://schemas.openxmlformats.org/officeDocument/2006/relationships/hyperlink" Target="https://www.absolutepestmgmt.com/" TargetMode="External"/><Relationship Id="rId1465" Type="http://schemas.openxmlformats.org/officeDocument/2006/relationships/hyperlink" Target="https://ritewindow.com/blog/3-indicators-its-time-to-upgrade-your-shower-or-bath/" TargetMode="External"/><Relationship Id="rId2516" Type="http://schemas.openxmlformats.org/officeDocument/2006/relationships/hyperlink" Target="https://www.wreathsacrossamerica.org/GetInvolved/OfferCorporateSupport" TargetMode="External"/><Relationship Id="rId8078" Type="http://schemas.openxmlformats.org/officeDocument/2006/relationships/hyperlink" Target="https://www.pinoyeplans.com/" TargetMode="External"/><Relationship Id="rId9129" Type="http://schemas.openxmlformats.org/officeDocument/2006/relationships/hyperlink" Target="https://www.pinoyeplans.com/" TargetMode="External"/><Relationship Id="rId11059" Type="http://schemas.openxmlformats.org/officeDocument/2006/relationships/hyperlink" Target="https://www.teachengineering.org/" TargetMode="External"/><Relationship Id="rId1118" Type="http://schemas.openxmlformats.org/officeDocument/2006/relationships/hyperlink" Target="https://www.theinspirationedit.com/basement-into-a-functional-living-space/" TargetMode="External"/><Relationship Id="rId4688" Type="http://schemas.openxmlformats.org/officeDocument/2006/relationships/hyperlink" Target="https://www.kapre.com/" TargetMode="External"/><Relationship Id="rId5739" Type="http://schemas.openxmlformats.org/officeDocument/2006/relationships/hyperlink" Target="https://getoutofdebt.org/113300/can-add-speedy-cash-loans-freedom-debt-relief-account" TargetMode="External"/><Relationship Id="rId7161" Type="http://schemas.openxmlformats.org/officeDocument/2006/relationships/hyperlink" Target="https://www.golfshake.com/course/view/74348/Esplanade_at_Azario.html" TargetMode="External"/><Relationship Id="rId8212" Type="http://schemas.openxmlformats.org/officeDocument/2006/relationships/hyperlink" Target="https://members5.boardhost.com/lonestarsoftball/thread/1707789328.html" TargetMode="External"/><Relationship Id="rId9610" Type="http://schemas.openxmlformats.org/officeDocument/2006/relationships/hyperlink" Target="https://www.teachengineering.org/" TargetMode="External"/><Relationship Id="rId11540" Type="http://schemas.openxmlformats.org/officeDocument/2006/relationships/hyperlink" Target="https://www.hamiltoninternationalestates.com/" TargetMode="External"/><Relationship Id="rId10142" Type="http://schemas.openxmlformats.org/officeDocument/2006/relationships/hyperlink" Target="https://www.theteachertreasury.com/good-morning-ms-williams/guest-blog-post-teaching-stem-to-students-fun-and-accessibility-suggestions" TargetMode="External"/><Relationship Id="rId14763" Type="http://schemas.openxmlformats.org/officeDocument/2006/relationships/hyperlink" Target="https://citychicliving.com/how-to-choose-a-reliable-garage-door-repair-company-in-houston/" TargetMode="External"/><Relationship Id="rId15814" Type="http://schemas.openxmlformats.org/officeDocument/2006/relationships/hyperlink" Target="https://myinteriorpalace.com/" TargetMode="External"/><Relationship Id="rId3771" Type="http://schemas.openxmlformats.org/officeDocument/2006/relationships/hyperlink" Target="https://www.simpleshowing.com/" TargetMode="External"/><Relationship Id="rId4822" Type="http://schemas.openxmlformats.org/officeDocument/2006/relationships/hyperlink" Target="https://www.simpleshowing.com/" TargetMode="External"/><Relationship Id="rId13365" Type="http://schemas.openxmlformats.org/officeDocument/2006/relationships/hyperlink" Target="https://elnacain.com/blog/know-writing-niche/" TargetMode="External"/><Relationship Id="rId14416" Type="http://schemas.openxmlformats.org/officeDocument/2006/relationships/hyperlink" Target="https://myinteriorpalace.com/" TargetMode="External"/><Relationship Id="rId692" Type="http://schemas.openxmlformats.org/officeDocument/2006/relationships/hyperlink" Target="https://www.simpleshowing.com/" TargetMode="External"/><Relationship Id="rId2373" Type="http://schemas.openxmlformats.org/officeDocument/2006/relationships/hyperlink" Target="https://www.simpleshowing.com/" TargetMode="External"/><Relationship Id="rId3424" Type="http://schemas.openxmlformats.org/officeDocument/2006/relationships/hyperlink" Target="https://www.pulte.com/" TargetMode="External"/><Relationship Id="rId6994" Type="http://schemas.openxmlformats.org/officeDocument/2006/relationships/hyperlink" Target="https://www.simpleshowing.com/" TargetMode="External"/><Relationship Id="rId13018" Type="http://schemas.openxmlformats.org/officeDocument/2006/relationships/hyperlink" Target="https://propertypressonline.co.uk/" TargetMode="External"/><Relationship Id="rId345" Type="http://schemas.openxmlformats.org/officeDocument/2006/relationships/hyperlink" Target="https://gritdaily.com/real-estate-entrepreneurship-for-the-current-market/" TargetMode="External"/><Relationship Id="rId2026" Type="http://schemas.openxmlformats.org/officeDocument/2006/relationships/hyperlink" Target="https://markspain.com/" TargetMode="External"/><Relationship Id="rId5596" Type="http://schemas.openxmlformats.org/officeDocument/2006/relationships/hyperlink" Target="https://www.simpleshowing.com/" TargetMode="External"/><Relationship Id="rId6647" Type="http://schemas.openxmlformats.org/officeDocument/2006/relationships/hyperlink" Target="https://www.thermasol.com/" TargetMode="External"/><Relationship Id="rId4198" Type="http://schemas.openxmlformats.org/officeDocument/2006/relationships/hyperlink" Target="https://www.simpleshowing.com/" TargetMode="External"/><Relationship Id="rId5249" Type="http://schemas.openxmlformats.org/officeDocument/2006/relationships/hyperlink" Target="https://www.banks.com/reviews/freedom-debt-relief/" TargetMode="External"/><Relationship Id="rId9120" Type="http://schemas.openxmlformats.org/officeDocument/2006/relationships/hyperlink" Target="https://www.pinoyeplans.com/" TargetMode="External"/><Relationship Id="rId11050" Type="http://schemas.openxmlformats.org/officeDocument/2006/relationships/hyperlink" Target="https://www.teachengineering.org/" TargetMode="External"/><Relationship Id="rId12101" Type="http://schemas.openxmlformats.org/officeDocument/2006/relationships/hyperlink" Target="http://www.appliance411.com/news/allnews.shtml" TargetMode="External"/><Relationship Id="rId15671" Type="http://schemas.openxmlformats.org/officeDocument/2006/relationships/hyperlink" Target="https://www.luxdeco.com/" TargetMode="External"/><Relationship Id="rId1859" Type="http://schemas.openxmlformats.org/officeDocument/2006/relationships/hyperlink" Target="https://wgna.com/ixp/498/p/new-york-summer-outages/" TargetMode="External"/><Relationship Id="rId5730" Type="http://schemas.openxmlformats.org/officeDocument/2006/relationships/hyperlink" Target="https://www.simpleshowing.com/" TargetMode="External"/><Relationship Id="rId14273" Type="http://schemas.openxmlformats.org/officeDocument/2006/relationships/hyperlink" Target="https://luxurylifestyle.com/" TargetMode="External"/><Relationship Id="rId15324" Type="http://schemas.openxmlformats.org/officeDocument/2006/relationships/hyperlink" Target="https://mossandfog.com/elevate-your-mood-and-confidence-with-everyday-luxuries/" TargetMode="External"/><Relationship Id="rId3281" Type="http://schemas.openxmlformats.org/officeDocument/2006/relationships/hyperlink" Target="http://www.virtualmuseum.finearts.go.th/asorjej/article.php?id=is-cosenza-worth-visiting" TargetMode="External"/><Relationship Id="rId4332" Type="http://schemas.openxmlformats.org/officeDocument/2006/relationships/hyperlink" Target="https://www.choicehomewarranty.com/how-flip-house/" TargetMode="External"/><Relationship Id="rId8953" Type="http://schemas.openxmlformats.org/officeDocument/2006/relationships/hyperlink" Target="https://nycestimating.us/" TargetMode="External"/><Relationship Id="rId10883" Type="http://schemas.openxmlformats.org/officeDocument/2006/relationships/hyperlink" Target="https://fredrick-jodyo7752.firebaseapp.com/dynamic-periodic-table-with-charges.html" TargetMode="External"/><Relationship Id="rId7555" Type="http://schemas.openxmlformats.org/officeDocument/2006/relationships/hyperlink" Target="https://www.simpleshowing.com/" TargetMode="External"/><Relationship Id="rId8606" Type="http://schemas.openxmlformats.org/officeDocument/2006/relationships/hyperlink" Target="https://www.pinoyeplans.com/" TargetMode="External"/><Relationship Id="rId10536" Type="http://schemas.openxmlformats.org/officeDocument/2006/relationships/hyperlink" Target="https://www.pinoyeplans.com/" TargetMode="External"/><Relationship Id="rId11934" Type="http://schemas.openxmlformats.org/officeDocument/2006/relationships/hyperlink" Target="https://www.hamiltoninternationalestates.com/" TargetMode="External"/><Relationship Id="rId16098" Type="http://schemas.openxmlformats.org/officeDocument/2006/relationships/hyperlink" Target="https://enthrallinggumption.com/automatic-garage-door-opener-a-complete-informational-guide-to-modern-garage-access/" TargetMode="External"/><Relationship Id="rId6157" Type="http://schemas.openxmlformats.org/officeDocument/2006/relationships/hyperlink" Target="https://weje.io/blog/fuel-your-career-with-the-knowledge-that-matters" TargetMode="External"/><Relationship Id="rId7208" Type="http://schemas.openxmlformats.org/officeDocument/2006/relationships/hyperlink" Target="https://www.safeaustin.org/es/a-new-drop-in-center-for-survivors-of-trafficking/" TargetMode="External"/><Relationship Id="rId2767" Type="http://schemas.openxmlformats.org/officeDocument/2006/relationships/hyperlink" Target="https://www.pulte.com/" TargetMode="External"/><Relationship Id="rId13759" Type="http://schemas.openxmlformats.org/officeDocument/2006/relationships/hyperlink" Target="https://myinteriorpalace.com/" TargetMode="External"/><Relationship Id="rId15181" Type="http://schemas.openxmlformats.org/officeDocument/2006/relationships/hyperlink" Target="https://myinteriorpalace.com/" TargetMode="External"/><Relationship Id="rId739" Type="http://schemas.openxmlformats.org/officeDocument/2006/relationships/hyperlink" Target="https://ofwhiskeyandwords.com/why-southern-shores-should-be-your-next-coastal-getaway/" TargetMode="External"/><Relationship Id="rId1369" Type="http://schemas.openxmlformats.org/officeDocument/2006/relationships/hyperlink" Target="https://darscover.com/" TargetMode="External"/><Relationship Id="rId3818" Type="http://schemas.openxmlformats.org/officeDocument/2006/relationships/hyperlink" Target="https://www.homestratosphere.com/types-of-hot-tub-covers/" TargetMode="External"/><Relationship Id="rId5240" Type="http://schemas.openxmlformats.org/officeDocument/2006/relationships/hyperlink" Target="https://www.simpleshowing.com/" TargetMode="External"/><Relationship Id="rId16232" Type="http://schemas.openxmlformats.org/officeDocument/2006/relationships/hyperlink" Target="https://www.unitedcarpetsandbeds.com/" TargetMode="External"/><Relationship Id="rId9861" Type="http://schemas.openxmlformats.org/officeDocument/2006/relationships/hyperlink" Target="https://www.pinoyeplans.com/" TargetMode="External"/><Relationship Id="rId11791" Type="http://schemas.openxmlformats.org/officeDocument/2006/relationships/hyperlink" Target="https://sellhousefast.uk/" TargetMode="External"/><Relationship Id="rId12842" Type="http://schemas.openxmlformats.org/officeDocument/2006/relationships/hyperlink" Target="https://www.shma.co.uk/" TargetMode="External"/><Relationship Id="rId75" Type="http://schemas.openxmlformats.org/officeDocument/2006/relationships/hyperlink" Target="http://osmosetech.com/" TargetMode="External"/><Relationship Id="rId1850" Type="http://schemas.openxmlformats.org/officeDocument/2006/relationships/hyperlink" Target="https://mix957gr.com/ixp/691/p/michigan-power-outage-prep/" TargetMode="External"/><Relationship Id="rId2901" Type="http://schemas.openxmlformats.org/officeDocument/2006/relationships/hyperlink" Target="https://www.simpleshowing.com/" TargetMode="External"/><Relationship Id="rId7065" Type="http://schemas.openxmlformats.org/officeDocument/2006/relationships/hyperlink" Target="https://thelogocompany.net/home-builder-success-and-branding-guide/" TargetMode="External"/><Relationship Id="rId8463" Type="http://schemas.openxmlformats.org/officeDocument/2006/relationships/hyperlink" Target="https://www.cylind.com/" TargetMode="External"/><Relationship Id="rId9514" Type="http://schemas.openxmlformats.org/officeDocument/2006/relationships/hyperlink" Target="https://www.teachengineering.org/" TargetMode="External"/><Relationship Id="rId10393" Type="http://schemas.openxmlformats.org/officeDocument/2006/relationships/hyperlink" Target="https://www.teachengineering.org/" TargetMode="External"/><Relationship Id="rId11444" Type="http://schemas.openxmlformats.org/officeDocument/2006/relationships/hyperlink" Target="https://www.hamiltoninternationalestates.com/" TargetMode="External"/><Relationship Id="rId1503" Type="http://schemas.openxmlformats.org/officeDocument/2006/relationships/hyperlink" Target="https://www.simpleshowing.com/" TargetMode="External"/><Relationship Id="rId8116" Type="http://schemas.openxmlformats.org/officeDocument/2006/relationships/hyperlink" Target="https://flevy.com/blog/restaurant-relocation-timeline-a-business-guide-for-owners/" TargetMode="External"/><Relationship Id="rId10046" Type="http://schemas.openxmlformats.org/officeDocument/2006/relationships/hyperlink" Target="https://www.elevators.com/learn-about-engineering/" TargetMode="External"/><Relationship Id="rId14667" Type="http://schemas.openxmlformats.org/officeDocument/2006/relationships/hyperlink" Target="https://www.sparklesandstretchmarks.com/choosing-the-right-garage-door-repair-service-factors-to-consider-for-quality-workmanship/" TargetMode="External"/><Relationship Id="rId15718" Type="http://schemas.openxmlformats.org/officeDocument/2006/relationships/hyperlink" Target="https://myinteriorpalace.com/" TargetMode="External"/><Relationship Id="rId3675" Type="http://schemas.openxmlformats.org/officeDocument/2006/relationships/hyperlink" Target="https://www.simpleshowing.com/" TargetMode="External"/><Relationship Id="rId4726" Type="http://schemas.openxmlformats.org/officeDocument/2006/relationships/hyperlink" Target="https://www.simpleshowing.com/" TargetMode="External"/><Relationship Id="rId13269" Type="http://schemas.openxmlformats.org/officeDocument/2006/relationships/hyperlink" Target="https://www.estateagenttoday.co.uk/breaking-news/2018/10/new-online-agency-says-it-wants-to-expand-across-the-uk" TargetMode="External"/><Relationship Id="rId596" Type="http://schemas.openxmlformats.org/officeDocument/2006/relationships/hyperlink" Target="https://www.simpleshowing.com/" TargetMode="External"/><Relationship Id="rId2277" Type="http://schemas.openxmlformats.org/officeDocument/2006/relationships/hyperlink" Target="https://www.simpleshowing.com/" TargetMode="External"/><Relationship Id="rId3328" Type="http://schemas.openxmlformats.org/officeDocument/2006/relationships/hyperlink" Target="https://www.pulte.com/" TargetMode="External"/><Relationship Id="rId6898" Type="http://schemas.openxmlformats.org/officeDocument/2006/relationships/hyperlink" Target="https://www.taylormorrison.com/" TargetMode="External"/><Relationship Id="rId249" Type="http://schemas.openxmlformats.org/officeDocument/2006/relationships/hyperlink" Target="http://northernvirginiahomepro.com/" TargetMode="External"/><Relationship Id="rId7949" Type="http://schemas.openxmlformats.org/officeDocument/2006/relationships/hyperlink" Target="https://www.pinoyeplans.com/" TargetMode="External"/><Relationship Id="rId9371" Type="http://schemas.openxmlformats.org/officeDocument/2006/relationships/hyperlink" Target="https://www.sciencejournalforkids.org/articles/how-do-viruses-trick-their-hosts-into-feeding-them/" TargetMode="External"/><Relationship Id="rId13750" Type="http://schemas.openxmlformats.org/officeDocument/2006/relationships/hyperlink" Target="https://myinteriorpalace.com/" TargetMode="External"/><Relationship Id="rId14801" Type="http://schemas.openxmlformats.org/officeDocument/2006/relationships/hyperlink" Target="https://www.easygaragedoorrepair.com/" TargetMode="External"/><Relationship Id="rId9024" Type="http://schemas.openxmlformats.org/officeDocument/2006/relationships/hyperlink" Target="https://www.pinoyeplans.com/" TargetMode="External"/><Relationship Id="rId12352" Type="http://schemas.openxmlformats.org/officeDocument/2006/relationships/hyperlink" Target="https://sturents.com/" TargetMode="External"/><Relationship Id="rId13403" Type="http://schemas.openxmlformats.org/officeDocument/2006/relationships/hyperlink" Target="https://anationofmoms.com/" TargetMode="External"/><Relationship Id="rId730" Type="http://schemas.openxmlformats.org/officeDocument/2006/relationships/hyperlink" Target="https://www.snopes.com/fact-check/blue-whale-spotted-jennettes-pier/" TargetMode="External"/><Relationship Id="rId1013" Type="http://schemas.openxmlformats.org/officeDocument/2006/relationships/hyperlink" Target="https://www.mystayathomeadventures.com/home-remodeling-mistakes/" TargetMode="External"/><Relationship Id="rId1360" Type="http://schemas.openxmlformats.org/officeDocument/2006/relationships/hyperlink" Target="https://darscover.com/" TargetMode="External"/><Relationship Id="rId2411" Type="http://schemas.openxmlformats.org/officeDocument/2006/relationships/hyperlink" Target="https://www.livabl.com/articles/guides/the-top-10-builders-in-dallas-fort-worth-arlington-tx" TargetMode="External"/><Relationship Id="rId5981" Type="http://schemas.openxmlformats.org/officeDocument/2006/relationships/hyperlink" Target="https://signalscv.com/2022/02/freedom-debt-relief-what-is-a-credit-hardship-program/" TargetMode="External"/><Relationship Id="rId12005" Type="http://schemas.openxmlformats.org/officeDocument/2006/relationships/hyperlink" Target="https://www.constructelements.com/post/70-home-exterior-paint-ideas-youll-fall-in-love-with" TargetMode="External"/><Relationship Id="rId15575" Type="http://schemas.openxmlformats.org/officeDocument/2006/relationships/hyperlink" Target="https://www.luxdeco.com/" TargetMode="External"/><Relationship Id="rId4583" Type="http://schemas.openxmlformats.org/officeDocument/2006/relationships/hyperlink" Target="https://www.kapre.com/" TargetMode="External"/><Relationship Id="rId5634" Type="http://schemas.openxmlformats.org/officeDocument/2006/relationships/hyperlink" Target="https://www.simpleshowing.com/" TargetMode="External"/><Relationship Id="rId14177" Type="http://schemas.openxmlformats.org/officeDocument/2006/relationships/hyperlink" Target="https://luxurylifestyle.com/" TargetMode="External"/><Relationship Id="rId15228" Type="http://schemas.openxmlformats.org/officeDocument/2006/relationships/hyperlink" Target="https://ecency.com/hive-178708/@aplusd/architecture-anthologytm-24" TargetMode="External"/><Relationship Id="rId3185" Type="http://schemas.openxmlformats.org/officeDocument/2006/relationships/hyperlink" Target="https://www.santafenewmexican.com/news/real_estate/filling-a-need-50-paseo-las-terrazas/article_954e9b50-cff8-11ed-b9ec-0fd498e9aa44.html" TargetMode="External"/><Relationship Id="rId4236" Type="http://schemas.openxmlformats.org/officeDocument/2006/relationships/hyperlink" Target="https://www.rezi.ai/posts/how-to-become-a-real-estate-agent" TargetMode="External"/><Relationship Id="rId8857" Type="http://schemas.openxmlformats.org/officeDocument/2006/relationships/hyperlink" Target="https://www.trianglepest.com/" TargetMode="External"/><Relationship Id="rId9908" Type="http://schemas.openxmlformats.org/officeDocument/2006/relationships/hyperlink" Target="https://res.tvusd.k12.ca.us/academics/student-links-and-resources" TargetMode="External"/><Relationship Id="rId7459" Type="http://schemas.openxmlformats.org/officeDocument/2006/relationships/hyperlink" Target="https://www.simpleshowing.com/" TargetMode="External"/><Relationship Id="rId10787" Type="http://schemas.openxmlformats.org/officeDocument/2006/relationships/hyperlink" Target="https://www.northernpolarbears.com/for-staff/stem-in-the-classroom-k-12/stem-resources" TargetMode="External"/><Relationship Id="rId11838" Type="http://schemas.openxmlformats.org/officeDocument/2006/relationships/hyperlink" Target="https://www.hamiltoninternationalestates.com/" TargetMode="External"/><Relationship Id="rId13260" Type="http://schemas.openxmlformats.org/officeDocument/2006/relationships/hyperlink" Target="https://wonkhe.com/blogs/from-liquidity-to-solvency-what-might-a-real-bailout-look-like-2/" TargetMode="External"/><Relationship Id="rId14311" Type="http://schemas.openxmlformats.org/officeDocument/2006/relationships/hyperlink" Target="https://myinteriorpalace.com/" TargetMode="External"/><Relationship Id="rId240" Type="http://schemas.openxmlformats.org/officeDocument/2006/relationships/hyperlink" Target="http://northernvirginiahomepro.com/" TargetMode="External"/><Relationship Id="rId7940" Type="http://schemas.openxmlformats.org/officeDocument/2006/relationships/hyperlink" Target="https://www.pinoyeplans.com/" TargetMode="External"/><Relationship Id="rId10921" Type="http://schemas.openxmlformats.org/officeDocument/2006/relationships/hyperlink" Target="https://www.teachengineering.org/" TargetMode="External"/><Relationship Id="rId4093" Type="http://schemas.openxmlformats.org/officeDocument/2006/relationships/hyperlink" Target="https://www.simpleshowing.com/" TargetMode="External"/><Relationship Id="rId5144" Type="http://schemas.openxmlformats.org/officeDocument/2006/relationships/hyperlink" Target="https://www.simpleshowing.com/" TargetMode="External"/><Relationship Id="rId5491" Type="http://schemas.openxmlformats.org/officeDocument/2006/relationships/hyperlink" Target="https://keyt.com/news/2025/07/03/6-ways-to-work-toward-financial-freedom-in-2025/" TargetMode="External"/><Relationship Id="rId6542" Type="http://schemas.openxmlformats.org/officeDocument/2006/relationships/hyperlink" Target="https://www.thermasol.com/" TargetMode="External"/><Relationship Id="rId15085" Type="http://schemas.openxmlformats.org/officeDocument/2006/relationships/hyperlink" Target="https://myinteriorpalace.com/" TargetMode="External"/><Relationship Id="rId16136" Type="http://schemas.openxmlformats.org/officeDocument/2006/relationships/hyperlink" Target="https://www.unitedcarpetsandbeds.com/" TargetMode="External"/><Relationship Id="rId9765" Type="http://schemas.openxmlformats.org/officeDocument/2006/relationships/hyperlink" Target="https://www.pinoyeplans.com/" TargetMode="External"/><Relationship Id="rId11695" Type="http://schemas.openxmlformats.org/officeDocument/2006/relationships/hyperlink" Target="https://sellhousefast.uk/" TargetMode="External"/><Relationship Id="rId12746" Type="http://schemas.openxmlformats.org/officeDocument/2006/relationships/hyperlink" Target="https://www.shma.co.uk/" TargetMode="External"/><Relationship Id="rId1754" Type="http://schemas.openxmlformats.org/officeDocument/2006/relationships/hyperlink" Target="https://www.savingadvice.com/articles/2025/05/23/10157033_mistakes-when-installing-solar-panels.html" TargetMode="External"/><Relationship Id="rId2805" Type="http://schemas.openxmlformats.org/officeDocument/2006/relationships/hyperlink" Target="https://www.simpleshowing.com/" TargetMode="External"/><Relationship Id="rId8367" Type="http://schemas.openxmlformats.org/officeDocument/2006/relationships/hyperlink" Target="https://australiansecurecapital.com.au/" TargetMode="External"/><Relationship Id="rId9418" Type="http://schemas.openxmlformats.org/officeDocument/2006/relationships/hyperlink" Target="https://www.teachengineering.org/" TargetMode="External"/><Relationship Id="rId10297" Type="http://schemas.openxmlformats.org/officeDocument/2006/relationships/hyperlink" Target="https://www.teachengineering.org/" TargetMode="External"/><Relationship Id="rId11348" Type="http://schemas.openxmlformats.org/officeDocument/2006/relationships/hyperlink" Target="https://www.hamiltoninternationalestates.com/" TargetMode="External"/><Relationship Id="rId1407" Type="http://schemas.openxmlformats.org/officeDocument/2006/relationships/hyperlink" Target="https://www.simpleshowing.com/" TargetMode="External"/><Relationship Id="rId4977" Type="http://schemas.openxmlformats.org/officeDocument/2006/relationships/hyperlink" Target="https://datagrid.com/blog/ai-agents-property-marketing-materials" TargetMode="External"/><Relationship Id="rId15969" Type="http://schemas.openxmlformats.org/officeDocument/2006/relationships/hyperlink" Target="https://theorg.com/org/richards-wilcox-canada/org-chart/antony-michelini" TargetMode="External"/><Relationship Id="rId3579" Type="http://schemas.openxmlformats.org/officeDocument/2006/relationships/hyperlink" Target="https://www.simpleshowing.com/" TargetMode="External"/><Relationship Id="rId7450" Type="http://schemas.openxmlformats.org/officeDocument/2006/relationships/hyperlink" Target="https://www.simpleshowing.com/" TargetMode="External"/><Relationship Id="rId8501" Type="http://schemas.openxmlformats.org/officeDocument/2006/relationships/hyperlink" Target="https://www.pinoyeplans.com/" TargetMode="External"/><Relationship Id="rId6052" Type="http://schemas.openxmlformats.org/officeDocument/2006/relationships/hyperlink" Target="https://www.simpleshowing.com/" TargetMode="External"/><Relationship Id="rId7103" Type="http://schemas.openxmlformats.org/officeDocument/2006/relationships/hyperlink" Target="https://www.taylormorrison.com/" TargetMode="External"/><Relationship Id="rId10431" Type="http://schemas.openxmlformats.org/officeDocument/2006/relationships/hyperlink" Target="https://www.pinoyeplans.com/" TargetMode="External"/><Relationship Id="rId9275" Type="http://schemas.openxmlformats.org/officeDocument/2006/relationships/hyperlink" Target="https://seaperch.org/page-resources/how-things-work-how-things-float/" TargetMode="External"/><Relationship Id="rId13654" Type="http://schemas.openxmlformats.org/officeDocument/2006/relationships/hyperlink" Target="https://myinteriorpalace.com/" TargetMode="External"/><Relationship Id="rId14705" Type="http://schemas.openxmlformats.org/officeDocument/2006/relationships/hyperlink" Target="https://www.easygaragedoorrepair.com/" TargetMode="External"/><Relationship Id="rId981" Type="http://schemas.openxmlformats.org/officeDocument/2006/relationships/hyperlink" Target="https://www.simpleshowing.com/" TargetMode="External"/><Relationship Id="rId2662" Type="http://schemas.openxmlformats.org/officeDocument/2006/relationships/hyperlink" Target="https://www.pulte.com/" TargetMode="External"/><Relationship Id="rId3713" Type="http://schemas.openxmlformats.org/officeDocument/2006/relationships/hyperlink" Target="https://www.firstforwomen.com/home/how-to-remove-super-glue" TargetMode="External"/><Relationship Id="rId12256" Type="http://schemas.openxmlformats.org/officeDocument/2006/relationships/hyperlink" Target="https://marrons.co.uk/" TargetMode="External"/><Relationship Id="rId13307" Type="http://schemas.openxmlformats.org/officeDocument/2006/relationships/hyperlink" Target="https://a1floorsnc.com/" TargetMode="External"/><Relationship Id="rId634" Type="http://schemas.openxmlformats.org/officeDocument/2006/relationships/hyperlink" Target="https://podgorze.babinski.pl/jv3yhbl/why-is-it-called-the-graveyard-of-the-atlantic" TargetMode="External"/><Relationship Id="rId1264" Type="http://schemas.openxmlformats.org/officeDocument/2006/relationships/hyperlink" Target="https://darscover.com/" TargetMode="External"/><Relationship Id="rId2315" Type="http://schemas.openxmlformats.org/officeDocument/2006/relationships/hyperlink" Target="https://www.12onyourside.com/story/25810123/stony-point-fashion-park-sell-mall-6-others-to-new-owners/" TargetMode="External"/><Relationship Id="rId5885" Type="http://schemas.openxmlformats.org/officeDocument/2006/relationships/hyperlink" Target="https://www.arcsite.com/blog/5-barriers-to-a-successful-fencing-business-0" TargetMode="External"/><Relationship Id="rId6936" Type="http://schemas.openxmlformats.org/officeDocument/2006/relationships/hyperlink" Target="https://business.mybaseguide.com/business/taylor-morrison-florida-jacksonville-1ffe372c-079c-457b-ad9a-6eb913b563e2" TargetMode="External"/><Relationship Id="rId15479" Type="http://schemas.openxmlformats.org/officeDocument/2006/relationships/hyperlink" Target="https://www.luxdeco.com/" TargetMode="External"/><Relationship Id="rId4487" Type="http://schemas.openxmlformats.org/officeDocument/2006/relationships/hyperlink" Target="https://www.kapre.com/" TargetMode="External"/><Relationship Id="rId5538" Type="http://schemas.openxmlformats.org/officeDocument/2006/relationships/hyperlink" Target="https://www.simpleshowing.com/" TargetMode="External"/><Relationship Id="rId3089" Type="http://schemas.openxmlformats.org/officeDocument/2006/relationships/hyperlink" Target="https://newsuburb.tripod.com/communities/tanglewood.html" TargetMode="External"/><Relationship Id="rId8011" Type="http://schemas.openxmlformats.org/officeDocument/2006/relationships/hyperlink" Target="https://blog.featured.com/the-mistake-that-makes-homeowners-and-real-estate-investors-leave-money-on-the-table/" TargetMode="External"/><Relationship Id="rId15960" Type="http://schemas.openxmlformats.org/officeDocument/2006/relationships/hyperlink" Target="https://www.neighbourhoodguide.com/businesses/richards-wilcox-canada/" TargetMode="External"/><Relationship Id="rId14562" Type="http://schemas.openxmlformats.org/officeDocument/2006/relationships/hyperlink" Target="https://treeleftbigshop.com/leading-5-most-reliable-garage-door-technicians-in-houston-expert-choices-for-quality-service/" TargetMode="External"/><Relationship Id="rId15613" Type="http://schemas.openxmlformats.org/officeDocument/2006/relationships/hyperlink" Target="https://myinteriorpalace.com/" TargetMode="External"/><Relationship Id="rId491" Type="http://schemas.openxmlformats.org/officeDocument/2006/relationships/hyperlink" Target="https://www.simpleshowing.com/" TargetMode="External"/><Relationship Id="rId2172" Type="http://schemas.openxmlformats.org/officeDocument/2006/relationships/hyperlink" Target="https://www.simpleshowing.com/" TargetMode="External"/><Relationship Id="rId3223" Type="http://schemas.openxmlformats.org/officeDocument/2006/relationships/hyperlink" Target="https://www.pulte.com/" TargetMode="External"/><Relationship Id="rId3570" Type="http://schemas.openxmlformats.org/officeDocument/2006/relationships/hyperlink" Target="https://www.simpleshowing.com/" TargetMode="External"/><Relationship Id="rId4621" Type="http://schemas.openxmlformats.org/officeDocument/2006/relationships/hyperlink" Target="https://www.simpleshowing.com/" TargetMode="External"/><Relationship Id="rId13164" Type="http://schemas.openxmlformats.org/officeDocument/2006/relationships/hyperlink" Target="https://www.hulldailymail.co.uk/news/uk-world-news/schools-work-places-close-gets-7321087?service=responsive" TargetMode="External"/><Relationship Id="rId14215" Type="http://schemas.openxmlformats.org/officeDocument/2006/relationships/hyperlink" Target="https://myinteriorpalace.com/" TargetMode="External"/><Relationship Id="rId144" Type="http://schemas.openxmlformats.org/officeDocument/2006/relationships/hyperlink" Target="https://www.rochesterrealestateblog.com/" TargetMode="External"/><Relationship Id="rId6793" Type="http://schemas.openxmlformats.org/officeDocument/2006/relationships/hyperlink" Target="https://www.taylormorrison.com/" TargetMode="External"/><Relationship Id="rId7844" Type="http://schemas.openxmlformats.org/officeDocument/2006/relationships/hyperlink" Target="https://www.simpleshowing.com/" TargetMode="External"/><Relationship Id="rId10825" Type="http://schemas.openxmlformats.org/officeDocument/2006/relationships/hyperlink" Target="https://www.teachengineering.org/" TargetMode="External"/><Relationship Id="rId5395" Type="http://schemas.openxmlformats.org/officeDocument/2006/relationships/hyperlink" Target="https://www.epsilontheory.com/fiat-world/" TargetMode="External"/><Relationship Id="rId6446" Type="http://schemas.openxmlformats.org/officeDocument/2006/relationships/hyperlink" Target="https://www.thermasol.com/" TargetMode="External"/><Relationship Id="rId5048" Type="http://schemas.openxmlformats.org/officeDocument/2006/relationships/hyperlink" Target="https://www.simpleshowing.com/" TargetMode="External"/><Relationship Id="rId9669" Type="http://schemas.openxmlformats.org/officeDocument/2006/relationships/hyperlink" Target="https://www.pinoyeplans.com/" TargetMode="External"/><Relationship Id="rId11599" Type="http://schemas.openxmlformats.org/officeDocument/2006/relationships/hyperlink" Target="https://sellhousefast.uk/" TargetMode="External"/><Relationship Id="rId12997" Type="http://schemas.openxmlformats.org/officeDocument/2006/relationships/hyperlink" Target="https://propertypressonline.co.uk/" TargetMode="External"/><Relationship Id="rId15470" Type="http://schemas.openxmlformats.org/officeDocument/2006/relationships/hyperlink" Target="https://www.luxdeco.com/" TargetMode="External"/><Relationship Id="rId1658" Type="http://schemas.openxmlformats.org/officeDocument/2006/relationships/hyperlink" Target="https://popcrush.com/using-chapstick-lip-balms-dry-out-chapped/" TargetMode="External"/><Relationship Id="rId2709" Type="http://schemas.openxmlformats.org/officeDocument/2006/relationships/hyperlink" Target="https://www.simpleshowing.com/" TargetMode="External"/><Relationship Id="rId14072" Type="http://schemas.openxmlformats.org/officeDocument/2006/relationships/hyperlink" Target="https://keystonecustomdecksny.com/" TargetMode="External"/><Relationship Id="rId15123" Type="http://schemas.openxmlformats.org/officeDocument/2006/relationships/hyperlink" Target="https://www.payweeklyflooring.co.uk/sofa-ideas-for-small-living-rooms/" TargetMode="External"/><Relationship Id="rId3080" Type="http://schemas.openxmlformats.org/officeDocument/2006/relationships/hyperlink" Target="https://alamedapost.com/news/below-market-rate-homes-for-sale-to-first-time-home-buyers/" TargetMode="External"/><Relationship Id="rId4131" Type="http://schemas.openxmlformats.org/officeDocument/2006/relationships/hyperlink" Target="https://www.chamberofcommerce.org/best-real-estate-schools-in-florida" TargetMode="External"/><Relationship Id="rId7354" Type="http://schemas.openxmlformats.org/officeDocument/2006/relationships/hyperlink" Target="https://www.newswire.com/news/taylor-morrison-builds-luxury-homes-in-bay-areas-prestigious-locations-20426124" TargetMode="External"/><Relationship Id="rId8752" Type="http://schemas.openxmlformats.org/officeDocument/2006/relationships/hyperlink" Target="https://www.thepaintedhinge.com/things-you-should-know-before-buying-a-house/" TargetMode="External"/><Relationship Id="rId9803" Type="http://schemas.openxmlformats.org/officeDocument/2006/relationships/hyperlink" Target="https://qz.com/1105538/five-methods-for-turning-invisible-ranked-by-the-inventor-of-a-real-life-invisibility-cloak" TargetMode="External"/><Relationship Id="rId10682" Type="http://schemas.openxmlformats.org/officeDocument/2006/relationships/hyperlink" Target="https://www.pearltrees.com/u/14000414-home-www-teachengineering-org" TargetMode="External"/><Relationship Id="rId11733" Type="http://schemas.openxmlformats.org/officeDocument/2006/relationships/hyperlink" Target="https://www.hamiltoninternationalestates.com/" TargetMode="External"/><Relationship Id="rId17" Type="http://schemas.openxmlformats.org/officeDocument/2006/relationships/hyperlink" Target="https://buzzflick.com/top-3d-rendering-companies/" TargetMode="External"/><Relationship Id="rId7007" Type="http://schemas.openxmlformats.org/officeDocument/2006/relationships/hyperlink" Target="https://www.taylormorrison.com/" TargetMode="External"/><Relationship Id="rId8405" Type="http://schemas.openxmlformats.org/officeDocument/2006/relationships/hyperlink" Target="https://www.pinoyeplans.com/" TargetMode="External"/><Relationship Id="rId10335" Type="http://schemas.openxmlformats.org/officeDocument/2006/relationships/hyperlink" Target="https://www.pinoyeplans.com/" TargetMode="External"/><Relationship Id="rId14956" Type="http://schemas.openxmlformats.org/officeDocument/2006/relationships/hyperlink" Target="https://myinteriorpalace.com/" TargetMode="External"/><Relationship Id="rId3964" Type="http://schemas.openxmlformats.org/officeDocument/2006/relationships/hyperlink" Target="https://www.smartsolarenergyco.com/" TargetMode="External"/><Relationship Id="rId13558" Type="http://schemas.openxmlformats.org/officeDocument/2006/relationships/hyperlink" Target="https://myinteriorpalace.com/" TargetMode="External"/><Relationship Id="rId14609" Type="http://schemas.openxmlformats.org/officeDocument/2006/relationships/hyperlink" Target="https://www.easygaragedoorrepair.com/" TargetMode="External"/><Relationship Id="rId1" Type="http://schemas.openxmlformats.org/officeDocument/2006/relationships/hyperlink" Target="http://realspace3d.com/" TargetMode="External"/><Relationship Id="rId885" Type="http://schemas.openxmlformats.org/officeDocument/2006/relationships/hyperlink" Target="https://www.simpleshowing.com/" TargetMode="External"/><Relationship Id="rId2566" Type="http://schemas.openxmlformats.org/officeDocument/2006/relationships/hyperlink" Target="https://www.pulte.com/" TargetMode="External"/><Relationship Id="rId3617" Type="http://schemas.openxmlformats.org/officeDocument/2006/relationships/hyperlink" Target="https://winknews.com/page/801/?search=undefined&amp;videoId=6345729027112" TargetMode="External"/><Relationship Id="rId9179" Type="http://schemas.openxmlformats.org/officeDocument/2006/relationships/hyperlink" Target="https://punscraze.com/smart-estimation-methods-that-improve-construction-accuracy/" TargetMode="External"/><Relationship Id="rId16031" Type="http://schemas.openxmlformats.org/officeDocument/2006/relationships/hyperlink" Target="https://www.rwdoors.com/" TargetMode="External"/><Relationship Id="rId538" Type="http://schemas.openxmlformats.org/officeDocument/2006/relationships/hyperlink" Target="https://www.talentedladiesclub.com/articles/first-time-parents-nine-useful-tips-for-going-on-a-vacation-with-a-baby/" TargetMode="External"/><Relationship Id="rId1168" Type="http://schemas.openxmlformats.org/officeDocument/2006/relationships/hyperlink" Target="https://www.matrixbasements.com/" TargetMode="External"/><Relationship Id="rId2219" Type="http://schemas.openxmlformats.org/officeDocument/2006/relationships/hyperlink" Target="https://www.realestatewitch.com/we-buy-houses-for-cash-companies/oklahoma/tulsa/" TargetMode="External"/><Relationship Id="rId5789" Type="http://schemas.openxmlformats.org/officeDocument/2006/relationships/hyperlink" Target="https://www.depositfix.com/blog/how-to-recover-failed-payments-in-your-coaching-business" TargetMode="External"/><Relationship Id="rId9660" Type="http://schemas.openxmlformats.org/officeDocument/2006/relationships/hyperlink" Target="https://www.pinoyeplans.com/" TargetMode="External"/><Relationship Id="rId8262" Type="http://schemas.openxmlformats.org/officeDocument/2006/relationships/hyperlink" Target="https://www.zestlighting.com.au/" TargetMode="External"/><Relationship Id="rId9313" Type="http://schemas.openxmlformats.org/officeDocument/2006/relationships/hyperlink" Target="https://www.teachengineering.org/" TargetMode="External"/><Relationship Id="rId10192" Type="http://schemas.openxmlformats.org/officeDocument/2006/relationships/hyperlink" Target="https://www.teachengineering.org/" TargetMode="External"/><Relationship Id="rId11590" Type="http://schemas.openxmlformats.org/officeDocument/2006/relationships/hyperlink" Target="https://sellhousefast.uk/" TargetMode="External"/><Relationship Id="rId12641" Type="http://schemas.openxmlformats.org/officeDocument/2006/relationships/hyperlink" Target="https://www.shma.co.uk/" TargetMode="External"/><Relationship Id="rId1302" Type="http://schemas.openxmlformats.org/officeDocument/2006/relationships/hyperlink" Target="https://www.simpleshowing.com/" TargetMode="External"/><Relationship Id="rId2700" Type="http://schemas.openxmlformats.org/officeDocument/2006/relationships/hyperlink" Target="https://www.simpleshowing.com/" TargetMode="External"/><Relationship Id="rId11243" Type="http://schemas.openxmlformats.org/officeDocument/2006/relationships/hyperlink" Target="https://www.waterdamagespecialist.com.au/" TargetMode="External"/><Relationship Id="rId15864" Type="http://schemas.openxmlformats.org/officeDocument/2006/relationships/hyperlink" Target="https://observervoice.com/the-strength-of-stainless-steel-fabrication-73731/" TargetMode="External"/><Relationship Id="rId4872" Type="http://schemas.openxmlformats.org/officeDocument/2006/relationships/hyperlink" Target="https://www.simpleshowing.com/" TargetMode="External"/><Relationship Id="rId5923" Type="http://schemas.openxmlformats.org/officeDocument/2006/relationships/hyperlink" Target="https://mumsoftheshire.com.au/advice/mums-financial-wellbeing/" TargetMode="External"/><Relationship Id="rId14466" Type="http://schemas.openxmlformats.org/officeDocument/2006/relationships/hyperlink" Target="https://www.linearmotiontips.com/a-users-guide-to-sensors-and-switches/" TargetMode="External"/><Relationship Id="rId15517" Type="http://schemas.openxmlformats.org/officeDocument/2006/relationships/hyperlink" Target="https://myinteriorpalace.com/" TargetMode="External"/><Relationship Id="rId395" Type="http://schemas.openxmlformats.org/officeDocument/2006/relationships/hyperlink" Target="https://illustrarch.com/articles/33253-your-ultimate-guide-to-buying-a-new-home.html" TargetMode="External"/><Relationship Id="rId2076" Type="http://schemas.openxmlformats.org/officeDocument/2006/relationships/hyperlink" Target="https://www.simpleshowing.com/" TargetMode="External"/><Relationship Id="rId3474" Type="http://schemas.openxmlformats.org/officeDocument/2006/relationships/hyperlink" Target="https://www.simpleshowing.com/" TargetMode="External"/><Relationship Id="rId4525" Type="http://schemas.openxmlformats.org/officeDocument/2006/relationships/hyperlink" Target="https://www.simpleshowing.com/" TargetMode="External"/><Relationship Id="rId13068" Type="http://schemas.openxmlformats.org/officeDocument/2006/relationships/hyperlink" Target="https://www.fwi.co.uk/business/business-management/agricultural-transition/farm-business-succession-the-way-ahead-amid-new-tax-rules" TargetMode="External"/><Relationship Id="rId14119" Type="http://schemas.openxmlformats.org/officeDocument/2006/relationships/hyperlink" Target="https://myinteriorpalace.com/" TargetMode="External"/><Relationship Id="rId3127" Type="http://schemas.openxmlformats.org/officeDocument/2006/relationships/hyperlink" Target="https://www.pulte.com/" TargetMode="External"/><Relationship Id="rId6697" Type="http://schemas.openxmlformats.org/officeDocument/2006/relationships/hyperlink" Target="https://www.eplanters.com/blog/" TargetMode="External"/><Relationship Id="rId7748" Type="http://schemas.openxmlformats.org/officeDocument/2006/relationships/hyperlink" Target="https://www.uniteddigestive.com/physician-careers/braselton-and-gainesville-career-opportunities/" TargetMode="External"/><Relationship Id="rId5299" Type="http://schemas.openxmlformats.org/officeDocument/2006/relationships/hyperlink" Target="https://eqvista.com/startup-fundraising/raise-debt-financing-startups/" TargetMode="External"/><Relationship Id="rId9170" Type="http://schemas.openxmlformats.org/officeDocument/2006/relationships/hyperlink" Target="https://technewstop.org/a-guid%D0%B5-to-maximizing-proj%D0%B5ct-succ%D0%B5ss-through-construction-estimating/" TargetMode="External"/><Relationship Id="rId10729" Type="http://schemas.openxmlformats.org/officeDocument/2006/relationships/hyperlink" Target="https://www.teachengineering.org/" TargetMode="External"/><Relationship Id="rId12151" Type="http://schemas.openxmlformats.org/officeDocument/2006/relationships/hyperlink" Target="https://www.bobvila.com/" TargetMode="External"/><Relationship Id="rId13202" Type="http://schemas.openxmlformats.org/officeDocument/2006/relationships/hyperlink" Target="https://www.shma.co.uk/" TargetMode="External"/><Relationship Id="rId14600" Type="http://schemas.openxmlformats.org/officeDocument/2006/relationships/hyperlink" Target="https://www.easygaragedoorrepair.com/" TargetMode="External"/><Relationship Id="rId2210" Type="http://schemas.openxmlformats.org/officeDocument/2006/relationships/hyperlink" Target="https://www.repvue.com/companies/mark-spain-real-estate" TargetMode="External"/><Relationship Id="rId4382" Type="http://schemas.openxmlformats.org/officeDocument/2006/relationships/hyperlink" Target="https://www.kapre.com/" TargetMode="External"/><Relationship Id="rId5433" Type="http://schemas.openxmlformats.org/officeDocument/2006/relationships/hyperlink" Target="https://www.brightmoney.co/learn/escape-the-debt-trap-now-find-top-debt-consolidators-near-you" TargetMode="External"/><Relationship Id="rId5780" Type="http://schemas.openxmlformats.org/officeDocument/2006/relationships/hyperlink" Target="https://www.simpleshowing.com/" TargetMode="External"/><Relationship Id="rId6831" Type="http://schemas.openxmlformats.org/officeDocument/2006/relationships/hyperlink" Target="https://www.simpleshowing.com/" TargetMode="External"/><Relationship Id="rId15374" Type="http://schemas.openxmlformats.org/officeDocument/2006/relationships/hyperlink" Target="https://www.luxdeco.com/" TargetMode="External"/><Relationship Id="rId4035" Type="http://schemas.openxmlformats.org/officeDocument/2006/relationships/hyperlink" Target="https://www.simpleshowing.com/" TargetMode="External"/><Relationship Id="rId11984" Type="http://schemas.openxmlformats.org/officeDocument/2006/relationships/hyperlink" Target="https://alen.com/blogs/usage/how-to-get-rid-of-musty-basement-smell" TargetMode="External"/><Relationship Id="rId15027" Type="http://schemas.openxmlformats.org/officeDocument/2006/relationships/hyperlink" Target="https://www.seasonsincolour.com/post/minimalist-vs-modern-interior-design-what-to-consider" TargetMode="External"/><Relationship Id="rId8656" Type="http://schemas.openxmlformats.org/officeDocument/2006/relationships/hyperlink" Target="https://yellow.co.nz/Manukau+City/Breakers" TargetMode="External"/><Relationship Id="rId9707" Type="http://schemas.openxmlformats.org/officeDocument/2006/relationships/hyperlink" Target="https://www.hbgdiocese.org/catholic-schools/diocesan-elementary-curriculum/" TargetMode="External"/><Relationship Id="rId10586" Type="http://schemas.openxmlformats.org/officeDocument/2006/relationships/hyperlink" Target="https://www.perkins.org/resource/help-droopy-plant/" TargetMode="External"/><Relationship Id="rId11637" Type="http://schemas.openxmlformats.org/officeDocument/2006/relationships/hyperlink" Target="https://www.hamiltoninternationalestates.com/" TargetMode="External"/><Relationship Id="rId7258" Type="http://schemas.openxmlformats.org/officeDocument/2006/relationships/hyperlink" Target="https://communities.excelsior.edu/companies/page/4/" TargetMode="External"/><Relationship Id="rId8309" Type="http://schemas.openxmlformats.org/officeDocument/2006/relationships/hyperlink" Target="https://www.pinoyeplans.com/" TargetMode="External"/><Relationship Id="rId10239" Type="http://schemas.openxmlformats.org/officeDocument/2006/relationships/hyperlink" Target="https://www.pinoyeplans.com/" TargetMode="External"/><Relationship Id="rId14110" Type="http://schemas.openxmlformats.org/officeDocument/2006/relationships/hyperlink" Target="https://myinteriorpalace.com/" TargetMode="External"/><Relationship Id="rId3868" Type="http://schemas.openxmlformats.org/officeDocument/2006/relationships/hyperlink" Target="https://thecoverguy.com/" TargetMode="External"/><Relationship Id="rId4919" Type="http://schemas.openxmlformats.org/officeDocument/2006/relationships/hyperlink" Target="https://www.searchenginemagazine.com/internal-linking" TargetMode="External"/><Relationship Id="rId789" Type="http://schemas.openxmlformats.org/officeDocument/2006/relationships/hyperlink" Target="https://www.schaafsma.com/" TargetMode="External"/><Relationship Id="rId5290" Type="http://schemas.openxmlformats.org/officeDocument/2006/relationships/hyperlink" Target="https://www.simpleshowing.com/" TargetMode="External"/><Relationship Id="rId6341" Type="http://schemas.openxmlformats.org/officeDocument/2006/relationships/hyperlink" Target="https://gateway.lafayette.edu/blog/2025/10/19/a-job-search-playbook-five-weekly-habits-that-deliver-results/" TargetMode="External"/><Relationship Id="rId10720" Type="http://schemas.openxmlformats.org/officeDocument/2006/relationships/hyperlink" Target="https://www.teachengineering.org/" TargetMode="External"/><Relationship Id="rId9564" Type="http://schemas.openxmlformats.org/officeDocument/2006/relationships/hyperlink" Target="https://www.pinoyeplans.com/" TargetMode="External"/><Relationship Id="rId12892" Type="http://schemas.openxmlformats.org/officeDocument/2006/relationships/hyperlink" Target="https://propertypressonline.co.uk/" TargetMode="External"/><Relationship Id="rId13943" Type="http://schemas.openxmlformats.org/officeDocument/2006/relationships/hyperlink" Target="https://faheyroofingcontractors.com/" TargetMode="External"/><Relationship Id="rId2951" Type="http://schemas.openxmlformats.org/officeDocument/2006/relationships/hyperlink" Target="https://iconiclife.com/luxury-custom-home-builder-tim-mccormac/" TargetMode="External"/><Relationship Id="rId8166" Type="http://schemas.openxmlformats.org/officeDocument/2006/relationships/hyperlink" Target="https://smaarchviz.com/" TargetMode="External"/><Relationship Id="rId9217" Type="http://schemas.openxmlformats.org/officeDocument/2006/relationships/hyperlink" Target="https://mcd.net.au/" TargetMode="External"/><Relationship Id="rId11494" Type="http://schemas.openxmlformats.org/officeDocument/2006/relationships/hyperlink" Target="https://www.gbnews.com/lifestyle/property/property-how-to-sell-first-impressions" TargetMode="External"/><Relationship Id="rId12545" Type="http://schemas.openxmlformats.org/officeDocument/2006/relationships/hyperlink" Target="https://www.shma.co.uk/" TargetMode="External"/><Relationship Id="rId923" Type="http://schemas.openxmlformats.org/officeDocument/2006/relationships/hyperlink" Target="https://joesdaily.com/advice/home-maintenance-101-heres-everything-you-should-know/" TargetMode="External"/><Relationship Id="rId1553" Type="http://schemas.openxmlformats.org/officeDocument/2006/relationships/hyperlink" Target="https://www.spreaker.com/podcast/the-power-trip-s-initials-game--3192371" TargetMode="External"/><Relationship Id="rId2604" Type="http://schemas.openxmlformats.org/officeDocument/2006/relationships/hyperlink" Target="https://www.simpleshowing.com/" TargetMode="External"/><Relationship Id="rId10096" Type="http://schemas.openxmlformats.org/officeDocument/2006/relationships/hyperlink" Target="https://www.teachengineering.org/" TargetMode="External"/><Relationship Id="rId11147" Type="http://schemas.openxmlformats.org/officeDocument/2006/relationships/hyperlink" Target="https://ebnw.net/page/453/?cat=0" TargetMode="External"/><Relationship Id="rId15768" Type="http://schemas.openxmlformats.org/officeDocument/2006/relationships/hyperlink" Target="https://homeworlddesign.com/the-benefits-of-aluminium-cladding-in-architecture/" TargetMode="External"/><Relationship Id="rId1206" Type="http://schemas.openxmlformats.org/officeDocument/2006/relationships/hyperlink" Target="https://www.simpleshowing.com/" TargetMode="External"/><Relationship Id="rId4776" Type="http://schemas.openxmlformats.org/officeDocument/2006/relationships/hyperlink" Target="https://www.wjhg.com/2024/05/27/high-school-seniors-can-now-get-real-estate-license-free-this-state/" TargetMode="External"/><Relationship Id="rId5827" Type="http://schemas.openxmlformats.org/officeDocument/2006/relationships/hyperlink" Target="https://www.bestforbride.com/bridal-shop/08/smart-tips-and-tricks-that-you-need-to-know-when-planning-your-wedding/" TargetMode="External"/><Relationship Id="rId3378" Type="http://schemas.openxmlformats.org/officeDocument/2006/relationships/hyperlink" Target="https://www.simpleshowing.com/" TargetMode="External"/><Relationship Id="rId4429" Type="http://schemas.openxmlformats.org/officeDocument/2006/relationships/hyperlink" Target="https://www.simpleshowing.com/" TargetMode="External"/><Relationship Id="rId7999" Type="http://schemas.openxmlformats.org/officeDocument/2006/relationships/hyperlink" Target="https://bakerroofing.com/top-5-roofing-companies-in-indianapolis/" TargetMode="External"/><Relationship Id="rId8300" Type="http://schemas.openxmlformats.org/officeDocument/2006/relationships/hyperlink" Target="https://www.pinoyeplans.com/" TargetMode="External"/><Relationship Id="rId10230" Type="http://schemas.openxmlformats.org/officeDocument/2006/relationships/hyperlink" Target="https://www.pinoyeplans.com/" TargetMode="External"/><Relationship Id="rId299" Type="http://schemas.openxmlformats.org/officeDocument/2006/relationships/hyperlink" Target="http://willyhomes.com/" TargetMode="External"/><Relationship Id="rId14851" Type="http://schemas.openxmlformats.org/officeDocument/2006/relationships/hyperlink" Target="https://myinteriorpalace.com/" TargetMode="External"/><Relationship Id="rId15902" Type="http://schemas.openxmlformats.org/officeDocument/2006/relationships/hyperlink" Target="https://www.raynorkc.com/" TargetMode="External"/><Relationship Id="rId780" Type="http://schemas.openxmlformats.org/officeDocument/2006/relationships/hyperlink" Target="https://www.schaafsma.com/" TargetMode="External"/><Relationship Id="rId2461" Type="http://schemas.openxmlformats.org/officeDocument/2006/relationships/hyperlink" Target="https://www.pulte.com/" TargetMode="External"/><Relationship Id="rId3512" Type="http://schemas.openxmlformats.org/officeDocument/2006/relationships/hyperlink" Target="https://www.reviewjournal.com/homes/advertising-features/first-look-pinewood-at-skye-canyon-2254048/" TargetMode="External"/><Relationship Id="rId4910" Type="http://schemas.openxmlformats.org/officeDocument/2006/relationships/hyperlink" Target="https://www.simpleshowing.com/" TargetMode="External"/><Relationship Id="rId9074" Type="http://schemas.openxmlformats.org/officeDocument/2006/relationships/hyperlink" Target="https://indiacsr.in/roi-construction-estimation-for-financial-success/" TargetMode="External"/><Relationship Id="rId12055" Type="http://schemas.openxmlformats.org/officeDocument/2006/relationships/hyperlink" Target="https://www.bobvila.com/" TargetMode="External"/><Relationship Id="rId13453" Type="http://schemas.openxmlformats.org/officeDocument/2006/relationships/hyperlink" Target="https://myinteriorpalace.com/" TargetMode="External"/><Relationship Id="rId14504" Type="http://schemas.openxmlformats.org/officeDocument/2006/relationships/hyperlink" Target="https://raynordoor.com/" TargetMode="External"/><Relationship Id="rId433" Type="http://schemas.openxmlformats.org/officeDocument/2006/relationships/hyperlink" Target="https://northernouterbanks.com/listing/carolina-designs-realty/" TargetMode="External"/><Relationship Id="rId1063" Type="http://schemas.openxmlformats.org/officeDocument/2006/relationships/hyperlink" Target="https://www.matrixbasements.com/" TargetMode="External"/><Relationship Id="rId2114" Type="http://schemas.openxmlformats.org/officeDocument/2006/relationships/hyperlink" Target="https://disquantified.org/selling-your-nashville-home-during-divorce-what-couples-need-to-know/" TargetMode="External"/><Relationship Id="rId13106" Type="http://schemas.openxmlformats.org/officeDocument/2006/relationships/hyperlink" Target="https://www.shma.co.uk/" TargetMode="External"/><Relationship Id="rId4286" Type="http://schemas.openxmlformats.org/officeDocument/2006/relationships/hyperlink" Target="https://www.kapre.com/" TargetMode="External"/><Relationship Id="rId5684" Type="http://schemas.openxmlformats.org/officeDocument/2006/relationships/hyperlink" Target="https://www.simpleshowing.com/" TargetMode="External"/><Relationship Id="rId6735" Type="http://schemas.openxmlformats.org/officeDocument/2006/relationships/hyperlink" Target="https://www.simpleshowing.com/" TargetMode="External"/><Relationship Id="rId15278" Type="http://schemas.openxmlformats.org/officeDocument/2006/relationships/hyperlink" Target="https://www.luxdeco.com/" TargetMode="External"/><Relationship Id="rId5337" Type="http://schemas.openxmlformats.org/officeDocument/2006/relationships/hyperlink" Target="https://www.talked.com.au/blog/stress-vs-anxiety" TargetMode="External"/><Relationship Id="rId9958" Type="http://schemas.openxmlformats.org/officeDocument/2006/relationships/hyperlink" Target="https://www.teachengineering.org/" TargetMode="External"/><Relationship Id="rId11888" Type="http://schemas.openxmlformats.org/officeDocument/2006/relationships/hyperlink" Target="https://www.dumpsters.com/" TargetMode="External"/><Relationship Id="rId12939" Type="http://schemas.openxmlformats.org/officeDocument/2006/relationships/hyperlink" Target="https://cih.org/news/report-shows-disconnect-between-public-perception-and-the-reality-of-retirement-housing/" TargetMode="External"/><Relationship Id="rId1947" Type="http://schemas.openxmlformats.org/officeDocument/2006/relationships/hyperlink" Target="https://www.simpleshowing.com/" TargetMode="External"/><Relationship Id="rId14361" Type="http://schemas.openxmlformats.org/officeDocument/2006/relationships/hyperlink" Target="https://www.iuemag.com/j21/di/11-timeless-gift-ideas-for-your-other-half" TargetMode="External"/><Relationship Id="rId15412" Type="http://schemas.openxmlformats.org/officeDocument/2006/relationships/hyperlink" Target="https://myinteriorpalace.com/" TargetMode="External"/><Relationship Id="rId4420" Type="http://schemas.openxmlformats.org/officeDocument/2006/relationships/hyperlink" Target="https://www.simpleshowing.com/" TargetMode="External"/><Relationship Id="rId7990" Type="http://schemas.openxmlformats.org/officeDocument/2006/relationships/hyperlink" Target="https://skroofingandconstruction.com/what-is-roof-flashing/" TargetMode="External"/><Relationship Id="rId14014" Type="http://schemas.openxmlformats.org/officeDocument/2006/relationships/hyperlink" Target="https://myinteriorpalace.com/" TargetMode="External"/><Relationship Id="rId290" Type="http://schemas.openxmlformats.org/officeDocument/2006/relationships/hyperlink" Target="http://momwithfive.com/" TargetMode="External"/><Relationship Id="rId3022" Type="http://schemas.openxmlformats.org/officeDocument/2006/relationships/hyperlink" Target="https://www.pulte.com/" TargetMode="External"/><Relationship Id="rId6592" Type="http://schemas.openxmlformats.org/officeDocument/2006/relationships/hyperlink" Target="https://innotechtoday.com/how-to-turn-a-dumb-house-into-a-smart-sustainable-home/" TargetMode="External"/><Relationship Id="rId7643" Type="http://schemas.openxmlformats.org/officeDocument/2006/relationships/hyperlink" Target="https://www.taylormorrison.com/" TargetMode="External"/><Relationship Id="rId10971" Type="http://schemas.openxmlformats.org/officeDocument/2006/relationships/hyperlink" Target="https://www.pinoyeplans.com/" TargetMode="External"/><Relationship Id="rId16186" Type="http://schemas.openxmlformats.org/officeDocument/2006/relationships/hyperlink" Target="https://myinteriorpalace.com/" TargetMode="External"/><Relationship Id="rId5194" Type="http://schemas.openxmlformats.org/officeDocument/2006/relationships/hyperlink" Target="https://www.simpleshowing.com/" TargetMode="External"/><Relationship Id="rId6245" Type="http://schemas.openxmlformats.org/officeDocument/2006/relationships/hyperlink" Target="https://authory.com/NatashaEtzel" TargetMode="External"/><Relationship Id="rId10624" Type="http://schemas.openxmlformats.org/officeDocument/2006/relationships/hyperlink" Target="https://www.teachengineering.org/" TargetMode="External"/><Relationship Id="rId12796" Type="http://schemas.openxmlformats.org/officeDocument/2006/relationships/hyperlink" Target="https://propertypressonline.co.uk/" TargetMode="External"/><Relationship Id="rId13847" Type="http://schemas.openxmlformats.org/officeDocument/2006/relationships/hyperlink" Target="https://aqglassshowerdoorsphoenix.com/" TargetMode="External"/><Relationship Id="rId2855" Type="http://schemas.openxmlformats.org/officeDocument/2006/relationships/hyperlink" Target="https://yieldpro.com/2025/06/bridgeview/" TargetMode="External"/><Relationship Id="rId3906" Type="http://schemas.openxmlformats.org/officeDocument/2006/relationships/hyperlink" Target="https://www.simpleshowing.com/" TargetMode="External"/><Relationship Id="rId9468" Type="http://schemas.openxmlformats.org/officeDocument/2006/relationships/hyperlink" Target="https://www.pinoyeplans.com/" TargetMode="External"/><Relationship Id="rId11398" Type="http://schemas.openxmlformats.org/officeDocument/2006/relationships/hyperlink" Target="https://cdapress.com/news/2025/oct/03/why-your-house-is-not-selling-top-reasons-explained/" TargetMode="External"/><Relationship Id="rId12449" Type="http://schemas.openxmlformats.org/officeDocument/2006/relationships/hyperlink" Target="https://inews.co.uk/news/cash-strapped-universities-fold-new-students-graduate-3229221" TargetMode="External"/><Relationship Id="rId827" Type="http://schemas.openxmlformats.org/officeDocument/2006/relationships/hyperlink" Target="https://www.simpleshowing.com/" TargetMode="External"/><Relationship Id="rId1457" Type="http://schemas.openxmlformats.org/officeDocument/2006/relationships/hyperlink" Target="https://train.cyberoptik.net/blog/best-window-and-door-website-designs/" TargetMode="External"/><Relationship Id="rId2508" Type="http://schemas.openxmlformats.org/officeDocument/2006/relationships/hyperlink" Target="https://www.simpleshowing.com/" TargetMode="External"/><Relationship Id="rId8551" Type="http://schemas.openxmlformats.org/officeDocument/2006/relationships/hyperlink" Target="https://techepeak.com/digital-twins-and-beyond-how-architectural-visualization-services-support-smart-city-tech/" TargetMode="External"/><Relationship Id="rId9602" Type="http://schemas.openxmlformats.org/officeDocument/2006/relationships/hyperlink" Target="https://www.home-elevator.net/info-elevator-mechanics.php" TargetMode="External"/><Relationship Id="rId10481" Type="http://schemas.openxmlformats.org/officeDocument/2006/relationships/hyperlink" Target="http://www.hampton.k12.va.us/news/Oct25/AberdeenWithoutWater.html" TargetMode="External"/><Relationship Id="rId12930" Type="http://schemas.openxmlformats.org/officeDocument/2006/relationships/hyperlink" Target="https://www.esmmagazine.com/retail/food-and-drink-sector-accounted-for-6-of-administrations-in-uk-181776" TargetMode="External"/><Relationship Id="rId7153" Type="http://schemas.openxmlformats.org/officeDocument/2006/relationships/hyperlink" Target="https://www.simpleshowing.com/" TargetMode="External"/><Relationship Id="rId8204" Type="http://schemas.openxmlformats.org/officeDocument/2006/relationships/hyperlink" Target="https://www.pinoyeplans.com/" TargetMode="External"/><Relationship Id="rId10134" Type="http://schemas.openxmlformats.org/officeDocument/2006/relationships/hyperlink" Target="https://www.pinoyeplans.com/" TargetMode="External"/><Relationship Id="rId11532" Type="http://schemas.openxmlformats.org/officeDocument/2006/relationships/hyperlink" Target="https://sellhousefast.uk/" TargetMode="External"/><Relationship Id="rId14755" Type="http://schemas.openxmlformats.org/officeDocument/2006/relationships/hyperlink" Target="https://myinteriorpalace.com/" TargetMode="External"/><Relationship Id="rId15806" Type="http://schemas.openxmlformats.org/officeDocument/2006/relationships/hyperlink" Target="https://www.modinex.com.au/" TargetMode="External"/><Relationship Id="rId684" Type="http://schemas.openxmlformats.org/officeDocument/2006/relationships/hyperlink" Target="https://www.carolinadesigns.com/" TargetMode="External"/><Relationship Id="rId2365" Type="http://schemas.openxmlformats.org/officeDocument/2006/relationships/hyperlink" Target="https://www.pulte.com/" TargetMode="External"/><Relationship Id="rId3763" Type="http://schemas.openxmlformats.org/officeDocument/2006/relationships/hyperlink" Target="https://www.overheaddoors.com/" TargetMode="External"/><Relationship Id="rId4814" Type="http://schemas.openxmlformats.org/officeDocument/2006/relationships/hyperlink" Target="https://www.kapre.com/" TargetMode="External"/><Relationship Id="rId13357" Type="http://schemas.openxmlformats.org/officeDocument/2006/relationships/hyperlink" Target="https://myinteriorpalace.com/" TargetMode="External"/><Relationship Id="rId14408" Type="http://schemas.openxmlformats.org/officeDocument/2006/relationships/hyperlink" Target="https://luxurylifestyle.com/" TargetMode="External"/><Relationship Id="rId337" Type="http://schemas.openxmlformats.org/officeDocument/2006/relationships/hyperlink" Target="https://riseapartments.com/buying-property-across-state-lines/" TargetMode="External"/><Relationship Id="rId2018" Type="http://schemas.openxmlformats.org/officeDocument/2006/relationships/hyperlink" Target="https://socialcatfish.com/best-people/best-real-estate-agents-in-athens-ga/" TargetMode="External"/><Relationship Id="rId3416" Type="http://schemas.openxmlformats.org/officeDocument/2006/relationships/hyperlink" Target="https://miao.withwre.com/listing/WA/Shoreline/14598-Westminster-Way-N-204-98133/199894667" TargetMode="External"/><Relationship Id="rId6986" Type="http://schemas.openxmlformats.org/officeDocument/2006/relationships/hyperlink" Target="https://www.taylormorrison.com/" TargetMode="External"/><Relationship Id="rId5588" Type="http://schemas.openxmlformats.org/officeDocument/2006/relationships/hyperlink" Target="https://www.simpleshowing.com/" TargetMode="External"/><Relationship Id="rId6639" Type="http://schemas.openxmlformats.org/officeDocument/2006/relationships/hyperlink" Target="https://www.electronicdesign.com/technologies/components/article/21802499/mobile-app-summons-steam" TargetMode="External"/><Relationship Id="rId12440" Type="http://schemas.openxmlformats.org/officeDocument/2006/relationships/hyperlink" Target="https://www.mytutor.co.uk/blog/students/the-true-university-costs/" TargetMode="External"/><Relationship Id="rId8061" Type="http://schemas.openxmlformats.org/officeDocument/2006/relationships/hyperlink" Target="https://qualityroofingsolutions.com/blog/chimney-flashing/" TargetMode="External"/><Relationship Id="rId9112" Type="http://schemas.openxmlformats.org/officeDocument/2006/relationships/hyperlink" Target="https://nycestimating.us/" TargetMode="External"/><Relationship Id="rId11042" Type="http://schemas.openxmlformats.org/officeDocument/2006/relationships/hyperlink" Target="https://library.wyo.gov/news-in-brief-32/" TargetMode="External"/><Relationship Id="rId1101" Type="http://schemas.openxmlformats.org/officeDocument/2006/relationships/hyperlink" Target="https://www.simpleshowing.com/" TargetMode="External"/><Relationship Id="rId4671" Type="http://schemas.openxmlformats.org/officeDocument/2006/relationships/hyperlink" Target="https://www.kltv.com/2024/05/27/high-school-seniors-can-now-get-real-estate-license-free-this-state/" TargetMode="External"/><Relationship Id="rId5722" Type="http://schemas.openxmlformats.org/officeDocument/2006/relationships/hyperlink" Target="https://www.simpleshowing.com/" TargetMode="External"/><Relationship Id="rId14265" Type="http://schemas.openxmlformats.org/officeDocument/2006/relationships/hyperlink" Target="https://www.talentedladiesclub.com/articles/how-to-personalise-your-wedding-gifts-for-the-bride-and-groom/" TargetMode="External"/><Relationship Id="rId15663" Type="http://schemas.openxmlformats.org/officeDocument/2006/relationships/hyperlink" Target="https://cms-http-proxy.stacker.com/stories/art-culture/legendary-interior-designers-every-decade-20th-century" TargetMode="External"/><Relationship Id="rId3273" Type="http://schemas.openxmlformats.org/officeDocument/2006/relationships/hyperlink" Target="https://www.simpleshowing.com/" TargetMode="External"/><Relationship Id="rId4324" Type="http://schemas.openxmlformats.org/officeDocument/2006/relationships/hyperlink" Target="https://www.simpleshowing.com/" TargetMode="External"/><Relationship Id="rId15316" Type="http://schemas.openxmlformats.org/officeDocument/2006/relationships/hyperlink" Target="https://myinteriorpalace.com/" TargetMode="External"/><Relationship Id="rId194" Type="http://schemas.openxmlformats.org/officeDocument/2006/relationships/hyperlink" Target="http://steamandsaunaexperts.com/" TargetMode="External"/><Relationship Id="rId6496" Type="http://schemas.openxmlformats.org/officeDocument/2006/relationships/hyperlink" Target="https://www.thermasol.com/" TargetMode="External"/><Relationship Id="rId7894" Type="http://schemas.openxmlformats.org/officeDocument/2006/relationships/hyperlink" Target="https://design.honestaberoofing.com/indianapolis/about-us/blog/2025/august/smart-budgeting-for-your-next-roof-replacement-in-indianapolis" TargetMode="External"/><Relationship Id="rId8945" Type="http://schemas.openxmlformats.org/officeDocument/2006/relationships/hyperlink" Target="https://www.utdplug.co.uk/building-with-precision-the-evolution-of-construction-cost-estimation/" TargetMode="External"/><Relationship Id="rId10875" Type="http://schemas.openxmlformats.org/officeDocument/2006/relationships/hyperlink" Target="https://www.pinoyeplans.com/" TargetMode="External"/><Relationship Id="rId11926" Type="http://schemas.openxmlformats.org/officeDocument/2006/relationships/hyperlink" Target="https://www.bobvila.com/" TargetMode="External"/><Relationship Id="rId5098" Type="http://schemas.openxmlformats.org/officeDocument/2006/relationships/hyperlink" Target="https://www.simpleshowing.com/" TargetMode="External"/><Relationship Id="rId6149" Type="http://schemas.openxmlformats.org/officeDocument/2006/relationships/hyperlink" Target="https://trans4mind.com/counterpoint/index-finance-business/get-free-money-from-government.html" TargetMode="External"/><Relationship Id="rId7547" Type="http://schemas.openxmlformats.org/officeDocument/2006/relationships/hyperlink" Target="https://www.taylormorrison.com/" TargetMode="External"/><Relationship Id="rId10528" Type="http://schemas.openxmlformats.org/officeDocument/2006/relationships/hyperlink" Target="https://www.teachengineering.org/" TargetMode="External"/><Relationship Id="rId13001" Type="http://schemas.openxmlformats.org/officeDocument/2006/relationships/hyperlink" Target="https://www.shma.co.uk/" TargetMode="External"/><Relationship Id="rId2759" Type="http://schemas.openxmlformats.org/officeDocument/2006/relationships/hyperlink" Target="https://83degreesmedia.com/tampa-bay-suburbs-offer-affordable-homes040318/" TargetMode="External"/><Relationship Id="rId6630" Type="http://schemas.openxmlformats.org/officeDocument/2006/relationships/hyperlink" Target="https://www.qualifiedremodeler.com/company/thermasol/" TargetMode="External"/><Relationship Id="rId15173" Type="http://schemas.openxmlformats.org/officeDocument/2006/relationships/hyperlink" Target="https://www.luxdeco.com/" TargetMode="External"/><Relationship Id="rId16224" Type="http://schemas.openxmlformats.org/officeDocument/2006/relationships/hyperlink" Target="https://www.marketbeat.com/stocks/LON/UCG/" TargetMode="External"/><Relationship Id="rId4181" Type="http://schemas.openxmlformats.org/officeDocument/2006/relationships/hyperlink" Target="https://www.kapre.com/" TargetMode="External"/><Relationship Id="rId5232" Type="http://schemas.openxmlformats.org/officeDocument/2006/relationships/hyperlink" Target="https://www.simpleshowing.com/" TargetMode="External"/><Relationship Id="rId9853" Type="http://schemas.openxmlformats.org/officeDocument/2006/relationships/hyperlink" Target="https://www.teachengineering.org/" TargetMode="External"/><Relationship Id="rId67" Type="http://schemas.openxmlformats.org/officeDocument/2006/relationships/hyperlink" Target="http://growingfamily.co.uk/" TargetMode="External"/><Relationship Id="rId8455" Type="http://schemas.openxmlformats.org/officeDocument/2006/relationships/hyperlink" Target="https://www.myarchitectai.com/blog/architectural-rendering-companies" TargetMode="External"/><Relationship Id="rId9506" Type="http://schemas.openxmlformats.org/officeDocument/2006/relationships/hyperlink" Target="https://www.crimsoneducation.org/us/blog/is-biomedical-engineering-a-good-major" TargetMode="External"/><Relationship Id="rId11783" Type="http://schemas.openxmlformats.org/officeDocument/2006/relationships/hyperlink" Target="https://www.countypress.co.uk/news/16297074.isle-wight-bottom-two-number-new-build-houses-completed/" TargetMode="External"/><Relationship Id="rId12834" Type="http://schemas.openxmlformats.org/officeDocument/2006/relationships/hyperlink" Target="https://www.legalbusiness.co.uk/law-firms/blogs/we-have-something-to-prove-raynor-takes-the-top-role-at-shakespeares-as-wilson-departs/" TargetMode="External"/><Relationship Id="rId1842" Type="http://schemas.openxmlformats.org/officeDocument/2006/relationships/hyperlink" Target="https://www.simpleshowing.com/" TargetMode="External"/><Relationship Id="rId7057" Type="http://schemas.openxmlformats.org/officeDocument/2006/relationships/hyperlink" Target="https://www.simpleshowing.com/" TargetMode="External"/><Relationship Id="rId8108" Type="http://schemas.openxmlformats.org/officeDocument/2006/relationships/hyperlink" Target="https://www.pinoyeplans.com/" TargetMode="External"/><Relationship Id="rId10385" Type="http://schemas.openxmlformats.org/officeDocument/2006/relationships/hyperlink" Target="https://bostonparentspaper.com/18847-2/" TargetMode="External"/><Relationship Id="rId11436" Type="http://schemas.openxmlformats.org/officeDocument/2006/relationships/hyperlink" Target="http://webuyhouses.com/" TargetMode="External"/><Relationship Id="rId10038" Type="http://schemas.openxmlformats.org/officeDocument/2006/relationships/hyperlink" Target="https://www.pinoyeplans.com/" TargetMode="External"/><Relationship Id="rId14659" Type="http://schemas.openxmlformats.org/officeDocument/2006/relationships/hyperlink" Target="https://myinteriorpalace.com/" TargetMode="External"/><Relationship Id="rId3667" Type="http://schemas.openxmlformats.org/officeDocument/2006/relationships/hyperlink" Target="https://www.overheaddoors.com/" TargetMode="External"/><Relationship Id="rId4718" Type="http://schemas.openxmlformats.org/officeDocument/2006/relationships/hyperlink" Target="https://www.kapre.com/" TargetMode="External"/><Relationship Id="rId16081" Type="http://schemas.openxmlformats.org/officeDocument/2006/relationships/hyperlink" Target="https://myinteriorpalace.com/" TargetMode="External"/><Relationship Id="rId588" Type="http://schemas.openxmlformats.org/officeDocument/2006/relationships/hyperlink" Target="https://www.carolinadesigns.com/" TargetMode="External"/><Relationship Id="rId2269" Type="http://schemas.openxmlformats.org/officeDocument/2006/relationships/hyperlink" Target="https://www.collectionforsyth.com/" TargetMode="External"/><Relationship Id="rId6140" Type="http://schemas.openxmlformats.org/officeDocument/2006/relationships/hyperlink" Target="https://www.simpleshowing.com/" TargetMode="External"/><Relationship Id="rId12691" Type="http://schemas.openxmlformats.org/officeDocument/2006/relationships/hyperlink" Target="https://propertypressonline.co.uk/" TargetMode="External"/><Relationship Id="rId2750" Type="http://schemas.openxmlformats.org/officeDocument/2006/relationships/hyperlink" Target="https://www.cleveland.com/business/2020/08/pulte-homes-to-build-306-homes-at-geauga-lake-amusement-park-site.html" TargetMode="External"/><Relationship Id="rId3801" Type="http://schemas.openxmlformats.org/officeDocument/2006/relationships/hyperlink" Target="https://www.simpleshowing.com/" TargetMode="External"/><Relationship Id="rId9363" Type="http://schemas.openxmlformats.org/officeDocument/2006/relationships/hyperlink" Target="https://www.pinoyeplans.com/" TargetMode="External"/><Relationship Id="rId11293" Type="http://schemas.openxmlformats.org/officeDocument/2006/relationships/hyperlink" Target="https://www.hamiltoninternationalestates.com/" TargetMode="External"/><Relationship Id="rId12344" Type="http://schemas.openxmlformats.org/officeDocument/2006/relationships/hyperlink" Target="https://www.uwtsd.ac.uk/study/experience-facilities/accommodation/swansea-accommodation" TargetMode="External"/><Relationship Id="rId13742" Type="http://schemas.openxmlformats.org/officeDocument/2006/relationships/hyperlink" Target="https://anationofmoms.com/" TargetMode="External"/><Relationship Id="rId722" Type="http://schemas.openxmlformats.org/officeDocument/2006/relationships/hyperlink" Target="https://www.simpleshowing.com/" TargetMode="External"/><Relationship Id="rId1352" Type="http://schemas.openxmlformats.org/officeDocument/2006/relationships/hyperlink" Target="https://prnews.io/blog/top-10-real-estate-marketing-agencies-in-the-usa-how-to-distribute-your-brand-content.html" TargetMode="External"/><Relationship Id="rId2403" Type="http://schemas.openxmlformats.org/officeDocument/2006/relationships/hyperlink" Target="https://www.simpleshowing.com/" TargetMode="External"/><Relationship Id="rId9016" Type="http://schemas.openxmlformats.org/officeDocument/2006/relationships/hyperlink" Target="https://nycestimating.us/" TargetMode="External"/><Relationship Id="rId1005" Type="http://schemas.openxmlformats.org/officeDocument/2006/relationships/hyperlink" Target="https://www.simpleshowing.com/" TargetMode="External"/><Relationship Id="rId4575" Type="http://schemas.openxmlformats.org/officeDocument/2006/relationships/hyperlink" Target="https://www.kfvs12.com/2024/05/27/high-school-seniors-can-now-get-real-estate-license-free-this-state/" TargetMode="External"/><Relationship Id="rId5973" Type="http://schemas.openxmlformats.org/officeDocument/2006/relationships/hyperlink" Target="https://elkodaily.com/news/nation-world/" TargetMode="External"/><Relationship Id="rId15567" Type="http://schemas.openxmlformats.org/officeDocument/2006/relationships/hyperlink" Target="https://www.europeanbusinessreview.com/the-diyer-in-you-decorate-your-home-from-scratch/" TargetMode="External"/><Relationship Id="rId3177" Type="http://schemas.openxmlformats.org/officeDocument/2006/relationships/hyperlink" Target="https://www.simpleshowing.com/" TargetMode="External"/><Relationship Id="rId4228" Type="http://schemas.openxmlformats.org/officeDocument/2006/relationships/hyperlink" Target="https://www.simpleshowing.com/" TargetMode="External"/><Relationship Id="rId5626" Type="http://schemas.openxmlformats.org/officeDocument/2006/relationships/hyperlink" Target="https://www.simpleshowing.com/" TargetMode="External"/><Relationship Id="rId14169" Type="http://schemas.openxmlformats.org/officeDocument/2006/relationships/hyperlink" Target="https://grokipedia.com/page/Pearl_Thompson" TargetMode="External"/><Relationship Id="rId7798" Type="http://schemas.openxmlformats.org/officeDocument/2006/relationships/hyperlink" Target="https://www.lakerabunhotel.com/spring-break-in-georgia/" TargetMode="External"/><Relationship Id="rId8849" Type="http://schemas.openxmlformats.org/officeDocument/2006/relationships/hyperlink" Target="https://moz.com/case-studies/coalmarch" TargetMode="External"/><Relationship Id="rId10779" Type="http://schemas.openxmlformats.org/officeDocument/2006/relationships/hyperlink" Target="https://www.pinoyeplans.com/" TargetMode="External"/><Relationship Id="rId14650" Type="http://schemas.openxmlformats.org/officeDocument/2006/relationships/hyperlink" Target="https://myinteriorpalace.com/" TargetMode="External"/><Relationship Id="rId15701" Type="http://schemas.openxmlformats.org/officeDocument/2006/relationships/hyperlink" Target="https://www.modinex.com.au/" TargetMode="External"/><Relationship Id="rId13252" Type="http://schemas.openxmlformats.org/officeDocument/2006/relationships/hyperlink" Target="https://propertypressonline.co.uk/" TargetMode="External"/><Relationship Id="rId14303" Type="http://schemas.openxmlformats.org/officeDocument/2006/relationships/hyperlink" Target="https://luxurylifestyle.com/" TargetMode="External"/><Relationship Id="rId2260" Type="http://schemas.openxmlformats.org/officeDocument/2006/relationships/hyperlink" Target="https://www.collectionforsyth.com/" TargetMode="External"/><Relationship Id="rId3311" Type="http://schemas.openxmlformats.org/officeDocument/2006/relationships/hyperlink" Target="http://www.allgov.com/news/where-is-the-money-going/home-buyers-kept-in-dark-as-builders-retain-mineral-rights-with-eye-on-fracking-revenue-131014?news=851387" TargetMode="External"/><Relationship Id="rId6881" Type="http://schemas.openxmlformats.org/officeDocument/2006/relationships/hyperlink" Target="https://www.foodandwine.com/chef-pet-peeves-kitchen-habits-to-avoid-2026-11870186" TargetMode="External"/><Relationship Id="rId7932" Type="http://schemas.openxmlformats.org/officeDocument/2006/relationships/hyperlink" Target="https://certifiedrestorationinc.com/" TargetMode="External"/><Relationship Id="rId232" Type="http://schemas.openxmlformats.org/officeDocument/2006/relationships/hyperlink" Target="https://www.melaniejadedesign.com/buying-your-first-home/" TargetMode="External"/><Relationship Id="rId5483" Type="http://schemas.openxmlformats.org/officeDocument/2006/relationships/hyperlink" Target="https://www.cm-alliance.com/cybersecurity-blog/can-ai-be-hacked-the-risks-of-adversarial-attacks-in-lending-models" TargetMode="External"/><Relationship Id="rId6534" Type="http://schemas.openxmlformats.org/officeDocument/2006/relationships/hyperlink" Target="https://www.snyderdiamond.com/index.php?route=ripm/information/blogger&amp;blogger_id=146" TargetMode="External"/><Relationship Id="rId10913" Type="http://schemas.openxmlformats.org/officeDocument/2006/relationships/hyperlink" Target="https://ncse.ngo/its-great-debate-charlie-brown-aerosols-vs-droplets" TargetMode="External"/><Relationship Id="rId15077" Type="http://schemas.openxmlformats.org/officeDocument/2006/relationships/hyperlink" Target="https://www.luxdeco.com/" TargetMode="External"/><Relationship Id="rId16128" Type="http://schemas.openxmlformats.org/officeDocument/2006/relationships/hyperlink" Target="https://www.yorkshire.com/colton/shopping/diy-stores/united-carpets-and-beds-leeds-cross-gates" TargetMode="External"/><Relationship Id="rId4085" Type="http://schemas.openxmlformats.org/officeDocument/2006/relationships/hyperlink" Target="https://www.kapre.com/" TargetMode="External"/><Relationship Id="rId5136" Type="http://schemas.openxmlformats.org/officeDocument/2006/relationships/hyperlink" Target="https://www.simpleshowing.com/" TargetMode="External"/><Relationship Id="rId8359" Type="http://schemas.openxmlformats.org/officeDocument/2006/relationships/hyperlink" Target="https://www.trustfinance.com/companies/australian-secure-capital-fund-ltd" TargetMode="External"/><Relationship Id="rId9757" Type="http://schemas.openxmlformats.org/officeDocument/2006/relationships/hyperlink" Target="https://www.teachengineering.org/" TargetMode="External"/><Relationship Id="rId11687" Type="http://schemas.openxmlformats.org/officeDocument/2006/relationships/hyperlink" Target="https://www.totalguidetobath.com/property/why-buy-to-let-properties-in-bath-are-a-popular-choice/" TargetMode="External"/><Relationship Id="rId12738" Type="http://schemas.openxmlformats.org/officeDocument/2006/relationships/hyperlink" Target="https://journals.plos.org/climate/article?id=10.1371/journal.pclm.0000322" TargetMode="External"/><Relationship Id="rId1746" Type="http://schemas.openxmlformats.org/officeDocument/2006/relationships/hyperlink" Target="https://www.simpleshowing.com/" TargetMode="External"/><Relationship Id="rId10289" Type="http://schemas.openxmlformats.org/officeDocument/2006/relationships/hyperlink" Target="https://extension.purdue.edu/4-H/volunteer/resources-and-development/stem-volunteer-resources.html" TargetMode="External"/><Relationship Id="rId14160" Type="http://schemas.openxmlformats.org/officeDocument/2006/relationships/hyperlink" Target="https://wanderlustwine.co.uk/a-beginners-guide-to-coravin/" TargetMode="External"/><Relationship Id="rId15211" Type="http://schemas.openxmlformats.org/officeDocument/2006/relationships/hyperlink" Target="https://myinteriorpalace.com/" TargetMode="External"/><Relationship Id="rId4969" Type="http://schemas.openxmlformats.org/officeDocument/2006/relationships/hyperlink" Target="https://www.webceo.com/blog/real-estate-seo-guide/" TargetMode="External"/><Relationship Id="rId8840" Type="http://schemas.openxmlformats.org/officeDocument/2006/relationships/hyperlink" Target="https://expertteamname.com/emergency-pest-control-what-to-do-when-infestation-strikes/" TargetMode="External"/><Relationship Id="rId10770" Type="http://schemas.openxmlformats.org/officeDocument/2006/relationships/hyperlink" Target="https://www.pinoyeplans.com/" TargetMode="External"/><Relationship Id="rId6391" Type="http://schemas.openxmlformats.org/officeDocument/2006/relationships/hyperlink" Target="https://nptelegraph.com/news/nation-world/business/personal-finance/article_4464950a-7de1-5c87-b2a4-8b1ff6895ae8.html" TargetMode="External"/><Relationship Id="rId7442" Type="http://schemas.openxmlformats.org/officeDocument/2006/relationships/hyperlink" Target="https://www.taylormorrison.com/" TargetMode="External"/><Relationship Id="rId10423" Type="http://schemas.openxmlformats.org/officeDocument/2006/relationships/hyperlink" Target="https://www.teachengineering.org/" TargetMode="External"/><Relationship Id="rId11821" Type="http://schemas.openxmlformats.org/officeDocument/2006/relationships/hyperlink" Target="https://sellhousefast.uk/" TargetMode="External"/><Relationship Id="rId6044" Type="http://schemas.openxmlformats.org/officeDocument/2006/relationships/hyperlink" Target="https://www.simpleshowing.com/" TargetMode="External"/><Relationship Id="rId13993" Type="http://schemas.openxmlformats.org/officeDocument/2006/relationships/hyperlink" Target="https://myinteriorpalace.com/" TargetMode="External"/><Relationship Id="rId9267" Type="http://schemas.openxmlformats.org/officeDocument/2006/relationships/hyperlink" Target="https://www.pinoyeplans.com/" TargetMode="External"/><Relationship Id="rId11197" Type="http://schemas.openxmlformats.org/officeDocument/2006/relationships/hyperlink" Target="https://latest.thedailyguardian.com/others/guarding-your-home-from-potential-flooding/" TargetMode="External"/><Relationship Id="rId12595" Type="http://schemas.openxmlformats.org/officeDocument/2006/relationships/hyperlink" Target="https://propertypressonline.co.uk/" TargetMode="External"/><Relationship Id="rId13646" Type="http://schemas.openxmlformats.org/officeDocument/2006/relationships/hyperlink" Target="https://anationofmoms.com/" TargetMode="External"/><Relationship Id="rId626" Type="http://schemas.openxmlformats.org/officeDocument/2006/relationships/hyperlink" Target="https://www.simpleshowing.com/" TargetMode="External"/><Relationship Id="rId973" Type="http://schemas.openxmlformats.org/officeDocument/2006/relationships/hyperlink" Target="https://www.matrixbasements.com/" TargetMode="External"/><Relationship Id="rId1256" Type="http://schemas.openxmlformats.org/officeDocument/2006/relationships/hyperlink" Target="https://britishforcesdiscounts.co.uk/biz/a/142832-Happy2Move-Removals-/-Storage" TargetMode="External"/><Relationship Id="rId2307" Type="http://schemas.openxmlformats.org/officeDocument/2006/relationships/hyperlink" Target="https://www.simpleshowing.com/" TargetMode="External"/><Relationship Id="rId2654" Type="http://schemas.openxmlformats.org/officeDocument/2006/relationships/hyperlink" Target="https://sunriseestates.sites.townsq.io/2" TargetMode="External"/><Relationship Id="rId3705" Type="http://schemas.openxmlformats.org/officeDocument/2006/relationships/hyperlink" Target="https://www.simpleshowing.com/" TargetMode="External"/><Relationship Id="rId12248" Type="http://schemas.openxmlformats.org/officeDocument/2006/relationships/hyperlink" Target="https://feeds.bbci.co.uk/news/articles/cly6em6z3dmo" TargetMode="External"/><Relationship Id="rId5877" Type="http://schemas.openxmlformats.org/officeDocument/2006/relationships/hyperlink" Target="https://columbustelegram.com/news/nation-world/business/personal-finance/article_67dfb8f6-503b-529b-9c28-92546d60e701.html" TargetMode="External"/><Relationship Id="rId6928" Type="http://schemas.openxmlformats.org/officeDocument/2006/relationships/hyperlink" Target="https://www.simpleshowing.com/" TargetMode="External"/><Relationship Id="rId4479" Type="http://schemas.openxmlformats.org/officeDocument/2006/relationships/hyperlink" Target="https://www.kolotv.com/2024/05/27/high-school-seniors-can-now-get-real-estate-license-free-this-state/" TargetMode="External"/><Relationship Id="rId8350" Type="http://schemas.openxmlformats.org/officeDocument/2006/relationships/hyperlink" Target="https://housingmarketnews.co.uk/residential-property-investment-strategies/" TargetMode="External"/><Relationship Id="rId9401" Type="http://schemas.openxmlformats.org/officeDocument/2006/relationships/hyperlink" Target="https://resilienteducator.com/classroom-resources/real-world-stem-projects/" TargetMode="External"/><Relationship Id="rId10280" Type="http://schemas.openxmlformats.org/officeDocument/2006/relationships/hyperlink" Target="https://www.academicjobs.com/higher-ed-jobs/engineering/engineering-education-jobs" TargetMode="External"/><Relationship Id="rId11331" Type="http://schemas.openxmlformats.org/officeDocument/2006/relationships/hyperlink" Target="https://www.propertyradar.com/blog/10-reasons-why-propertyradar-needs-to-be-your-next-real-estate-lead-generation-tool" TargetMode="External"/><Relationship Id="rId4960" Type="http://schemas.openxmlformats.org/officeDocument/2006/relationships/hyperlink" Target="https://www.simpleshowing.com/" TargetMode="External"/><Relationship Id="rId8003" Type="http://schemas.openxmlformats.org/officeDocument/2006/relationships/hyperlink" Target="https://www.pinoyeplans.com/" TargetMode="External"/><Relationship Id="rId14554" Type="http://schemas.openxmlformats.org/officeDocument/2006/relationships/hyperlink" Target="https://myinteriorpalace.com/" TargetMode="External"/><Relationship Id="rId15952" Type="http://schemas.openxmlformats.org/officeDocument/2006/relationships/hyperlink" Target="https://myinteriorpalace.com/" TargetMode="External"/><Relationship Id="rId3562" Type="http://schemas.openxmlformats.org/officeDocument/2006/relationships/hyperlink" Target="https://www.pulte.com/" TargetMode="External"/><Relationship Id="rId4613" Type="http://schemas.openxmlformats.org/officeDocument/2006/relationships/hyperlink" Target="https://www.kapre.com/" TargetMode="External"/><Relationship Id="rId13156" Type="http://schemas.openxmlformats.org/officeDocument/2006/relationships/hyperlink" Target="https://propertypressonline.co.uk/" TargetMode="External"/><Relationship Id="rId14207" Type="http://schemas.openxmlformats.org/officeDocument/2006/relationships/hyperlink" Target="https://luxurylifestyle.com/" TargetMode="External"/><Relationship Id="rId15605" Type="http://schemas.openxmlformats.org/officeDocument/2006/relationships/hyperlink" Target="https://www.luxdeco.com/" TargetMode="External"/><Relationship Id="rId483" Type="http://schemas.openxmlformats.org/officeDocument/2006/relationships/hyperlink" Target="https://www.carolinadesigns.com/" TargetMode="External"/><Relationship Id="rId2164" Type="http://schemas.openxmlformats.org/officeDocument/2006/relationships/hyperlink" Target="https://markspain.com/" TargetMode="External"/><Relationship Id="rId3215" Type="http://schemas.openxmlformats.org/officeDocument/2006/relationships/hyperlink" Target="https://www.news-herald.com/2020/01/20/housing-development-proposal-for-mentor-horse-pasture-expands-to-add-more-land-homes/" TargetMode="External"/><Relationship Id="rId6785" Type="http://schemas.openxmlformats.org/officeDocument/2006/relationships/hyperlink" Target="https://lakewoodranch.com/our-villages/esplanade-at-azario/" TargetMode="External"/><Relationship Id="rId136" Type="http://schemas.openxmlformats.org/officeDocument/2006/relationships/hyperlink" Target="https://www.northforker.com/" TargetMode="External"/><Relationship Id="rId5387" Type="http://schemas.openxmlformats.org/officeDocument/2006/relationships/hyperlink" Target="https://blog.replug.io/influencer-marketing-campaign-steps/" TargetMode="External"/><Relationship Id="rId6438" Type="http://schemas.openxmlformats.org/officeDocument/2006/relationships/hyperlink" Target="https://www.georgemorlan.com/products" TargetMode="External"/><Relationship Id="rId7836" Type="http://schemas.openxmlformats.org/officeDocument/2006/relationships/hyperlink" Target="https://discoverlakelanier.com/" TargetMode="External"/><Relationship Id="rId10817" Type="http://schemas.openxmlformats.org/officeDocument/2006/relationships/hyperlink" Target="https://intellectdiscover.com/content/journals/10.1386/eta_00184_1" TargetMode="External"/><Relationship Id="rId12989" Type="http://schemas.openxmlformats.org/officeDocument/2006/relationships/hyperlink" Target="https://www.shma.co.uk/" TargetMode="External"/><Relationship Id="rId1997" Type="http://schemas.openxmlformats.org/officeDocument/2006/relationships/hyperlink" Target="https://www.noobpreneur.com/2025/09/26/how-property-trends-shape-startup-cities/" TargetMode="External"/><Relationship Id="rId15462" Type="http://schemas.openxmlformats.org/officeDocument/2006/relationships/hyperlink" Target="https://luxe-magazine.co.uk/2017/12/festive-home-trends/" TargetMode="External"/><Relationship Id="rId4470" Type="http://schemas.openxmlformats.org/officeDocument/2006/relationships/hyperlink" Target="https://www.kjct8.com/2024/05/27/high-school-seniors-can-now-get-real-estate-license-free-this-state/" TargetMode="External"/><Relationship Id="rId5521" Type="http://schemas.openxmlformats.org/officeDocument/2006/relationships/hyperlink" Target="https://missoulian.com/shopping/article_6d8e1d71-14bd-58f7-ae32-f65cabc30623.html" TargetMode="External"/><Relationship Id="rId14064" Type="http://schemas.openxmlformats.org/officeDocument/2006/relationships/hyperlink" Target="https://www.notsalmon.com/2025/01/16/what-you-need-to-know-about-planning-the-perfect-outdoor-living-space/" TargetMode="External"/><Relationship Id="rId15115" Type="http://schemas.openxmlformats.org/officeDocument/2006/relationships/hyperlink" Target="https://myinteriorpalace.com/" TargetMode="External"/><Relationship Id="rId3072" Type="http://schemas.openxmlformats.org/officeDocument/2006/relationships/hyperlink" Target="https://www.simpleshowing.com/" TargetMode="External"/><Relationship Id="rId4123" Type="http://schemas.openxmlformats.org/officeDocument/2006/relationships/hyperlink" Target="https://www.simpleshowing.com/" TargetMode="External"/><Relationship Id="rId7693" Type="http://schemas.openxmlformats.org/officeDocument/2006/relationships/hyperlink" Target="https://www.simpleshowing.com/" TargetMode="External"/><Relationship Id="rId8744" Type="http://schemas.openxmlformats.org/officeDocument/2006/relationships/hyperlink" Target="https://www.pinoyeplans.com/" TargetMode="External"/><Relationship Id="rId6295" Type="http://schemas.openxmlformats.org/officeDocument/2006/relationships/hyperlink" Target="https://www.thetechoutlook.com/current-affairs/business/credit-card-tips-everyone-should-know/" TargetMode="External"/><Relationship Id="rId7346" Type="http://schemas.openxmlformats.org/officeDocument/2006/relationships/hyperlink" Target="https://www.simpleshowing.com/" TargetMode="External"/><Relationship Id="rId10674" Type="http://schemas.openxmlformats.org/officeDocument/2006/relationships/hyperlink" Target="https://www.pinoyeplans.com/" TargetMode="External"/><Relationship Id="rId11725" Type="http://schemas.openxmlformats.org/officeDocument/2006/relationships/hyperlink" Target="https://sellhousefast.uk/" TargetMode="External"/><Relationship Id="rId10327" Type="http://schemas.openxmlformats.org/officeDocument/2006/relationships/hyperlink" Target="https://www.teachengineering.org/" TargetMode="External"/><Relationship Id="rId13897" Type="http://schemas.openxmlformats.org/officeDocument/2006/relationships/hyperlink" Target="https://myinteriorpalace.com/" TargetMode="External"/><Relationship Id="rId14948" Type="http://schemas.openxmlformats.org/officeDocument/2006/relationships/hyperlink" Target="https://www.fluidplumbingservices.com.au/" TargetMode="External"/><Relationship Id="rId3956" Type="http://schemas.openxmlformats.org/officeDocument/2006/relationships/hyperlink" Target="https://www.payaca.com/post/can-solar-panels-be-recycled" TargetMode="External"/><Relationship Id="rId12499" Type="http://schemas.openxmlformats.org/officeDocument/2006/relationships/hyperlink" Target="https://propertypressonline.co.uk/" TargetMode="External"/><Relationship Id="rId877" Type="http://schemas.openxmlformats.org/officeDocument/2006/relationships/hyperlink" Target="https://www.absolutepestmgmt.com/" TargetMode="External"/><Relationship Id="rId2558" Type="http://schemas.openxmlformats.org/officeDocument/2006/relationships/hyperlink" Target="https://sudbury.ma.us/pcd/2024/09/11/cold-brook-crossing-residential-development-planning-board-permitting-application-materials/" TargetMode="External"/><Relationship Id="rId3609" Type="http://schemas.openxmlformats.org/officeDocument/2006/relationships/hyperlink" Target="https://www.simpleshowing.com/" TargetMode="External"/><Relationship Id="rId12980" Type="http://schemas.openxmlformats.org/officeDocument/2006/relationships/hyperlink" Target="https://www.shma.co.uk/" TargetMode="External"/><Relationship Id="rId16023" Type="http://schemas.openxmlformats.org/officeDocument/2006/relationships/hyperlink" Target="https://www.re-thinkingthefuture.com/technologies/gp5746-why-garage-and-industrial-doors-matter-in-architecture/" TargetMode="External"/><Relationship Id="rId5031" Type="http://schemas.openxmlformats.org/officeDocument/2006/relationships/hyperlink" Target="https://forgeandsmith.com/blog/how-to-write-meta-description-for-seo/" TargetMode="External"/><Relationship Id="rId9652" Type="http://schemas.openxmlformats.org/officeDocument/2006/relationships/hyperlink" Target="https://www.teachengineering.org/" TargetMode="External"/><Relationship Id="rId11582" Type="http://schemas.openxmlformats.org/officeDocument/2006/relationships/hyperlink" Target="https://www.lawyer-monthly.com/2025/09/how-digital-platforms-are-changing-property-transactions/" TargetMode="External"/><Relationship Id="rId12633" Type="http://schemas.openxmlformats.org/officeDocument/2006/relationships/hyperlink" Target="https://bfff.co.uk/legal/" TargetMode="External"/><Relationship Id="rId1641" Type="http://schemas.openxmlformats.org/officeDocument/2006/relationships/hyperlink" Target="https://www.simpleshowing.com/" TargetMode="External"/><Relationship Id="rId8254" Type="http://schemas.openxmlformats.org/officeDocument/2006/relationships/hyperlink" Target="https://www.chojnow.pl/forum/thread/view/id/1818/Comment_page/3?id=1818&amp;Comment_page=3&amp;app_lang=pl" TargetMode="External"/><Relationship Id="rId9305" Type="http://schemas.openxmlformats.org/officeDocument/2006/relationships/hyperlink" Target="https://www.earthsciweek.org/resources/classroom-activities/cookie-mining/" TargetMode="External"/><Relationship Id="rId10184" Type="http://schemas.openxmlformats.org/officeDocument/2006/relationships/hyperlink" Target="https://blog.schoolspecialty.com/play-plan-amusement-park/" TargetMode="External"/><Relationship Id="rId11235" Type="http://schemas.openxmlformats.org/officeDocument/2006/relationships/hyperlink" Target="https://www.waterdamagespecialist.com.au/" TargetMode="External"/><Relationship Id="rId4864" Type="http://schemas.openxmlformats.org/officeDocument/2006/relationships/hyperlink" Target="https://www.simpleshowing.com/" TargetMode="External"/><Relationship Id="rId15856" Type="http://schemas.openxmlformats.org/officeDocument/2006/relationships/hyperlink" Target="https://myinteriorpalace.com/" TargetMode="External"/><Relationship Id="rId3466" Type="http://schemas.openxmlformats.org/officeDocument/2006/relationships/hyperlink" Target="https://www.pulte.com/" TargetMode="External"/><Relationship Id="rId4517" Type="http://schemas.openxmlformats.org/officeDocument/2006/relationships/hyperlink" Target="https://www.kapre.com/" TargetMode="External"/><Relationship Id="rId5915" Type="http://schemas.openxmlformats.org/officeDocument/2006/relationships/hyperlink" Target="https://themortgagereports.com/55188/survey-shows-surge-of-refinance-activity-and-big-potential-savings" TargetMode="External"/><Relationship Id="rId14458" Type="http://schemas.openxmlformats.org/officeDocument/2006/relationships/hyperlink" Target="https://myinteriorpalace.com/" TargetMode="External"/><Relationship Id="rId15509" Type="http://schemas.openxmlformats.org/officeDocument/2006/relationships/hyperlink" Target="https://www.luxdeco.com/" TargetMode="External"/><Relationship Id="rId387" Type="http://schemas.openxmlformats.org/officeDocument/2006/relationships/hyperlink" Target="https://www.washingtonian.com/best/real-estate-agents/darren-robertson/" TargetMode="External"/><Relationship Id="rId2068" Type="http://schemas.openxmlformats.org/officeDocument/2006/relationships/hyperlink" Target="https://markspain.com/" TargetMode="External"/><Relationship Id="rId3119" Type="http://schemas.openxmlformats.org/officeDocument/2006/relationships/hyperlink" Target="https://docu.team/photogrid.php?action=show_item&amp;store=74757&amp;item=448646&amp;fromdir=1" TargetMode="External"/><Relationship Id="rId6689" Type="http://schemas.openxmlformats.org/officeDocument/2006/relationships/hyperlink" Target="https://www.thekitchn.com/where-to-buy-planters-online-23058109" TargetMode="External"/><Relationship Id="rId9162" Type="http://schemas.openxmlformats.org/officeDocument/2006/relationships/hyperlink" Target="https://www.pinoyeplans.com/" TargetMode="External"/><Relationship Id="rId12490" Type="http://schemas.openxmlformats.org/officeDocument/2006/relationships/hyperlink" Target="https://sturents.com/" TargetMode="External"/><Relationship Id="rId13541" Type="http://schemas.openxmlformats.org/officeDocument/2006/relationships/hyperlink" Target="https://anationofmoms.com/" TargetMode="External"/><Relationship Id="rId3600" Type="http://schemas.openxmlformats.org/officeDocument/2006/relationships/hyperlink" Target="https://www.simpleshowing.com/" TargetMode="External"/><Relationship Id="rId11092" Type="http://schemas.openxmlformats.org/officeDocument/2006/relationships/hyperlink" Target="https://www.teachengineering.org/" TargetMode="External"/><Relationship Id="rId12143" Type="http://schemas.openxmlformats.org/officeDocument/2006/relationships/hyperlink" Target="https://esub.com/blog/top-11-masonry-tools-to-make-your-job-easier" TargetMode="External"/><Relationship Id="rId521" Type="http://schemas.openxmlformats.org/officeDocument/2006/relationships/hyperlink" Target="https://www.simpleshowing.com/" TargetMode="External"/><Relationship Id="rId1151" Type="http://schemas.openxmlformats.org/officeDocument/2006/relationships/hyperlink" Target="https://www.burlapandblue.com/from-forgotten-to-fabulous-the-ultimate-guide-to-basement-renovation/" TargetMode="External"/><Relationship Id="rId2202" Type="http://schemas.openxmlformats.org/officeDocument/2006/relationships/hyperlink" Target="https://www.simpleshowing.com/" TargetMode="External"/><Relationship Id="rId5772" Type="http://schemas.openxmlformats.org/officeDocument/2006/relationships/hyperlink" Target="https://www.simpleshowing.com/" TargetMode="External"/><Relationship Id="rId6823" Type="http://schemas.openxmlformats.org/officeDocument/2006/relationships/hyperlink" Target="https://www.taylormorrison.com/" TargetMode="External"/><Relationship Id="rId15366" Type="http://schemas.openxmlformats.org/officeDocument/2006/relationships/hyperlink" Target="https://www.designedbywoulfe.com/get-look/cocktail-lounge-inspired-living-room-bespoke-finishes/" TargetMode="External"/><Relationship Id="rId4374" Type="http://schemas.openxmlformats.org/officeDocument/2006/relationships/hyperlink" Target="https://www.fox10tv.com/2024/05/27/high-school-seniors-can-now-get-real-estate-license-free-this-state/" TargetMode="External"/><Relationship Id="rId5425" Type="http://schemas.openxmlformats.org/officeDocument/2006/relationships/hyperlink" Target="https://gretasjunkyard.com/avoiding-unplanned-and-impulsive-spending/" TargetMode="External"/><Relationship Id="rId8995" Type="http://schemas.openxmlformats.org/officeDocument/2006/relationships/hyperlink" Target="https://nycestimating.us/" TargetMode="External"/><Relationship Id="rId15019" Type="http://schemas.openxmlformats.org/officeDocument/2006/relationships/hyperlink" Target="https://myinteriorpalace.com/" TargetMode="External"/><Relationship Id="rId4027" Type="http://schemas.openxmlformats.org/officeDocument/2006/relationships/hyperlink" Target="https://appleplumbing.com/" TargetMode="External"/><Relationship Id="rId7597" Type="http://schemas.openxmlformats.org/officeDocument/2006/relationships/hyperlink" Target="https://www.simpleshowing.com/" TargetMode="External"/><Relationship Id="rId8648" Type="http://schemas.openxmlformats.org/officeDocument/2006/relationships/hyperlink" Target="https://www.pinoyeplans.com/" TargetMode="External"/><Relationship Id="rId11976" Type="http://schemas.openxmlformats.org/officeDocument/2006/relationships/hyperlink" Target="https://www.hamiltoninternationalestates.com/" TargetMode="External"/><Relationship Id="rId6199" Type="http://schemas.openxmlformats.org/officeDocument/2006/relationships/hyperlink" Target="https://kenoshanews.com/shopping/article_1be6cc3d-7507-5c75-8b3e-5bc91b38a3fa.html" TargetMode="External"/><Relationship Id="rId10578" Type="http://schemas.openxmlformats.org/officeDocument/2006/relationships/hyperlink" Target="https://www.pinoyeplans.com/" TargetMode="External"/><Relationship Id="rId11629" Type="http://schemas.openxmlformats.org/officeDocument/2006/relationships/hyperlink" Target="https://sellhousefast.uk/" TargetMode="External"/><Relationship Id="rId15500" Type="http://schemas.openxmlformats.org/officeDocument/2006/relationships/hyperlink" Target="https://www.luxdeco.com/" TargetMode="External"/><Relationship Id="rId13051" Type="http://schemas.openxmlformats.org/officeDocument/2006/relationships/hyperlink" Target="https://propertypressonline.co.uk/" TargetMode="External"/><Relationship Id="rId14102" Type="http://schemas.openxmlformats.org/officeDocument/2006/relationships/hyperlink" Target="https://keystonecustomdecksny.com/" TargetMode="External"/><Relationship Id="rId3110" Type="http://schemas.openxmlformats.org/officeDocument/2006/relationships/hyperlink" Target="https://www.zabasearch.com/phone/2023983576/" TargetMode="External"/><Relationship Id="rId6680" Type="http://schemas.openxmlformats.org/officeDocument/2006/relationships/hyperlink" Target="https://www.eplanters.com/blog/" TargetMode="External"/><Relationship Id="rId7731" Type="http://schemas.openxmlformats.org/officeDocument/2006/relationships/hyperlink" Target="https://www.maepole.com/cumming-ga-healthy-fast-food" TargetMode="External"/><Relationship Id="rId10712" Type="http://schemas.openxmlformats.org/officeDocument/2006/relationships/hyperlink" Target="https://ztec100.com/free-technology-for-teachers-amusement-park-physics-lessons/" TargetMode="External"/><Relationship Id="rId5282" Type="http://schemas.openxmlformats.org/officeDocument/2006/relationships/hyperlink" Target="https://www.simpleshowing.com/" TargetMode="External"/><Relationship Id="rId6333" Type="http://schemas.openxmlformats.org/officeDocument/2006/relationships/hyperlink" Target="https://vunela.com/the-cost-of-living-in-las-vegas/" TargetMode="External"/><Relationship Id="rId1892" Type="http://schemas.openxmlformats.org/officeDocument/2006/relationships/hyperlink" Target="https://atlantaagentmagazine.com/2025/10/24/making-moves-david-zanaty/" TargetMode="External"/><Relationship Id="rId9556" Type="http://schemas.openxmlformats.org/officeDocument/2006/relationships/hyperlink" Target="https://www.teachengineering.org/" TargetMode="External"/><Relationship Id="rId11486" Type="http://schemas.openxmlformats.org/officeDocument/2006/relationships/hyperlink" Target="https://www.hamiltoninternationalestates.com/" TargetMode="External"/><Relationship Id="rId12884" Type="http://schemas.openxmlformats.org/officeDocument/2006/relationships/hyperlink" Target="https://www.shma.co.uk/" TargetMode="External"/><Relationship Id="rId13935" Type="http://schemas.openxmlformats.org/officeDocument/2006/relationships/hyperlink" Target="https://thearchitectsdiary.com/heres-how-to-prepare-for-a-roof-repair-or-installation/" TargetMode="External"/><Relationship Id="rId915" Type="http://schemas.openxmlformats.org/officeDocument/2006/relationships/hyperlink" Target="https://www.simpleshowing.com/" TargetMode="External"/><Relationship Id="rId1545" Type="http://schemas.openxmlformats.org/officeDocument/2006/relationships/hyperlink" Target="https://www.simpleshowing.com/" TargetMode="External"/><Relationship Id="rId2943" Type="http://schemas.openxmlformats.org/officeDocument/2006/relationships/hyperlink" Target="https://www.simpleshowing.com/" TargetMode="External"/><Relationship Id="rId8158" Type="http://schemas.openxmlformats.org/officeDocument/2006/relationships/hyperlink" Target="https://ocnjdaily.com/news/2026/jan/21/what-is-rendering-in-art-understanding-the-creative-and-technical-process/" TargetMode="External"/><Relationship Id="rId9209" Type="http://schemas.openxmlformats.org/officeDocument/2006/relationships/hyperlink" Target="https://www.rooferscoffeeshop.com/post/overson-roofing-earns-2019-angies-list-super-service-award" TargetMode="External"/><Relationship Id="rId10088" Type="http://schemas.openxmlformats.org/officeDocument/2006/relationships/hyperlink" Target="https://sedonasouladventures.com/articles/why-sedona-is-the-ultimate-spiritual-destination/" TargetMode="External"/><Relationship Id="rId11139" Type="http://schemas.openxmlformats.org/officeDocument/2006/relationships/hyperlink" Target="https://amumreviews.co.uk/preventing-water-damage-at-home/" TargetMode="External"/><Relationship Id="rId12537" Type="http://schemas.openxmlformats.org/officeDocument/2006/relationships/hyperlink" Target="https://gacitralafeelcleanerb1.firebaseapp.com/b2/bike-storage-bingley.html" TargetMode="External"/><Relationship Id="rId15010" Type="http://schemas.openxmlformats.org/officeDocument/2006/relationships/hyperlink" Target="https://myinteriorpalace.com/" TargetMode="External"/><Relationship Id="rId4768" Type="http://schemas.openxmlformats.org/officeDocument/2006/relationships/hyperlink" Target="https://www.simpleshowing.com/" TargetMode="External"/><Relationship Id="rId5819" Type="http://schemas.openxmlformats.org/officeDocument/2006/relationships/hyperlink" Target="https://www.themanual.com/culture/when-you-should-pay-a-credit-card-annual-fee/" TargetMode="External"/><Relationship Id="rId6190" Type="http://schemas.openxmlformats.org/officeDocument/2006/relationships/hyperlink" Target="https://www.simpleshowing.com/" TargetMode="External"/><Relationship Id="rId11620" Type="http://schemas.openxmlformats.org/officeDocument/2006/relationships/hyperlink" Target="https://sellhousefast.uk/" TargetMode="External"/><Relationship Id="rId7241" Type="http://schemas.openxmlformats.org/officeDocument/2006/relationships/hyperlink" Target="https://indiacurrents.com/listings/places/taylor-morrison/" TargetMode="External"/><Relationship Id="rId10222" Type="http://schemas.openxmlformats.org/officeDocument/2006/relationships/hyperlink" Target="https://www.teachengineering.org/" TargetMode="External"/><Relationship Id="rId13792" Type="http://schemas.openxmlformats.org/officeDocument/2006/relationships/hyperlink" Target="https://myinteriorpalace.com/" TargetMode="External"/><Relationship Id="rId14843" Type="http://schemas.openxmlformats.org/officeDocument/2006/relationships/hyperlink" Target="https://www.fluidplumbingservices.com.au/" TargetMode="External"/><Relationship Id="rId3851" Type="http://schemas.openxmlformats.org/officeDocument/2006/relationships/hyperlink" Target="https://thelogcompany.com/news/wood-fired-hot-tub-wellness-guide" TargetMode="External"/><Relationship Id="rId4902" Type="http://schemas.openxmlformats.org/officeDocument/2006/relationships/hyperlink" Target="https://www.simpleshowing.com/" TargetMode="External"/><Relationship Id="rId12394" Type="http://schemas.openxmlformats.org/officeDocument/2006/relationships/hyperlink" Target="https://sturents.com/" TargetMode="External"/><Relationship Id="rId13445" Type="http://schemas.openxmlformats.org/officeDocument/2006/relationships/hyperlink" Target="https://anationofmoms.com/" TargetMode="External"/><Relationship Id="rId772" Type="http://schemas.openxmlformats.org/officeDocument/2006/relationships/hyperlink" Target="https://www.nearbynow.co/profile/air-conditioning/schaafsma-heating-and-cooling/mi/freeport" TargetMode="External"/><Relationship Id="rId2453" Type="http://schemas.openxmlformats.org/officeDocument/2006/relationships/hyperlink" Target="https://kruppmoving.com/blog/retirement-communities-in-columbus-ohio/" TargetMode="External"/><Relationship Id="rId3504" Type="http://schemas.openxmlformats.org/officeDocument/2006/relationships/hyperlink" Target="https://www.simpleshowing.com/" TargetMode="External"/><Relationship Id="rId9066" Type="http://schemas.openxmlformats.org/officeDocument/2006/relationships/hyperlink" Target="https://www.pinoyeplans.com/" TargetMode="External"/><Relationship Id="rId12047" Type="http://schemas.openxmlformats.org/officeDocument/2006/relationships/hyperlink" Target="https://www.lemonthistle.com/refinishing-old-thin-hardwood-floors/" TargetMode="External"/><Relationship Id="rId425" Type="http://schemas.openxmlformats.org/officeDocument/2006/relationships/hyperlink" Target="https://www.simpleshowing.com/" TargetMode="External"/><Relationship Id="rId1055" Type="http://schemas.openxmlformats.org/officeDocument/2006/relationships/hyperlink" Target="https://www.re-thinkingthefuture.com/technologies/gp3597-8-reasons-remodeling-your-basement-is-a-smart-investment/" TargetMode="External"/><Relationship Id="rId2106" Type="http://schemas.openxmlformats.org/officeDocument/2006/relationships/hyperlink" Target="https://www.simpleshowing.com/" TargetMode="External"/><Relationship Id="rId5676" Type="http://schemas.openxmlformats.org/officeDocument/2006/relationships/hyperlink" Target="https://www.simpleshowing.com/" TargetMode="External"/><Relationship Id="rId6727" Type="http://schemas.openxmlformats.org/officeDocument/2006/relationships/hyperlink" Target="https://www.eplanters.com/blog/" TargetMode="External"/><Relationship Id="rId4278" Type="http://schemas.openxmlformats.org/officeDocument/2006/relationships/hyperlink" Target="https://diversification.com/term/seller's-agent" TargetMode="External"/><Relationship Id="rId5329" Type="http://schemas.openxmlformats.org/officeDocument/2006/relationships/hyperlink" Target="https://kvia.com/news/2025/08/19/best-ways-to-get-debt-relief/" TargetMode="External"/><Relationship Id="rId9200" Type="http://schemas.openxmlformats.org/officeDocument/2006/relationships/hyperlink" Target="https://structville.com/science-behind-roofing-innovations-materials" TargetMode="External"/><Relationship Id="rId8899" Type="http://schemas.openxmlformats.org/officeDocument/2006/relationships/hyperlink" Target="https://www.trianglepest.com/" TargetMode="External"/><Relationship Id="rId11130" Type="http://schemas.openxmlformats.org/officeDocument/2006/relationships/hyperlink" Target="https://www.waterdamagespecialist.com.au/" TargetMode="External"/><Relationship Id="rId15751" Type="http://schemas.openxmlformats.org/officeDocument/2006/relationships/hyperlink" Target="https://myinteriorpalace.com/" TargetMode="External"/><Relationship Id="rId1939" Type="http://schemas.openxmlformats.org/officeDocument/2006/relationships/hyperlink" Target="https://markspain.com/" TargetMode="External"/><Relationship Id="rId5810" Type="http://schemas.openxmlformats.org/officeDocument/2006/relationships/hyperlink" Target="https://www.simpleshowing.com/" TargetMode="External"/><Relationship Id="rId14353" Type="http://schemas.openxmlformats.org/officeDocument/2006/relationships/hyperlink" Target="https://myinteriorpalace.com/" TargetMode="External"/><Relationship Id="rId15404" Type="http://schemas.openxmlformats.org/officeDocument/2006/relationships/hyperlink" Target="https://www.luxdeco.com/" TargetMode="External"/><Relationship Id="rId3361" Type="http://schemas.openxmlformats.org/officeDocument/2006/relationships/hyperlink" Target="https://www.pulte.com/" TargetMode="External"/><Relationship Id="rId4412" Type="http://schemas.openxmlformats.org/officeDocument/2006/relationships/hyperlink" Target="https://www.kapre.com/" TargetMode="External"/><Relationship Id="rId7982" Type="http://schemas.openxmlformats.org/officeDocument/2006/relationships/hyperlink" Target="https://www.pinoyeplans.com/" TargetMode="External"/><Relationship Id="rId14006" Type="http://schemas.openxmlformats.org/officeDocument/2006/relationships/hyperlink" Target="https://keystonecustomdecksny.com/" TargetMode="External"/><Relationship Id="rId282" Type="http://schemas.openxmlformats.org/officeDocument/2006/relationships/hyperlink" Target="http://northernvirginiahomepro.com/" TargetMode="External"/><Relationship Id="rId3014" Type="http://schemas.openxmlformats.org/officeDocument/2006/relationships/hyperlink" Target="http://forum.atlanta168.com/forum.php?mod=viewthread&amp;tid=41262" TargetMode="External"/><Relationship Id="rId6584" Type="http://schemas.openxmlformats.org/officeDocument/2006/relationships/hyperlink" Target="https://www.simpleshowing.com/" TargetMode="External"/><Relationship Id="rId7635" Type="http://schemas.openxmlformats.org/officeDocument/2006/relationships/hyperlink" Target="https://www.king5.com/article/entertainment/television/programs/evening/building-a-more-inclusive-future/281-c0a224cd-76c4-4aa0-a38f-f9f0f2aac59f" TargetMode="External"/><Relationship Id="rId10963" Type="http://schemas.openxmlformats.org/officeDocument/2006/relationships/hyperlink" Target="https://www.teachengineering.org/" TargetMode="External"/><Relationship Id="rId16178" Type="http://schemas.openxmlformats.org/officeDocument/2006/relationships/hyperlink" Target="https://www.unitedcarpetsandbeds.com/" TargetMode="External"/><Relationship Id="rId5186" Type="http://schemas.openxmlformats.org/officeDocument/2006/relationships/hyperlink" Target="https://www.simpleshowing.com/" TargetMode="External"/><Relationship Id="rId6237" Type="http://schemas.openxmlformats.org/officeDocument/2006/relationships/hyperlink" Target="https://newsvirginian.com/news/nation-world/business/personal-finance/article_f9a4aa83-bfb9-5069-91de-97d08d3d3d47.html" TargetMode="External"/><Relationship Id="rId10616" Type="http://schemas.openxmlformats.org/officeDocument/2006/relationships/hyperlink" Target="https://databot.us.com/breathe-experiment/" TargetMode="External"/><Relationship Id="rId12788" Type="http://schemas.openxmlformats.org/officeDocument/2006/relationships/hyperlink" Target="https://www.shma.co.uk/" TargetMode="External"/><Relationship Id="rId13839" Type="http://schemas.openxmlformats.org/officeDocument/2006/relationships/hyperlink" Target="https://leeduser.buildinggreen.com/forum/water-proof-membrane-low-emitting-materials" TargetMode="External"/><Relationship Id="rId1449" Type="http://schemas.openxmlformats.org/officeDocument/2006/relationships/hyperlink" Target="https://www.simpleshowing.com/" TargetMode="External"/><Relationship Id="rId1796" Type="http://schemas.openxmlformats.org/officeDocument/2006/relationships/hyperlink" Target="https://www.newcastleworld.com/community/north-vs-south-data-reveals-ps300k-gets-you-more-home-space-in-newcastle-upon-tyne-5178421" TargetMode="External"/><Relationship Id="rId2847" Type="http://schemas.openxmlformats.org/officeDocument/2006/relationships/hyperlink" Target="https://www.simpleshowing.com/" TargetMode="External"/><Relationship Id="rId15261" Type="http://schemas.openxmlformats.org/officeDocument/2006/relationships/hyperlink" Target="https://wellbeingmagazine.com/positive-vibes-improve-your-wellbeing-by-improving-your-rooms/" TargetMode="External"/><Relationship Id="rId819" Type="http://schemas.openxmlformats.org/officeDocument/2006/relationships/hyperlink" Target="https://www.absolutepestmgmt.com/" TargetMode="External"/><Relationship Id="rId5320" Type="http://schemas.openxmlformats.org/officeDocument/2006/relationships/hyperlink" Target="https://www.simpleshowing.com/" TargetMode="External"/><Relationship Id="rId8890" Type="http://schemas.openxmlformats.org/officeDocument/2006/relationships/hyperlink" Target="https://www.trianglepest.com/" TargetMode="External"/><Relationship Id="rId9941" Type="http://schemas.openxmlformats.org/officeDocument/2006/relationships/hyperlink" Target="https://cms.casdonline.org/resources/student-teacher-resources" TargetMode="External"/><Relationship Id="rId11871" Type="http://schemas.openxmlformats.org/officeDocument/2006/relationships/hyperlink" Target="https://www.hamiltoninternationalestates.com/" TargetMode="External"/><Relationship Id="rId12922" Type="http://schemas.openxmlformats.org/officeDocument/2006/relationships/hyperlink" Target="https://propertypressonline.co.uk/" TargetMode="External"/><Relationship Id="rId1930" Type="http://schemas.openxmlformats.org/officeDocument/2006/relationships/hyperlink" Target="https://markspain.com/" TargetMode="External"/><Relationship Id="rId7492" Type="http://schemas.openxmlformats.org/officeDocument/2006/relationships/hyperlink" Target="https://www.simpleshowing.com/" TargetMode="External"/><Relationship Id="rId8543" Type="http://schemas.openxmlformats.org/officeDocument/2006/relationships/hyperlink" Target="https://www.pinoyeplans.com/" TargetMode="External"/><Relationship Id="rId10473" Type="http://schemas.openxmlformats.org/officeDocument/2006/relationships/hyperlink" Target="https://www.pinoyeplans.com/" TargetMode="External"/><Relationship Id="rId11524" Type="http://schemas.openxmlformats.org/officeDocument/2006/relationships/hyperlink" Target="https://www.manchestereveningnews.co.uk/news/property/greater-manchesters-most-attractive-street-30228875" TargetMode="External"/><Relationship Id="rId6094" Type="http://schemas.openxmlformats.org/officeDocument/2006/relationships/hyperlink" Target="https://www.simpleshowing.com/" TargetMode="External"/><Relationship Id="rId7145" Type="http://schemas.openxmlformats.org/officeDocument/2006/relationships/hyperlink" Target="https://www.taylormorrison.com/" TargetMode="External"/><Relationship Id="rId10126" Type="http://schemas.openxmlformats.org/officeDocument/2006/relationships/hyperlink" Target="https://www.teachengineering.org/" TargetMode="External"/><Relationship Id="rId13696" Type="http://schemas.openxmlformats.org/officeDocument/2006/relationships/hyperlink" Target="https://myinteriorpalace.com/" TargetMode="External"/><Relationship Id="rId3755" Type="http://schemas.openxmlformats.org/officeDocument/2006/relationships/hyperlink" Target="https://garage-door-repair-13.us-southeast-1.linodeobjects.com/what-is-creating-your-garage-door-to-malfunction-discover-the-surprising-fixes-our-professional-repair-service-can-supply.html" TargetMode="External"/><Relationship Id="rId4806" Type="http://schemas.openxmlformats.org/officeDocument/2006/relationships/hyperlink" Target="https://www.kotatv.com/2024/05/27/high-school-seniors-can-now-get-real-estate-license-free-this-state/" TargetMode="External"/><Relationship Id="rId12298" Type="http://schemas.openxmlformats.org/officeDocument/2006/relationships/hyperlink" Target="https://www.ridgefieldconsulting.co.uk/" TargetMode="External"/><Relationship Id="rId13349" Type="http://schemas.openxmlformats.org/officeDocument/2006/relationships/hyperlink" Target="https://anationofmoms.com/" TargetMode="External"/><Relationship Id="rId14747" Type="http://schemas.openxmlformats.org/officeDocument/2006/relationships/hyperlink" Target="https://www.easygaragedoorrepair.com/" TargetMode="External"/><Relationship Id="rId676" Type="http://schemas.openxmlformats.org/officeDocument/2006/relationships/hyperlink" Target="https://www.provenexpert.com/en-us/carolina-designs-realty-vacation-rentals/" TargetMode="External"/><Relationship Id="rId2357" Type="http://schemas.openxmlformats.org/officeDocument/2006/relationships/hyperlink" Target="https://www.divosta.com/homes/florida/sarasota/englewood/beachwalk-by-manasota-key-210435" TargetMode="External"/><Relationship Id="rId3408" Type="http://schemas.openxmlformats.org/officeDocument/2006/relationships/hyperlink" Target="https://www.simpleshowing.com/" TargetMode="External"/><Relationship Id="rId329" Type="http://schemas.openxmlformats.org/officeDocument/2006/relationships/hyperlink" Target="http://trustedhousepainter.com/" TargetMode="External"/><Relationship Id="rId6978" Type="http://schemas.openxmlformats.org/officeDocument/2006/relationships/hyperlink" Target="https://portfoliopilot.com/explore/security-explorer/TMHC" TargetMode="External"/><Relationship Id="rId13830" Type="http://schemas.openxmlformats.org/officeDocument/2006/relationships/hyperlink" Target="https://www.laterza.it/autore/?idautore=4512" TargetMode="External"/><Relationship Id="rId8053" Type="http://schemas.openxmlformats.org/officeDocument/2006/relationships/hyperlink" Target="https://www.pinoyeplans.com/" TargetMode="External"/><Relationship Id="rId9104" Type="http://schemas.openxmlformats.org/officeDocument/2006/relationships/hyperlink" Target="https://englishleaflet.com/how-construction-estimation-is-shaping-modern-building-practices/" TargetMode="External"/><Relationship Id="rId9451" Type="http://schemas.openxmlformats.org/officeDocument/2006/relationships/hyperlink" Target="https://www.teachengineering.org/" TargetMode="External"/><Relationship Id="rId11381" Type="http://schemas.openxmlformats.org/officeDocument/2006/relationships/hyperlink" Target="https://www.hamiltoninternationalestates.com/" TargetMode="External"/><Relationship Id="rId12432" Type="http://schemas.openxmlformats.org/officeDocument/2006/relationships/hyperlink" Target="https://propertypressonline.co.uk/" TargetMode="External"/><Relationship Id="rId810" Type="http://schemas.openxmlformats.org/officeDocument/2006/relationships/hyperlink" Target="https://www.absolutepestmgmt.com/" TargetMode="External"/><Relationship Id="rId1440" Type="http://schemas.openxmlformats.org/officeDocument/2006/relationships/hyperlink" Target="https://www.simpleshowing.com/" TargetMode="External"/><Relationship Id="rId11034" Type="http://schemas.openxmlformats.org/officeDocument/2006/relationships/hyperlink" Target="https://www.pinoyeplans.com/" TargetMode="External"/><Relationship Id="rId15655" Type="http://schemas.openxmlformats.org/officeDocument/2006/relationships/hyperlink" Target="https://myinteriorpalace.com/" TargetMode="External"/><Relationship Id="rId4663" Type="http://schemas.openxmlformats.org/officeDocument/2006/relationships/hyperlink" Target="https://www.simpleshowing.com/" TargetMode="External"/><Relationship Id="rId5714" Type="http://schemas.openxmlformats.org/officeDocument/2006/relationships/hyperlink" Target="https://www.simpleshowing.com/" TargetMode="External"/><Relationship Id="rId14257" Type="http://schemas.openxmlformats.org/officeDocument/2006/relationships/hyperlink" Target="https://myinteriorpalace.com/" TargetMode="External"/><Relationship Id="rId15308" Type="http://schemas.openxmlformats.org/officeDocument/2006/relationships/hyperlink" Target="https://www.luxdeco.com/" TargetMode="External"/><Relationship Id="rId3265" Type="http://schemas.openxmlformats.org/officeDocument/2006/relationships/hyperlink" Target="https://www.pulte.com/" TargetMode="External"/><Relationship Id="rId4316" Type="http://schemas.openxmlformats.org/officeDocument/2006/relationships/hyperlink" Target="https://www.kapre.com/" TargetMode="External"/><Relationship Id="rId7886" Type="http://schemas.openxmlformats.org/officeDocument/2006/relationships/hyperlink" Target="https://www.pinoyeplans.com/" TargetMode="External"/><Relationship Id="rId8937" Type="http://schemas.openxmlformats.org/officeDocument/2006/relationships/hyperlink" Target="https://www.pinoyeplans.com/" TargetMode="External"/><Relationship Id="rId186" Type="http://schemas.openxmlformats.org/officeDocument/2006/relationships/hyperlink" Target="https://www.realestateinfoguide.com/" TargetMode="External"/><Relationship Id="rId6488" Type="http://schemas.openxmlformats.org/officeDocument/2006/relationships/hyperlink" Target="https://blog.qualitybath.com/bathroom/win-a-steam-shower/" TargetMode="External"/><Relationship Id="rId7539" Type="http://schemas.openxmlformats.org/officeDocument/2006/relationships/hyperlink" Target="https://www.wtol.com/article/money/consumer/taylor-morrison-files-complaint-against-home-inspector-who-posts-videos-of-inspections-on-social-media/75-fc64bf74-360c-4f54-ac08-1d79f2af1d67" TargetMode="External"/><Relationship Id="rId10867" Type="http://schemas.openxmlformats.org/officeDocument/2006/relationships/hyperlink" Target="https://www.teachengineering.org/" TargetMode="External"/><Relationship Id="rId11918" Type="http://schemas.openxmlformats.org/officeDocument/2006/relationships/hyperlink" Target="https://www.whittakersystem.com/blog/remove-old-stains-from-carpet/" TargetMode="External"/><Relationship Id="rId13340" Type="http://schemas.openxmlformats.org/officeDocument/2006/relationships/hyperlink" Target="https://a1floorsnc.com/" TargetMode="External"/><Relationship Id="rId320" Type="http://schemas.openxmlformats.org/officeDocument/2006/relationships/hyperlink" Target="http://iemlabs.com/" TargetMode="External"/><Relationship Id="rId2001" Type="http://schemas.openxmlformats.org/officeDocument/2006/relationships/hyperlink" Target="https://www.simpleshowing.com/" TargetMode="External"/><Relationship Id="rId5571" Type="http://schemas.openxmlformats.org/officeDocument/2006/relationships/hyperlink" Target="https://aitechfy.com/blog/ai-in-financial-services-for-better-risk-management/" TargetMode="External"/><Relationship Id="rId6622" Type="http://schemas.openxmlformats.org/officeDocument/2006/relationships/hyperlink" Target="https://getpodcast.com/podcast/convo-by-design/alex-papachristidis-502-our-april-2024-design-icon-registry-inductee_8be0724142" TargetMode="External"/><Relationship Id="rId15165" Type="http://schemas.openxmlformats.org/officeDocument/2006/relationships/hyperlink" Target="https://www.sleek-chic.co.uk/2025/02/luxury-interiors-for-high-end-living-spaces.html" TargetMode="External"/><Relationship Id="rId16216" Type="http://schemas.openxmlformats.org/officeDocument/2006/relationships/hyperlink" Target="https://myinteriorpalace.com/" TargetMode="External"/><Relationship Id="rId4173" Type="http://schemas.openxmlformats.org/officeDocument/2006/relationships/hyperlink" Target="https://www.myengineeringbuddy.com/blog/kaplan-reviews-features-pricing-alternatives/" TargetMode="External"/><Relationship Id="rId5224" Type="http://schemas.openxmlformats.org/officeDocument/2006/relationships/hyperlink" Target="https://www.simpleshowing.com/" TargetMode="External"/><Relationship Id="rId8794" Type="http://schemas.openxmlformats.org/officeDocument/2006/relationships/hyperlink" Target="https://textify.ai/revolutionizing-property-management-cansofts-home-podium-platform/" TargetMode="External"/><Relationship Id="rId9845" Type="http://schemas.openxmlformats.org/officeDocument/2006/relationships/hyperlink" Target="https://eng.auburn.edu/counselors/" TargetMode="External"/><Relationship Id="rId11775" Type="http://schemas.openxmlformats.org/officeDocument/2006/relationships/hyperlink" Target="https://www.hamiltoninternationalestates.com/" TargetMode="External"/><Relationship Id="rId59" Type="http://schemas.openxmlformats.org/officeDocument/2006/relationships/hyperlink" Target="http://techktimes.co.uk/" TargetMode="External"/><Relationship Id="rId1834" Type="http://schemas.openxmlformats.org/officeDocument/2006/relationships/hyperlink" Target="https://wolfriverelectric.com/" TargetMode="External"/><Relationship Id="rId7396" Type="http://schemas.openxmlformats.org/officeDocument/2006/relationships/hyperlink" Target="https://www.futunn.com/en/stock/TMHC-US/company" TargetMode="External"/><Relationship Id="rId8447" Type="http://schemas.openxmlformats.org/officeDocument/2006/relationships/hyperlink" Target="https://www.pinoyeplans.com/" TargetMode="External"/><Relationship Id="rId10377" Type="http://schemas.openxmlformats.org/officeDocument/2006/relationships/hyperlink" Target="https://www.pinoyeplans.com/" TargetMode="External"/><Relationship Id="rId11428" Type="http://schemas.openxmlformats.org/officeDocument/2006/relationships/hyperlink" Target="https://voyagedallas.com/interview/meet-jeremy-brandt-of-webuyhouses-com-housingvalet-com-cashoffer-com/" TargetMode="External"/><Relationship Id="rId12826" Type="http://schemas.openxmlformats.org/officeDocument/2006/relationships/hyperlink" Target="https://propertypressonline.co.uk/" TargetMode="External"/><Relationship Id="rId7049" Type="http://schemas.openxmlformats.org/officeDocument/2006/relationships/hyperlink" Target="https://www.taylormorrison.com/" TargetMode="External"/><Relationship Id="rId14998" Type="http://schemas.openxmlformats.org/officeDocument/2006/relationships/hyperlink" Target="https://myinteriorpalace.com/" TargetMode="External"/><Relationship Id="rId3659" Type="http://schemas.openxmlformats.org/officeDocument/2006/relationships/hyperlink" Target="https://www.toptenreviews.com/signs-its-time-to-replace-your-air-fryer" TargetMode="External"/><Relationship Id="rId16073" Type="http://schemas.openxmlformats.org/officeDocument/2006/relationships/hyperlink" Target="https://www.rwdoors.com/" TargetMode="External"/><Relationship Id="rId5081" Type="http://schemas.openxmlformats.org/officeDocument/2006/relationships/hyperlink" Target="https://blog.nachonacho.com/saas-guides/how-to-shut-down-a-business/" TargetMode="External"/><Relationship Id="rId6132" Type="http://schemas.openxmlformats.org/officeDocument/2006/relationships/hyperlink" Target="https://www.simpleshowing.com/" TargetMode="External"/><Relationship Id="rId7530" Type="http://schemas.openxmlformats.org/officeDocument/2006/relationships/hyperlink" Target="https://dgai.utem.cl/yrkl3snr/viewtopic.php?id=homestead-hoa-morrison-co" TargetMode="External"/><Relationship Id="rId10511" Type="http://schemas.openxmlformats.org/officeDocument/2006/relationships/hyperlink" Target="https://dos.fl.gov/library-archives/library-development/programs/florida-library-youth-program/programming-and-collections/stem/" TargetMode="External"/><Relationship Id="rId12683" Type="http://schemas.openxmlformats.org/officeDocument/2006/relationships/hyperlink" Target="https://www.shma.co.uk/" TargetMode="External"/><Relationship Id="rId13734" Type="http://schemas.openxmlformats.org/officeDocument/2006/relationships/hyperlink" Target="https://featured.com/publication-source/anationofmoms-com" TargetMode="External"/><Relationship Id="rId1691" Type="http://schemas.openxmlformats.org/officeDocument/2006/relationships/hyperlink" Target="https://1057thehawk.com/ixp/942/p/peddlers-village-best-shopping-center/" TargetMode="External"/><Relationship Id="rId2742" Type="http://schemas.openxmlformats.org/officeDocument/2006/relationships/hyperlink" Target="https://www.simpleshowing.com/" TargetMode="External"/><Relationship Id="rId9355" Type="http://schemas.openxmlformats.org/officeDocument/2006/relationships/hyperlink" Target="https://www.teachengineering.org/" TargetMode="External"/><Relationship Id="rId11285" Type="http://schemas.openxmlformats.org/officeDocument/2006/relationships/hyperlink" Target="https://www.pinoyeplans.com/" TargetMode="External"/><Relationship Id="rId12336" Type="http://schemas.openxmlformats.org/officeDocument/2006/relationships/hyperlink" Target="https://propertypressonline.co.uk/" TargetMode="External"/><Relationship Id="rId714" Type="http://schemas.openxmlformats.org/officeDocument/2006/relationships/hyperlink" Target="https://www.carolinadesigns.com/" TargetMode="External"/><Relationship Id="rId1344" Type="http://schemas.openxmlformats.org/officeDocument/2006/relationships/hyperlink" Target="https://www.simpleshowing.com/" TargetMode="External"/><Relationship Id="rId5965" Type="http://schemas.openxmlformats.org/officeDocument/2006/relationships/hyperlink" Target="https://houseofcoco.net/pros-and-cons-of-home-equity-as-a-debt-relief-option/" TargetMode="External"/><Relationship Id="rId9008" Type="http://schemas.openxmlformats.org/officeDocument/2006/relationships/hyperlink" Target="https://www.solutionhow.com/en-us/education/how-to-estimate-overhead-costs-in-construction-projects/" TargetMode="External"/><Relationship Id="rId15559" Type="http://schemas.openxmlformats.org/officeDocument/2006/relationships/hyperlink" Target="https://myinteriorpalace.com/" TargetMode="External"/><Relationship Id="rId50" Type="http://schemas.openxmlformats.org/officeDocument/2006/relationships/hyperlink" Target="http://www.homeplansindia.com/" TargetMode="External"/><Relationship Id="rId4567" Type="http://schemas.openxmlformats.org/officeDocument/2006/relationships/hyperlink" Target="https://www.simpleshowing.com/" TargetMode="External"/><Relationship Id="rId5618" Type="http://schemas.openxmlformats.org/officeDocument/2006/relationships/hyperlink" Target="https://www.simpleshowing.com/" TargetMode="External"/><Relationship Id="rId3169" Type="http://schemas.openxmlformats.org/officeDocument/2006/relationships/hyperlink" Target="https://www.pulte.com/" TargetMode="External"/><Relationship Id="rId7040" Type="http://schemas.openxmlformats.org/officeDocument/2006/relationships/hyperlink" Target="https://www.taylormorrison.com/" TargetMode="External"/><Relationship Id="rId10021" Type="http://schemas.openxmlformats.org/officeDocument/2006/relationships/hyperlink" Target="https://www.teachengineering.org/" TargetMode="External"/><Relationship Id="rId13591" Type="http://schemas.openxmlformats.org/officeDocument/2006/relationships/hyperlink" Target="https://myinteriorpalace.com/" TargetMode="External"/><Relationship Id="rId14642" Type="http://schemas.openxmlformats.org/officeDocument/2006/relationships/hyperlink" Target="https://www.easygaragedoorrepair.com/" TargetMode="External"/><Relationship Id="rId3650" Type="http://schemas.openxmlformats.org/officeDocument/2006/relationships/hyperlink" Target="https://www.c21edge.com/property/24-O6332273-16159-Coastal-Cove-Lane-Clermont-FL-34714/" TargetMode="External"/><Relationship Id="rId4701" Type="http://schemas.openxmlformats.org/officeDocument/2006/relationships/hyperlink" Target="https://www.wcax.com/2024/05/27/high-school-seniors-can-now-get-real-estate-license-free-this-state/" TargetMode="External"/><Relationship Id="rId12193" Type="http://schemas.openxmlformats.org/officeDocument/2006/relationships/hyperlink" Target="https://www.bobvila.com/" TargetMode="External"/><Relationship Id="rId13244" Type="http://schemas.openxmlformats.org/officeDocument/2006/relationships/hyperlink" Target="https://www.pureinvestor.co.uk/" TargetMode="External"/><Relationship Id="rId571" Type="http://schemas.openxmlformats.org/officeDocument/2006/relationships/hyperlink" Target="https://alvinology.com/2020/08/13/15-lesser-known-facts-about-the-outer-banks-of-north-carolina-that-will-blow-your-mind/" TargetMode="External"/><Relationship Id="rId2252" Type="http://schemas.openxmlformats.org/officeDocument/2006/relationships/hyperlink" Target="https://resourcecenter.lennar.com/atlanta/mountain-crest-luxurious-master-planned-community-in-south-forsyth/" TargetMode="External"/><Relationship Id="rId3303" Type="http://schemas.openxmlformats.org/officeDocument/2006/relationships/hyperlink" Target="https://www.simpleshowing.com/" TargetMode="External"/><Relationship Id="rId6873" Type="http://schemas.openxmlformats.org/officeDocument/2006/relationships/hyperlink" Target="https://www.simpleshowing.com/" TargetMode="External"/><Relationship Id="rId7924" Type="http://schemas.openxmlformats.org/officeDocument/2006/relationships/hyperlink" Target="https://blog.bairdbrothers.com/hardwood-floor-maintenance-101-how-to-keep-your-floors-in-good-shape/" TargetMode="External"/><Relationship Id="rId224" Type="http://schemas.openxmlformats.org/officeDocument/2006/relationships/hyperlink" Target="http://baymgmtgroup.com/" TargetMode="External"/><Relationship Id="rId5475" Type="http://schemas.openxmlformats.org/officeDocument/2006/relationships/hyperlink" Target="https://pantagraph.com/shopping/article_ab0dc2b5-9ffc-5d25-864c-59187f6696b5.html" TargetMode="External"/><Relationship Id="rId6526" Type="http://schemas.openxmlformats.org/officeDocument/2006/relationships/hyperlink" Target="https://www.simpleshowing.com/" TargetMode="External"/><Relationship Id="rId10905" Type="http://schemas.openxmlformats.org/officeDocument/2006/relationships/hyperlink" Target="https://www.pinoyeplans.com/" TargetMode="External"/><Relationship Id="rId15069" Type="http://schemas.openxmlformats.org/officeDocument/2006/relationships/hyperlink" Target="https://www.housedigest.com/870925/the-ultimate-guide-to-art-deco-decor/" TargetMode="External"/><Relationship Id="rId4077" Type="http://schemas.openxmlformats.org/officeDocument/2006/relationships/hyperlink" Target="https://www.simpleshowing.com/" TargetMode="External"/><Relationship Id="rId5128" Type="http://schemas.openxmlformats.org/officeDocument/2006/relationships/hyperlink" Target="https://www.simpleshowing.com/" TargetMode="External"/><Relationship Id="rId8698" Type="http://schemas.openxmlformats.org/officeDocument/2006/relationships/hyperlink" Target="https://dailycivil.com/how-reclaimed-pine-floorboards-enhance-sustainable-home-design/" TargetMode="External"/><Relationship Id="rId9749" Type="http://schemas.openxmlformats.org/officeDocument/2006/relationships/hyperlink" Target="https://easc.osu.edu/resources/teaching-resources/take-go-series/modern-chinese-history/lesson-plans" TargetMode="External"/><Relationship Id="rId1738" Type="http://schemas.openxmlformats.org/officeDocument/2006/relationships/hyperlink" Target="https://wolfriverelectric.com/" TargetMode="External"/><Relationship Id="rId11679" Type="http://schemas.openxmlformats.org/officeDocument/2006/relationships/hyperlink" Target="https://www.hamiltoninternationalestates.com/" TargetMode="External"/><Relationship Id="rId14152" Type="http://schemas.openxmlformats.org/officeDocument/2006/relationships/hyperlink" Target="https://myinteriorpalace.com/" TargetMode="External"/><Relationship Id="rId15550" Type="http://schemas.openxmlformats.org/officeDocument/2006/relationships/hyperlink" Target="https://myinteriorpalace.com/" TargetMode="External"/><Relationship Id="rId3160" Type="http://schemas.openxmlformats.org/officeDocument/2006/relationships/hyperlink" Target="https://www.pulte.com/" TargetMode="External"/><Relationship Id="rId4211" Type="http://schemas.openxmlformats.org/officeDocument/2006/relationships/hyperlink" Target="https://www.kapre.com/" TargetMode="External"/><Relationship Id="rId15203" Type="http://schemas.openxmlformats.org/officeDocument/2006/relationships/hyperlink" Target="https://www.luxdeco.com/" TargetMode="External"/><Relationship Id="rId7781" Type="http://schemas.openxmlformats.org/officeDocument/2006/relationships/hyperlink" Target="https://www.diventures.com/diventures-network-of-divers-working-together-for-the-future-of-our-waterways/" TargetMode="External"/><Relationship Id="rId8832" Type="http://schemas.openxmlformats.org/officeDocument/2006/relationships/hyperlink" Target="https://www.pinoyeplans.com/" TargetMode="External"/><Relationship Id="rId10762" Type="http://schemas.openxmlformats.org/officeDocument/2006/relationships/hyperlink" Target="https://www.teachengineering.org/" TargetMode="External"/><Relationship Id="rId11813" Type="http://schemas.openxmlformats.org/officeDocument/2006/relationships/hyperlink" Target="https://cuea.edu/?c=359072616" TargetMode="External"/><Relationship Id="rId6036" Type="http://schemas.openxmlformats.org/officeDocument/2006/relationships/hyperlink" Target="https://www.simpleshowing.com/" TargetMode="External"/><Relationship Id="rId6383" Type="http://schemas.openxmlformats.org/officeDocument/2006/relationships/hyperlink" Target="https://godanriver.com/news/nation-world/business/personal-finance/article_c713cedd-e18d-5607-9a4e-d61662b4622a.html" TargetMode="External"/><Relationship Id="rId7434" Type="http://schemas.openxmlformats.org/officeDocument/2006/relationships/hyperlink" Target="https://www.ge.com/news/press-releases/ge-builds-momentum-taylor-morrison-contract-extension" TargetMode="External"/><Relationship Id="rId10415" Type="http://schemas.openxmlformats.org/officeDocument/2006/relationships/hyperlink" Target="https://elementalscience.com/blogs/resources/pls" TargetMode="External"/><Relationship Id="rId13985" Type="http://schemas.openxmlformats.org/officeDocument/2006/relationships/hyperlink" Target="https://faheyroofingcontractors.com/" TargetMode="External"/><Relationship Id="rId2993" Type="http://schemas.openxmlformats.org/officeDocument/2006/relationships/hyperlink" Target="https://www.computerworld.com/article/1570635/100-best-places-to-work-in-it-ranked-by-company-size-large-companies-10-000-or-more-u-s.html" TargetMode="External"/><Relationship Id="rId12587" Type="http://schemas.openxmlformats.org/officeDocument/2006/relationships/hyperlink" Target="https://www.shma.co.uk/" TargetMode="External"/><Relationship Id="rId13638" Type="http://schemas.openxmlformats.org/officeDocument/2006/relationships/hyperlink" Target="https://prachinburi.doae.go.th/nadi/wp-content/uploads/wp-statistics/g2ia4l/djrb7tn/viewtopic.php?id=what-are-the-difference-between-sirens-and-mermaids" TargetMode="External"/><Relationship Id="rId965" Type="http://schemas.openxmlformats.org/officeDocument/2006/relationships/hyperlink" Target="https://randylemmon.com/unlocking-potential-how-to-design-a-home-office-in-your-basement/" TargetMode="External"/><Relationship Id="rId1595" Type="http://schemas.openxmlformats.org/officeDocument/2006/relationships/hyperlink" Target="https://xlcountry.com/montana-utilities/" TargetMode="External"/><Relationship Id="rId2646" Type="http://schemas.openxmlformats.org/officeDocument/2006/relationships/hyperlink" Target="https://www.simpleshowing.com/" TargetMode="External"/><Relationship Id="rId9259" Type="http://schemas.openxmlformats.org/officeDocument/2006/relationships/hyperlink" Target="https://www.teachengineering.org/" TargetMode="External"/><Relationship Id="rId11189" Type="http://schemas.openxmlformats.org/officeDocument/2006/relationships/hyperlink" Target="https://www.pinoyeplans.com/" TargetMode="External"/><Relationship Id="rId15060" Type="http://schemas.openxmlformats.org/officeDocument/2006/relationships/hyperlink" Target="https://hisforhomeblog.com/tag/bedroom/" TargetMode="External"/><Relationship Id="rId16111" Type="http://schemas.openxmlformats.org/officeDocument/2006/relationships/hyperlink" Target="https://myinteriorpalace.com/" TargetMode="External"/><Relationship Id="rId618" Type="http://schemas.openxmlformats.org/officeDocument/2006/relationships/hyperlink" Target="https://www.carolinadesigns.com/" TargetMode="External"/><Relationship Id="rId1248" Type="http://schemas.openxmlformats.org/officeDocument/2006/relationships/hyperlink" Target="https://www.simpleshowing.com/" TargetMode="External"/><Relationship Id="rId5869" Type="http://schemas.openxmlformats.org/officeDocument/2006/relationships/hyperlink" Target="https://fenced.ai/blogs/5-common-debt-management-mistakes-and-how-to-avoid-them/" TargetMode="External"/><Relationship Id="rId7291" Type="http://schemas.openxmlformats.org/officeDocument/2006/relationships/hyperlink" Target="https://www.simpleshowing.com/" TargetMode="External"/><Relationship Id="rId8342" Type="http://schemas.openxmlformats.org/officeDocument/2006/relationships/hyperlink" Target="https://www.pinoyeplans.com/" TargetMode="External"/><Relationship Id="rId9740" Type="http://schemas.openxmlformats.org/officeDocument/2006/relationships/hyperlink" Target="https://salinity.oceansciences.org/learn-circulation.htm" TargetMode="External"/><Relationship Id="rId11670" Type="http://schemas.openxmlformats.org/officeDocument/2006/relationships/hyperlink" Target="https://www.hamiltoninternationalestates.com/" TargetMode="External"/><Relationship Id="rId12721" Type="http://schemas.openxmlformats.org/officeDocument/2006/relationships/hyperlink" Target="https://propertypressonline.co.uk/" TargetMode="External"/><Relationship Id="rId10272" Type="http://schemas.openxmlformats.org/officeDocument/2006/relationships/hyperlink" Target="https://www.pinoyeplans.com/" TargetMode="External"/><Relationship Id="rId11323" Type="http://schemas.openxmlformats.org/officeDocument/2006/relationships/hyperlink" Target="https://www.hamiltoninternationalestates.com/" TargetMode="External"/><Relationship Id="rId14893" Type="http://schemas.openxmlformats.org/officeDocument/2006/relationships/hyperlink" Target="https://myinteriorpalace.com/" TargetMode="External"/><Relationship Id="rId15944" Type="http://schemas.openxmlformats.org/officeDocument/2006/relationships/hyperlink" Target="https://www.rwdoors.com/" TargetMode="External"/><Relationship Id="rId4952" Type="http://schemas.openxmlformats.org/officeDocument/2006/relationships/hyperlink" Target="https://www.simpleshowing.com/" TargetMode="External"/><Relationship Id="rId13495" Type="http://schemas.openxmlformats.org/officeDocument/2006/relationships/hyperlink" Target="https://myinteriorpalace.com/" TargetMode="External"/><Relationship Id="rId14546" Type="http://schemas.openxmlformats.org/officeDocument/2006/relationships/hyperlink" Target="https://www.easygaragedoorrepair.com/" TargetMode="External"/><Relationship Id="rId3554" Type="http://schemas.openxmlformats.org/officeDocument/2006/relationships/hyperlink" Target="https://bellmoving.com/blog/columbus-ohio-retirement-communities/" TargetMode="External"/><Relationship Id="rId4605" Type="http://schemas.openxmlformats.org/officeDocument/2006/relationships/hyperlink" Target="https://logintutor.org/kaplan-login/" TargetMode="External"/><Relationship Id="rId12097" Type="http://schemas.openxmlformats.org/officeDocument/2006/relationships/hyperlink" Target="https://www.bobvila.com/" TargetMode="External"/><Relationship Id="rId13148" Type="http://schemas.openxmlformats.org/officeDocument/2006/relationships/hyperlink" Target="https://www.shma.co.uk/" TargetMode="External"/><Relationship Id="rId475" Type="http://schemas.openxmlformats.org/officeDocument/2006/relationships/hyperlink" Target="https://nomadisbeautiful.com/travel-blogs/best-accommodation-in-outer-banks-for-family-vacation/" TargetMode="External"/><Relationship Id="rId2156" Type="http://schemas.openxmlformats.org/officeDocument/2006/relationships/hyperlink" Target="https://dailzcaption.com/top-reasons-floridians-need-to-sell-their-homes-fast-and-how-cash-buyers-help/" TargetMode="External"/><Relationship Id="rId3207" Type="http://schemas.openxmlformats.org/officeDocument/2006/relationships/hyperlink" Target="https://www.simpleshowing.com/" TargetMode="External"/><Relationship Id="rId6777" Type="http://schemas.openxmlformats.org/officeDocument/2006/relationships/hyperlink" Target="https://www.simpleshowing.com/" TargetMode="External"/><Relationship Id="rId7828" Type="http://schemas.openxmlformats.org/officeDocument/2006/relationships/hyperlink" Target="https://www.thetravel.com/most-beautiful-lakes-in-the-us-with-dark-secrets/" TargetMode="External"/><Relationship Id="rId128" Type="http://schemas.openxmlformats.org/officeDocument/2006/relationships/hyperlink" Target="https://www.mapleridgenews.com/" TargetMode="External"/><Relationship Id="rId5379" Type="http://schemas.openxmlformats.org/officeDocument/2006/relationships/hyperlink" Target="https://crowjack.com/pestle-analysis/afterpay" TargetMode="External"/><Relationship Id="rId9250" Type="http://schemas.openxmlformats.org/officeDocument/2006/relationships/hyperlink" Target="https://scgmn.com/" TargetMode="External"/><Relationship Id="rId10809" Type="http://schemas.openxmlformats.org/officeDocument/2006/relationships/hyperlink" Target="https://www.pinoyeplans.com/" TargetMode="External"/><Relationship Id="rId11180" Type="http://schemas.openxmlformats.org/officeDocument/2006/relationships/hyperlink" Target="https://www.waterdamagespecialist.com.au/" TargetMode="External"/><Relationship Id="rId12231" Type="http://schemas.openxmlformats.org/officeDocument/2006/relationships/hyperlink" Target="https://propertypressonline.co.uk/" TargetMode="External"/><Relationship Id="rId1989" Type="http://schemas.openxmlformats.org/officeDocument/2006/relationships/hyperlink" Target="https://www.simpleshowing.com/" TargetMode="External"/><Relationship Id="rId5860" Type="http://schemas.openxmlformats.org/officeDocument/2006/relationships/hyperlink" Target="https://www.simpleshowing.com/" TargetMode="External"/><Relationship Id="rId6911" Type="http://schemas.openxmlformats.org/officeDocument/2006/relationships/hyperlink" Target="https://www.simpleshowing.com/" TargetMode="External"/><Relationship Id="rId15454" Type="http://schemas.openxmlformats.org/officeDocument/2006/relationships/hyperlink" Target="https://myinteriorpalace.com/" TargetMode="External"/><Relationship Id="rId3064" Type="http://schemas.openxmlformats.org/officeDocument/2006/relationships/hyperlink" Target="https://www.pulte.com/" TargetMode="External"/><Relationship Id="rId4462" Type="http://schemas.openxmlformats.org/officeDocument/2006/relationships/hyperlink" Target="https://www.simpleshowing.com/" TargetMode="External"/><Relationship Id="rId5513" Type="http://schemas.openxmlformats.org/officeDocument/2006/relationships/hyperlink" Target="https://neufutur.com/2025/08/what-supportive-people-bring-to-the-table/" TargetMode="External"/><Relationship Id="rId14056" Type="http://schemas.openxmlformats.org/officeDocument/2006/relationships/hyperlink" Target="https://myinteriorpalace.com/" TargetMode="External"/><Relationship Id="rId15107" Type="http://schemas.openxmlformats.org/officeDocument/2006/relationships/hyperlink" Target="https://www.luxdeco.com/" TargetMode="External"/><Relationship Id="rId4115" Type="http://schemas.openxmlformats.org/officeDocument/2006/relationships/hyperlink" Target="https://www.simpleshowing.com/" TargetMode="External"/><Relationship Id="rId7685" Type="http://schemas.openxmlformats.org/officeDocument/2006/relationships/hyperlink" Target="https://discoverlakelanier.com/" TargetMode="External"/><Relationship Id="rId8736" Type="http://schemas.openxmlformats.org/officeDocument/2006/relationships/hyperlink" Target="https://roof-troopers.com/" TargetMode="External"/><Relationship Id="rId10666" Type="http://schemas.openxmlformats.org/officeDocument/2006/relationships/hyperlink" Target="https://www.teachengineering.org/" TargetMode="External"/><Relationship Id="rId11717" Type="http://schemas.openxmlformats.org/officeDocument/2006/relationships/hyperlink" Target="https://www.scottishconstructionnow.com/articles/cockburn-association-edinburgh-the-residential-city" TargetMode="External"/><Relationship Id="rId6287" Type="http://schemas.openxmlformats.org/officeDocument/2006/relationships/hyperlink" Target="https://statesville.com/news/nation-world/business/personal-finance/article_391ffee0-1f39-5420-983c-446cbbfc13c4.html" TargetMode="External"/><Relationship Id="rId7338" Type="http://schemas.openxmlformats.org/officeDocument/2006/relationships/hyperlink" Target="https://www.taylormorrison.com/" TargetMode="External"/><Relationship Id="rId10319" Type="http://schemas.openxmlformats.org/officeDocument/2006/relationships/hyperlink" Target="https://knowledgequest.aasl.org/unleashing-imagination-celebrating-crayola-creativity-week-with-misty-the-cloud-and-the-magic-of-cloud-science/" TargetMode="External"/><Relationship Id="rId2897" Type="http://schemas.openxmlformats.org/officeDocument/2006/relationships/hyperlink" Target="https://www.thereporteronline.com/2020/05/28/sewer-plan-gets-voted-ahead-for-320-home-hatfield-development/" TargetMode="External"/><Relationship Id="rId3948" Type="http://schemas.openxmlformats.org/officeDocument/2006/relationships/hyperlink" Target="https://www.simpleshowing.com/" TargetMode="External"/><Relationship Id="rId13889" Type="http://schemas.openxmlformats.org/officeDocument/2006/relationships/hyperlink" Target="https://embeltonflooring.com/" TargetMode="External"/><Relationship Id="rId869" Type="http://schemas.openxmlformats.org/officeDocument/2006/relationships/hyperlink" Target="https://www.realtytimes.com/consumeradvice/ask-the-expert/item/1025668-isolated-heat-treatment-for-pest-control" TargetMode="External"/><Relationship Id="rId1499" Type="http://schemas.openxmlformats.org/officeDocument/2006/relationships/hyperlink" Target="https://www.solarnplus.com/exploring-the-efficiency-of-commercial-solar-panels-what-you-need-to-know/" TargetMode="External"/><Relationship Id="rId5370" Type="http://schemas.openxmlformats.org/officeDocument/2006/relationships/hyperlink" Target="https://www.simpleshowing.com/" TargetMode="External"/><Relationship Id="rId6421" Type="http://schemas.openxmlformats.org/officeDocument/2006/relationships/hyperlink" Target="https://www.simpleshowing.com/" TargetMode="External"/><Relationship Id="rId10800" Type="http://schemas.openxmlformats.org/officeDocument/2006/relationships/hyperlink" Target="https://www.pinoyeplans.com/" TargetMode="External"/><Relationship Id="rId16015" Type="http://schemas.openxmlformats.org/officeDocument/2006/relationships/hyperlink" Target="https://myinteriorpalace.com/" TargetMode="External"/><Relationship Id="rId5023" Type="http://schemas.openxmlformats.org/officeDocument/2006/relationships/hyperlink" Target="https://www.flow.ninja/blog/search-intent-types" TargetMode="External"/><Relationship Id="rId9991" Type="http://schemas.openxmlformats.org/officeDocument/2006/relationships/hyperlink" Target="https://www.teachengineering.org/" TargetMode="External"/><Relationship Id="rId12972" Type="http://schemas.openxmlformats.org/officeDocument/2006/relationships/hyperlink" Target="https://www.estatesearch.co.uk/new-industry-insights/the-increasing-importance-of-will-searches/" TargetMode="External"/><Relationship Id="rId1980" Type="http://schemas.openxmlformats.org/officeDocument/2006/relationships/hyperlink" Target="https://www.simpleshowing.com/" TargetMode="External"/><Relationship Id="rId7195" Type="http://schemas.openxmlformats.org/officeDocument/2006/relationships/hyperlink" Target="https://www.taylormorrison.com/" TargetMode="External"/><Relationship Id="rId8246" Type="http://schemas.openxmlformats.org/officeDocument/2006/relationships/hyperlink" Target="https://www.pinoyeplans.com/" TargetMode="External"/><Relationship Id="rId8593" Type="http://schemas.openxmlformats.org/officeDocument/2006/relationships/hyperlink" Target="https://reiv.com.au/agent/Wa823fVgoxPYTopi614Q3A/paul-borovac" TargetMode="External"/><Relationship Id="rId9644" Type="http://schemas.openxmlformats.org/officeDocument/2006/relationships/hyperlink" Target="https://teachchemistry.org/periodical/issues/november-2023/teaching-with-project-based-learning-in-the-high-school-chemistry-classroom" TargetMode="External"/><Relationship Id="rId11574" Type="http://schemas.openxmlformats.org/officeDocument/2006/relationships/hyperlink" Target="https://www.hamiltoninternationalestates.com/" TargetMode="External"/><Relationship Id="rId12625" Type="http://schemas.openxmlformats.org/officeDocument/2006/relationships/hyperlink" Target="https://propertypressonline.co.uk/" TargetMode="External"/><Relationship Id="rId1633" Type="http://schemas.openxmlformats.org/officeDocument/2006/relationships/hyperlink" Target="https://wolfriverelectric.com/" TargetMode="External"/><Relationship Id="rId10176" Type="http://schemas.openxmlformats.org/officeDocument/2006/relationships/hyperlink" Target="https://www.pinoyeplans.com/" TargetMode="External"/><Relationship Id="rId11227" Type="http://schemas.openxmlformats.org/officeDocument/2006/relationships/hyperlink" Target="https://www.pinoyeplans.com/" TargetMode="External"/><Relationship Id="rId14797" Type="http://schemas.openxmlformats.org/officeDocument/2006/relationships/hyperlink" Target="https://myinteriorpalace.com/" TargetMode="External"/><Relationship Id="rId15848" Type="http://schemas.openxmlformats.org/officeDocument/2006/relationships/hyperlink" Target="https://www.modinex.com.au/" TargetMode="External"/><Relationship Id="rId4856" Type="http://schemas.openxmlformats.org/officeDocument/2006/relationships/hyperlink" Target="https://www.simpleshowing.com/" TargetMode="External"/><Relationship Id="rId5907" Type="http://schemas.openxmlformats.org/officeDocument/2006/relationships/hyperlink" Target="https://www.theitbase.com/technology/controlling-your-digital-footprint/" TargetMode="External"/><Relationship Id="rId13399" Type="http://schemas.openxmlformats.org/officeDocument/2006/relationships/hyperlink" Target="https://myinteriorpalace.com/" TargetMode="External"/><Relationship Id="rId3458" Type="http://schemas.openxmlformats.org/officeDocument/2006/relationships/hyperlink" Target="https://bigthink.com/guest-thinkers/should-i-stay-or-should-i-go-factors-real-estate-investors-developers-and-planners-should-consider-in-anticipating-the-future-housing-choices-of-older-boomers/" TargetMode="External"/><Relationship Id="rId4509" Type="http://schemas.openxmlformats.org/officeDocument/2006/relationships/hyperlink" Target="https://www.ksla.com/2024/05/27/high-school-seniors-can-now-get-real-estate-license-free-this-state/" TargetMode="External"/><Relationship Id="rId10310" Type="http://schemas.openxmlformats.org/officeDocument/2006/relationships/hyperlink" Target="https://www.legendsoflearning.com/blog/resources-to-add-the-olympics-to-your-lesson-plan/" TargetMode="External"/><Relationship Id="rId379" Type="http://schemas.openxmlformats.org/officeDocument/2006/relationships/hyperlink" Target="https://houseofcoco.net/investing-in-a-condo-in-northern-virginia-101/" TargetMode="External"/><Relationship Id="rId13880" Type="http://schemas.openxmlformats.org/officeDocument/2006/relationships/hyperlink" Target="https://embeltonflooring.com/" TargetMode="External"/><Relationship Id="rId14931" Type="http://schemas.openxmlformats.org/officeDocument/2006/relationships/hyperlink" Target="https://bitrebels.com/technology/electrician-newcastle-addressing-7-key-compliance-issues/" TargetMode="External"/><Relationship Id="rId1490" Type="http://schemas.openxmlformats.org/officeDocument/2006/relationships/hyperlink" Target="https://www.articlecube.com/how-plan-bathroom-remodel-setting-budget-and-scope" TargetMode="External"/><Relationship Id="rId9154" Type="http://schemas.openxmlformats.org/officeDocument/2006/relationships/hyperlink" Target="https://nycestimating.us/" TargetMode="External"/><Relationship Id="rId11084" Type="http://schemas.openxmlformats.org/officeDocument/2006/relationships/hyperlink" Target="https://sharemylesson.com/teaching-resource/making-spaghetti-bridges-406993" TargetMode="External"/><Relationship Id="rId12482" Type="http://schemas.openxmlformats.org/officeDocument/2006/relationships/hyperlink" Target="https://www.yorkshireeveningpost.co.uk/read-this/freshers-week-costs-students-ps500-7-ways-to-save-ps360-4748950" TargetMode="External"/><Relationship Id="rId13533" Type="http://schemas.openxmlformats.org/officeDocument/2006/relationships/hyperlink" Target="https://www.elegantwedding.ca/toronto-brides-timeline-to-radiant-wedding-day-skin/" TargetMode="External"/><Relationship Id="rId860" Type="http://schemas.openxmlformats.org/officeDocument/2006/relationships/hyperlink" Target="https://www.robinwaite.com/blog/10-best-practices-for-workplace-hygiene" TargetMode="External"/><Relationship Id="rId1143" Type="http://schemas.openxmlformats.org/officeDocument/2006/relationships/hyperlink" Target="https://www.simpleshowing.com/" TargetMode="External"/><Relationship Id="rId2541" Type="http://schemas.openxmlformats.org/officeDocument/2006/relationships/hyperlink" Target="https://www.simpleshowing.com/" TargetMode="External"/><Relationship Id="rId12135" Type="http://schemas.openxmlformats.org/officeDocument/2006/relationships/hyperlink" Target="https://www.hamiltoninternationalestates.com/" TargetMode="External"/><Relationship Id="rId513" Type="http://schemas.openxmlformats.org/officeDocument/2006/relationships/hyperlink" Target="https://www.carolinadesigns.com/" TargetMode="External"/><Relationship Id="rId5764" Type="http://schemas.openxmlformats.org/officeDocument/2006/relationships/hyperlink" Target="https://www.simpleshowing.com/" TargetMode="External"/><Relationship Id="rId6815" Type="http://schemas.openxmlformats.org/officeDocument/2006/relationships/hyperlink" Target="https://www.marthastewart.com/easy-home-upgrades-under-100-11863577" TargetMode="External"/><Relationship Id="rId15358" Type="http://schemas.openxmlformats.org/officeDocument/2006/relationships/hyperlink" Target="https://myinteriorpalace.com/" TargetMode="External"/><Relationship Id="rId4366" Type="http://schemas.openxmlformats.org/officeDocument/2006/relationships/hyperlink" Target="https://www.simpleshowing.com/" TargetMode="External"/><Relationship Id="rId5417" Type="http://schemas.openxmlformats.org/officeDocument/2006/relationships/hyperlink" Target="https://www.mgt-commerce.com/blog/magento-2-missing-order/" TargetMode="External"/><Relationship Id="rId8987" Type="http://schemas.openxmlformats.org/officeDocument/2006/relationships/hyperlink" Target="https://reelsmedia.co.uk/post-pandemic-construction-estimation-adapting-to-new-industry-norms/" TargetMode="External"/><Relationship Id="rId4019" Type="http://schemas.openxmlformats.org/officeDocument/2006/relationships/hyperlink" Target="https://www.usboiler.net/network/md/boiler-installation-and-repair-services-in-frederick-md.html" TargetMode="External"/><Relationship Id="rId7589" Type="http://schemas.openxmlformats.org/officeDocument/2006/relationships/hyperlink" Target="https://www.taylormorrison.com/" TargetMode="External"/><Relationship Id="rId11968" Type="http://schemas.openxmlformats.org/officeDocument/2006/relationships/hyperlink" Target="https://www.bobvila.com/" TargetMode="External"/><Relationship Id="rId13390" Type="http://schemas.openxmlformats.org/officeDocument/2006/relationships/hyperlink" Target="https://myinteriorpalace.com/" TargetMode="External"/><Relationship Id="rId14441" Type="http://schemas.openxmlformats.org/officeDocument/2006/relationships/hyperlink" Target="https://raynordoor.com/" TargetMode="External"/><Relationship Id="rId4500" Type="http://schemas.openxmlformats.org/officeDocument/2006/relationships/hyperlink" Target="https://www.25newsnow.com/2024/05/27/high-school-seniors-can-now-get-real-estate-license-free-this-state/" TargetMode="External"/><Relationship Id="rId13043" Type="http://schemas.openxmlformats.org/officeDocument/2006/relationships/hyperlink" Target="https://www.shma.co.uk/" TargetMode="External"/><Relationship Id="rId370" Type="http://schemas.openxmlformats.org/officeDocument/2006/relationships/hyperlink" Target="http://northernvirginiahomepro.com/" TargetMode="External"/><Relationship Id="rId2051" Type="http://schemas.openxmlformats.org/officeDocument/2006/relationships/hyperlink" Target="https://oldhousesunder50k.com/c-1902-georgia-farmhouse-for-sale-on-2-14-acres/" TargetMode="External"/><Relationship Id="rId3102" Type="http://schemas.openxmlformats.org/officeDocument/2006/relationships/hyperlink" Target="https://www.simpleshowing.com/" TargetMode="External"/><Relationship Id="rId5274" Type="http://schemas.openxmlformats.org/officeDocument/2006/relationships/hyperlink" Target="https://www.simpleshowing.com/" TargetMode="External"/><Relationship Id="rId6325" Type="http://schemas.openxmlformats.org/officeDocument/2006/relationships/hyperlink" Target="https://onebasemedia.co.uk/steps-to-accelerate-small-business-expansion/" TargetMode="External"/><Relationship Id="rId6672" Type="http://schemas.openxmlformats.org/officeDocument/2006/relationships/hyperlink" Target="https://www.rakuten.com/shop/eplanters" TargetMode="External"/><Relationship Id="rId7723" Type="http://schemas.openxmlformats.org/officeDocument/2006/relationships/hyperlink" Target="https://www.simpleshowing.com/" TargetMode="External"/><Relationship Id="rId10704" Type="http://schemas.openxmlformats.org/officeDocument/2006/relationships/hyperlink" Target="https://www.pinoyeplans.com/" TargetMode="External"/><Relationship Id="rId16266" Type="http://schemas.openxmlformats.org/officeDocument/2006/relationships/hyperlink" Target="http://fbsp.ftu.edu.vn/?f=376269515" TargetMode="External"/><Relationship Id="rId9895" Type="http://schemas.openxmlformats.org/officeDocument/2006/relationships/hyperlink" Target="https://www.teachengineering.org/" TargetMode="External"/><Relationship Id="rId12876" Type="http://schemas.openxmlformats.org/officeDocument/2006/relationships/hyperlink" Target="https://www.appsruntheworld.com/customers-database/customers/view/shakespeares-llp-united-kingdom" TargetMode="External"/><Relationship Id="rId13927" Type="http://schemas.openxmlformats.org/officeDocument/2006/relationships/hyperlink" Target="https://myinteriorpalace.com/" TargetMode="External"/><Relationship Id="rId1884" Type="http://schemas.openxmlformats.org/officeDocument/2006/relationships/hyperlink" Target="https://www.simpleshowing.com/" TargetMode="External"/><Relationship Id="rId2935" Type="http://schemas.openxmlformats.org/officeDocument/2006/relationships/hyperlink" Target="https://www.pulte.com/" TargetMode="External"/><Relationship Id="rId8497" Type="http://schemas.openxmlformats.org/officeDocument/2006/relationships/hyperlink" Target="https://www.thecwordmag.co.uk/design/pioneering-pixels-women-leading-the-charge-in-3d-rendering-companies" TargetMode="External"/><Relationship Id="rId9548" Type="http://schemas.openxmlformats.org/officeDocument/2006/relationships/hyperlink" Target="https://artsandscience.usask.ca/scienceoutreach/grade-7-resources.php" TargetMode="External"/><Relationship Id="rId11478" Type="http://schemas.openxmlformats.org/officeDocument/2006/relationships/hyperlink" Target="https://sellhousefast.uk/" TargetMode="External"/><Relationship Id="rId12529" Type="http://schemas.openxmlformats.org/officeDocument/2006/relationships/hyperlink" Target="https://propertypressonline.co.uk/" TargetMode="External"/><Relationship Id="rId907" Type="http://schemas.openxmlformats.org/officeDocument/2006/relationships/hyperlink" Target="https://www.matrixbasements.com/" TargetMode="External"/><Relationship Id="rId1537" Type="http://schemas.openxmlformats.org/officeDocument/2006/relationships/hyperlink" Target="https://wolfriverelectric.com/" TargetMode="External"/><Relationship Id="rId7099" Type="http://schemas.openxmlformats.org/officeDocument/2006/relationships/hyperlink" Target="https://www.simpleshowing.com/" TargetMode="External"/><Relationship Id="rId15002" Type="http://schemas.openxmlformats.org/officeDocument/2006/relationships/hyperlink" Target="https://www.luxdeco.com/" TargetMode="External"/><Relationship Id="rId4010" Type="http://schemas.openxmlformats.org/officeDocument/2006/relationships/hyperlink" Target="https://bellflower-grapefruit-egek.squarespace.com/apple-blog" TargetMode="External"/><Relationship Id="rId7580" Type="http://schemas.openxmlformats.org/officeDocument/2006/relationships/hyperlink" Target="https://www.taylormorrison.com/" TargetMode="External"/><Relationship Id="rId8631" Type="http://schemas.openxmlformats.org/officeDocument/2006/relationships/hyperlink" Target="https://aucklandpremiumpainters.co.nz/" TargetMode="External"/><Relationship Id="rId6182" Type="http://schemas.openxmlformats.org/officeDocument/2006/relationships/hyperlink" Target="https://www.simpleshowing.com/" TargetMode="External"/><Relationship Id="rId7233" Type="http://schemas.openxmlformats.org/officeDocument/2006/relationships/hyperlink" Target="https://www.simpleshowing.com/" TargetMode="External"/><Relationship Id="rId10561" Type="http://schemas.openxmlformats.org/officeDocument/2006/relationships/hyperlink" Target="https://www.teachengineering.org/" TargetMode="External"/><Relationship Id="rId11612" Type="http://schemas.openxmlformats.org/officeDocument/2006/relationships/hyperlink" Target="https://professional-electrician.com/products/smart-thermostats-top-the-list-of-smart-home-products-for-2020-esp/" TargetMode="External"/><Relationship Id="rId10214" Type="http://schemas.openxmlformats.org/officeDocument/2006/relationships/hyperlink" Target="https://pacificmedicaltraining.com/body-systems" TargetMode="External"/><Relationship Id="rId13784" Type="http://schemas.openxmlformats.org/officeDocument/2006/relationships/hyperlink" Target="https://anationofmoms.com/" TargetMode="External"/><Relationship Id="rId14835" Type="http://schemas.openxmlformats.org/officeDocument/2006/relationships/hyperlink" Target="https://captainbobcat.com/" TargetMode="External"/><Relationship Id="rId2792" Type="http://schemas.openxmlformats.org/officeDocument/2006/relationships/hyperlink" Target="https://www.explorekirkland.com/directory/pulte-home-expressions-studio/" TargetMode="External"/><Relationship Id="rId3843" Type="http://schemas.openxmlformats.org/officeDocument/2006/relationships/hyperlink" Target="https://www.simpleshowing.com/" TargetMode="External"/><Relationship Id="rId9058" Type="http://schemas.openxmlformats.org/officeDocument/2006/relationships/hyperlink" Target="https://nycestimating.us/" TargetMode="External"/><Relationship Id="rId12386" Type="http://schemas.openxmlformats.org/officeDocument/2006/relationships/hyperlink" Target="https://www.oxfordinternational.com/pre-arrivals/icd-pre-arrival/" TargetMode="External"/><Relationship Id="rId13437" Type="http://schemas.openxmlformats.org/officeDocument/2006/relationships/hyperlink" Target="https://desertchica.com/kid-friendly-monster-costumes/" TargetMode="External"/><Relationship Id="rId764" Type="http://schemas.openxmlformats.org/officeDocument/2006/relationships/hyperlink" Target="https://www.simpleshowing.com/" TargetMode="External"/><Relationship Id="rId1394" Type="http://schemas.openxmlformats.org/officeDocument/2006/relationships/hyperlink" Target="https://greenecodream.com/the-top-7-ways-to-prevent-door-hinges-from-squeaking-and-rusting/" TargetMode="External"/><Relationship Id="rId2445" Type="http://schemas.openxmlformats.org/officeDocument/2006/relationships/hyperlink" Target="https://www.simpleshowing.com/" TargetMode="External"/><Relationship Id="rId12039" Type="http://schemas.openxmlformats.org/officeDocument/2006/relationships/hyperlink" Target="https://www.hamiltoninternationalestates.com/" TargetMode="External"/><Relationship Id="rId417" Type="http://schemas.openxmlformats.org/officeDocument/2006/relationships/hyperlink" Target="https://www.carolinadesigns.com/" TargetMode="External"/><Relationship Id="rId1047" Type="http://schemas.openxmlformats.org/officeDocument/2006/relationships/hyperlink" Target="https://www.simpleshowing.com/" TargetMode="External"/><Relationship Id="rId5668" Type="http://schemas.openxmlformats.org/officeDocument/2006/relationships/hyperlink" Target="https://www.simpleshowing.com/" TargetMode="External"/><Relationship Id="rId6719" Type="http://schemas.openxmlformats.org/officeDocument/2006/relationships/hyperlink" Target="https://arillas.com/forum/index.php?topic=147.45" TargetMode="External"/><Relationship Id="rId12520" Type="http://schemas.openxmlformats.org/officeDocument/2006/relationships/hyperlink" Target="https://propertypressonline.co.uk/" TargetMode="External"/><Relationship Id="rId7090" Type="http://schemas.openxmlformats.org/officeDocument/2006/relationships/hyperlink" Target="https://www.simpleshowing.com/" TargetMode="External"/><Relationship Id="rId8141" Type="http://schemas.openxmlformats.org/officeDocument/2006/relationships/hyperlink" Target="https://www.pinoyeplans.com/" TargetMode="External"/><Relationship Id="rId10071" Type="http://schemas.openxmlformats.org/officeDocument/2006/relationships/hyperlink" Target="https://www.pinoyeplans.com/" TargetMode="External"/><Relationship Id="rId11122" Type="http://schemas.openxmlformats.org/officeDocument/2006/relationships/hyperlink" Target="https://admin.local.observer-reporter.com/irwin-pa/parry-custom-homes-724-863-0199" TargetMode="External"/><Relationship Id="rId13294" Type="http://schemas.openxmlformats.org/officeDocument/2006/relationships/hyperlink" Target="https://propertypressonline.co.uk/" TargetMode="External"/><Relationship Id="rId14692" Type="http://schemas.openxmlformats.org/officeDocument/2006/relationships/hyperlink" Target="https://myinteriorpalace.com/" TargetMode="External"/><Relationship Id="rId15743" Type="http://schemas.openxmlformats.org/officeDocument/2006/relationships/hyperlink" Target="https://www.modinex.com.au/" TargetMode="External"/><Relationship Id="rId3353" Type="http://schemas.openxmlformats.org/officeDocument/2006/relationships/hyperlink" Target="https://members.ghcc.com/member-directory/FindStartsWith?term=%23%21" TargetMode="External"/><Relationship Id="rId4751" Type="http://schemas.openxmlformats.org/officeDocument/2006/relationships/hyperlink" Target="https://www.kapre.com/" TargetMode="External"/><Relationship Id="rId5802" Type="http://schemas.openxmlformats.org/officeDocument/2006/relationships/hyperlink" Target="https://www.simpleshowing.com/" TargetMode="External"/><Relationship Id="rId14345" Type="http://schemas.openxmlformats.org/officeDocument/2006/relationships/hyperlink" Target="https://luxurylifestyle.com/" TargetMode="External"/><Relationship Id="rId274" Type="http://schemas.openxmlformats.org/officeDocument/2006/relationships/hyperlink" Target="https://travelexperta.com/things-to-do-alexandria-va/" TargetMode="External"/><Relationship Id="rId3006" Type="http://schemas.openxmlformats.org/officeDocument/2006/relationships/hyperlink" Target="https://www.simpleshowing.com/" TargetMode="External"/><Relationship Id="rId4404" Type="http://schemas.openxmlformats.org/officeDocument/2006/relationships/hyperlink" Target="http://homesleuths.20m.com/memberlist/featured/n.htm" TargetMode="External"/><Relationship Id="rId7974" Type="http://schemas.openxmlformats.org/officeDocument/2006/relationships/hyperlink" Target="https://distinctiveroofing.net/" TargetMode="External"/><Relationship Id="rId10955" Type="http://schemas.openxmlformats.org/officeDocument/2006/relationships/hyperlink" Target="https://www.unmc.edu/mmi/education/high-school/sepa/edu-materials.html" TargetMode="External"/><Relationship Id="rId6576" Type="http://schemas.openxmlformats.org/officeDocument/2006/relationships/hyperlink" Target="https://hospitalitytech.com/thermasol-debuts-thermatouch-shower-lcd-touchscreen-controller" TargetMode="External"/><Relationship Id="rId7627" Type="http://schemas.openxmlformats.org/officeDocument/2006/relationships/hyperlink" Target="https://www.simpleshowing.com/" TargetMode="External"/><Relationship Id="rId10608" Type="http://schemas.openxmlformats.org/officeDocument/2006/relationships/hyperlink" Target="https://www.pinoyeplans.com/" TargetMode="External"/><Relationship Id="rId5178" Type="http://schemas.openxmlformats.org/officeDocument/2006/relationships/hyperlink" Target="https://www.simpleshowing.com/" TargetMode="External"/><Relationship Id="rId6229" Type="http://schemas.openxmlformats.org/officeDocument/2006/relationships/hyperlink" Target="https://www.readability.com/building-financial-security-without-depriving-yourself" TargetMode="External"/><Relationship Id="rId9799" Type="http://schemas.openxmlformats.org/officeDocument/2006/relationships/hyperlink" Target="https://www.teachengineering.org/" TargetMode="External"/><Relationship Id="rId12030" Type="http://schemas.openxmlformats.org/officeDocument/2006/relationships/hyperlink" Target="https://www.hamiltoninternationalestates.com/" TargetMode="External"/><Relationship Id="rId1788" Type="http://schemas.openxmlformats.org/officeDocument/2006/relationships/hyperlink" Target="https://www.simpleshowing.com/" TargetMode="External"/><Relationship Id="rId2839" Type="http://schemas.openxmlformats.org/officeDocument/2006/relationships/hyperlink" Target="https://www.pulte.com/" TargetMode="External"/><Relationship Id="rId6710" Type="http://schemas.openxmlformats.org/officeDocument/2006/relationships/hyperlink" Target="https://alan-allison-88.firebaseapp.com/living-room-decor-plants.html" TargetMode="External"/><Relationship Id="rId15253" Type="http://schemas.openxmlformats.org/officeDocument/2006/relationships/hyperlink" Target="https://myinteriorpalace.com/" TargetMode="External"/><Relationship Id="rId4261" Type="http://schemas.openxmlformats.org/officeDocument/2006/relationships/hyperlink" Target="https://www.simpleshowing.com/" TargetMode="External"/><Relationship Id="rId5312" Type="http://schemas.openxmlformats.org/officeDocument/2006/relationships/hyperlink" Target="https://www.simpleshowing.com/" TargetMode="External"/><Relationship Id="rId7484" Type="http://schemas.openxmlformats.org/officeDocument/2006/relationships/hyperlink" Target="https://www.taylormorrison.com/" TargetMode="External"/><Relationship Id="rId8535" Type="http://schemas.openxmlformats.org/officeDocument/2006/relationships/hyperlink" Target="https://www.cylind.com/" TargetMode="External"/><Relationship Id="rId8882" Type="http://schemas.openxmlformats.org/officeDocument/2006/relationships/hyperlink" Target="https://numberlina.com/choosing-the-right-pest-control-company-a-quick-guide/" TargetMode="External"/><Relationship Id="rId9933" Type="http://schemas.openxmlformats.org/officeDocument/2006/relationships/hyperlink" Target="https://www.pinoyeplans.com/" TargetMode="External"/><Relationship Id="rId11863" Type="http://schemas.openxmlformats.org/officeDocument/2006/relationships/hyperlink" Target="https://sellhousefast.uk/" TargetMode="External"/><Relationship Id="rId12914" Type="http://schemas.openxmlformats.org/officeDocument/2006/relationships/hyperlink" Target="https://www.shma.co.uk/" TargetMode="External"/><Relationship Id="rId1922" Type="http://schemas.openxmlformats.org/officeDocument/2006/relationships/hyperlink" Target="https://canvomagazine.com/exploring-the-cultural-influences-behind-home-choices/" TargetMode="External"/><Relationship Id="rId6086" Type="http://schemas.openxmlformats.org/officeDocument/2006/relationships/hyperlink" Target="https://www.simpleshowing.com/" TargetMode="External"/><Relationship Id="rId7137" Type="http://schemas.openxmlformats.org/officeDocument/2006/relationships/hyperlink" Target="https://www.taylormorrison.com/" TargetMode="External"/><Relationship Id="rId10465" Type="http://schemas.openxmlformats.org/officeDocument/2006/relationships/hyperlink" Target="https://www.teachengineering.org/" TargetMode="External"/><Relationship Id="rId11516" Type="http://schemas.openxmlformats.org/officeDocument/2006/relationships/hyperlink" Target="https://www.hamiltoninternationalestates.com/" TargetMode="External"/><Relationship Id="rId10118" Type="http://schemas.openxmlformats.org/officeDocument/2006/relationships/hyperlink" Target="https://www.arduino.cc/education/the-benefits-of-project-based-learning-in-education/" TargetMode="External"/><Relationship Id="rId13688" Type="http://schemas.openxmlformats.org/officeDocument/2006/relationships/hyperlink" Target="https://anationofmoms.com/" TargetMode="External"/><Relationship Id="rId14739" Type="http://schemas.openxmlformats.org/officeDocument/2006/relationships/hyperlink" Target="https://geebo.com/services/view/id/1934583-easy-garage-door-repair-/" TargetMode="External"/><Relationship Id="rId2696" Type="http://schemas.openxmlformats.org/officeDocument/2006/relationships/hyperlink" Target="https://www.tep.com/energy-smart-homes/" TargetMode="External"/><Relationship Id="rId3747" Type="http://schemas.openxmlformats.org/officeDocument/2006/relationships/hyperlink" Target="https://www.simpleshowing.com/" TargetMode="External"/><Relationship Id="rId16161" Type="http://schemas.openxmlformats.org/officeDocument/2006/relationships/hyperlink" Target="https://www.europeanbusinessreview.com/how-to-pick-the-perfect-carpet-type-for-every-room-in-your-house/" TargetMode="External"/><Relationship Id="rId668" Type="http://schemas.openxmlformats.org/officeDocument/2006/relationships/hyperlink" Target="https://www.simpleshowing.com/" TargetMode="External"/><Relationship Id="rId1298" Type="http://schemas.openxmlformats.org/officeDocument/2006/relationships/hyperlink" Target="https://www.maltatoday.com.mt/business/tech/136731/proptech_innovation_in_malta_building_a_smarter_property_portal_for_the_ai_age" TargetMode="External"/><Relationship Id="rId2349" Type="http://schemas.openxmlformats.org/officeDocument/2006/relationships/hyperlink" Target="https://www.simpleshowing.com/" TargetMode="External"/><Relationship Id="rId6220" Type="http://schemas.openxmlformats.org/officeDocument/2006/relationships/hyperlink" Target="https://www.simpleshowing.com/" TargetMode="External"/><Relationship Id="rId9790" Type="http://schemas.openxmlformats.org/officeDocument/2006/relationships/hyperlink" Target="https://www.teachengineering.org/" TargetMode="External"/><Relationship Id="rId8392" Type="http://schemas.openxmlformats.org/officeDocument/2006/relationships/hyperlink" Target="https://audiomack.com/floodhours" TargetMode="External"/><Relationship Id="rId9443" Type="http://schemas.openxmlformats.org/officeDocument/2006/relationships/hyperlink" Target="https://outforia.com/where-is-quicksand-found/" TargetMode="External"/><Relationship Id="rId11373" Type="http://schemas.openxmlformats.org/officeDocument/2006/relationships/hyperlink" Target="http://webuyhouses.com/" TargetMode="External"/><Relationship Id="rId12771" Type="http://schemas.openxmlformats.org/officeDocument/2006/relationships/hyperlink" Target="https://adch.org.uk/supplier-catalogue/shakespeare-martineau-llp/" TargetMode="External"/><Relationship Id="rId13822" Type="http://schemas.openxmlformats.org/officeDocument/2006/relationships/hyperlink" Target="https://myinteriorpalace.com/" TargetMode="External"/><Relationship Id="rId1432" Type="http://schemas.openxmlformats.org/officeDocument/2006/relationships/hyperlink" Target="https://ritewindow.com/blog/3-indicators-its-time-to-upgrade-your-shower-or-bath/" TargetMode="External"/><Relationship Id="rId2830" Type="http://schemas.openxmlformats.org/officeDocument/2006/relationships/hyperlink" Target="https://www.pulte.com/" TargetMode="External"/><Relationship Id="rId8045" Type="http://schemas.openxmlformats.org/officeDocument/2006/relationships/hyperlink" Target="https://indyroofandrestoration.com/" TargetMode="External"/><Relationship Id="rId11026" Type="http://schemas.openxmlformats.org/officeDocument/2006/relationships/hyperlink" Target="https://www.teachengineering.org/" TargetMode="External"/><Relationship Id="rId12424" Type="http://schemas.openxmlformats.org/officeDocument/2006/relationships/hyperlink" Target="https://sturents.com/" TargetMode="External"/><Relationship Id="rId15994" Type="http://schemas.openxmlformats.org/officeDocument/2006/relationships/hyperlink" Target="https://myinteriorpalace.com/" TargetMode="External"/><Relationship Id="rId802" Type="http://schemas.openxmlformats.org/officeDocument/2006/relationships/hyperlink" Target="https://local.statewaterheaters.com/where-to-buy/michigan/grand-rapids/schaafsma-heating-and-cooling-58607387" TargetMode="External"/><Relationship Id="rId14596" Type="http://schemas.openxmlformats.org/officeDocument/2006/relationships/hyperlink" Target="https://myinteriorpalace.com/" TargetMode="External"/><Relationship Id="rId15647" Type="http://schemas.openxmlformats.org/officeDocument/2006/relationships/hyperlink" Target="https://www.luxdeco.com/" TargetMode="External"/><Relationship Id="rId4655" Type="http://schemas.openxmlformats.org/officeDocument/2006/relationships/hyperlink" Target="https://www.kapre.com/" TargetMode="External"/><Relationship Id="rId5706" Type="http://schemas.openxmlformats.org/officeDocument/2006/relationships/hyperlink" Target="https://www.simpleshowing.com/" TargetMode="External"/><Relationship Id="rId13198" Type="http://schemas.openxmlformats.org/officeDocument/2006/relationships/hyperlink" Target="https://propertypressonline.co.uk/" TargetMode="External"/><Relationship Id="rId14249" Type="http://schemas.openxmlformats.org/officeDocument/2006/relationships/hyperlink" Target="https://luxurylifestyle.com/" TargetMode="External"/><Relationship Id="rId178" Type="http://schemas.openxmlformats.org/officeDocument/2006/relationships/hyperlink" Target="https://www.homeia.com/" TargetMode="External"/><Relationship Id="rId3257" Type="http://schemas.openxmlformats.org/officeDocument/2006/relationships/hyperlink" Target="https://hoodline.com/2015/09/remembering-jim-meko-soma-loses-its-champion/" TargetMode="External"/><Relationship Id="rId4308" Type="http://schemas.openxmlformats.org/officeDocument/2006/relationships/hyperlink" Target="https://www.spectora.com/r/connecting-with-real-estate-agents/" TargetMode="External"/><Relationship Id="rId7878" Type="http://schemas.openxmlformats.org/officeDocument/2006/relationships/hyperlink" Target="https://trustroofing.com/" TargetMode="External"/><Relationship Id="rId8929" Type="http://schemas.openxmlformats.org/officeDocument/2006/relationships/hyperlink" Target="https://nycestimating.us/" TargetMode="External"/><Relationship Id="rId10859" Type="http://schemas.openxmlformats.org/officeDocument/2006/relationships/hyperlink" Target="https://www.pnnl.gov/people/courtney-bottenus" TargetMode="External"/><Relationship Id="rId14730" Type="http://schemas.openxmlformats.org/officeDocument/2006/relationships/hyperlink" Target="https://www.mklibrary.com/need-a-garage-door-repair-here-are-some-handy-tips-for-homeowners/" TargetMode="External"/><Relationship Id="rId12281" Type="http://schemas.openxmlformats.org/officeDocument/2006/relationships/hyperlink" Target="https://independentoxford.com/indie-oxford-interview-ridgefield-consulting/" TargetMode="External"/><Relationship Id="rId13332" Type="http://schemas.openxmlformats.org/officeDocument/2006/relationships/hyperlink" Target="https://www.sweetsofties.com/2024/08/tips-for-upgrading-kids-room.html?m=0" TargetMode="External"/><Relationship Id="rId2340" Type="http://schemas.openxmlformats.org/officeDocument/2006/relationships/hyperlink" Target="https://www.simpleshowing.com/" TargetMode="External"/><Relationship Id="rId312" Type="http://schemas.openxmlformats.org/officeDocument/2006/relationships/hyperlink" Target="http://northernvirginiahomepro.com/" TargetMode="External"/><Relationship Id="rId5563" Type="http://schemas.openxmlformats.org/officeDocument/2006/relationships/hyperlink" Target="https://www.virtuallatinos.com/blog/best-practices-managing-remote-employees/" TargetMode="External"/><Relationship Id="rId6961" Type="http://schemas.openxmlformats.org/officeDocument/2006/relationships/hyperlink" Target="https://www.simpleshowing.com/" TargetMode="External"/><Relationship Id="rId15157" Type="http://schemas.openxmlformats.org/officeDocument/2006/relationships/hyperlink" Target="https://myinteriorpalace.com/" TargetMode="External"/><Relationship Id="rId4165" Type="http://schemas.openxmlformats.org/officeDocument/2006/relationships/hyperlink" Target="https://www.simpleshowing.com/" TargetMode="External"/><Relationship Id="rId5216" Type="http://schemas.openxmlformats.org/officeDocument/2006/relationships/hyperlink" Target="https://www.simpleshowing.com/" TargetMode="External"/><Relationship Id="rId6614" Type="http://schemas.openxmlformats.org/officeDocument/2006/relationships/hyperlink" Target="https://www.simpleshowing.com/" TargetMode="External"/><Relationship Id="rId16208" Type="http://schemas.openxmlformats.org/officeDocument/2006/relationships/hyperlink" Target="https://www.unitedcarpetsandbeds.com/" TargetMode="External"/><Relationship Id="rId8786" Type="http://schemas.openxmlformats.org/officeDocument/2006/relationships/hyperlink" Target="https://www.pinoyeplans.com/" TargetMode="External"/><Relationship Id="rId9837" Type="http://schemas.openxmlformats.org/officeDocument/2006/relationships/hyperlink" Target="https://www.pinoyeplans.com/" TargetMode="External"/><Relationship Id="rId11767" Type="http://schemas.openxmlformats.org/officeDocument/2006/relationships/hyperlink" Target="https://sellhousefast.uk/" TargetMode="External"/><Relationship Id="rId12818" Type="http://schemas.openxmlformats.org/officeDocument/2006/relationships/hyperlink" Target="https://www.shma.co.uk/" TargetMode="External"/><Relationship Id="rId1826" Type="http://schemas.openxmlformats.org/officeDocument/2006/relationships/hyperlink" Target="https://birdsandlilies.com/how-to-make-better-choices-for-your-business/" TargetMode="External"/><Relationship Id="rId7388" Type="http://schemas.openxmlformats.org/officeDocument/2006/relationships/hyperlink" Target="https://www.simpleshowing.com/" TargetMode="External"/><Relationship Id="rId8439" Type="http://schemas.openxmlformats.org/officeDocument/2006/relationships/hyperlink" Target="https://www.cylind.com/" TargetMode="External"/><Relationship Id="rId10369" Type="http://schemas.openxmlformats.org/officeDocument/2006/relationships/hyperlink" Target="https://www.teachengineering.org/" TargetMode="External"/><Relationship Id="rId14240" Type="http://schemas.openxmlformats.org/officeDocument/2006/relationships/hyperlink" Target="https://luxurylifestyle.com/" TargetMode="External"/><Relationship Id="rId3998" Type="http://schemas.openxmlformats.org/officeDocument/2006/relationships/hyperlink" Target="https://www.otsnews.co.uk/top-reasons-to-hire-professional-home-solar-installers/" TargetMode="External"/><Relationship Id="rId8920" Type="http://schemas.openxmlformats.org/officeDocument/2006/relationships/hyperlink" Target="https://nycestimating.us/" TargetMode="External"/><Relationship Id="rId6471" Type="http://schemas.openxmlformats.org/officeDocument/2006/relationships/hyperlink" Target="https://www.simpleshowing.com/" TargetMode="External"/><Relationship Id="rId7522" Type="http://schemas.openxmlformats.org/officeDocument/2006/relationships/hyperlink" Target="https://www.simpleshowing.com/" TargetMode="External"/><Relationship Id="rId10850" Type="http://schemas.openxmlformats.org/officeDocument/2006/relationships/hyperlink" Target="https://www.virtuallibrary.info/stem--maker-space.html" TargetMode="External"/><Relationship Id="rId11901" Type="http://schemas.openxmlformats.org/officeDocument/2006/relationships/hyperlink" Target="https://www.hamiltoninternationalestates.com/" TargetMode="External"/><Relationship Id="rId16065" Type="http://schemas.openxmlformats.org/officeDocument/2006/relationships/hyperlink" Target="https://www.provenexpert.com/en-us/richards-wilcox-canada/" TargetMode="External"/><Relationship Id="rId5073" Type="http://schemas.openxmlformats.org/officeDocument/2006/relationships/hyperlink" Target="https://www.legislate.ai/blog/what-is-a-partnership" TargetMode="External"/><Relationship Id="rId6124" Type="http://schemas.openxmlformats.org/officeDocument/2006/relationships/hyperlink" Target="https://www.simpleshowing.com/" TargetMode="External"/><Relationship Id="rId9694" Type="http://schemas.openxmlformats.org/officeDocument/2006/relationships/hyperlink" Target="https://www.teachengineering.org/" TargetMode="External"/><Relationship Id="rId10503" Type="http://schemas.openxmlformats.org/officeDocument/2006/relationships/hyperlink" Target="https://www.pinoyeplans.com/" TargetMode="External"/><Relationship Id="rId8296" Type="http://schemas.openxmlformats.org/officeDocument/2006/relationships/hyperlink" Target="https://foter.com/pin/13719146" TargetMode="External"/><Relationship Id="rId9347" Type="http://schemas.openxmlformats.org/officeDocument/2006/relationships/hyperlink" Target="https://www.steampoweredfamily.com/popsicle-stick-catapult/" TargetMode="External"/><Relationship Id="rId12675" Type="http://schemas.openxmlformats.org/officeDocument/2006/relationships/hyperlink" Target="https://podcasts.apple.com/us/podcast/going-further-and-higher-education-podcast/id1582033658" TargetMode="External"/><Relationship Id="rId13726" Type="http://schemas.openxmlformats.org/officeDocument/2006/relationships/hyperlink" Target="https://myinteriorpalace.com/" TargetMode="External"/><Relationship Id="rId1683" Type="http://schemas.openxmlformats.org/officeDocument/2006/relationships/hyperlink" Target="https://www.simpleshowing.com/" TargetMode="External"/><Relationship Id="rId2734" Type="http://schemas.openxmlformats.org/officeDocument/2006/relationships/hyperlink" Target="https://www.pulte.com/" TargetMode="External"/><Relationship Id="rId11277" Type="http://schemas.openxmlformats.org/officeDocument/2006/relationships/hyperlink" Target="https://www.europeanbusinessreview.com/reviving-your-carpets-dealing-with-water-damage/" TargetMode="External"/><Relationship Id="rId12328" Type="http://schemas.openxmlformats.org/officeDocument/2006/relationships/hyperlink" Target="https://sturents.com/" TargetMode="External"/><Relationship Id="rId15898" Type="http://schemas.openxmlformats.org/officeDocument/2006/relationships/hyperlink" Target="https://myinteriorpalace.com/" TargetMode="External"/><Relationship Id="rId706" Type="http://schemas.openxmlformats.org/officeDocument/2006/relationships/hyperlink" Target="https://ocnjdaily.com/news/2025/oct/27/5-ways-to-make-vacation-more-comfortable/" TargetMode="External"/><Relationship Id="rId1336" Type="http://schemas.openxmlformats.org/officeDocument/2006/relationships/hyperlink" Target="https://darscover.com/" TargetMode="External"/><Relationship Id="rId5957" Type="http://schemas.openxmlformats.org/officeDocument/2006/relationships/hyperlink" Target="https://www.fool.com/investing/2019/03/05/what-would-americans-be-willing-to-do-to-get-out-o.aspx" TargetMode="External"/><Relationship Id="rId42" Type="http://schemas.openxmlformats.org/officeDocument/2006/relationships/hyperlink" Target="http://englishsumup.com/" TargetMode="External"/><Relationship Id="rId4559" Type="http://schemas.openxmlformats.org/officeDocument/2006/relationships/hyperlink" Target="https://www.kapre.com/" TargetMode="External"/><Relationship Id="rId8430" Type="http://schemas.openxmlformats.org/officeDocument/2006/relationships/hyperlink" Target="https://www.cylind.com/" TargetMode="External"/><Relationship Id="rId10360" Type="http://schemas.openxmlformats.org/officeDocument/2006/relationships/hyperlink" Target="https://www.teachengineering.org/" TargetMode="External"/><Relationship Id="rId11411" Type="http://schemas.openxmlformats.org/officeDocument/2006/relationships/hyperlink" Target="https://www.hamiltoninternationalestates.com/" TargetMode="External"/><Relationship Id="rId7032" Type="http://schemas.openxmlformats.org/officeDocument/2006/relationships/hyperlink" Target="https://cloutrep.com/profile/cristina-maria-iaboni/" TargetMode="External"/><Relationship Id="rId10013" Type="http://schemas.openxmlformats.org/officeDocument/2006/relationships/hyperlink" Target="https://nap.nationalacademies.org/read/26853/chapter/4" TargetMode="External"/><Relationship Id="rId13583" Type="http://schemas.openxmlformats.org/officeDocument/2006/relationships/hyperlink" Target="https://anationofmoms.com/" TargetMode="External"/><Relationship Id="rId14981" Type="http://schemas.openxmlformats.org/officeDocument/2006/relationships/hyperlink" Target="https://www.luxdeco.com/" TargetMode="External"/><Relationship Id="rId2591" Type="http://schemas.openxmlformats.org/officeDocument/2006/relationships/hyperlink" Target="https://www.callnorthwest.com/category/communityevents/" TargetMode="External"/><Relationship Id="rId3642" Type="http://schemas.openxmlformats.org/officeDocument/2006/relationships/hyperlink" Target="https://www.simpleshowing.com/" TargetMode="External"/><Relationship Id="rId12185" Type="http://schemas.openxmlformats.org/officeDocument/2006/relationships/hyperlink" Target="https://www.ferrellgas.com/tank-talk/blog-articles/propane-vs-electric-heat-the-cost-of-heating-your-home/" TargetMode="External"/><Relationship Id="rId13236" Type="http://schemas.openxmlformats.org/officeDocument/2006/relationships/hyperlink" Target="https://aboutmanchester.co.uk/manchesters-popular-universities-contributing-to-good-rental-yields/" TargetMode="External"/><Relationship Id="rId14634" Type="http://schemas.openxmlformats.org/officeDocument/2006/relationships/hyperlink" Target="https://tangyhouse.com/top-8-trusted-garage-door-repair-services-in-houston-tx/" TargetMode="External"/><Relationship Id="rId563" Type="http://schemas.openxmlformats.org/officeDocument/2006/relationships/hyperlink" Target="https://www.simpleshowing.com/" TargetMode="External"/><Relationship Id="rId1193" Type="http://schemas.openxmlformats.org/officeDocument/2006/relationships/hyperlink" Target="https://www.ibtimes.co.uk/common-obstacles-during-london-relocations-1747318" TargetMode="External"/><Relationship Id="rId2244" Type="http://schemas.openxmlformats.org/officeDocument/2006/relationships/hyperlink" Target="https://www.simpleshowing.com/" TargetMode="External"/><Relationship Id="rId216" Type="http://schemas.openxmlformats.org/officeDocument/2006/relationships/hyperlink" Target="http://northernvirginiahomepro.com/" TargetMode="External"/><Relationship Id="rId6865" Type="http://schemas.openxmlformats.org/officeDocument/2006/relationships/hyperlink" Target="https://www.taylormorrison.com/" TargetMode="External"/><Relationship Id="rId7916" Type="http://schemas.openxmlformats.org/officeDocument/2006/relationships/hyperlink" Target="https://www.pinoyeplans.com/" TargetMode="External"/><Relationship Id="rId4069" Type="http://schemas.openxmlformats.org/officeDocument/2006/relationships/hyperlink" Target="https://www.kaplanquizzes.com/" TargetMode="External"/><Relationship Id="rId5467" Type="http://schemas.openxmlformats.org/officeDocument/2006/relationships/hyperlink" Target="https://tapni.com/blogs/business-and-networking/sales-rep" TargetMode="External"/><Relationship Id="rId6518" Type="http://schemas.openxmlformats.org/officeDocument/2006/relationships/hyperlink" Target="https://www.lorddecor.com/blog/elevate-your-bathing-experience-by-transforming-your-tub-into-a-luxury-soak" TargetMode="External"/><Relationship Id="rId14491" Type="http://schemas.openxmlformats.org/officeDocument/2006/relationships/hyperlink" Target="https://myinteriorpalace.com/" TargetMode="External"/><Relationship Id="rId15542" Type="http://schemas.openxmlformats.org/officeDocument/2006/relationships/hyperlink" Target="https://www.luxdeco.com/" TargetMode="External"/><Relationship Id="rId4550" Type="http://schemas.openxmlformats.org/officeDocument/2006/relationships/hyperlink" Target="https://www.kapre.com/" TargetMode="External"/><Relationship Id="rId5601" Type="http://schemas.openxmlformats.org/officeDocument/2006/relationships/hyperlink" Target="https://girlboss.com/blogs/read/common-credit-card-mistakes" TargetMode="External"/><Relationship Id="rId13093" Type="http://schemas.openxmlformats.org/officeDocument/2006/relationships/hyperlink" Target="https://propertypressonline.co.uk/" TargetMode="External"/><Relationship Id="rId14144" Type="http://schemas.openxmlformats.org/officeDocument/2006/relationships/hyperlink" Target="https://keystonecustomdecksny.com/" TargetMode="External"/><Relationship Id="rId3152" Type="http://schemas.openxmlformats.org/officeDocument/2006/relationships/hyperlink" Target="https://alfons-lavoie.artstation.com/projects/eaVnY3" TargetMode="External"/><Relationship Id="rId4203" Type="http://schemas.openxmlformats.org/officeDocument/2006/relationships/hyperlink" Target="https://www.ohe.state.mn.us/sPages/closedSchoolContact.cfm" TargetMode="External"/><Relationship Id="rId7773" Type="http://schemas.openxmlformats.org/officeDocument/2006/relationships/hyperlink" Target="https://www.simpleshowing.com/" TargetMode="External"/><Relationship Id="rId8824" Type="http://schemas.openxmlformats.org/officeDocument/2006/relationships/hyperlink" Target="https://www.trianglepest.com/" TargetMode="External"/><Relationship Id="rId6375" Type="http://schemas.openxmlformats.org/officeDocument/2006/relationships/hyperlink" Target="https://nohoartsdistrict.com/page/134/?search" TargetMode="External"/><Relationship Id="rId7426" Type="http://schemas.openxmlformats.org/officeDocument/2006/relationships/hyperlink" Target="https://www.simpleshowing.com/" TargetMode="External"/><Relationship Id="rId10754" Type="http://schemas.openxmlformats.org/officeDocument/2006/relationships/hyperlink" Target="https://www.jetlearn.com/blog/building-a-smart-pet-feeder-iot-projects-for-kids-who-love-animals" TargetMode="External"/><Relationship Id="rId11805" Type="http://schemas.openxmlformats.org/officeDocument/2006/relationships/hyperlink" Target="https://www.hamiltoninternationalestates.com/" TargetMode="External"/><Relationship Id="rId6028" Type="http://schemas.openxmlformats.org/officeDocument/2006/relationships/hyperlink" Target="https://www.simpleshowing.com/" TargetMode="External"/><Relationship Id="rId9598" Type="http://schemas.openxmlformats.org/officeDocument/2006/relationships/hyperlink" Target="https://www.teachengineering.org/" TargetMode="External"/><Relationship Id="rId10407" Type="http://schemas.openxmlformats.org/officeDocument/2006/relationships/hyperlink" Target="https://www.pinoyeplans.com/" TargetMode="External"/><Relationship Id="rId13977" Type="http://schemas.openxmlformats.org/officeDocument/2006/relationships/hyperlink" Target="https://gluesticksgumdrops.com/5-types-of-siding-material-for-your-next-home-upgrade/" TargetMode="External"/><Relationship Id="rId2985" Type="http://schemas.openxmlformats.org/officeDocument/2006/relationships/hyperlink" Target="https://www.simpleshowing.com/" TargetMode="External"/><Relationship Id="rId12579" Type="http://schemas.openxmlformats.org/officeDocument/2006/relationships/hyperlink" Target="https://flex.legal/blog/different-types-of-law-firms" TargetMode="External"/><Relationship Id="rId957" Type="http://schemas.openxmlformats.org/officeDocument/2006/relationships/hyperlink" Target="https://www.simpleshowing.com/" TargetMode="External"/><Relationship Id="rId1587" Type="http://schemas.openxmlformats.org/officeDocument/2006/relationships/hyperlink" Target="https://www.simpleshowing.com/" TargetMode="External"/><Relationship Id="rId2638" Type="http://schemas.openxmlformats.org/officeDocument/2006/relationships/hyperlink" Target="https://www.pulte.com/" TargetMode="External"/><Relationship Id="rId15052" Type="http://schemas.openxmlformats.org/officeDocument/2006/relationships/hyperlink" Target="https://myinteriorpalace.com/" TargetMode="External"/><Relationship Id="rId16103" Type="http://schemas.openxmlformats.org/officeDocument/2006/relationships/hyperlink" Target="https://www.rwdoors.com/" TargetMode="External"/><Relationship Id="rId4060" Type="http://schemas.openxmlformats.org/officeDocument/2006/relationships/hyperlink" Target="https://www.simpleshowing.com/" TargetMode="External"/><Relationship Id="rId5111" Type="http://schemas.openxmlformats.org/officeDocument/2006/relationships/hyperlink" Target="https://washingtonparent.com/7-ways-to-save-for-christmas/" TargetMode="External"/><Relationship Id="rId8681" Type="http://schemas.openxmlformats.org/officeDocument/2006/relationships/hyperlink" Target="https://www.pinoyeplans.com/" TargetMode="External"/><Relationship Id="rId9732" Type="http://schemas.openxmlformats.org/officeDocument/2006/relationships/hyperlink" Target="https://www.pinoyeplans.com/" TargetMode="External"/><Relationship Id="rId11662" Type="http://schemas.openxmlformats.org/officeDocument/2006/relationships/hyperlink" Target="https://sellhousefast.uk/" TargetMode="External"/><Relationship Id="rId1721" Type="http://schemas.openxmlformats.org/officeDocument/2006/relationships/hyperlink" Target="https://www.thisoldhouse.com/near-me/minnesota/roseville/solar" TargetMode="External"/><Relationship Id="rId7283" Type="http://schemas.openxmlformats.org/officeDocument/2006/relationships/hyperlink" Target="https://www.simpleshowing.com/" TargetMode="External"/><Relationship Id="rId8334" Type="http://schemas.openxmlformats.org/officeDocument/2006/relationships/hyperlink" Target="https://australiansecurecapital.com.au/" TargetMode="External"/><Relationship Id="rId10264" Type="http://schemas.openxmlformats.org/officeDocument/2006/relationships/hyperlink" Target="https://www.teachengineering.org/" TargetMode="External"/><Relationship Id="rId11315" Type="http://schemas.openxmlformats.org/officeDocument/2006/relationships/hyperlink" Target="https://www.savemax.com/" TargetMode="External"/><Relationship Id="rId12713" Type="http://schemas.openxmlformats.org/officeDocument/2006/relationships/hyperlink" Target="https://www.shma.co.uk/" TargetMode="External"/><Relationship Id="rId14885" Type="http://schemas.openxmlformats.org/officeDocument/2006/relationships/hyperlink" Target="https://www.fluidplumbingservices.com.au/" TargetMode="External"/><Relationship Id="rId15936" Type="http://schemas.openxmlformats.org/officeDocument/2006/relationships/hyperlink" Target="https://www.londondaily.news/choosing-the-right-garage-door-a-complete-guide-for-uk-homeowners/" TargetMode="External"/><Relationship Id="rId2495" Type="http://schemas.openxmlformats.org/officeDocument/2006/relationships/hyperlink" Target="https://carolinaoverlook.clubexpress.com/content.aspx?page_id=22&amp;club_id=347439&amp;module_id=653778" TargetMode="External"/><Relationship Id="rId3893" Type="http://schemas.openxmlformats.org/officeDocument/2006/relationships/hyperlink" Target="https://thesource.com/2025/06/05/stop-acting-like-the-cover-doesnt-matter-it-does/" TargetMode="External"/><Relationship Id="rId4944" Type="http://schemas.openxmlformats.org/officeDocument/2006/relationships/hyperlink" Target="https://www.simpleshowing.com/" TargetMode="External"/><Relationship Id="rId12089" Type="http://schemas.openxmlformats.org/officeDocument/2006/relationships/hyperlink" Target="https://www.cliqstudios.com/blog/what-are-the-most-affordable-kitchen-countertop-materials/" TargetMode="External"/><Relationship Id="rId13487" Type="http://schemas.openxmlformats.org/officeDocument/2006/relationships/hyperlink" Target="https://anationofmoms.com/" TargetMode="External"/><Relationship Id="rId14538" Type="http://schemas.openxmlformats.org/officeDocument/2006/relationships/hyperlink" Target="https://interworldradio.net/5-warning-signs-your-garage-door-needs-an-inspection/" TargetMode="External"/><Relationship Id="rId467" Type="http://schemas.openxmlformats.org/officeDocument/2006/relationships/hyperlink" Target="https://www.simpleshowing.com/" TargetMode="External"/><Relationship Id="rId1097" Type="http://schemas.openxmlformats.org/officeDocument/2006/relationships/hyperlink" Target="https://metapress.com/cozy-living-turning-underutilized-spaces-into-functional-areas/" TargetMode="External"/><Relationship Id="rId2148" Type="http://schemas.openxmlformats.org/officeDocument/2006/relationships/hyperlink" Target="https://www.simpleshowing.com/" TargetMode="External"/><Relationship Id="rId3546" Type="http://schemas.openxmlformats.org/officeDocument/2006/relationships/hyperlink" Target="https://www.simpleshowing.com/" TargetMode="External"/><Relationship Id="rId6769" Type="http://schemas.openxmlformats.org/officeDocument/2006/relationships/hyperlink" Target="https://theprovidencegroup.com/" TargetMode="External"/><Relationship Id="rId12570" Type="http://schemas.openxmlformats.org/officeDocument/2006/relationships/hyperlink" Target="https://www.hepi.ac.uk/2023/03/21/are-universities-really-at-risk-of-ending-up-in-the-public-sector/" TargetMode="External"/><Relationship Id="rId13621" Type="http://schemas.openxmlformats.org/officeDocument/2006/relationships/hyperlink" Target="https://myinteriorpalace.com/" TargetMode="External"/><Relationship Id="rId8191" Type="http://schemas.openxmlformats.org/officeDocument/2006/relationships/hyperlink" Target="https://www.articleted.com/article/834112/166734/Best-3d-Visualization-Software-For-Designers-In-2024" TargetMode="External"/><Relationship Id="rId9242" Type="http://schemas.openxmlformats.org/officeDocument/2006/relationships/hyperlink" Target="https://www.trulogsiding.com/how-much-does-new-siding-cost/" TargetMode="External"/><Relationship Id="rId11172" Type="http://schemas.openxmlformats.org/officeDocument/2006/relationships/hyperlink" Target="https://www.pinoyeplans.com/" TargetMode="External"/><Relationship Id="rId12223" Type="http://schemas.openxmlformats.org/officeDocument/2006/relationships/hyperlink" Target="https://marrons.co.uk/" TargetMode="External"/><Relationship Id="rId15793" Type="http://schemas.openxmlformats.org/officeDocument/2006/relationships/hyperlink" Target="https://myinteriorpalace.com/" TargetMode="External"/><Relationship Id="rId601" Type="http://schemas.openxmlformats.org/officeDocument/2006/relationships/hyperlink" Target="https://www.davisart.com/schoolarts/issues/2023/visual-culture/middle-school-art-lesson-surfboard-design-collaboration/" TargetMode="External"/><Relationship Id="rId1231" Type="http://schemas.openxmlformats.org/officeDocument/2006/relationships/hyperlink" Target="https://happy2movelondon.co.uk/r" TargetMode="External"/><Relationship Id="rId5852" Type="http://schemas.openxmlformats.org/officeDocument/2006/relationships/hyperlink" Target="https://www.simpleshowing.com/" TargetMode="External"/><Relationship Id="rId14395" Type="http://schemas.openxmlformats.org/officeDocument/2006/relationships/hyperlink" Target="https://myinteriorpalace.com/" TargetMode="External"/><Relationship Id="rId15446" Type="http://schemas.openxmlformats.org/officeDocument/2006/relationships/hyperlink" Target="https://www.luxdeco.com/" TargetMode="External"/><Relationship Id="rId4454" Type="http://schemas.openxmlformats.org/officeDocument/2006/relationships/hyperlink" Target="https://www.kapre.com/" TargetMode="External"/><Relationship Id="rId5505" Type="http://schemas.openxmlformats.org/officeDocument/2006/relationships/hyperlink" Target="https://www.bustle.com/life/how-to-save-money-during-the-holidays-according-to-experts-13186867" TargetMode="External"/><Relationship Id="rId6903" Type="http://schemas.openxmlformats.org/officeDocument/2006/relationships/hyperlink" Target="https://www.taylormorrison.com/" TargetMode="External"/><Relationship Id="rId14048" Type="http://schemas.openxmlformats.org/officeDocument/2006/relationships/hyperlink" Target="https://keystonecustomdecksny.com/" TargetMode="External"/><Relationship Id="rId3056" Type="http://schemas.openxmlformats.org/officeDocument/2006/relationships/hyperlink" Target="https://communityimpact.com/sponsored/sponsored/2024/02/25/live-in-the-texas-hill-country-pultegroup-offering-homesites-in-saddleback-neighborhood-of-santa-rita-ranch/" TargetMode="External"/><Relationship Id="rId4107" Type="http://schemas.openxmlformats.org/officeDocument/2006/relationships/hyperlink" Target="https://dlr.sd.gov/realestate/approved_prelicensing_education.aspx" TargetMode="External"/><Relationship Id="rId6279" Type="http://schemas.openxmlformats.org/officeDocument/2006/relationships/hyperlink" Target="https://www.ourgreenhouse.com/blog/housewarming-gift-baskets/" TargetMode="External"/><Relationship Id="rId7677" Type="http://schemas.openxmlformats.org/officeDocument/2006/relationships/hyperlink" Target="https://www.cabinhomes.com/ga/cabins" TargetMode="External"/><Relationship Id="rId8728" Type="http://schemas.openxmlformats.org/officeDocument/2006/relationships/hyperlink" Target="https://thehomeytrotters.com/top-roof-repair-problems-lorton-homeowners-face-every-year/" TargetMode="External"/><Relationship Id="rId10658" Type="http://schemas.openxmlformats.org/officeDocument/2006/relationships/hyperlink" Target="https://sites.uml.edu/ecosonic_project/for-teachers/architecture-and-engineering/" TargetMode="External"/><Relationship Id="rId11709" Type="http://schemas.openxmlformats.org/officeDocument/2006/relationships/hyperlink" Target="https://www.hamiltoninternationalestates.com/" TargetMode="External"/><Relationship Id="rId12080" Type="http://schemas.openxmlformats.org/officeDocument/2006/relationships/hyperlink" Target="https://thehonestlocal.com/living-in-houston-texas/" TargetMode="External"/><Relationship Id="rId13131" Type="http://schemas.openxmlformats.org/officeDocument/2006/relationships/hyperlink" Target="https://shma.microsoftcrmportals.com/moving-on-report/" TargetMode="External"/><Relationship Id="rId2889" Type="http://schemas.openxmlformats.org/officeDocument/2006/relationships/hyperlink" Target="https://www.simpleshowing.com/" TargetMode="External"/><Relationship Id="rId6760" Type="http://schemas.openxmlformats.org/officeDocument/2006/relationships/hyperlink" Target="https://theprovidencegroup.com/" TargetMode="External"/><Relationship Id="rId7811" Type="http://schemas.openxmlformats.org/officeDocument/2006/relationships/hyperlink" Target="https://www.simpleshowing.com/" TargetMode="External"/><Relationship Id="rId111" Type="http://schemas.openxmlformats.org/officeDocument/2006/relationships/hyperlink" Target="https://www.perkinscoie.com/" TargetMode="External"/><Relationship Id="rId5362" Type="http://schemas.openxmlformats.org/officeDocument/2006/relationships/hyperlink" Target="https://www.simpleshowing.com/" TargetMode="External"/><Relationship Id="rId6413" Type="http://schemas.openxmlformats.org/officeDocument/2006/relationships/hyperlink" Target="https://www.businessfranchiseaustralia.com.au/blog/ato-debt-forgiveness-what-it-means-for-small-business-owners-facing-tax-pressure/" TargetMode="External"/><Relationship Id="rId9983" Type="http://schemas.openxmlformats.org/officeDocument/2006/relationships/hyperlink" Target="https://www.gvsu.edu/mistem/stem-resources-9.htm" TargetMode="External"/><Relationship Id="rId16007" Type="http://schemas.openxmlformats.org/officeDocument/2006/relationships/hyperlink" Target="https://www.rwdoors.com/" TargetMode="External"/><Relationship Id="rId5015" Type="http://schemas.openxmlformats.org/officeDocument/2006/relationships/hyperlink" Target="https://pressofatlanticcity.com/news/" TargetMode="External"/><Relationship Id="rId8585" Type="http://schemas.openxmlformats.org/officeDocument/2006/relationships/hyperlink" Target="https://www.pinoyeplans.com/" TargetMode="External"/><Relationship Id="rId9636" Type="http://schemas.openxmlformats.org/officeDocument/2006/relationships/hyperlink" Target="https://www.pinoyeplans.com/" TargetMode="External"/><Relationship Id="rId12964" Type="http://schemas.openxmlformats.org/officeDocument/2006/relationships/hyperlink" Target="https://propertypressonline.co.uk/" TargetMode="External"/><Relationship Id="rId1972" Type="http://schemas.openxmlformats.org/officeDocument/2006/relationships/hyperlink" Target="https://markspain.com/" TargetMode="External"/><Relationship Id="rId7187" Type="http://schemas.openxmlformats.org/officeDocument/2006/relationships/hyperlink" Target="https://www.muminthemadhouse.com/to-grandmothers-house-we-go/" TargetMode="External"/><Relationship Id="rId8238" Type="http://schemas.openxmlformats.org/officeDocument/2006/relationships/hyperlink" Target="https://smaarchviz.com/" TargetMode="External"/><Relationship Id="rId10168" Type="http://schemas.openxmlformats.org/officeDocument/2006/relationships/hyperlink" Target="https://www.teachengineering.org/" TargetMode="External"/><Relationship Id="rId11566" Type="http://schemas.openxmlformats.org/officeDocument/2006/relationships/hyperlink" Target="https://sellhousefast.uk/" TargetMode="External"/><Relationship Id="rId12617" Type="http://schemas.openxmlformats.org/officeDocument/2006/relationships/hyperlink" Target="https://www.shma.co.uk/" TargetMode="External"/><Relationship Id="rId1625" Type="http://schemas.openxmlformats.org/officeDocument/2006/relationships/hyperlink" Target="https://www.enfsolar.com/wolf-river-electric" TargetMode="External"/><Relationship Id="rId11219" Type="http://schemas.openxmlformats.org/officeDocument/2006/relationships/hyperlink" Target="https://www.waterdamagespecialist.com.au/" TargetMode="External"/><Relationship Id="rId14789" Type="http://schemas.openxmlformats.org/officeDocument/2006/relationships/hyperlink" Target="https://www.easygaragedoorrepair.com/" TargetMode="External"/><Relationship Id="rId3797" Type="http://schemas.openxmlformats.org/officeDocument/2006/relationships/hyperlink" Target="https://scholarships360.org/scholarships/search/the-cover-guy-annual-scholarship/" TargetMode="External"/><Relationship Id="rId4848" Type="http://schemas.openxmlformats.org/officeDocument/2006/relationships/hyperlink" Target="https://www.simpleshowing.com/" TargetMode="External"/><Relationship Id="rId11700" Type="http://schemas.openxmlformats.org/officeDocument/2006/relationships/hyperlink" Target="https://www.hamiltoninternationalestates.com/" TargetMode="External"/><Relationship Id="rId2399" Type="http://schemas.openxmlformats.org/officeDocument/2006/relationships/hyperlink" Target="https://dovemountain.com/properties/new-homes/" TargetMode="External"/><Relationship Id="rId6270" Type="http://schemas.openxmlformats.org/officeDocument/2006/relationships/hyperlink" Target="https://www.simpleshowing.com/" TargetMode="External"/><Relationship Id="rId7321" Type="http://schemas.openxmlformats.org/officeDocument/2006/relationships/hyperlink" Target="https://www.taylormorrison.com/" TargetMode="External"/><Relationship Id="rId10302" Type="http://schemas.openxmlformats.org/officeDocument/2006/relationships/hyperlink" Target="https://www.pinoyeplans.com/" TargetMode="External"/><Relationship Id="rId13872" Type="http://schemas.openxmlformats.org/officeDocument/2006/relationships/hyperlink" Target="https://www.purelocal.com.au/embelton-flooring-melbourne-showroom-coburg" TargetMode="External"/><Relationship Id="rId2880" Type="http://schemas.openxmlformats.org/officeDocument/2006/relationships/hyperlink" Target="https://www.simpleshowing.com/" TargetMode="External"/><Relationship Id="rId3931" Type="http://schemas.openxmlformats.org/officeDocument/2006/relationships/hyperlink" Target="https://amjmetalroofing.com.au/" TargetMode="External"/><Relationship Id="rId9493" Type="http://schemas.openxmlformats.org/officeDocument/2006/relationships/hyperlink" Target="https://www.teachengineering.org/" TargetMode="External"/><Relationship Id="rId12474" Type="http://schemas.openxmlformats.org/officeDocument/2006/relationships/hyperlink" Target="https://propertypressonline.co.uk/" TargetMode="External"/><Relationship Id="rId13525" Type="http://schemas.openxmlformats.org/officeDocument/2006/relationships/hyperlink" Target="https://myinteriorpalace.com/" TargetMode="External"/><Relationship Id="rId14923" Type="http://schemas.openxmlformats.org/officeDocument/2006/relationships/hyperlink" Target="https://myinteriorpalace.com/" TargetMode="External"/><Relationship Id="rId852" Type="http://schemas.openxmlformats.org/officeDocument/2006/relationships/hyperlink" Target="https://www.simpleshowing.com/" TargetMode="External"/><Relationship Id="rId1482" Type="http://schemas.openxmlformats.org/officeDocument/2006/relationships/hyperlink" Target="https://www.simpleshowing.com/" TargetMode="External"/><Relationship Id="rId2533" Type="http://schemas.openxmlformats.org/officeDocument/2006/relationships/hyperlink" Target="https://www.pulte.com/" TargetMode="External"/><Relationship Id="rId8095" Type="http://schemas.openxmlformats.org/officeDocument/2006/relationships/hyperlink" Target="https://famousparenting.com/moving-to-nyc-with-three-kids-and-a-dog-what-we-learned-the-hard-way/" TargetMode="External"/><Relationship Id="rId9146" Type="http://schemas.openxmlformats.org/officeDocument/2006/relationships/hyperlink" Target="https://teatimeresults.co/the-sustainable-builder-strategies-for-eco-friendly-construction-practices/" TargetMode="External"/><Relationship Id="rId11076" Type="http://schemas.openxmlformats.org/officeDocument/2006/relationships/hyperlink" Target="https://www.pinoyeplans.com/" TargetMode="External"/><Relationship Id="rId12127" Type="http://schemas.openxmlformats.org/officeDocument/2006/relationships/hyperlink" Target="https://www.bobvila.com/" TargetMode="External"/><Relationship Id="rId505" Type="http://schemas.openxmlformats.org/officeDocument/2006/relationships/hyperlink" Target="https://usghostadventures.com/haunted-cities/top-10-most-haunted-places/top-ten-most-haunted-the-outer-banks/" TargetMode="External"/><Relationship Id="rId1135" Type="http://schemas.openxmlformats.org/officeDocument/2006/relationships/hyperlink" Target="https://www.matrixbasements.com/" TargetMode="External"/><Relationship Id="rId14299" Type="http://schemas.openxmlformats.org/officeDocument/2006/relationships/hyperlink" Target="https://myinteriorpalace.com/" TargetMode="External"/><Relationship Id="rId15697" Type="http://schemas.openxmlformats.org/officeDocument/2006/relationships/hyperlink" Target="https://myinteriorpalace.com/" TargetMode="External"/><Relationship Id="rId4358" Type="http://schemas.openxmlformats.org/officeDocument/2006/relationships/hyperlink" Target="https://www.kapre.com/" TargetMode="External"/><Relationship Id="rId5409" Type="http://schemas.openxmlformats.org/officeDocument/2006/relationships/hyperlink" Target="https://projectyin.com/blog/project-manager-salary/" TargetMode="External"/><Relationship Id="rId5756" Type="http://schemas.openxmlformats.org/officeDocument/2006/relationships/hyperlink" Target="https://www.simpleshowing.com/" TargetMode="External"/><Relationship Id="rId6807" Type="http://schemas.openxmlformats.org/officeDocument/2006/relationships/hyperlink" Target="https://www.simpleshowing.com/" TargetMode="External"/><Relationship Id="rId8979" Type="http://schemas.openxmlformats.org/officeDocument/2006/relationships/hyperlink" Target="https://www.pinoyeplans.com/" TargetMode="External"/><Relationship Id="rId11210" Type="http://schemas.openxmlformats.org/officeDocument/2006/relationships/hyperlink" Target="https://www.tinyhouse.com/post/how-much-does-hazard-insurance-cost" TargetMode="External"/><Relationship Id="rId14780" Type="http://schemas.openxmlformats.org/officeDocument/2006/relationships/hyperlink" Target="https://www.easygaragedoorrepair.com/" TargetMode="External"/><Relationship Id="rId15831" Type="http://schemas.openxmlformats.org/officeDocument/2006/relationships/hyperlink" Target="https://www.urbansplatter.com/2023/05/choosing-the-right-timber-species-for-cladding/" TargetMode="External"/><Relationship Id="rId13382" Type="http://schemas.openxmlformats.org/officeDocument/2006/relationships/hyperlink" Target="https://anationofmoms.com/" TargetMode="External"/><Relationship Id="rId14433" Type="http://schemas.openxmlformats.org/officeDocument/2006/relationships/hyperlink" Target="https://optimisticmommy.com/hot-tubbing-the-new-way-to-relax/" TargetMode="External"/><Relationship Id="rId2390" Type="http://schemas.openxmlformats.org/officeDocument/2006/relationships/hyperlink" Target="https://centurionamerican.com/developments/spiritas-ranch/" TargetMode="External"/><Relationship Id="rId3441" Type="http://schemas.openxmlformats.org/officeDocument/2006/relationships/hyperlink" Target="https://www.simpleshowing.com/" TargetMode="External"/><Relationship Id="rId13035" Type="http://schemas.openxmlformats.org/officeDocument/2006/relationships/hyperlink" Target="https://wiza.co/d/shakespeare-martineau/b5ac/stephanie-bate" TargetMode="External"/><Relationship Id="rId362" Type="http://schemas.openxmlformats.org/officeDocument/2006/relationships/hyperlink" Target="http://northernvirginiahomepro.com/" TargetMode="External"/><Relationship Id="rId2043" Type="http://schemas.openxmlformats.org/officeDocument/2006/relationships/hyperlink" Target="https://www.simpleshowing.com/" TargetMode="External"/><Relationship Id="rId6664" Type="http://schemas.openxmlformats.org/officeDocument/2006/relationships/hyperlink" Target="https://www.simpleshowing.com/" TargetMode="External"/><Relationship Id="rId7715" Type="http://schemas.openxmlformats.org/officeDocument/2006/relationships/hyperlink" Target="https://discoverlakelanier.com/" TargetMode="External"/><Relationship Id="rId16258" Type="http://schemas.openxmlformats.org/officeDocument/2006/relationships/hyperlink" Target="https://myinteriorpalace.com/" TargetMode="External"/><Relationship Id="rId5266" Type="http://schemas.openxmlformats.org/officeDocument/2006/relationships/hyperlink" Target="https://www.simpleshowing.com/" TargetMode="External"/><Relationship Id="rId6317" Type="http://schemas.openxmlformats.org/officeDocument/2006/relationships/hyperlink" Target="https://www.accessibility.com/digital-lawsuits/brian-freedom-2020-12-02" TargetMode="External"/><Relationship Id="rId9887" Type="http://schemas.openxmlformats.org/officeDocument/2006/relationships/hyperlink" Target="https://www.nysed.gov/edtech/digital-content-resources-career-and-technical-education-teacher-resources" TargetMode="External"/><Relationship Id="rId8489" Type="http://schemas.openxmlformats.org/officeDocument/2006/relationships/hyperlink" Target="https://www.pinoyeplans.com/" TargetMode="External"/><Relationship Id="rId12868" Type="http://schemas.openxmlformats.org/officeDocument/2006/relationships/hyperlink" Target="https://propertypressonline.co.uk/" TargetMode="External"/><Relationship Id="rId13919" Type="http://schemas.openxmlformats.org/officeDocument/2006/relationships/hyperlink" Target="https://faheyroofingcontractors.com/" TargetMode="External"/><Relationship Id="rId1876" Type="http://schemas.openxmlformats.org/officeDocument/2006/relationships/hyperlink" Target="https://markspain.com/" TargetMode="External"/><Relationship Id="rId2927" Type="http://schemas.openxmlformats.org/officeDocument/2006/relationships/hyperlink" Target="https://www.energystar.gov/partner_resources/partner_locator/state/texas?s_code=TX&amp;org_type=BD" TargetMode="External"/><Relationship Id="rId14290" Type="http://schemas.openxmlformats.org/officeDocument/2006/relationships/hyperlink" Target="https://myinteriorpalace.com/" TargetMode="External"/><Relationship Id="rId15341" Type="http://schemas.openxmlformats.org/officeDocument/2006/relationships/hyperlink" Target="https://www.luxdeco.com/" TargetMode="External"/><Relationship Id="rId1529" Type="http://schemas.openxmlformats.org/officeDocument/2006/relationships/hyperlink" Target="https://www.liverpoolworld.uk/community/north-vs-south-data-reveals-ps300k-gets-you-more-home-space-in-liverpool-5178577" TargetMode="External"/><Relationship Id="rId5400" Type="http://schemas.openxmlformats.org/officeDocument/2006/relationships/hyperlink" Target="https://www.simpleshowing.com/" TargetMode="External"/><Relationship Id="rId8970" Type="http://schemas.openxmlformats.org/officeDocument/2006/relationships/hyperlink" Target="https://www.pinoyeplans.com/" TargetMode="External"/><Relationship Id="rId11951" Type="http://schemas.openxmlformats.org/officeDocument/2006/relationships/hyperlink" Target="https://renovatedfaith.com/best-paint-for-cabinets/" TargetMode="External"/><Relationship Id="rId4002" Type="http://schemas.openxmlformats.org/officeDocument/2006/relationships/hyperlink" Target="https://www.simpleshowing.com/" TargetMode="External"/><Relationship Id="rId7572" Type="http://schemas.openxmlformats.org/officeDocument/2006/relationships/hyperlink" Target="https://business.woonsocketcall.com/woonsocketcall/article/ibnspotlights-2024-1-18-taylor-morrison-home-corp-nyse-tmhc-making-surprising-moves-in-thursday-session" TargetMode="External"/><Relationship Id="rId8623" Type="http://schemas.openxmlformats.org/officeDocument/2006/relationships/hyperlink" Target="https://archipro.co.nz/project/gasket-auckland-premium-painters" TargetMode="External"/><Relationship Id="rId10553" Type="http://schemas.openxmlformats.org/officeDocument/2006/relationships/hyperlink" Target="https://permies.com/t/128863/Water-chart" TargetMode="External"/><Relationship Id="rId11604" Type="http://schemas.openxmlformats.org/officeDocument/2006/relationships/hyperlink" Target="https://www.hamiltoninternationalestates.com/" TargetMode="External"/><Relationship Id="rId6174" Type="http://schemas.openxmlformats.org/officeDocument/2006/relationships/hyperlink" Target="https://www.simpleshowing.com/" TargetMode="External"/><Relationship Id="rId7225" Type="http://schemas.openxmlformats.org/officeDocument/2006/relationships/hyperlink" Target="https://www.taylormorrison.com/" TargetMode="External"/><Relationship Id="rId10206" Type="http://schemas.openxmlformats.org/officeDocument/2006/relationships/hyperlink" Target="https://www.pinoyeplans.com/" TargetMode="External"/><Relationship Id="rId2784" Type="http://schemas.openxmlformats.org/officeDocument/2006/relationships/hyperlink" Target="https://www.simpleshowing.com/" TargetMode="External"/><Relationship Id="rId9397" Type="http://schemas.openxmlformats.org/officeDocument/2006/relationships/hyperlink" Target="https://www.teachengineering.org/" TargetMode="External"/><Relationship Id="rId12378" Type="http://schemas.openxmlformats.org/officeDocument/2006/relationships/hyperlink" Target="https://propertypressonline.co.uk/" TargetMode="External"/><Relationship Id="rId13776" Type="http://schemas.openxmlformats.org/officeDocument/2006/relationships/hyperlink" Target="https://admin.phacility.com/feed/query/all/?after=7474858788689650444" TargetMode="External"/><Relationship Id="rId14827" Type="http://schemas.openxmlformats.org/officeDocument/2006/relationships/hyperlink" Target="https://myinteriorpalace.com/" TargetMode="External"/><Relationship Id="rId756" Type="http://schemas.openxmlformats.org/officeDocument/2006/relationships/hyperlink" Target="https://www.carolinadesigns.com/" TargetMode="External"/><Relationship Id="rId1386" Type="http://schemas.openxmlformats.org/officeDocument/2006/relationships/hyperlink" Target="https://www.simpleshowing.com/" TargetMode="External"/><Relationship Id="rId2437" Type="http://schemas.openxmlformats.org/officeDocument/2006/relationships/hyperlink" Target="https://www.pulte.com/" TargetMode="External"/><Relationship Id="rId3835" Type="http://schemas.openxmlformats.org/officeDocument/2006/relationships/hyperlink" Target="https://thecoverguy.com/" TargetMode="External"/><Relationship Id="rId13429" Type="http://schemas.openxmlformats.org/officeDocument/2006/relationships/hyperlink" Target="https://myinteriorpalace.com/" TargetMode="External"/><Relationship Id="rId409" Type="http://schemas.openxmlformats.org/officeDocument/2006/relationships/hyperlink" Target="https://wasteremovalusa.com/blog/outdoor-fireplace-construction/" TargetMode="External"/><Relationship Id="rId1039" Type="http://schemas.openxmlformats.org/officeDocument/2006/relationships/hyperlink" Target="https://www.matrixbasements.com/" TargetMode="External"/><Relationship Id="rId13910" Type="http://schemas.openxmlformats.org/officeDocument/2006/relationships/hyperlink" Target="https://faheyroofingcontractors.com/" TargetMode="External"/><Relationship Id="rId92" Type="http://schemas.openxmlformats.org/officeDocument/2006/relationships/hyperlink" Target="http://cyberpulseltd.co.uk/" TargetMode="External"/><Relationship Id="rId7082" Type="http://schemas.openxmlformats.org/officeDocument/2006/relationships/hyperlink" Target="https://www.taylormorrison.com/" TargetMode="External"/><Relationship Id="rId8480" Type="http://schemas.openxmlformats.org/officeDocument/2006/relationships/hyperlink" Target="https://www.pinoyeplans.com/" TargetMode="External"/><Relationship Id="rId9531" Type="http://schemas.openxmlformats.org/officeDocument/2006/relationships/hyperlink" Target="https://www.pinoyeplans.com/" TargetMode="External"/><Relationship Id="rId11461" Type="http://schemas.openxmlformats.org/officeDocument/2006/relationships/hyperlink" Target="https://www.soundproofingstore.co.uk/how-to-soundproof-a-loft" TargetMode="External"/><Relationship Id="rId12512" Type="http://schemas.openxmlformats.org/officeDocument/2006/relationships/hyperlink" Target="https://sturents.com/" TargetMode="External"/><Relationship Id="rId1520" Type="http://schemas.openxmlformats.org/officeDocument/2006/relationships/hyperlink" Target="https://www.apotekaonline.rs/en/blog/Dandruff-and-hair-loss" TargetMode="External"/><Relationship Id="rId8133" Type="http://schemas.openxmlformats.org/officeDocument/2006/relationships/hyperlink" Target="https://whiteglovemoving.us/" TargetMode="External"/><Relationship Id="rId10063" Type="http://schemas.openxmlformats.org/officeDocument/2006/relationships/hyperlink" Target="https://www.teachengineering.org/" TargetMode="External"/><Relationship Id="rId11114" Type="http://schemas.openxmlformats.org/officeDocument/2006/relationships/hyperlink" Target="https://www.pinoyeplans.com/" TargetMode="External"/><Relationship Id="rId14684" Type="http://schemas.openxmlformats.org/officeDocument/2006/relationships/hyperlink" Target="https://www.easygaragedoorrepair.com/" TargetMode="External"/><Relationship Id="rId15735" Type="http://schemas.openxmlformats.org/officeDocument/2006/relationships/hyperlink" Target="https://parametric-architecture.com/project-considerations-timber-species-for-walls-panelling-interior-cladding/" TargetMode="External"/><Relationship Id="rId3692" Type="http://schemas.openxmlformats.org/officeDocument/2006/relationships/hyperlink" Target="https://www.chamberofcommerce.com/business-directory/virginia/ashland/garage-door-supplier/27081690-overhead-door-company-of-central-virginia" TargetMode="External"/><Relationship Id="rId4743" Type="http://schemas.openxmlformats.org/officeDocument/2006/relationships/hyperlink" Target="https://www.waff.com/2024/05/27/high-school-seniors-can-now-get-real-estate-license-free-this-state/" TargetMode="External"/><Relationship Id="rId13286" Type="http://schemas.openxmlformats.org/officeDocument/2006/relationships/hyperlink" Target="https://www.pureinvestor.co.uk/" TargetMode="External"/><Relationship Id="rId14337" Type="http://schemas.openxmlformats.org/officeDocument/2006/relationships/hyperlink" Target="https://www.saddlebrook.com/press/luxury-lifestyle-saddlebrook/" TargetMode="External"/><Relationship Id="rId2294" Type="http://schemas.openxmlformats.org/officeDocument/2006/relationships/hyperlink" Target="https://agentpronto.com/georgia/forsyth-county" TargetMode="External"/><Relationship Id="rId3345" Type="http://schemas.openxmlformats.org/officeDocument/2006/relationships/hyperlink" Target="https://www.simpleshowing.com/" TargetMode="External"/><Relationship Id="rId266" Type="http://schemas.openxmlformats.org/officeDocument/2006/relationships/hyperlink" Target="http://hauslane.com/" TargetMode="External"/><Relationship Id="rId6568" Type="http://schemas.openxmlformats.org/officeDocument/2006/relationships/hyperlink" Target="https://splashes.com/products/thermasol-drain-pan-for-af-by-pro-series-steam-generators-01-8406-1" TargetMode="External"/><Relationship Id="rId7619" Type="http://schemas.openxmlformats.org/officeDocument/2006/relationships/hyperlink" Target="https://www.taylormorrison.com/" TargetMode="External"/><Relationship Id="rId7966" Type="http://schemas.openxmlformats.org/officeDocument/2006/relationships/hyperlink" Target="https://homegeniusexteriors.com/genius-blog/best-roofing-for-coastal-homes-a-complete-guide/" TargetMode="External"/><Relationship Id="rId10947" Type="http://schemas.openxmlformats.org/officeDocument/2006/relationships/hyperlink" Target="https://www.pinoyeplans.com/" TargetMode="External"/><Relationship Id="rId9041" Type="http://schemas.openxmlformats.org/officeDocument/2006/relationships/hyperlink" Target="https://starbucks-menus.com/the-role-of-accuracy-in-construction-estimation-for-successful-projects/" TargetMode="External"/><Relationship Id="rId13420" Type="http://schemas.openxmlformats.org/officeDocument/2006/relationships/hyperlink" Target="https://myinteriorpalace.com/" TargetMode="External"/><Relationship Id="rId1030" Type="http://schemas.openxmlformats.org/officeDocument/2006/relationships/hyperlink" Target="https://www.matrixbasements.com/" TargetMode="External"/><Relationship Id="rId12022" Type="http://schemas.openxmlformats.org/officeDocument/2006/relationships/hyperlink" Target="https://www.bobvila.com/" TargetMode="External"/><Relationship Id="rId15592" Type="http://schemas.openxmlformats.org/officeDocument/2006/relationships/hyperlink" Target="https://myinteriorpalace.com/" TargetMode="External"/><Relationship Id="rId400" Type="http://schemas.openxmlformats.org/officeDocument/2006/relationships/hyperlink" Target="http://northernvirginiahomepro.com/" TargetMode="External"/><Relationship Id="rId5651" Type="http://schemas.openxmlformats.org/officeDocument/2006/relationships/hyperlink" Target="https://www.compassitc.com/blog/qr-code-package-scam-what-you-need-to-know" TargetMode="External"/><Relationship Id="rId6702" Type="http://schemas.openxmlformats.org/officeDocument/2006/relationships/hyperlink" Target="https://www.simpleshowing.com/" TargetMode="External"/><Relationship Id="rId14194" Type="http://schemas.openxmlformats.org/officeDocument/2006/relationships/hyperlink" Target="https://myinteriorpalace.com/" TargetMode="External"/><Relationship Id="rId15245" Type="http://schemas.openxmlformats.org/officeDocument/2006/relationships/hyperlink" Target="https://www.luxdeco.com/" TargetMode="External"/><Relationship Id="rId4253" Type="http://schemas.openxmlformats.org/officeDocument/2006/relationships/hyperlink" Target="https://www.kapre.com/" TargetMode="External"/><Relationship Id="rId5304" Type="http://schemas.openxmlformats.org/officeDocument/2006/relationships/hyperlink" Target="https://www.simpleshowing.com/" TargetMode="External"/><Relationship Id="rId8874" Type="http://schemas.openxmlformats.org/officeDocument/2006/relationships/hyperlink" Target="https://www.pinoyeplans.com/" TargetMode="External"/><Relationship Id="rId9925" Type="http://schemas.openxmlformats.org/officeDocument/2006/relationships/hyperlink" Target="https://www.teachengineering.org/" TargetMode="External"/><Relationship Id="rId7476" Type="http://schemas.openxmlformats.org/officeDocument/2006/relationships/hyperlink" Target="https://april.tempatwisataseru.com/homes-for-sale-in-florida/" TargetMode="External"/><Relationship Id="rId8527" Type="http://schemas.openxmlformats.org/officeDocument/2006/relationships/hyperlink" Target="https://montpellier.onvasortir.com/profil_read.php?Florathompson95" TargetMode="External"/><Relationship Id="rId10457" Type="http://schemas.openxmlformats.org/officeDocument/2006/relationships/hyperlink" Target="https://www.uaa.alaska.edu/academics/college-of-engineering/k-12-outreach/e-week-bridge-strength-competition.cshtml" TargetMode="External"/><Relationship Id="rId11855" Type="http://schemas.openxmlformats.org/officeDocument/2006/relationships/hyperlink" Target="https://www.theregister.com/2020/02/14/something_for_the_weekend/" TargetMode="External"/><Relationship Id="rId12906" Type="http://schemas.openxmlformats.org/officeDocument/2006/relationships/hyperlink" Target="https://www.insidehousing.co.uk/comment/buyers-want-green-homes-but-the-market-and-government-need-to-catch-up-76905" TargetMode="External"/><Relationship Id="rId1914" Type="http://schemas.openxmlformats.org/officeDocument/2006/relationships/hyperlink" Target="https://www.simpleshowing.com/" TargetMode="External"/><Relationship Id="rId6078" Type="http://schemas.openxmlformats.org/officeDocument/2006/relationships/hyperlink" Target="https://www.simpleshowing.com/" TargetMode="External"/><Relationship Id="rId7129" Type="http://schemas.openxmlformats.org/officeDocument/2006/relationships/hyperlink" Target="https://www.dailycamera.com/2018/10/29/live-greater-than-your-age-at-skyestone/" TargetMode="External"/><Relationship Id="rId11508" Type="http://schemas.openxmlformats.org/officeDocument/2006/relationships/hyperlink" Target="https://sellhousefast.uk/" TargetMode="External"/><Relationship Id="rId2688" Type="http://schemas.openxmlformats.org/officeDocument/2006/relationships/hyperlink" Target="https://www.simpleshowing.com/" TargetMode="External"/><Relationship Id="rId3739" Type="http://schemas.openxmlformats.org/officeDocument/2006/relationships/hyperlink" Target="https://www.overheaddoors.com/" TargetMode="External"/><Relationship Id="rId5161" Type="http://schemas.openxmlformats.org/officeDocument/2006/relationships/hyperlink" Target="https://digitalagencynetwork.com/how-to-write-a-business-plan-for-ecommerce/" TargetMode="External"/><Relationship Id="rId7610" Type="http://schemas.openxmlformats.org/officeDocument/2006/relationships/hyperlink" Target="https://www.taylormorrison.com/" TargetMode="External"/><Relationship Id="rId16153" Type="http://schemas.openxmlformats.org/officeDocument/2006/relationships/hyperlink" Target="https://myinteriorpalace.com/" TargetMode="External"/><Relationship Id="rId6212" Type="http://schemas.openxmlformats.org/officeDocument/2006/relationships/hyperlink" Target="https://www.simpleshowing.com/" TargetMode="External"/><Relationship Id="rId9782" Type="http://schemas.openxmlformats.org/officeDocument/2006/relationships/hyperlink" Target="https://simplybeyondherbs.com/lotus-flower-mean/" TargetMode="External"/><Relationship Id="rId12763" Type="http://schemas.openxmlformats.org/officeDocument/2006/relationships/hyperlink" Target="https://propertypressonline.co.uk/" TargetMode="External"/><Relationship Id="rId13814" Type="http://schemas.openxmlformats.org/officeDocument/2006/relationships/hyperlink" Target="https://aqglassshowerdoorsphoenix.com/" TargetMode="External"/><Relationship Id="rId1771" Type="http://schemas.openxmlformats.org/officeDocument/2006/relationships/hyperlink" Target="https://wolfriverelectric.com/" TargetMode="External"/><Relationship Id="rId2822" Type="http://schemas.openxmlformats.org/officeDocument/2006/relationships/hyperlink" Target="https://newbraunfelschamber.growthzoneapp.com/directory/Search/construction-563277" TargetMode="External"/><Relationship Id="rId8384" Type="http://schemas.openxmlformats.org/officeDocument/2006/relationships/hyperlink" Target="https://www.pinoyeplans.com/" TargetMode="External"/><Relationship Id="rId9435" Type="http://schemas.openxmlformats.org/officeDocument/2006/relationships/hyperlink" Target="https://www.pinoyeplans.com/" TargetMode="External"/><Relationship Id="rId11365" Type="http://schemas.openxmlformats.org/officeDocument/2006/relationships/hyperlink" Target="https://www.janbaskdigitaldesign.com/blogs/real-estate-website-design-examples/" TargetMode="External"/><Relationship Id="rId12416" Type="http://schemas.openxmlformats.org/officeDocument/2006/relationships/hyperlink" Target="https://news.stv.tv/scotland/homeless-university-students-forced-to-sofa-surf-amid-accommodation-crisis-in-scotland" TargetMode="External"/><Relationship Id="rId1424" Type="http://schemas.openxmlformats.org/officeDocument/2006/relationships/hyperlink" Target="https://retail-insider.com/page/11/?id=a0Ua000000Ab6akEAB&amp;fullscreen=1&amp;task=get&amp;url=https%3A%2F%2Fthenewsbizz.site" TargetMode="External"/><Relationship Id="rId4994" Type="http://schemas.openxmlformats.org/officeDocument/2006/relationships/hyperlink" Target="https://www.simpleshowing.com/" TargetMode="External"/><Relationship Id="rId8037" Type="http://schemas.openxmlformats.org/officeDocument/2006/relationships/hyperlink" Target="https://weboworld.com/listings/indiana/General-Contractors" TargetMode="External"/><Relationship Id="rId11018" Type="http://schemas.openxmlformats.org/officeDocument/2006/relationships/hyperlink" Target="https://scienceinschool.web.cern.ch/article/2025/explore-the-sound-waves-by-using-robotics/" TargetMode="External"/><Relationship Id="rId14588" Type="http://schemas.openxmlformats.org/officeDocument/2006/relationships/hyperlink" Target="https://www.easygaragedoorrepair.com/" TargetMode="External"/><Relationship Id="rId15986" Type="http://schemas.openxmlformats.org/officeDocument/2006/relationships/hyperlink" Target="https://www.rwdoors.com/" TargetMode="External"/><Relationship Id="rId3596" Type="http://schemas.openxmlformats.org/officeDocument/2006/relationships/hyperlink" Target="https://www.cascadepbs.org/culture/2019/04/booming-bothell-says-goodbye-quaint-country-village/" TargetMode="External"/><Relationship Id="rId4647" Type="http://schemas.openxmlformats.org/officeDocument/2006/relationships/hyperlink" Target="https://expo.car.org/2016/exhibitors.html" TargetMode="External"/><Relationship Id="rId15639" Type="http://schemas.openxmlformats.org/officeDocument/2006/relationships/hyperlink" Target="https://www.the-sun.com/entertainment/tv-old/7192255/molly-mae-instagram-bedside-table-mansion/" TargetMode="External"/><Relationship Id="rId2198" Type="http://schemas.openxmlformats.org/officeDocument/2006/relationships/hyperlink" Target="https://insights.persana.ai/Mark%20Spain%20Real%20Estate" TargetMode="External"/><Relationship Id="rId3249" Type="http://schemas.openxmlformats.org/officeDocument/2006/relationships/hyperlink" Target="https://www.simpleshowing.com/" TargetMode="External"/><Relationship Id="rId7120" Type="http://schemas.openxmlformats.org/officeDocument/2006/relationships/hyperlink" Target="https://www.onegreenplanet.org/lifestyle/how-to-invite-birds-into-your-yard/" TargetMode="External"/><Relationship Id="rId9292" Type="http://schemas.openxmlformats.org/officeDocument/2006/relationships/hyperlink" Target="https://www.teachengineering.org/" TargetMode="External"/><Relationship Id="rId10101" Type="http://schemas.openxmlformats.org/officeDocument/2006/relationships/hyperlink" Target="https://www.pinoyeplans.com/" TargetMode="External"/><Relationship Id="rId13671" Type="http://schemas.openxmlformats.org/officeDocument/2006/relationships/hyperlink" Target="https://www.theinspirationedit.com/help-kids-love-nature-at-the-cabin/" TargetMode="External"/><Relationship Id="rId14722" Type="http://schemas.openxmlformats.org/officeDocument/2006/relationships/hyperlink" Target="https://myinteriorpalace.com/" TargetMode="External"/><Relationship Id="rId3730" Type="http://schemas.openxmlformats.org/officeDocument/2006/relationships/hyperlink" Target="https://www.overheaddoors.com/" TargetMode="External"/><Relationship Id="rId12273" Type="http://schemas.openxmlformats.org/officeDocument/2006/relationships/hyperlink" Target="https://propertypressonline.co.uk/" TargetMode="External"/><Relationship Id="rId13324" Type="http://schemas.openxmlformats.org/officeDocument/2006/relationships/hyperlink" Target="https://myinteriorpalace.com/" TargetMode="External"/><Relationship Id="rId651" Type="http://schemas.openxmlformats.org/officeDocument/2006/relationships/hyperlink" Target="https://www.carolinadesigns.com/" TargetMode="External"/><Relationship Id="rId1281" Type="http://schemas.openxmlformats.org/officeDocument/2006/relationships/hyperlink" Target="https://www.simpleshowing.com/" TargetMode="External"/><Relationship Id="rId2332" Type="http://schemas.openxmlformats.org/officeDocument/2006/relationships/hyperlink" Target="https://www.pulte.com/" TargetMode="External"/><Relationship Id="rId6953" Type="http://schemas.openxmlformats.org/officeDocument/2006/relationships/hyperlink" Target="https://www.taylormorrison.com/" TargetMode="External"/><Relationship Id="rId15496" Type="http://schemas.openxmlformats.org/officeDocument/2006/relationships/hyperlink" Target="https://myinteriorpalace.com/" TargetMode="External"/><Relationship Id="rId304" Type="http://schemas.openxmlformats.org/officeDocument/2006/relationships/hyperlink" Target="https://rachelbustin.com/home/factors-that-affect-the-timing-of-a-successful-home-sale/" TargetMode="External"/><Relationship Id="rId5555" Type="http://schemas.openxmlformats.org/officeDocument/2006/relationships/hyperlink" Target="https://upjourney.com/what-is-financial-literacy-and-why-is-it-important" TargetMode="External"/><Relationship Id="rId6606" Type="http://schemas.openxmlformats.org/officeDocument/2006/relationships/hyperlink" Target="https://www.thermasol.com/" TargetMode="External"/><Relationship Id="rId14098" Type="http://schemas.openxmlformats.org/officeDocument/2006/relationships/hyperlink" Target="https://myinteriorpalace.com/" TargetMode="External"/><Relationship Id="rId15149" Type="http://schemas.openxmlformats.org/officeDocument/2006/relationships/hyperlink" Target="https://www.luxdeco.com/" TargetMode="External"/><Relationship Id="rId4157" Type="http://schemas.openxmlformats.org/officeDocument/2006/relationships/hyperlink" Target="https://www.kapre.com/" TargetMode="External"/><Relationship Id="rId5208" Type="http://schemas.openxmlformats.org/officeDocument/2006/relationships/hyperlink" Target="https://www.simpleshowing.com/" TargetMode="External"/><Relationship Id="rId8778" Type="http://schemas.openxmlformats.org/officeDocument/2006/relationships/hyperlink" Target="https://propertychecker.com/" TargetMode="External"/><Relationship Id="rId9829" Type="http://schemas.openxmlformats.org/officeDocument/2006/relationships/hyperlink" Target="https://www.teachengineering.org/" TargetMode="External"/><Relationship Id="rId11759" Type="http://schemas.openxmlformats.org/officeDocument/2006/relationships/hyperlink" Target="https://www.dailyrecord.co.uk/scotland-now/scotlands-fastest-slowest-house-markets-35442289" TargetMode="External"/><Relationship Id="rId15630" Type="http://schemas.openxmlformats.org/officeDocument/2006/relationships/hyperlink" Target="https://se.lovenoughty.co.uk/en/blogs/news/the-inspiration-behind-our-founders-for-international-womens-day" TargetMode="External"/><Relationship Id="rId1818" Type="http://schemas.openxmlformats.org/officeDocument/2006/relationships/hyperlink" Target="https://www.simpleshowing.com/" TargetMode="External"/><Relationship Id="rId3240" Type="http://schemas.openxmlformats.org/officeDocument/2006/relationships/hyperlink" Target="https://www.simpleshowing.com/" TargetMode="External"/><Relationship Id="rId13181" Type="http://schemas.openxmlformats.org/officeDocument/2006/relationships/hyperlink" Target="https://www.shma.co.uk/" TargetMode="External"/><Relationship Id="rId14232" Type="http://schemas.openxmlformats.org/officeDocument/2006/relationships/hyperlink" Target="https://www.netnewsledger.com/2025/12/22/three-levels-of-government-join-with-terry-hui-and-concord-pacific-developments-to-advance-major-affordable-housing-in-vancouvers-false-creek/" TargetMode="External"/><Relationship Id="rId161" Type="http://schemas.openxmlformats.org/officeDocument/2006/relationships/hyperlink" Target="https://www.equitymultiple.com/" TargetMode="External"/><Relationship Id="rId7861" Type="http://schemas.openxmlformats.org/officeDocument/2006/relationships/hyperlink" Target="https://www.discovergeorgiaoutdoors.com/trail/gainesville-solar-system-walking-tour/" TargetMode="External"/><Relationship Id="rId8912" Type="http://schemas.openxmlformats.org/officeDocument/2006/relationships/hyperlink" Target="https://politicser.com/how-same-day-exterminators-in-charlotte-handle-urgent-infestations/" TargetMode="External"/><Relationship Id="rId10842" Type="http://schemas.openxmlformats.org/officeDocument/2006/relationships/hyperlink" Target="https://www.pinoyeplans.com/" TargetMode="External"/><Relationship Id="rId6463" Type="http://schemas.openxmlformats.org/officeDocument/2006/relationships/hyperlink" Target="https://www.thermasol.com/" TargetMode="External"/><Relationship Id="rId7514" Type="http://schemas.openxmlformats.org/officeDocument/2006/relationships/hyperlink" Target="https://www.taylormorrison.com/" TargetMode="External"/><Relationship Id="rId16057" Type="http://schemas.openxmlformats.org/officeDocument/2006/relationships/hyperlink" Target="https://myinteriorpalace.com/" TargetMode="External"/><Relationship Id="rId5065" Type="http://schemas.openxmlformats.org/officeDocument/2006/relationships/hyperlink" Target="https://www.cloudtalk.io/blog/phone-call-scripts-for-collections/" TargetMode="External"/><Relationship Id="rId6116" Type="http://schemas.openxmlformats.org/officeDocument/2006/relationships/hyperlink" Target="https://www.simpleshowing.com/" TargetMode="External"/><Relationship Id="rId9686" Type="http://schemas.openxmlformats.org/officeDocument/2006/relationships/hyperlink" Target="https://www.weather.gov/ffc/outreach" TargetMode="External"/><Relationship Id="rId12667" Type="http://schemas.openxmlformats.org/officeDocument/2006/relationships/hyperlink" Target="https://propertypressonline.co.uk/" TargetMode="External"/><Relationship Id="rId1675" Type="http://schemas.openxmlformats.org/officeDocument/2006/relationships/hyperlink" Target="https://wolfriverelectric.com/" TargetMode="External"/><Relationship Id="rId2726" Type="http://schemas.openxmlformats.org/officeDocument/2006/relationships/hyperlink" Target="https://www.canterburypark.com/now-open/" TargetMode="External"/><Relationship Id="rId8288" Type="http://schemas.openxmlformats.org/officeDocument/2006/relationships/hyperlink" Target="https://www.pinoyeplans.com/" TargetMode="External"/><Relationship Id="rId9339" Type="http://schemas.openxmlformats.org/officeDocument/2006/relationships/hyperlink" Target="https://www.pinoyeplans.com/" TargetMode="External"/><Relationship Id="rId11269" Type="http://schemas.openxmlformats.org/officeDocument/2006/relationships/hyperlink" Target="https://www.waterdamagespecialist.com.au/" TargetMode="External"/><Relationship Id="rId13718" Type="http://schemas.openxmlformats.org/officeDocument/2006/relationships/hyperlink" Target="https://anationofmoms.com/" TargetMode="External"/><Relationship Id="rId15140" Type="http://schemas.openxmlformats.org/officeDocument/2006/relationships/hyperlink" Target="https://www.luxdeco.com/" TargetMode="External"/><Relationship Id="rId1328" Type="http://schemas.openxmlformats.org/officeDocument/2006/relationships/hyperlink" Target="https://markmeets.com/experiences/holidaying-in-malta/" TargetMode="External"/><Relationship Id="rId4898" Type="http://schemas.openxmlformats.org/officeDocument/2006/relationships/hyperlink" Target="https://www.simpleshowing.com/" TargetMode="External"/><Relationship Id="rId5949" Type="http://schemas.openxmlformats.org/officeDocument/2006/relationships/hyperlink" Target="https://getmarlee.com/blog/scaling-a-business" TargetMode="External"/><Relationship Id="rId7371" Type="http://schemas.openxmlformats.org/officeDocument/2006/relationships/hyperlink" Target="https://www.taylormorrison.com/" TargetMode="External"/><Relationship Id="rId9820" Type="http://schemas.openxmlformats.org/officeDocument/2006/relationships/hyperlink" Target="https://www.teachengineering.org/" TargetMode="External"/><Relationship Id="rId11750" Type="http://schemas.openxmlformats.org/officeDocument/2006/relationships/hyperlink" Target="https://www.redbrick.me/uob-ranked-3rd-best-for-rental-prices-according-to-survey/" TargetMode="External"/><Relationship Id="rId12801" Type="http://schemas.openxmlformats.org/officeDocument/2006/relationships/hyperlink" Target="https://www.artificiallawyer.com/2019/08/20/the-ai-wish-list-what-tech-bosses-dream-machines-could-do/" TargetMode="External"/><Relationship Id="rId34" Type="http://schemas.openxmlformats.org/officeDocument/2006/relationships/hyperlink" Target="http://aiotechnicalx.com/" TargetMode="External"/><Relationship Id="rId7024" Type="http://schemas.openxmlformats.org/officeDocument/2006/relationships/hyperlink" Target="https://www.simpleshowing.com/" TargetMode="External"/><Relationship Id="rId8422" Type="http://schemas.openxmlformats.org/officeDocument/2006/relationships/hyperlink" Target="http://carbondalechamber.chambermaster.com/list/category/hvac-176?o=" TargetMode="External"/><Relationship Id="rId10352" Type="http://schemas.openxmlformats.org/officeDocument/2006/relationships/hyperlink" Target="https://dev.epicgames.com/documentation/en-us/fortnite/sdg-sustainable-cities-lesson-plan-in-fortnite-creative" TargetMode="External"/><Relationship Id="rId11403" Type="http://schemas.openxmlformats.org/officeDocument/2006/relationships/hyperlink" Target="http://webuyhouses.com/" TargetMode="External"/><Relationship Id="rId14973" Type="http://schemas.openxmlformats.org/officeDocument/2006/relationships/hyperlink" Target="https://www.thortful.com/blog/20th-wedding-anniversary-gifts/" TargetMode="External"/><Relationship Id="rId3981" Type="http://schemas.openxmlformats.org/officeDocument/2006/relationships/hyperlink" Target="https://www.simpleshowing.com/" TargetMode="External"/><Relationship Id="rId10005" Type="http://schemas.openxmlformats.org/officeDocument/2006/relationships/hyperlink" Target="https://www.pinoyeplans.com/" TargetMode="External"/><Relationship Id="rId13575" Type="http://schemas.openxmlformats.org/officeDocument/2006/relationships/hyperlink" Target="https://www.netmums.com/coffeehouse/being-mum-794/tweens-teens-61/233065-can-you-leave-you-child-home-alone-age-12-13-a-4.html" TargetMode="External"/><Relationship Id="rId14626" Type="http://schemas.openxmlformats.org/officeDocument/2006/relationships/hyperlink" Target="https://myinteriorpalace.com/" TargetMode="External"/><Relationship Id="rId2583" Type="http://schemas.openxmlformats.org/officeDocument/2006/relationships/hyperlink" Target="https://www.simpleshowing.com/" TargetMode="External"/><Relationship Id="rId3634" Type="http://schemas.openxmlformats.org/officeDocument/2006/relationships/hyperlink" Target="https://www.pulte.com/" TargetMode="External"/><Relationship Id="rId9196" Type="http://schemas.openxmlformats.org/officeDocument/2006/relationships/hyperlink" Target="https://theatlasportfolio.com/" TargetMode="External"/><Relationship Id="rId12177" Type="http://schemas.openxmlformats.org/officeDocument/2006/relationships/hyperlink" Target="https://www.hamiltoninternationalestates.com/" TargetMode="External"/><Relationship Id="rId13228" Type="http://schemas.openxmlformats.org/officeDocument/2006/relationships/hyperlink" Target="https://propertypressonline.co.uk/" TargetMode="External"/><Relationship Id="rId555" Type="http://schemas.openxmlformats.org/officeDocument/2006/relationships/hyperlink" Target="https://www.carolinadesigns.com/" TargetMode="External"/><Relationship Id="rId1185" Type="http://schemas.openxmlformats.org/officeDocument/2006/relationships/hyperlink" Target="https://www.simpleshowing.com/" TargetMode="External"/><Relationship Id="rId2236" Type="http://schemas.openxmlformats.org/officeDocument/2006/relationships/hyperlink" Target="https://cheapplumber.ca/" TargetMode="External"/><Relationship Id="rId6857" Type="http://schemas.openxmlformats.org/officeDocument/2006/relationships/hyperlink" Target="https://www.goballantyne.com/things-to-do/customer-directory" TargetMode="External"/><Relationship Id="rId7908" Type="http://schemas.openxmlformats.org/officeDocument/2006/relationships/hyperlink" Target="https://certifiedrestorationinc.com/" TargetMode="External"/><Relationship Id="rId208" Type="http://schemas.openxmlformats.org/officeDocument/2006/relationships/hyperlink" Target="https://www.igms.com/property-management-accounting-software/" TargetMode="External"/><Relationship Id="rId5459" Type="http://schemas.openxmlformats.org/officeDocument/2006/relationships/hyperlink" Target="https://www.postgrid.co.uk/financial-advertising-regulations/" TargetMode="External"/><Relationship Id="rId9330" Type="http://schemas.openxmlformats.org/officeDocument/2006/relationships/hyperlink" Target="https://www.pinoyeplans.com/" TargetMode="External"/><Relationship Id="rId11260" Type="http://schemas.openxmlformats.org/officeDocument/2006/relationships/hyperlink" Target="https://www.waterdamagespecialist.com.au/" TargetMode="External"/><Relationship Id="rId12311" Type="http://schemas.openxmlformats.org/officeDocument/2006/relationships/hyperlink" Target="https://www.entrepreneur.com/en-gb/author/tim-allen" TargetMode="External"/><Relationship Id="rId15881" Type="http://schemas.openxmlformats.org/officeDocument/2006/relationships/hyperlink" Target="https://www.raynorkc.com/" TargetMode="External"/><Relationship Id="rId5940" Type="http://schemas.openxmlformats.org/officeDocument/2006/relationships/hyperlink" Target="https://www.simpleshowing.com/" TargetMode="External"/><Relationship Id="rId14483" Type="http://schemas.openxmlformats.org/officeDocument/2006/relationships/hyperlink" Target="https://raynordoor.com/" TargetMode="External"/><Relationship Id="rId15534" Type="http://schemas.openxmlformats.org/officeDocument/2006/relationships/hyperlink" Target="https://fabricmagazine.co.uk/homes-and-interiors/home-office-my-space/" TargetMode="External"/><Relationship Id="rId2093" Type="http://schemas.openxmlformats.org/officeDocument/2006/relationships/hyperlink" Target="https://app.fundz.net/executives/mark-spain-real-estate-hired-6cab" TargetMode="External"/><Relationship Id="rId3491" Type="http://schemas.openxmlformats.org/officeDocument/2006/relationships/hyperlink" Target="https://roughdraftatlanta.com/2013/05/21/residents-350000-townhomes-too-cheap/" TargetMode="External"/><Relationship Id="rId4542" Type="http://schemas.openxmlformats.org/officeDocument/2006/relationships/hyperlink" Target="https://www.weau.com/2024/05/27/high-school-seniors-can-now-get-real-estate-license-free-this-state/" TargetMode="External"/><Relationship Id="rId13085" Type="http://schemas.openxmlformats.org/officeDocument/2006/relationships/hyperlink" Target="https://www.shma.co.uk/" TargetMode="External"/><Relationship Id="rId14136" Type="http://schemas.openxmlformats.org/officeDocument/2006/relationships/hyperlink" Target="https://www.miamilivingmagazine.com/post/top-5-styles-for-outdoor-living-areas-in-modern-homes" TargetMode="External"/><Relationship Id="rId3144" Type="http://schemas.openxmlformats.org/officeDocument/2006/relationships/hyperlink" Target="https://www.simpleshowing.com/" TargetMode="External"/><Relationship Id="rId7765" Type="http://schemas.openxmlformats.org/officeDocument/2006/relationships/hyperlink" Target="https://discoverlakelanier.com/" TargetMode="External"/><Relationship Id="rId8816" Type="http://schemas.openxmlformats.org/officeDocument/2006/relationships/hyperlink" Target="https://myfox8.com/news/north-carolina/piedmont-triad/dangerous-creatures-to-look-out-for-this-summer-in-north-carolina/" TargetMode="External"/><Relationship Id="rId10746" Type="http://schemas.openxmlformats.org/officeDocument/2006/relationships/hyperlink" Target="https://www.pinoyeplans.com/" TargetMode="External"/><Relationship Id="rId6367" Type="http://schemas.openxmlformats.org/officeDocument/2006/relationships/hyperlink" Target="https://blog.softprocorp.com/cfpb-freedom-debt-relief-settlement" TargetMode="External"/><Relationship Id="rId7418" Type="http://schemas.openxmlformats.org/officeDocument/2006/relationships/hyperlink" Target="https://www.taylormorrison.com/" TargetMode="External"/><Relationship Id="rId13969" Type="http://schemas.openxmlformats.org/officeDocument/2006/relationships/hyperlink" Target="https://myinteriorpalace.com/" TargetMode="External"/><Relationship Id="rId1579" Type="http://schemas.openxmlformats.org/officeDocument/2006/relationships/hyperlink" Target="https://wolfriverelectric.com/" TargetMode="External"/><Relationship Id="rId2977" Type="http://schemas.openxmlformats.org/officeDocument/2006/relationships/hyperlink" Target="https://www.pulte.com/" TargetMode="External"/><Relationship Id="rId5450" Type="http://schemas.openxmlformats.org/officeDocument/2006/relationships/hyperlink" Target="https://www.simpleshowing.com/" TargetMode="External"/><Relationship Id="rId15044" Type="http://schemas.openxmlformats.org/officeDocument/2006/relationships/hyperlink" Target="https://www.luxdeco.com/" TargetMode="External"/><Relationship Id="rId15391" Type="http://schemas.openxmlformats.org/officeDocument/2006/relationships/hyperlink" Target="https://myinteriorpalace.com/" TargetMode="External"/><Relationship Id="rId949" Type="http://schemas.openxmlformats.org/officeDocument/2006/relationships/hyperlink" Target="https://www.matrixbasements.com/" TargetMode="External"/><Relationship Id="rId4052" Type="http://schemas.openxmlformats.org/officeDocument/2006/relationships/hyperlink" Target="https://ppi2pass.com/" TargetMode="External"/><Relationship Id="rId5103" Type="http://schemas.openxmlformats.org/officeDocument/2006/relationships/hyperlink" Target="https://www.revolutionordering.com/blog/what-is-a-chain-restaurant/" TargetMode="External"/><Relationship Id="rId6501" Type="http://schemas.openxmlformats.org/officeDocument/2006/relationships/hyperlink" Target="https://www.thermasol.com/" TargetMode="External"/><Relationship Id="rId8673" Type="http://schemas.openxmlformats.org/officeDocument/2006/relationships/hyperlink" Target="https://lubelska.co.uk/" TargetMode="External"/><Relationship Id="rId9724" Type="http://schemas.openxmlformats.org/officeDocument/2006/relationships/hyperlink" Target="https://www.teachengineering.org/" TargetMode="External"/><Relationship Id="rId11654" Type="http://schemas.openxmlformats.org/officeDocument/2006/relationships/hyperlink" Target="https://businessboostier.mn.co/posts/87397727" TargetMode="External"/><Relationship Id="rId12705" Type="http://schemas.openxmlformats.org/officeDocument/2006/relationships/hyperlink" Target="https://21stcenturylab.lincoln.ac.uk/the-21st-century-lab-community/" TargetMode="External"/><Relationship Id="rId1713" Type="http://schemas.openxmlformats.org/officeDocument/2006/relationships/hyperlink" Target="https://www.simpleshowing.com/" TargetMode="External"/><Relationship Id="rId7275" Type="http://schemas.openxmlformats.org/officeDocument/2006/relationships/hyperlink" Target="https://www.taylormorrison.com/" TargetMode="External"/><Relationship Id="rId8326" Type="http://schemas.openxmlformats.org/officeDocument/2006/relationships/hyperlink" Target="https://partners.bigcommerce.com/directory/partner/2291698/metaviz-llc" TargetMode="External"/><Relationship Id="rId10256" Type="http://schemas.openxmlformats.org/officeDocument/2006/relationships/hyperlink" Target="https://centerforneurotech.uw.edu/education/k-12/resources-for-teachers/neural-networks/" TargetMode="External"/><Relationship Id="rId11307" Type="http://schemas.openxmlformats.org/officeDocument/2006/relationships/hyperlink" Target="https://savemax.in/news-details/save-max-celebrates-14-years-of-excellence-032252/" TargetMode="External"/><Relationship Id="rId14877" Type="http://schemas.openxmlformats.org/officeDocument/2006/relationships/hyperlink" Target="https://mywaterfilter.com.au/blogs/learning/water-filter-installation-plumbers" TargetMode="External"/><Relationship Id="rId3885" Type="http://schemas.openxmlformats.org/officeDocument/2006/relationships/hyperlink" Target="https://www.simpleshowing.com/" TargetMode="External"/><Relationship Id="rId4936" Type="http://schemas.openxmlformats.org/officeDocument/2006/relationships/hyperlink" Target="https://www.simpleshowing.com/" TargetMode="External"/><Relationship Id="rId13479" Type="http://schemas.openxmlformats.org/officeDocument/2006/relationships/hyperlink" Target="https://www.melaniejadedesign.com/outdoor-light-arroyo-craftsman/" TargetMode="External"/><Relationship Id="rId15928" Type="http://schemas.openxmlformats.org/officeDocument/2006/relationships/hyperlink" Target="https://myinteriorpalace.com/" TargetMode="External"/><Relationship Id="rId2487" Type="http://schemas.openxmlformats.org/officeDocument/2006/relationships/hyperlink" Target="https://www.simpleshowing.com/" TargetMode="External"/><Relationship Id="rId3538" Type="http://schemas.openxmlformats.org/officeDocument/2006/relationships/hyperlink" Target="https://www.pulte.com/" TargetMode="External"/><Relationship Id="rId459" Type="http://schemas.openxmlformats.org/officeDocument/2006/relationships/hyperlink" Target="https://www.carolinadesigns.com/" TargetMode="External"/><Relationship Id="rId1089" Type="http://schemas.openxmlformats.org/officeDocument/2006/relationships/hyperlink" Target="https://www.simpleshowing.com/" TargetMode="External"/><Relationship Id="rId6011" Type="http://schemas.openxmlformats.org/officeDocument/2006/relationships/hyperlink" Target="https://rexsdeli.com/should-you-help-your-teen-buy-a-car/" TargetMode="External"/><Relationship Id="rId9581" Type="http://schemas.openxmlformats.org/officeDocument/2006/relationships/hyperlink" Target="https://blog.planbook.com/renewable-energy-lesson-plans/" TargetMode="External"/><Relationship Id="rId13960" Type="http://schemas.openxmlformats.org/officeDocument/2006/relationships/hyperlink" Target="https://myinteriorpalace.com/" TargetMode="External"/><Relationship Id="rId8183" Type="http://schemas.openxmlformats.org/officeDocument/2006/relationships/hyperlink" Target="https://www.pinoyeplans.com/" TargetMode="External"/><Relationship Id="rId9234" Type="http://schemas.openxmlformats.org/officeDocument/2006/relationships/hyperlink" Target="https://www.pinoyeplans.com/" TargetMode="External"/><Relationship Id="rId12562" Type="http://schemas.openxmlformats.org/officeDocument/2006/relationships/hyperlink" Target="https://propertypressonline.co.uk/" TargetMode="External"/><Relationship Id="rId13613" Type="http://schemas.openxmlformats.org/officeDocument/2006/relationships/hyperlink" Target="https://anationofmoms.com/" TargetMode="External"/><Relationship Id="rId940" Type="http://schemas.openxmlformats.org/officeDocument/2006/relationships/hyperlink" Target="https://www.matrixbasements.com/" TargetMode="External"/><Relationship Id="rId1570" Type="http://schemas.openxmlformats.org/officeDocument/2006/relationships/hyperlink" Target="https://wolfriverelectric.com/" TargetMode="External"/><Relationship Id="rId2621" Type="http://schemas.openxmlformats.org/officeDocument/2006/relationships/hyperlink" Target="https://mission.org/mission-daily/why-we-need-to-invest-in-the-companies-driving-ai-innovation/" TargetMode="External"/><Relationship Id="rId11164" Type="http://schemas.openxmlformats.org/officeDocument/2006/relationships/hyperlink" Target="https://www.waterdamagespecialist.com.au/" TargetMode="External"/><Relationship Id="rId12215" Type="http://schemas.openxmlformats.org/officeDocument/2006/relationships/hyperlink" Target="https://www.shma.co.uk/offices/birmingham-solicitors/" TargetMode="External"/><Relationship Id="rId15785" Type="http://schemas.openxmlformats.org/officeDocument/2006/relationships/hyperlink" Target="https://www.modinex.com.au/" TargetMode="External"/><Relationship Id="rId1223" Type="http://schemas.openxmlformats.org/officeDocument/2006/relationships/hyperlink" Target="https://www.weareaspire.com/blog/2016/03/%2Ftop-20-things-to-do-in-london-this-easter" TargetMode="External"/><Relationship Id="rId4793" Type="http://schemas.openxmlformats.org/officeDocument/2006/relationships/hyperlink" Target="https://www.kapre.com/" TargetMode="External"/><Relationship Id="rId5844" Type="http://schemas.openxmlformats.org/officeDocument/2006/relationships/hyperlink" Target="https://www.simpleshowing.com/" TargetMode="External"/><Relationship Id="rId14387" Type="http://schemas.openxmlformats.org/officeDocument/2006/relationships/hyperlink" Target="https://luxurylifestyle.com/" TargetMode="External"/><Relationship Id="rId15438" Type="http://schemas.openxmlformats.org/officeDocument/2006/relationships/hyperlink" Target="https://www.sbid.org/paris-and-the-origins-of-art-deco/" TargetMode="External"/><Relationship Id="rId3395" Type="http://schemas.openxmlformats.org/officeDocument/2006/relationships/hyperlink" Target="https://dailyvoice.com/new-jersey/fairlawn/real-estate/more-than-100-townhouses-hit-fair-lawn-market/724494/" TargetMode="External"/><Relationship Id="rId4446" Type="http://schemas.openxmlformats.org/officeDocument/2006/relationships/hyperlink" Target="https://www.wistv.com/2024/05/27/high-school-seniors-can-now-get-real-estate-license-free-this-state/" TargetMode="External"/><Relationship Id="rId3048" Type="http://schemas.openxmlformats.org/officeDocument/2006/relationships/hyperlink" Target="https://www.simpleshowing.com/" TargetMode="External"/><Relationship Id="rId7669" Type="http://schemas.openxmlformats.org/officeDocument/2006/relationships/hyperlink" Target="https://www.simpleshowing.com/" TargetMode="External"/><Relationship Id="rId10997" Type="http://schemas.openxmlformats.org/officeDocument/2006/relationships/hyperlink" Target="https://cleanenergyforum.yale.edu/clean-energy-101" TargetMode="External"/><Relationship Id="rId9091" Type="http://schemas.openxmlformats.org/officeDocument/2006/relationships/hyperlink" Target="https://nycestimating.us/" TargetMode="External"/><Relationship Id="rId12072" Type="http://schemas.openxmlformats.org/officeDocument/2006/relationships/hyperlink" Target="https://www.hamiltoninternationalestates.com/" TargetMode="External"/><Relationship Id="rId13123" Type="http://schemas.openxmlformats.org/officeDocument/2006/relationships/hyperlink" Target="https://propertypressonline.co.uk/" TargetMode="External"/><Relationship Id="rId13470" Type="http://schemas.openxmlformats.org/officeDocument/2006/relationships/hyperlink" Target="https://pinkzebramoving.com/blog/2024/12/17/ho-ho-home-relocation-tips-for-moving-during-the-holiday-season/" TargetMode="External"/><Relationship Id="rId14521" Type="http://schemas.openxmlformats.org/officeDocument/2006/relationships/hyperlink" Target="https://myinteriorpalace.com/" TargetMode="External"/><Relationship Id="rId450" Type="http://schemas.openxmlformats.org/officeDocument/2006/relationships/hyperlink" Target="https://www.carolinadesigns.com/" TargetMode="External"/><Relationship Id="rId1080" Type="http://schemas.openxmlformats.org/officeDocument/2006/relationships/hyperlink" Target="https://www.simpleshowing.com/" TargetMode="External"/><Relationship Id="rId2131" Type="http://schemas.openxmlformats.org/officeDocument/2006/relationships/hyperlink" Target="https://markspain.com/" TargetMode="External"/><Relationship Id="rId103" Type="http://schemas.openxmlformats.org/officeDocument/2006/relationships/hyperlink" Target="https://www.placester.com/" TargetMode="External"/><Relationship Id="rId6752" Type="http://schemas.openxmlformats.org/officeDocument/2006/relationships/hyperlink" Target="https://www.eventeny.com/events/2024-johns-creek-arts-festival-9844/" TargetMode="External"/><Relationship Id="rId7803" Type="http://schemas.openxmlformats.org/officeDocument/2006/relationships/hyperlink" Target="https://discoverlakelanier.com/" TargetMode="External"/><Relationship Id="rId15295" Type="http://schemas.openxmlformats.org/officeDocument/2006/relationships/hyperlink" Target="https://myinteriorpalace.com/" TargetMode="External"/><Relationship Id="rId5354" Type="http://schemas.openxmlformats.org/officeDocument/2006/relationships/hyperlink" Target="https://www.simpleshowing.com/" TargetMode="External"/><Relationship Id="rId6405" Type="http://schemas.openxmlformats.org/officeDocument/2006/relationships/hyperlink" Target="https://showbizztoday.com/index.php/2025/05/20/how-californians-are-overcoming-financial-challenges-hollywood-life/" TargetMode="External"/><Relationship Id="rId9975" Type="http://schemas.openxmlformats.org/officeDocument/2006/relationships/hyperlink" Target="https://www.pinoyeplans.com/" TargetMode="External"/><Relationship Id="rId12956" Type="http://schemas.openxmlformats.org/officeDocument/2006/relationships/hyperlink" Target="https://www.shma.co.uk/" TargetMode="External"/><Relationship Id="rId1964" Type="http://schemas.openxmlformats.org/officeDocument/2006/relationships/hyperlink" Target="https://wirksmoving.com/blog/atlanta-real-estate-agents/" TargetMode="External"/><Relationship Id="rId5007" Type="http://schemas.openxmlformats.org/officeDocument/2006/relationships/hyperlink" Target="https://touchstay.com/blog/airbnb-investment-guide" TargetMode="External"/><Relationship Id="rId8577" Type="http://schemas.openxmlformats.org/officeDocument/2006/relationships/hyperlink" Target="https://www.cylind.com/" TargetMode="External"/><Relationship Id="rId9628" Type="http://schemas.openxmlformats.org/officeDocument/2006/relationships/hyperlink" Target="https://www.teachengineering.org/" TargetMode="External"/><Relationship Id="rId11558" Type="http://schemas.openxmlformats.org/officeDocument/2006/relationships/hyperlink" Target="https://www.countryliving.com/uk/wildlife/countryside/a34379764/scary-cities-uk/" TargetMode="External"/><Relationship Id="rId12609" Type="http://schemas.openxmlformats.org/officeDocument/2006/relationships/hyperlink" Target="https://www.newlawjournal.co.uk/content/shakespeare-martineau-laura-giles" TargetMode="External"/><Relationship Id="rId1617" Type="http://schemas.openxmlformats.org/officeDocument/2006/relationships/hyperlink" Target="https://www.simpleshowing.com/" TargetMode="External"/><Relationship Id="rId7179" Type="http://schemas.openxmlformats.org/officeDocument/2006/relationships/hyperlink" Target="https://www.12news.com/article/money/consumer/taylor-morrison-files-complaint-against-home-inspector-who-posts-videos-of-inspections-on-social-media/75-fc64bf74-360c-4f54-ac08-1d79f2af1d67" TargetMode="External"/><Relationship Id="rId14031" Type="http://schemas.openxmlformats.org/officeDocument/2006/relationships/hyperlink" Target="https://www.we-heart.com/2024/07/20/achieve-beautiful-functional-backyard-space/" TargetMode="External"/><Relationship Id="rId3789" Type="http://schemas.openxmlformats.org/officeDocument/2006/relationships/hyperlink" Target="https://www.simpleshowing.com/" TargetMode="External"/><Relationship Id="rId7660" Type="http://schemas.openxmlformats.org/officeDocument/2006/relationships/hyperlink" Target="https://www.simpleshowing.com/" TargetMode="External"/><Relationship Id="rId6262" Type="http://schemas.openxmlformats.org/officeDocument/2006/relationships/hyperlink" Target="https://www.simpleshowing.com/" TargetMode="External"/><Relationship Id="rId7313" Type="http://schemas.openxmlformats.org/officeDocument/2006/relationships/hyperlink" Target="https://scstrti.in/media/9jx4jco/cherry-blossom-bay-area-2022" TargetMode="External"/><Relationship Id="rId8711" Type="http://schemas.openxmlformats.org/officeDocument/2006/relationships/hyperlink" Target="https://www.pinoyeplans.com/" TargetMode="External"/><Relationship Id="rId10641" Type="http://schemas.openxmlformats.org/officeDocument/2006/relationships/hyperlink" Target="https://www.pinoyeplans.com/" TargetMode="External"/><Relationship Id="rId13864" Type="http://schemas.openxmlformats.org/officeDocument/2006/relationships/hyperlink" Target="https://myinteriorpalace.com/" TargetMode="External"/><Relationship Id="rId14915" Type="http://schemas.openxmlformats.org/officeDocument/2006/relationships/hyperlink" Target="https://www.fluidplumbingservices.com.au/" TargetMode="External"/><Relationship Id="rId2872" Type="http://schemas.openxmlformats.org/officeDocument/2006/relationships/hyperlink" Target="https://www.pulte.com/" TargetMode="External"/><Relationship Id="rId3923" Type="http://schemas.openxmlformats.org/officeDocument/2006/relationships/hyperlink" Target="http://portal.mycampus.ca/mycampusfiles/dc/financialaid/AwardDC.jsp?id=2717" TargetMode="External"/><Relationship Id="rId8087" Type="http://schemas.openxmlformats.org/officeDocument/2006/relationships/hyperlink" Target="https://www.pinoyeplans.com/" TargetMode="External"/><Relationship Id="rId9485" Type="http://schemas.openxmlformats.org/officeDocument/2006/relationships/hyperlink" Target="https://sciencespot.net/Pages/classphys.html" TargetMode="External"/><Relationship Id="rId12466" Type="http://schemas.openxmlformats.org/officeDocument/2006/relationships/hyperlink" Target="https://sturents.com/" TargetMode="External"/><Relationship Id="rId13517" Type="http://schemas.openxmlformats.org/officeDocument/2006/relationships/hyperlink" Target="https://anationofmoms.com/" TargetMode="External"/><Relationship Id="rId844" Type="http://schemas.openxmlformats.org/officeDocument/2006/relationships/hyperlink" Target="https://www.absolutepestmgmt.com/" TargetMode="External"/><Relationship Id="rId1474" Type="http://schemas.openxmlformats.org/officeDocument/2006/relationships/hyperlink" Target="https://ritewindow.com/blog/3-indicators-its-time-to-upgrade-your-shower-or-bath/" TargetMode="External"/><Relationship Id="rId2525" Type="http://schemas.openxmlformats.org/officeDocument/2006/relationships/hyperlink" Target="https://business.napleschamber.org/news/Details/bonita-del-sol-unveils-three-stunning-model-homes-and-launches-new-home-sales-in-premier-bonita-springs-location-238247" TargetMode="External"/><Relationship Id="rId9138" Type="http://schemas.openxmlformats.org/officeDocument/2006/relationships/hyperlink" Target="https://www.pinoyeplans.com/" TargetMode="External"/><Relationship Id="rId11068" Type="http://schemas.openxmlformats.org/officeDocument/2006/relationships/hyperlink" Target="https://www.teachengineering.org/" TargetMode="External"/><Relationship Id="rId12119" Type="http://schemas.openxmlformats.org/officeDocument/2006/relationships/hyperlink" Target="https://www.businessinitiative.org/sole-proprietorship/examples/" TargetMode="External"/><Relationship Id="rId15689" Type="http://schemas.openxmlformats.org/officeDocument/2006/relationships/hyperlink" Target="https://www.modinex.com.au/" TargetMode="External"/><Relationship Id="rId1127" Type="http://schemas.openxmlformats.org/officeDocument/2006/relationships/hyperlink" Target="https://jupiterhadley.com/design-and-decor-ideas-for-basemets/" TargetMode="External"/><Relationship Id="rId4697" Type="http://schemas.openxmlformats.org/officeDocument/2006/relationships/hyperlink" Target="https://www.kapre.com/" TargetMode="External"/><Relationship Id="rId5748" Type="http://schemas.openxmlformats.org/officeDocument/2006/relationships/hyperlink" Target="https://www.simpleshowing.com/" TargetMode="External"/><Relationship Id="rId3299" Type="http://schemas.openxmlformats.org/officeDocument/2006/relationships/hyperlink" Target="https://gulfcoast.helpusell.com/featured-listings/mfrmls/mls-TB8322564-17925_nadine_place_nokomis_fl_34275/" TargetMode="External"/><Relationship Id="rId7170" Type="http://schemas.openxmlformats.org/officeDocument/2006/relationships/hyperlink" Target="https://bridgewise.com/blog/international-womens-day-2025/" TargetMode="External"/><Relationship Id="rId8221" Type="http://schemas.openxmlformats.org/officeDocument/2006/relationships/hyperlink" Target="https://techbehemoths.com/company/smaarchviz" TargetMode="External"/><Relationship Id="rId10151" Type="http://schemas.openxmlformats.org/officeDocument/2006/relationships/hyperlink" Target="https://www.homebuilding.co.uk/advice/do-solar-panels-work-in-winter" TargetMode="External"/><Relationship Id="rId11202" Type="http://schemas.openxmlformats.org/officeDocument/2006/relationships/hyperlink" Target="https://www.sipthestyle.com/hidden-moisture-behind-walls-drives-repeat-loss-and-litigation" TargetMode="External"/><Relationship Id="rId12600" Type="http://schemas.openxmlformats.org/officeDocument/2006/relationships/hyperlink" Target="https://bira.co.uk/resources/hubs/gdpr/" TargetMode="External"/><Relationship Id="rId14772" Type="http://schemas.openxmlformats.org/officeDocument/2006/relationships/hyperlink" Target="https://designrelated.com/how-much-does-it-cost-to-fix-garage-door-springs-in-houston/" TargetMode="External"/><Relationship Id="rId15823" Type="http://schemas.openxmlformats.org/officeDocument/2006/relationships/hyperlink" Target="https://myinteriorpalace.com/" TargetMode="External"/><Relationship Id="rId2382" Type="http://schemas.openxmlformats.org/officeDocument/2006/relationships/hyperlink" Target="https://www.simpleshowing.com/" TargetMode="External"/><Relationship Id="rId3780" Type="http://schemas.openxmlformats.org/officeDocument/2006/relationships/hyperlink" Target="https://www.simpleshowing.com/" TargetMode="External"/><Relationship Id="rId4831" Type="http://schemas.openxmlformats.org/officeDocument/2006/relationships/hyperlink" Target="https://www.simpleshowing.com/" TargetMode="External"/><Relationship Id="rId13374" Type="http://schemas.openxmlformats.org/officeDocument/2006/relationships/hyperlink" Target="https://foodmeanderings.com/15-fiddlehead-recipes/" TargetMode="External"/><Relationship Id="rId14425" Type="http://schemas.openxmlformats.org/officeDocument/2006/relationships/hyperlink" Target="https://myinteriorpalace.com/" TargetMode="External"/><Relationship Id="rId354" Type="http://schemas.openxmlformats.org/officeDocument/2006/relationships/hyperlink" Target="http://northernvirginiahomepro.com/" TargetMode="External"/><Relationship Id="rId2035" Type="http://schemas.openxmlformats.org/officeDocument/2006/relationships/hyperlink" Target="https://markspain.com/" TargetMode="External"/><Relationship Id="rId3433" Type="http://schemas.openxmlformats.org/officeDocument/2006/relationships/hyperlink" Target="https://www.pulte.com/" TargetMode="External"/><Relationship Id="rId13027" Type="http://schemas.openxmlformats.org/officeDocument/2006/relationships/hyperlink" Target="https://propertypressonline.co.uk/" TargetMode="External"/><Relationship Id="rId6656" Type="http://schemas.openxmlformats.org/officeDocument/2006/relationships/hyperlink" Target="https://www.eplanters.com/blog/" TargetMode="External"/><Relationship Id="rId7707" Type="http://schemas.openxmlformats.org/officeDocument/2006/relationships/hyperlink" Target="https://www.storage-mart.com/athens/boat-storage" TargetMode="External"/><Relationship Id="rId15199" Type="http://schemas.openxmlformats.org/officeDocument/2006/relationships/hyperlink" Target="https://myinteriorpalace.com/" TargetMode="External"/><Relationship Id="rId5258" Type="http://schemas.openxmlformats.org/officeDocument/2006/relationships/hyperlink" Target="https://www.simpleshowing.com/" TargetMode="External"/><Relationship Id="rId6309" Type="http://schemas.openxmlformats.org/officeDocument/2006/relationships/hyperlink" Target="https://ordersinseconds.com/inflation-grocery-price-wars-effects-on-cpg-supply-chain/" TargetMode="External"/><Relationship Id="rId9879" Type="http://schemas.openxmlformats.org/officeDocument/2006/relationships/hyperlink" Target="https://www.pinoyeplans.com/" TargetMode="External"/><Relationship Id="rId12110" Type="http://schemas.openxmlformats.org/officeDocument/2006/relationships/hyperlink" Target="https://structuralpanels.ca/four-types-of-wall-panels-for-showers-and-their-benefits/" TargetMode="External"/><Relationship Id="rId1868" Type="http://schemas.openxmlformats.org/officeDocument/2006/relationships/hyperlink" Target="https://kalkinemedia.com/ca/news/environment/wolf-river-electric-expands-and-launches-a-new-website" TargetMode="External"/><Relationship Id="rId14282" Type="http://schemas.openxmlformats.org/officeDocument/2006/relationships/hyperlink" Target="https://luxurylifestyle.com/" TargetMode="External"/><Relationship Id="rId15333" Type="http://schemas.openxmlformats.org/officeDocument/2006/relationships/hyperlink" Target="https://www.bocadolobo.com/en/inspiration-and-ideas/luxdeco-redefining-luxury-interiors-through-curated-design/" TargetMode="External"/><Relationship Id="rId15680" Type="http://schemas.openxmlformats.org/officeDocument/2006/relationships/hyperlink" Target="https://www.luxdeco.com/" TargetMode="External"/><Relationship Id="rId2919" Type="http://schemas.openxmlformats.org/officeDocument/2006/relationships/hyperlink" Target="https://www.simpleshowing.com/" TargetMode="External"/><Relationship Id="rId3290" Type="http://schemas.openxmlformats.org/officeDocument/2006/relationships/hyperlink" Target="https://thescottsdaleliving.com/places/united-states/arizona/scottsdale/pulte-homes/" TargetMode="External"/><Relationship Id="rId4341" Type="http://schemas.openxmlformats.org/officeDocument/2006/relationships/hyperlink" Target="https://www.biggerpockets.com/blog/data-analysis-rich-real-estate-investments" TargetMode="External"/><Relationship Id="rId8962" Type="http://schemas.openxmlformats.org/officeDocument/2006/relationships/hyperlink" Target="https://nycestimating.us/" TargetMode="External"/><Relationship Id="rId10892" Type="http://schemas.openxmlformats.org/officeDocument/2006/relationships/hyperlink" Target="https://www.shorecrest.org/news/2017-12-21/sixth-grade-viking-ship-challenge-video-" TargetMode="External"/><Relationship Id="rId11943" Type="http://schemas.openxmlformats.org/officeDocument/2006/relationships/hyperlink" Target="https://www.hamiltoninternationalestates.com/" TargetMode="External"/><Relationship Id="rId6166" Type="http://schemas.openxmlformats.org/officeDocument/2006/relationships/hyperlink" Target="https://www.simpleshowing.com/" TargetMode="External"/><Relationship Id="rId7564" Type="http://schemas.openxmlformats.org/officeDocument/2006/relationships/hyperlink" Target="https://www.simpleshowing.com/" TargetMode="External"/><Relationship Id="rId8615" Type="http://schemas.openxmlformats.org/officeDocument/2006/relationships/hyperlink" Target="https://www.pinoyeplans.com/" TargetMode="External"/><Relationship Id="rId10545" Type="http://schemas.openxmlformats.org/officeDocument/2006/relationships/hyperlink" Target="https://www.pinoyeplans.com/" TargetMode="External"/><Relationship Id="rId7217" Type="http://schemas.openxmlformats.org/officeDocument/2006/relationships/hyperlink" Target="https://www.orlandosentinel.com/2024/01/17/taylor-morrison-will-build-active-adult-community-at-mckinnon-groves/" TargetMode="External"/><Relationship Id="rId13768" Type="http://schemas.openxmlformats.org/officeDocument/2006/relationships/hyperlink" Target="https://myinteriorpalace.com/" TargetMode="External"/><Relationship Id="rId14819" Type="http://schemas.openxmlformats.org/officeDocument/2006/relationships/hyperlink" Target="https://www.easygaragedoorrepair.com/" TargetMode="External"/><Relationship Id="rId2776" Type="http://schemas.openxmlformats.org/officeDocument/2006/relationships/hyperlink" Target="https://www.pulte.com/" TargetMode="External"/><Relationship Id="rId3827" Type="http://schemas.openxmlformats.org/officeDocument/2006/relationships/hyperlink" Target="https://hawkemedia.com/insights/bfcm-client-deals-2025/" TargetMode="External"/><Relationship Id="rId9389" Type="http://schemas.openxmlformats.org/officeDocument/2006/relationships/hyperlink" Target="https://www.cde.ca.gov/ci/cr/dl/" TargetMode="External"/><Relationship Id="rId15190" Type="http://schemas.openxmlformats.org/officeDocument/2006/relationships/hyperlink" Target="https://myinteriorpalace.com/" TargetMode="External"/><Relationship Id="rId16241" Type="http://schemas.openxmlformats.org/officeDocument/2006/relationships/hyperlink" Target="https://www.unitedcarpetsandbeds.com/" TargetMode="External"/><Relationship Id="rId748" Type="http://schemas.openxmlformats.org/officeDocument/2006/relationships/hyperlink" Target="https://myemail.constantcontact.com/September-2022-Newsletter.html?soid=1103416366300&amp;aid=jcPEXIjnDvY" TargetMode="External"/><Relationship Id="rId1378" Type="http://schemas.openxmlformats.org/officeDocument/2006/relationships/hyperlink" Target="https://ritewindow.com/blog/3-indicators-its-time-to-upgrade-your-shower-or-bath/" TargetMode="External"/><Relationship Id="rId2429" Type="http://schemas.openxmlformats.org/officeDocument/2006/relationships/hyperlink" Target="https://houstonsuburb.com/hockley-texas/" TargetMode="External"/><Relationship Id="rId5999" Type="http://schemas.openxmlformats.org/officeDocument/2006/relationships/hyperlink" Target="https://cloudcontactai.com/top-debt-relief-companies/" TargetMode="External"/><Relationship Id="rId6300" Type="http://schemas.openxmlformats.org/officeDocument/2006/relationships/hyperlink" Target="https://www.simpleshowing.com/" TargetMode="External"/><Relationship Id="rId9870" Type="http://schemas.openxmlformats.org/officeDocument/2006/relationships/hyperlink" Target="https://www.pinoyeplans.com/" TargetMode="External"/><Relationship Id="rId84" Type="http://schemas.openxmlformats.org/officeDocument/2006/relationships/hyperlink" Target="http://www.ultraupdates.com/" TargetMode="External"/><Relationship Id="rId8472" Type="http://schemas.openxmlformats.org/officeDocument/2006/relationships/hyperlink" Target="https://www.cylind.com/" TargetMode="External"/><Relationship Id="rId9523" Type="http://schemas.openxmlformats.org/officeDocument/2006/relationships/hyperlink" Target="https://www.teachengineering.org/" TargetMode="External"/><Relationship Id="rId12851" Type="http://schemas.openxmlformats.org/officeDocument/2006/relationships/hyperlink" Target="https://www.shma.co.uk/" TargetMode="External"/><Relationship Id="rId13902" Type="http://schemas.openxmlformats.org/officeDocument/2006/relationships/hyperlink" Target="https://state-journal.com/2022/07/29/2022-flooring-trends-that-will-make-your-space-look-amazing/" TargetMode="External"/><Relationship Id="rId2910" Type="http://schemas.openxmlformats.org/officeDocument/2006/relationships/hyperlink" Target="https://www.simpleshowing.com/" TargetMode="External"/><Relationship Id="rId7074" Type="http://schemas.openxmlformats.org/officeDocument/2006/relationships/hyperlink" Target="https://www.permacastwalls.com/permacast-barrier-wall-completes-taylor-morrison-job" TargetMode="External"/><Relationship Id="rId8125" Type="http://schemas.openxmlformats.org/officeDocument/2006/relationships/hyperlink" Target="https://forums.tetongravity.com/home/forum/chatter-blather-and-archives/the-hall-of-fame/6622-your-best-picture-from-this-winter/page15" TargetMode="External"/><Relationship Id="rId11453" Type="http://schemas.openxmlformats.org/officeDocument/2006/relationships/hyperlink" Target="https://www.hamiltoninternationalestates.com/" TargetMode="External"/><Relationship Id="rId12504" Type="http://schemas.openxmlformats.org/officeDocument/2006/relationships/hyperlink" Target="https://www.nrla.org.uk/news/renters-rights-bill-will-limit-access-to-higher-education" TargetMode="External"/><Relationship Id="rId1512" Type="http://schemas.openxmlformats.org/officeDocument/2006/relationships/hyperlink" Target="https://www.simpleshowing.com/" TargetMode="External"/><Relationship Id="rId10055" Type="http://schemas.openxmlformats.org/officeDocument/2006/relationships/hyperlink" Target="https://www.sciencemill.org/explorer-zone-dates/2020/4/7/colossalrobotichand" TargetMode="External"/><Relationship Id="rId11106" Type="http://schemas.openxmlformats.org/officeDocument/2006/relationships/hyperlink" Target="https://www.pinoyeplans.com/" TargetMode="External"/><Relationship Id="rId14676" Type="http://schemas.openxmlformats.org/officeDocument/2006/relationships/hyperlink" Target="https://livingpristine.com/6-reasons-weather-conditions-can-impact-your-garage-door-s-functionality-key-facts-explained/" TargetMode="External"/><Relationship Id="rId15727" Type="http://schemas.openxmlformats.org/officeDocument/2006/relationships/hyperlink" Target="https://myinteriorpalace.com/" TargetMode="External"/><Relationship Id="rId3684" Type="http://schemas.openxmlformats.org/officeDocument/2006/relationships/hyperlink" Target="https://www.simpleshowing.com/" TargetMode="External"/><Relationship Id="rId4735" Type="http://schemas.openxmlformats.org/officeDocument/2006/relationships/hyperlink" Target="https://www.simpleshowing.com/" TargetMode="External"/><Relationship Id="rId13278" Type="http://schemas.openxmlformats.org/officeDocument/2006/relationships/hyperlink" Target="https://www.newswire.com/news/comprehensive-guide-to-property-investment-what-to-prioritise-when-20066934" TargetMode="External"/><Relationship Id="rId14329" Type="http://schemas.openxmlformats.org/officeDocument/2006/relationships/hyperlink" Target="https://myinteriorpalace.com/" TargetMode="External"/><Relationship Id="rId2286" Type="http://schemas.openxmlformats.org/officeDocument/2006/relationships/hyperlink" Target="https://www.simpleshowing.com/" TargetMode="External"/><Relationship Id="rId3337" Type="http://schemas.openxmlformats.org/officeDocument/2006/relationships/hyperlink" Target="https://www.pulte.com/" TargetMode="External"/><Relationship Id="rId7958" Type="http://schemas.openxmlformats.org/officeDocument/2006/relationships/hyperlink" Target="https://www.pinoyeplans.com/" TargetMode="External"/><Relationship Id="rId258" Type="http://schemas.openxmlformats.org/officeDocument/2006/relationships/hyperlink" Target="http://northernvirginiahomepro.com/" TargetMode="External"/><Relationship Id="rId9380" Type="http://schemas.openxmlformats.org/officeDocument/2006/relationships/hyperlink" Target="https://everfi.com/blog/k-12/10-science-holidays-ways-to-celebrate/" TargetMode="External"/><Relationship Id="rId10939" Type="http://schemas.openxmlformats.org/officeDocument/2006/relationships/hyperlink" Target="https://www.teachengineering.org/" TargetMode="External"/><Relationship Id="rId12361" Type="http://schemas.openxmlformats.org/officeDocument/2006/relationships/hyperlink" Target="https://sturents.com/" TargetMode="External"/><Relationship Id="rId13412" Type="http://schemas.openxmlformats.org/officeDocument/2006/relationships/hyperlink" Target="https://anationofmoms.com/" TargetMode="External"/><Relationship Id="rId14810" Type="http://schemas.openxmlformats.org/officeDocument/2006/relationships/hyperlink" Target="https://www.easygaragedoorrepair.com/" TargetMode="External"/><Relationship Id="rId2420" Type="http://schemas.openxmlformats.org/officeDocument/2006/relationships/hyperlink" Target="https://bramlettpartners.com/blog/14-best-neighborhoods-in-round-rock" TargetMode="External"/><Relationship Id="rId9033" Type="http://schemas.openxmlformats.org/officeDocument/2006/relationships/hyperlink" Target="https://www.pinoyeplans.com/" TargetMode="External"/><Relationship Id="rId12014" Type="http://schemas.openxmlformats.org/officeDocument/2006/relationships/hyperlink" Target="https://evolveartisanal.com/design/10-living-room-corner-ideas-2025/" TargetMode="External"/><Relationship Id="rId1022" Type="http://schemas.openxmlformats.org/officeDocument/2006/relationships/hyperlink" Target="https://opplehouse.com/creating-multi-use-areas-that-blend-beauty-and-purpose/" TargetMode="External"/><Relationship Id="rId4592" Type="http://schemas.openxmlformats.org/officeDocument/2006/relationships/hyperlink" Target="https://www.kapre.com/" TargetMode="External"/><Relationship Id="rId5990" Type="http://schemas.openxmlformats.org/officeDocument/2006/relationships/hyperlink" Target="https://www.simpleshowing.com/" TargetMode="External"/><Relationship Id="rId14186" Type="http://schemas.openxmlformats.org/officeDocument/2006/relationships/hyperlink" Target="https://luxurylifestyle.com/" TargetMode="External"/><Relationship Id="rId15584" Type="http://schemas.openxmlformats.org/officeDocument/2006/relationships/hyperlink" Target="https://www.luxdeco.com/" TargetMode="External"/><Relationship Id="rId3194" Type="http://schemas.openxmlformats.org/officeDocument/2006/relationships/hyperlink" Target="https://sbnonline.com/article/scott-campbell-leads-pulte-homes-through-the-economic-recession-by-utilizing-open-communication-and-empowerment-of-employees-how-to-lead-your-business-by-emphasizing-straight-candid-talk/3/" TargetMode="External"/><Relationship Id="rId4245" Type="http://schemas.openxmlformats.org/officeDocument/2006/relationships/hyperlink" Target="https://www.edinformatics.com/real_estate/schools.htm" TargetMode="External"/><Relationship Id="rId5643" Type="http://schemas.openxmlformats.org/officeDocument/2006/relationships/hyperlink" Target="https://spdload.com/blog/return-on-investment/" TargetMode="External"/><Relationship Id="rId15237" Type="http://schemas.openxmlformats.org/officeDocument/2006/relationships/hyperlink" Target="https://www.dailymail.co.uk/femail/article-11504213/The-best-interiors-Christmas-presents-home-lovers.html" TargetMode="External"/><Relationship Id="rId8866" Type="http://schemas.openxmlformats.org/officeDocument/2006/relationships/hyperlink" Target="https://www.trianglepest.com/" TargetMode="External"/><Relationship Id="rId9917" Type="http://schemas.openxmlformats.org/officeDocument/2006/relationships/hyperlink" Target="https://engineering.cmu.edu/education/outreach/resources.html" TargetMode="External"/><Relationship Id="rId10796" Type="http://schemas.openxmlformats.org/officeDocument/2006/relationships/hyperlink" Target="https://happyplumbing.com/blog/the-truth-about-taps-insights-into-faucet-repair-and-replacement/" TargetMode="External"/><Relationship Id="rId11847" Type="http://schemas.openxmlformats.org/officeDocument/2006/relationships/hyperlink" Target="https://www.hamiltoninternationalestates.com/" TargetMode="External"/><Relationship Id="rId1906" Type="http://schemas.openxmlformats.org/officeDocument/2006/relationships/hyperlink" Target="https://markspain.com/" TargetMode="External"/><Relationship Id="rId7468" Type="http://schemas.openxmlformats.org/officeDocument/2006/relationships/hyperlink" Target="https://www.simpleshowing.com/" TargetMode="External"/><Relationship Id="rId8519" Type="http://schemas.openxmlformats.org/officeDocument/2006/relationships/hyperlink" Target="https://www.pinoyeplans.com/" TargetMode="External"/><Relationship Id="rId10449" Type="http://schemas.openxmlformats.org/officeDocument/2006/relationships/hyperlink" Target="https://www.pinoyeplans.com/" TargetMode="External"/><Relationship Id="rId14320" Type="http://schemas.openxmlformats.org/officeDocument/2006/relationships/hyperlink" Target="https://myinteriorpalace.com/" TargetMode="External"/><Relationship Id="rId999" Type="http://schemas.openxmlformats.org/officeDocument/2006/relationships/hyperlink" Target="https://www.simpleshowing.com/" TargetMode="External"/><Relationship Id="rId6551" Type="http://schemas.openxmlformats.org/officeDocument/2006/relationships/hyperlink" Target="https://www.re-thinkingthefuture.com/technologies/gp3622-how-to-give-your-bathroom-a-luxurious-feel/" TargetMode="External"/><Relationship Id="rId7602" Type="http://schemas.openxmlformats.org/officeDocument/2006/relationships/hyperlink" Target="https://www.legal.io/organizations/5480867/Taylor-Morrison" TargetMode="External"/><Relationship Id="rId10930" Type="http://schemas.openxmlformats.org/officeDocument/2006/relationships/hyperlink" Target="https://www.teachengineering.org/" TargetMode="External"/><Relationship Id="rId15094" Type="http://schemas.openxmlformats.org/officeDocument/2006/relationships/hyperlink" Target="https://myinteriorpalace.com/" TargetMode="External"/><Relationship Id="rId16145" Type="http://schemas.openxmlformats.org/officeDocument/2006/relationships/hyperlink" Target="https://www.unitedcarpetsandbeds.com/" TargetMode="External"/><Relationship Id="rId5153" Type="http://schemas.openxmlformats.org/officeDocument/2006/relationships/hyperlink" Target="https://recruiterflow.com/blog/candidate-assessment/" TargetMode="External"/><Relationship Id="rId6204" Type="http://schemas.openxmlformats.org/officeDocument/2006/relationships/hyperlink" Target="https://www.simpleshowing.com/" TargetMode="External"/><Relationship Id="rId8376" Type="http://schemas.openxmlformats.org/officeDocument/2006/relationships/hyperlink" Target="https://24hourfloodpros.com/" TargetMode="External"/><Relationship Id="rId9774" Type="http://schemas.openxmlformats.org/officeDocument/2006/relationships/hyperlink" Target="https://www.pinoyeplans.com/" TargetMode="External"/><Relationship Id="rId12755" Type="http://schemas.openxmlformats.org/officeDocument/2006/relationships/hyperlink" Target="https://www.shma.co.uk/" TargetMode="External"/><Relationship Id="rId13806" Type="http://schemas.openxmlformats.org/officeDocument/2006/relationships/hyperlink" Target="https://arenabg.com/en/forums/heimlich-perfectly-woke-served-arrive--t477223.html?page=391" TargetMode="External"/><Relationship Id="rId1763" Type="http://schemas.openxmlformats.org/officeDocument/2006/relationships/hyperlink" Target="https://impactwealth.org/the-sustainable-trends-currently-dominating-the-real-estate-landscape/" TargetMode="External"/><Relationship Id="rId2814" Type="http://schemas.openxmlformats.org/officeDocument/2006/relationships/hyperlink" Target="https://www.simpleshowing.com/" TargetMode="External"/><Relationship Id="rId8029" Type="http://schemas.openxmlformats.org/officeDocument/2006/relationships/hyperlink" Target="https://www.pinoyeplans.com/" TargetMode="External"/><Relationship Id="rId9427" Type="http://schemas.openxmlformats.org/officeDocument/2006/relationships/hyperlink" Target="https://www.teachengineering.org/" TargetMode="External"/><Relationship Id="rId11357" Type="http://schemas.openxmlformats.org/officeDocument/2006/relationships/hyperlink" Target="https://www.hamiltoninternationalestates.com/" TargetMode="External"/><Relationship Id="rId12408" Type="http://schemas.openxmlformats.org/officeDocument/2006/relationships/hyperlink" Target="https://propertypressonline.co.uk/" TargetMode="External"/><Relationship Id="rId15978" Type="http://schemas.openxmlformats.org/officeDocument/2006/relationships/hyperlink" Target="https://greenrecord.co.uk/elevating-home-design-with-contemporary-garage-doors-by-richards-wilcox/" TargetMode="External"/><Relationship Id="rId1416" Type="http://schemas.openxmlformats.org/officeDocument/2006/relationships/hyperlink" Target="https://www.simpleshowing.com/" TargetMode="External"/><Relationship Id="rId4986" Type="http://schemas.openxmlformats.org/officeDocument/2006/relationships/hyperlink" Target="https://www.simpleshowing.com/" TargetMode="External"/><Relationship Id="rId3588" Type="http://schemas.openxmlformats.org/officeDocument/2006/relationships/hyperlink" Target="https://www.simpleshowing.com/" TargetMode="External"/><Relationship Id="rId4639" Type="http://schemas.openxmlformats.org/officeDocument/2006/relationships/hyperlink" Target="https://www.simpleshowing.com/" TargetMode="External"/><Relationship Id="rId8510" Type="http://schemas.openxmlformats.org/officeDocument/2006/relationships/hyperlink" Target="https://www.pinoyeplans.com/" TargetMode="External"/><Relationship Id="rId10440" Type="http://schemas.openxmlformats.org/officeDocument/2006/relationships/hyperlink" Target="https://www.pinoyeplans.com/" TargetMode="External"/><Relationship Id="rId6061" Type="http://schemas.openxmlformats.org/officeDocument/2006/relationships/hyperlink" Target="https://successfulblackparenting.com/2024/02/12/smart-savings-how-to-plan-for-your-familys-financial-future/" TargetMode="External"/><Relationship Id="rId7112" Type="http://schemas.openxmlformats.org/officeDocument/2006/relationships/hyperlink" Target="https://sacramentomover.net/blog/new-homes-in-sacramento/" TargetMode="External"/><Relationship Id="rId990" Type="http://schemas.openxmlformats.org/officeDocument/2006/relationships/hyperlink" Target="https://www.simpleshowing.com/" TargetMode="External"/><Relationship Id="rId2671" Type="http://schemas.openxmlformats.org/officeDocument/2006/relationships/hyperlink" Target="https://www.pulte.com/" TargetMode="External"/><Relationship Id="rId9284" Type="http://schemas.openxmlformats.org/officeDocument/2006/relationships/hyperlink" Target="https://sphero.com/blogs/news/how-to-build-a-robot" TargetMode="External"/><Relationship Id="rId13663" Type="http://schemas.openxmlformats.org/officeDocument/2006/relationships/hyperlink" Target="https://myinteriorpalace.com/" TargetMode="External"/><Relationship Id="rId14714" Type="http://schemas.openxmlformats.org/officeDocument/2006/relationships/hyperlink" Target="https://www.easygaragedoorrepair.com/" TargetMode="External"/><Relationship Id="rId643" Type="http://schemas.openxmlformats.org/officeDocument/2006/relationships/hyperlink" Target="https://beverlyboy.com/southern-shores-nc-videographer-services/" TargetMode="External"/><Relationship Id="rId1273" Type="http://schemas.openxmlformats.org/officeDocument/2006/relationships/hyperlink" Target="https://darscover.com/" TargetMode="External"/><Relationship Id="rId2324" Type="http://schemas.openxmlformats.org/officeDocument/2006/relationships/hyperlink" Target="https://dollforum.com/forum/viewtopic.php?t=67550" TargetMode="External"/><Relationship Id="rId3722" Type="http://schemas.openxmlformats.org/officeDocument/2006/relationships/hyperlink" Target="https://www.sovereigninsurance.ca/advice-and-tools/managing-risk/anti-theft-tips-for-commercial-garage-doors" TargetMode="External"/><Relationship Id="rId12265" Type="http://schemas.openxmlformats.org/officeDocument/2006/relationships/hyperlink" Target="https://marrons.co.uk/" TargetMode="External"/><Relationship Id="rId13316" Type="http://schemas.openxmlformats.org/officeDocument/2006/relationships/hyperlink" Target="https://a1floorsnc.com/" TargetMode="External"/><Relationship Id="rId5894" Type="http://schemas.openxmlformats.org/officeDocument/2006/relationships/hyperlink" Target="https://www.simpleshowing.com/" TargetMode="External"/><Relationship Id="rId6945" Type="http://schemas.openxmlformats.org/officeDocument/2006/relationships/hyperlink" Target="https://www.firstam.com/news/2019/first-american-and-taylor-morrison-500-eclosings-20190514.html" TargetMode="External"/><Relationship Id="rId15488" Type="http://schemas.openxmlformats.org/officeDocument/2006/relationships/hyperlink" Target="https://www.luxdeco.com/" TargetMode="External"/><Relationship Id="rId3098" Type="http://schemas.openxmlformats.org/officeDocument/2006/relationships/hyperlink" Target="https://www.bizjournals.com/tampabay/subscriber-only/2018/08/31/largest-tampa-bay-homebuilders.html" TargetMode="External"/><Relationship Id="rId4496" Type="http://schemas.openxmlformats.org/officeDocument/2006/relationships/hyperlink" Target="https://www.kapre.com/" TargetMode="External"/><Relationship Id="rId5547" Type="http://schemas.openxmlformats.org/officeDocument/2006/relationships/hyperlink" Target="https://sellbery.com/blog/the-risks-and-benefits-of-outsourcing-supply-chain-management/" TargetMode="External"/><Relationship Id="rId4149" Type="http://schemas.openxmlformats.org/officeDocument/2006/relationships/hyperlink" Target="https://www.simpleshowing.com/" TargetMode="External"/><Relationship Id="rId8020" Type="http://schemas.openxmlformats.org/officeDocument/2006/relationships/hyperlink" Target="https://evstudio.com/epdm-vs-tpo-roofing/" TargetMode="External"/><Relationship Id="rId11001" Type="http://schemas.openxmlformats.org/officeDocument/2006/relationships/hyperlink" Target="https://www.pinoyeplans.com/" TargetMode="External"/><Relationship Id="rId14571" Type="http://schemas.openxmlformats.org/officeDocument/2006/relationships/hyperlink" Target="https://opplehouse.com/top-local-garage-door-repair-services-in-houston/" TargetMode="External"/><Relationship Id="rId15622" Type="http://schemas.openxmlformats.org/officeDocument/2006/relationships/hyperlink" Target="https://myinteriorpalace.com/" TargetMode="External"/><Relationship Id="rId4630" Type="http://schemas.openxmlformats.org/officeDocument/2006/relationships/hyperlink" Target="https://www.simpleshowing.com/" TargetMode="External"/><Relationship Id="rId13173" Type="http://schemas.openxmlformats.org/officeDocument/2006/relationships/hyperlink" Target="https://www.accountancydaily.co/katherine-marshall" TargetMode="External"/><Relationship Id="rId14224" Type="http://schemas.openxmlformats.org/officeDocument/2006/relationships/hyperlink" Target="https://myinteriorpalace.com/" TargetMode="External"/><Relationship Id="rId2181" Type="http://schemas.openxmlformats.org/officeDocument/2006/relationships/hyperlink" Target="https://www.simpleshowing.com/" TargetMode="External"/><Relationship Id="rId3232" Type="http://schemas.openxmlformats.org/officeDocument/2006/relationships/hyperlink" Target="https://www.pulte.com/" TargetMode="External"/><Relationship Id="rId153" Type="http://schemas.openxmlformats.org/officeDocument/2006/relationships/hyperlink" Target="https://www.interior-news.com/" TargetMode="External"/><Relationship Id="rId6455" Type="http://schemas.openxmlformats.org/officeDocument/2006/relationships/hyperlink" Target="https://www.simpleshowing.com/blog/home-additions-to-increase-home-value" TargetMode="External"/><Relationship Id="rId7853" Type="http://schemas.openxmlformats.org/officeDocument/2006/relationships/hyperlink" Target="https://www.simpleshowing.com/" TargetMode="External"/><Relationship Id="rId8904" Type="http://schemas.openxmlformats.org/officeDocument/2006/relationships/hyperlink" Target="https://www.pinoyeplans.com/" TargetMode="External"/><Relationship Id="rId10834" Type="http://schemas.openxmlformats.org/officeDocument/2006/relationships/hyperlink" Target="https://www.teachengineering.org/" TargetMode="External"/><Relationship Id="rId16049" Type="http://schemas.openxmlformats.org/officeDocument/2006/relationships/hyperlink" Target="https://www.rwdoors.com/" TargetMode="External"/><Relationship Id="rId5057" Type="http://schemas.openxmlformats.org/officeDocument/2006/relationships/hyperlink" Target="https://www.storagecafe.com/blog/what-happens-if-you-leave-stuff-in-a-storage-unit/" TargetMode="External"/><Relationship Id="rId6108" Type="http://schemas.openxmlformats.org/officeDocument/2006/relationships/hyperlink" Target="https://www.simpleshowing.com/" TargetMode="External"/><Relationship Id="rId7506" Type="http://schemas.openxmlformats.org/officeDocument/2006/relationships/hyperlink" Target="https://www.stockmarketguides.com/dividends/TMHC" TargetMode="External"/><Relationship Id="rId9678" Type="http://schemas.openxmlformats.org/officeDocument/2006/relationships/hyperlink" Target="https://www.pinoyeplans.com/" TargetMode="External"/><Relationship Id="rId12659" Type="http://schemas.openxmlformats.org/officeDocument/2006/relationships/hyperlink" Target="https://www.shma.co.uk/" TargetMode="External"/><Relationship Id="rId1667" Type="http://schemas.openxmlformats.org/officeDocument/2006/relationships/hyperlink" Target="https://www.cachevalleydaily.com/experts-hail-utah-as-one-of-the-few-states-in-which-switching-to-electric-vehicles/article_6cf57fba-a903-4b7f-b34a-611bfed7f88c.html" TargetMode="External"/><Relationship Id="rId2718" Type="http://schemas.openxmlformats.org/officeDocument/2006/relationships/hyperlink" Target="https://www.simpleshowing.com/" TargetMode="External"/><Relationship Id="rId14081" Type="http://schemas.openxmlformats.org/officeDocument/2006/relationships/hyperlink" Target="https://keystonecustomdecksny.com/" TargetMode="External"/><Relationship Id="rId15132" Type="http://schemas.openxmlformats.org/officeDocument/2006/relationships/hyperlink" Target="https://robertr268.sg-host.com/martyn/sv-casa/" TargetMode="External"/><Relationship Id="rId4140" Type="http://schemas.openxmlformats.org/officeDocument/2006/relationships/hyperlink" Target="https://www.simpleshowing.com/" TargetMode="External"/><Relationship Id="rId8761" Type="http://schemas.openxmlformats.org/officeDocument/2006/relationships/hyperlink" Target="https://robthecoins.com/why-is-real-estate-the-perfect-investment-what-every-beginner-should-know/" TargetMode="External"/><Relationship Id="rId9812" Type="http://schemas.openxmlformats.org/officeDocument/2006/relationships/hyperlink" Target="https://restaurantify.com/restaurant-menu-making-from-scratch-a-complete-guide/" TargetMode="External"/><Relationship Id="rId26" Type="http://schemas.openxmlformats.org/officeDocument/2006/relationships/hyperlink" Target="https://backlinkexpress.com/" TargetMode="External"/><Relationship Id="rId7363" Type="http://schemas.openxmlformats.org/officeDocument/2006/relationships/hyperlink" Target="https://pages.m1.com/invest/stocks/TMHC" TargetMode="External"/><Relationship Id="rId8414" Type="http://schemas.openxmlformats.org/officeDocument/2006/relationships/hyperlink" Target="https://www.pinoyeplans.com/" TargetMode="External"/><Relationship Id="rId10691" Type="http://schemas.openxmlformats.org/officeDocument/2006/relationships/hyperlink" Target="https://stempreacademy.hawaii.edu/toolkit/makerbot-sketch/" TargetMode="External"/><Relationship Id="rId11742" Type="http://schemas.openxmlformats.org/officeDocument/2006/relationships/hyperlink" Target="https://www.hamiltoninternationalestates.com/" TargetMode="External"/><Relationship Id="rId1801" Type="http://schemas.openxmlformats.org/officeDocument/2006/relationships/hyperlink" Target="https://wolfriverelectric.com/" TargetMode="External"/><Relationship Id="rId7016" Type="http://schemas.openxmlformats.org/officeDocument/2006/relationships/hyperlink" Target="https://www.taylormorrison.com/" TargetMode="External"/><Relationship Id="rId10344" Type="http://schemas.openxmlformats.org/officeDocument/2006/relationships/hyperlink" Target="https://www.pinoyeplans.com/" TargetMode="External"/><Relationship Id="rId14965" Type="http://schemas.openxmlformats.org/officeDocument/2006/relationships/hyperlink" Target="https://myinteriorpalace.com/" TargetMode="External"/><Relationship Id="rId3973" Type="http://schemas.openxmlformats.org/officeDocument/2006/relationships/hyperlink" Target="https://www.smartsolarenergyco.com/" TargetMode="External"/><Relationship Id="rId9188" Type="http://schemas.openxmlformats.org/officeDocument/2006/relationships/hyperlink" Target="https://erafame.com/digital-planning-engines-driving-smooth-and-predictable-construction/" TargetMode="External"/><Relationship Id="rId13567" Type="http://schemas.openxmlformats.org/officeDocument/2006/relationships/hyperlink" Target="https://myinteriorpalace.com/" TargetMode="External"/><Relationship Id="rId14618" Type="http://schemas.openxmlformats.org/officeDocument/2006/relationships/hyperlink" Target="https://www.easygaragedoorrepair.com/" TargetMode="External"/><Relationship Id="rId894" Type="http://schemas.openxmlformats.org/officeDocument/2006/relationships/hyperlink" Target="https://www.simpleshowing.com/" TargetMode="External"/><Relationship Id="rId1177" Type="http://schemas.openxmlformats.org/officeDocument/2006/relationships/hyperlink" Target="https://happy2movelondon.co.uk/r" TargetMode="External"/><Relationship Id="rId2575" Type="http://schemas.openxmlformats.org/officeDocument/2006/relationships/hyperlink" Target="https://www.pulte.com/" TargetMode="External"/><Relationship Id="rId3626" Type="http://schemas.openxmlformats.org/officeDocument/2006/relationships/hyperlink" Target="https://www.brownstoner.com/development/development-wat-160/" TargetMode="External"/><Relationship Id="rId12169" Type="http://schemas.openxmlformats.org/officeDocument/2006/relationships/hyperlink" Target="https://www.bobvila.com/" TargetMode="External"/><Relationship Id="rId16040" Type="http://schemas.openxmlformats.org/officeDocument/2006/relationships/hyperlink" Target="https://www.rwdoors.com/" TargetMode="External"/><Relationship Id="rId547" Type="http://schemas.openxmlformats.org/officeDocument/2006/relationships/hyperlink" Target="https://www.gonomad.com/230568-pet-friendly-outer-banks" TargetMode="External"/><Relationship Id="rId2228" Type="http://schemas.openxmlformats.org/officeDocument/2006/relationships/hyperlink" Target="https://www.sneakymommies.com/8-warning-signs-you-need-a-plumber-right-away/" TargetMode="External"/><Relationship Id="rId5798" Type="http://schemas.openxmlformats.org/officeDocument/2006/relationships/hyperlink" Target="https://www.simpleshowing.com/" TargetMode="External"/><Relationship Id="rId6849" Type="http://schemas.openxmlformats.org/officeDocument/2006/relationships/hyperlink" Target="https://www.simpleshowing.com/" TargetMode="External"/><Relationship Id="rId12650" Type="http://schemas.openxmlformats.org/officeDocument/2006/relationships/hyperlink" Target="https://www.shma.co.uk/" TargetMode="External"/><Relationship Id="rId13701" Type="http://schemas.openxmlformats.org/officeDocument/2006/relationships/hyperlink" Target="https://hoptraveler.com/index.php/2023/02/16/is-las-vegas-a-good-place-to-go-with-family/" TargetMode="External"/><Relationship Id="rId8271" Type="http://schemas.openxmlformats.org/officeDocument/2006/relationships/hyperlink" Target="https://www.zestlighting.com.au/" TargetMode="External"/><Relationship Id="rId9322" Type="http://schemas.openxmlformats.org/officeDocument/2006/relationships/hyperlink" Target="https://www.teachengineering.org/" TargetMode="External"/><Relationship Id="rId11252" Type="http://schemas.openxmlformats.org/officeDocument/2006/relationships/hyperlink" Target="https://hnmag.ca/tips/guarding-film-equipment-against-water-damage/" TargetMode="External"/><Relationship Id="rId12303" Type="http://schemas.openxmlformats.org/officeDocument/2006/relationships/hyperlink" Target="https://propertypressonline.co.uk/" TargetMode="External"/><Relationship Id="rId1311" Type="http://schemas.openxmlformats.org/officeDocument/2006/relationships/hyperlink" Target="https://www.simpleshowing.com/" TargetMode="External"/><Relationship Id="rId4881" Type="http://schemas.openxmlformats.org/officeDocument/2006/relationships/hyperlink" Target="https://blog.quuu.co/creative-ideas-for-real-estate-engagement-posts/" TargetMode="External"/><Relationship Id="rId14475" Type="http://schemas.openxmlformats.org/officeDocument/2006/relationships/hyperlink" Target="https://www.rismedia.com/2019/09/20/do-more-than-store-4-ways-to-use-your-empty-garage/" TargetMode="External"/><Relationship Id="rId15873" Type="http://schemas.openxmlformats.org/officeDocument/2006/relationships/hyperlink" Target="https://www.fastbase.com/dataset/linkedin_companies/Australia/T/Timber" TargetMode="External"/><Relationship Id="rId3483" Type="http://schemas.openxmlformats.org/officeDocument/2006/relationships/hyperlink" Target="https://www.simpleshowing.com/" TargetMode="External"/><Relationship Id="rId4534" Type="http://schemas.openxmlformats.org/officeDocument/2006/relationships/hyperlink" Target="https://www.simpleshowing.com/" TargetMode="External"/><Relationship Id="rId5932" Type="http://schemas.openxmlformats.org/officeDocument/2006/relationships/hyperlink" Target="https://www.simpleshowing.com/" TargetMode="External"/><Relationship Id="rId13077" Type="http://schemas.openxmlformats.org/officeDocument/2006/relationships/hyperlink" Target="https://sheffield-digital.captivate.fm/episode/everything-you-need-to-know-about-ip-at-the-beginning-of-your-tech-journey-with-kerry-russell-from-shakespeare-martineau" TargetMode="External"/><Relationship Id="rId14128" Type="http://schemas.openxmlformats.org/officeDocument/2006/relationships/hyperlink" Target="https://myinteriorpalace.com/" TargetMode="External"/><Relationship Id="rId15526" Type="http://schemas.openxmlformats.org/officeDocument/2006/relationships/hyperlink" Target="https://myinteriorpalace.com/" TargetMode="External"/><Relationship Id="rId2085" Type="http://schemas.openxmlformats.org/officeDocument/2006/relationships/hyperlink" Target="https://www.simpleshowing.com/" TargetMode="External"/><Relationship Id="rId3136" Type="http://schemas.openxmlformats.org/officeDocument/2006/relationships/hyperlink" Target="https://www.pulte.com/" TargetMode="External"/><Relationship Id="rId7757" Type="http://schemas.openxmlformats.org/officeDocument/2006/relationships/hyperlink" Target="https://www.advenirliving.com/dawsonhills/neighborhood/" TargetMode="External"/><Relationship Id="rId8808" Type="http://schemas.openxmlformats.org/officeDocument/2006/relationships/hyperlink" Target="https://www.pinoyeplans.com/" TargetMode="External"/><Relationship Id="rId10738" Type="http://schemas.openxmlformats.org/officeDocument/2006/relationships/hyperlink" Target="https://www.teachengineering.org/" TargetMode="External"/><Relationship Id="rId6359" Type="http://schemas.openxmlformats.org/officeDocument/2006/relationships/hyperlink" Target="https://friendlyturtle.com/blogs/blog/sustainable-living-after-bankruptcy-steps-to-rebuild-your-financial-health" TargetMode="External"/><Relationship Id="rId12160" Type="http://schemas.openxmlformats.org/officeDocument/2006/relationships/hyperlink" Target="https://www.bobvila.com/" TargetMode="External"/><Relationship Id="rId13211" Type="http://schemas.openxmlformats.org/officeDocument/2006/relationships/hyperlink" Target="https://www.shma.co.uk/" TargetMode="External"/><Relationship Id="rId2969" Type="http://schemas.openxmlformats.org/officeDocument/2006/relationships/hyperlink" Target="https://www.morningjournal.com/2014/04/23/pulte-homes-homebuilder-group-hopes-to-expand-in-avon/" TargetMode="External"/><Relationship Id="rId6840" Type="http://schemas.openxmlformats.org/officeDocument/2006/relationships/hyperlink" Target="https://www.simpleshowing.com/" TargetMode="External"/><Relationship Id="rId15383" Type="http://schemas.openxmlformats.org/officeDocument/2006/relationships/hyperlink" Target="https://www.luxdeco.com/" TargetMode="External"/><Relationship Id="rId4391" Type="http://schemas.openxmlformats.org/officeDocument/2006/relationships/hyperlink" Target="https://www.kapre.com/" TargetMode="External"/><Relationship Id="rId5442" Type="http://schemas.openxmlformats.org/officeDocument/2006/relationships/hyperlink" Target="https://www.simpleshowing.com/" TargetMode="External"/><Relationship Id="rId15036" Type="http://schemas.openxmlformats.org/officeDocument/2006/relationships/hyperlink" Target="https://vincentvanduysen.com/press/publications" TargetMode="External"/><Relationship Id="rId4044" Type="http://schemas.openxmlformats.org/officeDocument/2006/relationships/hyperlink" Target="https://www.simpleshowing.com/" TargetMode="External"/><Relationship Id="rId8665" Type="http://schemas.openxmlformats.org/officeDocument/2006/relationships/hyperlink" Target="https://m.finda.co.nz/electrical-supplies/15/?f=New+Zealand" TargetMode="External"/><Relationship Id="rId11993" Type="http://schemas.openxmlformats.org/officeDocument/2006/relationships/hyperlink" Target="https://www.gentek.ca/product-catalog/siding/" TargetMode="External"/><Relationship Id="rId7267" Type="http://schemas.openxmlformats.org/officeDocument/2006/relationships/hyperlink" Target="https://app.qwoted.com/sources/darin-rowe" TargetMode="External"/><Relationship Id="rId8318" Type="http://schemas.openxmlformats.org/officeDocument/2006/relationships/hyperlink" Target="https://www.pinoyeplans.com/" TargetMode="External"/><Relationship Id="rId9716" Type="http://schemas.openxmlformats.org/officeDocument/2006/relationships/hyperlink" Target="https://asn.desire2learn.com/content/community" TargetMode="External"/><Relationship Id="rId10595" Type="http://schemas.openxmlformats.org/officeDocument/2006/relationships/hyperlink" Target="http://m.visitmadison.org/site/v/default?url=https%3A%2F%2Fwww.wikihow.com%2FCalculate-Population-Density&amp;dm_device=mobile" TargetMode="External"/><Relationship Id="rId11646" Type="http://schemas.openxmlformats.org/officeDocument/2006/relationships/hyperlink" Target="https://www.hamiltoninternationalestates.com/" TargetMode="External"/><Relationship Id="rId1705" Type="http://schemas.openxmlformats.org/officeDocument/2006/relationships/hyperlink" Target="https://wolfriverelectric.com/" TargetMode="External"/><Relationship Id="rId10248" Type="http://schemas.openxmlformats.org/officeDocument/2006/relationships/hyperlink" Target="https://www.pinoyeplans.com/" TargetMode="External"/><Relationship Id="rId14869" Type="http://schemas.openxmlformats.org/officeDocument/2006/relationships/hyperlink" Target="https://myinteriorpalace.com/" TargetMode="External"/><Relationship Id="rId3877" Type="http://schemas.openxmlformats.org/officeDocument/2006/relationships/hyperlink" Target="https://thecoverguy.com/" TargetMode="External"/><Relationship Id="rId4928" Type="http://schemas.openxmlformats.org/officeDocument/2006/relationships/hyperlink" Target="https://www.simpleshowing.com/" TargetMode="External"/><Relationship Id="rId798" Type="http://schemas.openxmlformats.org/officeDocument/2006/relationships/hyperlink" Target="https://www.schaafsma.com/" TargetMode="External"/><Relationship Id="rId2479" Type="http://schemas.openxmlformats.org/officeDocument/2006/relationships/hyperlink" Target="https://www.pulte.com/" TargetMode="External"/><Relationship Id="rId6350" Type="http://schemas.openxmlformats.org/officeDocument/2006/relationships/hyperlink" Target="https://www.simpleshowing.com/" TargetMode="External"/><Relationship Id="rId7401" Type="http://schemas.openxmlformats.org/officeDocument/2006/relationships/hyperlink" Target="https://www.taylormorrison.com/" TargetMode="External"/><Relationship Id="rId2960" Type="http://schemas.openxmlformats.org/officeDocument/2006/relationships/hyperlink" Target="https://www.bisnow.com/washington-dc/news/mixed-use/long-planned-2m-sf-herndon-project-still-waiting-for-commercial-demand-as-residential-moves-forward-99297" TargetMode="External"/><Relationship Id="rId6003" Type="http://schemas.openxmlformats.org/officeDocument/2006/relationships/hyperlink" Target="https://careers.augustana.edu/blog/2025/07/03/the-hour-a-day-job-hunt-routine-that-works/" TargetMode="External"/><Relationship Id="rId9573" Type="http://schemas.openxmlformats.org/officeDocument/2006/relationships/hyperlink" Target="https://www.pinoyeplans.com/" TargetMode="External"/><Relationship Id="rId13952" Type="http://schemas.openxmlformats.org/officeDocument/2006/relationships/hyperlink" Target="https://faheyroofingcontractors.com/" TargetMode="External"/><Relationship Id="rId932" Type="http://schemas.openxmlformats.org/officeDocument/2006/relationships/hyperlink" Target="https://corbyhomes.com/10-tips-to-turning-your-home-into-a-canvas-for-expression/" TargetMode="External"/><Relationship Id="rId1562" Type="http://schemas.openxmlformats.org/officeDocument/2006/relationships/hyperlink" Target="https://www.examinerlive.co.uk/news/cost-of-living/coffee-habit-costs-you-40-31789025" TargetMode="External"/><Relationship Id="rId2613" Type="http://schemas.openxmlformats.org/officeDocument/2006/relationships/hyperlink" Target="https://www.simpleshowing.com/" TargetMode="External"/><Relationship Id="rId8175" Type="http://schemas.openxmlformats.org/officeDocument/2006/relationships/hyperlink" Target="https://smaarchviz.com/" TargetMode="External"/><Relationship Id="rId9226" Type="http://schemas.openxmlformats.org/officeDocument/2006/relationships/hyperlink" Target="https://capitolductcleaning.com/" TargetMode="External"/><Relationship Id="rId11156" Type="http://schemas.openxmlformats.org/officeDocument/2006/relationships/hyperlink" Target="https://www.waterdamagespecialist.com.au/" TargetMode="External"/><Relationship Id="rId12207" Type="http://schemas.openxmlformats.org/officeDocument/2006/relationships/hyperlink" Target="https://www.hamiltoninternationalestates.com/" TargetMode="External"/><Relationship Id="rId12554" Type="http://schemas.openxmlformats.org/officeDocument/2006/relationships/hyperlink" Target="https://www.shma.co.uk/" TargetMode="External"/><Relationship Id="rId13605" Type="http://schemas.openxmlformats.org/officeDocument/2006/relationships/hyperlink" Target="https://siraplimau.com/berhenti-kerja-untuk-jaga-anak/" TargetMode="External"/><Relationship Id="rId1215" Type="http://schemas.openxmlformats.org/officeDocument/2006/relationships/hyperlink" Target="https://www.simpleshowing.com/" TargetMode="External"/><Relationship Id="rId15777" Type="http://schemas.openxmlformats.org/officeDocument/2006/relationships/hyperlink" Target="https://archidiaries.com/articles/shou-sugi-ban-charred-timber/" TargetMode="External"/><Relationship Id="rId3387" Type="http://schemas.openxmlformats.org/officeDocument/2006/relationships/hyperlink" Target="https://www.simpleshowing.com/" TargetMode="External"/><Relationship Id="rId4785" Type="http://schemas.openxmlformats.org/officeDocument/2006/relationships/hyperlink" Target="https://notoriousrob.com.dream.website/2018/01/book-review-disruptors-discounters-and-doubters/" TargetMode="External"/><Relationship Id="rId5836" Type="http://schemas.openxmlformats.org/officeDocument/2006/relationships/hyperlink" Target="https://www.simpleshowing.com/" TargetMode="External"/><Relationship Id="rId14379" Type="http://schemas.openxmlformats.org/officeDocument/2006/relationships/hyperlink" Target="https://harnessmagazine.com/the-business-of-mental-health-care-the-expanding-role-of-pmhnps/" TargetMode="External"/><Relationship Id="rId4438" Type="http://schemas.openxmlformats.org/officeDocument/2006/relationships/hyperlink" Target="https://www.simpleshowing.com/" TargetMode="External"/><Relationship Id="rId10989" Type="http://schemas.openxmlformats.org/officeDocument/2006/relationships/hyperlink" Target="https://www.pinoyeplans.com/" TargetMode="External"/><Relationship Id="rId14860" Type="http://schemas.openxmlformats.org/officeDocument/2006/relationships/hyperlink" Target="https://myinteriorpalace.com/" TargetMode="External"/><Relationship Id="rId15911" Type="http://schemas.openxmlformats.org/officeDocument/2006/relationships/hyperlink" Target="https://www.raynorkc.com/" TargetMode="External"/><Relationship Id="rId13462" Type="http://schemas.openxmlformats.org/officeDocument/2006/relationships/hyperlink" Target="https://myinteriorpalace.com/" TargetMode="External"/><Relationship Id="rId14513" Type="http://schemas.openxmlformats.org/officeDocument/2006/relationships/hyperlink" Target="https://www.easygaragedoorrepair.com/" TargetMode="External"/><Relationship Id="rId2470" Type="http://schemas.openxmlformats.org/officeDocument/2006/relationships/hyperlink" Target="https://www.pulte.com/" TargetMode="External"/><Relationship Id="rId3521" Type="http://schemas.openxmlformats.org/officeDocument/2006/relationships/hyperlink" Target="https://www.michiganpublic.org/auto/2011-09-03/president-obamas-economic-plans-could-affect-michigan-home-builder" TargetMode="External"/><Relationship Id="rId9083" Type="http://schemas.openxmlformats.org/officeDocument/2006/relationships/hyperlink" Target="https://fontsarena.com/blog/the-importance-of-accurate-cost-estimation-in-construction-projects/" TargetMode="External"/><Relationship Id="rId12064" Type="http://schemas.openxmlformats.org/officeDocument/2006/relationships/hyperlink" Target="https://www.bobvila.com/" TargetMode="External"/><Relationship Id="rId13115" Type="http://schemas.openxmlformats.org/officeDocument/2006/relationships/hyperlink" Target="https://www.shma.co.uk/" TargetMode="External"/><Relationship Id="rId442" Type="http://schemas.openxmlformats.org/officeDocument/2006/relationships/hyperlink" Target="https://ducknc.gov/recreation-special-events/summer-events/" TargetMode="External"/><Relationship Id="rId1072" Type="http://schemas.openxmlformats.org/officeDocument/2006/relationships/hyperlink" Target="https://www.matrixbasements.com/" TargetMode="External"/><Relationship Id="rId2123" Type="http://schemas.openxmlformats.org/officeDocument/2006/relationships/hyperlink" Target="https://www.dealingsuccess.com/navigating-buyer-possession-dates-key-considerations-for-successful-deals/" TargetMode="External"/><Relationship Id="rId5693" Type="http://schemas.openxmlformats.org/officeDocument/2006/relationships/hyperlink" Target="https://careerdevelopment.acu.edu/blog/2025/11/07/a-job-search-playbook-five-weekly-habits-that-deliver-results/" TargetMode="External"/><Relationship Id="rId6744" Type="http://schemas.openxmlformats.org/officeDocument/2006/relationships/hyperlink" Target="https://www.simpleshowing.com/" TargetMode="External"/><Relationship Id="rId15287" Type="http://schemas.openxmlformats.org/officeDocument/2006/relationships/hyperlink" Target="https://www.luxdeco.com/" TargetMode="External"/><Relationship Id="rId4295" Type="http://schemas.openxmlformats.org/officeDocument/2006/relationships/hyperlink" Target="https://www.kapre.com/" TargetMode="External"/><Relationship Id="rId5346" Type="http://schemas.openxmlformats.org/officeDocument/2006/relationships/hyperlink" Target="https://www.simpleshowing.com/" TargetMode="External"/><Relationship Id="rId9967" Type="http://schemas.openxmlformats.org/officeDocument/2006/relationships/hyperlink" Target="https://www.teachengineering.org/" TargetMode="External"/><Relationship Id="rId11897" Type="http://schemas.openxmlformats.org/officeDocument/2006/relationships/hyperlink" Target="https://www.farmersalmanac.com/calendar/gardening" TargetMode="External"/><Relationship Id="rId12948" Type="http://schemas.openxmlformats.org/officeDocument/2006/relationships/hyperlink" Target="https://www.findmassleads.com/websites/shma.co.uk?h=0884282244" TargetMode="External"/><Relationship Id="rId1956" Type="http://schemas.openxmlformats.org/officeDocument/2006/relationships/hyperlink" Target="https://www.simpleshowing.com/" TargetMode="External"/><Relationship Id="rId8569" Type="http://schemas.openxmlformats.org/officeDocument/2006/relationships/hyperlink" Target="https://knowmedge.com/medical_boards_forum/viewtopic.php?f=22&amp;t=14287" TargetMode="External"/><Relationship Id="rId10499" Type="http://schemas.openxmlformats.org/officeDocument/2006/relationships/hyperlink" Target="https://www.fishwildlife.org/projectwild/step-stem-and-wild-work/color-crazy" TargetMode="External"/><Relationship Id="rId14370" Type="http://schemas.openxmlformats.org/officeDocument/2006/relationships/hyperlink" Target="https://www.thesportsbank.net/the-bank/why-nashville-is-leading-the-pickleball-revolution/" TargetMode="External"/><Relationship Id="rId15421" Type="http://schemas.openxmlformats.org/officeDocument/2006/relationships/hyperlink" Target="https://myinteriorpalace.com/" TargetMode="External"/><Relationship Id="rId1609" Type="http://schemas.openxmlformats.org/officeDocument/2006/relationships/hyperlink" Target="https://wolfriverelectric.com/" TargetMode="External"/><Relationship Id="rId14023" Type="http://schemas.openxmlformats.org/officeDocument/2006/relationships/hyperlink" Target="https://myinteriorpalace.com/" TargetMode="External"/><Relationship Id="rId3031" Type="http://schemas.openxmlformats.org/officeDocument/2006/relationships/hyperlink" Target="https://www.pulte.com/" TargetMode="External"/><Relationship Id="rId7652" Type="http://schemas.openxmlformats.org/officeDocument/2006/relationships/hyperlink" Target="https://www.taylormorrison.com/" TargetMode="External"/><Relationship Id="rId8703" Type="http://schemas.openxmlformats.org/officeDocument/2006/relationships/hyperlink" Target="https://lubelska.co.uk/" TargetMode="External"/><Relationship Id="rId10980" Type="http://schemas.openxmlformats.org/officeDocument/2006/relationships/hyperlink" Target="https://www.pinoyeplans.com/" TargetMode="External"/><Relationship Id="rId16195" Type="http://schemas.openxmlformats.org/officeDocument/2006/relationships/hyperlink" Target="https://myinteriorpalace.com/" TargetMode="External"/><Relationship Id="rId6254" Type="http://schemas.openxmlformats.org/officeDocument/2006/relationships/hyperlink" Target="https://www.simpleshowing.com/" TargetMode="External"/><Relationship Id="rId7305" Type="http://schemas.openxmlformats.org/officeDocument/2006/relationships/hyperlink" Target="https://www.simpleshowing.com/" TargetMode="External"/><Relationship Id="rId10633" Type="http://schemas.openxmlformats.org/officeDocument/2006/relationships/hyperlink" Target="https://www.teachengineering.org/" TargetMode="External"/><Relationship Id="rId9477" Type="http://schemas.openxmlformats.org/officeDocument/2006/relationships/hyperlink" Target="https://www.pinoyeplans.com/" TargetMode="External"/><Relationship Id="rId13856" Type="http://schemas.openxmlformats.org/officeDocument/2006/relationships/hyperlink" Target="https://embeltonflooring.com/" TargetMode="External"/><Relationship Id="rId14907" Type="http://schemas.openxmlformats.org/officeDocument/2006/relationships/hyperlink" Target="https://t2conline.com/what-are-you-paying-for-water-in-central-coast/" TargetMode="External"/><Relationship Id="rId1466" Type="http://schemas.openxmlformats.org/officeDocument/2006/relationships/hyperlink" Target="https://grabjobs.co/us/job/contract/others/1099-bath-installer-143772763" TargetMode="External"/><Relationship Id="rId2864" Type="http://schemas.openxmlformats.org/officeDocument/2006/relationships/hyperlink" Target="https://www.datainsightsmarket.com/reports/residential-construction-1365108" TargetMode="External"/><Relationship Id="rId3915" Type="http://schemas.openxmlformats.org/officeDocument/2006/relationships/hyperlink" Target="https://www.simpleshowing.com/" TargetMode="External"/><Relationship Id="rId8079" Type="http://schemas.openxmlformats.org/officeDocument/2006/relationships/hyperlink" Target="https://johnsonrestoration.net/" TargetMode="External"/><Relationship Id="rId12458" Type="http://schemas.openxmlformats.org/officeDocument/2006/relationships/hyperlink" Target="https://www.mishcon.com/news/the-impact-of-private-rented-sector-reforms-on-the-student-accommodation-market" TargetMode="External"/><Relationship Id="rId13509" Type="http://schemas.openxmlformats.org/officeDocument/2006/relationships/hyperlink" Target="https://s3.us-west-004.backblazeb2.com/plumber-adelaide/plumber-adelaide/plumber-adelaide.html" TargetMode="External"/><Relationship Id="rId836" Type="http://schemas.openxmlformats.org/officeDocument/2006/relationships/hyperlink" Target="https://www.fieldpromax.com/blog/digital-reporting-real-time-data-improve-pest-control" TargetMode="External"/><Relationship Id="rId1119" Type="http://schemas.openxmlformats.org/officeDocument/2006/relationships/hyperlink" Target="https://www.simpleshowing.com/" TargetMode="External"/><Relationship Id="rId2517" Type="http://schemas.openxmlformats.org/officeDocument/2006/relationships/hyperlink" Target="https://www.simpleshowing.com/" TargetMode="External"/><Relationship Id="rId4689" Type="http://schemas.openxmlformats.org/officeDocument/2006/relationships/hyperlink" Target="https://www.usamls.net/topsailisland/default.asp?content=links&amp;menu_id=8814" TargetMode="External"/><Relationship Id="rId8560" Type="http://schemas.openxmlformats.org/officeDocument/2006/relationships/hyperlink" Target="https://theinspirationgrid.com/architectual-concepts-visualization-by-cylind/" TargetMode="External"/><Relationship Id="rId9611" Type="http://schemas.openxmlformats.org/officeDocument/2006/relationships/hyperlink" Target="https://link.springer.com/article/10.1007/s11165-024-10158-5" TargetMode="External"/><Relationship Id="rId10490" Type="http://schemas.openxmlformats.org/officeDocument/2006/relationships/hyperlink" Target="https://ed.ted.com/lessons/the-science-of-static-electricity-anuradha-bhagwat/digdeeper" TargetMode="External"/><Relationship Id="rId11541" Type="http://schemas.openxmlformats.org/officeDocument/2006/relationships/hyperlink" Target="https://sellhousefast.uk/" TargetMode="External"/><Relationship Id="rId1600" Type="http://schemas.openxmlformats.org/officeDocument/2006/relationships/hyperlink" Target="https://wolfriverelectric.com/" TargetMode="External"/><Relationship Id="rId7162" Type="http://schemas.openxmlformats.org/officeDocument/2006/relationships/hyperlink" Target="https://www.simpleshowing.com/" TargetMode="External"/><Relationship Id="rId8213" Type="http://schemas.openxmlformats.org/officeDocument/2006/relationships/hyperlink" Target="https://www.pinoyeplans.com/" TargetMode="External"/><Relationship Id="rId10143" Type="http://schemas.openxmlformats.org/officeDocument/2006/relationships/hyperlink" Target="https://www.pinoyeplans.com/" TargetMode="External"/><Relationship Id="rId3772" Type="http://schemas.openxmlformats.org/officeDocument/2006/relationships/hyperlink" Target="https://thecoverguy.com/" TargetMode="External"/><Relationship Id="rId4823" Type="http://schemas.openxmlformats.org/officeDocument/2006/relationships/hyperlink" Target="https://www.kapre.com/" TargetMode="External"/><Relationship Id="rId13366" Type="http://schemas.openxmlformats.org/officeDocument/2006/relationships/hyperlink" Target="https://myinteriorpalace.com/" TargetMode="External"/><Relationship Id="rId14417" Type="http://schemas.openxmlformats.org/officeDocument/2006/relationships/hyperlink" Target="https://luxurylifestyle.com/" TargetMode="External"/><Relationship Id="rId14764" Type="http://schemas.openxmlformats.org/officeDocument/2006/relationships/hyperlink" Target="https://myinteriorpalace.com/" TargetMode="External"/><Relationship Id="rId15815" Type="http://schemas.openxmlformats.org/officeDocument/2006/relationships/hyperlink" Target="https://www.modinex.com.au/" TargetMode="External"/><Relationship Id="rId693" Type="http://schemas.openxmlformats.org/officeDocument/2006/relationships/hyperlink" Target="https://www.carolinadesigns.com/" TargetMode="External"/><Relationship Id="rId2374" Type="http://schemas.openxmlformats.org/officeDocument/2006/relationships/hyperlink" Target="https://www.pulte.com/" TargetMode="External"/><Relationship Id="rId3425" Type="http://schemas.openxmlformats.org/officeDocument/2006/relationships/hyperlink" Target="https://www.newestateonly.com/project/zephyrhills-riverwood-65b0cf845c06d02407a3c5e0/homedesignId/medina-65b0ea725c06d02407a65dd2" TargetMode="External"/><Relationship Id="rId13019" Type="http://schemas.openxmlformats.org/officeDocument/2006/relationships/hyperlink" Target="https://www.shma.co.uk/" TargetMode="External"/><Relationship Id="rId346" Type="http://schemas.openxmlformats.org/officeDocument/2006/relationships/hyperlink" Target="http://northernvirginiahomepro.com/" TargetMode="External"/><Relationship Id="rId2027" Type="http://schemas.openxmlformats.org/officeDocument/2006/relationships/hyperlink" Target="https://www.financemostly.com/selling-your-house-as-is-what-to-expect-and-how-to-prepare/" TargetMode="External"/><Relationship Id="rId5597" Type="http://schemas.openxmlformats.org/officeDocument/2006/relationships/hyperlink" Target="https://www.needingadvice.co.uk/can-i-remortgage-to-pay-off-debt/" TargetMode="External"/><Relationship Id="rId6995" Type="http://schemas.openxmlformats.org/officeDocument/2006/relationships/hyperlink" Target="https://www.taylormorrison.com/" TargetMode="External"/><Relationship Id="rId4199" Type="http://schemas.openxmlformats.org/officeDocument/2006/relationships/hyperlink" Target="https://www.kapre.com/" TargetMode="External"/><Relationship Id="rId6648" Type="http://schemas.openxmlformats.org/officeDocument/2006/relationships/hyperlink" Target="https://interiordesign.net/designwire/thermasol-s-serenity-light-sound-rainhead-provides-therapeutic-shower-experience/" TargetMode="External"/><Relationship Id="rId8070" Type="http://schemas.openxmlformats.org/officeDocument/2006/relationships/hyperlink" Target="https://johnsonrestoration.net/" TargetMode="External"/><Relationship Id="rId9121" Type="http://schemas.openxmlformats.org/officeDocument/2006/relationships/hyperlink" Target="https://nycestimating.us/" TargetMode="External"/><Relationship Id="rId13500" Type="http://schemas.openxmlformats.org/officeDocument/2006/relationships/hyperlink" Target="https://stringlabscreative.com/precision-and-performance-why-smart-tools-digital-strategy-and-expertise-matter-more-than-ever/" TargetMode="External"/><Relationship Id="rId11051" Type="http://schemas.openxmlformats.org/officeDocument/2006/relationships/hyperlink" Target="https://blog.sparkedu.com/blog/2023/07/06/top-3-fun-stem-activities-for-primary-4-kids/" TargetMode="External"/><Relationship Id="rId12102" Type="http://schemas.openxmlformats.org/officeDocument/2006/relationships/hyperlink" Target="https://www.hamiltoninternationalestates.com/" TargetMode="External"/><Relationship Id="rId15672" Type="http://schemas.openxmlformats.org/officeDocument/2006/relationships/hyperlink" Target="https://www.ireland-live.ie/news/life/966731/15-stylish-and-affordable-gifts-for-the-home.html" TargetMode="External"/><Relationship Id="rId1110" Type="http://schemas.openxmlformats.org/officeDocument/2006/relationships/hyperlink" Target="https://www.simpleshowing.com/" TargetMode="External"/><Relationship Id="rId4680" Type="http://schemas.openxmlformats.org/officeDocument/2006/relationships/hyperlink" Target="https://www.kktv.com/2024/05/27/high-school-seniors-can-now-get-real-estate-license-free-this-state/" TargetMode="External"/><Relationship Id="rId5731" Type="http://schemas.openxmlformats.org/officeDocument/2006/relationships/hyperlink" Target="https://buggybuddys.com.au/what-every-family-needs-to-know-about-making-smart-financial-choices/" TargetMode="External"/><Relationship Id="rId14274" Type="http://schemas.openxmlformats.org/officeDocument/2006/relationships/hyperlink" Target="https://blog.myjordanjourney.com/jordan-in-the-press/tag/luxury" TargetMode="External"/><Relationship Id="rId15325" Type="http://schemas.openxmlformats.org/officeDocument/2006/relationships/hyperlink" Target="https://myinteriorpalace.com/" TargetMode="External"/><Relationship Id="rId3282" Type="http://schemas.openxmlformats.org/officeDocument/2006/relationships/hyperlink" Target="https://www.simpleshowing.com/" TargetMode="External"/><Relationship Id="rId4333" Type="http://schemas.openxmlformats.org/officeDocument/2006/relationships/hyperlink" Target="https://www.simpleshowing.com/" TargetMode="External"/><Relationship Id="rId8954" Type="http://schemas.openxmlformats.org/officeDocument/2006/relationships/hyperlink" Target="https://braflix.org.uk/understanding-digital-tools-for-precise-lumber-takeoff/" TargetMode="External"/><Relationship Id="rId7556" Type="http://schemas.openxmlformats.org/officeDocument/2006/relationships/hyperlink" Target="https://www.taylormorrison.com/" TargetMode="External"/><Relationship Id="rId8607" Type="http://schemas.openxmlformats.org/officeDocument/2006/relationships/hyperlink" Target="https://www.buyersadvocate.com.au/" TargetMode="External"/><Relationship Id="rId10884" Type="http://schemas.openxmlformats.org/officeDocument/2006/relationships/hyperlink" Target="https://www.pinoyeplans.com/" TargetMode="External"/><Relationship Id="rId11935" Type="http://schemas.openxmlformats.org/officeDocument/2006/relationships/hyperlink" Target="https://www.bobvila.com/" TargetMode="External"/><Relationship Id="rId16099" Type="http://schemas.openxmlformats.org/officeDocument/2006/relationships/hyperlink" Target="https://myinteriorpalace.com/" TargetMode="External"/><Relationship Id="rId6158" Type="http://schemas.openxmlformats.org/officeDocument/2006/relationships/hyperlink" Target="https://www.simpleshowing.com/" TargetMode="External"/><Relationship Id="rId7209" Type="http://schemas.openxmlformats.org/officeDocument/2006/relationships/hyperlink" Target="https://www.simpleshowing.com/" TargetMode="External"/><Relationship Id="rId10537" Type="http://schemas.openxmlformats.org/officeDocument/2006/relationships/hyperlink" Target="https://www.teachengineering.org/" TargetMode="External"/><Relationship Id="rId13010" Type="http://schemas.openxmlformats.org/officeDocument/2006/relationships/hyperlink" Target="https://www.shma.co.uk/" TargetMode="External"/><Relationship Id="rId2768" Type="http://schemas.openxmlformats.org/officeDocument/2006/relationships/hyperlink" Target="https://floridayimby.com/2021/07/55-community-boca-flores-finishes-construction-at-9050-vista-del-lago-boca-raton-fl-33428.html" TargetMode="External"/><Relationship Id="rId3819" Type="http://schemas.openxmlformats.org/officeDocument/2006/relationships/hyperlink" Target="https://www.simpleshowing.com/" TargetMode="External"/><Relationship Id="rId15182" Type="http://schemas.openxmlformats.org/officeDocument/2006/relationships/hyperlink" Target="https://www.luxdeco.com/" TargetMode="External"/><Relationship Id="rId16233" Type="http://schemas.openxmlformats.org/officeDocument/2006/relationships/hyperlink" Target="https://3dbrute.com/download/perth-fabric-bed-frame/" TargetMode="External"/><Relationship Id="rId4190" Type="http://schemas.openxmlformats.org/officeDocument/2006/relationships/hyperlink" Target="https://www.kapre.com/" TargetMode="External"/><Relationship Id="rId5241" Type="http://schemas.openxmlformats.org/officeDocument/2006/relationships/hyperlink" Target="https://rentredi.com/blog/short-mid-or-long-term-rentals-how-to-choose-the-best-property-strategy/" TargetMode="External"/><Relationship Id="rId9862" Type="http://schemas.openxmlformats.org/officeDocument/2006/relationships/hyperlink" Target="https://www.teachengineering.org/" TargetMode="External"/><Relationship Id="rId11792" Type="http://schemas.openxmlformats.org/officeDocument/2006/relationships/hyperlink" Target="https://skintdad.co.uk/moving-abroad-cheaper-than-staying-put/" TargetMode="External"/><Relationship Id="rId76" Type="http://schemas.openxmlformats.org/officeDocument/2006/relationships/hyperlink" Target="http://tricklings.com/" TargetMode="External"/><Relationship Id="rId1851" Type="http://schemas.openxmlformats.org/officeDocument/2006/relationships/hyperlink" Target="https://www.simpleshowing.com/" TargetMode="External"/><Relationship Id="rId2902" Type="http://schemas.openxmlformats.org/officeDocument/2006/relationships/hyperlink" Target="https://www.pulte.com/" TargetMode="External"/><Relationship Id="rId8464" Type="http://schemas.openxmlformats.org/officeDocument/2006/relationships/hyperlink" Target="https://hickmandesign.co.uk/blog/recommendations/top-countries-with-the-best-conditions-for-opening-a-3d-visualisation-studio/" TargetMode="External"/><Relationship Id="rId9515" Type="http://schemas.openxmlformats.org/officeDocument/2006/relationships/hyperlink" Target="https://www.codewizardshq.com/homeschool-stem-elective-guide/" TargetMode="External"/><Relationship Id="rId10394" Type="http://schemas.openxmlformats.org/officeDocument/2006/relationships/hyperlink" Target="https://admissionsight.com/all-about-rube-goldberg-machine/" TargetMode="External"/><Relationship Id="rId11445" Type="http://schemas.openxmlformats.org/officeDocument/2006/relationships/hyperlink" Target="https://sellhousefast.uk/" TargetMode="External"/><Relationship Id="rId12843" Type="http://schemas.openxmlformats.org/officeDocument/2006/relationships/hyperlink" Target="https://wealthandfinance.digital/divorce-jurisdiction-and-financial-relief-applications/" TargetMode="External"/><Relationship Id="rId1504" Type="http://schemas.openxmlformats.org/officeDocument/2006/relationships/hyperlink" Target="https://wolfriverelectric.com/" TargetMode="External"/><Relationship Id="rId7066" Type="http://schemas.openxmlformats.org/officeDocument/2006/relationships/hyperlink" Target="https://www.simpleshowing.com/" TargetMode="External"/><Relationship Id="rId8117" Type="http://schemas.openxmlformats.org/officeDocument/2006/relationships/hyperlink" Target="https://www.pinoyeplans.com/" TargetMode="External"/><Relationship Id="rId10047" Type="http://schemas.openxmlformats.org/officeDocument/2006/relationships/hyperlink" Target="https://www.pinoyeplans.com/" TargetMode="External"/><Relationship Id="rId3676" Type="http://schemas.openxmlformats.org/officeDocument/2006/relationships/hyperlink" Target="https://www.overheaddoors.com/" TargetMode="External"/><Relationship Id="rId14668" Type="http://schemas.openxmlformats.org/officeDocument/2006/relationships/hyperlink" Target="https://myinteriorpalace.com/" TargetMode="External"/><Relationship Id="rId15719" Type="http://schemas.openxmlformats.org/officeDocument/2006/relationships/hyperlink" Target="https://www.modinex.com.au/" TargetMode="External"/><Relationship Id="rId16090" Type="http://schemas.openxmlformats.org/officeDocument/2006/relationships/hyperlink" Target="https://myinteriorpalace.com/" TargetMode="External"/><Relationship Id="rId597" Type="http://schemas.openxmlformats.org/officeDocument/2006/relationships/hyperlink" Target="https://www.carolinadesigns.com/" TargetMode="External"/><Relationship Id="rId2278" Type="http://schemas.openxmlformats.org/officeDocument/2006/relationships/hyperlink" Target="https://www.collectionforsyth.com/" TargetMode="External"/><Relationship Id="rId3329" Type="http://schemas.openxmlformats.org/officeDocument/2006/relationships/hyperlink" Target="https://www.adventhealth.com/news/adventhealth-del-webb-announce-innovative-wellness-partnership-residents-lake-nona-area-community" TargetMode="External"/><Relationship Id="rId4727" Type="http://schemas.openxmlformats.org/officeDocument/2006/relationships/hyperlink" Target="https://www.kapre.com/" TargetMode="External"/><Relationship Id="rId7200" Type="http://schemas.openxmlformats.org/officeDocument/2006/relationships/hyperlink" Target="https://www.simpleshowing.com/" TargetMode="External"/><Relationship Id="rId6899" Type="http://schemas.openxmlformats.org/officeDocument/2006/relationships/hyperlink" Target="https://www.bhg.com/sensory-friendly-design-trend-11738496" TargetMode="External"/><Relationship Id="rId13751" Type="http://schemas.openxmlformats.org/officeDocument/2006/relationships/hyperlink" Target="https://anationofmoms.com/" TargetMode="External"/><Relationship Id="rId14802" Type="http://schemas.openxmlformats.org/officeDocument/2006/relationships/hyperlink" Target="http://forum.orangepi.org/forum.php?mod=viewthread&amp;tid=3616" TargetMode="External"/><Relationship Id="rId3810" Type="http://schemas.openxmlformats.org/officeDocument/2006/relationships/hyperlink" Target="https://www.simpleshowing.com/" TargetMode="External"/><Relationship Id="rId9372" Type="http://schemas.openxmlformats.org/officeDocument/2006/relationships/hyperlink" Target="https://www.pinoyeplans.com/" TargetMode="External"/><Relationship Id="rId12353" Type="http://schemas.openxmlformats.org/officeDocument/2006/relationships/hyperlink" Target="https://prosperity-wealth.co.uk/news/best-places-to-invest-in-uk-property-2026/" TargetMode="External"/><Relationship Id="rId13404" Type="http://schemas.openxmlformats.org/officeDocument/2006/relationships/hyperlink" Target="https://www.storypirates.com/nothing-is-impossible-album" TargetMode="External"/><Relationship Id="rId731" Type="http://schemas.openxmlformats.org/officeDocument/2006/relationships/hyperlink" Target="https://www.simpleshowing.com/" TargetMode="External"/><Relationship Id="rId1361" Type="http://schemas.openxmlformats.org/officeDocument/2006/relationships/hyperlink" Target="https://www.beaumontenterprise.com/realestate/article/how-a-national-housing-emergency-could-open-more-21041521.php" TargetMode="External"/><Relationship Id="rId2412" Type="http://schemas.openxmlformats.org/officeDocument/2006/relationships/hyperlink" Target="https://www.simpleshowing.com/" TargetMode="External"/><Relationship Id="rId5982" Type="http://schemas.openxmlformats.org/officeDocument/2006/relationships/hyperlink" Target="https://www.simpleshowing.com/" TargetMode="External"/><Relationship Id="rId9025" Type="http://schemas.openxmlformats.org/officeDocument/2006/relationships/hyperlink" Target="https://nycestimating.us/" TargetMode="External"/><Relationship Id="rId12006" Type="http://schemas.openxmlformats.org/officeDocument/2006/relationships/hyperlink" Target="https://www.hamiltoninternationalestates.com/" TargetMode="External"/><Relationship Id="rId15576" Type="http://schemas.openxmlformats.org/officeDocument/2006/relationships/hyperlink" Target="https://www.thenationalnews.com/arts/the-hot-list-the-silver-screen-1.240912" TargetMode="External"/><Relationship Id="rId1014" Type="http://schemas.openxmlformats.org/officeDocument/2006/relationships/hyperlink" Target="https://www.simpleshowing.com/" TargetMode="External"/><Relationship Id="rId4584" Type="http://schemas.openxmlformats.org/officeDocument/2006/relationships/hyperlink" Target="https://www.wtvy.com/2024/05/27/high-school-seniors-can-now-get-real-estate-license-free-this-state/" TargetMode="External"/><Relationship Id="rId5635" Type="http://schemas.openxmlformats.org/officeDocument/2006/relationships/hyperlink" Target="https://siliconvalleytime.com/finance/involving-children-in-household-budgeting/" TargetMode="External"/><Relationship Id="rId14178" Type="http://schemas.openxmlformats.org/officeDocument/2006/relationships/hyperlink" Target="https://www.islandroutes.com/press-media" TargetMode="External"/><Relationship Id="rId15229" Type="http://schemas.openxmlformats.org/officeDocument/2006/relationships/hyperlink" Target="https://myinteriorpalace.com/" TargetMode="External"/><Relationship Id="rId3186" Type="http://schemas.openxmlformats.org/officeDocument/2006/relationships/hyperlink" Target="https://www.simpleshowing.com/" TargetMode="External"/><Relationship Id="rId4237" Type="http://schemas.openxmlformats.org/officeDocument/2006/relationships/hyperlink" Target="https://www.simpleshowing.com/" TargetMode="External"/><Relationship Id="rId8858" Type="http://schemas.openxmlformats.org/officeDocument/2006/relationships/hyperlink" Target="https://www.joe.co.uk/life/giant-rats-the-size-of-cats-invading-british-homes-through-our-toilets-expert-warns-291696" TargetMode="External"/><Relationship Id="rId9909" Type="http://schemas.openxmlformats.org/officeDocument/2006/relationships/hyperlink" Target="https://www.pinoyeplans.com/" TargetMode="External"/><Relationship Id="rId10788" Type="http://schemas.openxmlformats.org/officeDocument/2006/relationships/hyperlink" Target="https://www.pinoyeplans.com/" TargetMode="External"/><Relationship Id="rId11839" Type="http://schemas.openxmlformats.org/officeDocument/2006/relationships/hyperlink" Target="https://sellhousefast.uk/" TargetMode="External"/><Relationship Id="rId15710" Type="http://schemas.openxmlformats.org/officeDocument/2006/relationships/hyperlink" Target="https://www.modinex.com.au/" TargetMode="External"/><Relationship Id="rId13261" Type="http://schemas.openxmlformats.org/officeDocument/2006/relationships/hyperlink" Target="https://propertypressonline.co.uk/" TargetMode="External"/><Relationship Id="rId14312" Type="http://schemas.openxmlformats.org/officeDocument/2006/relationships/hyperlink" Target="https://luxurylifestyle.com/" TargetMode="External"/><Relationship Id="rId241" Type="http://schemas.openxmlformats.org/officeDocument/2006/relationships/hyperlink" Target="https://bestutahrealestate.com/news/how-much-does-it-cost-to-move-a-three-bedroom-house" TargetMode="External"/><Relationship Id="rId3320" Type="http://schemas.openxmlformats.org/officeDocument/2006/relationships/hyperlink" Target="https://bbtw.cheddar.com/p/oracle-soars-as-it-cashes-in-on-the-ai-boom" TargetMode="External"/><Relationship Id="rId6890" Type="http://schemas.openxmlformats.org/officeDocument/2006/relationships/hyperlink" Target="https://www.cpr.org/sponsors/" TargetMode="External"/><Relationship Id="rId7941" Type="http://schemas.openxmlformats.org/officeDocument/2006/relationships/hyperlink" Target="https://certifiedrestorationinc.com/" TargetMode="External"/><Relationship Id="rId5492" Type="http://schemas.openxmlformats.org/officeDocument/2006/relationships/hyperlink" Target="https://www.simpleshowing.com/" TargetMode="External"/><Relationship Id="rId6543" Type="http://schemas.openxmlformats.org/officeDocument/2006/relationships/hyperlink" Target="https://www.steamsaunabath.com/thermasol" TargetMode="External"/><Relationship Id="rId10922" Type="http://schemas.openxmlformats.org/officeDocument/2006/relationships/hyperlink" Target="https://oer.lib.polyu.edu.hk/concern/works/6395w711g?locale=en" TargetMode="External"/><Relationship Id="rId15086" Type="http://schemas.openxmlformats.org/officeDocument/2006/relationships/hyperlink" Target="https://www.luxdeco.com/" TargetMode="External"/><Relationship Id="rId16137" Type="http://schemas.openxmlformats.org/officeDocument/2006/relationships/hyperlink" Target="https://www.healthstaffdiscounts.co.uk/biz/a/44972-united-carpets-wrexham" TargetMode="External"/><Relationship Id="rId4094" Type="http://schemas.openxmlformats.org/officeDocument/2006/relationships/hyperlink" Target="https://www.kapre.com/" TargetMode="External"/><Relationship Id="rId5145" Type="http://schemas.openxmlformats.org/officeDocument/2006/relationships/hyperlink" Target="https://www.nwitimes.com/news/" TargetMode="External"/><Relationship Id="rId9766" Type="http://schemas.openxmlformats.org/officeDocument/2006/relationships/hyperlink" Target="https://www.teachengineering.org/" TargetMode="External"/><Relationship Id="rId1755" Type="http://schemas.openxmlformats.org/officeDocument/2006/relationships/hyperlink" Target="https://www.simpleshowing.com/" TargetMode="External"/><Relationship Id="rId8368" Type="http://schemas.openxmlformats.org/officeDocument/2006/relationships/hyperlink" Target="https://redandwhitemagz.com/how-to-manage-invest-your-finances-6-professional-tips-to-follow/" TargetMode="External"/><Relationship Id="rId9419" Type="http://schemas.openxmlformats.org/officeDocument/2006/relationships/hyperlink" Target="https://blog.alliancegator.com/the-4-types-of-geotextiles-explained" TargetMode="External"/><Relationship Id="rId10298" Type="http://schemas.openxmlformats.org/officeDocument/2006/relationships/hyperlink" Target="https://www.teachersfirst.com/exclusives/moreless/librarian/water-water-everywhere.php" TargetMode="External"/><Relationship Id="rId11349" Type="http://schemas.openxmlformats.org/officeDocument/2006/relationships/hyperlink" Target="http://webuyhouses.com/" TargetMode="External"/><Relationship Id="rId11696" Type="http://schemas.openxmlformats.org/officeDocument/2006/relationships/hyperlink" Target="https://retailtechinnovationhub.com/home/2025/5/16/commercial-property-investing-has-changed-forever-according-to-this-real-estate-fund-manager" TargetMode="External"/><Relationship Id="rId12747" Type="http://schemas.openxmlformats.org/officeDocument/2006/relationships/hyperlink" Target="https://growthbusiness.co.uk/how-do-you-value-your-business-when-you-dont-know-what-the-future-holds-18435/" TargetMode="External"/><Relationship Id="rId1408" Type="http://schemas.openxmlformats.org/officeDocument/2006/relationships/hyperlink" Target="https://ritewindow.com/blog/3-indicators-its-time-to-upgrade-your-shower-or-bath/" TargetMode="External"/><Relationship Id="rId2806" Type="http://schemas.openxmlformats.org/officeDocument/2006/relationships/hyperlink" Target="https://www.pulte.com/" TargetMode="External"/><Relationship Id="rId15220" Type="http://schemas.openxmlformats.org/officeDocument/2006/relationships/hyperlink" Target="https://myinteriorpalace.com/" TargetMode="External"/><Relationship Id="rId4978" Type="http://schemas.openxmlformats.org/officeDocument/2006/relationships/hyperlink" Target="https://www.simpleshowing.com/" TargetMode="External"/><Relationship Id="rId9900" Type="http://schemas.openxmlformats.org/officeDocument/2006/relationships/hyperlink" Target="https://www.pinoyeplans.com/" TargetMode="External"/><Relationship Id="rId11830" Type="http://schemas.openxmlformats.org/officeDocument/2006/relationships/hyperlink" Target="https://sellhousefast.uk/" TargetMode="External"/><Relationship Id="rId6053" Type="http://schemas.openxmlformats.org/officeDocument/2006/relationships/hyperlink" Target="https://frayedpassport.com/how-to-regain-control-of-your-finances-tips-for-saving-more-and-cutting-debt/" TargetMode="External"/><Relationship Id="rId7451" Type="http://schemas.openxmlformats.org/officeDocument/2006/relationships/hyperlink" Target="https://www.taylormorrison.com/" TargetMode="External"/><Relationship Id="rId8502" Type="http://schemas.openxmlformats.org/officeDocument/2006/relationships/hyperlink" Target="https://www.cylind.com/" TargetMode="External"/><Relationship Id="rId10432" Type="http://schemas.openxmlformats.org/officeDocument/2006/relationships/hyperlink" Target="https://www.teachengineering.org/" TargetMode="External"/><Relationship Id="rId7104" Type="http://schemas.openxmlformats.org/officeDocument/2006/relationships/hyperlink" Target="https://weissratings.com/en/stock/tmhc-nyse" TargetMode="External"/><Relationship Id="rId13655" Type="http://schemas.openxmlformats.org/officeDocument/2006/relationships/hyperlink" Target="https://anationofmoms.com/" TargetMode="External"/><Relationship Id="rId14706" Type="http://schemas.openxmlformats.org/officeDocument/2006/relationships/hyperlink" Target="https://www.solutionhow.com/en-us/home-improvement/5-challenges-you-could-face-with-your-garage-door/" TargetMode="External"/><Relationship Id="rId982" Type="http://schemas.openxmlformats.org/officeDocument/2006/relationships/hyperlink" Target="https://www.matrixbasements.com/" TargetMode="External"/><Relationship Id="rId2663" Type="http://schemas.openxmlformats.org/officeDocument/2006/relationships/hyperlink" Target="https://www.nndb.com/company/637/000062451/" TargetMode="External"/><Relationship Id="rId3714" Type="http://schemas.openxmlformats.org/officeDocument/2006/relationships/hyperlink" Target="https://www.simpleshowing.com/" TargetMode="External"/><Relationship Id="rId9276" Type="http://schemas.openxmlformats.org/officeDocument/2006/relationships/hyperlink" Target="https://www.pinoyeplans.com/" TargetMode="External"/><Relationship Id="rId12257" Type="http://schemas.openxmlformats.org/officeDocument/2006/relationships/hyperlink" Target="https://www.leicestermercury.co.uk/news/local-news/specialist-one-one-swim-school-8837236" TargetMode="External"/><Relationship Id="rId13308" Type="http://schemas.openxmlformats.org/officeDocument/2006/relationships/hyperlink" Target="https://www.grandmashousediy.com/how-to-strike-the-balance-between-a-modern-and-traditional-home/" TargetMode="External"/><Relationship Id="rId635" Type="http://schemas.openxmlformats.org/officeDocument/2006/relationships/hyperlink" Target="https://www.simpleshowing.com/" TargetMode="External"/><Relationship Id="rId1265" Type="http://schemas.openxmlformats.org/officeDocument/2006/relationships/hyperlink" Target="https://www.dawn.com/news/1939132" TargetMode="External"/><Relationship Id="rId2316" Type="http://schemas.openxmlformats.org/officeDocument/2006/relationships/hyperlink" Target="https://www.simpleshowing.com/" TargetMode="External"/><Relationship Id="rId5886" Type="http://schemas.openxmlformats.org/officeDocument/2006/relationships/hyperlink" Target="https://www.simpleshowing.com/" TargetMode="External"/><Relationship Id="rId4488" Type="http://schemas.openxmlformats.org/officeDocument/2006/relationships/hyperlink" Target="https://www.realestateagents.com/blog/all/3-steps-to-becoming-a-real-estate-agent" TargetMode="External"/><Relationship Id="rId5539" Type="http://schemas.openxmlformats.org/officeDocument/2006/relationships/hyperlink" Target="https://www.sevenatoms.com/blog/how-to-improve-quality-score-adwords" TargetMode="External"/><Relationship Id="rId6937" Type="http://schemas.openxmlformats.org/officeDocument/2006/relationships/hyperlink" Target="https://www.simpleshowing.com/" TargetMode="External"/><Relationship Id="rId9410" Type="http://schemas.openxmlformats.org/officeDocument/2006/relationships/hyperlink" Target="https://shpe.org/engage/programs/virtual-stem-labs/" TargetMode="External"/><Relationship Id="rId8012" Type="http://schemas.openxmlformats.org/officeDocument/2006/relationships/hyperlink" Target="https://www.pinoyeplans.com/" TargetMode="External"/><Relationship Id="rId11340" Type="http://schemas.openxmlformats.org/officeDocument/2006/relationships/hyperlink" Target="https://www.reisift.io/blog-posts/wholesaling-real-estate-ultimate-guide" TargetMode="External"/><Relationship Id="rId15961" Type="http://schemas.openxmlformats.org/officeDocument/2006/relationships/hyperlink" Target="https://myinteriorpalace.com/" TargetMode="External"/><Relationship Id="rId14563" Type="http://schemas.openxmlformats.org/officeDocument/2006/relationships/hyperlink" Target="https://myinteriorpalace.com/" TargetMode="External"/><Relationship Id="rId15614" Type="http://schemas.openxmlformats.org/officeDocument/2006/relationships/hyperlink" Target="https://www.luxdeco.com/" TargetMode="External"/><Relationship Id="rId3571" Type="http://schemas.openxmlformats.org/officeDocument/2006/relationships/hyperlink" Target="https://www.pulte.com/" TargetMode="External"/><Relationship Id="rId4622" Type="http://schemas.openxmlformats.org/officeDocument/2006/relationships/hyperlink" Target="https://www.kapre.com/" TargetMode="External"/><Relationship Id="rId13165" Type="http://schemas.openxmlformats.org/officeDocument/2006/relationships/hyperlink" Target="https://propertypressonline.co.uk/" TargetMode="External"/><Relationship Id="rId14216" Type="http://schemas.openxmlformats.org/officeDocument/2006/relationships/hyperlink" Target="https://luxurylifestyle.com/" TargetMode="External"/><Relationship Id="rId492" Type="http://schemas.openxmlformats.org/officeDocument/2006/relationships/hyperlink" Target="https://www.carolinadesigns.com/" TargetMode="External"/><Relationship Id="rId2173" Type="http://schemas.openxmlformats.org/officeDocument/2006/relationships/hyperlink" Target="https://markspain.com/" TargetMode="External"/><Relationship Id="rId3224" Type="http://schemas.openxmlformats.org/officeDocument/2006/relationships/hyperlink" Target="https://operationhomefront.org/operation-homefront-presents-cornerstone-awards/" TargetMode="External"/><Relationship Id="rId6794" Type="http://schemas.openxmlformats.org/officeDocument/2006/relationships/hyperlink" Target="https://justenergy.com/blog/top-home-builders-in-texas/" TargetMode="External"/><Relationship Id="rId7845" Type="http://schemas.openxmlformats.org/officeDocument/2006/relationships/hyperlink" Target="https://discoverlakelanier.com/" TargetMode="External"/><Relationship Id="rId145" Type="http://schemas.openxmlformats.org/officeDocument/2006/relationships/hyperlink" Target="https://www.haltonpardee.com/" TargetMode="External"/><Relationship Id="rId5396" Type="http://schemas.openxmlformats.org/officeDocument/2006/relationships/hyperlink" Target="https://www.simpleshowing.com/" TargetMode="External"/><Relationship Id="rId6447" Type="http://schemas.openxmlformats.org/officeDocument/2006/relationships/hyperlink" Target="https://www.twincities.com/2025/08/31/the-smoking-hot-return-of-bathing-culture/" TargetMode="External"/><Relationship Id="rId10826" Type="http://schemas.openxmlformats.org/officeDocument/2006/relationships/hyperlink" Target="https://www.designer-daily.com/how-do-you-involve-design-in-life-without-even-noticing-it-67493" TargetMode="External"/><Relationship Id="rId5049" Type="http://schemas.openxmlformats.org/officeDocument/2006/relationships/hyperlink" Target="https://independenttribune.com/news/" TargetMode="External"/><Relationship Id="rId12998" Type="http://schemas.openxmlformats.org/officeDocument/2006/relationships/hyperlink" Target="https://www.shma.co.uk/" TargetMode="External"/><Relationship Id="rId15471" Type="http://schemas.openxmlformats.org/officeDocument/2006/relationships/hyperlink" Target="https://www.findmassleads.com/websites/luxdeco.com?h=64002822828" TargetMode="External"/><Relationship Id="rId1659" Type="http://schemas.openxmlformats.org/officeDocument/2006/relationships/hyperlink" Target="https://www.simpleshowing.com/" TargetMode="External"/><Relationship Id="rId3081" Type="http://schemas.openxmlformats.org/officeDocument/2006/relationships/hyperlink" Target="https://www.simpleshowing.com/" TargetMode="External"/><Relationship Id="rId4132" Type="http://schemas.openxmlformats.org/officeDocument/2006/relationships/hyperlink" Target="https://www.simpleshowing.com/" TargetMode="External"/><Relationship Id="rId5530" Type="http://schemas.openxmlformats.org/officeDocument/2006/relationships/hyperlink" Target="https://www.simpleshowing.com/" TargetMode="External"/><Relationship Id="rId14073" Type="http://schemas.openxmlformats.org/officeDocument/2006/relationships/hyperlink" Target="https://www.thepinnaclelist.com/articles/the-case-for-expert-help-creating-a-backyard-deck-that-truly-stands-out/" TargetMode="External"/><Relationship Id="rId15124" Type="http://schemas.openxmlformats.org/officeDocument/2006/relationships/hyperlink" Target="https://myinteriorpalace.com/" TargetMode="External"/><Relationship Id="rId8753" Type="http://schemas.openxmlformats.org/officeDocument/2006/relationships/hyperlink" Target="https://www.pinoyeplans.com/" TargetMode="External"/><Relationship Id="rId9804" Type="http://schemas.openxmlformats.org/officeDocument/2006/relationships/hyperlink" Target="https://www.pinoyeplans.com/" TargetMode="External"/><Relationship Id="rId10683" Type="http://schemas.openxmlformats.org/officeDocument/2006/relationships/hyperlink" Target="https://www.pinoyeplans.com/" TargetMode="External"/><Relationship Id="rId11734" Type="http://schemas.openxmlformats.org/officeDocument/2006/relationships/hyperlink" Target="https://sellhousefast.uk/" TargetMode="External"/><Relationship Id="rId18" Type="http://schemas.openxmlformats.org/officeDocument/2006/relationships/hyperlink" Target="https://nelsonkb.com/tips-to-create-your-perfect-farmhouse-kitchen/" TargetMode="External"/><Relationship Id="rId7355" Type="http://schemas.openxmlformats.org/officeDocument/2006/relationships/hyperlink" Target="https://www.simpleshowing.com/" TargetMode="External"/><Relationship Id="rId8406" Type="http://schemas.openxmlformats.org/officeDocument/2006/relationships/hyperlink" Target="https://24hourfloodpros.com/" TargetMode="External"/><Relationship Id="rId10336" Type="http://schemas.openxmlformats.org/officeDocument/2006/relationships/hyperlink" Target="https://www.teachengineering.org/" TargetMode="External"/><Relationship Id="rId3965" Type="http://schemas.openxmlformats.org/officeDocument/2006/relationships/hyperlink" Target="https://www.popularmechanics.com/science/green-tech/a65901684/solar-efficiency-black-metal/" TargetMode="External"/><Relationship Id="rId7008" Type="http://schemas.openxmlformats.org/officeDocument/2006/relationships/hyperlink" Target="https://www.fortunechina.com/america500/1124/2023" TargetMode="External"/><Relationship Id="rId13559" Type="http://schemas.openxmlformats.org/officeDocument/2006/relationships/hyperlink" Target="https://anationofmoms.com/" TargetMode="External"/><Relationship Id="rId14957" Type="http://schemas.openxmlformats.org/officeDocument/2006/relationships/hyperlink" Target="https://www.fluidplumbingservices.com.au/" TargetMode="External"/><Relationship Id="rId886" Type="http://schemas.openxmlformats.org/officeDocument/2006/relationships/hyperlink" Target="https://www.absolutepestmgmt.com/" TargetMode="External"/><Relationship Id="rId2567" Type="http://schemas.openxmlformats.org/officeDocument/2006/relationships/hyperlink" Target="https://massbaymovers.com/blog/55-plus-communities-in-boston/" TargetMode="External"/><Relationship Id="rId3618" Type="http://schemas.openxmlformats.org/officeDocument/2006/relationships/hyperlink" Target="https://www.simpleshowing.com/" TargetMode="External"/><Relationship Id="rId16032" Type="http://schemas.openxmlformats.org/officeDocument/2006/relationships/hyperlink" Target="https://ces.pugetsound.edu/blog/2025/05/01/15-tips-for-environmental-studies-majors-who-are-mapping-their-careers/" TargetMode="External"/><Relationship Id="rId2" Type="http://schemas.openxmlformats.org/officeDocument/2006/relationships/hyperlink" Target="https://www.itnews.com.au/news/australian-mines-find-explosive-power-in-it-336174" TargetMode="External"/><Relationship Id="rId539" Type="http://schemas.openxmlformats.org/officeDocument/2006/relationships/hyperlink" Target="https://www.simpleshowing.com/" TargetMode="External"/><Relationship Id="rId1169" Type="http://schemas.openxmlformats.org/officeDocument/2006/relationships/hyperlink" Target="https://katescreativespace.com/unlocking-potential-creative-ideas-for-underused-areas-in-your-home/" TargetMode="External"/><Relationship Id="rId5040" Type="http://schemas.openxmlformats.org/officeDocument/2006/relationships/hyperlink" Target="https://www.simpleshowing.com/" TargetMode="External"/><Relationship Id="rId8263" Type="http://schemas.openxmlformats.org/officeDocument/2006/relationships/hyperlink" Target="https://au.pinterest.com/zestlighting/" TargetMode="External"/><Relationship Id="rId9661" Type="http://schemas.openxmlformats.org/officeDocument/2006/relationships/hyperlink" Target="https://www.teachengineering.org/" TargetMode="External"/><Relationship Id="rId11591" Type="http://schemas.openxmlformats.org/officeDocument/2006/relationships/hyperlink" Target="https://www.granddesignsmagazine.com/self-build/construction/eco-friendly-construction-materials/" TargetMode="External"/><Relationship Id="rId12642" Type="http://schemas.openxmlformats.org/officeDocument/2006/relationships/hyperlink" Target="https://www.3pb.co.uk/barristers/ashley-halvorsen/" TargetMode="External"/><Relationship Id="rId1650" Type="http://schemas.openxmlformats.org/officeDocument/2006/relationships/hyperlink" Target="https://www.simpleshowing.com/" TargetMode="External"/><Relationship Id="rId2701" Type="http://schemas.openxmlformats.org/officeDocument/2006/relationships/hyperlink" Target="https://www.pulte.com/" TargetMode="External"/><Relationship Id="rId9314" Type="http://schemas.openxmlformats.org/officeDocument/2006/relationships/hyperlink" Target="https://blog.acceleratelearning.com/9-outdoor-stem-activities-that-bring-science-learning-out-into-nature" TargetMode="External"/><Relationship Id="rId10193" Type="http://schemas.openxmlformats.org/officeDocument/2006/relationships/hyperlink" Target="https://doit.illinois.gov/initiatives/doit-steam/news-events/steam-newsletter/newsletter-june-2025.html" TargetMode="External"/><Relationship Id="rId11244" Type="http://schemas.openxmlformats.org/officeDocument/2006/relationships/hyperlink" Target="https://www.rentbottomline.com/blog/optimizing-rentals-avert-water-damage-consequences" TargetMode="External"/><Relationship Id="rId15865" Type="http://schemas.openxmlformats.org/officeDocument/2006/relationships/hyperlink" Target="https://myinteriorpalace.com/" TargetMode="External"/><Relationship Id="rId1303" Type="http://schemas.openxmlformats.org/officeDocument/2006/relationships/hyperlink" Target="https://darscover.com/" TargetMode="External"/><Relationship Id="rId4873" Type="http://schemas.openxmlformats.org/officeDocument/2006/relationships/hyperlink" Target="https://www.wordstream.com/blog/ws/2018/07/30/design-principles" TargetMode="External"/><Relationship Id="rId5924" Type="http://schemas.openxmlformats.org/officeDocument/2006/relationships/hyperlink" Target="https://www.simpleshowing.com/" TargetMode="External"/><Relationship Id="rId14467" Type="http://schemas.openxmlformats.org/officeDocument/2006/relationships/hyperlink" Target="https://myinteriorpalace.com/" TargetMode="External"/><Relationship Id="rId15518" Type="http://schemas.openxmlformats.org/officeDocument/2006/relationships/hyperlink" Target="https://www.luxdeco.com/" TargetMode="External"/><Relationship Id="rId3475" Type="http://schemas.openxmlformats.org/officeDocument/2006/relationships/hyperlink" Target="https://www.pulte.com/" TargetMode="External"/><Relationship Id="rId4526" Type="http://schemas.openxmlformats.org/officeDocument/2006/relationships/hyperlink" Target="https://www.kapre.com/" TargetMode="External"/><Relationship Id="rId13069" Type="http://schemas.openxmlformats.org/officeDocument/2006/relationships/hyperlink" Target="https://propertypressonline.co.uk/" TargetMode="External"/><Relationship Id="rId396" Type="http://schemas.openxmlformats.org/officeDocument/2006/relationships/hyperlink" Target="http://northernvirginiahomepro.com/" TargetMode="External"/><Relationship Id="rId2077" Type="http://schemas.openxmlformats.org/officeDocument/2006/relationships/hyperlink" Target="https://markspain.com/" TargetMode="External"/><Relationship Id="rId3128" Type="http://schemas.openxmlformats.org/officeDocument/2006/relationships/hyperlink" Target="https://duckduckgo.github.io/tracker-radar-wiki/domains/cookielaw.org.html" TargetMode="External"/><Relationship Id="rId6698" Type="http://schemas.openxmlformats.org/officeDocument/2006/relationships/hyperlink" Target="https://www.pinterest.it/ideas/metal-flower-pots/936366783696/" TargetMode="External"/><Relationship Id="rId7749" Type="http://schemas.openxmlformats.org/officeDocument/2006/relationships/hyperlink" Target="https://www.simpleshowing.com/" TargetMode="External"/><Relationship Id="rId9171" Type="http://schemas.openxmlformats.org/officeDocument/2006/relationships/hyperlink" Target="https://www.pinoyeplans.com/" TargetMode="External"/><Relationship Id="rId13550" Type="http://schemas.openxmlformats.org/officeDocument/2006/relationships/hyperlink" Target="https://anationofmoms.com/" TargetMode="External"/><Relationship Id="rId14601" Type="http://schemas.openxmlformats.org/officeDocument/2006/relationships/hyperlink" Target="https://shineyourlightblog.com/garage-door-repair-companies-serving-the-houston-area/" TargetMode="External"/><Relationship Id="rId530" Type="http://schemas.openxmlformats.org/officeDocument/2006/relationships/hyperlink" Target="https://www.simpleshowing.com/" TargetMode="External"/><Relationship Id="rId1160" Type="http://schemas.openxmlformats.org/officeDocument/2006/relationships/hyperlink" Target="https://www.mommacuisine.com/blog/maximizing-small-spaces-smart-design-tips-for-homeowners" TargetMode="External"/><Relationship Id="rId2211" Type="http://schemas.openxmlformats.org/officeDocument/2006/relationships/hyperlink" Target="https://www.simpleshowing.com/" TargetMode="External"/><Relationship Id="rId12152" Type="http://schemas.openxmlformats.org/officeDocument/2006/relationships/hyperlink" Target="https://shedsunlimited.net/blog/slant-roof-sheds/" TargetMode="External"/><Relationship Id="rId13203" Type="http://schemas.openxmlformats.org/officeDocument/2006/relationships/hyperlink" Target="https://www.scottishlegal.com/articles/shakespeare-martineau-to-recruit-first-scottish-trainees" TargetMode="External"/><Relationship Id="rId5781" Type="http://schemas.openxmlformats.org/officeDocument/2006/relationships/hyperlink" Target="https://lensa.com/insights/how-to-quit-your-job/" TargetMode="External"/><Relationship Id="rId6832" Type="http://schemas.openxmlformats.org/officeDocument/2006/relationships/hyperlink" Target="https://www.taylormorrison.com/" TargetMode="External"/><Relationship Id="rId15375" Type="http://schemas.openxmlformats.org/officeDocument/2006/relationships/hyperlink" Target="https://lovenoughty.com/blogs/news/the-inspiration-behind-our-founders-for-international-womens-day" TargetMode="External"/><Relationship Id="rId4383" Type="http://schemas.openxmlformats.org/officeDocument/2006/relationships/hyperlink" Target="https://www.kptv.com/2024/05/27/high-school-seniors-can-now-get-real-estate-license-free-this-state/" TargetMode="External"/><Relationship Id="rId5434" Type="http://schemas.openxmlformats.org/officeDocument/2006/relationships/hyperlink" Target="https://www.simpleshowing.com/" TargetMode="External"/><Relationship Id="rId15028" Type="http://schemas.openxmlformats.org/officeDocument/2006/relationships/hyperlink" Target="https://myinteriorpalace.com/" TargetMode="External"/><Relationship Id="rId4036" Type="http://schemas.openxmlformats.org/officeDocument/2006/relationships/hyperlink" Target="https://appleplumbing.com/" TargetMode="External"/><Relationship Id="rId8657" Type="http://schemas.openxmlformats.org/officeDocument/2006/relationships/hyperlink" Target="https://www.pinoyeplans.com/" TargetMode="External"/><Relationship Id="rId9708" Type="http://schemas.openxmlformats.org/officeDocument/2006/relationships/hyperlink" Target="https://www.pinoyeplans.com/" TargetMode="External"/><Relationship Id="rId10587" Type="http://schemas.openxmlformats.org/officeDocument/2006/relationships/hyperlink" Target="https://www.pinoyeplans.com/" TargetMode="External"/><Relationship Id="rId11638" Type="http://schemas.openxmlformats.org/officeDocument/2006/relationships/hyperlink" Target="https://sellhousefast.uk/" TargetMode="External"/><Relationship Id="rId11985" Type="http://schemas.openxmlformats.org/officeDocument/2006/relationships/hyperlink" Target="https://www.hamiltoninternationalestates.com/" TargetMode="External"/><Relationship Id="rId7259" Type="http://schemas.openxmlformats.org/officeDocument/2006/relationships/hyperlink" Target="https://www.simpleshowing.com/" TargetMode="External"/><Relationship Id="rId13060" Type="http://schemas.openxmlformats.org/officeDocument/2006/relationships/hyperlink" Target="https://propertypressonline.co.uk/" TargetMode="External"/><Relationship Id="rId14111" Type="http://schemas.openxmlformats.org/officeDocument/2006/relationships/hyperlink" Target="https://keystonecustomdecksny.com/" TargetMode="External"/><Relationship Id="rId3869" Type="http://schemas.openxmlformats.org/officeDocument/2006/relationships/hyperlink" Target="https://www.pinterest.ca/ideas/hillbilly-hot-tub/916619540778/" TargetMode="External"/><Relationship Id="rId5291" Type="http://schemas.openxmlformats.org/officeDocument/2006/relationships/hyperlink" Target="https://startupnation.com/grow-your-business/gen-z-hiring-trends-you-cant-afford-to-ignore/" TargetMode="External"/><Relationship Id="rId6342" Type="http://schemas.openxmlformats.org/officeDocument/2006/relationships/hyperlink" Target="https://www.simpleshowing.com/" TargetMode="External"/><Relationship Id="rId7740" Type="http://schemas.openxmlformats.org/officeDocument/2006/relationships/hyperlink" Target="https://www.simpleshowing.com/" TargetMode="External"/><Relationship Id="rId10721" Type="http://schemas.openxmlformats.org/officeDocument/2006/relationships/hyperlink" Target="https://www.knoxtntoday.com/stem-camp-with-solar/" TargetMode="External"/><Relationship Id="rId12893" Type="http://schemas.openxmlformats.org/officeDocument/2006/relationships/hyperlink" Target="https://www.shma.co.uk/" TargetMode="External"/><Relationship Id="rId13944" Type="http://schemas.openxmlformats.org/officeDocument/2006/relationships/hyperlink" Target="https://www.thepinnaclelist.com/articles/top-roof-maintenance-tips-in-2023/" TargetMode="External"/><Relationship Id="rId2952" Type="http://schemas.openxmlformats.org/officeDocument/2006/relationships/hyperlink" Target="https://www.simpleshowing.com/" TargetMode="External"/><Relationship Id="rId9565" Type="http://schemas.openxmlformats.org/officeDocument/2006/relationships/hyperlink" Target="https://www.teachengineering.org/" TargetMode="External"/><Relationship Id="rId11495" Type="http://schemas.openxmlformats.org/officeDocument/2006/relationships/hyperlink" Target="https://www.hamiltoninternationalestates.com/" TargetMode="External"/><Relationship Id="rId12546" Type="http://schemas.openxmlformats.org/officeDocument/2006/relationships/hyperlink" Target="https://www.cicm.com/" TargetMode="External"/><Relationship Id="rId924" Type="http://schemas.openxmlformats.org/officeDocument/2006/relationships/hyperlink" Target="https://www.simpleshowing.com/" TargetMode="External"/><Relationship Id="rId1554" Type="http://schemas.openxmlformats.org/officeDocument/2006/relationships/hyperlink" Target="https://www.simpleshowing.com/" TargetMode="External"/><Relationship Id="rId2605" Type="http://schemas.openxmlformats.org/officeDocument/2006/relationships/hyperlink" Target="https://www.pulte.com/" TargetMode="External"/><Relationship Id="rId8167" Type="http://schemas.openxmlformats.org/officeDocument/2006/relationships/hyperlink" Target="https://uknewspulse.co.uk/how-3d-product-visualization-is-revolutionizing-manufacturing-and-retail-industries" TargetMode="External"/><Relationship Id="rId9218" Type="http://schemas.openxmlformats.org/officeDocument/2006/relationships/hyperlink" Target="https://www.seek.com.au/companies/mcd-constructions-1031555" TargetMode="External"/><Relationship Id="rId10097" Type="http://schemas.openxmlformats.org/officeDocument/2006/relationships/hyperlink" Target="https://rus.hazelwoodschools.org/for-teachers/instructional-teaching-tools-for-the-classroom" TargetMode="External"/><Relationship Id="rId11148" Type="http://schemas.openxmlformats.org/officeDocument/2006/relationships/hyperlink" Target="https://www.waterdamagespecialist.com.au/" TargetMode="External"/><Relationship Id="rId15769" Type="http://schemas.openxmlformats.org/officeDocument/2006/relationships/hyperlink" Target="https://myinteriorpalace.com/" TargetMode="External"/><Relationship Id="rId1207" Type="http://schemas.openxmlformats.org/officeDocument/2006/relationships/hyperlink" Target="https://happy2movelondon.co.uk/r" TargetMode="External"/><Relationship Id="rId4777" Type="http://schemas.openxmlformats.org/officeDocument/2006/relationships/hyperlink" Target="https://www.simpleshowing.com/" TargetMode="External"/><Relationship Id="rId5828" Type="http://schemas.openxmlformats.org/officeDocument/2006/relationships/hyperlink" Target="https://www.simpleshowing.com/" TargetMode="External"/><Relationship Id="rId3379" Type="http://schemas.openxmlformats.org/officeDocument/2006/relationships/hyperlink" Target="https://www.pulte.com/" TargetMode="External"/><Relationship Id="rId7250" Type="http://schemas.openxmlformats.org/officeDocument/2006/relationships/hyperlink" Target="https://www.simpleshowing.com/" TargetMode="External"/><Relationship Id="rId8301" Type="http://schemas.openxmlformats.org/officeDocument/2006/relationships/hyperlink" Target="https://www.zestlighting.com.au/" TargetMode="External"/><Relationship Id="rId10231" Type="http://schemas.openxmlformats.org/officeDocument/2006/relationships/hyperlink" Target="https://www.teachengineering.org/" TargetMode="External"/><Relationship Id="rId14852" Type="http://schemas.openxmlformats.org/officeDocument/2006/relationships/hyperlink" Target="https://www.fluidplumbingservices.com.au/" TargetMode="External"/><Relationship Id="rId15903" Type="http://schemas.openxmlformats.org/officeDocument/2006/relationships/hyperlink" Target="https://enthrallinggumption.com/garage-door-experts-in-shawnee-area/" TargetMode="External"/><Relationship Id="rId3860" Type="http://schemas.openxmlformats.org/officeDocument/2006/relationships/hyperlink" Target="https://www.phta.org/consumer/directory/find-a-pool-pro/" TargetMode="External"/><Relationship Id="rId4911" Type="http://schemas.openxmlformats.org/officeDocument/2006/relationships/hyperlink" Target="https://investropa.com/blogs/news/barcelona-real-estate-forecasts" TargetMode="External"/><Relationship Id="rId9075" Type="http://schemas.openxmlformats.org/officeDocument/2006/relationships/hyperlink" Target="https://www.pinoyeplans.com/" TargetMode="External"/><Relationship Id="rId13454" Type="http://schemas.openxmlformats.org/officeDocument/2006/relationships/hyperlink" Target="https://anationofmoms.com/" TargetMode="External"/><Relationship Id="rId14505" Type="http://schemas.openxmlformats.org/officeDocument/2006/relationships/hyperlink" Target="https://business.inyoregister.com/inyoregister/article/getfeatured-2025-10-10-raynor-door-company-unveils-redesigned-website-to-deliver-an-enhanced-digital-experience" TargetMode="External"/><Relationship Id="rId781" Type="http://schemas.openxmlformats.org/officeDocument/2006/relationships/hyperlink" Target="https://downtobid.com/contractors/hvac/grand-rapids" TargetMode="External"/><Relationship Id="rId2462" Type="http://schemas.openxmlformats.org/officeDocument/2006/relationships/hyperlink" Target="https://www.roundrocktexas.gov/news/downtown-round-rock-residential-growth-continues-with-townhome-projects/" TargetMode="External"/><Relationship Id="rId3513" Type="http://schemas.openxmlformats.org/officeDocument/2006/relationships/hyperlink" Target="https://www.simpleshowing.com/" TargetMode="External"/><Relationship Id="rId12056" Type="http://schemas.openxmlformats.org/officeDocument/2006/relationships/hyperlink" Target="https://maxablespace.com/garage-conversion-101/" TargetMode="External"/><Relationship Id="rId13107" Type="http://schemas.openxmlformats.org/officeDocument/2006/relationships/hyperlink" Target="https://www.orbithomes.org.uk/orbit-homes-plants-pear-tree-at-daventry-development-to-mark-queen-s-platinum-jubilee/" TargetMode="External"/><Relationship Id="rId434" Type="http://schemas.openxmlformats.org/officeDocument/2006/relationships/hyperlink" Target="https://www.simpleshowing.com/" TargetMode="External"/><Relationship Id="rId1064" Type="http://schemas.openxmlformats.org/officeDocument/2006/relationships/hyperlink" Target="https://s3da-design.com/basement-renovation-a-comprehensive-guide-to-unlocking-your-spaces-potential/" TargetMode="External"/><Relationship Id="rId2115" Type="http://schemas.openxmlformats.org/officeDocument/2006/relationships/hyperlink" Target="https://www.simpleshowing.com/" TargetMode="External"/><Relationship Id="rId5685" Type="http://schemas.openxmlformats.org/officeDocument/2006/relationships/hyperlink" Target="https://honestmum.com/smart-financial-decisions-success/" TargetMode="External"/><Relationship Id="rId6736" Type="http://schemas.openxmlformats.org/officeDocument/2006/relationships/hyperlink" Target="https://www.rocklynhomes.com/" TargetMode="External"/><Relationship Id="rId15279" Type="http://schemas.openxmlformats.org/officeDocument/2006/relationships/hyperlink" Target="https://furniturenews.net/interviews/why-luxdeco-went-b2b" TargetMode="External"/><Relationship Id="rId4287" Type="http://schemas.openxmlformats.org/officeDocument/2006/relationships/hyperlink" Target="https://legalcareerpath.com/real-estate-paralegal/" TargetMode="External"/><Relationship Id="rId5338" Type="http://schemas.openxmlformats.org/officeDocument/2006/relationships/hyperlink" Target="https://www.simpleshowing.com/" TargetMode="External"/><Relationship Id="rId9959" Type="http://schemas.openxmlformats.org/officeDocument/2006/relationships/hyperlink" Target="https://education.rowan.edu/lrcsouth/online-resource-site/steam.html" TargetMode="External"/><Relationship Id="rId11889" Type="http://schemas.openxmlformats.org/officeDocument/2006/relationships/hyperlink" Target="https://www.hamiltoninternationalestates.com/" TargetMode="External"/><Relationship Id="rId15760" Type="http://schemas.openxmlformats.org/officeDocument/2006/relationships/hyperlink" Target="https://myinteriorpalace.com/" TargetMode="External"/><Relationship Id="rId1948" Type="http://schemas.openxmlformats.org/officeDocument/2006/relationships/hyperlink" Target="https://markspain.com/" TargetMode="External"/><Relationship Id="rId3370" Type="http://schemas.openxmlformats.org/officeDocument/2006/relationships/hyperlink" Target="https://www.pulte.com/" TargetMode="External"/><Relationship Id="rId4421" Type="http://schemas.openxmlformats.org/officeDocument/2006/relationships/hyperlink" Target="https://www.kapre.com/" TargetMode="External"/><Relationship Id="rId14362" Type="http://schemas.openxmlformats.org/officeDocument/2006/relationships/hyperlink" Target="https://myinteriorpalace.com/" TargetMode="External"/><Relationship Id="rId15413" Type="http://schemas.openxmlformats.org/officeDocument/2006/relationships/hyperlink" Target="https://www.luxdeco.com/" TargetMode="External"/><Relationship Id="rId291" Type="http://schemas.openxmlformats.org/officeDocument/2006/relationships/hyperlink" Target="http://northernvirginiahomepro.com/" TargetMode="External"/><Relationship Id="rId3023" Type="http://schemas.openxmlformats.org/officeDocument/2006/relationships/hyperlink" Target="https://kristinrowley.santafeproperties.com/listing/202402148-42-avenida-colibri-santa-fe-nm-87508/" TargetMode="External"/><Relationship Id="rId7991" Type="http://schemas.openxmlformats.org/officeDocument/2006/relationships/hyperlink" Target="https://www.pinoyeplans.com/" TargetMode="External"/><Relationship Id="rId10972" Type="http://schemas.openxmlformats.org/officeDocument/2006/relationships/hyperlink" Target="https://www.teachengineering.org/" TargetMode="External"/><Relationship Id="rId14015" Type="http://schemas.openxmlformats.org/officeDocument/2006/relationships/hyperlink" Target="https://keystonecustomdecksny.com/" TargetMode="External"/><Relationship Id="rId5195" Type="http://schemas.openxmlformats.org/officeDocument/2006/relationships/hyperlink" Target="https://www.scarymommy.com/lifestyle/how-to-ask-for-financial-help-when-you-need-it" TargetMode="External"/><Relationship Id="rId6593" Type="http://schemas.openxmlformats.org/officeDocument/2006/relationships/hyperlink" Target="https://www.simpleshowing.com/" TargetMode="External"/><Relationship Id="rId7644" Type="http://schemas.openxmlformats.org/officeDocument/2006/relationships/hyperlink" Target="https://business.punxsutawneyspirit.com/punxsutawneyspirit/article/ibnspotlights-2024-1-18-taylor-morrison-home-corp-nyse-tmhc-making-surprising-moves-in-thursday-session" TargetMode="External"/><Relationship Id="rId10625" Type="http://schemas.openxmlformats.org/officeDocument/2006/relationships/hyperlink" Target="https://www.springerprofessional.de/enhanced-energy-production-by-corrugated-si-solar-sells-installe/20089664" TargetMode="External"/><Relationship Id="rId16187" Type="http://schemas.openxmlformats.org/officeDocument/2006/relationships/hyperlink" Target="https://www.unitedcarpetsandbeds.com/" TargetMode="External"/><Relationship Id="rId6246" Type="http://schemas.openxmlformats.org/officeDocument/2006/relationships/hyperlink" Target="https://www.simpleshowing.com/" TargetMode="External"/><Relationship Id="rId12797" Type="http://schemas.openxmlformats.org/officeDocument/2006/relationships/hyperlink" Target="https://www.shma.co.uk/" TargetMode="External"/><Relationship Id="rId13848" Type="http://schemas.openxmlformats.org/officeDocument/2006/relationships/hyperlink" Target="https://www.urbansplatter.com/2025/03/benefits-of-installing-shower-doors-vs-shower-curtains/" TargetMode="External"/><Relationship Id="rId2856" Type="http://schemas.openxmlformats.org/officeDocument/2006/relationships/hyperlink" Target="https://www.simpleshowing.com/" TargetMode="External"/><Relationship Id="rId3907" Type="http://schemas.openxmlformats.org/officeDocument/2006/relationships/hyperlink" Target="https://thecoverguy.com/" TargetMode="External"/><Relationship Id="rId9469" Type="http://schemas.openxmlformats.org/officeDocument/2006/relationships/hyperlink" Target="https://www.teachengineering.org/" TargetMode="External"/><Relationship Id="rId11399" Type="http://schemas.openxmlformats.org/officeDocument/2006/relationships/hyperlink" Target="https://www.hamiltoninternationalestates.com/" TargetMode="External"/><Relationship Id="rId15270" Type="http://schemas.openxmlformats.org/officeDocument/2006/relationships/hyperlink" Target="https://beta.hommes.studio/contact/" TargetMode="External"/><Relationship Id="rId828" Type="http://schemas.openxmlformats.org/officeDocument/2006/relationships/hyperlink" Target="https://www.absolutepestmgmt.com/" TargetMode="External"/><Relationship Id="rId1458" Type="http://schemas.openxmlformats.org/officeDocument/2006/relationships/hyperlink" Target="https://www.simpleshowing.com/" TargetMode="External"/><Relationship Id="rId2509" Type="http://schemas.openxmlformats.org/officeDocument/2006/relationships/hyperlink" Target="https://www.pulte.com/" TargetMode="External"/><Relationship Id="rId8552" Type="http://schemas.openxmlformats.org/officeDocument/2006/relationships/hyperlink" Target="https://www.pinoyeplans.com/" TargetMode="External"/><Relationship Id="rId9950" Type="http://schemas.openxmlformats.org/officeDocument/2006/relationships/hyperlink" Target="https://oml.web.unc.edu/category/outreach/" TargetMode="External"/><Relationship Id="rId11880" Type="http://schemas.openxmlformats.org/officeDocument/2006/relationships/hyperlink" Target="https://www.hamiltoninternationalestates.com/" TargetMode="External"/><Relationship Id="rId12931" Type="http://schemas.openxmlformats.org/officeDocument/2006/relationships/hyperlink" Target="https://propertypressonline.co.uk/" TargetMode="External"/><Relationship Id="rId7154" Type="http://schemas.openxmlformats.org/officeDocument/2006/relationships/hyperlink" Target="https://www.taylormorrison.com/" TargetMode="External"/><Relationship Id="rId8205" Type="http://schemas.openxmlformats.org/officeDocument/2006/relationships/hyperlink" Target="https://smaarchviz.com/" TargetMode="External"/><Relationship Id="rId9603" Type="http://schemas.openxmlformats.org/officeDocument/2006/relationships/hyperlink" Target="https://www.pinoyeplans.com/" TargetMode="External"/><Relationship Id="rId10482" Type="http://schemas.openxmlformats.org/officeDocument/2006/relationships/hyperlink" Target="https://www.pinoyeplans.com/" TargetMode="External"/><Relationship Id="rId11533" Type="http://schemas.openxmlformats.org/officeDocument/2006/relationships/hyperlink" Target="https://www.frugalfamily.co.uk/how-to-maximise-space-in-your-bedroom-on-a-budget/" TargetMode="External"/><Relationship Id="rId10135" Type="http://schemas.openxmlformats.org/officeDocument/2006/relationships/hyperlink" Target="https://www.teachengineering.org/" TargetMode="External"/><Relationship Id="rId14756" Type="http://schemas.openxmlformats.org/officeDocument/2006/relationships/hyperlink" Target="https://www.easygaragedoorrepair.com/" TargetMode="External"/><Relationship Id="rId15807" Type="http://schemas.openxmlformats.org/officeDocument/2006/relationships/hyperlink" Target="https://www.woodsolutions.com.au/suppliers/coach-house-timbers" TargetMode="External"/><Relationship Id="rId3764" Type="http://schemas.openxmlformats.org/officeDocument/2006/relationships/hyperlink" Target="https://due.com/4-things-every-business-website-should-do/" TargetMode="External"/><Relationship Id="rId4815" Type="http://schemas.openxmlformats.org/officeDocument/2006/relationships/hyperlink" Target="https://wisewhisperagency.com/jobs-for-new-graduates-with-no-experience/" TargetMode="External"/><Relationship Id="rId13358" Type="http://schemas.openxmlformats.org/officeDocument/2006/relationships/hyperlink" Target="https://anationofmoms.com/" TargetMode="External"/><Relationship Id="rId14409" Type="http://schemas.openxmlformats.org/officeDocument/2006/relationships/hyperlink" Target="https://telegra.ph/Esta-Usa-Check-Status-05-16-6" TargetMode="External"/><Relationship Id="rId685" Type="http://schemas.openxmlformats.org/officeDocument/2006/relationships/hyperlink" Target="https://www.petswelcome.com/articles/pet-friendly-lodging-profile-carolina-designs-realty.html" TargetMode="External"/><Relationship Id="rId2366" Type="http://schemas.openxmlformats.org/officeDocument/2006/relationships/hyperlink" Target="https://www.mihomes.com/blog/detroit/best-builders-in-michigan" TargetMode="External"/><Relationship Id="rId3417" Type="http://schemas.openxmlformats.org/officeDocument/2006/relationships/hyperlink" Target="https://www.simpleshowing.com/" TargetMode="External"/><Relationship Id="rId6987" Type="http://schemas.openxmlformats.org/officeDocument/2006/relationships/hyperlink" Target="https://www.khou.com/article/news/brand-new-homes-in-league-city-community-plagued-with-mold-moisture-issues/285-602557603" TargetMode="External"/><Relationship Id="rId338" Type="http://schemas.openxmlformats.org/officeDocument/2006/relationships/hyperlink" Target="http://northernvirginiahomepro.com/" TargetMode="External"/><Relationship Id="rId2019" Type="http://schemas.openxmlformats.org/officeDocument/2006/relationships/hyperlink" Target="https://www.simpleshowing.com/" TargetMode="External"/><Relationship Id="rId5589" Type="http://schemas.openxmlformats.org/officeDocument/2006/relationships/hyperlink" Target="https://business.tutsplus.com/tutorials/borrowing-money-to-fund-a-business--cms-19459" TargetMode="External"/><Relationship Id="rId9460" Type="http://schemas.openxmlformats.org/officeDocument/2006/relationships/hyperlink" Target="https://www.teachengineering.org/" TargetMode="External"/><Relationship Id="rId11390" Type="http://schemas.openxmlformats.org/officeDocument/2006/relationships/hyperlink" Target="https://www.hamiltoninternationalestates.com/" TargetMode="External"/><Relationship Id="rId2500" Type="http://schemas.openxmlformats.org/officeDocument/2006/relationships/hyperlink" Target="https://www.pulte.com/" TargetMode="External"/><Relationship Id="rId8062" Type="http://schemas.openxmlformats.org/officeDocument/2006/relationships/hyperlink" Target="mailto:ben@qualityroofingsolutions.com" TargetMode="External"/><Relationship Id="rId9113" Type="http://schemas.openxmlformats.org/officeDocument/2006/relationships/hyperlink" Target="https://puremagazine.co.uk/understanding-the-role-of-project-managers-in-construction/" TargetMode="External"/><Relationship Id="rId11043" Type="http://schemas.openxmlformats.org/officeDocument/2006/relationships/hyperlink" Target="https://www.pinoyeplans.com/" TargetMode="External"/><Relationship Id="rId12441" Type="http://schemas.openxmlformats.org/officeDocument/2006/relationships/hyperlink" Target="https://propertypressonline.co.uk/" TargetMode="External"/><Relationship Id="rId1102" Type="http://schemas.openxmlformats.org/officeDocument/2006/relationships/hyperlink" Target="https://www.matrixbasements.com/" TargetMode="External"/><Relationship Id="rId15664" Type="http://schemas.openxmlformats.org/officeDocument/2006/relationships/hyperlink" Target="https://myinteriorpalace.com/" TargetMode="External"/><Relationship Id="rId3274" Type="http://schemas.openxmlformats.org/officeDocument/2006/relationships/hyperlink" Target="https://www.pulte.com/" TargetMode="External"/><Relationship Id="rId4672" Type="http://schemas.openxmlformats.org/officeDocument/2006/relationships/hyperlink" Target="https://www.simpleshowing.com/" TargetMode="External"/><Relationship Id="rId5723" Type="http://schemas.openxmlformats.org/officeDocument/2006/relationships/hyperlink" Target="https://www.magetop.com/blog/navigating-state-tax-regulations-for-your-ecommerce-business/" TargetMode="External"/><Relationship Id="rId14266" Type="http://schemas.openxmlformats.org/officeDocument/2006/relationships/hyperlink" Target="https://myinteriorpalace.com/" TargetMode="External"/><Relationship Id="rId15317" Type="http://schemas.openxmlformats.org/officeDocument/2006/relationships/hyperlink" Target="https://www.luxdeco.com/" TargetMode="External"/><Relationship Id="rId195" Type="http://schemas.openxmlformats.org/officeDocument/2006/relationships/hyperlink" Target="http://northernvirginiahomepro.com/" TargetMode="External"/><Relationship Id="rId4325" Type="http://schemas.openxmlformats.org/officeDocument/2006/relationships/hyperlink" Target="https://www.kapre.com/" TargetMode="External"/><Relationship Id="rId7895" Type="http://schemas.openxmlformats.org/officeDocument/2006/relationships/hyperlink" Target="https://www.pinoyeplans.com/" TargetMode="External"/><Relationship Id="rId8946" Type="http://schemas.openxmlformats.org/officeDocument/2006/relationships/hyperlink" Target="https://www.pinoyeplans.com/" TargetMode="External"/><Relationship Id="rId10876" Type="http://schemas.openxmlformats.org/officeDocument/2006/relationships/hyperlink" Target="https://www.teachengineering.org/" TargetMode="External"/><Relationship Id="rId11927" Type="http://schemas.openxmlformats.org/officeDocument/2006/relationships/hyperlink" Target="https://www.dodsonbros.com/termites/termite-damage-vs-wood-rot-with-pictures/" TargetMode="External"/><Relationship Id="rId6497" Type="http://schemas.openxmlformats.org/officeDocument/2006/relationships/hyperlink" Target="https://residentialdesignmagazine.com/product/182789/high-design-sauna/" TargetMode="External"/><Relationship Id="rId7548" Type="http://schemas.openxmlformats.org/officeDocument/2006/relationships/hyperlink" Target="https://www.dividendchannel.com/symbol/tmhc/" TargetMode="External"/><Relationship Id="rId10529" Type="http://schemas.openxmlformats.org/officeDocument/2006/relationships/hyperlink" Target="https://ww2.mathworks.cn/en/academia/highschool/courseware.html" TargetMode="External"/><Relationship Id="rId14400" Type="http://schemas.openxmlformats.org/officeDocument/2006/relationships/hyperlink" Target="https://resident.com/resource-guide/2025/02/26/solar-precision-the-sophisticated-art-of-maximizing-energy-elegance" TargetMode="External"/><Relationship Id="rId5099" Type="http://schemas.openxmlformats.org/officeDocument/2006/relationships/hyperlink" Target="https://www.omnius.so/blog/leading-us-fintech-startups" TargetMode="External"/><Relationship Id="rId13002" Type="http://schemas.openxmlformats.org/officeDocument/2006/relationships/hyperlink" Target="https://balkangreenenergynews.com/two-day-forum-with-experts-on-sustainable-energy/" TargetMode="External"/><Relationship Id="rId2010" Type="http://schemas.openxmlformats.org/officeDocument/2006/relationships/hyperlink" Target="https://www.simpleshowing.com/" TargetMode="External"/><Relationship Id="rId5580" Type="http://schemas.openxmlformats.org/officeDocument/2006/relationships/hyperlink" Target="https://www.simpleshowing.com/" TargetMode="External"/><Relationship Id="rId6631" Type="http://schemas.openxmlformats.org/officeDocument/2006/relationships/hyperlink" Target="https://www.simpleshowing.com/" TargetMode="External"/><Relationship Id="rId15174" Type="http://schemas.openxmlformats.org/officeDocument/2006/relationships/hyperlink" Target="https://craft.co/luxdeco" TargetMode="External"/><Relationship Id="rId4182" Type="http://schemas.openxmlformats.org/officeDocument/2006/relationships/hyperlink" Target="https://www.thestreet.com/personal-finance/how-to-become-real-estate-agent-14523923" TargetMode="External"/><Relationship Id="rId5233" Type="http://schemas.openxmlformats.org/officeDocument/2006/relationships/hyperlink" Target="https://www.lingualift.com/blog/convert-your-daily-tasks-into-language-learning-opportunities/" TargetMode="External"/><Relationship Id="rId16225" Type="http://schemas.openxmlformats.org/officeDocument/2006/relationships/hyperlink" Target="https://myinteriorpalace.com/" TargetMode="External"/><Relationship Id="rId9854" Type="http://schemas.openxmlformats.org/officeDocument/2006/relationships/hyperlink" Target="https://www.helpteaching.com/blog/the-ultimate-guide-to-teaching-science.html" TargetMode="External"/><Relationship Id="rId11784" Type="http://schemas.openxmlformats.org/officeDocument/2006/relationships/hyperlink" Target="https://www.hamiltoninternationalestates.com/" TargetMode="External"/><Relationship Id="rId12835" Type="http://schemas.openxmlformats.org/officeDocument/2006/relationships/hyperlink" Target="https://propertypressonline.co.uk/" TargetMode="External"/><Relationship Id="rId68" Type="http://schemas.openxmlformats.org/officeDocument/2006/relationships/hyperlink" Target="http://allaroundthe-house.com/" TargetMode="External"/><Relationship Id="rId1843" Type="http://schemas.openxmlformats.org/officeDocument/2006/relationships/hyperlink" Target="https://wolfriverelectric.com/" TargetMode="External"/><Relationship Id="rId7058" Type="http://schemas.openxmlformats.org/officeDocument/2006/relationships/hyperlink" Target="https://www.taylormorrison.com/" TargetMode="External"/><Relationship Id="rId8456" Type="http://schemas.openxmlformats.org/officeDocument/2006/relationships/hyperlink" Target="https://www.pinoyeplans.com/" TargetMode="External"/><Relationship Id="rId9507" Type="http://schemas.openxmlformats.org/officeDocument/2006/relationships/hyperlink" Target="https://www.pinoyeplans.com/" TargetMode="External"/><Relationship Id="rId10386" Type="http://schemas.openxmlformats.org/officeDocument/2006/relationships/hyperlink" Target="https://www.pinoyeplans.com/" TargetMode="External"/><Relationship Id="rId11437" Type="http://schemas.openxmlformats.org/officeDocument/2006/relationships/hyperlink" Target="https://homegambit.squarespace.com/blog/we-buy-ugly-houses-a-solution-for-selling-hard-to-market-properties-s" TargetMode="External"/><Relationship Id="rId8109" Type="http://schemas.openxmlformats.org/officeDocument/2006/relationships/hyperlink" Target="https://whiteglovemoving.us/" TargetMode="External"/><Relationship Id="rId10039" Type="http://schemas.openxmlformats.org/officeDocument/2006/relationships/hyperlink" Target="https://www.teachengineering.org/" TargetMode="External"/><Relationship Id="rId3668" Type="http://schemas.openxmlformats.org/officeDocument/2006/relationships/hyperlink" Target="https://www.calltrackingmetrics.com/blog/marketing/attribution/offline-marketing-call-tracking-roi/" TargetMode="External"/><Relationship Id="rId4719" Type="http://schemas.openxmlformats.org/officeDocument/2006/relationships/hyperlink" Target="https://www.mississippifreepress.org/when-schools-close-down-in-jackson/" TargetMode="External"/><Relationship Id="rId16082" Type="http://schemas.openxmlformats.org/officeDocument/2006/relationships/hyperlink" Target="https://www.rwdoors.com/" TargetMode="External"/><Relationship Id="rId589" Type="http://schemas.openxmlformats.org/officeDocument/2006/relationships/hyperlink" Target="https://www.terristeffes.com/2020/11/fun-activities-to-do-in-outer-banks.html" TargetMode="External"/><Relationship Id="rId5090" Type="http://schemas.openxmlformats.org/officeDocument/2006/relationships/hyperlink" Target="https://www.simpleshowing.com/" TargetMode="External"/><Relationship Id="rId6141" Type="http://schemas.openxmlformats.org/officeDocument/2006/relationships/hyperlink" Target="https://researchsnipers.com/understanding-value-vs-price/" TargetMode="External"/><Relationship Id="rId10520" Type="http://schemas.openxmlformats.org/officeDocument/2006/relationships/hyperlink" Target="https://www.onshape.com/fr/blog/education-design-resources-digital-fabrication" TargetMode="External"/><Relationship Id="rId9364" Type="http://schemas.openxmlformats.org/officeDocument/2006/relationships/hyperlink" Target="https://www.teachengineering.org/" TargetMode="External"/><Relationship Id="rId12692" Type="http://schemas.openxmlformats.org/officeDocument/2006/relationships/hyperlink" Target="https://www.shma.co.uk/" TargetMode="External"/><Relationship Id="rId13743" Type="http://schemas.openxmlformats.org/officeDocument/2006/relationships/hyperlink" Target="https://luxurylifestyle.com/headlines/beyond-beauty-how-learning-facial-techniques-enhances-skin-health-and-wellness.html" TargetMode="External"/><Relationship Id="rId2751" Type="http://schemas.openxmlformats.org/officeDocument/2006/relationships/hyperlink" Target="https://www.simpleshowing.com/" TargetMode="External"/><Relationship Id="rId3802" Type="http://schemas.openxmlformats.org/officeDocument/2006/relationships/hyperlink" Target="https://thecoverguy.com/" TargetMode="External"/><Relationship Id="rId9017" Type="http://schemas.openxmlformats.org/officeDocument/2006/relationships/hyperlink" Target="https://aijourn.com/the-impact-of-artificial-intelligence-on-cost-and-time-efficiency-in-estimation/" TargetMode="External"/><Relationship Id="rId11294" Type="http://schemas.openxmlformats.org/officeDocument/2006/relationships/hyperlink" Target="https://www.savemax.com/" TargetMode="External"/><Relationship Id="rId12345" Type="http://schemas.openxmlformats.org/officeDocument/2006/relationships/hyperlink" Target="https://propertypressonline.co.uk/" TargetMode="External"/><Relationship Id="rId723" Type="http://schemas.openxmlformats.org/officeDocument/2006/relationships/hyperlink" Target="https://www.carolinadesigns.com/" TargetMode="External"/><Relationship Id="rId1006" Type="http://schemas.openxmlformats.org/officeDocument/2006/relationships/hyperlink" Target="https://www.matrixbasements.com/" TargetMode="External"/><Relationship Id="rId1353" Type="http://schemas.openxmlformats.org/officeDocument/2006/relationships/hyperlink" Target="https://www.simpleshowing.com/" TargetMode="External"/><Relationship Id="rId2404" Type="http://schemas.openxmlformats.org/officeDocument/2006/relationships/hyperlink" Target="https://www.pulte.com/" TargetMode="External"/><Relationship Id="rId5974" Type="http://schemas.openxmlformats.org/officeDocument/2006/relationships/hyperlink" Target="https://www.simpleshowing.com/" TargetMode="External"/><Relationship Id="rId15568" Type="http://schemas.openxmlformats.org/officeDocument/2006/relationships/hyperlink" Target="https://myinteriorpalace.com/" TargetMode="External"/><Relationship Id="rId4576" Type="http://schemas.openxmlformats.org/officeDocument/2006/relationships/hyperlink" Target="https://www.simpleshowing.com/" TargetMode="External"/><Relationship Id="rId5627" Type="http://schemas.openxmlformats.org/officeDocument/2006/relationships/hyperlink" Target="https://markovate.com/blog/ai-in-banking/" TargetMode="External"/><Relationship Id="rId3178" Type="http://schemas.openxmlformats.org/officeDocument/2006/relationships/hyperlink" Target="https://www.pulte.com/" TargetMode="External"/><Relationship Id="rId4229" Type="http://schemas.openxmlformats.org/officeDocument/2006/relationships/hyperlink" Target="https://www.kapre.com/" TargetMode="External"/><Relationship Id="rId7799" Type="http://schemas.openxmlformats.org/officeDocument/2006/relationships/hyperlink" Target="https://www.simpleshowing.com/" TargetMode="External"/><Relationship Id="rId8100" Type="http://schemas.openxmlformats.org/officeDocument/2006/relationships/hyperlink" Target="https://whiteglovemoving.us/" TargetMode="External"/><Relationship Id="rId10030" Type="http://schemas.openxmlformats.org/officeDocument/2006/relationships/hyperlink" Target="https://www.teachengineering.org/" TargetMode="External"/><Relationship Id="rId4710" Type="http://schemas.openxmlformats.org/officeDocument/2006/relationships/hyperlink" Target="https://www.tn.gov/commerce/news/2025/4/21/tn-free-real-estate-licensing-program-for-qualifying-high-school-seniors-begins-accepting-applications-starting-april-21.html" TargetMode="External"/><Relationship Id="rId13253" Type="http://schemas.openxmlformats.org/officeDocument/2006/relationships/hyperlink" Target="https://www.pureinvestor.co.uk/" TargetMode="External"/><Relationship Id="rId14651" Type="http://schemas.openxmlformats.org/officeDocument/2006/relationships/hyperlink" Target="https://www.easygaragedoorrepair.com/" TargetMode="External"/><Relationship Id="rId15702" Type="http://schemas.openxmlformats.org/officeDocument/2006/relationships/hyperlink" Target="https://www.architectureanddesign.com.au/editorial/product-news/get-an-insight-into-modinex-s-timber-manufacturing-with-a-factory-tour" TargetMode="External"/><Relationship Id="rId580" Type="http://schemas.openxmlformats.org/officeDocument/2006/relationships/hyperlink" Target="https://www.travelbeginsat40.com/2024/12/5-best-places-for-a-summer-vacation-in-north-carolina/" TargetMode="External"/><Relationship Id="rId2261" Type="http://schemas.openxmlformats.org/officeDocument/2006/relationships/hyperlink" Target="http://www.focochamber.org/visit-us/what-to-do/entertainment/" TargetMode="External"/><Relationship Id="rId3312" Type="http://schemas.openxmlformats.org/officeDocument/2006/relationships/hyperlink" Target="https://www.simpleshowing.com/" TargetMode="External"/><Relationship Id="rId14304" Type="http://schemas.openxmlformats.org/officeDocument/2006/relationships/hyperlink" Target="https://www.thepinnaclelist.com/article/the-fenestration-statement-when-casement-windows-define-architectural-pedigree/" TargetMode="External"/><Relationship Id="rId233" Type="http://schemas.openxmlformats.org/officeDocument/2006/relationships/hyperlink" Target="http://melaniejadedesign.com/" TargetMode="External"/><Relationship Id="rId5484" Type="http://schemas.openxmlformats.org/officeDocument/2006/relationships/hyperlink" Target="https://www.simpleshowing.com/" TargetMode="External"/><Relationship Id="rId6882" Type="http://schemas.openxmlformats.org/officeDocument/2006/relationships/hyperlink" Target="https://www.simpleshowing.com/" TargetMode="External"/><Relationship Id="rId7933" Type="http://schemas.openxmlformats.org/officeDocument/2006/relationships/hyperlink" Target="https://kevinfrancisdesign.com/blogs/design-ideas/6-property-improvements-that-go-beyond-just-aesthetics" TargetMode="External"/><Relationship Id="rId10914" Type="http://schemas.openxmlformats.org/officeDocument/2006/relationships/hyperlink" Target="https://www.pinoyeplans.com/" TargetMode="External"/><Relationship Id="rId4086" Type="http://schemas.openxmlformats.org/officeDocument/2006/relationships/hyperlink" Target="https://arec.arkansas.gov/education/education-providers/" TargetMode="External"/><Relationship Id="rId5137" Type="http://schemas.openxmlformats.org/officeDocument/2006/relationships/hyperlink" Target="https://www.duocircle.com/email-security/8-ways-to-protect-your-business-now-and-forever" TargetMode="External"/><Relationship Id="rId6535" Type="http://schemas.openxmlformats.org/officeDocument/2006/relationships/hyperlink" Target="https://www.simpleshowing.com/" TargetMode="External"/><Relationship Id="rId15078" Type="http://schemas.openxmlformats.org/officeDocument/2006/relationships/hyperlink" Target="https://ahouseinthehills.com/pattern-underfoot-the-return-of-herringbone-and-parquet-laminate-flooring-2/" TargetMode="External"/><Relationship Id="rId16129" Type="http://schemas.openxmlformats.org/officeDocument/2006/relationships/hyperlink" Target="https://myinteriorpalace.com/" TargetMode="External"/><Relationship Id="rId9758" Type="http://schemas.openxmlformats.org/officeDocument/2006/relationships/hyperlink" Target="https://azmesa.arizona.edu/stem-exploration" TargetMode="External"/><Relationship Id="rId11688" Type="http://schemas.openxmlformats.org/officeDocument/2006/relationships/hyperlink" Target="https://www.hamiltoninternationalestates.com/" TargetMode="External"/><Relationship Id="rId12739" Type="http://schemas.openxmlformats.org/officeDocument/2006/relationships/hyperlink" Target="https://propertypressonline.co.uk/" TargetMode="External"/><Relationship Id="rId1747" Type="http://schemas.openxmlformats.org/officeDocument/2006/relationships/hyperlink" Target="https://wolfriverelectric.com/" TargetMode="External"/><Relationship Id="rId14161" Type="http://schemas.openxmlformats.org/officeDocument/2006/relationships/hyperlink" Target="https://myinteriorpalace.com/" TargetMode="External"/><Relationship Id="rId15212" Type="http://schemas.openxmlformats.org/officeDocument/2006/relationships/hyperlink" Target="https://www.luxdeco.com/" TargetMode="External"/><Relationship Id="rId4220" Type="http://schemas.openxmlformats.org/officeDocument/2006/relationships/hyperlink" Target="https://www.kapre.com/" TargetMode="External"/><Relationship Id="rId7790" Type="http://schemas.openxmlformats.org/officeDocument/2006/relationships/hyperlink" Target="https://www.simpleshowing.com/" TargetMode="External"/><Relationship Id="rId8841" Type="http://schemas.openxmlformats.org/officeDocument/2006/relationships/hyperlink" Target="https://www.pinoyeplans.com/" TargetMode="External"/><Relationship Id="rId6392" Type="http://schemas.openxmlformats.org/officeDocument/2006/relationships/hyperlink" Target="https://www.simpleshowing.com/" TargetMode="External"/><Relationship Id="rId7443" Type="http://schemas.openxmlformats.org/officeDocument/2006/relationships/hyperlink" Target="https://www.houstonpress.com/location/darling-homes-at-parkway-terrace-8585953" TargetMode="External"/><Relationship Id="rId10771" Type="http://schemas.openxmlformats.org/officeDocument/2006/relationships/hyperlink" Target="https://www.teachengineering.org/" TargetMode="External"/><Relationship Id="rId11822" Type="http://schemas.openxmlformats.org/officeDocument/2006/relationships/hyperlink" Target="https://old.estateagenttoday.co.uk/breaking-news/2017/10/happy-friday--the-day-when-over-50-of-homes-change-hands" TargetMode="External"/><Relationship Id="rId6045" Type="http://schemas.openxmlformats.org/officeDocument/2006/relationships/hyperlink" Target="https://appscrip.com/blog/app-ideas-for-entrepreneurs/" TargetMode="External"/><Relationship Id="rId10424" Type="http://schemas.openxmlformats.org/officeDocument/2006/relationships/hyperlink" Target="https://ask.metafilter.com/353586/Elephants-on-a-Bridge" TargetMode="External"/><Relationship Id="rId13994" Type="http://schemas.openxmlformats.org/officeDocument/2006/relationships/hyperlink" Target="https://keystonecustomdecksny.com/" TargetMode="External"/><Relationship Id="rId9268" Type="http://schemas.openxmlformats.org/officeDocument/2006/relationships/hyperlink" Target="https://www.teachengineering.org/" TargetMode="External"/><Relationship Id="rId12596" Type="http://schemas.openxmlformats.org/officeDocument/2006/relationships/hyperlink" Target="https://www.shma.co.uk/" TargetMode="External"/><Relationship Id="rId13647" Type="http://schemas.openxmlformats.org/officeDocument/2006/relationships/hyperlink" Target="https://www.inkl.com/news/8-ways-popular-home-tech-is-making-you-paranoid" TargetMode="External"/><Relationship Id="rId974" Type="http://schemas.openxmlformats.org/officeDocument/2006/relationships/hyperlink" Target="https://ahouseinthehills.com/the-ultimate-guide-to-planning-a-home-gym-youll-actually-use/" TargetMode="External"/><Relationship Id="rId2655" Type="http://schemas.openxmlformats.org/officeDocument/2006/relationships/hyperlink" Target="https://www.simpleshowing.com/" TargetMode="External"/><Relationship Id="rId3706" Type="http://schemas.openxmlformats.org/officeDocument/2006/relationships/hyperlink" Target="https://www.overheaddoors.com/" TargetMode="External"/><Relationship Id="rId11198" Type="http://schemas.openxmlformats.org/officeDocument/2006/relationships/hyperlink" Target="https://www.pinoyeplans.com/" TargetMode="External"/><Relationship Id="rId12249" Type="http://schemas.openxmlformats.org/officeDocument/2006/relationships/hyperlink" Target="https://propertypressonline.co.uk/" TargetMode="External"/><Relationship Id="rId16120" Type="http://schemas.openxmlformats.org/officeDocument/2006/relationships/hyperlink" Target="https://myinteriorpalace.com/" TargetMode="External"/><Relationship Id="rId627" Type="http://schemas.openxmlformats.org/officeDocument/2006/relationships/hyperlink" Target="https://www.carolinadesigns.com/" TargetMode="External"/><Relationship Id="rId1257" Type="http://schemas.openxmlformats.org/officeDocument/2006/relationships/hyperlink" Target="https://www.simpleshowing.com/" TargetMode="External"/><Relationship Id="rId2308" Type="http://schemas.openxmlformats.org/officeDocument/2006/relationships/hyperlink" Target="https://www.collectionforsyth.com/" TargetMode="External"/><Relationship Id="rId5878" Type="http://schemas.openxmlformats.org/officeDocument/2006/relationships/hyperlink" Target="https://www.simpleshowing.com/" TargetMode="External"/><Relationship Id="rId6929" Type="http://schemas.openxmlformats.org/officeDocument/2006/relationships/hyperlink" Target="https://www.taylormorrison.com/" TargetMode="External"/><Relationship Id="rId8351" Type="http://schemas.openxmlformats.org/officeDocument/2006/relationships/hyperlink" Target="https://www.pinoyeplans.com/" TargetMode="External"/><Relationship Id="rId9402" Type="http://schemas.openxmlformats.org/officeDocument/2006/relationships/hyperlink" Target="https://www.pinoyeplans.com/" TargetMode="External"/><Relationship Id="rId10281" Type="http://schemas.openxmlformats.org/officeDocument/2006/relationships/hyperlink" Target="https://www.pinoyeplans.com/" TargetMode="External"/><Relationship Id="rId11332" Type="http://schemas.openxmlformats.org/officeDocument/2006/relationships/hyperlink" Target="https://www.hamiltoninternationalestates.com/" TargetMode="External"/><Relationship Id="rId12730" Type="http://schemas.openxmlformats.org/officeDocument/2006/relationships/hyperlink" Target="https://propertypressonline.co.uk/" TargetMode="External"/><Relationship Id="rId8004" Type="http://schemas.openxmlformats.org/officeDocument/2006/relationships/hyperlink" Target="https://indyroofandrestoration.com/" TargetMode="External"/><Relationship Id="rId15953" Type="http://schemas.openxmlformats.org/officeDocument/2006/relationships/hyperlink" Target="https://www.rwdoors.com/" TargetMode="External"/><Relationship Id="rId3563" Type="http://schemas.openxmlformats.org/officeDocument/2006/relationships/hyperlink" Target="https://www.cabotwealth.com/premium/cabot-top-ten-trader/issue/cabot-top-ten-trader-may-20-2013" TargetMode="External"/><Relationship Id="rId4961" Type="http://schemas.openxmlformats.org/officeDocument/2006/relationships/hyperlink" Target="https://best-of-web.builder.io/library/lukasz-madon/awesome-remote-job" TargetMode="External"/><Relationship Id="rId14555" Type="http://schemas.openxmlformats.org/officeDocument/2006/relationships/hyperlink" Target="https://www.easygaragedoorrepair.com/" TargetMode="External"/><Relationship Id="rId15606" Type="http://schemas.openxmlformats.org/officeDocument/2006/relationships/hyperlink" Target="https://rachelbustin.com/interior-design/four-popular-interior-design-trends-how-to-implement-them-into-your-own-home/" TargetMode="External"/><Relationship Id="rId484" Type="http://schemas.openxmlformats.org/officeDocument/2006/relationships/hyperlink" Target="https://yovenice.com/2025/05/31/5-tips-for-going-on-a-wellness-break/" TargetMode="External"/><Relationship Id="rId2165" Type="http://schemas.openxmlformats.org/officeDocument/2006/relationships/hyperlink" Target="https://trust.myoutdesk.com/" TargetMode="External"/><Relationship Id="rId3216" Type="http://schemas.openxmlformats.org/officeDocument/2006/relationships/hyperlink" Target="https://www.simpleshowing.com/" TargetMode="External"/><Relationship Id="rId4614" Type="http://schemas.openxmlformats.org/officeDocument/2006/relationships/hyperlink" Target="https://www.wtok.com/2024/05/27/high-school-seniors-can-now-get-real-estate-license-free-this-state/" TargetMode="External"/><Relationship Id="rId13157" Type="http://schemas.openxmlformats.org/officeDocument/2006/relationships/hyperlink" Target="https://www.shma.co.uk/" TargetMode="External"/><Relationship Id="rId14208" Type="http://schemas.openxmlformats.org/officeDocument/2006/relationships/hyperlink" Target="https://theestateagency.com/resources-partners/" TargetMode="External"/><Relationship Id="rId137" Type="http://schemas.openxmlformats.org/officeDocument/2006/relationships/hyperlink" Target="https://www.sparkrental.com/" TargetMode="External"/><Relationship Id="rId6786" Type="http://schemas.openxmlformats.org/officeDocument/2006/relationships/hyperlink" Target="https://www.simpleshowing.com/" TargetMode="External"/><Relationship Id="rId7837" Type="http://schemas.openxmlformats.org/officeDocument/2006/relationships/hyperlink" Target="https://www.thrillist.com/travel/nation/best-holiday-boat-parades" TargetMode="External"/><Relationship Id="rId10818" Type="http://schemas.openxmlformats.org/officeDocument/2006/relationships/hyperlink" Target="https://www.pinoyeplans.com/" TargetMode="External"/><Relationship Id="rId5388" Type="http://schemas.openxmlformats.org/officeDocument/2006/relationships/hyperlink" Target="https://www.simpleshowing.com/" TargetMode="External"/><Relationship Id="rId6439" Type="http://schemas.openxmlformats.org/officeDocument/2006/relationships/hyperlink" Target="https://www.simpleshowing.com/" TargetMode="External"/><Relationship Id="rId12240" Type="http://schemas.openxmlformats.org/officeDocument/2006/relationships/hyperlink" Target="https://propertypressonline.co.uk/" TargetMode="External"/><Relationship Id="rId1998" Type="http://schemas.openxmlformats.org/officeDocument/2006/relationships/hyperlink" Target="https://www.simpleshowing.com/" TargetMode="External"/><Relationship Id="rId6920" Type="http://schemas.openxmlformats.org/officeDocument/2006/relationships/hyperlink" Target="https://www.taylormorrison.com/" TargetMode="External"/><Relationship Id="rId15463" Type="http://schemas.openxmlformats.org/officeDocument/2006/relationships/hyperlink" Target="https://myinteriorpalace.com/" TargetMode="External"/><Relationship Id="rId4471" Type="http://schemas.openxmlformats.org/officeDocument/2006/relationships/hyperlink" Target="https://www.simpleshowing.com/" TargetMode="External"/><Relationship Id="rId5522" Type="http://schemas.openxmlformats.org/officeDocument/2006/relationships/hyperlink" Target="https://www.simpleshowing.com/" TargetMode="External"/><Relationship Id="rId14065" Type="http://schemas.openxmlformats.org/officeDocument/2006/relationships/hyperlink" Target="https://myinteriorpalace.com/" TargetMode="External"/><Relationship Id="rId15116" Type="http://schemas.openxmlformats.org/officeDocument/2006/relationships/hyperlink" Target="https://www.luxdeco.com/" TargetMode="External"/><Relationship Id="rId3073" Type="http://schemas.openxmlformats.org/officeDocument/2006/relationships/hyperlink" Target="https://www.pulte.com/" TargetMode="External"/><Relationship Id="rId4124" Type="http://schemas.openxmlformats.org/officeDocument/2006/relationships/hyperlink" Target="https://www.kapre.com/" TargetMode="External"/><Relationship Id="rId7694" Type="http://schemas.openxmlformats.org/officeDocument/2006/relationships/hyperlink" Target="https://discoverlakelanier.com/" TargetMode="External"/><Relationship Id="rId6296" Type="http://schemas.openxmlformats.org/officeDocument/2006/relationships/hyperlink" Target="https://www.simpleshowing.com/" TargetMode="External"/><Relationship Id="rId7347" Type="http://schemas.openxmlformats.org/officeDocument/2006/relationships/hyperlink" Target="https://www.taylormorrison.com/" TargetMode="External"/><Relationship Id="rId8745" Type="http://schemas.openxmlformats.org/officeDocument/2006/relationships/hyperlink" Target="https://propertychecker.com/" TargetMode="External"/><Relationship Id="rId10675" Type="http://schemas.openxmlformats.org/officeDocument/2006/relationships/hyperlink" Target="https://www.teachengineering.org/" TargetMode="External"/><Relationship Id="rId11726" Type="http://schemas.openxmlformats.org/officeDocument/2006/relationships/hyperlink" Target="https://www.wandsworthguardian.co.uk/news/15560904.this-is-how-many-complaints-wandsworth-receives-about-partying-neighbours-every-day/" TargetMode="External"/><Relationship Id="rId10328" Type="http://schemas.openxmlformats.org/officeDocument/2006/relationships/hyperlink" Target="https://www.teacherplanet.com/pages/fantastic-fossils" TargetMode="External"/><Relationship Id="rId13898" Type="http://schemas.openxmlformats.org/officeDocument/2006/relationships/hyperlink" Target="https://embeltonflooring.com/" TargetMode="External"/><Relationship Id="rId14949" Type="http://schemas.openxmlformats.org/officeDocument/2006/relationships/hyperlink" Target="https://directory.coldlytics.com/companies/fluidplumbingservices" TargetMode="External"/><Relationship Id="rId3957" Type="http://schemas.openxmlformats.org/officeDocument/2006/relationships/hyperlink" Target="https://www.simpleshowing.com/" TargetMode="External"/><Relationship Id="rId878" Type="http://schemas.openxmlformats.org/officeDocument/2006/relationships/hyperlink" Target="https://ecency.com/hive-184437/@trip-hop/i-still-have-nightmares-about-bedbugs-a-friends-testimonial" TargetMode="External"/><Relationship Id="rId2559" Type="http://schemas.openxmlformats.org/officeDocument/2006/relationships/hyperlink" Target="https://www.simpleshowing.com/" TargetMode="External"/><Relationship Id="rId6430" Type="http://schemas.openxmlformats.org/officeDocument/2006/relationships/hyperlink" Target="https://www.simpleshowing.com/" TargetMode="External"/><Relationship Id="rId16024" Type="http://schemas.openxmlformats.org/officeDocument/2006/relationships/hyperlink" Target="https://myinteriorpalace.com/" TargetMode="External"/><Relationship Id="rId5032" Type="http://schemas.openxmlformats.org/officeDocument/2006/relationships/hyperlink" Target="https://www.simpleshowing.com/" TargetMode="External"/><Relationship Id="rId9653" Type="http://schemas.openxmlformats.org/officeDocument/2006/relationships/hyperlink" Target="https://www.invent.org/blog/trends-stem/science-in-swimming-diving" TargetMode="External"/><Relationship Id="rId12981" Type="http://schemas.openxmlformats.org/officeDocument/2006/relationships/hyperlink" Target="https://www.parcelpending.com/en-gb/blog/designing-a-better-student-experience-5-considerations-for-your-university-campus/" TargetMode="External"/><Relationship Id="rId8255" Type="http://schemas.openxmlformats.org/officeDocument/2006/relationships/hyperlink" Target="https://www.pinoyeplans.com/" TargetMode="External"/><Relationship Id="rId9306" Type="http://schemas.openxmlformats.org/officeDocument/2006/relationships/hyperlink" Target="https://www.pinoyeplans.com/" TargetMode="External"/><Relationship Id="rId10185" Type="http://schemas.openxmlformats.org/officeDocument/2006/relationships/hyperlink" Target="https://www.pinoyeplans.com/" TargetMode="External"/><Relationship Id="rId11583" Type="http://schemas.openxmlformats.org/officeDocument/2006/relationships/hyperlink" Target="https://www.hamiltoninternationalestates.com/" TargetMode="External"/><Relationship Id="rId12634" Type="http://schemas.openxmlformats.org/officeDocument/2006/relationships/hyperlink" Target="https://propertypressonline.co.uk/" TargetMode="External"/><Relationship Id="rId1642" Type="http://schemas.openxmlformats.org/officeDocument/2006/relationships/hyperlink" Target="https://wolfriverelectric.com/" TargetMode="External"/><Relationship Id="rId11236" Type="http://schemas.openxmlformats.org/officeDocument/2006/relationships/hyperlink" Target="https://www.planetveggie.co.uk/plant-lovers-guide-to-protecting-your-home-from-water-damage/" TargetMode="External"/><Relationship Id="rId15857" Type="http://schemas.openxmlformats.org/officeDocument/2006/relationships/hyperlink" Target="https://www.modinex.com.au/" TargetMode="External"/><Relationship Id="rId4865" Type="http://schemas.openxmlformats.org/officeDocument/2006/relationships/hyperlink" Target="https://weworkremotely.com/company/agentfire" TargetMode="External"/><Relationship Id="rId5916" Type="http://schemas.openxmlformats.org/officeDocument/2006/relationships/hyperlink" Target="https://www.simpleshowing.com/" TargetMode="External"/><Relationship Id="rId14459" Type="http://schemas.openxmlformats.org/officeDocument/2006/relationships/hyperlink" Target="https://raynordoor.com/" TargetMode="External"/><Relationship Id="rId388" Type="http://schemas.openxmlformats.org/officeDocument/2006/relationships/hyperlink" Target="http://northernvirginiahomepro.com/" TargetMode="External"/><Relationship Id="rId2069" Type="http://schemas.openxmlformats.org/officeDocument/2006/relationships/hyperlink" Target="https://www.ibegin.com/directory/us/georgia/stockbridge/mark-spain-real-estate-352-corporate-center-court-1/" TargetMode="External"/><Relationship Id="rId3467" Type="http://schemas.openxmlformats.org/officeDocument/2006/relationships/hyperlink" Target="https://www.mrt.com/news/article/Pulte-Beats-Wall-Street-Year-Forecasts-7744224.php" TargetMode="External"/><Relationship Id="rId4518" Type="http://schemas.openxmlformats.org/officeDocument/2006/relationships/hyperlink" Target="https://www.newschannel6now.com/2024/05/27/high-school-seniors-can-now-get-real-estate-license-free-this-state/" TargetMode="External"/><Relationship Id="rId12491" Type="http://schemas.openxmlformats.org/officeDocument/2006/relationships/hyperlink" Target="https://try.yorkshirepost.co.uk/read-this/freshers-week-costs-students-ps500-7-ways-to-save-ps360-4749053" TargetMode="External"/><Relationship Id="rId13542" Type="http://schemas.openxmlformats.org/officeDocument/2006/relationships/hyperlink" Target="https://lifestylebyps.com/blogs/the-design-blog/the-truth-behind-the-blue-rooms-studios-are-the-reviews-too-good-to-be-true" TargetMode="External"/><Relationship Id="rId14940" Type="http://schemas.openxmlformats.org/officeDocument/2006/relationships/hyperlink" Target="https://www.articlesfactory.com/articles/home-and-family/key-steps-for-electrical-fire-safety-a-guide-beyond-smoke-alarms.html" TargetMode="External"/><Relationship Id="rId2550" Type="http://schemas.openxmlformats.org/officeDocument/2006/relationships/hyperlink" Target="https://www.simpleshowing.com/" TargetMode="External"/><Relationship Id="rId3601" Type="http://schemas.openxmlformats.org/officeDocument/2006/relationships/hyperlink" Target="https://www.pulte.com/" TargetMode="External"/><Relationship Id="rId9163" Type="http://schemas.openxmlformats.org/officeDocument/2006/relationships/hyperlink" Target="https://nycestimating.us/" TargetMode="External"/><Relationship Id="rId11093" Type="http://schemas.openxmlformats.org/officeDocument/2006/relationships/hyperlink" Target="https://stemfinity.com/blogs/free-stem-resources/teachengineering" TargetMode="External"/><Relationship Id="rId12144" Type="http://schemas.openxmlformats.org/officeDocument/2006/relationships/hyperlink" Target="https://www.hamiltoninternationalestates.com/" TargetMode="External"/><Relationship Id="rId522" Type="http://schemas.openxmlformats.org/officeDocument/2006/relationships/hyperlink" Target="https://www.carolinadesigns.com/" TargetMode="External"/><Relationship Id="rId1152" Type="http://schemas.openxmlformats.org/officeDocument/2006/relationships/hyperlink" Target="https://www.simpleshowing.com/" TargetMode="External"/><Relationship Id="rId2203" Type="http://schemas.openxmlformats.org/officeDocument/2006/relationships/hyperlink" Target="https://markspain.com/" TargetMode="External"/><Relationship Id="rId5773" Type="http://schemas.openxmlformats.org/officeDocument/2006/relationships/hyperlink" Target="https://womeninbalance.org/2025/07/30/women-thriving-in-pharmacy/" TargetMode="External"/><Relationship Id="rId4375" Type="http://schemas.openxmlformats.org/officeDocument/2006/relationships/hyperlink" Target="https://www.simpleshowing.com/" TargetMode="External"/><Relationship Id="rId5426" Type="http://schemas.openxmlformats.org/officeDocument/2006/relationships/hyperlink" Target="https://www.simpleshowing.com/" TargetMode="External"/><Relationship Id="rId6824" Type="http://schemas.openxmlformats.org/officeDocument/2006/relationships/hyperlink" Target="https://bestcompaniesgroup.com/best-places-to-work-southern-california/winners/" TargetMode="External"/><Relationship Id="rId15367" Type="http://schemas.openxmlformats.org/officeDocument/2006/relationships/hyperlink" Target="https://myinteriorpalace.com/" TargetMode="External"/><Relationship Id="rId4028" Type="http://schemas.openxmlformats.org/officeDocument/2006/relationships/hyperlink" Target="https://mylocal.carrollcountytimes.com/westminster-md/apple-plumbing-and-heating-410-840-8118" TargetMode="External"/><Relationship Id="rId8996" Type="http://schemas.openxmlformats.org/officeDocument/2006/relationships/hyperlink" Target="https://buzzcutofficial.com/innovative-2025-construction-logic-for-streamlined-material-use/" TargetMode="External"/><Relationship Id="rId11977" Type="http://schemas.openxmlformats.org/officeDocument/2006/relationships/hyperlink" Target="https://www.bobvila.com/" TargetMode="External"/><Relationship Id="rId7598" Type="http://schemas.openxmlformats.org/officeDocument/2006/relationships/hyperlink" Target="https://www.taylormorrison.com/" TargetMode="External"/><Relationship Id="rId8649" Type="http://schemas.openxmlformats.org/officeDocument/2006/relationships/hyperlink" Target="https://perlelectrical.co.nz/" TargetMode="External"/><Relationship Id="rId10579" Type="http://schemas.openxmlformats.org/officeDocument/2006/relationships/hyperlink" Target="https://www.teachengineering.org/" TargetMode="External"/><Relationship Id="rId14450" Type="http://schemas.openxmlformats.org/officeDocument/2006/relationships/hyperlink" Target="https://raynordoor.com/" TargetMode="External"/><Relationship Id="rId15501" Type="http://schemas.openxmlformats.org/officeDocument/2006/relationships/hyperlink" Target="https://alice-buckgy9126.firebaseapp.com/black-and-copper-bedside-tables.html" TargetMode="External"/><Relationship Id="rId13052" Type="http://schemas.openxmlformats.org/officeDocument/2006/relationships/hyperlink" Target="https://www.shma.co.uk/" TargetMode="External"/><Relationship Id="rId14103" Type="http://schemas.openxmlformats.org/officeDocument/2006/relationships/hyperlink" Target="https://metapress.com/how-adding-a-stylish-deck-can-significantly-boost-your-homes-worth/" TargetMode="External"/><Relationship Id="rId2060" Type="http://schemas.openxmlformats.org/officeDocument/2006/relationships/hyperlink" Target="https://www.texasrealestate.com/realtors/profile/?id=125002" TargetMode="External"/><Relationship Id="rId3111" Type="http://schemas.openxmlformats.org/officeDocument/2006/relationships/hyperlink" Target="https://www.simpleshowing.com/" TargetMode="External"/><Relationship Id="rId6681" Type="http://schemas.openxmlformats.org/officeDocument/2006/relationships/hyperlink" Target="https://www.themarthablog.com/2024/06/potting-up-palms.html" TargetMode="External"/><Relationship Id="rId7732" Type="http://schemas.openxmlformats.org/officeDocument/2006/relationships/hyperlink" Target="https://www.simpleshowing.com/" TargetMode="External"/><Relationship Id="rId5283" Type="http://schemas.openxmlformats.org/officeDocument/2006/relationships/hyperlink" Target="https://screenapp.io/blog/ai-in-fintech-top-companies-applications" TargetMode="External"/><Relationship Id="rId6334" Type="http://schemas.openxmlformats.org/officeDocument/2006/relationships/hyperlink" Target="https://www.simpleshowing.com/" TargetMode="External"/><Relationship Id="rId10713" Type="http://schemas.openxmlformats.org/officeDocument/2006/relationships/hyperlink" Target="https://www.pinoyeplans.com/" TargetMode="External"/><Relationship Id="rId9557" Type="http://schemas.openxmlformats.org/officeDocument/2006/relationships/hyperlink" Target="https://spaceweather.ssl.berkeley.edu/atmosphere/" TargetMode="External"/><Relationship Id="rId12885" Type="http://schemas.openxmlformats.org/officeDocument/2006/relationships/hyperlink" Target="https://www.thelandsite.co.uk/articles/can-the-construction-industry-afford-to-make-redundancies" TargetMode="External"/><Relationship Id="rId13936" Type="http://schemas.openxmlformats.org/officeDocument/2006/relationships/hyperlink" Target="https://myinteriorpalace.com/" TargetMode="External"/><Relationship Id="rId1893" Type="http://schemas.openxmlformats.org/officeDocument/2006/relationships/hyperlink" Target="https://www.simpleshowing.com/" TargetMode="External"/><Relationship Id="rId2944" Type="http://schemas.openxmlformats.org/officeDocument/2006/relationships/hyperlink" Target="https://www.pulte.com/" TargetMode="External"/><Relationship Id="rId8159" Type="http://schemas.openxmlformats.org/officeDocument/2006/relationships/hyperlink" Target="https://www.pinoyeplans.com/" TargetMode="External"/><Relationship Id="rId11487" Type="http://schemas.openxmlformats.org/officeDocument/2006/relationships/hyperlink" Target="https://sellhousefast.uk/" TargetMode="External"/><Relationship Id="rId12538" Type="http://schemas.openxmlformats.org/officeDocument/2006/relationships/hyperlink" Target="https://propertypressonline.co.uk/" TargetMode="External"/><Relationship Id="rId916" Type="http://schemas.openxmlformats.org/officeDocument/2006/relationships/hyperlink" Target="https://www.matrixbasements.com/" TargetMode="External"/><Relationship Id="rId1546" Type="http://schemas.openxmlformats.org/officeDocument/2006/relationships/hyperlink" Target="https://wolfriverelectric.com/" TargetMode="External"/><Relationship Id="rId10089" Type="http://schemas.openxmlformats.org/officeDocument/2006/relationships/hyperlink" Target="https://www.pinoyeplans.com/" TargetMode="External"/><Relationship Id="rId15011" Type="http://schemas.openxmlformats.org/officeDocument/2006/relationships/hyperlink" Target="https://www.luxdeco.com/" TargetMode="External"/><Relationship Id="rId4769" Type="http://schemas.openxmlformats.org/officeDocument/2006/relationships/hyperlink" Target="https://www.kapre.com/" TargetMode="External"/><Relationship Id="rId8640" Type="http://schemas.openxmlformats.org/officeDocument/2006/relationships/hyperlink" Target="https://perlelectrical.co.nz/" TargetMode="External"/><Relationship Id="rId10570" Type="http://schemas.openxmlformats.org/officeDocument/2006/relationships/hyperlink" Target="https://www.teachengineering.org/" TargetMode="External"/><Relationship Id="rId11621" Type="http://schemas.openxmlformats.org/officeDocument/2006/relationships/hyperlink" Target="https://startuprise.co.uk/after-tract-collapsed-uk-proptech-startup-sector-continues-to-complete-major-funding-rounds/" TargetMode="External"/><Relationship Id="rId6191" Type="http://schemas.openxmlformats.org/officeDocument/2006/relationships/hyperlink" Target="https://getassist.net/set-effective-financial-goals/" TargetMode="External"/><Relationship Id="rId7242" Type="http://schemas.openxmlformats.org/officeDocument/2006/relationships/hyperlink" Target="https://www.simpleshowing.com/" TargetMode="External"/><Relationship Id="rId10223" Type="http://schemas.openxmlformats.org/officeDocument/2006/relationships/hyperlink" Target="https://thehalallife.co.uk/home-school-and-home-education-resources/" TargetMode="External"/><Relationship Id="rId3852" Type="http://schemas.openxmlformats.org/officeDocument/2006/relationships/hyperlink" Target="https://www.simpleshowing.com/" TargetMode="External"/><Relationship Id="rId12395" Type="http://schemas.openxmlformats.org/officeDocument/2006/relationships/hyperlink" Target="https://www.realvantage.co/insights/purpose-built-student-accommodation-pbsa-as-an-asset-class/" TargetMode="External"/><Relationship Id="rId13793" Type="http://schemas.openxmlformats.org/officeDocument/2006/relationships/hyperlink" Target="https://anationofmoms.com/" TargetMode="External"/><Relationship Id="rId14844" Type="http://schemas.openxmlformats.org/officeDocument/2006/relationships/hyperlink" Target="https://threebestrated.com.au/plumbers-in-newcastle-nsw" TargetMode="External"/><Relationship Id="rId773" Type="http://schemas.openxmlformats.org/officeDocument/2006/relationships/hyperlink" Target="https://www.simpleshowing.com/" TargetMode="External"/><Relationship Id="rId2454" Type="http://schemas.openxmlformats.org/officeDocument/2006/relationships/hyperlink" Target="https://www.simpleshowing.com/" TargetMode="External"/><Relationship Id="rId3505" Type="http://schemas.openxmlformats.org/officeDocument/2006/relationships/hyperlink" Target="https://www.pulte.com/" TargetMode="External"/><Relationship Id="rId4903" Type="http://schemas.openxmlformats.org/officeDocument/2006/relationships/hyperlink" Target="https://www.flow20.com/blog/linkedin-ads-for-real-estate/" TargetMode="External"/><Relationship Id="rId9067" Type="http://schemas.openxmlformats.org/officeDocument/2006/relationships/hyperlink" Target="https://nycestimating.us/" TargetMode="External"/><Relationship Id="rId12048" Type="http://schemas.openxmlformats.org/officeDocument/2006/relationships/hyperlink" Target="https://www.hamiltoninternationalestates.com/" TargetMode="External"/><Relationship Id="rId13446" Type="http://schemas.openxmlformats.org/officeDocument/2006/relationships/hyperlink" Target="https://3boysandadog.com/super-fun-art-activities-for-boys/" TargetMode="External"/><Relationship Id="rId426" Type="http://schemas.openxmlformats.org/officeDocument/2006/relationships/hyperlink" Target="https://www.carolinadesigns.com/" TargetMode="External"/><Relationship Id="rId1056" Type="http://schemas.openxmlformats.org/officeDocument/2006/relationships/hyperlink" Target="https://www.simpleshowing.com/" TargetMode="External"/><Relationship Id="rId2107" Type="http://schemas.openxmlformats.org/officeDocument/2006/relationships/hyperlink" Target="https://markspain.com/" TargetMode="External"/><Relationship Id="rId4279" Type="http://schemas.openxmlformats.org/officeDocument/2006/relationships/hyperlink" Target="https://www.simpleshowing.com/" TargetMode="External"/><Relationship Id="rId5677" Type="http://schemas.openxmlformats.org/officeDocument/2006/relationships/hyperlink" Target="https://blog2.roomiapp.com/us/finance/how-do-you-achieve-financial-freedom-in-your-20s/" TargetMode="External"/><Relationship Id="rId6728" Type="http://schemas.openxmlformats.org/officeDocument/2006/relationships/hyperlink" Target="https://www.shoppirate.com/blog/best-labor-day-deals-today/" TargetMode="External"/><Relationship Id="rId8150" Type="http://schemas.openxmlformats.org/officeDocument/2006/relationships/hyperlink" Target="https://www.pinoyeplans.com/" TargetMode="External"/><Relationship Id="rId9201" Type="http://schemas.openxmlformats.org/officeDocument/2006/relationships/hyperlink" Target="https://www.pinoyeplans.com/" TargetMode="External"/><Relationship Id="rId10080" Type="http://schemas.openxmlformats.org/officeDocument/2006/relationships/hyperlink" Target="https://www.pinoyeplans.com/" TargetMode="External"/><Relationship Id="rId11131" Type="http://schemas.openxmlformats.org/officeDocument/2006/relationships/hyperlink" Target="https://www.legalbites.in/topics/articles/legal-steps-for-water-damage-claims-in-homes-1151020" TargetMode="External"/><Relationship Id="rId15752" Type="http://schemas.openxmlformats.org/officeDocument/2006/relationships/hyperlink" Target="https://www.modinex.com.au/" TargetMode="External"/><Relationship Id="rId4760" Type="http://schemas.openxmlformats.org/officeDocument/2006/relationships/hyperlink" Target="https://www.kapre.com/" TargetMode="External"/><Relationship Id="rId5811" Type="http://schemas.openxmlformats.org/officeDocument/2006/relationships/hyperlink" Target="https://www.lifegag.com/how-to-know-when-you-need-credit-card-debt-relief/" TargetMode="External"/><Relationship Id="rId14354" Type="http://schemas.openxmlformats.org/officeDocument/2006/relationships/hyperlink" Target="https://luxurylifestyle.com/" TargetMode="External"/><Relationship Id="rId15405" Type="http://schemas.openxmlformats.org/officeDocument/2006/relationships/hyperlink" Target="https://oracleoftime.com/the-ultimate-isolation-bunker/" TargetMode="External"/><Relationship Id="rId3362" Type="http://schemas.openxmlformats.org/officeDocument/2006/relationships/hyperlink" Target="https://alta.org/membership/directory-profile/1013950" TargetMode="External"/><Relationship Id="rId4413" Type="http://schemas.openxmlformats.org/officeDocument/2006/relationships/hyperlink" Target="https://screa.theceshop.com/agent-essentials/blog/the-financial-difference-between-online-and-in-person-learning" TargetMode="External"/><Relationship Id="rId7983" Type="http://schemas.openxmlformats.org/officeDocument/2006/relationships/hyperlink" Target="https://distinctiveroofing.net/" TargetMode="External"/><Relationship Id="rId14007" Type="http://schemas.openxmlformats.org/officeDocument/2006/relationships/hyperlink" Target="https://homeworlddesign.com/8-outdoor-deck-styles-that-elevate-your-homes-aesthetic/" TargetMode="External"/><Relationship Id="rId283" Type="http://schemas.openxmlformats.org/officeDocument/2006/relationships/hyperlink" Target="https://agilityportal.io/blog/10-ways-to-measure-real-estate-portal-effectiveness" TargetMode="External"/><Relationship Id="rId3015" Type="http://schemas.openxmlformats.org/officeDocument/2006/relationships/hyperlink" Target="https://www.simpleshowing.com/" TargetMode="External"/><Relationship Id="rId6585" Type="http://schemas.openxmlformats.org/officeDocument/2006/relationships/hyperlink" Target="https://www.thermasol.com/" TargetMode="External"/><Relationship Id="rId7636" Type="http://schemas.openxmlformats.org/officeDocument/2006/relationships/hyperlink" Target="https://www.simpleshowing.com/" TargetMode="External"/><Relationship Id="rId10964" Type="http://schemas.openxmlformats.org/officeDocument/2006/relationships/hyperlink" Target="https://boydgreenvillems.schoolinsites.com/academics" TargetMode="External"/><Relationship Id="rId16179" Type="http://schemas.openxmlformats.org/officeDocument/2006/relationships/hyperlink" Target="https://www.limely.co.uk/blog/top-10-carpet-ecommerce-websites" TargetMode="External"/><Relationship Id="rId5187" Type="http://schemas.openxmlformats.org/officeDocument/2006/relationships/hyperlink" Target="https://www.sunsama.com/blog/how-to-set-and-achieve-mid-term-goals-a-comprehensive-guide" TargetMode="External"/><Relationship Id="rId6238" Type="http://schemas.openxmlformats.org/officeDocument/2006/relationships/hyperlink" Target="https://www.simpleshowing.com/" TargetMode="External"/><Relationship Id="rId10617" Type="http://schemas.openxmlformats.org/officeDocument/2006/relationships/hyperlink" Target="https://www.pinoyeplans.com/" TargetMode="External"/><Relationship Id="rId12789" Type="http://schemas.openxmlformats.org/officeDocument/2006/relationships/hyperlink" Target="https://feweek.co.uk/how-many-contracts-does-it-take-to-make-an-apprenticeship/" TargetMode="External"/><Relationship Id="rId1797" Type="http://schemas.openxmlformats.org/officeDocument/2006/relationships/hyperlink" Target="https://www.simpleshowing.com/" TargetMode="External"/><Relationship Id="rId2848" Type="http://schemas.openxmlformats.org/officeDocument/2006/relationships/hyperlink" Target="https://www.pulte.com/" TargetMode="External"/><Relationship Id="rId15262" Type="http://schemas.openxmlformats.org/officeDocument/2006/relationships/hyperlink" Target="https://myinteriorpalace.com/" TargetMode="External"/><Relationship Id="rId4270" Type="http://schemas.openxmlformats.org/officeDocument/2006/relationships/hyperlink" Target="https://www.simpleshowing.com/" TargetMode="External"/><Relationship Id="rId5321" Type="http://schemas.openxmlformats.org/officeDocument/2006/relationships/hyperlink" Target="https://www.newspressnow.com/category/stacker-money/" TargetMode="External"/><Relationship Id="rId8891" Type="http://schemas.openxmlformats.org/officeDocument/2006/relationships/hyperlink" Target="https://qclife.wbtv.com/2022/03/30/keeping-pests-away-your-home-this-spring/" TargetMode="External"/><Relationship Id="rId9942" Type="http://schemas.openxmlformats.org/officeDocument/2006/relationships/hyperlink" Target="https://www.pinoyeplans.com/" TargetMode="External"/><Relationship Id="rId7493" Type="http://schemas.openxmlformats.org/officeDocument/2006/relationships/hyperlink" Target="https://www.taylormorrison.com/" TargetMode="External"/><Relationship Id="rId8544" Type="http://schemas.openxmlformats.org/officeDocument/2006/relationships/hyperlink" Target="https://www.cylind.com/" TargetMode="External"/><Relationship Id="rId10474" Type="http://schemas.openxmlformats.org/officeDocument/2006/relationships/hyperlink" Target="https://www.teachengineering.org/" TargetMode="External"/><Relationship Id="rId11872" Type="http://schemas.openxmlformats.org/officeDocument/2006/relationships/hyperlink" Target="https://sellhousefast.uk/" TargetMode="External"/><Relationship Id="rId12923" Type="http://schemas.openxmlformats.org/officeDocument/2006/relationships/hyperlink" Target="https://www.shma.co.uk/" TargetMode="External"/><Relationship Id="rId1931" Type="http://schemas.openxmlformats.org/officeDocument/2006/relationships/hyperlink" Target="https://theusaleaders.com/articles/metrics-without-context/" TargetMode="External"/><Relationship Id="rId6095" Type="http://schemas.openxmlformats.org/officeDocument/2006/relationships/hyperlink" Target="https://2amagazine.com/how-your-circle-of-friends-is-keeping-you-poor/" TargetMode="External"/><Relationship Id="rId7146" Type="http://schemas.openxmlformats.org/officeDocument/2006/relationships/hyperlink" Target="https://mlq.ai/stocks/TMHC/" TargetMode="External"/><Relationship Id="rId10127" Type="http://schemas.openxmlformats.org/officeDocument/2006/relationships/hyperlink" Target="https://www.tbp.org/k12-mindset-modules.cfm" TargetMode="External"/><Relationship Id="rId11525" Type="http://schemas.openxmlformats.org/officeDocument/2006/relationships/hyperlink" Target="https://www.hamiltoninternationalestates.com/" TargetMode="External"/><Relationship Id="rId13697" Type="http://schemas.openxmlformats.org/officeDocument/2006/relationships/hyperlink" Target="https://anationofmoms.com/" TargetMode="External"/><Relationship Id="rId14748" Type="http://schemas.openxmlformats.org/officeDocument/2006/relationships/hyperlink" Target="https://yourhomify.com/garage-door-installation-top-services/" TargetMode="External"/><Relationship Id="rId677" Type="http://schemas.openxmlformats.org/officeDocument/2006/relationships/hyperlink" Target="https://www.simpleshowing.com/" TargetMode="External"/><Relationship Id="rId2358" Type="http://schemas.openxmlformats.org/officeDocument/2006/relationships/hyperlink" Target="https://www.simpleshowing.com/" TargetMode="External"/><Relationship Id="rId3756" Type="http://schemas.openxmlformats.org/officeDocument/2006/relationships/hyperlink" Target="https://www.simpleshowing.com/" TargetMode="External"/><Relationship Id="rId4807" Type="http://schemas.openxmlformats.org/officeDocument/2006/relationships/hyperlink" Target="https://www.simpleshowing.com/" TargetMode="External"/><Relationship Id="rId12299" Type="http://schemas.openxmlformats.org/officeDocument/2006/relationships/hyperlink" Target="https://castro.fm/podcast/a5da93b3-4c76-4a1a-9d2e-4d30f7f60654" TargetMode="External"/><Relationship Id="rId16170" Type="http://schemas.openxmlformats.org/officeDocument/2006/relationships/hyperlink" Target="https://www.the-shops.co.uk/chainstore/677-united-carpets-and-beds" TargetMode="External"/><Relationship Id="rId3409" Type="http://schemas.openxmlformats.org/officeDocument/2006/relationships/hyperlink" Target="https://www.pulte.com/" TargetMode="External"/><Relationship Id="rId6979" Type="http://schemas.openxmlformats.org/officeDocument/2006/relationships/hyperlink" Target="https://www.simpleshowing.com/" TargetMode="External"/><Relationship Id="rId12780" Type="http://schemas.openxmlformats.org/officeDocument/2006/relationships/hyperlink" Target="https://moneynerd.co.uk/shakespeare-martineau-debt-collectors/" TargetMode="External"/><Relationship Id="rId13831" Type="http://schemas.openxmlformats.org/officeDocument/2006/relationships/hyperlink" Target="https://myinteriorpalace.com/" TargetMode="External"/><Relationship Id="rId9452" Type="http://schemas.openxmlformats.org/officeDocument/2006/relationships/hyperlink" Target="https://www.disher.com/blog/engineering-design-process/" TargetMode="External"/><Relationship Id="rId11382" Type="http://schemas.openxmlformats.org/officeDocument/2006/relationships/hyperlink" Target="http://webuyhouses.com/" TargetMode="External"/><Relationship Id="rId12433" Type="http://schemas.openxmlformats.org/officeDocument/2006/relationships/hyperlink" Target="https://sturents.com/" TargetMode="External"/><Relationship Id="rId811" Type="http://schemas.openxmlformats.org/officeDocument/2006/relationships/hyperlink" Target="https://www.precisionpest.org/blog/how-to-safely-get-a-wasp-out-of-your-house-easy-steps" TargetMode="External"/><Relationship Id="rId1441" Type="http://schemas.openxmlformats.org/officeDocument/2006/relationships/hyperlink" Target="https://ritewindow.com/blog/3-indicators-its-time-to-upgrade-your-shower-or-bath/" TargetMode="External"/><Relationship Id="rId8054" Type="http://schemas.openxmlformats.org/officeDocument/2006/relationships/hyperlink" Target="https://indyroofandrestoration.com/" TargetMode="External"/><Relationship Id="rId9105" Type="http://schemas.openxmlformats.org/officeDocument/2006/relationships/hyperlink" Target="https://www.pinoyeplans.com/" TargetMode="External"/><Relationship Id="rId11035" Type="http://schemas.openxmlformats.org/officeDocument/2006/relationships/hyperlink" Target="https://www.teachengineering.org/" TargetMode="External"/><Relationship Id="rId4664" Type="http://schemas.openxmlformats.org/officeDocument/2006/relationships/hyperlink" Target="https://www.kapre.com/" TargetMode="External"/><Relationship Id="rId5715" Type="http://schemas.openxmlformats.org/officeDocument/2006/relationships/hyperlink" Target="https://investorsking.com/2022/07/22/pros-and-cons-of-debt-settlement/" TargetMode="External"/><Relationship Id="rId14258" Type="http://schemas.openxmlformats.org/officeDocument/2006/relationships/hyperlink" Target="https://luxurylifestyle.com/" TargetMode="External"/><Relationship Id="rId15309" Type="http://schemas.openxmlformats.org/officeDocument/2006/relationships/hyperlink" Target="https://www.magazinehorse.com/en/sexy-fish-can-sushi-seduce-you/" TargetMode="External"/><Relationship Id="rId15656" Type="http://schemas.openxmlformats.org/officeDocument/2006/relationships/hyperlink" Target="https://www.luxdeco.com/" TargetMode="External"/><Relationship Id="rId3266" Type="http://schemas.openxmlformats.org/officeDocument/2006/relationships/hyperlink" Target="https://www.goodallhomes.com/blog/new-homes-built-to-use-less-energy" TargetMode="External"/><Relationship Id="rId4317" Type="http://schemas.openxmlformats.org/officeDocument/2006/relationships/hyperlink" Target="https://www.amny.com/news/top-nyc-real-estate-agents-2/" TargetMode="External"/><Relationship Id="rId187" Type="http://schemas.openxmlformats.org/officeDocument/2006/relationships/hyperlink" Target="https://www.realestateinsavannah.net/" TargetMode="External"/><Relationship Id="rId6489" Type="http://schemas.openxmlformats.org/officeDocument/2006/relationships/hyperlink" Target="https://www.simpleshowing.com/" TargetMode="External"/><Relationship Id="rId7887" Type="http://schemas.openxmlformats.org/officeDocument/2006/relationships/hyperlink" Target="https://trustroofing.com/" TargetMode="External"/><Relationship Id="rId8938" Type="http://schemas.openxmlformats.org/officeDocument/2006/relationships/hyperlink" Target="https://nycestimating.us/" TargetMode="External"/><Relationship Id="rId10868" Type="http://schemas.openxmlformats.org/officeDocument/2006/relationships/hyperlink" Target="https://scoutermom.com/20123/whoosh-scouts-bsa-nova-award-engineering/" TargetMode="External"/><Relationship Id="rId11919" Type="http://schemas.openxmlformats.org/officeDocument/2006/relationships/hyperlink" Target="https://www.hamiltoninternationalestates.com/" TargetMode="External"/><Relationship Id="rId12290" Type="http://schemas.openxmlformats.org/officeDocument/2006/relationships/hyperlink" Target="https://iuk-business-connect.org.uk/events/digital-accountancy-matchmaking/" TargetMode="External"/><Relationship Id="rId13341" Type="http://schemas.openxmlformats.org/officeDocument/2006/relationships/hyperlink" Target="https://qualitybusinessawards.com/2025/the-best-Flooring-Company-in-Raleigh-North-Carolina/A1-Floors-LLC" TargetMode="External"/><Relationship Id="rId3400" Type="http://schemas.openxmlformats.org/officeDocument/2006/relationships/hyperlink" Target="https://www.pulte.com/" TargetMode="External"/><Relationship Id="rId6970" Type="http://schemas.openxmlformats.org/officeDocument/2006/relationships/hyperlink" Target="https://www.simpleshowing.com/" TargetMode="External"/><Relationship Id="rId321" Type="http://schemas.openxmlformats.org/officeDocument/2006/relationships/hyperlink" Target="http://northernvirginiahomepro.com/" TargetMode="External"/><Relationship Id="rId2002" Type="http://schemas.openxmlformats.org/officeDocument/2006/relationships/hyperlink" Target="https://markspain.com/" TargetMode="External"/><Relationship Id="rId5572" Type="http://schemas.openxmlformats.org/officeDocument/2006/relationships/hyperlink" Target="https://www.simpleshowing.com/" TargetMode="External"/><Relationship Id="rId6623" Type="http://schemas.openxmlformats.org/officeDocument/2006/relationships/hyperlink" Target="https://www.simpleshowing.com/" TargetMode="External"/><Relationship Id="rId15166" Type="http://schemas.openxmlformats.org/officeDocument/2006/relationships/hyperlink" Target="https://myinteriorpalace.com/" TargetMode="External"/><Relationship Id="rId16217" Type="http://schemas.openxmlformats.org/officeDocument/2006/relationships/hyperlink" Target="https://www.unitedcarpetsandbeds.com/" TargetMode="External"/><Relationship Id="rId4174" Type="http://schemas.openxmlformats.org/officeDocument/2006/relationships/hyperlink" Target="https://www.simpleshowing.com/" TargetMode="External"/><Relationship Id="rId5225" Type="http://schemas.openxmlformats.org/officeDocument/2006/relationships/hyperlink" Target="https://testsigma.com/blog/test-cases-for-trading-application/" TargetMode="External"/><Relationship Id="rId8795" Type="http://schemas.openxmlformats.org/officeDocument/2006/relationships/hyperlink" Target="https://www.pinoyeplans.com/" TargetMode="External"/><Relationship Id="rId9846" Type="http://schemas.openxmlformats.org/officeDocument/2006/relationships/hyperlink" Target="https://www.pinoyeplans.com/" TargetMode="External"/><Relationship Id="rId7397" Type="http://schemas.openxmlformats.org/officeDocument/2006/relationships/hyperlink" Target="https://www.simpleshowing.com/" TargetMode="External"/><Relationship Id="rId8448" Type="http://schemas.openxmlformats.org/officeDocument/2006/relationships/hyperlink" Target="https://www.cylind.com/" TargetMode="External"/><Relationship Id="rId11776" Type="http://schemas.openxmlformats.org/officeDocument/2006/relationships/hyperlink" Target="https://sellhousefast.uk/" TargetMode="External"/><Relationship Id="rId12827" Type="http://schemas.openxmlformats.org/officeDocument/2006/relationships/hyperlink" Target="https://www.shma.co.uk/" TargetMode="External"/><Relationship Id="rId1835" Type="http://schemas.openxmlformats.org/officeDocument/2006/relationships/hyperlink" Target="https://97rockonline.com/ixp/137/p/washington-energy-efficiency/" TargetMode="External"/><Relationship Id="rId10378" Type="http://schemas.openxmlformats.org/officeDocument/2006/relationships/hyperlink" Target="https://www.teachengineering.org/" TargetMode="External"/><Relationship Id="rId11429" Type="http://schemas.openxmlformats.org/officeDocument/2006/relationships/hyperlink" Target="https://www.hamiltoninternationalestates.com/" TargetMode="External"/><Relationship Id="rId14999" Type="http://schemas.openxmlformats.org/officeDocument/2006/relationships/hyperlink" Target="https://www.luxdeco.com/" TargetMode="External"/><Relationship Id="rId15300" Type="http://schemas.openxmlformats.org/officeDocument/2006/relationships/hyperlink" Target="https://hnmagazine.co.uk/home-and-garden/how-to-make-your-home-feel-cosy-and-inviting/" TargetMode="External"/><Relationship Id="rId11910" Type="http://schemas.openxmlformats.org/officeDocument/2006/relationships/hyperlink" Target="https://www.hamiltoninternationalestates.com/" TargetMode="External"/><Relationship Id="rId6480" Type="http://schemas.openxmlformats.org/officeDocument/2006/relationships/hyperlink" Target="https://extremehowto.com/add-a-sauna-for-personal-health-and-wellness/" TargetMode="External"/><Relationship Id="rId7531" Type="http://schemas.openxmlformats.org/officeDocument/2006/relationships/hyperlink" Target="https://www.simpleshowing.com/" TargetMode="External"/><Relationship Id="rId10512" Type="http://schemas.openxmlformats.org/officeDocument/2006/relationships/hyperlink" Target="https://www.pinoyeplans.com/" TargetMode="External"/><Relationship Id="rId16074" Type="http://schemas.openxmlformats.org/officeDocument/2006/relationships/hyperlink" Target="https://www.importyeti.com/supplier/richards-wilcox-canada" TargetMode="External"/><Relationship Id="rId5082" Type="http://schemas.openxmlformats.org/officeDocument/2006/relationships/hyperlink" Target="https://www.simpleshowing.com/" TargetMode="External"/><Relationship Id="rId6133" Type="http://schemas.openxmlformats.org/officeDocument/2006/relationships/hyperlink" Target="https://www.tomedes.com/translator-hub/student-loan-debt-freelancing" TargetMode="External"/><Relationship Id="rId12684" Type="http://schemas.openxmlformats.org/officeDocument/2006/relationships/hyperlink" Target="https://corporate.lovell.co.uk/newsroom/2025/august/housing-developer-tees-off-for-30th-time-to-raise-14550-for-welsh-charities/" TargetMode="External"/><Relationship Id="rId1692" Type="http://schemas.openxmlformats.org/officeDocument/2006/relationships/hyperlink" Target="https://www.simpleshowing.com/" TargetMode="External"/><Relationship Id="rId2743" Type="http://schemas.openxmlformats.org/officeDocument/2006/relationships/hyperlink" Target="https://www.pulte.com/" TargetMode="External"/><Relationship Id="rId9356" Type="http://schemas.openxmlformats.org/officeDocument/2006/relationships/hyperlink" Target="https://allinonehomeschool.com/zoology/" TargetMode="External"/><Relationship Id="rId11286" Type="http://schemas.openxmlformats.org/officeDocument/2006/relationships/hyperlink" Target="https://www.waterdamagespecialist.com.au/" TargetMode="External"/><Relationship Id="rId12337" Type="http://schemas.openxmlformats.org/officeDocument/2006/relationships/hyperlink" Target="https://sturents.com/" TargetMode="External"/><Relationship Id="rId13735" Type="http://schemas.openxmlformats.org/officeDocument/2006/relationships/hyperlink" Target="https://myinteriorpalace.com/" TargetMode="External"/><Relationship Id="rId715" Type="http://schemas.openxmlformats.org/officeDocument/2006/relationships/hyperlink" Target="https://www.travelsafe-abroad.com/alligators-in-the-outer-banks/" TargetMode="External"/><Relationship Id="rId1345" Type="http://schemas.openxmlformats.org/officeDocument/2006/relationships/hyperlink" Target="https://darscover.com/" TargetMode="External"/><Relationship Id="rId9009" Type="http://schemas.openxmlformats.org/officeDocument/2006/relationships/hyperlink" Target="https://www.pinoyeplans.com/" TargetMode="External"/><Relationship Id="rId4568" Type="http://schemas.openxmlformats.org/officeDocument/2006/relationships/hyperlink" Target="https://www.kapre.com/" TargetMode="External"/><Relationship Id="rId5966" Type="http://schemas.openxmlformats.org/officeDocument/2006/relationships/hyperlink" Target="https://www.simpleshowing.com/" TargetMode="External"/><Relationship Id="rId51" Type="http://schemas.openxmlformats.org/officeDocument/2006/relationships/hyperlink" Target="http://www.mayfair-london.co.uk/" TargetMode="External"/><Relationship Id="rId5619" Type="http://schemas.openxmlformats.org/officeDocument/2006/relationships/hyperlink" Target="https://www.cisin.com/coffee-break/how-can-users-limit-their-losses-if-a-crypto-exchange-collapses.html" TargetMode="External"/><Relationship Id="rId7041" Type="http://schemas.openxmlformats.org/officeDocument/2006/relationships/hyperlink" Target="https://woodtone.com/project/taylor-morrison-home/" TargetMode="External"/><Relationship Id="rId11420" Type="http://schemas.openxmlformats.org/officeDocument/2006/relationships/hyperlink" Target="https://www.hamiltoninternationalestates.com/" TargetMode="External"/><Relationship Id="rId14990" Type="http://schemas.openxmlformats.org/officeDocument/2006/relationships/hyperlink" Target="https://www.luxdeco.com/" TargetMode="External"/><Relationship Id="rId10022" Type="http://schemas.openxmlformats.org/officeDocument/2006/relationships/hyperlink" Target="https://rosehill.jmcss.org/our-school/academics/stem-and-the-engineering-design-process" TargetMode="External"/><Relationship Id="rId13592" Type="http://schemas.openxmlformats.org/officeDocument/2006/relationships/hyperlink" Target="https://anationofmoms.com/" TargetMode="External"/><Relationship Id="rId14643" Type="http://schemas.openxmlformats.org/officeDocument/2006/relationships/hyperlink" Target="https://kdarchitects.net/5-benefits-of-installing-roll-up-garage-doors-for-homeowners-in-pasadena-tx/" TargetMode="External"/><Relationship Id="rId3651" Type="http://schemas.openxmlformats.org/officeDocument/2006/relationships/hyperlink" Target="https://www.simpleshowing.com/" TargetMode="External"/><Relationship Id="rId4702" Type="http://schemas.openxmlformats.org/officeDocument/2006/relationships/hyperlink" Target="https://www.simpleshowing.com/" TargetMode="External"/><Relationship Id="rId12194" Type="http://schemas.openxmlformats.org/officeDocument/2006/relationships/hyperlink" Target="https://www.monstertreeservice.com/monster-tips/general-tips/how-to-get-sap-off-your-car-and-more/" TargetMode="External"/><Relationship Id="rId13245" Type="http://schemas.openxmlformats.org/officeDocument/2006/relationships/hyperlink" Target="https://fortuneherald.com/finance/how-the-uks-btl-property-market-is-changing/" TargetMode="External"/><Relationship Id="rId572" Type="http://schemas.openxmlformats.org/officeDocument/2006/relationships/hyperlink" Target="https://www.simpleshowing.com/" TargetMode="External"/><Relationship Id="rId2253" Type="http://schemas.openxmlformats.org/officeDocument/2006/relationships/hyperlink" Target="https://www.simpleshowing.com/" TargetMode="External"/><Relationship Id="rId3304" Type="http://schemas.openxmlformats.org/officeDocument/2006/relationships/hyperlink" Target="https://www.pulte.com/" TargetMode="External"/><Relationship Id="rId6874" Type="http://schemas.openxmlformats.org/officeDocument/2006/relationships/hyperlink" Target="https://www.taylormorrison.com/" TargetMode="External"/><Relationship Id="rId7925" Type="http://schemas.openxmlformats.org/officeDocument/2006/relationships/hyperlink" Target="https://www.pinoyeplans.com/" TargetMode="External"/><Relationship Id="rId225" Type="http://schemas.openxmlformats.org/officeDocument/2006/relationships/hyperlink" Target="http://northernvirginiahomepro.com/" TargetMode="External"/><Relationship Id="rId5476" Type="http://schemas.openxmlformats.org/officeDocument/2006/relationships/hyperlink" Target="https://www.simpleshowing.com/" TargetMode="External"/><Relationship Id="rId6527" Type="http://schemas.openxmlformats.org/officeDocument/2006/relationships/hyperlink" Target="https://www.thermasol.com/" TargetMode="External"/><Relationship Id="rId10906" Type="http://schemas.openxmlformats.org/officeDocument/2006/relationships/hyperlink" Target="https://www.teachengineering.org/" TargetMode="External"/><Relationship Id="rId4078" Type="http://schemas.openxmlformats.org/officeDocument/2006/relationships/hyperlink" Target="https://www.kapre.com/" TargetMode="External"/><Relationship Id="rId5129" Type="http://schemas.openxmlformats.org/officeDocument/2006/relationships/hyperlink" Target="https://www.spacebring.com/blog/productivity/coworking-space-pricing" TargetMode="External"/><Relationship Id="rId8699" Type="http://schemas.openxmlformats.org/officeDocument/2006/relationships/hyperlink" Target="https://www.pinoyeplans.com/" TargetMode="External"/><Relationship Id="rId9000" Type="http://schemas.openxmlformats.org/officeDocument/2006/relationships/hyperlink" Target="https://www.pinoyeplans.com/" TargetMode="External"/><Relationship Id="rId15551" Type="http://schemas.openxmlformats.org/officeDocument/2006/relationships/hyperlink" Target="https://www.luxdeco.com/" TargetMode="External"/><Relationship Id="rId1739" Type="http://schemas.openxmlformats.org/officeDocument/2006/relationships/hyperlink" Target="https://610kona.com/ixp/137/p/washington-energy-efficiency/" TargetMode="External"/><Relationship Id="rId5610" Type="http://schemas.openxmlformats.org/officeDocument/2006/relationships/hyperlink" Target="https://www.simpleshowing.com/" TargetMode="External"/><Relationship Id="rId14153" Type="http://schemas.openxmlformats.org/officeDocument/2006/relationships/hyperlink" Target="https://luxurylifestyle.com/" TargetMode="External"/><Relationship Id="rId15204" Type="http://schemas.openxmlformats.org/officeDocument/2006/relationships/hyperlink" Target="https://lookwhatmomfound.org/the-versatility-of-beige-sofas-in-home-decor/" TargetMode="External"/><Relationship Id="rId3161" Type="http://schemas.openxmlformats.org/officeDocument/2006/relationships/hyperlink" Target="https://www.theoaklandpress.com/2010/05/14/business-briefing-may-15-3/" TargetMode="External"/><Relationship Id="rId4212" Type="http://schemas.openxmlformats.org/officeDocument/2006/relationships/hyperlink" Target="https://www.redfin.com/guides/agent-resources/popular-real-estate-schools-by-state" TargetMode="External"/><Relationship Id="rId7782" Type="http://schemas.openxmlformats.org/officeDocument/2006/relationships/hyperlink" Target="https://www.simpleshowing.com/" TargetMode="External"/><Relationship Id="rId8833" Type="http://schemas.openxmlformats.org/officeDocument/2006/relationships/hyperlink" Target="https://www.trianglepest.com/" TargetMode="External"/><Relationship Id="rId10763" Type="http://schemas.openxmlformats.org/officeDocument/2006/relationships/hyperlink" Target="https://wardsworld.wardsci.com/i/1484453-ws-science-by-you-activity-crystal-radio/4" TargetMode="External"/><Relationship Id="rId6384" Type="http://schemas.openxmlformats.org/officeDocument/2006/relationships/hyperlink" Target="https://www.simpleshowing.com/" TargetMode="External"/><Relationship Id="rId7435" Type="http://schemas.openxmlformats.org/officeDocument/2006/relationships/hyperlink" Target="https://www.simpleshowing.com/" TargetMode="External"/><Relationship Id="rId10416" Type="http://schemas.openxmlformats.org/officeDocument/2006/relationships/hyperlink" Target="https://www.pinoyeplans.com/" TargetMode="External"/><Relationship Id="rId11814" Type="http://schemas.openxmlformats.org/officeDocument/2006/relationships/hyperlink" Target="https://www.hamiltoninternationalestates.com/" TargetMode="External"/><Relationship Id="rId6037" Type="http://schemas.openxmlformats.org/officeDocument/2006/relationships/hyperlink" Target="https://t2conline.com/what-is-consolidated-credit/" TargetMode="External"/><Relationship Id="rId13986" Type="http://schemas.openxmlformats.org/officeDocument/2006/relationships/hyperlink" Target="https://www.appclonescript.com/best-time-to-inspect-your-roof/" TargetMode="External"/><Relationship Id="rId966" Type="http://schemas.openxmlformats.org/officeDocument/2006/relationships/hyperlink" Target="https://www.simpleshowing.com/" TargetMode="External"/><Relationship Id="rId1596" Type="http://schemas.openxmlformats.org/officeDocument/2006/relationships/hyperlink" Target="https://www.simpleshowing.com/" TargetMode="External"/><Relationship Id="rId2647" Type="http://schemas.openxmlformats.org/officeDocument/2006/relationships/hyperlink" Target="https://www.pulte.com/" TargetMode="External"/><Relationship Id="rId2994" Type="http://schemas.openxmlformats.org/officeDocument/2006/relationships/hyperlink" Target="https://www.simpleshowing.com/" TargetMode="External"/><Relationship Id="rId12588" Type="http://schemas.openxmlformats.org/officeDocument/2006/relationships/hyperlink" Target="https://www.uhr.ac.uk/cpd/awards/" TargetMode="External"/><Relationship Id="rId13639" Type="http://schemas.openxmlformats.org/officeDocument/2006/relationships/hyperlink" Target="https://myinteriorpalace.com/" TargetMode="External"/><Relationship Id="rId15061" Type="http://schemas.openxmlformats.org/officeDocument/2006/relationships/hyperlink" Target="https://myinteriorpalace.com/" TargetMode="External"/><Relationship Id="rId619" Type="http://schemas.openxmlformats.org/officeDocument/2006/relationships/hyperlink" Target="https://www.justonewayticket.com/6-tips-for-planning-the-perfect-beach-getaway/" TargetMode="External"/><Relationship Id="rId1249" Type="http://schemas.openxmlformats.org/officeDocument/2006/relationships/hyperlink" Target="https://happy2movelondon.co.uk/r" TargetMode="External"/><Relationship Id="rId5120" Type="http://schemas.openxmlformats.org/officeDocument/2006/relationships/hyperlink" Target="https://www.simpleshowing.com/" TargetMode="External"/><Relationship Id="rId16112" Type="http://schemas.openxmlformats.org/officeDocument/2006/relationships/hyperlink" Target="https://www.rwdoors.com/" TargetMode="External"/><Relationship Id="rId8690" Type="http://schemas.openxmlformats.org/officeDocument/2006/relationships/hyperlink" Target="https://www.pinoyeplans.com/" TargetMode="External"/><Relationship Id="rId9741" Type="http://schemas.openxmlformats.org/officeDocument/2006/relationships/hyperlink" Target="https://www.pinoyeplans.com/" TargetMode="External"/><Relationship Id="rId11671" Type="http://schemas.openxmlformats.org/officeDocument/2006/relationships/hyperlink" Target="https://sellhousefast.uk/" TargetMode="External"/><Relationship Id="rId12722" Type="http://schemas.openxmlformats.org/officeDocument/2006/relationships/hyperlink" Target="https://www.shma.co.uk/" TargetMode="External"/><Relationship Id="rId1730" Type="http://schemas.openxmlformats.org/officeDocument/2006/relationships/hyperlink" Target="https://q1057.com/ixp/498/p/new-york-summer-outages/" TargetMode="External"/><Relationship Id="rId7292" Type="http://schemas.openxmlformats.org/officeDocument/2006/relationships/hyperlink" Target="https://www.taylormorrison.com/" TargetMode="External"/><Relationship Id="rId8343" Type="http://schemas.openxmlformats.org/officeDocument/2006/relationships/hyperlink" Target="https://australiansecurecapital.com.au/" TargetMode="External"/><Relationship Id="rId10273" Type="http://schemas.openxmlformats.org/officeDocument/2006/relationships/hyperlink" Target="https://www.teachengineering.org/" TargetMode="External"/><Relationship Id="rId11324" Type="http://schemas.openxmlformats.org/officeDocument/2006/relationships/hyperlink" Target="http://webuyhouses.com/" TargetMode="External"/><Relationship Id="rId14894" Type="http://schemas.openxmlformats.org/officeDocument/2006/relationships/hyperlink" Target="https://www.fluidplumbingservices.com.au/" TargetMode="External"/><Relationship Id="rId4953" Type="http://schemas.openxmlformats.org/officeDocument/2006/relationships/hyperlink" Target="https://newcareer.theceshop.com/agent-essentials/blog/6-unique-ways-to-market-yourself-as-a-new-agent" TargetMode="External"/><Relationship Id="rId13496" Type="http://schemas.openxmlformats.org/officeDocument/2006/relationships/hyperlink" Target="https://anationofmoms.com/" TargetMode="External"/><Relationship Id="rId14547" Type="http://schemas.openxmlformats.org/officeDocument/2006/relationships/hyperlink" Target="https://snoozye.com/top-rated-3-garage-door-repair-experts-in-houston-for-fast-fixes/" TargetMode="External"/><Relationship Id="rId15945" Type="http://schemas.openxmlformats.org/officeDocument/2006/relationships/hyperlink" Target="https://alittledelightful.com/how-durable-doors-with-contemporary-charm-improve-security-and-aesthetics/" TargetMode="External"/><Relationship Id="rId3555" Type="http://schemas.openxmlformats.org/officeDocument/2006/relationships/hyperlink" Target="https://www.simpleshowing.com/" TargetMode="External"/><Relationship Id="rId4606" Type="http://schemas.openxmlformats.org/officeDocument/2006/relationships/hyperlink" Target="https://www.simpleshowing.com/" TargetMode="External"/><Relationship Id="rId12098" Type="http://schemas.openxmlformats.org/officeDocument/2006/relationships/hyperlink" Target="https://garretyhomepros.com/about/blog/types-of-shower-glass/" TargetMode="External"/><Relationship Id="rId13149" Type="http://schemas.openxmlformats.org/officeDocument/2006/relationships/hyperlink" Target="https://www.everythingbranded.co.uk/blog/round-table-meeting-building-the-brand" TargetMode="External"/><Relationship Id="rId476" Type="http://schemas.openxmlformats.org/officeDocument/2006/relationships/hyperlink" Target="https://www.simpleshowing.com/" TargetMode="External"/><Relationship Id="rId2157" Type="http://schemas.openxmlformats.org/officeDocument/2006/relationships/hyperlink" Target="https://www.simpleshowing.com/" TargetMode="External"/><Relationship Id="rId3208" Type="http://schemas.openxmlformats.org/officeDocument/2006/relationships/hyperlink" Target="https://www.pulte.com/" TargetMode="External"/><Relationship Id="rId6778" Type="http://schemas.openxmlformats.org/officeDocument/2006/relationships/hyperlink" Target="https://theprovidencegroup.com/" TargetMode="External"/><Relationship Id="rId129" Type="http://schemas.openxmlformats.org/officeDocument/2006/relationships/hyperlink" Target="https://www.pentictonwesternnews.com/" TargetMode="External"/><Relationship Id="rId7829" Type="http://schemas.openxmlformats.org/officeDocument/2006/relationships/hyperlink" Target="https://www.simpleshowing.com/" TargetMode="External"/><Relationship Id="rId9251" Type="http://schemas.openxmlformats.org/officeDocument/2006/relationships/hyperlink" Target="https://www.davinciroofscapes.com/projects-inspiration/project-profiles/slate-roofing-sets-off-show-home/" TargetMode="External"/><Relationship Id="rId13630" Type="http://schemas.openxmlformats.org/officeDocument/2006/relationships/hyperlink" Target="https://myinteriorpalace.com/" TargetMode="External"/><Relationship Id="rId11181" Type="http://schemas.openxmlformats.org/officeDocument/2006/relationships/hyperlink" Target="https://kevinfrancisdesign.com/blogs/design-ideas/designing-with-water-damage-prevention-in-mind" TargetMode="External"/><Relationship Id="rId12232" Type="http://schemas.openxmlformats.org/officeDocument/2006/relationships/hyperlink" Target="https://marrons.co.uk/" TargetMode="External"/><Relationship Id="rId610" Type="http://schemas.openxmlformats.org/officeDocument/2006/relationships/hyperlink" Target="http://s1030794421.onlinehome.us/military/uboat.html" TargetMode="External"/><Relationship Id="rId1240" Type="http://schemas.openxmlformats.org/officeDocument/2006/relationships/hyperlink" Target="https://happy2movelondon.co.uk/r" TargetMode="External"/><Relationship Id="rId5861" Type="http://schemas.openxmlformats.org/officeDocument/2006/relationships/hyperlink" Target="https://knowmax.ai/blog/webinar-recap-guided-knowledge-for-cx-transformation/" TargetMode="External"/><Relationship Id="rId6912" Type="http://schemas.openxmlformats.org/officeDocument/2006/relationships/hyperlink" Target="https://www.taylormorrison.com/" TargetMode="External"/><Relationship Id="rId15455" Type="http://schemas.openxmlformats.org/officeDocument/2006/relationships/hyperlink" Target="https://www.luxdeco.com/" TargetMode="External"/><Relationship Id="rId4463" Type="http://schemas.openxmlformats.org/officeDocument/2006/relationships/hyperlink" Target="https://www.kapre.com/" TargetMode="External"/><Relationship Id="rId5514" Type="http://schemas.openxmlformats.org/officeDocument/2006/relationships/hyperlink" Target="https://www.simpleshowing.com/" TargetMode="External"/><Relationship Id="rId14057" Type="http://schemas.openxmlformats.org/officeDocument/2006/relationships/hyperlink" Target="https://keystonecustomdecksny.com/" TargetMode="External"/><Relationship Id="rId15108" Type="http://schemas.openxmlformats.org/officeDocument/2006/relationships/hyperlink" Target="https://www.iwaymagazine.com/blogs/news/25-growth-in-this-interior-design-trend-thanks-to-tiktok" TargetMode="External"/><Relationship Id="rId3065" Type="http://schemas.openxmlformats.org/officeDocument/2006/relationships/hyperlink" Target="https://www.nctv17.org/news/new-parks-to-pay-tribute-to-napervilles-rich-horseback-riding-history/" TargetMode="External"/><Relationship Id="rId4116" Type="http://schemas.openxmlformats.org/officeDocument/2006/relationships/hyperlink" Target="https://www.kapre.com/" TargetMode="External"/><Relationship Id="rId7686" Type="http://schemas.openxmlformats.org/officeDocument/2006/relationships/hyperlink" Target="https://www.extraspace.com/blog/city-guides/pros-and-cons-of-living-in-atlanta/" TargetMode="External"/><Relationship Id="rId8737" Type="http://schemas.openxmlformats.org/officeDocument/2006/relationships/hyperlink" Target="https://skywarddigital.com.au/how-to-create-a-strong-brand-identity-for-your-roofing-service-business/" TargetMode="External"/><Relationship Id="rId6288" Type="http://schemas.openxmlformats.org/officeDocument/2006/relationships/hyperlink" Target="https://www.simpleshowing.com/" TargetMode="External"/><Relationship Id="rId7339" Type="http://schemas.openxmlformats.org/officeDocument/2006/relationships/hyperlink" Target="https://www.chicagomag.com/chicago-home/july-2016/the-top-local-design-news-and-events-this-week/" TargetMode="External"/><Relationship Id="rId10667" Type="http://schemas.openxmlformats.org/officeDocument/2006/relationships/hyperlink" Target="https://mrsec.utexas.edu/news-publications" TargetMode="External"/><Relationship Id="rId11718" Type="http://schemas.openxmlformats.org/officeDocument/2006/relationships/hyperlink" Target="https://www.hamiltoninternationalestates.com/" TargetMode="External"/><Relationship Id="rId13140" Type="http://schemas.openxmlformats.org/officeDocument/2006/relationships/hyperlink" Target="http://www.odp.org/Regional/Europe/United_Kingdom/England/Business_and_Economy/Legal_Services" TargetMode="External"/><Relationship Id="rId120" Type="http://schemas.openxmlformats.org/officeDocument/2006/relationships/hyperlink" Target="https://www.comoxvalleyrecord.com/" TargetMode="External"/><Relationship Id="rId2898" Type="http://schemas.openxmlformats.org/officeDocument/2006/relationships/hyperlink" Target="https://www.simpleshowing.com/" TargetMode="External"/><Relationship Id="rId3949" Type="http://schemas.openxmlformats.org/officeDocument/2006/relationships/hyperlink" Target="https://www.smartsolarenergyco.com/" TargetMode="External"/><Relationship Id="rId7820" Type="http://schemas.openxmlformats.org/officeDocument/2006/relationships/hyperlink" Target="https://www.simpleshowing.com/" TargetMode="External"/><Relationship Id="rId10801" Type="http://schemas.openxmlformats.org/officeDocument/2006/relationships/hyperlink" Target="https://www.teachengineering.org/" TargetMode="External"/><Relationship Id="rId5024" Type="http://schemas.openxmlformats.org/officeDocument/2006/relationships/hyperlink" Target="https://www.simpleshowing.com/" TargetMode="External"/><Relationship Id="rId5371" Type="http://schemas.openxmlformats.org/officeDocument/2006/relationships/hyperlink" Target="https://www.slideshare.net/Freedom_Debt_Relief" TargetMode="External"/><Relationship Id="rId6422" Type="http://schemas.openxmlformats.org/officeDocument/2006/relationships/hyperlink" Target="https://www.thermasol.com/" TargetMode="External"/><Relationship Id="rId9992" Type="http://schemas.openxmlformats.org/officeDocument/2006/relationships/hyperlink" Target="https://energypedia.info/wiki/SPIS_Market" TargetMode="External"/><Relationship Id="rId12973" Type="http://schemas.openxmlformats.org/officeDocument/2006/relationships/hyperlink" Target="https://propertypressonline.co.uk/" TargetMode="External"/><Relationship Id="rId16016" Type="http://schemas.openxmlformats.org/officeDocument/2006/relationships/hyperlink" Target="https://www.rwdoors.com/" TargetMode="External"/><Relationship Id="rId1981" Type="http://schemas.openxmlformats.org/officeDocument/2006/relationships/hyperlink" Target="https://markspain.com/" TargetMode="External"/><Relationship Id="rId8594" Type="http://schemas.openxmlformats.org/officeDocument/2006/relationships/hyperlink" Target="https://www.pinoyeplans.com/" TargetMode="External"/><Relationship Id="rId9645" Type="http://schemas.openxmlformats.org/officeDocument/2006/relationships/hyperlink" Target="https://www.pinoyeplans.com/" TargetMode="External"/><Relationship Id="rId11575" Type="http://schemas.openxmlformats.org/officeDocument/2006/relationships/hyperlink" Target="https://sellhousefast.uk/" TargetMode="External"/><Relationship Id="rId12626" Type="http://schemas.openxmlformats.org/officeDocument/2006/relationships/hyperlink" Target="https://www.shma.co.uk/" TargetMode="External"/><Relationship Id="rId1634" Type="http://schemas.openxmlformats.org/officeDocument/2006/relationships/hyperlink" Target="https://vocabbliss.com/a-business-owners-guide-to-switching-to-solar-power/" TargetMode="External"/><Relationship Id="rId7196" Type="http://schemas.openxmlformats.org/officeDocument/2006/relationships/hyperlink" Target="https://www.devx.com/development/top-real-estate-development-companies/" TargetMode="External"/><Relationship Id="rId8247" Type="http://schemas.openxmlformats.org/officeDocument/2006/relationships/hyperlink" Target="https://smaarchviz.com/" TargetMode="External"/><Relationship Id="rId10177" Type="http://schemas.openxmlformats.org/officeDocument/2006/relationships/hyperlink" Target="https://www.teachengineering.org/" TargetMode="External"/><Relationship Id="rId11228" Type="http://schemas.openxmlformats.org/officeDocument/2006/relationships/hyperlink" Target="https://www.waterdamagespecialist.com.au/" TargetMode="External"/><Relationship Id="rId4857" Type="http://schemas.openxmlformats.org/officeDocument/2006/relationships/hyperlink" Target="https://www.xara.com/blog/real-estate-facebook-ads/" TargetMode="External"/><Relationship Id="rId14798" Type="http://schemas.openxmlformats.org/officeDocument/2006/relationships/hyperlink" Target="https://www.easygaragedoorrepair.com/" TargetMode="External"/><Relationship Id="rId15849" Type="http://schemas.openxmlformats.org/officeDocument/2006/relationships/hyperlink" Target="https://www.londondaily.news/7-stunning-interior-cladding-ideas-for-modern-homes/" TargetMode="External"/><Relationship Id="rId3459" Type="http://schemas.openxmlformats.org/officeDocument/2006/relationships/hyperlink" Target="https://www.simpleshowing.com/" TargetMode="External"/><Relationship Id="rId5908" Type="http://schemas.openxmlformats.org/officeDocument/2006/relationships/hyperlink" Target="https://www.simpleshowing.com/" TargetMode="External"/><Relationship Id="rId7330" Type="http://schemas.openxmlformats.org/officeDocument/2006/relationships/hyperlink" Target="https://www.taylormorrison.com/" TargetMode="External"/><Relationship Id="rId10311" Type="http://schemas.openxmlformats.org/officeDocument/2006/relationships/hyperlink" Target="https://www.pinoyeplans.com/" TargetMode="External"/><Relationship Id="rId13881" Type="http://schemas.openxmlformats.org/officeDocument/2006/relationships/hyperlink" Target="https://pasoroblesdailynews.com/2022-laminate-flooring-trends-you-wont-want-to-miss/147755/" TargetMode="External"/><Relationship Id="rId14932" Type="http://schemas.openxmlformats.org/officeDocument/2006/relationships/hyperlink" Target="https://myinteriorpalace.com/" TargetMode="External"/><Relationship Id="rId3940" Type="http://schemas.openxmlformats.org/officeDocument/2006/relationships/hyperlink" Target="https://amjmetalroofing.com.au/" TargetMode="External"/><Relationship Id="rId9155" Type="http://schemas.openxmlformats.org/officeDocument/2006/relationships/hyperlink" Target="https://www.thehansindia.com/news/international/cost-estimation-challenges-in-large-scale-infrastructure-projects-984224" TargetMode="External"/><Relationship Id="rId12483" Type="http://schemas.openxmlformats.org/officeDocument/2006/relationships/hyperlink" Target="https://propertypressonline.co.uk/" TargetMode="External"/><Relationship Id="rId13534" Type="http://schemas.openxmlformats.org/officeDocument/2006/relationships/hyperlink" Target="https://myinteriorpalace.com/" TargetMode="External"/><Relationship Id="rId861" Type="http://schemas.openxmlformats.org/officeDocument/2006/relationships/hyperlink" Target="https://www.simpleshowing.com/" TargetMode="External"/><Relationship Id="rId1491" Type="http://schemas.openxmlformats.org/officeDocument/2006/relationships/hyperlink" Target="https://www.simpleshowing.com/" TargetMode="External"/><Relationship Id="rId2542" Type="http://schemas.openxmlformats.org/officeDocument/2006/relationships/hyperlink" Target="https://www.pulte.com/" TargetMode="External"/><Relationship Id="rId11085" Type="http://schemas.openxmlformats.org/officeDocument/2006/relationships/hyperlink" Target="https://www.pinoyeplans.com/" TargetMode="External"/><Relationship Id="rId12136" Type="http://schemas.openxmlformats.org/officeDocument/2006/relationships/hyperlink" Target="https://www.bobvila.com/" TargetMode="External"/><Relationship Id="rId514" Type="http://schemas.openxmlformats.org/officeDocument/2006/relationships/hyperlink" Target="https://tamaracamerablog.com/dining-and-restaurants-to-try-on-your-obx-vacation/" TargetMode="External"/><Relationship Id="rId1144" Type="http://schemas.openxmlformats.org/officeDocument/2006/relationships/hyperlink" Target="https://www.matrixbasements.com/" TargetMode="External"/><Relationship Id="rId5765" Type="http://schemas.openxmlformats.org/officeDocument/2006/relationships/hyperlink" Target="https://ktvz.com/stacker-money/2025/09/29/how-to-create-a-bare-bones-budget-when-youre-in-debt/" TargetMode="External"/><Relationship Id="rId6816" Type="http://schemas.openxmlformats.org/officeDocument/2006/relationships/hyperlink" Target="https://www.simpleshowing.com/" TargetMode="External"/><Relationship Id="rId15359" Type="http://schemas.openxmlformats.org/officeDocument/2006/relationships/hyperlink" Target="https://www.luxdeco.com/" TargetMode="External"/><Relationship Id="rId4367" Type="http://schemas.openxmlformats.org/officeDocument/2006/relationships/hyperlink" Target="https://www.kapre.com/" TargetMode="External"/><Relationship Id="rId5418" Type="http://schemas.openxmlformats.org/officeDocument/2006/relationships/hyperlink" Target="https://www.simpleshowing.com/" TargetMode="External"/><Relationship Id="rId8988" Type="http://schemas.openxmlformats.org/officeDocument/2006/relationships/hyperlink" Target="https://www.pinoyeplans.com/" TargetMode="External"/><Relationship Id="rId11969" Type="http://schemas.openxmlformats.org/officeDocument/2006/relationships/hyperlink" Target="https://www.directenergy.ca/en/learn/home-improvement/electric-vs-gas-water-heater" TargetMode="External"/><Relationship Id="rId15840" Type="http://schemas.openxmlformats.org/officeDocument/2006/relationships/hyperlink" Target="https://www.cbinsights.com/company/modinex/alternatives-competitors" TargetMode="External"/><Relationship Id="rId13391" Type="http://schemas.openxmlformats.org/officeDocument/2006/relationships/hyperlink" Target="https://anationofmoms.com/" TargetMode="External"/><Relationship Id="rId14442" Type="http://schemas.openxmlformats.org/officeDocument/2006/relationships/hyperlink" Target="https://shineyourlightblog.com/garage-door-safety-and-regular-inspections/" TargetMode="External"/><Relationship Id="rId371" Type="http://schemas.openxmlformats.org/officeDocument/2006/relationships/hyperlink" Target="https://aamstg1.wpenginepowered.com/considerations-when-purchasing-your-next-condo-in-nyc/" TargetMode="External"/><Relationship Id="rId2052" Type="http://schemas.openxmlformats.org/officeDocument/2006/relationships/hyperlink" Target="https://www.simpleshowing.com/" TargetMode="External"/><Relationship Id="rId3450" Type="http://schemas.openxmlformats.org/officeDocument/2006/relationships/hyperlink" Target="https://www.simpleshowing.com/" TargetMode="External"/><Relationship Id="rId4501" Type="http://schemas.openxmlformats.org/officeDocument/2006/relationships/hyperlink" Target="https://www.simpleshowing.com/" TargetMode="External"/><Relationship Id="rId13044" Type="http://schemas.openxmlformats.org/officeDocument/2006/relationships/hyperlink" Target="https://www.ireland-live.ie/news/life/1819676/what-pensioners-need-to-know-about-income-tax.html" TargetMode="External"/><Relationship Id="rId3103" Type="http://schemas.openxmlformats.org/officeDocument/2006/relationships/hyperlink" Target="https://www.pulte.com/" TargetMode="External"/><Relationship Id="rId6673" Type="http://schemas.openxmlformats.org/officeDocument/2006/relationships/hyperlink" Target="https://www.simpleshowing.com/" TargetMode="External"/><Relationship Id="rId7724" Type="http://schemas.openxmlformats.org/officeDocument/2006/relationships/hyperlink" Target="https://discoverlakelanier.com/" TargetMode="External"/><Relationship Id="rId10705" Type="http://schemas.openxmlformats.org/officeDocument/2006/relationships/hyperlink" Target="https://www.teachengineering.org/" TargetMode="External"/><Relationship Id="rId16267" Type="http://schemas.openxmlformats.org/officeDocument/2006/relationships/hyperlink" Target="https://myinteriorpalace.com/" TargetMode="External"/><Relationship Id="rId5275" Type="http://schemas.openxmlformats.org/officeDocument/2006/relationships/hyperlink" Target="https://abc17news.com/category/stacker-money/" TargetMode="External"/><Relationship Id="rId6326" Type="http://schemas.openxmlformats.org/officeDocument/2006/relationships/hyperlink" Target="https://www.simpleshowing.com/" TargetMode="External"/><Relationship Id="rId9896" Type="http://schemas.openxmlformats.org/officeDocument/2006/relationships/hyperlink" Target="https://lifeovercs.com/stem-building-challenges-that-work-great-in-the-classroom/" TargetMode="External"/><Relationship Id="rId1885" Type="http://schemas.openxmlformats.org/officeDocument/2006/relationships/hyperlink" Target="https://markspain.com/" TargetMode="External"/><Relationship Id="rId2936" Type="http://schemas.openxmlformats.org/officeDocument/2006/relationships/hyperlink" Target="https://www.enr.com/articles/45848-what-a-visit-to-the-woolsey-fire-taught-me" TargetMode="External"/><Relationship Id="rId8498" Type="http://schemas.openxmlformats.org/officeDocument/2006/relationships/hyperlink" Target="https://www.pinoyeplans.com/" TargetMode="External"/><Relationship Id="rId9549" Type="http://schemas.openxmlformats.org/officeDocument/2006/relationships/hyperlink" Target="https://www.pinoyeplans.com/" TargetMode="External"/><Relationship Id="rId11479" Type="http://schemas.openxmlformats.org/officeDocument/2006/relationships/hyperlink" Target="https://www.viessmann.co.uk/en/heating-advice/boilers/how-to-increase-value-of-your-home.html" TargetMode="External"/><Relationship Id="rId12877" Type="http://schemas.openxmlformats.org/officeDocument/2006/relationships/hyperlink" Target="https://propertypressonline.co.uk/" TargetMode="External"/><Relationship Id="rId13928" Type="http://schemas.openxmlformats.org/officeDocument/2006/relationships/hyperlink" Target="https://faheyroofingcontractors.com/" TargetMode="External"/><Relationship Id="rId15350" Type="http://schemas.openxmlformats.org/officeDocument/2006/relationships/hyperlink" Target="https://www.luxdeco.com/" TargetMode="External"/><Relationship Id="rId908" Type="http://schemas.openxmlformats.org/officeDocument/2006/relationships/hyperlink" Target="https://resident.com/resource-guide/2024/09/18/kitchen-cabinet-color-trends-for-2024-a-blend-of-style-and-functionality" TargetMode="External"/><Relationship Id="rId1538" Type="http://schemas.openxmlformats.org/officeDocument/2006/relationships/hyperlink" Target="http://innercitytennis.org/acesandales/" TargetMode="External"/><Relationship Id="rId15003" Type="http://schemas.openxmlformats.org/officeDocument/2006/relationships/hyperlink" Target="https://blog.society6.com/how-to-style-throw-blanket-on-bed/" TargetMode="External"/><Relationship Id="rId4011" Type="http://schemas.openxmlformats.org/officeDocument/2006/relationships/hyperlink" Target="https://www.simpleshowing.com/" TargetMode="External"/><Relationship Id="rId11960" Type="http://schemas.openxmlformats.org/officeDocument/2006/relationships/hyperlink" Target="https://www.vistaprint.com/hub/elements-of-branding" TargetMode="External"/><Relationship Id="rId6183" Type="http://schemas.openxmlformats.org/officeDocument/2006/relationships/hyperlink" Target="https://mitechnews.com/guest-columns/why-am-i-in-debt/" TargetMode="External"/><Relationship Id="rId7234" Type="http://schemas.openxmlformats.org/officeDocument/2006/relationships/hyperlink" Target="https://www.taylormorrison.com/" TargetMode="External"/><Relationship Id="rId7581" Type="http://schemas.openxmlformats.org/officeDocument/2006/relationships/hyperlink" Target="https://www.modernsalon.com/1092757/top-10-design-trends-for-2025" TargetMode="External"/><Relationship Id="rId8632" Type="http://schemas.openxmlformats.org/officeDocument/2006/relationships/hyperlink" Target="https://cloudstorage50.blob.core.windows.net/aucklandpremiumpainters/painters-auckland.html" TargetMode="External"/><Relationship Id="rId10562" Type="http://schemas.openxmlformats.org/officeDocument/2006/relationships/hyperlink" Target="https://phys.org/news/2022-08-fish-reconnect-species-habitats-blocked.html" TargetMode="External"/><Relationship Id="rId11613" Type="http://schemas.openxmlformats.org/officeDocument/2006/relationships/hyperlink" Target="https://www.hamiltoninternationalestates.com/" TargetMode="External"/><Relationship Id="rId3777" Type="http://schemas.openxmlformats.org/officeDocument/2006/relationships/hyperlink" Target="https://www.simpleshowing.com/" TargetMode="External"/><Relationship Id="rId4828" Type="http://schemas.openxmlformats.org/officeDocument/2006/relationships/hyperlink" Target="https://www.simpleshowing.com/" TargetMode="External"/><Relationship Id="rId10215" Type="http://schemas.openxmlformats.org/officeDocument/2006/relationships/hyperlink" Target="https://www.pinoyeplans.com/" TargetMode="External"/><Relationship Id="rId13785" Type="http://schemas.openxmlformats.org/officeDocument/2006/relationships/hyperlink" Target="https://fpgeeks.com/forum/showthread.php/46912-Windows-10-activator?p=446806" TargetMode="External"/><Relationship Id="rId14836" Type="http://schemas.openxmlformats.org/officeDocument/2006/relationships/hyperlink" Target="https://myinteriorpalace.com/" TargetMode="External"/><Relationship Id="rId16191" Type="http://schemas.openxmlformats.org/officeDocument/2006/relationships/hyperlink" Target="https://www.shemightbeloved.com/bedroom-makeover-dark-moody-velvets/" TargetMode="External"/><Relationship Id="rId698" Type="http://schemas.openxmlformats.org/officeDocument/2006/relationships/hyperlink" Target="https://www.simpleshowing.com/" TargetMode="External"/><Relationship Id="rId2379" Type="http://schemas.openxmlformats.org/officeDocument/2006/relationships/hyperlink" Target="https://www.simpleshowing.com/" TargetMode="External"/><Relationship Id="rId2793" Type="http://schemas.openxmlformats.org/officeDocument/2006/relationships/hyperlink" Target="https://www.simpleshowing.com/" TargetMode="External"/><Relationship Id="rId3844" Type="http://schemas.openxmlformats.org/officeDocument/2006/relationships/hyperlink" Target="https://thecoverguy.com/" TargetMode="External"/><Relationship Id="rId6250" Type="http://schemas.openxmlformats.org/officeDocument/2006/relationships/hyperlink" Target="https://www.simpleshowing.com/" TargetMode="External"/><Relationship Id="rId7301" Type="http://schemas.openxmlformats.org/officeDocument/2006/relationships/hyperlink" Target="https://apnews.com/article/technology-lifestyle-home-buying-diseases-and-conditions-entertainment-and-media-technology-af138c183b61d4bd568436ab4794b7a5" TargetMode="External"/><Relationship Id="rId12387" Type="http://schemas.openxmlformats.org/officeDocument/2006/relationships/hyperlink" Target="https://propertypressonline.co.uk/" TargetMode="External"/><Relationship Id="rId13438" Type="http://schemas.openxmlformats.org/officeDocument/2006/relationships/hyperlink" Target="https://myinteriorpalace.com/" TargetMode="External"/><Relationship Id="rId765" Type="http://schemas.openxmlformats.org/officeDocument/2006/relationships/hyperlink" Target="https://www.schaafsma.com/" TargetMode="External"/><Relationship Id="rId1395" Type="http://schemas.openxmlformats.org/officeDocument/2006/relationships/hyperlink" Target="https://www.simpleshowing.com/" TargetMode="External"/><Relationship Id="rId2446" Type="http://schemas.openxmlformats.org/officeDocument/2006/relationships/hyperlink" Target="https://www.pulte.com/" TargetMode="External"/><Relationship Id="rId2860" Type="http://schemas.openxmlformats.org/officeDocument/2006/relationships/hyperlink" Target="https://www.pulte.com/" TargetMode="External"/><Relationship Id="rId9059" Type="http://schemas.openxmlformats.org/officeDocument/2006/relationships/hyperlink" Target="https://kucingapk.id/why-architects-and-construction-estimators/" TargetMode="External"/><Relationship Id="rId9473" Type="http://schemas.openxmlformats.org/officeDocument/2006/relationships/hyperlink" Target="https://www.pi-top.com/pbl/for-steam/resources" TargetMode="External"/><Relationship Id="rId12454" Type="http://schemas.openxmlformats.org/officeDocument/2006/relationships/hyperlink" Target="https://sturents.com/" TargetMode="External"/><Relationship Id="rId13852" Type="http://schemas.openxmlformats.org/officeDocument/2006/relationships/hyperlink" Target="https://myinteriorpalace.com/" TargetMode="External"/><Relationship Id="rId14903" Type="http://schemas.openxmlformats.org/officeDocument/2006/relationships/hyperlink" Target="https://www.fluidplumbingservices.com.au/" TargetMode="External"/><Relationship Id="rId418" Type="http://schemas.openxmlformats.org/officeDocument/2006/relationships/hyperlink" Target="https://corollaguide.com/vacation-rentals" TargetMode="External"/><Relationship Id="rId832" Type="http://schemas.openxmlformats.org/officeDocument/2006/relationships/hyperlink" Target="https://girlcooksworld.com/natural-solutions-for-a-cleaner-kitchen/" TargetMode="External"/><Relationship Id="rId1048" Type="http://schemas.openxmlformats.org/officeDocument/2006/relationships/hyperlink" Target="https://www.matrixbasements.com/" TargetMode="External"/><Relationship Id="rId1462" Type="http://schemas.openxmlformats.org/officeDocument/2006/relationships/hyperlink" Target="https://ritewindow.com/blog/3-indicators-its-time-to-upgrade-your-shower-or-bath/" TargetMode="External"/><Relationship Id="rId2513" Type="http://schemas.openxmlformats.org/officeDocument/2006/relationships/hyperlink" Target="https://marketplacehomes.com/about-us/builder-partners/" TargetMode="External"/><Relationship Id="rId3911" Type="http://schemas.openxmlformats.org/officeDocument/2006/relationships/hyperlink" Target="https://sawmillcreek.org/showthread.php?84797-Good-source-for-replacement-spa-cover&amp;p=858339" TargetMode="External"/><Relationship Id="rId5669" Type="http://schemas.openxmlformats.org/officeDocument/2006/relationships/hyperlink" Target="https://curator.io/blog/how-schools-can-use-social-media-for-good" TargetMode="External"/><Relationship Id="rId8075" Type="http://schemas.openxmlformats.org/officeDocument/2006/relationships/hyperlink" Target="https://www.pinoyeplans.com/" TargetMode="External"/><Relationship Id="rId9126" Type="http://schemas.openxmlformats.org/officeDocument/2006/relationships/hyperlink" Target="https://www.pinoyeplans.com/" TargetMode="External"/><Relationship Id="rId9540" Type="http://schemas.openxmlformats.org/officeDocument/2006/relationships/hyperlink" Target="https://www.pinoyeplans.com/" TargetMode="External"/><Relationship Id="rId11056" Type="http://schemas.openxmlformats.org/officeDocument/2006/relationships/hyperlink" Target="https://www.teachengineering.org/" TargetMode="External"/><Relationship Id="rId12107" Type="http://schemas.openxmlformats.org/officeDocument/2006/relationships/hyperlink" Target="https://www.westernstatesmetalroofing.com/blog/solar-panels-on-metal-roof" TargetMode="External"/><Relationship Id="rId13505" Type="http://schemas.openxmlformats.org/officeDocument/2006/relationships/hyperlink" Target="https://anationofmoms.com/" TargetMode="External"/><Relationship Id="rId1115" Type="http://schemas.openxmlformats.org/officeDocument/2006/relationships/hyperlink" Target="https://business.brightoncoc.org/list/member/matrix-home-solutions-8959" TargetMode="External"/><Relationship Id="rId7091" Type="http://schemas.openxmlformats.org/officeDocument/2006/relationships/hyperlink" Target="https://www.taylormorrison.com/" TargetMode="External"/><Relationship Id="rId8142" Type="http://schemas.openxmlformats.org/officeDocument/2006/relationships/hyperlink" Target="https://integrityhomeexteriors.com/" TargetMode="External"/><Relationship Id="rId10072" Type="http://schemas.openxmlformats.org/officeDocument/2006/relationships/hyperlink" Target="https://www.teachengineering.org/" TargetMode="External"/><Relationship Id="rId11470" Type="http://schemas.openxmlformats.org/officeDocument/2006/relationships/hyperlink" Target="https://www.springbokproperties.co.uk/blog/best-we-buy-any-house-companies-2022" TargetMode="External"/><Relationship Id="rId12521" Type="http://schemas.openxmlformats.org/officeDocument/2006/relationships/hyperlink" Target="https://sturents.com/" TargetMode="External"/><Relationship Id="rId15677" Type="http://schemas.openxmlformats.org/officeDocument/2006/relationships/hyperlink" Target="https://www.luxdeco.com/" TargetMode="External"/><Relationship Id="rId3287" Type="http://schemas.openxmlformats.org/officeDocument/2006/relationships/hyperlink" Target="https://houston.culturemap.com/news/real-estate/tropical-new-home-community-outside-houston-is-building-your-best-life/" TargetMode="External"/><Relationship Id="rId4338" Type="http://schemas.openxmlformats.org/officeDocument/2006/relationships/hyperlink" Target="https://plusrender.com/tips-on-finding-the-best-real-estate-agents-in-los-angeles/" TargetMode="External"/><Relationship Id="rId4685" Type="http://schemas.openxmlformats.org/officeDocument/2006/relationships/hyperlink" Target="https://www.kapre.com/" TargetMode="External"/><Relationship Id="rId5736" Type="http://schemas.openxmlformats.org/officeDocument/2006/relationships/hyperlink" Target="https://www.simpleshowing.com/" TargetMode="External"/><Relationship Id="rId11123" Type="http://schemas.openxmlformats.org/officeDocument/2006/relationships/hyperlink" Target="https://www.pinoyeplans.com/" TargetMode="External"/><Relationship Id="rId14279" Type="http://schemas.openxmlformats.org/officeDocument/2006/relationships/hyperlink" Target="https://luxurylifestyle.com/" TargetMode="External"/><Relationship Id="rId14693" Type="http://schemas.openxmlformats.org/officeDocument/2006/relationships/hyperlink" Target="https://www.easygaragedoorrepair.com/" TargetMode="External"/><Relationship Id="rId15744" Type="http://schemas.openxmlformats.org/officeDocument/2006/relationships/hyperlink" Target="https://lektowoodfuels.co.uk/blogs/news/the-best-pizza-oven-wood-make-the-perfect-slice" TargetMode="External"/><Relationship Id="rId4752" Type="http://schemas.openxmlformats.org/officeDocument/2006/relationships/hyperlink" Target="https://www.wbrc.com/2024/05/27/high-school-seniors-can-now-get-real-estate-license-free-this-state/" TargetMode="External"/><Relationship Id="rId5803" Type="http://schemas.openxmlformats.org/officeDocument/2006/relationships/hyperlink" Target="https://recruitcrm.io/blogs/labor-hoarding/" TargetMode="External"/><Relationship Id="rId8959" Type="http://schemas.openxmlformats.org/officeDocument/2006/relationships/hyperlink" Target="https://nycestimating.us/" TargetMode="External"/><Relationship Id="rId10889" Type="http://schemas.openxmlformats.org/officeDocument/2006/relationships/hyperlink" Target="https://newsletters.naavi.com/i/RNG4lZJ/issue-3/page/8" TargetMode="External"/><Relationship Id="rId13295" Type="http://schemas.openxmlformats.org/officeDocument/2006/relationships/hyperlink" Target="https://www.pureinvestor.co.uk/" TargetMode="External"/><Relationship Id="rId14346" Type="http://schemas.openxmlformats.org/officeDocument/2006/relationships/hyperlink" Target="https://zeoworks.com/main/user-482493.html" TargetMode="External"/><Relationship Id="rId14760" Type="http://schemas.openxmlformats.org/officeDocument/2006/relationships/hyperlink" Target="https://aamstg1.wpenginepowered.com/top-5-reliable-garage-door-repair-services-in-houston-tx/" TargetMode="External"/><Relationship Id="rId15811" Type="http://schemas.openxmlformats.org/officeDocument/2006/relationships/hyperlink" Target="https://myinteriorpalace.com/" TargetMode="External"/><Relationship Id="rId3354" Type="http://schemas.openxmlformats.org/officeDocument/2006/relationships/hyperlink" Target="https://www.simpleshowing.com/" TargetMode="External"/><Relationship Id="rId4405" Type="http://schemas.openxmlformats.org/officeDocument/2006/relationships/hyperlink" Target="https://www.simpleshowing.com/" TargetMode="External"/><Relationship Id="rId7975" Type="http://schemas.openxmlformats.org/officeDocument/2006/relationships/hyperlink" Target="https://davidsguide.com/post%E2%80%91holiday-maintenance-tips-every-property-owner-should-know/" TargetMode="External"/><Relationship Id="rId13362" Type="http://schemas.openxmlformats.org/officeDocument/2006/relationships/hyperlink" Target="https://raffinews.com/store/childrens-music/best-of-raffi/" TargetMode="External"/><Relationship Id="rId14413" Type="http://schemas.openxmlformats.org/officeDocument/2006/relationships/hyperlink" Target="https://myinteriorpalace.com/" TargetMode="External"/><Relationship Id="rId275" Type="http://schemas.openxmlformats.org/officeDocument/2006/relationships/hyperlink" Target="http://travelexperta.com/" TargetMode="External"/><Relationship Id="rId2370" Type="http://schemas.openxmlformats.org/officeDocument/2006/relationships/hyperlink" Target="https://www.simpleshowing.com/" TargetMode="External"/><Relationship Id="rId3007" Type="http://schemas.openxmlformats.org/officeDocument/2006/relationships/hyperlink" Target="https://www.pulte.com/" TargetMode="External"/><Relationship Id="rId3421" Type="http://schemas.openxmlformats.org/officeDocument/2006/relationships/hyperlink" Target="https://www.pulte.com/" TargetMode="External"/><Relationship Id="rId6577" Type="http://schemas.openxmlformats.org/officeDocument/2006/relationships/hyperlink" Target="https://www.simpleshowing.com/" TargetMode="External"/><Relationship Id="rId6991" Type="http://schemas.openxmlformats.org/officeDocument/2006/relationships/hyperlink" Target="https://www.simpleshowing.com/" TargetMode="External"/><Relationship Id="rId7628" Type="http://schemas.openxmlformats.org/officeDocument/2006/relationships/hyperlink" Target="https://www.taylormorrison.com/" TargetMode="External"/><Relationship Id="rId10956" Type="http://schemas.openxmlformats.org/officeDocument/2006/relationships/hyperlink" Target="https://www.pinoyeplans.com/" TargetMode="External"/><Relationship Id="rId13015" Type="http://schemas.openxmlformats.org/officeDocument/2006/relationships/hyperlink" Target="https://propertypressonline.co.uk/" TargetMode="External"/><Relationship Id="rId342" Type="http://schemas.openxmlformats.org/officeDocument/2006/relationships/hyperlink" Target="http://northernvirginiahomepro.com/" TargetMode="External"/><Relationship Id="rId2023" Type="http://schemas.openxmlformats.org/officeDocument/2006/relationships/hyperlink" Target="https://markspain.com/" TargetMode="External"/><Relationship Id="rId5179" Type="http://schemas.openxmlformats.org/officeDocument/2006/relationships/hyperlink" Target="https://debrasmouse.com/understanding-nonforfeiture-clauses-in-life-insurance-policies/" TargetMode="External"/><Relationship Id="rId5593" Type="http://schemas.openxmlformats.org/officeDocument/2006/relationships/hyperlink" Target="https://aaronai.my.canva.site/debt-consolidation" TargetMode="External"/><Relationship Id="rId6644" Type="http://schemas.openxmlformats.org/officeDocument/2006/relationships/hyperlink" Target="https://www.thermasol.com/" TargetMode="External"/><Relationship Id="rId9050" Type="http://schemas.openxmlformats.org/officeDocument/2006/relationships/hyperlink" Target="https://www.nameslection.com/from-early-budgets-to-final-costs-the-evolving-role-of-construction-estimation/" TargetMode="External"/><Relationship Id="rId10609" Type="http://schemas.openxmlformats.org/officeDocument/2006/relationships/hyperlink" Target="https://www.teachengineering.org/" TargetMode="External"/><Relationship Id="rId12031" Type="http://schemas.openxmlformats.org/officeDocument/2006/relationships/hyperlink" Target="https://www.bobvila.com/" TargetMode="External"/><Relationship Id="rId15187" Type="http://schemas.openxmlformats.org/officeDocument/2006/relationships/hyperlink" Target="https://myinteriorpalace.com/" TargetMode="External"/><Relationship Id="rId16238" Type="http://schemas.openxmlformats.org/officeDocument/2006/relationships/hyperlink" Target="https://www.unitedcarpetsandbeds.com/" TargetMode="External"/><Relationship Id="rId4195" Type="http://schemas.openxmlformats.org/officeDocument/2006/relationships/hyperlink" Target="https://www.simpleshowing.com/" TargetMode="External"/><Relationship Id="rId5246" Type="http://schemas.openxmlformats.org/officeDocument/2006/relationships/hyperlink" Target="https://www.simpleshowing.com/" TargetMode="External"/><Relationship Id="rId1789" Type="http://schemas.openxmlformats.org/officeDocument/2006/relationships/hyperlink" Target="https://wolfriverelectric.com/" TargetMode="External"/><Relationship Id="rId4262" Type="http://schemas.openxmlformats.org/officeDocument/2006/relationships/hyperlink" Target="https://www.kapre.com/" TargetMode="External"/><Relationship Id="rId5660" Type="http://schemas.openxmlformats.org/officeDocument/2006/relationships/hyperlink" Target="https://www.simpleshowing.com/" TargetMode="External"/><Relationship Id="rId6711" Type="http://schemas.openxmlformats.org/officeDocument/2006/relationships/hyperlink" Target="https://www.simpleshowing.com/" TargetMode="External"/><Relationship Id="rId8469" Type="http://schemas.openxmlformats.org/officeDocument/2006/relationships/hyperlink" Target="https://www.cylind.com/" TargetMode="External"/><Relationship Id="rId9867" Type="http://schemas.openxmlformats.org/officeDocument/2006/relationships/hyperlink" Target="https://www.pinoyeplans.com/" TargetMode="External"/><Relationship Id="rId11797" Type="http://schemas.openxmlformats.org/officeDocument/2006/relationships/hyperlink" Target="https://sellhousefast.uk/" TargetMode="External"/><Relationship Id="rId12848" Type="http://schemas.openxmlformats.org/officeDocument/2006/relationships/hyperlink" Target="https://www.shma.co.uk/" TargetMode="External"/><Relationship Id="rId15254" Type="http://schemas.openxmlformats.org/officeDocument/2006/relationships/hyperlink" Target="https://www.luxdeco.com/" TargetMode="External"/><Relationship Id="rId1856" Type="http://schemas.openxmlformats.org/officeDocument/2006/relationships/hyperlink" Target="https://wbckfm.com/ixp/690/p/humidity-relief-michigan/" TargetMode="External"/><Relationship Id="rId2907" Type="http://schemas.openxmlformats.org/officeDocument/2006/relationships/hyperlink" Target="https://www.simpleshowing.com/" TargetMode="External"/><Relationship Id="rId5313" Type="http://schemas.openxmlformats.org/officeDocument/2006/relationships/hyperlink" Target="https://www.kommunicate.io/what-is/human-handoff/" TargetMode="External"/><Relationship Id="rId8883" Type="http://schemas.openxmlformats.org/officeDocument/2006/relationships/hyperlink" Target="https://www.pinoyeplans.com/" TargetMode="External"/><Relationship Id="rId9934" Type="http://schemas.openxmlformats.org/officeDocument/2006/relationships/hyperlink" Target="https://www.teachengineering.org/" TargetMode="External"/><Relationship Id="rId10399" Type="http://schemas.openxmlformats.org/officeDocument/2006/relationships/hyperlink" Target="https://www.teachengineering.org/" TargetMode="External"/><Relationship Id="rId11864" Type="http://schemas.openxmlformats.org/officeDocument/2006/relationships/hyperlink" Target="https://www.stokesentinel.co.uk/news/stoke-on-trent-news/more-100-sightings-ghosts-staffordshire-2163790" TargetMode="External"/><Relationship Id="rId12915" Type="http://schemas.openxmlformats.org/officeDocument/2006/relationships/hyperlink" Target="https://www.theplanner.co.uk/2016/10/04/clarity-planning-reforms-urgently-needed-drive-development-activity" TargetMode="External"/><Relationship Id="rId14270" Type="http://schemas.openxmlformats.org/officeDocument/2006/relationships/hyperlink" Target="https://luxurylifestyle.com/" TargetMode="External"/><Relationship Id="rId15321" Type="http://schemas.openxmlformats.org/officeDocument/2006/relationships/hyperlink" Target="https://www.humphreymunson.co.uk/interior-styling-with-luxdeco-country-house-project-hampshire/" TargetMode="External"/><Relationship Id="rId1509" Type="http://schemas.openxmlformats.org/officeDocument/2006/relationships/hyperlink" Target="https://www.simpleshowing.com/" TargetMode="External"/><Relationship Id="rId1923" Type="http://schemas.openxmlformats.org/officeDocument/2006/relationships/hyperlink" Target="https://www.simpleshowing.com/" TargetMode="External"/><Relationship Id="rId7485" Type="http://schemas.openxmlformats.org/officeDocument/2006/relationships/hyperlink" Target="https://tmhfprod1.mymortgage-online.com/PrivacyPolicy.html" TargetMode="External"/><Relationship Id="rId8536" Type="http://schemas.openxmlformats.org/officeDocument/2006/relationships/hyperlink" Target="https://www.project1999.com/forums/member.php?u=307416" TargetMode="External"/><Relationship Id="rId8950" Type="http://schemas.openxmlformats.org/officeDocument/2006/relationships/hyperlink" Target="https://nycestimating.us/" TargetMode="External"/><Relationship Id="rId10466" Type="http://schemas.openxmlformats.org/officeDocument/2006/relationships/hyperlink" Target="https://darksky.org/news/a-collection-of-light-pollution-lesson-plans-for-educators/" TargetMode="External"/><Relationship Id="rId10880" Type="http://schemas.openxmlformats.org/officeDocument/2006/relationships/hyperlink" Target="https://www.geocaching.com/geocache/GC9WMBW" TargetMode="External"/><Relationship Id="rId11517" Type="http://schemas.openxmlformats.org/officeDocument/2006/relationships/hyperlink" Target="https://sellhousefast.uk/" TargetMode="External"/><Relationship Id="rId6087" Type="http://schemas.openxmlformats.org/officeDocument/2006/relationships/hyperlink" Target="https://datarecovee.com/best-practices-and-tools-for-improving-business-cybersecurity/" TargetMode="External"/><Relationship Id="rId7138" Type="http://schemas.openxmlformats.org/officeDocument/2006/relationships/hyperlink" Target="https://inbusinessphx.com/healthcare-wellness/new-home-community-serves-cancer-center-patients" TargetMode="External"/><Relationship Id="rId7552" Type="http://schemas.openxmlformats.org/officeDocument/2006/relationships/hyperlink" Target="https://www.simpleshowing.com/" TargetMode="External"/><Relationship Id="rId8603" Type="http://schemas.openxmlformats.org/officeDocument/2006/relationships/hyperlink" Target="https://www.pinoyeplans.com/" TargetMode="External"/><Relationship Id="rId10119" Type="http://schemas.openxmlformats.org/officeDocument/2006/relationships/hyperlink" Target="https://www.pinoyeplans.com/" TargetMode="External"/><Relationship Id="rId10533" Type="http://schemas.openxmlformats.org/officeDocument/2006/relationships/hyperlink" Target="https://www.pinoyeplans.com/" TargetMode="External"/><Relationship Id="rId11931" Type="http://schemas.openxmlformats.org/officeDocument/2006/relationships/hyperlink" Target="https://www.hamiltoninternationalestates.com/" TargetMode="External"/><Relationship Id="rId13689" Type="http://schemas.openxmlformats.org/officeDocument/2006/relationships/hyperlink" Target="https://md.darmstadt.ccc.de/s/KaomXVYQn" TargetMode="External"/><Relationship Id="rId16095" Type="http://schemas.openxmlformats.org/officeDocument/2006/relationships/hyperlink" Target="https://breakingac.com/news/2025/aug/13/exploring-carriage-style-garage-doors-a-timeless-choice-for-your-home/" TargetMode="External"/><Relationship Id="rId2697" Type="http://schemas.openxmlformats.org/officeDocument/2006/relationships/hyperlink" Target="https://www.simpleshowing.com/" TargetMode="External"/><Relationship Id="rId3748" Type="http://schemas.openxmlformats.org/officeDocument/2006/relationships/hyperlink" Target="https://www.overheaddoors.com/" TargetMode="External"/><Relationship Id="rId6154" Type="http://schemas.openxmlformats.org/officeDocument/2006/relationships/hyperlink" Target="https://www.simpleshowing.com/" TargetMode="External"/><Relationship Id="rId7205" Type="http://schemas.openxmlformats.org/officeDocument/2006/relationships/hyperlink" Target="https://www.wkyc.com/article/money/consumer/taylor-morrison-files-complaint-against-home-inspector-who-posts-videos-of-inspections-on-social-media/75-fc64bf74-360c-4f54-ac08-1d79f2af1d67" TargetMode="External"/><Relationship Id="rId16162" Type="http://schemas.openxmlformats.org/officeDocument/2006/relationships/hyperlink" Target="https://myinteriorpalace.com/" TargetMode="External"/><Relationship Id="rId669" Type="http://schemas.openxmlformats.org/officeDocument/2006/relationships/hyperlink" Target="https://www.carolinadesigns.com/" TargetMode="External"/><Relationship Id="rId1299" Type="http://schemas.openxmlformats.org/officeDocument/2006/relationships/hyperlink" Target="https://www.simpleshowing.com/" TargetMode="External"/><Relationship Id="rId5170" Type="http://schemas.openxmlformats.org/officeDocument/2006/relationships/hyperlink" Target="https://www.simpleshowing.com/" TargetMode="External"/><Relationship Id="rId6221" Type="http://schemas.openxmlformats.org/officeDocument/2006/relationships/hyperlink" Target="https://careercenter.wofford.edu/blog/2025/11/07/a-job-search-playbook-five-weekly-habits-that-deliver-results/" TargetMode="External"/><Relationship Id="rId9377" Type="http://schemas.openxmlformats.org/officeDocument/2006/relationships/hyperlink" Target="https://engineeringonline.ucr.edu/blog/use-your-environmental-engineering-degree-in-water-systems/" TargetMode="External"/><Relationship Id="rId10600" Type="http://schemas.openxmlformats.org/officeDocument/2006/relationships/hyperlink" Target="https://www.teachengineering.org/" TargetMode="External"/><Relationship Id="rId13756" Type="http://schemas.openxmlformats.org/officeDocument/2006/relationships/hyperlink" Target="https://myinteriorpalace.com/" TargetMode="External"/><Relationship Id="rId14807" Type="http://schemas.openxmlformats.org/officeDocument/2006/relationships/hyperlink" Target="https://www.easygaragedoorrepair.com/" TargetMode="External"/><Relationship Id="rId736" Type="http://schemas.openxmlformats.org/officeDocument/2006/relationships/hyperlink" Target="https://blog.ncagr.gov/2020/10/29/spooky-spirits-from-the-graveyard-of-the-atlantic/" TargetMode="External"/><Relationship Id="rId1366" Type="http://schemas.openxmlformats.org/officeDocument/2006/relationships/hyperlink" Target="https://darscover.com/" TargetMode="External"/><Relationship Id="rId2417" Type="http://schemas.openxmlformats.org/officeDocument/2006/relationships/hyperlink" Target="https://www.hillwoodcommunities.com/lifestyle-communities/treeline/" TargetMode="External"/><Relationship Id="rId2764" Type="http://schemas.openxmlformats.org/officeDocument/2006/relationships/hyperlink" Target="https://www.pulte.com/" TargetMode="External"/><Relationship Id="rId3815" Type="http://schemas.openxmlformats.org/officeDocument/2006/relationships/hyperlink" Target="https://blog.megaventory.com/2022/06/15-tips-for-independent-retailers-to-stay-competitive/" TargetMode="External"/><Relationship Id="rId8393" Type="http://schemas.openxmlformats.org/officeDocument/2006/relationships/hyperlink" Target="https://www.pinoyeplans.com/" TargetMode="External"/><Relationship Id="rId9444" Type="http://schemas.openxmlformats.org/officeDocument/2006/relationships/hyperlink" Target="https://www.pinoyeplans.com/" TargetMode="External"/><Relationship Id="rId9791" Type="http://schemas.openxmlformats.org/officeDocument/2006/relationships/hyperlink" Target="https://www.sfu.ca/cec/featured-reads/resources.html" TargetMode="External"/><Relationship Id="rId12358" Type="http://schemas.openxmlformats.org/officeDocument/2006/relationships/hyperlink" Target="https://sturents.com/" TargetMode="External"/><Relationship Id="rId12772" Type="http://schemas.openxmlformats.org/officeDocument/2006/relationships/hyperlink" Target="https://propertypressonline.co.uk/" TargetMode="External"/><Relationship Id="rId13409" Type="http://schemas.openxmlformats.org/officeDocument/2006/relationships/hyperlink" Target="https://anationofmoms.com/" TargetMode="External"/><Relationship Id="rId13823" Type="http://schemas.openxmlformats.org/officeDocument/2006/relationships/hyperlink" Target="https://aqglassshowerdoorsphoenix.com/" TargetMode="External"/><Relationship Id="rId1019" Type="http://schemas.openxmlformats.org/officeDocument/2006/relationships/hyperlink" Target="https://www.mirrorreview.com/home-remodeling/" TargetMode="External"/><Relationship Id="rId1780" Type="http://schemas.openxmlformats.org/officeDocument/2006/relationships/hyperlink" Target="https://wolfriverelectric.com/" TargetMode="External"/><Relationship Id="rId2831" Type="http://schemas.openxmlformats.org/officeDocument/2006/relationships/hyperlink" Target="https://www.ltcnews.com/care/listing/34352" TargetMode="External"/><Relationship Id="rId5987" Type="http://schemas.openxmlformats.org/officeDocument/2006/relationships/hyperlink" Target="https://www.iuemag.com/m21/sf/how-to-use-a-debt-consolidation-calculator" TargetMode="External"/><Relationship Id="rId8046" Type="http://schemas.openxmlformats.org/officeDocument/2006/relationships/hyperlink" Target="https://www.mdpi.com/2076-3417/14/22/10145" TargetMode="External"/><Relationship Id="rId11374" Type="http://schemas.openxmlformats.org/officeDocument/2006/relationships/hyperlink" Target="https://member.eonetwork.org/dallas/membernews/forbes-when-the-thrill-is-gone-four-ways-to-bring-passion-back-to-your-business" TargetMode="External"/><Relationship Id="rId12425" Type="http://schemas.openxmlformats.org/officeDocument/2006/relationships/hyperlink" Target="https://www.palatinate.org.uk/659-new-student-homes-approved-as-fees-rise-5/" TargetMode="External"/><Relationship Id="rId15995" Type="http://schemas.openxmlformats.org/officeDocument/2006/relationships/hyperlink" Target="https://www.rwdoors.com/" TargetMode="External"/><Relationship Id="rId72" Type="http://schemas.openxmlformats.org/officeDocument/2006/relationships/hyperlink" Target="http://www.upbeatgeek.com/" TargetMode="External"/><Relationship Id="rId803" Type="http://schemas.openxmlformats.org/officeDocument/2006/relationships/hyperlink" Target="https://www.simpleshowing.com/" TargetMode="External"/><Relationship Id="rId1433" Type="http://schemas.openxmlformats.org/officeDocument/2006/relationships/hyperlink" Target="https://decoratoradvice.com/diy-vs-hiring-professionals-what-you-need-to-know-for-your-bathroom-remodel/" TargetMode="External"/><Relationship Id="rId4589" Type="http://schemas.openxmlformats.org/officeDocument/2006/relationships/hyperlink" Target="https://www.kapre.com/" TargetMode="External"/><Relationship Id="rId8460" Type="http://schemas.openxmlformats.org/officeDocument/2006/relationships/hyperlink" Target="https://www.cylind.com/" TargetMode="External"/><Relationship Id="rId9511" Type="http://schemas.openxmlformats.org/officeDocument/2006/relationships/hyperlink" Target="https://www.teachengineering.org/" TargetMode="External"/><Relationship Id="rId10390" Type="http://schemas.openxmlformats.org/officeDocument/2006/relationships/hyperlink" Target="https://www.teachengineering.org/" TargetMode="External"/><Relationship Id="rId11027" Type="http://schemas.openxmlformats.org/officeDocument/2006/relationships/hyperlink" Target="https://cmstest.pdst.ie/ga/node/6442" TargetMode="External"/><Relationship Id="rId11441" Type="http://schemas.openxmlformats.org/officeDocument/2006/relationships/hyperlink" Target="https://www.hamiltoninternationalestates.com/" TargetMode="External"/><Relationship Id="rId14597" Type="http://schemas.openxmlformats.org/officeDocument/2006/relationships/hyperlink" Target="https://www.easygaragedoorrepair.com/" TargetMode="External"/><Relationship Id="rId15648" Type="http://schemas.openxmlformats.org/officeDocument/2006/relationships/hyperlink" Target="https://hive.blog/hive-178708/@aplusd/architecture-anthologytm-52" TargetMode="External"/><Relationship Id="rId1500" Type="http://schemas.openxmlformats.org/officeDocument/2006/relationships/hyperlink" Target="https://www.simpleshowing.com/" TargetMode="External"/><Relationship Id="rId4656" Type="http://schemas.openxmlformats.org/officeDocument/2006/relationships/hyperlink" Target="https://nextbillion.net/news/the-dirty-business-of-cement-gets-a-clean-up-from-mit/" TargetMode="External"/><Relationship Id="rId5707" Type="http://schemas.openxmlformats.org/officeDocument/2006/relationships/hyperlink" Target="https://joinotto.com/blog/invoice-financing-guide" TargetMode="External"/><Relationship Id="rId7062" Type="http://schemas.openxmlformats.org/officeDocument/2006/relationships/hyperlink" Target="https://www.torys.com/work/2014/12/87988df3-77a2-4146-bfc9-3c404ed2fdcc" TargetMode="External"/><Relationship Id="rId8113" Type="http://schemas.openxmlformats.org/officeDocument/2006/relationships/hyperlink" Target="https://support.spaceshipapp.com/en/parcel-processing-center-relocation" TargetMode="External"/><Relationship Id="rId10043" Type="http://schemas.openxmlformats.org/officeDocument/2006/relationships/hyperlink" Target="https://codakid.com/homeschool-curriculum-for-stem/" TargetMode="External"/><Relationship Id="rId13199" Type="http://schemas.openxmlformats.org/officeDocument/2006/relationships/hyperlink" Target="https://www.shma.co.uk/" TargetMode="External"/><Relationship Id="rId14664" Type="http://schemas.openxmlformats.org/officeDocument/2006/relationships/hyperlink" Target="https://www.thepinnaclelist.com/articles/top-10-garage-door-repair-services-in-houston-for-reliability/" TargetMode="External"/><Relationship Id="rId3258" Type="http://schemas.openxmlformats.org/officeDocument/2006/relationships/hyperlink" Target="https://www.simpleshowing.com/" TargetMode="External"/><Relationship Id="rId3672" Type="http://schemas.openxmlformats.org/officeDocument/2006/relationships/hyperlink" Target="https://www.simpleshowing.com/" TargetMode="External"/><Relationship Id="rId4309" Type="http://schemas.openxmlformats.org/officeDocument/2006/relationships/hyperlink" Target="https://www.simpleshowing.com/" TargetMode="External"/><Relationship Id="rId4723" Type="http://schemas.openxmlformats.org/officeDocument/2006/relationships/hyperlink" Target="https://www.simpleshowing.com/" TargetMode="External"/><Relationship Id="rId7879" Type="http://schemas.openxmlformats.org/officeDocument/2006/relationships/hyperlink" Target="https://dearfathers.com/2025/10/critical-home-maintenance-to-keep-families-safe/" TargetMode="External"/><Relationship Id="rId10110" Type="http://schemas.openxmlformats.org/officeDocument/2006/relationships/hyperlink" Target="https://www.pinoyeplans.com/" TargetMode="External"/><Relationship Id="rId13266" Type="http://schemas.openxmlformats.org/officeDocument/2006/relationships/hyperlink" Target="https://www.flexhouse.org/5-top-tips-to-make-moving-house-as-stress-free-as-possible/" TargetMode="External"/><Relationship Id="rId14317" Type="http://schemas.openxmlformats.org/officeDocument/2006/relationships/hyperlink" Target="https://myinteriorpalace.com/" TargetMode="External"/><Relationship Id="rId15715" Type="http://schemas.openxmlformats.org/officeDocument/2006/relationships/hyperlink" Target="https://myinteriorpalace.com/" TargetMode="External"/><Relationship Id="rId179" Type="http://schemas.openxmlformats.org/officeDocument/2006/relationships/hyperlink" Target="https://www.realestateinvesting.com/" TargetMode="External"/><Relationship Id="rId593" Type="http://schemas.openxmlformats.org/officeDocument/2006/relationships/hyperlink" Target="https://www.simpleshowing.com/" TargetMode="External"/><Relationship Id="rId2274" Type="http://schemas.openxmlformats.org/officeDocument/2006/relationships/hyperlink" Target="https://www.simpleshowing.com/" TargetMode="External"/><Relationship Id="rId3325" Type="http://schemas.openxmlformats.org/officeDocument/2006/relationships/hyperlink" Target="https://www.pulte.com/" TargetMode="External"/><Relationship Id="rId12282" Type="http://schemas.openxmlformats.org/officeDocument/2006/relationships/hyperlink" Target="https://propertypressonline.co.uk/" TargetMode="External"/><Relationship Id="rId13680" Type="http://schemas.openxmlformats.org/officeDocument/2006/relationships/hyperlink" Target="https://www.gomotionapp.com/team/ohncc/page/news" TargetMode="External"/><Relationship Id="rId14731" Type="http://schemas.openxmlformats.org/officeDocument/2006/relationships/hyperlink" Target="https://myinteriorpalace.com/" TargetMode="External"/><Relationship Id="rId246" Type="http://schemas.openxmlformats.org/officeDocument/2006/relationships/hyperlink" Target="http://northernvirginiahomepro.com/" TargetMode="External"/><Relationship Id="rId660" Type="http://schemas.openxmlformats.org/officeDocument/2006/relationships/hyperlink" Target="https://www.carolinadesigns.com/" TargetMode="External"/><Relationship Id="rId1290" Type="http://schemas.openxmlformats.org/officeDocument/2006/relationships/hyperlink" Target="https://www.simpleshowing.com/" TargetMode="External"/><Relationship Id="rId2341" Type="http://schemas.openxmlformats.org/officeDocument/2006/relationships/hyperlink" Target="https://www.pulte.com/" TargetMode="External"/><Relationship Id="rId5497" Type="http://schemas.openxmlformats.org/officeDocument/2006/relationships/hyperlink" Target="https://careerservices.ecpi.edu/blog/2025/10/08/a-job-search-playbook-five-weekly-habits-that-deliver-results/" TargetMode="External"/><Relationship Id="rId6548" Type="http://schemas.openxmlformats.org/officeDocument/2006/relationships/hyperlink" Target="https://www.thermasol.com/" TargetMode="External"/><Relationship Id="rId6895" Type="http://schemas.openxmlformats.org/officeDocument/2006/relationships/hyperlink" Target="https://www.taylormorrison.com/" TargetMode="External"/><Relationship Id="rId7946" Type="http://schemas.openxmlformats.org/officeDocument/2006/relationships/hyperlink" Target="https://www.pinoyeplans.com/" TargetMode="External"/><Relationship Id="rId10927" Type="http://schemas.openxmlformats.org/officeDocument/2006/relationships/hyperlink" Target="https://www.teachengineering.org/" TargetMode="External"/><Relationship Id="rId13333" Type="http://schemas.openxmlformats.org/officeDocument/2006/relationships/hyperlink" Target="https://myinteriorpalace.com/" TargetMode="External"/><Relationship Id="rId313" Type="http://schemas.openxmlformats.org/officeDocument/2006/relationships/hyperlink" Target="https://nelsonkb.com/the-ultimate-guide-to-co-op-unit-kitchen-makeovers/" TargetMode="External"/><Relationship Id="rId4099" Type="http://schemas.openxmlformats.org/officeDocument/2006/relationships/hyperlink" Target="https://www.simpleshowing.com/" TargetMode="External"/><Relationship Id="rId6962" Type="http://schemas.openxmlformats.org/officeDocument/2006/relationships/hyperlink" Target="https://www.taylormorrison.com/" TargetMode="External"/><Relationship Id="rId9021" Type="http://schemas.openxmlformats.org/officeDocument/2006/relationships/hyperlink" Target="https://www.pinoyeplans.com/" TargetMode="External"/><Relationship Id="rId13400" Type="http://schemas.openxmlformats.org/officeDocument/2006/relationships/hyperlink" Target="https://anationofmoms.com/" TargetMode="External"/><Relationship Id="rId5564" Type="http://schemas.openxmlformats.org/officeDocument/2006/relationships/hyperlink" Target="https://www.simpleshowing.com/" TargetMode="External"/><Relationship Id="rId6615" Type="http://schemas.openxmlformats.org/officeDocument/2006/relationships/hyperlink" Target="https://www.thermasol.com/" TargetMode="External"/><Relationship Id="rId12002" Type="http://schemas.openxmlformats.org/officeDocument/2006/relationships/hyperlink" Target="https://www.smithsplumbingservice.com/blog/2020/august/the-top-5-ways-to-get-hair-out-of-your-drains/" TargetMode="External"/><Relationship Id="rId15158" Type="http://schemas.openxmlformats.org/officeDocument/2006/relationships/hyperlink" Target="https://www.luxdeco.com/" TargetMode="External"/><Relationship Id="rId15572" Type="http://schemas.openxmlformats.org/officeDocument/2006/relationships/hyperlink" Target="https://www.luxdeco.com/" TargetMode="External"/><Relationship Id="rId16209" Type="http://schemas.openxmlformats.org/officeDocument/2006/relationships/hyperlink" Target="https://inspiredhomes.uk.com/bedroom-design-trends/" TargetMode="External"/><Relationship Id="rId1010" Type="http://schemas.openxmlformats.org/officeDocument/2006/relationships/hyperlink" Target="https://snoozye.com/10-right-updates-to-improve-daily-life-at-home/" TargetMode="External"/><Relationship Id="rId4166" Type="http://schemas.openxmlformats.org/officeDocument/2006/relationships/hyperlink" Target="https://www.kapre.com/" TargetMode="External"/><Relationship Id="rId4580" Type="http://schemas.openxmlformats.org/officeDocument/2006/relationships/hyperlink" Target="https://www.kapre.com/" TargetMode="External"/><Relationship Id="rId5217" Type="http://schemas.openxmlformats.org/officeDocument/2006/relationships/hyperlink" Target="https://www.rategenius.com/about/press/" TargetMode="External"/><Relationship Id="rId5631" Type="http://schemas.openxmlformats.org/officeDocument/2006/relationships/hyperlink" Target="https://zoviz.com/blog/legally-protect-business-checklist" TargetMode="External"/><Relationship Id="rId8787" Type="http://schemas.openxmlformats.org/officeDocument/2006/relationships/hyperlink" Target="https://propertychecker.com/" TargetMode="External"/><Relationship Id="rId9838" Type="http://schemas.openxmlformats.org/officeDocument/2006/relationships/hyperlink" Target="https://www.teachengineering.org/" TargetMode="External"/><Relationship Id="rId11768" Type="http://schemas.openxmlformats.org/officeDocument/2006/relationships/hyperlink" Target="https://www-ft-com.library.ez.neoma-bs.fr/content/0ae64e5a-ba98-11e9-8a88-aa6628ac896c" TargetMode="External"/><Relationship Id="rId14174" Type="http://schemas.openxmlformats.org/officeDocument/2006/relationships/hyperlink" Target="https://luxurylifestyle.com/" TargetMode="External"/><Relationship Id="rId15225" Type="http://schemas.openxmlformats.org/officeDocument/2006/relationships/hyperlink" Target="https://www.rizz.design/news/essential-accessories-for-luxury-hospitality/" TargetMode="External"/><Relationship Id="rId1827" Type="http://schemas.openxmlformats.org/officeDocument/2006/relationships/hyperlink" Target="https://www.simpleshowing.com/" TargetMode="External"/><Relationship Id="rId7389" Type="http://schemas.openxmlformats.org/officeDocument/2006/relationships/hyperlink" Target="https://www.taylormorrison.com/" TargetMode="External"/><Relationship Id="rId12819" Type="http://schemas.openxmlformats.org/officeDocument/2006/relationships/hyperlink" Target="https://theboar.org/2025/07/warwick-among-universities-that-attended-anti-protest-coaching-webinar-hosted-by-law-firm/" TargetMode="External"/><Relationship Id="rId13190" Type="http://schemas.openxmlformats.org/officeDocument/2006/relationships/hyperlink" Target="https://www.shma.co.uk/" TargetMode="External"/><Relationship Id="rId14241" Type="http://schemas.openxmlformats.org/officeDocument/2006/relationships/hyperlink" Target="https://alittledelightful.com/breaking-it-down-the-qualities-that-make-a-violin-truly-great/" TargetMode="External"/><Relationship Id="rId3999" Type="http://schemas.openxmlformats.org/officeDocument/2006/relationships/hyperlink" Target="https://www.simpleshowing.com/" TargetMode="External"/><Relationship Id="rId4300" Type="http://schemas.openxmlformats.org/officeDocument/2006/relationships/hyperlink" Target="https://www.simpleshowing.com/" TargetMode="External"/><Relationship Id="rId170" Type="http://schemas.openxmlformats.org/officeDocument/2006/relationships/hyperlink" Target="https://www.kay-grant.com/" TargetMode="External"/><Relationship Id="rId6472" Type="http://schemas.openxmlformats.org/officeDocument/2006/relationships/hyperlink" Target="https://www.thermasol.com/" TargetMode="External"/><Relationship Id="rId7523" Type="http://schemas.openxmlformats.org/officeDocument/2006/relationships/hyperlink" Target="https://www.taylormorrison.com/" TargetMode="External"/><Relationship Id="rId7870" Type="http://schemas.openxmlformats.org/officeDocument/2006/relationships/hyperlink" Target="https://odonnellroofingco.com/blog/industrial-coating/" TargetMode="External"/><Relationship Id="rId8921" Type="http://schemas.openxmlformats.org/officeDocument/2006/relationships/hyperlink" Target="https://fluxmagazine.co.uk/how-to-improve-estimating-accuracy-with-data-driven-insights/" TargetMode="External"/><Relationship Id="rId10851" Type="http://schemas.openxmlformats.org/officeDocument/2006/relationships/hyperlink" Target="https://www.pinoyeplans.com/" TargetMode="External"/><Relationship Id="rId11902" Type="http://schemas.openxmlformats.org/officeDocument/2006/relationships/hyperlink" Target="https://www.bobvila.com/" TargetMode="External"/><Relationship Id="rId16066" Type="http://schemas.openxmlformats.org/officeDocument/2006/relationships/hyperlink" Target="https://myinteriorpalace.com/" TargetMode="External"/><Relationship Id="rId5074" Type="http://schemas.openxmlformats.org/officeDocument/2006/relationships/hyperlink" Target="https://www.simpleshowing.com/" TargetMode="External"/><Relationship Id="rId6125" Type="http://schemas.openxmlformats.org/officeDocument/2006/relationships/hyperlink" Target="https://www.netnewsledger.com/2022/02/23/do-you-owe-tax-on-forgiven-debt/" TargetMode="External"/><Relationship Id="rId10504" Type="http://schemas.openxmlformats.org/officeDocument/2006/relationships/hyperlink" Target="https://www.teachengineering.org/" TargetMode="External"/><Relationship Id="rId8297" Type="http://schemas.openxmlformats.org/officeDocument/2006/relationships/hyperlink" Target="https://www.pinoyeplans.com/" TargetMode="External"/><Relationship Id="rId9695" Type="http://schemas.openxmlformats.org/officeDocument/2006/relationships/hyperlink" Target="https://eng.umd.edu/careers/students/summer" TargetMode="External"/><Relationship Id="rId12676" Type="http://schemas.openxmlformats.org/officeDocument/2006/relationships/hyperlink" Target="https://propertypressonline.co.uk/" TargetMode="External"/><Relationship Id="rId13727" Type="http://schemas.openxmlformats.org/officeDocument/2006/relationships/hyperlink" Target="https://anationofmoms.com/" TargetMode="External"/><Relationship Id="rId1684" Type="http://schemas.openxmlformats.org/officeDocument/2006/relationships/hyperlink" Target="https://wolfriverelectric.com/" TargetMode="External"/><Relationship Id="rId2735" Type="http://schemas.openxmlformats.org/officeDocument/2006/relationships/hyperlink" Target="https://www.zillow.com/community/winding-creek/2053917410_zpid/" TargetMode="External"/><Relationship Id="rId9348" Type="http://schemas.openxmlformats.org/officeDocument/2006/relationships/hyperlink" Target="https://www.pinoyeplans.com/" TargetMode="External"/><Relationship Id="rId11278" Type="http://schemas.openxmlformats.org/officeDocument/2006/relationships/hyperlink" Target="https://www.pinoyeplans.com/" TargetMode="External"/><Relationship Id="rId12329" Type="http://schemas.openxmlformats.org/officeDocument/2006/relationships/hyperlink" Target="https://www.nicholashumphreys.com/estate-agents-and-letting-agents/branch/manchester/" TargetMode="External"/><Relationship Id="rId15899" Type="http://schemas.openxmlformats.org/officeDocument/2006/relationships/hyperlink" Target="https://www.raynorkc.com/" TargetMode="External"/><Relationship Id="rId16200" Type="http://schemas.openxmlformats.org/officeDocument/2006/relationships/hyperlink" Target="https://craft.co/united-carpets-group" TargetMode="External"/><Relationship Id="rId707" Type="http://schemas.openxmlformats.org/officeDocument/2006/relationships/hyperlink" Target="https://www.simpleshowing.com/" TargetMode="External"/><Relationship Id="rId1337" Type="http://schemas.openxmlformats.org/officeDocument/2006/relationships/hyperlink" Target="https://thedatascientist.com/unlocking-real-estate-investment-with-data-insights/" TargetMode="External"/><Relationship Id="rId5958" Type="http://schemas.openxmlformats.org/officeDocument/2006/relationships/hyperlink" Target="https://www.simpleshowing.com/" TargetMode="External"/><Relationship Id="rId43" Type="http://schemas.openxmlformats.org/officeDocument/2006/relationships/hyperlink" Target="http://infomercial-reviews.org/" TargetMode="External"/><Relationship Id="rId7380" Type="http://schemas.openxmlformats.org/officeDocument/2006/relationships/hyperlink" Target="https://www.taylormorrison.com/" TargetMode="External"/><Relationship Id="rId8431" Type="http://schemas.openxmlformats.org/officeDocument/2006/relationships/hyperlink" Target="https://www.cadcrowd.com/blog/top-41-interior-3d-design-firms-for-3d-rendering-firms-visualization-companies-in-the-us/" TargetMode="External"/><Relationship Id="rId10361" Type="http://schemas.openxmlformats.org/officeDocument/2006/relationships/hyperlink" Target="https://blog.utc.edu/news/2024/09/collaboration-involving-utc-chemical-engineering-students-and-area-high-schoolers-wins-grand-challenge-funding-to-expand-approach/" TargetMode="External"/><Relationship Id="rId12810" Type="http://schemas.openxmlformats.org/officeDocument/2006/relationships/hyperlink" Target="https://newsletters.qs.com/california-tops-public-enrolments-dutch-healthcare-spending-mobile-users-prioritize-longer-battery-life/" TargetMode="External"/><Relationship Id="rId7033" Type="http://schemas.openxmlformats.org/officeDocument/2006/relationships/hyperlink" Target="https://www.simpleshowing.com/" TargetMode="External"/><Relationship Id="rId10014" Type="http://schemas.openxmlformats.org/officeDocument/2006/relationships/hyperlink" Target="https://www.pinoyeplans.com/" TargetMode="External"/><Relationship Id="rId11412" Type="http://schemas.openxmlformats.org/officeDocument/2006/relationships/hyperlink" Target="http://webuyhouses.com/" TargetMode="External"/><Relationship Id="rId14982" Type="http://schemas.openxmlformats.org/officeDocument/2006/relationships/hyperlink" Target="https://www.georgestreetphoto.com/blog/p/fireplace-wedding-ceremony-backdrop-ideas-for-transforming-your-winter-wedding" TargetMode="External"/><Relationship Id="rId3990" Type="http://schemas.openxmlformats.org/officeDocument/2006/relationships/hyperlink" Target="https://www.simpleshowing.com/" TargetMode="External"/><Relationship Id="rId13584" Type="http://schemas.openxmlformats.org/officeDocument/2006/relationships/hyperlink" Target="https://classic.ptotoday.com/answers/question/15493-entire-board-calapse" TargetMode="External"/><Relationship Id="rId14635" Type="http://schemas.openxmlformats.org/officeDocument/2006/relationships/hyperlink" Target="https://myinteriorpalace.com/" TargetMode="External"/><Relationship Id="rId1194" Type="http://schemas.openxmlformats.org/officeDocument/2006/relationships/hyperlink" Target="https://www.simpleshowing.com/" TargetMode="External"/><Relationship Id="rId2592" Type="http://schemas.openxmlformats.org/officeDocument/2006/relationships/hyperlink" Target="https://www.simpleshowing.com/" TargetMode="External"/><Relationship Id="rId3643" Type="http://schemas.openxmlformats.org/officeDocument/2006/relationships/hyperlink" Target="https://www.pulte.com/" TargetMode="External"/><Relationship Id="rId12186" Type="http://schemas.openxmlformats.org/officeDocument/2006/relationships/hyperlink" Target="https://www.hamiltoninternationalestates.com/" TargetMode="External"/><Relationship Id="rId13237" Type="http://schemas.openxmlformats.org/officeDocument/2006/relationships/hyperlink" Target="https://propertypressonline.co.uk/" TargetMode="External"/><Relationship Id="rId217" Type="http://schemas.openxmlformats.org/officeDocument/2006/relationships/hyperlink" Target="https://suburbansolutions.com/blog/living-in-moving-to-arlington-va/" TargetMode="External"/><Relationship Id="rId564" Type="http://schemas.openxmlformats.org/officeDocument/2006/relationships/hyperlink" Target="https://www.carolinadesigns.com/" TargetMode="External"/><Relationship Id="rId2245" Type="http://schemas.openxmlformats.org/officeDocument/2006/relationships/hyperlink" Target="https://www.collectionforsyth.com/" TargetMode="External"/><Relationship Id="rId6866" Type="http://schemas.openxmlformats.org/officeDocument/2006/relationships/hyperlink" Target="https://mpvre.com/2023/10/12/farmington-commercial-residential-progresses-in-harrisburg-charlotte-nc/" TargetMode="External"/><Relationship Id="rId7917" Type="http://schemas.openxmlformats.org/officeDocument/2006/relationships/hyperlink" Target="https://certifiedrestorationinc.com/" TargetMode="External"/><Relationship Id="rId5468" Type="http://schemas.openxmlformats.org/officeDocument/2006/relationships/hyperlink" Target="https://www.simpleshowing.com/" TargetMode="External"/><Relationship Id="rId6519" Type="http://schemas.openxmlformats.org/officeDocument/2006/relationships/hyperlink" Target="https://www.thermasol.com/" TargetMode="External"/><Relationship Id="rId12320" Type="http://schemas.openxmlformats.org/officeDocument/2006/relationships/hyperlink" Target="https://unilife.co.uk/" TargetMode="External"/><Relationship Id="rId14492" Type="http://schemas.openxmlformats.org/officeDocument/2006/relationships/hyperlink" Target="https://raynordoor.com/" TargetMode="External"/><Relationship Id="rId15890" Type="http://schemas.openxmlformats.org/officeDocument/2006/relationships/hyperlink" Target="https://www.raynorkc.com/" TargetMode="External"/><Relationship Id="rId4551" Type="http://schemas.openxmlformats.org/officeDocument/2006/relationships/hyperlink" Target="https://www.tradersdna.com/how-to-become-a-real-estate-broker/" TargetMode="External"/><Relationship Id="rId13094" Type="http://schemas.openxmlformats.org/officeDocument/2006/relationships/hyperlink" Target="https://www.shma.co.uk/" TargetMode="External"/><Relationship Id="rId14145" Type="http://schemas.openxmlformats.org/officeDocument/2006/relationships/hyperlink" Target="https://ovessia.com/enhance-your-outdoors-the-role-of-an-attractive-deck-in-boosting-your-homes-look/" TargetMode="External"/><Relationship Id="rId15543" Type="http://schemas.openxmlformats.org/officeDocument/2006/relationships/hyperlink" Target="https://www-ft-com.library.ez.neoma-bs.fr/content/714a2d24-4e82-46de-88b7-c1b708fb80f4" TargetMode="External"/><Relationship Id="rId3153" Type="http://schemas.openxmlformats.org/officeDocument/2006/relationships/hyperlink" Target="https://www.simpleshowing.com/" TargetMode="External"/><Relationship Id="rId4204" Type="http://schemas.openxmlformats.org/officeDocument/2006/relationships/hyperlink" Target="https://www.simpleshowing.com/" TargetMode="External"/><Relationship Id="rId5602" Type="http://schemas.openxmlformats.org/officeDocument/2006/relationships/hyperlink" Target="https://www.simpleshowing.com/" TargetMode="External"/><Relationship Id="rId7774" Type="http://schemas.openxmlformats.org/officeDocument/2006/relationships/hyperlink" Target="https://discoverlakelanier.com/" TargetMode="External"/><Relationship Id="rId8825" Type="http://schemas.openxmlformats.org/officeDocument/2006/relationships/hyperlink" Target="https://freshysites.com/web-design-development/best-pest-control-websites/" TargetMode="External"/><Relationship Id="rId10755" Type="http://schemas.openxmlformats.org/officeDocument/2006/relationships/hyperlink" Target="https://www.pinoyeplans.com/" TargetMode="External"/><Relationship Id="rId11806" Type="http://schemas.openxmlformats.org/officeDocument/2006/relationships/hyperlink" Target="https://sellhousefast.uk/" TargetMode="External"/><Relationship Id="rId6029" Type="http://schemas.openxmlformats.org/officeDocument/2006/relationships/hyperlink" Target="https://www.moneygeek.com/editorial/sean-fox/" TargetMode="External"/><Relationship Id="rId6376" Type="http://schemas.openxmlformats.org/officeDocument/2006/relationships/hyperlink" Target="https://www.simpleshowing.com/" TargetMode="External"/><Relationship Id="rId7427" Type="http://schemas.openxmlformats.org/officeDocument/2006/relationships/hyperlink" Target="https://www.taylormorrison.com/" TargetMode="External"/><Relationship Id="rId10408" Type="http://schemas.openxmlformats.org/officeDocument/2006/relationships/hyperlink" Target="https://www.teachengineering.org/" TargetMode="External"/><Relationship Id="rId13978" Type="http://schemas.openxmlformats.org/officeDocument/2006/relationships/hyperlink" Target="https://myinteriorpalace.com/" TargetMode="External"/><Relationship Id="rId2986" Type="http://schemas.openxmlformats.org/officeDocument/2006/relationships/hyperlink" Target="https://www.pulte.com/" TargetMode="External"/><Relationship Id="rId9599" Type="http://schemas.openxmlformats.org/officeDocument/2006/relationships/hyperlink" Target="https://thewonderofscience.com/resource" TargetMode="External"/><Relationship Id="rId958" Type="http://schemas.openxmlformats.org/officeDocument/2006/relationships/hyperlink" Target="https://www.matrixbasements.com/" TargetMode="External"/><Relationship Id="rId1588" Type="http://schemas.openxmlformats.org/officeDocument/2006/relationships/hyperlink" Target="https://wolfriverelectric.com/" TargetMode="External"/><Relationship Id="rId2639" Type="http://schemas.openxmlformats.org/officeDocument/2006/relationships/hyperlink" Target="https://www.club.missamerica.org/sponsors" TargetMode="External"/><Relationship Id="rId6510" Type="http://schemas.openxmlformats.org/officeDocument/2006/relationships/hyperlink" Target="https://luxuryinteriors.org/high-end-renovations-to-make-your-vacation-home-a-luxurious-retreat/" TargetMode="External"/><Relationship Id="rId15053" Type="http://schemas.openxmlformats.org/officeDocument/2006/relationships/hyperlink" Target="https://www.luxdeco.com/" TargetMode="External"/><Relationship Id="rId16104" Type="http://schemas.openxmlformats.org/officeDocument/2006/relationships/hyperlink" Target="https://career.online.ou.edu/blog/2025/03/24/15-tips-for-environmental-studies-majors-who-are-mapping-their-careers/" TargetMode="External"/><Relationship Id="rId4061" Type="http://schemas.openxmlformats.org/officeDocument/2006/relationships/hyperlink" Target="https://www.kapre.com/" TargetMode="External"/><Relationship Id="rId5112" Type="http://schemas.openxmlformats.org/officeDocument/2006/relationships/hyperlink" Target="https://www.simpleshowing.com/" TargetMode="External"/><Relationship Id="rId8682" Type="http://schemas.openxmlformats.org/officeDocument/2006/relationships/hyperlink" Target="https://lubelska.co.uk/" TargetMode="External"/><Relationship Id="rId9733" Type="http://schemas.openxmlformats.org/officeDocument/2006/relationships/hyperlink" Target="https://www.teachengineering.org/" TargetMode="External"/><Relationship Id="rId7284" Type="http://schemas.openxmlformats.org/officeDocument/2006/relationships/hyperlink" Target="https://www.taylormorrison.com/" TargetMode="External"/><Relationship Id="rId8335" Type="http://schemas.openxmlformats.org/officeDocument/2006/relationships/hyperlink" Target="https://aviyne.com/first-time-property-investment-choosing-the-right-location/" TargetMode="External"/><Relationship Id="rId11663" Type="http://schemas.openxmlformats.org/officeDocument/2006/relationships/hyperlink" Target="https://www.totalguidetowiltshire.com/property/how-the-wiltshire-property-market-is-holding-up/" TargetMode="External"/><Relationship Id="rId12714" Type="http://schemas.openxmlformats.org/officeDocument/2006/relationships/hyperlink" Target="https://www.cooperparry.com/event/she-rocks-business-the-magnificence-of-humanity-2025/" TargetMode="External"/><Relationship Id="rId1722" Type="http://schemas.openxmlformats.org/officeDocument/2006/relationships/hyperlink" Target="https://www.simpleshowing.com/" TargetMode="External"/><Relationship Id="rId10265" Type="http://schemas.openxmlformats.org/officeDocument/2006/relationships/hyperlink" Target="https://www.911metallurgist.com/blog/thickener-operating-ph-and-lime-for-flocculation-improved-settling/" TargetMode="External"/><Relationship Id="rId11316" Type="http://schemas.openxmlformats.org/officeDocument/2006/relationships/hyperlink" Target="https://crypticstreet.com/theres-a-dirt-cheap-smartwatch-powering-this-adorably-useless-tiny-desktop-pc/" TargetMode="External"/><Relationship Id="rId14886" Type="http://schemas.openxmlformats.org/officeDocument/2006/relationships/hyperlink" Target="https://greenrecord.co.uk/what-does-a-reverse-osmosis-system-do-for-your-water/" TargetMode="External"/><Relationship Id="rId15937" Type="http://schemas.openxmlformats.org/officeDocument/2006/relationships/hyperlink" Target="https://myinteriorpalace.com/" TargetMode="External"/><Relationship Id="rId3894" Type="http://schemas.openxmlformats.org/officeDocument/2006/relationships/hyperlink" Target="https://www.simpleshowing.com/" TargetMode="External"/><Relationship Id="rId4945" Type="http://schemas.openxmlformats.org/officeDocument/2006/relationships/hyperlink" Target="https://thehustle.co/millions-hidden-in-plain-sight" TargetMode="External"/><Relationship Id="rId13488" Type="http://schemas.openxmlformats.org/officeDocument/2006/relationships/hyperlink" Target="https://www.forgetfulmomma.com/2021/04/08/garden-arts-and-crafts-for-kids/" TargetMode="External"/><Relationship Id="rId14539" Type="http://schemas.openxmlformats.org/officeDocument/2006/relationships/hyperlink" Target="https://myinteriorpalace.com/" TargetMode="External"/><Relationship Id="rId2496" Type="http://schemas.openxmlformats.org/officeDocument/2006/relationships/hyperlink" Target="https://www.simpleshowing.com/" TargetMode="External"/><Relationship Id="rId3547" Type="http://schemas.openxmlformats.org/officeDocument/2006/relationships/hyperlink" Target="https://www.pulte.com/" TargetMode="External"/><Relationship Id="rId468" Type="http://schemas.openxmlformats.org/officeDocument/2006/relationships/hyperlink" Target="https://www.carolinadesigns.com/" TargetMode="External"/><Relationship Id="rId1098" Type="http://schemas.openxmlformats.org/officeDocument/2006/relationships/hyperlink" Target="https://www.simpleshowing.com/" TargetMode="External"/><Relationship Id="rId2149" Type="http://schemas.openxmlformats.org/officeDocument/2006/relationships/hyperlink" Target="https://markspain.com/" TargetMode="External"/><Relationship Id="rId6020" Type="http://schemas.openxmlformats.org/officeDocument/2006/relationships/hyperlink" Target="https://www.simpleshowing.com/" TargetMode="External"/><Relationship Id="rId9590" Type="http://schemas.openxmlformats.org/officeDocument/2006/relationships/hyperlink" Target="https://cleanet.org/resources/41913.html" TargetMode="External"/><Relationship Id="rId12571" Type="http://schemas.openxmlformats.org/officeDocument/2006/relationships/hyperlink" Target="https://propertypressonline.co.uk/" TargetMode="External"/><Relationship Id="rId2630" Type="http://schemas.openxmlformats.org/officeDocument/2006/relationships/hyperlink" Target="https://homes.mercurynews.com/brokers/-/br_4r2zUM7r2Gkmo1RMKAcpLY5dc8o" TargetMode="External"/><Relationship Id="rId8192" Type="http://schemas.openxmlformats.org/officeDocument/2006/relationships/hyperlink" Target="https://www.pinoyeplans.com/" TargetMode="External"/><Relationship Id="rId9243" Type="http://schemas.openxmlformats.org/officeDocument/2006/relationships/hyperlink" Target="https://www.pinoyeplans.com/" TargetMode="External"/><Relationship Id="rId11173" Type="http://schemas.openxmlformats.org/officeDocument/2006/relationships/hyperlink" Target="https://www.waterdamagespecialist.com.au/" TargetMode="External"/><Relationship Id="rId12224" Type="http://schemas.openxmlformats.org/officeDocument/2006/relationships/hyperlink" Target="https://ihbc.org.uk/hesprdatares/marrons.html" TargetMode="External"/><Relationship Id="rId13622" Type="http://schemas.openxmlformats.org/officeDocument/2006/relationships/hyperlink" Target="https://anationofmoms.com/" TargetMode="External"/><Relationship Id="rId602" Type="http://schemas.openxmlformats.org/officeDocument/2006/relationships/hyperlink" Target="https://www.simpleshowing.com/" TargetMode="External"/><Relationship Id="rId1232" Type="http://schemas.openxmlformats.org/officeDocument/2006/relationships/hyperlink" Target="https://www.mylocalservices.co.uk/Happy+2+Move+Ltd-Slough-2406731.html" TargetMode="External"/><Relationship Id="rId15794" Type="http://schemas.openxmlformats.org/officeDocument/2006/relationships/hyperlink" Target="https://www.modinex.com.au/" TargetMode="External"/><Relationship Id="rId5853" Type="http://schemas.openxmlformats.org/officeDocument/2006/relationships/hyperlink" Target="https://www.momooze.com/getting-out-of-debt/" TargetMode="External"/><Relationship Id="rId6904" Type="http://schemas.openxmlformats.org/officeDocument/2006/relationships/hyperlink" Target="https://www.investorideas.com/Companies/HomebuilderStocks/HomebuilderStockList.asp" TargetMode="External"/><Relationship Id="rId14396" Type="http://schemas.openxmlformats.org/officeDocument/2006/relationships/hyperlink" Target="https://luxurylifestyle.com/" TargetMode="External"/><Relationship Id="rId15447" Type="http://schemas.openxmlformats.org/officeDocument/2006/relationships/hyperlink" Target="https://www.wingedboots.co.uk/magazine/help-us-support-haven-house-childrens-hospice/" TargetMode="External"/><Relationship Id="rId3057" Type="http://schemas.openxmlformats.org/officeDocument/2006/relationships/hyperlink" Target="https://www.simpleshowing.com/" TargetMode="External"/><Relationship Id="rId4108" Type="http://schemas.openxmlformats.org/officeDocument/2006/relationships/hyperlink" Target="https://www.simpleshowing.com/" TargetMode="External"/><Relationship Id="rId4455" Type="http://schemas.openxmlformats.org/officeDocument/2006/relationships/hyperlink" Target="https://www.foxcarolina.com/2024/05/27/high-school-seniors-can-now-get-real-estate-license-free-this-state/" TargetMode="External"/><Relationship Id="rId5506" Type="http://schemas.openxmlformats.org/officeDocument/2006/relationships/hyperlink" Target="https://www.simpleshowing.com/" TargetMode="External"/><Relationship Id="rId14049" Type="http://schemas.openxmlformats.org/officeDocument/2006/relationships/hyperlink" Target="https://www.mystayathomeadventures.com/choosing-the-right-decking/" TargetMode="External"/><Relationship Id="rId7678" Type="http://schemas.openxmlformats.org/officeDocument/2006/relationships/hyperlink" Target="https://www.simpleshowing.com/" TargetMode="External"/><Relationship Id="rId8729" Type="http://schemas.openxmlformats.org/officeDocument/2006/relationships/hyperlink" Target="https://www.pinoyeplans.com/" TargetMode="External"/><Relationship Id="rId10659" Type="http://schemas.openxmlformats.org/officeDocument/2006/relationships/hyperlink" Target="https://www.pinoyeplans.com/" TargetMode="External"/><Relationship Id="rId14530" Type="http://schemas.openxmlformats.org/officeDocument/2006/relationships/hyperlink" Target="https://myinteriorpalace.com/" TargetMode="External"/><Relationship Id="rId12081" Type="http://schemas.openxmlformats.org/officeDocument/2006/relationships/hyperlink" Target="https://www.hamiltoninternationalestates.com/" TargetMode="External"/><Relationship Id="rId13132" Type="http://schemas.openxmlformats.org/officeDocument/2006/relationships/hyperlink" Target="https://propertypressonline.co.uk/" TargetMode="External"/><Relationship Id="rId2140" Type="http://schemas.openxmlformats.org/officeDocument/2006/relationships/hyperlink" Target="https://markspain.com/" TargetMode="External"/><Relationship Id="rId6761" Type="http://schemas.openxmlformats.org/officeDocument/2006/relationships/hyperlink" Target="https://www.constructionresourcesusa.com/st-jude-dream-home-giveaway" TargetMode="External"/><Relationship Id="rId7812" Type="http://schemas.openxmlformats.org/officeDocument/2006/relationships/hyperlink" Target="https://discoverlakelanier.com/" TargetMode="External"/><Relationship Id="rId112" Type="http://schemas.openxmlformats.org/officeDocument/2006/relationships/hyperlink" Target="https://www.langleyadvancetimes.com/" TargetMode="External"/><Relationship Id="rId5363" Type="http://schemas.openxmlformats.org/officeDocument/2006/relationships/hyperlink" Target="https://www.tradersdna.com/the-impact-of-debt-on-credit-scores/" TargetMode="External"/><Relationship Id="rId6414" Type="http://schemas.openxmlformats.org/officeDocument/2006/relationships/hyperlink" Target="https://www.simpleshowing.com/" TargetMode="External"/><Relationship Id="rId16008" Type="http://schemas.openxmlformats.org/officeDocument/2006/relationships/hyperlink" Target="https://sweets.construction.com/manufacturer/richards-wilcox-nst154188/products/landmark--classic-l138-garage-door-nst746054-p" TargetMode="External"/><Relationship Id="rId5016" Type="http://schemas.openxmlformats.org/officeDocument/2006/relationships/hyperlink" Target="https://www.simpleshowing.com/" TargetMode="External"/><Relationship Id="rId9984" Type="http://schemas.openxmlformats.org/officeDocument/2006/relationships/hyperlink" Target="https://www.pinoyeplans.com/" TargetMode="External"/><Relationship Id="rId12965" Type="http://schemas.openxmlformats.org/officeDocument/2006/relationships/hyperlink" Target="https://www.shma.co.uk/" TargetMode="External"/><Relationship Id="rId1973" Type="http://schemas.openxmlformats.org/officeDocument/2006/relationships/hyperlink" Target="https://www.zyxware.com/article/6471/list-of-inc-5000-companies-using-wordpress-for-their-websites" TargetMode="External"/><Relationship Id="rId7188" Type="http://schemas.openxmlformats.org/officeDocument/2006/relationships/hyperlink" Target="https://www.simpleshowing.com/" TargetMode="External"/><Relationship Id="rId8239" Type="http://schemas.openxmlformats.org/officeDocument/2006/relationships/hyperlink" Target="https://asuffolkmum.co.uk/how-to-create-stunning-3d-rendering-of-a-modern-houses/" TargetMode="External"/><Relationship Id="rId8586" Type="http://schemas.openxmlformats.org/officeDocument/2006/relationships/hyperlink" Target="https://www.buyersadvocate.com.au/" TargetMode="External"/><Relationship Id="rId9637" Type="http://schemas.openxmlformats.org/officeDocument/2006/relationships/hyperlink" Target="https://www.teachengineering.org/" TargetMode="External"/><Relationship Id="rId11567" Type="http://schemas.openxmlformats.org/officeDocument/2006/relationships/hyperlink" Target="https://www.kbbreview.com/17267/news/global-smart-appliance-market-set-to-double-by-2019/" TargetMode="External"/><Relationship Id="rId12618" Type="http://schemas.openxmlformats.org/officeDocument/2006/relationships/hyperlink" Target="https://www.quiltercheviot.com/news-and-events/articles/charitepulse-charity-scandals-exposed/" TargetMode="External"/><Relationship Id="rId1626" Type="http://schemas.openxmlformats.org/officeDocument/2006/relationships/hyperlink" Target="https://www.simpleshowing.com/" TargetMode="External"/><Relationship Id="rId10169" Type="http://schemas.openxmlformats.org/officeDocument/2006/relationships/hyperlink" Target="https://www.chpp.egr.msu.edu/?page_id=86" TargetMode="External"/><Relationship Id="rId14040" Type="http://schemas.openxmlformats.org/officeDocument/2006/relationships/hyperlink" Target="https://businessflare.co.uk/revamp-your-backyard-the-impact-of-a-stunning-deck-on-your-homes-aesthetic/" TargetMode="External"/><Relationship Id="rId3798" Type="http://schemas.openxmlformats.org/officeDocument/2006/relationships/hyperlink" Target="https://www.simpleshowing.com/" TargetMode="External"/><Relationship Id="rId4849" Type="http://schemas.openxmlformats.org/officeDocument/2006/relationships/hyperlink" Target="https://springshomes.com/apps-for-finding-your-property-lines/" TargetMode="External"/><Relationship Id="rId8720" Type="http://schemas.openxmlformats.org/officeDocument/2006/relationships/hyperlink" Target="https://www.pinoyeplans.com/" TargetMode="External"/><Relationship Id="rId10650" Type="http://schemas.openxmlformats.org/officeDocument/2006/relationships/hyperlink" Target="https://www.pinoyeplans.com/" TargetMode="External"/><Relationship Id="rId6271" Type="http://schemas.openxmlformats.org/officeDocument/2006/relationships/hyperlink" Target="https://blog.scalefusion.com/how-we-successfully-bootstrapped-our-product-6-indomitable-ways/" TargetMode="External"/><Relationship Id="rId7322" Type="http://schemas.openxmlformats.org/officeDocument/2006/relationships/hyperlink" Target="https://www.silive.com/news/2022/08/opting-for-greener-pastures-many-staten-islanders-are-leaving-nyc-here-are-some-of-their-stories.html" TargetMode="External"/><Relationship Id="rId10303" Type="http://schemas.openxmlformats.org/officeDocument/2006/relationships/hyperlink" Target="https://www.teachengineering.org/" TargetMode="External"/><Relationship Id="rId11701" Type="http://schemas.openxmlformats.org/officeDocument/2006/relationships/hyperlink" Target="https://sellhousefast.uk/" TargetMode="External"/><Relationship Id="rId9494" Type="http://schemas.openxmlformats.org/officeDocument/2006/relationships/hyperlink" Target="https://www.idtech.com/blog/stem-activities-celebrate-womens-history-month" TargetMode="External"/><Relationship Id="rId13873" Type="http://schemas.openxmlformats.org/officeDocument/2006/relationships/hyperlink" Target="https://myinteriorpalace.com/" TargetMode="External"/><Relationship Id="rId14924" Type="http://schemas.openxmlformats.org/officeDocument/2006/relationships/hyperlink" Target="https://www.fluidplumbingservices.com.au/" TargetMode="External"/><Relationship Id="rId1483" Type="http://schemas.openxmlformats.org/officeDocument/2006/relationships/hyperlink" Target="https://ritewindow.com/blog/3-indicators-its-time-to-upgrade-your-shower-or-bath/" TargetMode="External"/><Relationship Id="rId2881" Type="http://schemas.openxmlformats.org/officeDocument/2006/relationships/hyperlink" Target="https://www.pulte.com/" TargetMode="External"/><Relationship Id="rId3932" Type="http://schemas.openxmlformats.org/officeDocument/2006/relationships/hyperlink" Target="https://az.ezilon.com/australia/business/building_materials/roofing/index.shtml" TargetMode="External"/><Relationship Id="rId8096" Type="http://schemas.openxmlformats.org/officeDocument/2006/relationships/hyperlink" Target="https://www.pinoyeplans.com/" TargetMode="External"/><Relationship Id="rId9147" Type="http://schemas.openxmlformats.org/officeDocument/2006/relationships/hyperlink" Target="https://www.pinoyeplans.com/" TargetMode="External"/><Relationship Id="rId11077" Type="http://schemas.openxmlformats.org/officeDocument/2006/relationships/hyperlink" Target="https://www.teachengineering.org/" TargetMode="External"/><Relationship Id="rId12475" Type="http://schemas.openxmlformats.org/officeDocument/2006/relationships/hyperlink" Target="https://sturents.com/" TargetMode="External"/><Relationship Id="rId13526" Type="http://schemas.openxmlformats.org/officeDocument/2006/relationships/hyperlink" Target="https://anationofmoms.com/" TargetMode="External"/><Relationship Id="rId506" Type="http://schemas.openxmlformats.org/officeDocument/2006/relationships/hyperlink" Target="https://www.simpleshowing.com/" TargetMode="External"/><Relationship Id="rId853" Type="http://schemas.openxmlformats.org/officeDocument/2006/relationships/hyperlink" Target="https://www.absolutepestmgmt.com/" TargetMode="External"/><Relationship Id="rId1136" Type="http://schemas.openxmlformats.org/officeDocument/2006/relationships/hyperlink" Target="https://reviews.birdeye.com/matrix-bathroom-systems-156205482454911" TargetMode="External"/><Relationship Id="rId2534" Type="http://schemas.openxmlformats.org/officeDocument/2006/relationships/hyperlink" Target="https://www.probuilder.com/home/article/55195899/50-best-builders-to-work-for-list" TargetMode="External"/><Relationship Id="rId12128" Type="http://schemas.openxmlformats.org/officeDocument/2006/relationships/hyperlink" Target="https://growingspaces.com/blog/growing-saffron/" TargetMode="External"/><Relationship Id="rId15698" Type="http://schemas.openxmlformats.org/officeDocument/2006/relationships/hyperlink" Target="https://www.modinex.com.au/" TargetMode="External"/><Relationship Id="rId5757" Type="http://schemas.openxmlformats.org/officeDocument/2006/relationships/hyperlink" Target="https://dothaneagle.com/news/nation-world/business/personal-finance/article_281fe2b5-e329-58f8-81e0-98a4557335ef.html" TargetMode="External"/><Relationship Id="rId6808" Type="http://schemas.openxmlformats.org/officeDocument/2006/relationships/hyperlink" Target="https://www.taylormorrison.com/" TargetMode="External"/><Relationship Id="rId4359" Type="http://schemas.openxmlformats.org/officeDocument/2006/relationships/hyperlink" Target="https://leaders.com/articles/business/how-much-do-real-estate-agents-make/" TargetMode="External"/><Relationship Id="rId8230" Type="http://schemas.openxmlformats.org/officeDocument/2006/relationships/hyperlink" Target="https://paidforarticles.in/how-to-use-3d-visualization-for-site-planning-and-design-810034" TargetMode="External"/><Relationship Id="rId10160" Type="http://schemas.openxmlformats.org/officeDocument/2006/relationships/hyperlink" Target="https://www.gettingsmart.com/2024/09/05/how-to-design-schools-to-grow-thriving-adults-a-provocation/" TargetMode="External"/><Relationship Id="rId11211" Type="http://schemas.openxmlformats.org/officeDocument/2006/relationships/hyperlink" Target="https://www.waterdamagespecialist.com.au/" TargetMode="External"/><Relationship Id="rId14781" Type="http://schemas.openxmlformats.org/officeDocument/2006/relationships/hyperlink" Target="https://clichemag.com/home-improvement/what-factors-influence-the-cost-of-garage-door-repairs/" TargetMode="External"/><Relationship Id="rId4840" Type="http://schemas.openxmlformats.org/officeDocument/2006/relationships/hyperlink" Target="https://www.simpleshowing.com/" TargetMode="External"/><Relationship Id="rId13383" Type="http://schemas.openxmlformats.org/officeDocument/2006/relationships/hyperlink" Target="https://momenvy.co/easy-spring-paper-crafts-kids-adults/" TargetMode="External"/><Relationship Id="rId14434" Type="http://schemas.openxmlformats.org/officeDocument/2006/relationships/hyperlink" Target="https://myinteriorpalace.com/" TargetMode="External"/><Relationship Id="rId15832" Type="http://schemas.openxmlformats.org/officeDocument/2006/relationships/hyperlink" Target="https://myinteriorpalace.com/" TargetMode="External"/><Relationship Id="rId2391" Type="http://schemas.openxmlformats.org/officeDocument/2006/relationships/hyperlink" Target="https://www.simpleshowing.com/" TargetMode="External"/><Relationship Id="rId3442" Type="http://schemas.openxmlformats.org/officeDocument/2006/relationships/hyperlink" Target="https://www.pulte.com/" TargetMode="External"/><Relationship Id="rId13036" Type="http://schemas.openxmlformats.org/officeDocument/2006/relationships/hyperlink" Target="https://propertypressonline.co.uk/" TargetMode="External"/><Relationship Id="rId363" Type="http://schemas.openxmlformats.org/officeDocument/2006/relationships/hyperlink" Target="https://blog.safetyculture.com/tips-tricks/checklist-best-practices/home-inspection-checklist-how-to-get-the-most-out-of-your-inspection" TargetMode="External"/><Relationship Id="rId2044" Type="http://schemas.openxmlformats.org/officeDocument/2006/relationships/hyperlink" Target="https://markspain.com/" TargetMode="External"/><Relationship Id="rId5267" Type="http://schemas.openxmlformats.org/officeDocument/2006/relationships/hyperlink" Target="https://www.skytechosting.com/how-to-make-lottery-winnings-last/" TargetMode="External"/><Relationship Id="rId6318" Type="http://schemas.openxmlformats.org/officeDocument/2006/relationships/hyperlink" Target="https://www.simpleshowing.com/" TargetMode="External"/><Relationship Id="rId6665" Type="http://schemas.openxmlformats.org/officeDocument/2006/relationships/hyperlink" Target="https://www.eplanters.com/blog/" TargetMode="External"/><Relationship Id="rId7716" Type="http://schemas.openxmlformats.org/officeDocument/2006/relationships/hyperlink" Target="https://wheelchairtraveling.com/wheelchair-accessible-kayak-launch-dock-pier-locations/" TargetMode="External"/><Relationship Id="rId16259" Type="http://schemas.openxmlformats.org/officeDocument/2006/relationships/hyperlink" Target="https://www.unitedcarpetsandbeds.com/" TargetMode="External"/><Relationship Id="rId9888" Type="http://schemas.openxmlformats.org/officeDocument/2006/relationships/hyperlink" Target="https://www.pinoyeplans.com/" TargetMode="External"/><Relationship Id="rId12869" Type="http://schemas.openxmlformats.org/officeDocument/2006/relationships/hyperlink" Target="https://www.shma.co.uk/" TargetMode="External"/><Relationship Id="rId1877" Type="http://schemas.openxmlformats.org/officeDocument/2006/relationships/hyperlink" Target="https://listwithclever.com/reviews/mark-spain-real-estate/" TargetMode="External"/><Relationship Id="rId2928" Type="http://schemas.openxmlformats.org/officeDocument/2006/relationships/hyperlink" Target="https://www.simpleshowing.com/" TargetMode="External"/><Relationship Id="rId14291" Type="http://schemas.openxmlformats.org/officeDocument/2006/relationships/hyperlink" Target="https://luxurylifestyle.com/" TargetMode="External"/><Relationship Id="rId15342" Type="http://schemas.openxmlformats.org/officeDocument/2006/relationships/hyperlink" Target="https://ecowhides.com/blogs/blog/romance-in-design-the-timeless-beauty-of-cowhide-rugs" TargetMode="External"/><Relationship Id="rId4350" Type="http://schemas.openxmlformats.org/officeDocument/2006/relationships/hyperlink" Target="https://internationalvanlines.com/reliable-international-movers-within-minutes/" TargetMode="External"/><Relationship Id="rId5401" Type="http://schemas.openxmlformats.org/officeDocument/2006/relationships/hyperlink" Target="https://whatstorage.co.uk/advice/storage-tenant-rights-landlords-selling-a-property-moving-fast/" TargetMode="External"/><Relationship Id="rId8971" Type="http://schemas.openxmlformats.org/officeDocument/2006/relationships/hyperlink" Target="https://nycestimating.us/" TargetMode="External"/><Relationship Id="rId4003" Type="http://schemas.openxmlformats.org/officeDocument/2006/relationships/hyperlink" Target="https://www.smartsolarenergyco.com/" TargetMode="External"/><Relationship Id="rId7573" Type="http://schemas.openxmlformats.org/officeDocument/2006/relationships/hyperlink" Target="https://www.simpleshowing.com/" TargetMode="External"/><Relationship Id="rId8624" Type="http://schemas.openxmlformats.org/officeDocument/2006/relationships/hyperlink" Target="https://www.pinoyeplans.com/" TargetMode="External"/><Relationship Id="rId11952" Type="http://schemas.openxmlformats.org/officeDocument/2006/relationships/hyperlink" Target="https://www.hamiltoninternationalestates.com/" TargetMode="External"/><Relationship Id="rId6175" Type="http://schemas.openxmlformats.org/officeDocument/2006/relationships/hyperlink" Target="https://techstaunch.com/blogs/12-business-ideas-for-students" TargetMode="External"/><Relationship Id="rId7226" Type="http://schemas.openxmlformats.org/officeDocument/2006/relationships/hyperlink" Target="https://alwaysbestcare.com/rock-hill/home-care/rock-hill/" TargetMode="External"/><Relationship Id="rId10554" Type="http://schemas.openxmlformats.org/officeDocument/2006/relationships/hyperlink" Target="https://www.pinoyeplans.com/" TargetMode="External"/><Relationship Id="rId11605" Type="http://schemas.openxmlformats.org/officeDocument/2006/relationships/hyperlink" Target="https://sellhousefast.uk/" TargetMode="External"/><Relationship Id="rId9398" Type="http://schemas.openxmlformats.org/officeDocument/2006/relationships/hyperlink" Target="https://solarguyspro.com/blogs/news/solar-dc-to-ac-conversion-calculator-easily-convert-solar-power-output" TargetMode="External"/><Relationship Id="rId10207" Type="http://schemas.openxmlformats.org/officeDocument/2006/relationships/hyperlink" Target="https://www.teachengineering.org/" TargetMode="External"/><Relationship Id="rId13777" Type="http://schemas.openxmlformats.org/officeDocument/2006/relationships/hyperlink" Target="https://myinteriorpalace.com/" TargetMode="External"/><Relationship Id="rId14828" Type="http://schemas.openxmlformats.org/officeDocument/2006/relationships/hyperlink" Target="https://www.fluidplumbingservices.com.au/" TargetMode="External"/><Relationship Id="rId2785" Type="http://schemas.openxmlformats.org/officeDocument/2006/relationships/hyperlink" Target="https://www.pulte.com/" TargetMode="External"/><Relationship Id="rId3836" Type="http://schemas.openxmlformats.org/officeDocument/2006/relationships/hyperlink" Target="https://onecommunityglobal.org/duplicable-city-center-natural-pool-spa/" TargetMode="External"/><Relationship Id="rId12379" Type="http://schemas.openxmlformats.org/officeDocument/2006/relationships/hyperlink" Target="https://sturents.com/" TargetMode="External"/><Relationship Id="rId16250" Type="http://schemas.openxmlformats.org/officeDocument/2006/relationships/hyperlink" Target="https://www.unitedcarpetsandbeds.com/" TargetMode="External"/><Relationship Id="rId757" Type="http://schemas.openxmlformats.org/officeDocument/2006/relationships/hyperlink" Target="https://1883magazine.com/the-outer-banks-packing-checklist-everything-you-need-to-bring/" TargetMode="External"/><Relationship Id="rId1387" Type="http://schemas.openxmlformats.org/officeDocument/2006/relationships/hyperlink" Target="https://ritewindow.com/blog/3-indicators-its-time-to-upgrade-your-shower-or-bath/" TargetMode="External"/><Relationship Id="rId2438" Type="http://schemas.openxmlformats.org/officeDocument/2006/relationships/hyperlink" Target="https://members.greaterorlandoba.com/list/member/pulte-homes-896" TargetMode="External"/><Relationship Id="rId12860" Type="http://schemas.openxmlformats.org/officeDocument/2006/relationships/hyperlink" Target="https://www.shma.co.uk/" TargetMode="External"/><Relationship Id="rId93" Type="http://schemas.openxmlformats.org/officeDocument/2006/relationships/hyperlink" Target="http://noodlemagazined.com/" TargetMode="External"/><Relationship Id="rId8481" Type="http://schemas.openxmlformats.org/officeDocument/2006/relationships/hyperlink" Target="https://www.cylind.com/" TargetMode="External"/><Relationship Id="rId9532" Type="http://schemas.openxmlformats.org/officeDocument/2006/relationships/hyperlink" Target="https://www.teachengineering.org/" TargetMode="External"/><Relationship Id="rId11462" Type="http://schemas.openxmlformats.org/officeDocument/2006/relationships/hyperlink" Target="https://www.hamiltoninternationalestates.com/" TargetMode="External"/><Relationship Id="rId12513" Type="http://schemas.openxmlformats.org/officeDocument/2006/relationships/hyperlink" Target="https://cherwell.org/page/1279/?author=Susannah%20Atkins&amp;mode=grid" TargetMode="External"/><Relationship Id="rId13911" Type="http://schemas.openxmlformats.org/officeDocument/2006/relationships/hyperlink" Target="https://www.servicetitan.com/blog/roofing-websites" TargetMode="External"/><Relationship Id="rId1521" Type="http://schemas.openxmlformats.org/officeDocument/2006/relationships/hyperlink" Target="https://www.simpleshowing.com/" TargetMode="External"/><Relationship Id="rId7083" Type="http://schemas.openxmlformats.org/officeDocument/2006/relationships/hyperlink" Target="https://www.greatplacetowork.com/certified-company/7010937" TargetMode="External"/><Relationship Id="rId8134" Type="http://schemas.openxmlformats.org/officeDocument/2006/relationships/hyperlink" Target="https://talk3.hairboutique.com/forum_posts.php?TID=66396&amp;LIUID=0&amp;title=Applying-egg" TargetMode="External"/><Relationship Id="rId10064" Type="http://schemas.openxmlformats.org/officeDocument/2006/relationships/hyperlink" Target="https://bookunitsteacher.com/wp/?p=8272" TargetMode="External"/><Relationship Id="rId11115" Type="http://schemas.openxmlformats.org/officeDocument/2006/relationships/hyperlink" Target="https://www.experienceparry.com/" TargetMode="External"/><Relationship Id="rId3693" Type="http://schemas.openxmlformats.org/officeDocument/2006/relationships/hyperlink" Target="https://www.simpleshowing.com/" TargetMode="External"/><Relationship Id="rId13287" Type="http://schemas.openxmlformats.org/officeDocument/2006/relationships/hyperlink" Target="https://www.totalguidetomanchester.com/property/why-manchester-is-becoming-a-hotspot-for-international-property-investors/" TargetMode="External"/><Relationship Id="rId14685" Type="http://schemas.openxmlformats.org/officeDocument/2006/relationships/hyperlink" Target="https://lakeconroe.com/lake-conroe/easy-garage-door-repair/" TargetMode="External"/><Relationship Id="rId15736" Type="http://schemas.openxmlformats.org/officeDocument/2006/relationships/hyperlink" Target="https://myinteriorpalace.com/" TargetMode="External"/><Relationship Id="rId2295" Type="http://schemas.openxmlformats.org/officeDocument/2006/relationships/hyperlink" Target="https://www.simpleshowing.com/" TargetMode="External"/><Relationship Id="rId3346" Type="http://schemas.openxmlformats.org/officeDocument/2006/relationships/hyperlink" Target="https://www.pulte.com/" TargetMode="External"/><Relationship Id="rId4744" Type="http://schemas.openxmlformats.org/officeDocument/2006/relationships/hyperlink" Target="https://www.simpleshowing.com/" TargetMode="External"/><Relationship Id="rId14338" Type="http://schemas.openxmlformats.org/officeDocument/2006/relationships/hyperlink" Target="https://myinteriorpalace.com/" TargetMode="External"/><Relationship Id="rId267" Type="http://schemas.openxmlformats.org/officeDocument/2006/relationships/hyperlink" Target="http://northernvirginiahomepro.com/" TargetMode="External"/><Relationship Id="rId7967" Type="http://schemas.openxmlformats.org/officeDocument/2006/relationships/hyperlink" Target="https://www.pinoyeplans.com/" TargetMode="External"/><Relationship Id="rId10948" Type="http://schemas.openxmlformats.org/officeDocument/2006/relationships/hyperlink" Target="https://www.teachengineering.org/" TargetMode="External"/><Relationship Id="rId6569" Type="http://schemas.openxmlformats.org/officeDocument/2006/relationships/hyperlink" Target="https://www.thermasol.com/" TargetMode="External"/><Relationship Id="rId12370" Type="http://schemas.openxmlformats.org/officeDocument/2006/relationships/hyperlink" Target="https://sturents.com/" TargetMode="External"/><Relationship Id="rId13421" Type="http://schemas.openxmlformats.org/officeDocument/2006/relationships/hyperlink" Target="https://anationofmoms.com/" TargetMode="External"/><Relationship Id="rId9042" Type="http://schemas.openxmlformats.org/officeDocument/2006/relationships/hyperlink" Target="https://www.pinoyeplans.com/" TargetMode="External"/><Relationship Id="rId12023" Type="http://schemas.openxmlformats.org/officeDocument/2006/relationships/hyperlink" Target="https://www.proliftdoors.com/blog/garage/garage-door/how-much-does-it-cost-to-repair-a-garage-door/" TargetMode="External"/><Relationship Id="rId15593" Type="http://schemas.openxmlformats.org/officeDocument/2006/relationships/hyperlink" Target="https://www.luxdeco.com/" TargetMode="External"/><Relationship Id="rId401" Type="http://schemas.openxmlformats.org/officeDocument/2006/relationships/hyperlink" Target="https://thearchitectsdiary.com/the-best-architecturally-designed-northern-virginia-condominiums/" TargetMode="External"/><Relationship Id="rId1031" Type="http://schemas.openxmlformats.org/officeDocument/2006/relationships/hyperlink" Target="https://www.luxurybath.com/locator/16509.15560.luxury-bath-of-lansing/" TargetMode="External"/><Relationship Id="rId5652" Type="http://schemas.openxmlformats.org/officeDocument/2006/relationships/hyperlink" Target="https://www.simpleshowing.com/" TargetMode="External"/><Relationship Id="rId6703" Type="http://schemas.openxmlformats.org/officeDocument/2006/relationships/hyperlink" Target="https://www.eplanters.com/blog/" TargetMode="External"/><Relationship Id="rId14195" Type="http://schemas.openxmlformats.org/officeDocument/2006/relationships/hyperlink" Target="https://luxurylifestyle.com/" TargetMode="External"/><Relationship Id="rId15246" Type="http://schemas.openxmlformats.org/officeDocument/2006/relationships/hyperlink" Target="https://chaseamie.com/my-favourite-faux-florals/" TargetMode="External"/><Relationship Id="rId4254" Type="http://schemas.openxmlformats.org/officeDocument/2006/relationships/hyperlink" Target="https://www.unitedcountry.com/articles/sellers/is-a-career-in-real-estate-right-for-you----united-country-real-estate/1525" TargetMode="External"/><Relationship Id="rId5305" Type="http://schemas.openxmlformats.org/officeDocument/2006/relationships/hyperlink" Target="https://www.brandcrowd.com/blog/10-best-freelance-websites-to-find-jobs-and-earn-cash/" TargetMode="External"/><Relationship Id="rId7477" Type="http://schemas.openxmlformats.org/officeDocument/2006/relationships/hyperlink" Target="https://www.simpleshowing.com/" TargetMode="External"/><Relationship Id="rId8528" Type="http://schemas.openxmlformats.org/officeDocument/2006/relationships/hyperlink" Target="https://www.pinoyeplans.com/" TargetMode="External"/><Relationship Id="rId8875" Type="http://schemas.openxmlformats.org/officeDocument/2006/relationships/hyperlink" Target="https://www.trianglepest.com/" TargetMode="External"/><Relationship Id="rId9926" Type="http://schemas.openxmlformats.org/officeDocument/2006/relationships/hyperlink" Target="https://www.discoveryaba.com/aba-therapy/renewable-energy-for-autism-homes" TargetMode="External"/><Relationship Id="rId11856" Type="http://schemas.openxmlformats.org/officeDocument/2006/relationships/hyperlink" Target="https://www.hamiltoninternationalestates.com/" TargetMode="External"/><Relationship Id="rId12907" Type="http://schemas.openxmlformats.org/officeDocument/2006/relationships/hyperlink" Target="https://propertypressonline.co.uk/" TargetMode="External"/><Relationship Id="rId1915" Type="http://schemas.openxmlformats.org/officeDocument/2006/relationships/hyperlink" Target="https://markspain.com/" TargetMode="External"/><Relationship Id="rId6079" Type="http://schemas.openxmlformats.org/officeDocument/2006/relationships/hyperlink" Target="https://careerdesignstudio.buffalo.edu/blog/2025/06/30/the-hour-a-day-job-hunt-routine-that-works/" TargetMode="External"/><Relationship Id="rId10458" Type="http://schemas.openxmlformats.org/officeDocument/2006/relationships/hyperlink" Target="https://www.pinoyeplans.com/" TargetMode="External"/><Relationship Id="rId11509" Type="http://schemas.openxmlformats.org/officeDocument/2006/relationships/hyperlink" Target="https://www.chesterfield.co.uk/2026/01/why-homebuyers-are-choosing-chesterfield-for-value-connectivity-and-growth/" TargetMode="External"/><Relationship Id="rId2689" Type="http://schemas.openxmlformats.org/officeDocument/2006/relationships/hyperlink" Target="https://www.pulte.com/" TargetMode="External"/><Relationship Id="rId6560" Type="http://schemas.openxmlformats.org/officeDocument/2006/relationships/hyperlink" Target="https://www.apartmentguide.com/blog/technology-you-must-have-in-your-apartment/2/" TargetMode="External"/><Relationship Id="rId7611" Type="http://schemas.openxmlformats.org/officeDocument/2006/relationships/hyperlink" Target="https://twelvedata.com/markets/540981/stock/fsx/thm" TargetMode="External"/><Relationship Id="rId16154" Type="http://schemas.openxmlformats.org/officeDocument/2006/relationships/hyperlink" Target="https://www.unitedcarpetsandbeds.com/" TargetMode="External"/><Relationship Id="rId5162" Type="http://schemas.openxmlformats.org/officeDocument/2006/relationships/hyperlink" Target="https://www.simpleshowing.com/" TargetMode="External"/><Relationship Id="rId6213" Type="http://schemas.openxmlformats.org/officeDocument/2006/relationships/hyperlink" Target="https://indiapost.com/questions-to-ask-when-youre-considering-debt-consolidation/" TargetMode="External"/><Relationship Id="rId9783" Type="http://schemas.openxmlformats.org/officeDocument/2006/relationships/hyperlink" Target="https://www.pinoyeplans.com/" TargetMode="External"/><Relationship Id="rId1772" Type="http://schemas.openxmlformats.org/officeDocument/2006/relationships/hyperlink" Target="https://ny.taxconcept.net/2025/07/18/summer-power-outages-in-new-york-essential-tips/" TargetMode="External"/><Relationship Id="rId8385" Type="http://schemas.openxmlformats.org/officeDocument/2006/relationships/hyperlink" Target="https://24hourfloodpros.com/" TargetMode="External"/><Relationship Id="rId9436" Type="http://schemas.openxmlformats.org/officeDocument/2006/relationships/hyperlink" Target="https://www.teachengineering.org/" TargetMode="External"/><Relationship Id="rId11366" Type="http://schemas.openxmlformats.org/officeDocument/2006/relationships/hyperlink" Target="https://www.hamiltoninternationalestates.com/" TargetMode="External"/><Relationship Id="rId12764" Type="http://schemas.openxmlformats.org/officeDocument/2006/relationships/hyperlink" Target="https://www.shma.co.uk/" TargetMode="External"/><Relationship Id="rId13815" Type="http://schemas.openxmlformats.org/officeDocument/2006/relationships/hyperlink" Target="https://aqglassshowerdoorsphoenix-9a71f6.gitlab.io/about" TargetMode="External"/><Relationship Id="rId1425" Type="http://schemas.openxmlformats.org/officeDocument/2006/relationships/hyperlink" Target="https://www.simpleshowing.com/" TargetMode="External"/><Relationship Id="rId2823" Type="http://schemas.openxmlformats.org/officeDocument/2006/relationships/hyperlink" Target="https://www.simpleshowing.com/" TargetMode="External"/><Relationship Id="rId8038" Type="http://schemas.openxmlformats.org/officeDocument/2006/relationships/hyperlink" Target="https://www.pinoyeplans.com/" TargetMode="External"/><Relationship Id="rId11019" Type="http://schemas.openxmlformats.org/officeDocument/2006/relationships/hyperlink" Target="https://www.pinoyeplans.com/" TargetMode="External"/><Relationship Id="rId12417" Type="http://schemas.openxmlformats.org/officeDocument/2006/relationships/hyperlink" Target="https://propertypressonline.co.uk/" TargetMode="External"/><Relationship Id="rId15987" Type="http://schemas.openxmlformats.org/officeDocument/2006/relationships/hyperlink" Target="https://www.collegerecruiter.com/blog/2025/03/21/15-tips-for-environmental-studies-majors-who-are-mapping-their-careers" TargetMode="External"/><Relationship Id="rId4995" Type="http://schemas.openxmlformats.org/officeDocument/2006/relationships/hyperlink" Target="https://venngage.com/blog/financial-reports-examples/" TargetMode="External"/><Relationship Id="rId14589" Type="http://schemas.openxmlformats.org/officeDocument/2006/relationships/hyperlink" Target="https://intheplayroom.co.uk/5-best-garage-door-repair-companies-in-houston-tx/" TargetMode="External"/><Relationship Id="rId2199" Type="http://schemas.openxmlformats.org/officeDocument/2006/relationships/hyperlink" Target="https://www.simpleshowing.com/" TargetMode="External"/><Relationship Id="rId3597" Type="http://schemas.openxmlformats.org/officeDocument/2006/relationships/hyperlink" Target="https://www.simpleshowing.com/" TargetMode="External"/><Relationship Id="rId4648" Type="http://schemas.openxmlformats.org/officeDocument/2006/relationships/hyperlink" Target="https://www.simpleshowing.com/" TargetMode="External"/><Relationship Id="rId6070" Type="http://schemas.openxmlformats.org/officeDocument/2006/relationships/hyperlink" Target="https://www.simpleshowing.com/" TargetMode="External"/><Relationship Id="rId11500" Type="http://schemas.openxmlformats.org/officeDocument/2006/relationships/hyperlink" Target="https://www.ealing.news/homes-property/ealing-homeowners-spending-90-of-pay-on-mortgages/" TargetMode="External"/><Relationship Id="rId7121" Type="http://schemas.openxmlformats.org/officeDocument/2006/relationships/hyperlink" Target="https://www.simpleshowing.com/" TargetMode="External"/><Relationship Id="rId10102" Type="http://schemas.openxmlformats.org/officeDocument/2006/relationships/hyperlink" Target="https://www.teachengineering.org/" TargetMode="External"/><Relationship Id="rId13672" Type="http://schemas.openxmlformats.org/officeDocument/2006/relationships/hyperlink" Target="https://myinteriorpalace.com/" TargetMode="External"/><Relationship Id="rId14723" Type="http://schemas.openxmlformats.org/officeDocument/2006/relationships/hyperlink" Target="https://www.easygaragedoorrepair.com/" TargetMode="External"/><Relationship Id="rId2680" Type="http://schemas.openxmlformats.org/officeDocument/2006/relationships/hyperlink" Target="https://www.pulte.com/" TargetMode="External"/><Relationship Id="rId3731" Type="http://schemas.openxmlformats.org/officeDocument/2006/relationships/hyperlink" Target="https://lookwhatmomfound.com/category/thoughts/page/81" TargetMode="External"/><Relationship Id="rId9293" Type="http://schemas.openxmlformats.org/officeDocument/2006/relationships/hyperlink" Target="https://www.youtube.com/watch?v=u1vnSSsfwRk" TargetMode="External"/><Relationship Id="rId12274" Type="http://schemas.openxmlformats.org/officeDocument/2006/relationships/hyperlink" Target="https://www.ridgefieldconsulting.co.uk/" TargetMode="External"/><Relationship Id="rId13325" Type="http://schemas.openxmlformats.org/officeDocument/2006/relationships/hyperlink" Target="https://a1floorsnc.com/" TargetMode="External"/><Relationship Id="rId652" Type="http://schemas.openxmlformats.org/officeDocument/2006/relationships/hyperlink" Target="https://azbigmedia.com/lifestyle/11-travel-hacks-for-your-next-family-vacation/" TargetMode="External"/><Relationship Id="rId1282" Type="http://schemas.openxmlformats.org/officeDocument/2006/relationships/hyperlink" Target="https://darscover.com/" TargetMode="External"/><Relationship Id="rId2333" Type="http://schemas.openxmlformats.org/officeDocument/2006/relationships/hyperlink" Target="https://www.avemaria.com/" TargetMode="External"/><Relationship Id="rId15497" Type="http://schemas.openxmlformats.org/officeDocument/2006/relationships/hyperlink" Target="https://www.luxdeco.com/" TargetMode="External"/><Relationship Id="rId305" Type="http://schemas.openxmlformats.org/officeDocument/2006/relationships/hyperlink" Target="http://rachelbustin.com/" TargetMode="External"/><Relationship Id="rId5556" Type="http://schemas.openxmlformats.org/officeDocument/2006/relationships/hyperlink" Target="https://www.simpleshowing.com/" TargetMode="External"/><Relationship Id="rId6607" Type="http://schemas.openxmlformats.org/officeDocument/2006/relationships/hyperlink" Target="https://designfinder.asid.org/listing/thermasol/contacts" TargetMode="External"/><Relationship Id="rId6954" Type="http://schemas.openxmlformats.org/officeDocument/2006/relationships/hyperlink" Target="https://azbigmedia.com/business/most-admired-companies-of-2021-charles-schwab/" TargetMode="External"/><Relationship Id="rId14099" Type="http://schemas.openxmlformats.org/officeDocument/2006/relationships/hyperlink" Target="https://keystonecustomdecksny.com/" TargetMode="External"/><Relationship Id="rId4158" Type="http://schemas.openxmlformats.org/officeDocument/2006/relationships/hyperlink" Target="https://www.flcaa.com/post/real-estate-course-price-in-florida-hidden-costs-you-need-to-know-2025" TargetMode="External"/><Relationship Id="rId5209" Type="http://schemas.openxmlformats.org/officeDocument/2006/relationships/hyperlink" Target="https://www.top4.com.au/article/detail/the-essential-guide-to-small-business-restructuring" TargetMode="External"/><Relationship Id="rId8779" Type="http://schemas.openxmlformats.org/officeDocument/2006/relationships/hyperlink" Target="https://wealthybyte.com/companies-like-opendoor/" TargetMode="External"/><Relationship Id="rId11010" Type="http://schemas.openxmlformats.org/officeDocument/2006/relationships/hyperlink" Target="https://www.pinoyeplans.com/" TargetMode="External"/><Relationship Id="rId14580" Type="http://schemas.openxmlformats.org/officeDocument/2006/relationships/hyperlink" Target="https://ahouseinthehills.com/top-5-garage-door-spring-repair-companies-in-houston/" TargetMode="External"/><Relationship Id="rId15631" Type="http://schemas.openxmlformats.org/officeDocument/2006/relationships/hyperlink" Target="https://myinteriorpalace.com/" TargetMode="External"/><Relationship Id="rId1819" Type="http://schemas.openxmlformats.org/officeDocument/2006/relationships/hyperlink" Target="https://wolfriverelectric.com/" TargetMode="External"/><Relationship Id="rId13182" Type="http://schemas.openxmlformats.org/officeDocument/2006/relationships/hyperlink" Target="https://www.birminghamworld.uk/community/six-times-as-many-birmingham-homes-could-be-burdened-by-inheritance-tax-freeze-5103420" TargetMode="External"/><Relationship Id="rId14233" Type="http://schemas.openxmlformats.org/officeDocument/2006/relationships/hyperlink" Target="https://myinteriorpalace.com/" TargetMode="External"/><Relationship Id="rId2190" Type="http://schemas.openxmlformats.org/officeDocument/2006/relationships/hyperlink" Target="https://www.simpleshowing.com/" TargetMode="External"/><Relationship Id="rId3241" Type="http://schemas.openxmlformats.org/officeDocument/2006/relationships/hyperlink" Target="https://www.pulte.com/" TargetMode="External"/><Relationship Id="rId7862" Type="http://schemas.openxmlformats.org/officeDocument/2006/relationships/hyperlink" Target="https://www.simpleshowing.com/" TargetMode="External"/><Relationship Id="rId8913" Type="http://schemas.openxmlformats.org/officeDocument/2006/relationships/hyperlink" Target="https://www.pinoyeplans.com/" TargetMode="External"/><Relationship Id="rId162" Type="http://schemas.openxmlformats.org/officeDocument/2006/relationships/hyperlink" Target="https://www.nreig.com/" TargetMode="External"/><Relationship Id="rId6464" Type="http://schemas.openxmlformats.org/officeDocument/2006/relationships/hyperlink" Target="https://clownfish-grapefruit-fclt.squarespace.com/linecard" TargetMode="External"/><Relationship Id="rId7515" Type="http://schemas.openxmlformats.org/officeDocument/2006/relationships/hyperlink" Target="https://realtynewsreport.com/the-business-case-for-natural-drainage-systems-in-houston-area-land-development-projects/" TargetMode="External"/><Relationship Id="rId10843" Type="http://schemas.openxmlformats.org/officeDocument/2006/relationships/hyperlink" Target="https://www.teachengineering.org/" TargetMode="External"/><Relationship Id="rId16058" Type="http://schemas.openxmlformats.org/officeDocument/2006/relationships/hyperlink" Target="https://www.rwdoors.com/" TargetMode="External"/><Relationship Id="rId5066" Type="http://schemas.openxmlformats.org/officeDocument/2006/relationships/hyperlink" Target="https://www.simpleshowing.com/" TargetMode="External"/><Relationship Id="rId6117" Type="http://schemas.openxmlformats.org/officeDocument/2006/relationships/hyperlink" Target="https://accountingbyte.com/high-interest-debt-management-strategies/" TargetMode="External"/><Relationship Id="rId9687" Type="http://schemas.openxmlformats.org/officeDocument/2006/relationships/hyperlink" Target="https://www.pinoyeplans.com/" TargetMode="External"/><Relationship Id="rId8289" Type="http://schemas.openxmlformats.org/officeDocument/2006/relationships/hyperlink" Target="https://www.zestlighting.com.au/" TargetMode="External"/><Relationship Id="rId12668" Type="http://schemas.openxmlformats.org/officeDocument/2006/relationships/hyperlink" Target="https://www.shma.co.uk/" TargetMode="External"/><Relationship Id="rId13719" Type="http://schemas.openxmlformats.org/officeDocument/2006/relationships/hyperlink" Target="https://www.thatericalper.com/page/858/?attachment_id=fevvezfzdcbwox&amp;doing_wp_cron=1732046192.9152998924255371093750" TargetMode="External"/><Relationship Id="rId1676" Type="http://schemas.openxmlformats.org/officeDocument/2006/relationships/hyperlink" Target="https://wrrv.com/power-outages-2025-comparison/" TargetMode="External"/><Relationship Id="rId2727" Type="http://schemas.openxmlformats.org/officeDocument/2006/relationships/hyperlink" Target="https://www.simpleshowing.com/" TargetMode="External"/><Relationship Id="rId14090" Type="http://schemas.openxmlformats.org/officeDocument/2006/relationships/hyperlink" Target="https://keystonecustomdecksny.com/" TargetMode="External"/><Relationship Id="rId15141" Type="http://schemas.openxmlformats.org/officeDocument/2006/relationships/hyperlink" Target="https://www.dontdiewondering.com/the-kardashians-florist-shares-tips-for-decorating-your-christmas-tree/" TargetMode="External"/><Relationship Id="rId1329" Type="http://schemas.openxmlformats.org/officeDocument/2006/relationships/hyperlink" Target="https://www.simpleshowing.com/" TargetMode="External"/><Relationship Id="rId4899" Type="http://schemas.openxmlformats.org/officeDocument/2006/relationships/hyperlink" Target="https://blog.homesandland.com/10-best-real-estate-marketing-tools-for-agents" TargetMode="External"/><Relationship Id="rId5200" Type="http://schemas.openxmlformats.org/officeDocument/2006/relationships/hyperlink" Target="https://www.simpleshowing.com/" TargetMode="External"/><Relationship Id="rId8770" Type="http://schemas.openxmlformats.org/officeDocument/2006/relationships/hyperlink" Target="https://coststatus.com/financial-lifelines-what-to-do-when-you-need-financial-assistance-in-a-hurry/" TargetMode="External"/><Relationship Id="rId9821" Type="http://schemas.openxmlformats.org/officeDocument/2006/relationships/hyperlink" Target="https://engineering.jhu.edu/outreach/educators/" TargetMode="External"/><Relationship Id="rId11751" Type="http://schemas.openxmlformats.org/officeDocument/2006/relationships/hyperlink" Target="https://www.hamiltoninternationalestates.com/" TargetMode="External"/><Relationship Id="rId12802" Type="http://schemas.openxmlformats.org/officeDocument/2006/relationships/hyperlink" Target="https://propertypressonline.co.uk/" TargetMode="External"/><Relationship Id="rId35" Type="http://schemas.openxmlformats.org/officeDocument/2006/relationships/hyperlink" Target="http://www.fireplaceremotecontrols.com/" TargetMode="External"/><Relationship Id="rId1810" Type="http://schemas.openxmlformats.org/officeDocument/2006/relationships/hyperlink" Target="https://wolfriverelectric.com/" TargetMode="External"/><Relationship Id="rId7372" Type="http://schemas.openxmlformats.org/officeDocument/2006/relationships/hyperlink" Target="https://www.castlegroup.com/castle-group-partners-with-taylor-morrison-for-extreme-makeover-home-edition/" TargetMode="External"/><Relationship Id="rId8423" Type="http://schemas.openxmlformats.org/officeDocument/2006/relationships/hyperlink" Target="https://www.pinoyeplans.com/" TargetMode="External"/><Relationship Id="rId10353" Type="http://schemas.openxmlformats.org/officeDocument/2006/relationships/hyperlink" Target="https://www.pinoyeplans.com/" TargetMode="External"/><Relationship Id="rId11404" Type="http://schemas.openxmlformats.org/officeDocument/2006/relationships/hyperlink" Target="https://ritzherald.com/yogi-bears-jellystone-park-camp-resort-lot-sales-celebrates-50-years/" TargetMode="External"/><Relationship Id="rId3982" Type="http://schemas.openxmlformats.org/officeDocument/2006/relationships/hyperlink" Target="https://www.smartsolarenergyco.com/" TargetMode="External"/><Relationship Id="rId7025" Type="http://schemas.openxmlformats.org/officeDocument/2006/relationships/hyperlink" Target="https://www.taylormorrison.com/" TargetMode="External"/><Relationship Id="rId10006" Type="http://schemas.openxmlformats.org/officeDocument/2006/relationships/hyperlink" Target="https://www.teachengineering.org/" TargetMode="External"/><Relationship Id="rId13576" Type="http://schemas.openxmlformats.org/officeDocument/2006/relationships/hyperlink" Target="https://myinteriorpalace.com/" TargetMode="External"/><Relationship Id="rId14974" Type="http://schemas.openxmlformats.org/officeDocument/2006/relationships/hyperlink" Target="https://myinteriorpalace.com/" TargetMode="External"/><Relationship Id="rId2584" Type="http://schemas.openxmlformats.org/officeDocument/2006/relationships/hyperlink" Target="https://www.pulte.com/" TargetMode="External"/><Relationship Id="rId3635" Type="http://schemas.openxmlformats.org/officeDocument/2006/relationships/hyperlink" Target="https://www.capecoralbreeze.com/news/business/2019/03/15/real-estate-briefs/" TargetMode="External"/><Relationship Id="rId9197" Type="http://schemas.openxmlformats.org/officeDocument/2006/relationships/hyperlink" Target="https://www.thedenverhousewife.com/2026/01/simple-diy-projects-colorado-homeowners-can-use-to-increase-property-value/" TargetMode="External"/><Relationship Id="rId12178" Type="http://schemas.openxmlformats.org/officeDocument/2006/relationships/hyperlink" Target="https://www.bobvila.com/" TargetMode="External"/><Relationship Id="rId13229" Type="http://schemas.openxmlformats.org/officeDocument/2006/relationships/hyperlink" Target="https://www.pureinvestor.co.uk/" TargetMode="External"/><Relationship Id="rId14627" Type="http://schemas.openxmlformats.org/officeDocument/2006/relationships/hyperlink" Target="https://www.easygaragedoorrepair.com/" TargetMode="External"/><Relationship Id="rId556" Type="http://schemas.openxmlformats.org/officeDocument/2006/relationships/hyperlink" Target="https://www.the-travel-bunny.com/outer-banks-vacation-tips/" TargetMode="External"/><Relationship Id="rId1186" Type="http://schemas.openxmlformats.org/officeDocument/2006/relationships/hyperlink" Target="https://happy2movelondon.co.uk/r" TargetMode="External"/><Relationship Id="rId2237" Type="http://schemas.openxmlformats.org/officeDocument/2006/relationships/hyperlink" Target="http://pieteikumi.lff.lv/?p=371474116" TargetMode="External"/><Relationship Id="rId209" Type="http://schemas.openxmlformats.org/officeDocument/2006/relationships/hyperlink" Target="http://igms.com/" TargetMode="External"/><Relationship Id="rId6858" Type="http://schemas.openxmlformats.org/officeDocument/2006/relationships/hyperlink" Target="https://www.simpleshowing.com/" TargetMode="External"/><Relationship Id="rId7909" Type="http://schemas.openxmlformats.org/officeDocument/2006/relationships/hyperlink" Target="https://www.intelligentliving.co/manage-sewage-without-harming-environment/" TargetMode="External"/><Relationship Id="rId8280" Type="http://schemas.openxmlformats.org/officeDocument/2006/relationships/hyperlink" Target="https://www.zestlighting.com.au/" TargetMode="External"/><Relationship Id="rId13710" Type="http://schemas.openxmlformats.org/officeDocument/2006/relationships/hyperlink" Target="https://blockbath71.pythonanywhere.com/how-to-tell-if-a-ring-is-real.html" TargetMode="External"/><Relationship Id="rId9331" Type="http://schemas.openxmlformats.org/officeDocument/2006/relationships/hyperlink" Target="https://www.teachengineering.org/" TargetMode="External"/><Relationship Id="rId11261" Type="http://schemas.openxmlformats.org/officeDocument/2006/relationships/hyperlink" Target="https://www.techporn.ph/understanding-environmental-impact-tech-devices-flooding/" TargetMode="External"/><Relationship Id="rId12312" Type="http://schemas.openxmlformats.org/officeDocument/2006/relationships/hyperlink" Target="https://propertypressonline.co.uk/" TargetMode="External"/><Relationship Id="rId15882" Type="http://schemas.openxmlformats.org/officeDocument/2006/relationships/hyperlink" Target="https://www.imei.info/th/news/why-ipsec-still-matters-zero-trust-era/" TargetMode="External"/><Relationship Id="rId1320" Type="http://schemas.openxmlformats.org/officeDocument/2006/relationships/hyperlink" Target="https://www.simpleshowing.com/" TargetMode="External"/><Relationship Id="rId4890" Type="http://schemas.openxmlformats.org/officeDocument/2006/relationships/hyperlink" Target="https://www.simpleshowing.com/" TargetMode="External"/><Relationship Id="rId5941" Type="http://schemas.openxmlformats.org/officeDocument/2006/relationships/hyperlink" Target="https://www.intelligenthq.com/asserting-your-legal-protections-with-creditors/" TargetMode="External"/><Relationship Id="rId14484" Type="http://schemas.openxmlformats.org/officeDocument/2006/relationships/hyperlink" Target="https://enthrallinggumption.com/glenview-garage-door-specialists-a-complete-guide-to-expert-garage-door-services/" TargetMode="External"/><Relationship Id="rId15535" Type="http://schemas.openxmlformats.org/officeDocument/2006/relationships/hyperlink" Target="https://myinteriorpalace.com/" TargetMode="External"/><Relationship Id="rId3492" Type="http://schemas.openxmlformats.org/officeDocument/2006/relationships/hyperlink" Target="https://www.simpleshowing.com/" TargetMode="External"/><Relationship Id="rId4543" Type="http://schemas.openxmlformats.org/officeDocument/2006/relationships/hyperlink" Target="https://www.simpleshowing.com/" TargetMode="External"/><Relationship Id="rId13086" Type="http://schemas.openxmlformats.org/officeDocument/2006/relationships/hyperlink" Target="https://www.zabasearch.com/phone/6027958094/" TargetMode="External"/><Relationship Id="rId14137" Type="http://schemas.openxmlformats.org/officeDocument/2006/relationships/hyperlink" Target="https://myinteriorpalace.com/" TargetMode="External"/><Relationship Id="rId2094" Type="http://schemas.openxmlformats.org/officeDocument/2006/relationships/hyperlink" Target="https://www.simpleshowing.com/" TargetMode="External"/><Relationship Id="rId3145" Type="http://schemas.openxmlformats.org/officeDocument/2006/relationships/hyperlink" Target="https://www.pulte.com/" TargetMode="External"/><Relationship Id="rId7766" Type="http://schemas.openxmlformats.org/officeDocument/2006/relationships/hyperlink" Target="https://www.eastwoodhomes.com/blog/lake-lanier-homes-cambridge" TargetMode="External"/><Relationship Id="rId8817" Type="http://schemas.openxmlformats.org/officeDocument/2006/relationships/hyperlink" Target="https://www.pinoyeplans.com/" TargetMode="External"/><Relationship Id="rId6368" Type="http://schemas.openxmlformats.org/officeDocument/2006/relationships/hyperlink" Target="https://www.simpleshowing.com/" TargetMode="External"/><Relationship Id="rId7419" Type="http://schemas.openxmlformats.org/officeDocument/2006/relationships/hyperlink" Target="https://meyka.com/stock/TMHC/" TargetMode="External"/><Relationship Id="rId10747" Type="http://schemas.openxmlformats.org/officeDocument/2006/relationships/hyperlink" Target="https://www.teachengineering.org/" TargetMode="External"/><Relationship Id="rId13220" Type="http://schemas.openxmlformats.org/officeDocument/2006/relationships/hyperlink" Target="https://www.pureinvestor.co.uk/" TargetMode="External"/><Relationship Id="rId200" Type="http://schemas.openxmlformats.org/officeDocument/2006/relationships/hyperlink" Target="http://lethub.co/" TargetMode="External"/><Relationship Id="rId2978" Type="http://schemas.openxmlformats.org/officeDocument/2006/relationships/hyperlink" Target="https://www.windermere.com/listing/WA/Shoreline/14598-Westminster-Way-N-204-98133/199894667" TargetMode="External"/><Relationship Id="rId7900" Type="http://schemas.openxmlformats.org/officeDocument/2006/relationships/hyperlink" Target="https://shiptons.ca/humidifier-wood-floor-protection-keep-floors-safe/" TargetMode="External"/><Relationship Id="rId15392" Type="http://schemas.openxmlformats.org/officeDocument/2006/relationships/hyperlink" Target="https://www.luxdeco.com/" TargetMode="External"/><Relationship Id="rId5451" Type="http://schemas.openxmlformats.org/officeDocument/2006/relationships/hyperlink" Target="https://www.superside.com/blog/legacy-vs-challengers" TargetMode="External"/><Relationship Id="rId6502" Type="http://schemas.openxmlformats.org/officeDocument/2006/relationships/hyperlink" Target="https://michaelhelwiginteriors.com/2017-blog/2024/9/5/a-guide-to-interior-additions-that-will-complete-your-dream-luxury-home" TargetMode="External"/><Relationship Id="rId15045" Type="http://schemas.openxmlformats.org/officeDocument/2006/relationships/hyperlink" Target="https://www.jancisrobinson.com/articles/where-to-buy-my-glassware" TargetMode="External"/><Relationship Id="rId4053" Type="http://schemas.openxmlformats.org/officeDocument/2006/relationships/hyperlink" Target="https://www.simpleshowing.com/" TargetMode="External"/><Relationship Id="rId5104" Type="http://schemas.openxmlformats.org/officeDocument/2006/relationships/hyperlink" Target="https://www.simpleshowing.com/" TargetMode="External"/><Relationship Id="rId8674" Type="http://schemas.openxmlformats.org/officeDocument/2006/relationships/hyperlink" Target="https://www.countrylife.co.uk/interiors/the-pair-drove-to-belgium-in-their-mini-and-returned-with-the-chair-wrapped-in-duvets-the-mother-and-daughter-duo-that-brought-a-converted-cotswolds-barn-back-to-life" TargetMode="External"/><Relationship Id="rId9725" Type="http://schemas.openxmlformats.org/officeDocument/2006/relationships/hyperlink" Target="https://susnano.wisc.edu/nanoathome/" TargetMode="External"/><Relationship Id="rId11655" Type="http://schemas.openxmlformats.org/officeDocument/2006/relationships/hyperlink" Target="https://www.hamiltoninternationalestates.com/" TargetMode="External"/><Relationship Id="rId1714" Type="http://schemas.openxmlformats.org/officeDocument/2006/relationships/hyperlink" Target="https://wolfriverelectric.com/" TargetMode="External"/><Relationship Id="rId7276" Type="http://schemas.openxmlformats.org/officeDocument/2006/relationships/hyperlink" Target="https://ir.tesla.com/press-release/solarcity-and-taylor-morrison-offer-solar-power-hundreds-homes" TargetMode="External"/><Relationship Id="rId8327" Type="http://schemas.openxmlformats.org/officeDocument/2006/relationships/hyperlink" Target="https://www.pinoyeplans.com/" TargetMode="External"/><Relationship Id="rId10257" Type="http://schemas.openxmlformats.org/officeDocument/2006/relationships/hyperlink" Target="https://www.pinoyeplans.com/" TargetMode="External"/><Relationship Id="rId11308" Type="http://schemas.openxmlformats.org/officeDocument/2006/relationships/hyperlink" Target="https://www.hamiltoninternationalestates.com/" TargetMode="External"/><Relationship Id="rId12706" Type="http://schemas.openxmlformats.org/officeDocument/2006/relationships/hyperlink" Target="https://propertypressonline.co.uk/" TargetMode="External"/><Relationship Id="rId14878" Type="http://schemas.openxmlformats.org/officeDocument/2006/relationships/hyperlink" Target="https://myinteriorpalace.com/" TargetMode="External"/><Relationship Id="rId15929" Type="http://schemas.openxmlformats.org/officeDocument/2006/relationships/hyperlink" Target="https://www.raynorkc.com/" TargetMode="External"/><Relationship Id="rId2488" Type="http://schemas.openxmlformats.org/officeDocument/2006/relationships/hyperlink" Target="https://www.pulte.com/" TargetMode="External"/><Relationship Id="rId3886" Type="http://schemas.openxmlformats.org/officeDocument/2006/relationships/hyperlink" Target="https://thecoverguy.com/" TargetMode="External"/><Relationship Id="rId4937" Type="http://schemas.openxmlformats.org/officeDocument/2006/relationships/hyperlink" Target="https://www.creatopy.com/blog/real-estate-ads/" TargetMode="External"/><Relationship Id="rId3539" Type="http://schemas.openxmlformats.org/officeDocument/2006/relationships/hyperlink" Target="https://www.wcnc.com/article/money/markets/real-estate/development-hundreds-homes-fort-mill-controversy/275-3c4719cf-43bd-4d16-a336-9f49e864435f" TargetMode="External"/><Relationship Id="rId6012" Type="http://schemas.openxmlformats.org/officeDocument/2006/relationships/hyperlink" Target="https://www.simpleshowing.com/" TargetMode="External"/><Relationship Id="rId7410" Type="http://schemas.openxmlformats.org/officeDocument/2006/relationships/hyperlink" Target="https://www.taylormorrison.com/" TargetMode="External"/><Relationship Id="rId13961" Type="http://schemas.openxmlformats.org/officeDocument/2006/relationships/hyperlink" Target="https://faheyroofingcontractors.com/" TargetMode="External"/><Relationship Id="rId9582" Type="http://schemas.openxmlformats.org/officeDocument/2006/relationships/hyperlink" Target="https://www.pinoyeplans.com/" TargetMode="External"/><Relationship Id="rId12563" Type="http://schemas.openxmlformats.org/officeDocument/2006/relationships/hyperlink" Target="https://www.shma.co.uk/" TargetMode="External"/><Relationship Id="rId13614" Type="http://schemas.openxmlformats.org/officeDocument/2006/relationships/hyperlink" Target="https://impactwealth.org/how-to-recognize-the-early-signs-of-cognitive-decline-in-loved-ones/" TargetMode="External"/><Relationship Id="rId941" Type="http://schemas.openxmlformats.org/officeDocument/2006/relationships/hyperlink" Target="https://www.pinuphouses.com/how-to-maintain-and-upgrade-your-home-expert-tips-andeffective-practices-to-maximize-living-space/" TargetMode="External"/><Relationship Id="rId1571" Type="http://schemas.openxmlformats.org/officeDocument/2006/relationships/hyperlink" Target="https://wpst.com/peddlers-village-best-shopping-center/" TargetMode="External"/><Relationship Id="rId2622" Type="http://schemas.openxmlformats.org/officeDocument/2006/relationships/hyperlink" Target="https://www.simpleshowing.com/" TargetMode="External"/><Relationship Id="rId8184" Type="http://schemas.openxmlformats.org/officeDocument/2006/relationships/hyperlink" Target="https://smaarchviz.com/" TargetMode="External"/><Relationship Id="rId9235" Type="http://schemas.openxmlformats.org/officeDocument/2006/relationships/hyperlink" Target="https://capitolductcleaning.com/" TargetMode="External"/><Relationship Id="rId11165" Type="http://schemas.openxmlformats.org/officeDocument/2006/relationships/hyperlink" Target="https://hrnews.co.uk/workplace-water-damage-a-restoration-guide/" TargetMode="External"/><Relationship Id="rId12216" Type="http://schemas.openxmlformats.org/officeDocument/2006/relationships/hyperlink" Target="https://propertypressonline.co.uk/" TargetMode="External"/><Relationship Id="rId15786" Type="http://schemas.openxmlformats.org/officeDocument/2006/relationships/hyperlink" Target="https://www.e-architect.com/australia/benefits-of-timber-ceilings" TargetMode="External"/><Relationship Id="rId1224" Type="http://schemas.openxmlformats.org/officeDocument/2006/relationships/hyperlink" Target="https://www.simpleshowing.com/" TargetMode="External"/><Relationship Id="rId4794" Type="http://schemas.openxmlformats.org/officeDocument/2006/relationships/hyperlink" Target="https://www.wrdw.com/2024/05/27/high-school-seniors-can-now-get-real-estate-license-free-this-state/" TargetMode="External"/><Relationship Id="rId5845" Type="http://schemas.openxmlformats.org/officeDocument/2006/relationships/hyperlink" Target="https://softcircles.com/blog/most-important-facts-to-know-business-formation" TargetMode="External"/><Relationship Id="rId14388" Type="http://schemas.openxmlformats.org/officeDocument/2006/relationships/hyperlink" Target="https://gf5obk.zombeek.cz/" TargetMode="External"/><Relationship Id="rId15439" Type="http://schemas.openxmlformats.org/officeDocument/2006/relationships/hyperlink" Target="https://myinteriorpalace.com/" TargetMode="External"/><Relationship Id="rId3396" Type="http://schemas.openxmlformats.org/officeDocument/2006/relationships/hyperlink" Target="https://www.simpleshowing.com/" TargetMode="External"/><Relationship Id="rId4447" Type="http://schemas.openxmlformats.org/officeDocument/2006/relationships/hyperlink" Target="https://www.simpleshowing.com/" TargetMode="External"/><Relationship Id="rId3049" Type="http://schemas.openxmlformats.org/officeDocument/2006/relationships/hyperlink" Target="https://www.pulte.com/" TargetMode="External"/><Relationship Id="rId10998" Type="http://schemas.openxmlformats.org/officeDocument/2006/relationships/hyperlink" Target="https://www.pinoyeplans.com/" TargetMode="External"/><Relationship Id="rId15920" Type="http://schemas.openxmlformats.org/officeDocument/2006/relationships/hyperlink" Target="https://www.raynorkc.com/" TargetMode="External"/><Relationship Id="rId9092" Type="http://schemas.openxmlformats.org/officeDocument/2006/relationships/hyperlink" Target="https://hydrogenexec.com/accurate-cost-forecasts-for-smarter-project/" TargetMode="External"/><Relationship Id="rId13471" Type="http://schemas.openxmlformats.org/officeDocument/2006/relationships/hyperlink" Target="https://myinteriorpalace.com/" TargetMode="External"/><Relationship Id="rId14522" Type="http://schemas.openxmlformats.org/officeDocument/2006/relationships/hyperlink" Target="https://www.easygaragedoorrepair.com/" TargetMode="External"/><Relationship Id="rId1081" Type="http://schemas.openxmlformats.org/officeDocument/2006/relationships/hyperlink" Target="https://www.matrixbasements.com/" TargetMode="External"/><Relationship Id="rId3530" Type="http://schemas.openxmlformats.org/officeDocument/2006/relationships/hyperlink" Target="https://www.the-american-interest.com/2012/03/10/beyond-blue-7-from-levittown-to-superburb/" TargetMode="External"/><Relationship Id="rId12073" Type="http://schemas.openxmlformats.org/officeDocument/2006/relationships/hyperlink" Target="https://www.bobvila.com/" TargetMode="External"/><Relationship Id="rId13124" Type="http://schemas.openxmlformats.org/officeDocument/2006/relationships/hyperlink" Target="https://www.shma.co.uk/" TargetMode="External"/><Relationship Id="rId451" Type="http://schemas.openxmlformats.org/officeDocument/2006/relationships/hyperlink" Target="https://www.coherentmarketinsights.com/blog/travelling-importance-and-benefits-in-human-life-144" TargetMode="External"/><Relationship Id="rId2132" Type="http://schemas.openxmlformats.org/officeDocument/2006/relationships/hyperlink" Target="https://www.affluense.ai/profile/mark-spain-mark-spain-real-estate-5c9771" TargetMode="External"/><Relationship Id="rId6753" Type="http://schemas.openxmlformats.org/officeDocument/2006/relationships/hyperlink" Target="https://www.simpleshowing.com/" TargetMode="External"/><Relationship Id="rId7804" Type="http://schemas.openxmlformats.org/officeDocument/2006/relationships/hyperlink" Target="https://theprovidencegroup.com/blog/new-homes-for-sale-in-buford-ga-discover-millcroft/" TargetMode="External"/><Relationship Id="rId15296" Type="http://schemas.openxmlformats.org/officeDocument/2006/relationships/hyperlink" Target="https://www.luxdeco.com/" TargetMode="External"/><Relationship Id="rId104" Type="http://schemas.openxmlformats.org/officeDocument/2006/relationships/hyperlink" Target="https://www.reporterherald.com/" TargetMode="External"/><Relationship Id="rId5355" Type="http://schemas.openxmlformats.org/officeDocument/2006/relationships/hyperlink" Target="https://bleumag.com/lifestyle/easy-ways-save-for-christmas/" TargetMode="External"/><Relationship Id="rId6406" Type="http://schemas.openxmlformats.org/officeDocument/2006/relationships/hyperlink" Target="https://www.simpleshowing.com/" TargetMode="External"/><Relationship Id="rId9976" Type="http://schemas.openxmlformats.org/officeDocument/2006/relationships/hyperlink" Target="https://www.teachengineering.org/" TargetMode="External"/><Relationship Id="rId5008" Type="http://schemas.openxmlformats.org/officeDocument/2006/relationships/hyperlink" Target="https://www.simpleshowing.com/" TargetMode="External"/><Relationship Id="rId8578" Type="http://schemas.openxmlformats.org/officeDocument/2006/relationships/hyperlink" Target="https://feedback.challonge.com/forums/44455-feature-requests/suggestions/48815828-3d-architectural-animation-services" TargetMode="External"/><Relationship Id="rId9629" Type="http://schemas.openxmlformats.org/officeDocument/2006/relationships/hyperlink" Target="https://discovere.org/engineering-activities/build-an-earthquake-resistant-structure/" TargetMode="External"/><Relationship Id="rId12957" Type="http://schemas.openxmlformats.org/officeDocument/2006/relationships/hyperlink" Target="https://www.huffingtonpost.co.uk/2013/11/22/drugs-parliament_n_4309977.html" TargetMode="External"/><Relationship Id="rId1965" Type="http://schemas.openxmlformats.org/officeDocument/2006/relationships/hyperlink" Target="https://www.simpleshowing.com/" TargetMode="External"/><Relationship Id="rId11559" Type="http://schemas.openxmlformats.org/officeDocument/2006/relationships/hyperlink" Target="https://www.hamiltoninternationalestates.com/" TargetMode="External"/><Relationship Id="rId14032" Type="http://schemas.openxmlformats.org/officeDocument/2006/relationships/hyperlink" Target="https://myinteriorpalace.com/" TargetMode="External"/><Relationship Id="rId15430" Type="http://schemas.openxmlformats.org/officeDocument/2006/relationships/hyperlink" Target="https://myinteriorpalace.com/" TargetMode="External"/><Relationship Id="rId1618" Type="http://schemas.openxmlformats.org/officeDocument/2006/relationships/hyperlink" Target="https://wolfriverelectric.com/" TargetMode="External"/><Relationship Id="rId3040" Type="http://schemas.openxmlformats.org/officeDocument/2006/relationships/hyperlink" Target="https://www.pulte.com/" TargetMode="External"/><Relationship Id="rId7661" Type="http://schemas.openxmlformats.org/officeDocument/2006/relationships/hyperlink" Target="https://www.taylormorrison.com/" TargetMode="External"/><Relationship Id="rId8712" Type="http://schemas.openxmlformats.org/officeDocument/2006/relationships/hyperlink" Target="https://lubelska.co.uk/" TargetMode="External"/><Relationship Id="rId10642" Type="http://schemas.openxmlformats.org/officeDocument/2006/relationships/hyperlink" Target="https://www.teachengineering.org/" TargetMode="External"/><Relationship Id="rId6263" Type="http://schemas.openxmlformats.org/officeDocument/2006/relationships/hyperlink" Target="https://www.moneytalksnews.com/slideshows/what-is-debt-settlement-and-how-does-it-work/" TargetMode="External"/><Relationship Id="rId7314" Type="http://schemas.openxmlformats.org/officeDocument/2006/relationships/hyperlink" Target="https://www.simpleshowing.com/" TargetMode="External"/><Relationship Id="rId13865" Type="http://schemas.openxmlformats.org/officeDocument/2006/relationships/hyperlink" Target="https://embeltonflooring.com/" TargetMode="External"/><Relationship Id="rId2873" Type="http://schemas.openxmlformats.org/officeDocument/2006/relationships/hyperlink" Target="https://candysdirt.com/2021/04/18/whats-developing-mckinneys-1376-home-community-new-builds-in-corinth-allen-richardson/" TargetMode="External"/><Relationship Id="rId3924" Type="http://schemas.openxmlformats.org/officeDocument/2006/relationships/hyperlink" Target="https://www.simpleshowing.com/" TargetMode="External"/><Relationship Id="rId9486" Type="http://schemas.openxmlformats.org/officeDocument/2006/relationships/hyperlink" Target="https://www.pinoyeplans.com/" TargetMode="External"/><Relationship Id="rId12467" Type="http://schemas.openxmlformats.org/officeDocument/2006/relationships/hyperlink" Target="https://www.thebubble.org.uk/current-affairs/student-life/rising-rents-a-cause-for-concern-in-durham/" TargetMode="External"/><Relationship Id="rId13518" Type="http://schemas.openxmlformats.org/officeDocument/2006/relationships/hyperlink" Target="https://famousparenting.com/6-reasons-why-professional-removal-services-enhance-home-life/" TargetMode="External"/><Relationship Id="rId14916" Type="http://schemas.openxmlformats.org/officeDocument/2006/relationships/hyperlink" Target="https://www.truelocal.com.au/nsw/erina/fluid-plumbing-15254217" TargetMode="External"/><Relationship Id="rId845" Type="http://schemas.openxmlformats.org/officeDocument/2006/relationships/hyperlink" Target="https://www.inven.ai/company-lists/top-20-pest-control-companies-in-texas" TargetMode="External"/><Relationship Id="rId1475" Type="http://schemas.openxmlformats.org/officeDocument/2006/relationships/hyperlink" Target="https://location.com/categories/contractors/pa/aston/en/rite-window-of-aston-3661083489" TargetMode="External"/><Relationship Id="rId2526" Type="http://schemas.openxmlformats.org/officeDocument/2006/relationships/hyperlink" Target="https://www.simpleshowing.com/" TargetMode="External"/><Relationship Id="rId8088" Type="http://schemas.openxmlformats.org/officeDocument/2006/relationships/hyperlink" Target="https://whiteglovemoving.us/" TargetMode="External"/><Relationship Id="rId9139" Type="http://schemas.openxmlformats.org/officeDocument/2006/relationships/hyperlink" Target="https://nycestimating.us/" TargetMode="External"/><Relationship Id="rId11069" Type="http://schemas.openxmlformats.org/officeDocument/2006/relationships/hyperlink" Target="https://spacedge.nss.org/course/view.php?id=293&amp;lang=es" TargetMode="External"/><Relationship Id="rId1128" Type="http://schemas.openxmlformats.org/officeDocument/2006/relationships/hyperlink" Target="https://www.simpleshowing.com/" TargetMode="External"/><Relationship Id="rId4698" Type="http://schemas.openxmlformats.org/officeDocument/2006/relationships/hyperlink" Target="https://www.tnk12.gov/commerce/news/2025/4/21/tn-free-real-estate-licensing-program-for-qualifying-high-school-seniors-begins-accepting-applications-starting-april-21.html" TargetMode="External"/><Relationship Id="rId5749" Type="http://schemas.openxmlformats.org/officeDocument/2006/relationships/hyperlink" Target="https://www.talkehr.com/post/improving-financial-data-analytics-for-predictions-and-decision-making" TargetMode="External"/><Relationship Id="rId7171" Type="http://schemas.openxmlformats.org/officeDocument/2006/relationships/hyperlink" Target="https://www.simpleshowing.com/" TargetMode="External"/><Relationship Id="rId8222" Type="http://schemas.openxmlformats.org/officeDocument/2006/relationships/hyperlink" Target="https://www.pinoyeplans.com/" TargetMode="External"/><Relationship Id="rId9620" Type="http://schemas.openxmlformats.org/officeDocument/2006/relationships/hyperlink" Target="https://www.simplyspecialed.com/incorporating-stem-in-special-education-hands-on-ideas-for-all/" TargetMode="External"/><Relationship Id="rId11550" Type="http://schemas.openxmlformats.org/officeDocument/2006/relationships/hyperlink" Target="https://www.hamiltoninternationalestates.com/" TargetMode="External"/><Relationship Id="rId12601" Type="http://schemas.openxmlformats.org/officeDocument/2006/relationships/hyperlink" Target="https://propertypressonline.co.uk/" TargetMode="External"/><Relationship Id="rId10152" Type="http://schemas.openxmlformats.org/officeDocument/2006/relationships/hyperlink" Target="https://www.pinoyeplans.com/" TargetMode="External"/><Relationship Id="rId11203" Type="http://schemas.openxmlformats.org/officeDocument/2006/relationships/hyperlink" Target="https://www.waterdamagespecialist.com.au/" TargetMode="External"/><Relationship Id="rId14773" Type="http://schemas.openxmlformats.org/officeDocument/2006/relationships/hyperlink" Target="https://myinteriorpalace.com/" TargetMode="External"/><Relationship Id="rId15824" Type="http://schemas.openxmlformats.org/officeDocument/2006/relationships/hyperlink" Target="https://www.modinex.com.au/" TargetMode="External"/><Relationship Id="rId3781" Type="http://schemas.openxmlformats.org/officeDocument/2006/relationships/hyperlink" Target="https://thecoverguy.com/" TargetMode="External"/><Relationship Id="rId4832" Type="http://schemas.openxmlformats.org/officeDocument/2006/relationships/hyperlink" Target="https://www.kapre.com/" TargetMode="External"/><Relationship Id="rId13375" Type="http://schemas.openxmlformats.org/officeDocument/2006/relationships/hyperlink" Target="https://myinteriorpalace.com/" TargetMode="External"/><Relationship Id="rId14426" Type="http://schemas.openxmlformats.org/officeDocument/2006/relationships/hyperlink" Target="https://milehighhottub.com/" TargetMode="External"/><Relationship Id="rId2383" Type="http://schemas.openxmlformats.org/officeDocument/2006/relationships/hyperlink" Target="https://www.pulte.com/" TargetMode="External"/><Relationship Id="rId3434" Type="http://schemas.openxmlformats.org/officeDocument/2006/relationships/hyperlink" Target="https://www.ourmidland.com/news/article/Pulte-Beats-Forecasts-for-Quarter-Year-7162896.php" TargetMode="External"/><Relationship Id="rId13028" Type="http://schemas.openxmlformats.org/officeDocument/2006/relationships/hyperlink" Target="https://www.shma.co.uk/" TargetMode="External"/><Relationship Id="rId355" Type="http://schemas.openxmlformats.org/officeDocument/2006/relationships/hyperlink" Target="https://republicmoving.com/blog/virginia-beach-to-san-diego-movers/?utm_source=direct&amp;utm_medium=direct&amp;utm_campaign=auto" TargetMode="External"/><Relationship Id="rId2036" Type="http://schemas.openxmlformats.org/officeDocument/2006/relationships/hyperlink" Target="https://www.build-review.com/top-emerging-dallas-neighborhoods-for-homebuyers/" TargetMode="External"/><Relationship Id="rId6657" Type="http://schemas.openxmlformats.org/officeDocument/2006/relationships/hyperlink" Target="https://piktochart.com/blog/creative-infographics/" TargetMode="External"/><Relationship Id="rId7708" Type="http://schemas.openxmlformats.org/officeDocument/2006/relationships/hyperlink" Target="https://www.simpleshowing.com/" TargetMode="External"/><Relationship Id="rId5259" Type="http://schemas.openxmlformats.org/officeDocument/2006/relationships/hyperlink" Target="https://yourgpt.ai/blog/general/impact-of-first-30-seconds-in-customer-service" TargetMode="External"/><Relationship Id="rId9130" Type="http://schemas.openxmlformats.org/officeDocument/2006/relationships/hyperlink" Target="https://nycestimating.us/" TargetMode="External"/><Relationship Id="rId11060" Type="http://schemas.openxmlformats.org/officeDocument/2006/relationships/hyperlink" Target="http://www.crafters-choice.com/handmade101/learn-to-make-articles/chemistry-of-bath-fizzies-and-bath-bombs.aspx" TargetMode="External"/><Relationship Id="rId12111" Type="http://schemas.openxmlformats.org/officeDocument/2006/relationships/hyperlink" Target="https://www.hamiltoninternationalestates.com/" TargetMode="External"/><Relationship Id="rId15681" Type="http://schemas.openxmlformats.org/officeDocument/2006/relationships/hyperlink" Target="https://www.flexoffers.com/affiliate-programs/luxdeco-ltd-affiliate-program/" TargetMode="External"/><Relationship Id="rId1869" Type="http://schemas.openxmlformats.org/officeDocument/2006/relationships/hyperlink" Target="https://www.simpleshowing.com/" TargetMode="External"/><Relationship Id="rId3291" Type="http://schemas.openxmlformats.org/officeDocument/2006/relationships/hyperlink" Target="https://www.simpleshowing.com/" TargetMode="External"/><Relationship Id="rId5740" Type="http://schemas.openxmlformats.org/officeDocument/2006/relationships/hyperlink" Target="https://www.simpleshowing.com/" TargetMode="External"/><Relationship Id="rId14283" Type="http://schemas.openxmlformats.org/officeDocument/2006/relationships/hyperlink" Target="https://www.jalopnik.com/why-is-a-cockpit-called-such-a-funny-word-1846223474/" TargetMode="External"/><Relationship Id="rId15334" Type="http://schemas.openxmlformats.org/officeDocument/2006/relationships/hyperlink" Target="https://myinteriorpalace.com/" TargetMode="External"/><Relationship Id="rId4342" Type="http://schemas.openxmlformats.org/officeDocument/2006/relationships/hyperlink" Target="https://www.simpleshowing.com/" TargetMode="External"/><Relationship Id="rId8963" Type="http://schemas.openxmlformats.org/officeDocument/2006/relationships/hyperlink" Target="https://namescastle.com/the-rise-of-digital-estimators-technology-transforming-construction-costs/" TargetMode="External"/><Relationship Id="rId10893" Type="http://schemas.openxmlformats.org/officeDocument/2006/relationships/hyperlink" Target="https://www.pinoyeplans.com/" TargetMode="External"/><Relationship Id="rId11944" Type="http://schemas.openxmlformats.org/officeDocument/2006/relationships/hyperlink" Target="https://www.bobvila.com/" TargetMode="External"/><Relationship Id="rId7565" Type="http://schemas.openxmlformats.org/officeDocument/2006/relationships/hyperlink" Target="https://www.taylormorrison.com/" TargetMode="External"/><Relationship Id="rId8616" Type="http://schemas.openxmlformats.org/officeDocument/2006/relationships/hyperlink" Target="https://aucklandpremiumpainters.co.nz/" TargetMode="External"/><Relationship Id="rId10546" Type="http://schemas.openxmlformats.org/officeDocument/2006/relationships/hyperlink" Target="https://www.teachengineering.org/" TargetMode="External"/><Relationship Id="rId6167" Type="http://schemas.openxmlformats.org/officeDocument/2006/relationships/hyperlink" Target="https://codeless.io/fintech-content-marketing/" TargetMode="External"/><Relationship Id="rId7218" Type="http://schemas.openxmlformats.org/officeDocument/2006/relationships/hyperlink" Target="https://www.simpleshowing.com/" TargetMode="External"/><Relationship Id="rId2777" Type="http://schemas.openxmlformats.org/officeDocument/2006/relationships/hyperlink" Target="https://wdet.org/2019/04/19/nature-continues-to-disappear-in-canton/" TargetMode="External"/><Relationship Id="rId13769" Type="http://schemas.openxmlformats.org/officeDocument/2006/relationships/hyperlink" Target="https://anationofmoms.com/" TargetMode="External"/><Relationship Id="rId15191" Type="http://schemas.openxmlformats.org/officeDocument/2006/relationships/hyperlink" Target="https://www.luxdeco.com/" TargetMode="External"/><Relationship Id="rId16242" Type="http://schemas.openxmlformats.org/officeDocument/2006/relationships/hyperlink" Target="https://www.inkl.com/news/how-to-save-energy-at-home-31-expert-approved-tips-to-save-energy-money-and-the-planet" TargetMode="External"/><Relationship Id="rId749" Type="http://schemas.openxmlformats.org/officeDocument/2006/relationships/hyperlink" Target="https://www.simpleshowing.com/" TargetMode="External"/><Relationship Id="rId1379" Type="http://schemas.openxmlformats.org/officeDocument/2006/relationships/hyperlink" Target="https://www.spiffyspools.com/spiffy-speak/5-patio-door-curtain-ideas/" TargetMode="External"/><Relationship Id="rId3828" Type="http://schemas.openxmlformats.org/officeDocument/2006/relationships/hyperlink" Target="https://www.simpleshowing.com/" TargetMode="External"/><Relationship Id="rId5250" Type="http://schemas.openxmlformats.org/officeDocument/2006/relationships/hyperlink" Target="https://www.simpleshowing.com/" TargetMode="External"/><Relationship Id="rId6301" Type="http://schemas.openxmlformats.org/officeDocument/2006/relationships/hyperlink" Target="https://www.coursesforsuccess.com/blogs/news/why-your-behaviour-is-key-to-personal-finance-success" TargetMode="External"/><Relationship Id="rId9871" Type="http://schemas.openxmlformats.org/officeDocument/2006/relationships/hyperlink" Target="https://www.teachengineering.org/" TargetMode="External"/><Relationship Id="rId12852" Type="http://schemas.openxmlformats.org/officeDocument/2006/relationships/hyperlink" Target="https://next-tech.com/en/construction-news-roundup-july23/" TargetMode="External"/><Relationship Id="rId13903" Type="http://schemas.openxmlformats.org/officeDocument/2006/relationships/hyperlink" Target="https://myinteriorpalace.com/" TargetMode="External"/><Relationship Id="rId85" Type="http://schemas.openxmlformats.org/officeDocument/2006/relationships/hyperlink" Target="http://thedailymanchester.co.uk/" TargetMode="External"/><Relationship Id="rId1860" Type="http://schemas.openxmlformats.org/officeDocument/2006/relationships/hyperlink" Target="https://www.simpleshowing.com/" TargetMode="External"/><Relationship Id="rId2911" Type="http://schemas.openxmlformats.org/officeDocument/2006/relationships/hyperlink" Target="https://www.pulte.com/" TargetMode="External"/><Relationship Id="rId7075" Type="http://schemas.openxmlformats.org/officeDocument/2006/relationships/hyperlink" Target="https://www.simpleshowing.com/" TargetMode="External"/><Relationship Id="rId8473" Type="http://schemas.openxmlformats.org/officeDocument/2006/relationships/hyperlink" Target="https://nobserver.com/the-100-million-pitch-why-luxury-real-estate-relies-on-3d-architectural-visualization-services/" TargetMode="External"/><Relationship Id="rId9524" Type="http://schemas.openxmlformats.org/officeDocument/2006/relationships/hyperlink" Target="https://research.rice.edu/rstem/resources/teacher/classroom-resources" TargetMode="External"/><Relationship Id="rId11454" Type="http://schemas.openxmlformats.org/officeDocument/2006/relationships/hyperlink" Target="https://sellhousefast.uk/" TargetMode="External"/><Relationship Id="rId12505" Type="http://schemas.openxmlformats.org/officeDocument/2006/relationships/hyperlink" Target="https://propertypressonline.co.uk/" TargetMode="External"/><Relationship Id="rId1513" Type="http://schemas.openxmlformats.org/officeDocument/2006/relationships/hyperlink" Target="https://wolfriverelectric.com/" TargetMode="External"/><Relationship Id="rId8126" Type="http://schemas.openxmlformats.org/officeDocument/2006/relationships/hyperlink" Target="https://www.pinoyeplans.com/" TargetMode="External"/><Relationship Id="rId10056" Type="http://schemas.openxmlformats.org/officeDocument/2006/relationships/hyperlink" Target="https://www.pinoyeplans.com/" TargetMode="External"/><Relationship Id="rId11107" Type="http://schemas.openxmlformats.org/officeDocument/2006/relationships/hyperlink" Target="https://imagepainting.com/" TargetMode="External"/><Relationship Id="rId14677" Type="http://schemas.openxmlformats.org/officeDocument/2006/relationships/hyperlink" Target="https://myinteriorpalace.com/" TargetMode="External"/><Relationship Id="rId15728" Type="http://schemas.openxmlformats.org/officeDocument/2006/relationships/hyperlink" Target="https://www.modinex.com.au/" TargetMode="External"/><Relationship Id="rId3685" Type="http://schemas.openxmlformats.org/officeDocument/2006/relationships/hyperlink" Target="https://www.overheaddoors.com/" TargetMode="External"/><Relationship Id="rId4736" Type="http://schemas.openxmlformats.org/officeDocument/2006/relationships/hyperlink" Target="https://www.kapre.com/" TargetMode="External"/><Relationship Id="rId13279" Type="http://schemas.openxmlformats.org/officeDocument/2006/relationships/hyperlink" Target="https://propertypressonline.co.uk/" TargetMode="External"/><Relationship Id="rId2287" Type="http://schemas.openxmlformats.org/officeDocument/2006/relationships/hyperlink" Target="https://www.collectionforsyth.com/" TargetMode="External"/><Relationship Id="rId3338" Type="http://schemas.openxmlformats.org/officeDocument/2006/relationships/hyperlink" Target="https://www.michigansthumb.com/news/article/Pulte-Beats-Forecasts-for-Quarter-Year-7325167.php" TargetMode="External"/><Relationship Id="rId7959" Type="http://schemas.openxmlformats.org/officeDocument/2006/relationships/hyperlink" Target="https://distinctiveroofing.net/" TargetMode="External"/><Relationship Id="rId259" Type="http://schemas.openxmlformats.org/officeDocument/2006/relationships/hyperlink" Target="https://articles.avarchitectsbuild.com/why-you-should-visit-a-completed-custom-home" TargetMode="External"/><Relationship Id="rId9381" Type="http://schemas.openxmlformats.org/officeDocument/2006/relationships/hyperlink" Target="https://www.pinoyeplans.com/" TargetMode="External"/><Relationship Id="rId13760" Type="http://schemas.openxmlformats.org/officeDocument/2006/relationships/hyperlink" Target="https://anationofmoms.com/" TargetMode="External"/><Relationship Id="rId14811" Type="http://schemas.openxmlformats.org/officeDocument/2006/relationships/hyperlink" Target="https://rentalrealestate.com/blog/how-can-homeowners-prevent-common-garage-door-malfunctions/" TargetMode="External"/><Relationship Id="rId1370" Type="http://schemas.openxmlformats.org/officeDocument/2006/relationships/hyperlink" Target="https://www.motocms.com/blog/en/how-to-do-seo-for-real-estate-website-6-common-mistakes/" TargetMode="External"/><Relationship Id="rId9034" Type="http://schemas.openxmlformats.org/officeDocument/2006/relationships/hyperlink" Target="https://nycestimating.us/" TargetMode="External"/><Relationship Id="rId12362" Type="http://schemas.openxmlformats.org/officeDocument/2006/relationships/hyperlink" Target="https://www.nescol.ac.uk/college-services/support/accommodation/" TargetMode="External"/><Relationship Id="rId13413" Type="http://schemas.openxmlformats.org/officeDocument/2006/relationships/hyperlink" Target="https://www.urbansplatter.com/2026/01/why-early-roof-leak-detection-is-essential-for-protecting-your-home/" TargetMode="External"/><Relationship Id="rId740" Type="http://schemas.openxmlformats.org/officeDocument/2006/relationships/hyperlink" Target="https://www.simpleshowing.com/" TargetMode="External"/><Relationship Id="rId1023" Type="http://schemas.openxmlformats.org/officeDocument/2006/relationships/hyperlink" Target="https://www.simpleshowing.com/" TargetMode="External"/><Relationship Id="rId2421" Type="http://schemas.openxmlformats.org/officeDocument/2006/relationships/hyperlink" Target="https://www.simpleshowing.com/" TargetMode="External"/><Relationship Id="rId5991" Type="http://schemas.openxmlformats.org/officeDocument/2006/relationships/hyperlink" Target="https://www.mynewsgh.com/what-to-do-with-a-financially-irresponsible-child/" TargetMode="External"/><Relationship Id="rId12015" Type="http://schemas.openxmlformats.org/officeDocument/2006/relationships/hyperlink" Target="https://www.hamiltoninternationalestates.com/" TargetMode="External"/><Relationship Id="rId15585" Type="http://schemas.openxmlformats.org/officeDocument/2006/relationships/hyperlink" Target="https://www.luxuryhomemarketing.com/blog/mediocre-luxury-home-renovations-impress-clients-2017" TargetMode="External"/><Relationship Id="rId4593" Type="http://schemas.openxmlformats.org/officeDocument/2006/relationships/hyperlink" Target="https://thunder1320.com/tennessees-free-real-estate-licensing-program-for-qualifying-high-school-seniors-now-accepting-applications/" TargetMode="External"/><Relationship Id="rId5644" Type="http://schemas.openxmlformats.org/officeDocument/2006/relationships/hyperlink" Target="https://www.simpleshowing.com/" TargetMode="External"/><Relationship Id="rId14187" Type="http://schemas.openxmlformats.org/officeDocument/2006/relationships/hyperlink" Target="https://kauaiseatours.com/press/" TargetMode="External"/><Relationship Id="rId15238" Type="http://schemas.openxmlformats.org/officeDocument/2006/relationships/hyperlink" Target="https://myinteriorpalace.com/" TargetMode="External"/><Relationship Id="rId3195" Type="http://schemas.openxmlformats.org/officeDocument/2006/relationships/hyperlink" Target="https://www.simpleshowing.com/" TargetMode="External"/><Relationship Id="rId4246" Type="http://schemas.openxmlformats.org/officeDocument/2006/relationships/hyperlink" Target="https://www.simpleshowing.com/" TargetMode="External"/><Relationship Id="rId8867" Type="http://schemas.openxmlformats.org/officeDocument/2006/relationships/hyperlink" Target="https://raleighmag.com/2022/01/raleigh-like-a-local/" TargetMode="External"/><Relationship Id="rId9918" Type="http://schemas.openxmlformats.org/officeDocument/2006/relationships/hyperlink" Target="https://www.pinoyeplans.com/" TargetMode="External"/><Relationship Id="rId10797" Type="http://schemas.openxmlformats.org/officeDocument/2006/relationships/hyperlink" Target="https://www.pinoyeplans.com/" TargetMode="External"/><Relationship Id="rId7469" Type="http://schemas.openxmlformats.org/officeDocument/2006/relationships/hyperlink" Target="https://www.taylormorrison.com/" TargetMode="External"/><Relationship Id="rId11848" Type="http://schemas.openxmlformats.org/officeDocument/2006/relationships/hyperlink" Target="https://sellhousefast.uk/" TargetMode="External"/><Relationship Id="rId13270" Type="http://schemas.openxmlformats.org/officeDocument/2006/relationships/hyperlink" Target="https://propertypressonline.co.uk/" TargetMode="External"/><Relationship Id="rId14321" Type="http://schemas.openxmlformats.org/officeDocument/2006/relationships/hyperlink" Target="https://luxurylifestyle.com/" TargetMode="External"/><Relationship Id="rId1907" Type="http://schemas.openxmlformats.org/officeDocument/2006/relationships/hyperlink" Target="https://birdsandwings.com/learning-to-read-the-signs-what-timing-teaches-us-about-big-decisions/" TargetMode="External"/><Relationship Id="rId250" Type="http://schemas.openxmlformats.org/officeDocument/2006/relationships/hyperlink" Target="https://www.prialto.com/blog/real-estate-marketing-virtual-assistant" TargetMode="External"/><Relationship Id="rId7950" Type="http://schemas.openxmlformats.org/officeDocument/2006/relationships/hyperlink" Target="https://distinctiveroofing.net/" TargetMode="External"/><Relationship Id="rId10931" Type="http://schemas.openxmlformats.org/officeDocument/2006/relationships/hyperlink" Target="https://usborne.com/gb/quicklinks/quicklink/izzy-the-inventor-and-the-elf-inspectors" TargetMode="External"/><Relationship Id="rId15095" Type="http://schemas.openxmlformats.org/officeDocument/2006/relationships/hyperlink" Target="https://www.luxdeco.com/" TargetMode="External"/><Relationship Id="rId5154" Type="http://schemas.openxmlformats.org/officeDocument/2006/relationships/hyperlink" Target="https://www.simpleshowing.com/" TargetMode="External"/><Relationship Id="rId6552" Type="http://schemas.openxmlformats.org/officeDocument/2006/relationships/hyperlink" Target="https://www.simpleshowing.com/" TargetMode="External"/><Relationship Id="rId7603" Type="http://schemas.openxmlformats.org/officeDocument/2006/relationships/hyperlink" Target="https://www.simpleshowing.com/" TargetMode="External"/><Relationship Id="rId16146" Type="http://schemas.openxmlformats.org/officeDocument/2006/relationships/hyperlink" Target="https://ncca.co.uk/cleaning-advice/spring-clean-survey-the-results/" TargetMode="External"/><Relationship Id="rId6205" Type="http://schemas.openxmlformats.org/officeDocument/2006/relationships/hyperlink" Target="https://www.webpronews.com/how-to-pay-off-credit-card-debt/" TargetMode="External"/><Relationship Id="rId9775" Type="http://schemas.openxmlformats.org/officeDocument/2006/relationships/hyperlink" Target="https://www.teachengineering.org/" TargetMode="External"/><Relationship Id="rId12756" Type="http://schemas.openxmlformats.org/officeDocument/2006/relationships/hyperlink" Target="https://www.thecpc.ac.uk/services/suppliers/shakespeare-martineau-llp" TargetMode="External"/><Relationship Id="rId13807" Type="http://schemas.openxmlformats.org/officeDocument/2006/relationships/hyperlink" Target="https://myinteriorpalace.com/" TargetMode="External"/><Relationship Id="rId1764" Type="http://schemas.openxmlformats.org/officeDocument/2006/relationships/hyperlink" Target="https://www.simpleshowing.com/" TargetMode="External"/><Relationship Id="rId2815" Type="http://schemas.openxmlformats.org/officeDocument/2006/relationships/hyperlink" Target="https://www.pulte.com/" TargetMode="External"/><Relationship Id="rId8377" Type="http://schemas.openxmlformats.org/officeDocument/2006/relationships/hyperlink" Target="https://www.rawmags.com/expert-mold-removal-services-for-a-clean-healthy-home/" TargetMode="External"/><Relationship Id="rId9428" Type="http://schemas.openxmlformats.org/officeDocument/2006/relationships/hyperlink" Target="https://www.educationcorner.com/electricity-experiments-activities/" TargetMode="External"/><Relationship Id="rId11358" Type="http://schemas.openxmlformats.org/officeDocument/2006/relationships/hyperlink" Target="http://webuyhouses.com/" TargetMode="External"/><Relationship Id="rId12409" Type="http://schemas.openxmlformats.org/officeDocument/2006/relationships/hyperlink" Target="https://sturents.com/" TargetMode="External"/><Relationship Id="rId1417" Type="http://schemas.openxmlformats.org/officeDocument/2006/relationships/hyperlink" Target="https://ritewindow.com/blog/3-indicators-its-time-to-upgrade-your-shower-or-bath/" TargetMode="External"/><Relationship Id="rId4987" Type="http://schemas.openxmlformats.org/officeDocument/2006/relationships/hyperlink" Target="https://www.resumonk.com/remote-jobs/project-manager-agentfire-com-37847" TargetMode="External"/><Relationship Id="rId15979" Type="http://schemas.openxmlformats.org/officeDocument/2006/relationships/hyperlink" Target="https://myinteriorpalace.com/" TargetMode="External"/><Relationship Id="rId3589" Type="http://schemas.openxmlformats.org/officeDocument/2006/relationships/hyperlink" Target="https://www.pulte.com/" TargetMode="External"/><Relationship Id="rId7460" Type="http://schemas.openxmlformats.org/officeDocument/2006/relationships/hyperlink" Target="https://www.taylormorrison.com/" TargetMode="External"/><Relationship Id="rId8511" Type="http://schemas.openxmlformats.org/officeDocument/2006/relationships/hyperlink" Target="https://www.cylind.com/" TargetMode="External"/><Relationship Id="rId6062" Type="http://schemas.openxmlformats.org/officeDocument/2006/relationships/hyperlink" Target="https://www.simpleshowing.com/" TargetMode="External"/><Relationship Id="rId7113" Type="http://schemas.openxmlformats.org/officeDocument/2006/relationships/hyperlink" Target="https://www.taylormorrison.com/" TargetMode="External"/><Relationship Id="rId10441" Type="http://schemas.openxmlformats.org/officeDocument/2006/relationships/hyperlink" Target="https://www.teachengineering.org/" TargetMode="External"/><Relationship Id="rId9285" Type="http://schemas.openxmlformats.org/officeDocument/2006/relationships/hyperlink" Target="https://www.pinoyeplans.com/" TargetMode="External"/><Relationship Id="rId13664" Type="http://schemas.openxmlformats.org/officeDocument/2006/relationships/hyperlink" Target="https://anationofmoms.com/" TargetMode="External"/><Relationship Id="rId14715" Type="http://schemas.openxmlformats.org/officeDocument/2006/relationships/hyperlink" Target="https://farmhousekitchenandbath.com/blogs/news/how-can-homeowners-choose-a-reliable-local-garage-door-company-in-houston" TargetMode="External"/><Relationship Id="rId991" Type="http://schemas.openxmlformats.org/officeDocument/2006/relationships/hyperlink" Target="https://www.matrixbasements.com/" TargetMode="External"/><Relationship Id="rId2672" Type="http://schemas.openxmlformats.org/officeDocument/2006/relationships/hyperlink" Target="https://local.hernandosun.com/spring%20hill-fl/pulte-homes-caldera-352-654-1701" TargetMode="External"/><Relationship Id="rId3723" Type="http://schemas.openxmlformats.org/officeDocument/2006/relationships/hyperlink" Target="https://www.simpleshowing.com/" TargetMode="External"/><Relationship Id="rId12266" Type="http://schemas.openxmlformats.org/officeDocument/2006/relationships/hyperlink" Target="https://www.propertywire.com/news/planning-application-for-major-stoke-on-trent-regeneration-scheme-submitted/" TargetMode="External"/><Relationship Id="rId13317" Type="http://schemas.openxmlformats.org/officeDocument/2006/relationships/hyperlink" Target="https://homebusinessmag.com/lifestyles/home-improvement/7-things-consider-when-upgrading-flooring/" TargetMode="External"/><Relationship Id="rId644" Type="http://schemas.openxmlformats.org/officeDocument/2006/relationships/hyperlink" Target="https://www.simpleshowing.com/" TargetMode="External"/><Relationship Id="rId1274" Type="http://schemas.openxmlformats.org/officeDocument/2006/relationships/hyperlink" Target="https://www.apartmenttherapy.com/80s-brass-back-37517179" TargetMode="External"/><Relationship Id="rId2325" Type="http://schemas.openxmlformats.org/officeDocument/2006/relationships/hyperlink" Target="https://www.simpleshowing.com/" TargetMode="External"/><Relationship Id="rId5895" Type="http://schemas.openxmlformats.org/officeDocument/2006/relationships/hyperlink" Target="https://othership.com/newsroom/virtual-workspace-as-a-way-to-adjust-to-new-normal/" TargetMode="External"/><Relationship Id="rId6946" Type="http://schemas.openxmlformats.org/officeDocument/2006/relationships/hyperlink" Target="https://www.simpleshowing.com/" TargetMode="External"/><Relationship Id="rId15489" Type="http://schemas.openxmlformats.org/officeDocument/2006/relationships/hyperlink" Target="https://eloquence.com/blogs/news/the-perfect-antique-dresser-for-your-nursery-room" TargetMode="External"/><Relationship Id="rId4497" Type="http://schemas.openxmlformats.org/officeDocument/2006/relationships/hyperlink" Target="https://www.14news.com/2024/05/27/high-school-seniors-can-now-get-real-estate-license-free-this-state/" TargetMode="External"/><Relationship Id="rId5548" Type="http://schemas.openxmlformats.org/officeDocument/2006/relationships/hyperlink" Target="https://www.simpleshowing.com/" TargetMode="External"/><Relationship Id="rId12400" Type="http://schemas.openxmlformats.org/officeDocument/2006/relationships/hyperlink" Target="https://sturents.com/" TargetMode="External"/><Relationship Id="rId3099" Type="http://schemas.openxmlformats.org/officeDocument/2006/relationships/hyperlink" Target="https://www.simpleshowing.com/" TargetMode="External"/><Relationship Id="rId8021" Type="http://schemas.openxmlformats.org/officeDocument/2006/relationships/hyperlink" Target="https://www.pinoyeplans.com/" TargetMode="External"/><Relationship Id="rId11002" Type="http://schemas.openxmlformats.org/officeDocument/2006/relationships/hyperlink" Target="https://www.teachengineering.org/" TargetMode="External"/><Relationship Id="rId15970" Type="http://schemas.openxmlformats.org/officeDocument/2006/relationships/hyperlink" Target="https://myinteriorpalace.com/" TargetMode="External"/><Relationship Id="rId3580" Type="http://schemas.openxmlformats.org/officeDocument/2006/relationships/hyperlink" Target="https://www.pulte.com/" TargetMode="External"/><Relationship Id="rId13174" Type="http://schemas.openxmlformats.org/officeDocument/2006/relationships/hyperlink" Target="https://propertypressonline.co.uk/" TargetMode="External"/><Relationship Id="rId14572" Type="http://schemas.openxmlformats.org/officeDocument/2006/relationships/hyperlink" Target="https://myinteriorpalace.com/" TargetMode="External"/><Relationship Id="rId15623" Type="http://schemas.openxmlformats.org/officeDocument/2006/relationships/hyperlink" Target="https://www.luxdeco.com/" TargetMode="External"/><Relationship Id="rId2182" Type="http://schemas.openxmlformats.org/officeDocument/2006/relationships/hyperlink" Target="https://markspain.com/" TargetMode="External"/><Relationship Id="rId3233" Type="http://schemas.openxmlformats.org/officeDocument/2006/relationships/hyperlink" Target="https://www.savannahchamber.com/news-and-events/news/new-members/new-members-for-the-week-of-december-20-2021/" TargetMode="External"/><Relationship Id="rId4631" Type="http://schemas.openxmlformats.org/officeDocument/2006/relationships/hyperlink" Target="https://www.kapre.com/" TargetMode="External"/><Relationship Id="rId14225" Type="http://schemas.openxmlformats.org/officeDocument/2006/relationships/hyperlink" Target="https://luxurylifestyle.com/" TargetMode="External"/><Relationship Id="rId154" Type="http://schemas.openxmlformats.org/officeDocument/2006/relationships/hyperlink" Target="https://www.vancouverislandfreedaily.com/" TargetMode="External"/><Relationship Id="rId7854" Type="http://schemas.openxmlformats.org/officeDocument/2006/relationships/hyperlink" Target="https://discoverlakelanier.com/" TargetMode="External"/><Relationship Id="rId8905" Type="http://schemas.openxmlformats.org/officeDocument/2006/relationships/hyperlink" Target="https://www.trianglepest.com/" TargetMode="External"/><Relationship Id="rId10835" Type="http://schemas.openxmlformats.org/officeDocument/2006/relationships/hyperlink" Target="https://www.volpe.dot.gov/work-with-us/small-business-innovation-research/141-solicitation-technical-questions-and-answers" TargetMode="External"/><Relationship Id="rId6456" Type="http://schemas.openxmlformats.org/officeDocument/2006/relationships/hyperlink" Target="https://www.simpleshowing.com/" TargetMode="External"/><Relationship Id="rId7507" Type="http://schemas.openxmlformats.org/officeDocument/2006/relationships/hyperlink" Target="https://www.simpleshowing.com/" TargetMode="External"/><Relationship Id="rId5058" Type="http://schemas.openxmlformats.org/officeDocument/2006/relationships/hyperlink" Target="https://www.simpleshowing.com/" TargetMode="External"/><Relationship Id="rId6109" Type="http://schemas.openxmlformats.org/officeDocument/2006/relationships/hyperlink" Target="https://www.menswearstyle.co.uk/2021/03/19/buying-car/9396" TargetMode="External"/><Relationship Id="rId9679" Type="http://schemas.openxmlformats.org/officeDocument/2006/relationships/hyperlink" Target="https://www.teachengineering.org/" TargetMode="External"/><Relationship Id="rId15480" Type="http://schemas.openxmlformats.org/officeDocument/2006/relationships/hyperlink" Target="https://ktvz.com/stacker-lifestyle/2024/04/30/legendary-interior-designers-from-every-decade-of-the-20th-century/" TargetMode="External"/><Relationship Id="rId1668" Type="http://schemas.openxmlformats.org/officeDocument/2006/relationships/hyperlink" Target="https://www.simpleshowing.com/" TargetMode="External"/><Relationship Id="rId2719" Type="http://schemas.openxmlformats.org/officeDocument/2006/relationships/hyperlink" Target="https://www.pulte.com/" TargetMode="External"/><Relationship Id="rId14082" Type="http://schemas.openxmlformats.org/officeDocument/2006/relationships/hyperlink" Target="https://magazinedreams.org/revitalize-your-yard-professional-insights-for-an-attractive-and-efficient-outdoor-area/" TargetMode="External"/><Relationship Id="rId15133" Type="http://schemas.openxmlformats.org/officeDocument/2006/relationships/hyperlink" Target="https://myinteriorpalace.com/" TargetMode="External"/><Relationship Id="rId3090" Type="http://schemas.openxmlformats.org/officeDocument/2006/relationships/hyperlink" Target="https://www.simpleshowing.com/" TargetMode="External"/><Relationship Id="rId4141" Type="http://schemas.openxmlformats.org/officeDocument/2006/relationships/hyperlink" Target="https://www.kapre.com/" TargetMode="External"/><Relationship Id="rId7364" Type="http://schemas.openxmlformats.org/officeDocument/2006/relationships/hyperlink" Target="https://www.simpleshowing.com/" TargetMode="External"/><Relationship Id="rId8762" Type="http://schemas.openxmlformats.org/officeDocument/2006/relationships/hyperlink" Target="https://www.pinoyeplans.com/" TargetMode="External"/><Relationship Id="rId9813" Type="http://schemas.openxmlformats.org/officeDocument/2006/relationships/hyperlink" Target="https://www.pinoyeplans.com/" TargetMode="External"/><Relationship Id="rId10692" Type="http://schemas.openxmlformats.org/officeDocument/2006/relationships/hyperlink" Target="https://www.pinoyeplans.com/" TargetMode="External"/><Relationship Id="rId11743" Type="http://schemas.openxmlformats.org/officeDocument/2006/relationships/hyperlink" Target="https://sellhousefast.uk/" TargetMode="External"/><Relationship Id="rId27" Type="http://schemas.openxmlformats.org/officeDocument/2006/relationships/hyperlink" Target="http://www.furnituretoday.com/" TargetMode="External"/><Relationship Id="rId1802" Type="http://schemas.openxmlformats.org/officeDocument/2006/relationships/hyperlink" Target="https://goodpods.com/podcasts/the-power-trips-initials-game-27203/the-581st-initials-game-initials-major-16-live-from-detroit-lakes-95792959" TargetMode="External"/><Relationship Id="rId7017" Type="http://schemas.openxmlformats.org/officeDocument/2006/relationships/hyperlink" Target="https://thelandofcolor.com/we-moved-and-set-up-a-vertical-garden-planter-day-one/" TargetMode="External"/><Relationship Id="rId8415" Type="http://schemas.openxmlformats.org/officeDocument/2006/relationships/hyperlink" Target="https://www.pacificsheetmetal.net/" TargetMode="External"/><Relationship Id="rId10345" Type="http://schemas.openxmlformats.org/officeDocument/2006/relationships/hyperlink" Target="https://www.teachengineering.org/" TargetMode="External"/><Relationship Id="rId14966" Type="http://schemas.openxmlformats.org/officeDocument/2006/relationships/hyperlink" Target="https://www.luxdeco.com/" TargetMode="External"/><Relationship Id="rId3974" Type="http://schemas.openxmlformats.org/officeDocument/2006/relationships/hyperlink" Target="https://gharpedia.com/blog/home-solar-installation-guide/" TargetMode="External"/><Relationship Id="rId13568" Type="http://schemas.openxmlformats.org/officeDocument/2006/relationships/hyperlink" Target="https://anationofmoms.com/" TargetMode="External"/><Relationship Id="rId14619" Type="http://schemas.openxmlformats.org/officeDocument/2006/relationships/hyperlink" Target="https://www.globenewswire.com/news-release/2024/07/14/2912751/0/en/Easy-Garage-Door-Repair-Elevates-Garage-Door-Services-in-Houston.html" TargetMode="External"/><Relationship Id="rId895" Type="http://schemas.openxmlformats.org/officeDocument/2006/relationships/hyperlink" Target="https://www.absolutepestmgmt.com/" TargetMode="External"/><Relationship Id="rId2576" Type="http://schemas.openxmlformats.org/officeDocument/2006/relationships/hyperlink" Target="https://www.newhomesource.com/aboutus" TargetMode="External"/><Relationship Id="rId3627" Type="http://schemas.openxmlformats.org/officeDocument/2006/relationships/hyperlink" Target="https://www.simpleshowing.com/" TargetMode="External"/><Relationship Id="rId9189" Type="http://schemas.openxmlformats.org/officeDocument/2006/relationships/hyperlink" Target="https://www.pinoyeplans.com/" TargetMode="External"/><Relationship Id="rId16041" Type="http://schemas.openxmlformats.org/officeDocument/2006/relationships/hyperlink" Target="https://s3da-design.com/guest-contribution/combining-strength-and-style-sectional-traditional-garage-door-solutions/" TargetMode="External"/><Relationship Id="rId548" Type="http://schemas.openxmlformats.org/officeDocument/2006/relationships/hyperlink" Target="https://www.simpleshowing.com/" TargetMode="External"/><Relationship Id="rId1178" Type="http://schemas.openxmlformats.org/officeDocument/2006/relationships/hyperlink" Target="https://www.timesforthetimes.co.uk/glossary" TargetMode="External"/><Relationship Id="rId2229" Type="http://schemas.openxmlformats.org/officeDocument/2006/relationships/hyperlink" Target="https://www.simpleshowing.com/" TargetMode="External"/><Relationship Id="rId5799" Type="http://schemas.openxmlformats.org/officeDocument/2006/relationships/hyperlink" Target="https://www.strategydriven.com/2022/02/10/what-are-the-most-common-debt-solutions/" TargetMode="External"/><Relationship Id="rId6100" Type="http://schemas.openxmlformats.org/officeDocument/2006/relationships/hyperlink" Target="https://www.simpleshowing.com/" TargetMode="External"/><Relationship Id="rId9670" Type="http://schemas.openxmlformats.org/officeDocument/2006/relationships/hyperlink" Target="https://www.teachengineering.org/" TargetMode="External"/><Relationship Id="rId8272" Type="http://schemas.openxmlformats.org/officeDocument/2006/relationships/hyperlink" Target="https://www.domuslighting.com.au/online-stockist/" TargetMode="External"/><Relationship Id="rId9323" Type="http://schemas.openxmlformats.org/officeDocument/2006/relationships/hyperlink" Target="https://journeyhomeschoolacademy.com/hands-on-science-activities-middle-school-stem/" TargetMode="External"/><Relationship Id="rId12651" Type="http://schemas.openxmlformats.org/officeDocument/2006/relationships/hyperlink" Target="https://www.nottinghamworld.com/sport/grassroots-football-club-on-mission-to-become-most-purpose-led-in-britain-5360802" TargetMode="External"/><Relationship Id="rId13702" Type="http://schemas.openxmlformats.org/officeDocument/2006/relationships/hyperlink" Target="https://myinteriorpalace.com/" TargetMode="External"/><Relationship Id="rId1312" Type="http://schemas.openxmlformats.org/officeDocument/2006/relationships/hyperlink" Target="https://darscover.com/" TargetMode="External"/><Relationship Id="rId2710" Type="http://schemas.openxmlformats.org/officeDocument/2006/relationships/hyperlink" Target="https://www.pulte.com/" TargetMode="External"/><Relationship Id="rId11253" Type="http://schemas.openxmlformats.org/officeDocument/2006/relationships/hyperlink" Target="https://www.waterdamagespecialist.com.au/" TargetMode="External"/><Relationship Id="rId12304" Type="http://schemas.openxmlformats.org/officeDocument/2006/relationships/hyperlink" Target="https://www.ridgefieldconsulting.co.uk/" TargetMode="External"/><Relationship Id="rId15874" Type="http://schemas.openxmlformats.org/officeDocument/2006/relationships/hyperlink" Target="https://myinteriorpalace.com/" TargetMode="External"/><Relationship Id="rId4882" Type="http://schemas.openxmlformats.org/officeDocument/2006/relationships/hyperlink" Target="https://www.simpleshowing.com/" TargetMode="External"/><Relationship Id="rId5933" Type="http://schemas.openxmlformats.org/officeDocument/2006/relationships/hyperlink" Target="https://gazettetimes.com/news/nation-world/business/personal-finance/article_266c4295-75e0-5be6-8db5-b08d87888e65.html" TargetMode="External"/><Relationship Id="rId14476" Type="http://schemas.openxmlformats.org/officeDocument/2006/relationships/hyperlink" Target="https://myinteriorpalace.com/" TargetMode="External"/><Relationship Id="rId15527" Type="http://schemas.openxmlformats.org/officeDocument/2006/relationships/hyperlink" Target="https://www.luxdeco.com/" TargetMode="External"/><Relationship Id="rId2086" Type="http://schemas.openxmlformats.org/officeDocument/2006/relationships/hyperlink" Target="https://markspain.com/" TargetMode="External"/><Relationship Id="rId3484" Type="http://schemas.openxmlformats.org/officeDocument/2006/relationships/hyperlink" Target="https://www.pulte.com/" TargetMode="External"/><Relationship Id="rId4535" Type="http://schemas.openxmlformats.org/officeDocument/2006/relationships/hyperlink" Target="https://www.kapre.com/" TargetMode="External"/><Relationship Id="rId13078" Type="http://schemas.openxmlformats.org/officeDocument/2006/relationships/hyperlink" Target="https://propertypressonline.co.uk/" TargetMode="External"/><Relationship Id="rId14129" Type="http://schemas.openxmlformats.org/officeDocument/2006/relationships/hyperlink" Target="https://keystonecustomdecksny.com/" TargetMode="External"/><Relationship Id="rId3137" Type="http://schemas.openxmlformats.org/officeDocument/2006/relationships/hyperlink" Target="https://do512.com/events/2022/5/7/dripping-springs-race-to-brunch-5k-tickets" TargetMode="External"/><Relationship Id="rId7758" Type="http://schemas.openxmlformats.org/officeDocument/2006/relationships/hyperlink" Target="https://www.simpleshowing.com/" TargetMode="External"/><Relationship Id="rId8809" Type="http://schemas.openxmlformats.org/officeDocument/2006/relationships/hyperlink" Target="https://propertychecker.com/" TargetMode="External"/><Relationship Id="rId10739" Type="http://schemas.openxmlformats.org/officeDocument/2006/relationships/hyperlink" Target="https://miller.slps.org/old-homepage/departments/academic-instructional-coach/remote-learning-resources" TargetMode="External"/><Relationship Id="rId14610" Type="http://schemas.openxmlformats.org/officeDocument/2006/relationships/hyperlink" Target="https://www.omnihomeideas.com/home-and-kitchen/best-5-emergency-garage-door-repair-services-available-in-houston/" TargetMode="External"/><Relationship Id="rId9180" Type="http://schemas.openxmlformats.org/officeDocument/2006/relationships/hyperlink" Target="https://www.pinoyeplans.com/" TargetMode="External"/><Relationship Id="rId12161" Type="http://schemas.openxmlformats.org/officeDocument/2006/relationships/hyperlink" Target="https://www.retrofoamofmichigan.com/blog/what-should-the-humidity-be-in-my-house" TargetMode="External"/><Relationship Id="rId13212" Type="http://schemas.openxmlformats.org/officeDocument/2006/relationships/hyperlink" Target="https://resolution.org.uk/members/sonia-bachu/" TargetMode="External"/><Relationship Id="rId2220" Type="http://schemas.openxmlformats.org/officeDocument/2006/relationships/hyperlink" Target="https://www.simpleshowing.com/" TargetMode="External"/><Relationship Id="rId5790" Type="http://schemas.openxmlformats.org/officeDocument/2006/relationships/hyperlink" Target="https://www.simpleshowing.com/" TargetMode="External"/><Relationship Id="rId15384" Type="http://schemas.openxmlformats.org/officeDocument/2006/relationships/hyperlink" Target="https://www.thepinnaclelist.com/articles/preparing-your-home-luxurious-holiday-celebration/" TargetMode="External"/><Relationship Id="rId4392" Type="http://schemas.openxmlformats.org/officeDocument/2006/relationships/hyperlink" Target="https://www.elikarealestate.com/blog/online-nyc-real-estate-license/" TargetMode="External"/><Relationship Id="rId5443" Type="http://schemas.openxmlformats.org/officeDocument/2006/relationships/hyperlink" Target="https://targetbay.com/blog/how-to-start-a-side-hustle-ecommerce/" TargetMode="External"/><Relationship Id="rId6841" Type="http://schemas.openxmlformats.org/officeDocument/2006/relationships/hyperlink" Target="https://www.taylormorrison.com/" TargetMode="External"/><Relationship Id="rId15037" Type="http://schemas.openxmlformats.org/officeDocument/2006/relationships/hyperlink" Target="https://myinteriorpalace.com/" TargetMode="External"/><Relationship Id="rId4045" Type="http://schemas.openxmlformats.org/officeDocument/2006/relationships/hyperlink" Target="https://www.kapre.com/" TargetMode="External"/><Relationship Id="rId11994" Type="http://schemas.openxmlformats.org/officeDocument/2006/relationships/hyperlink" Target="https://www.hamiltoninternationalestates.com/" TargetMode="External"/><Relationship Id="rId8666" Type="http://schemas.openxmlformats.org/officeDocument/2006/relationships/hyperlink" Target="https://www.pinoyeplans.com/" TargetMode="External"/><Relationship Id="rId9717" Type="http://schemas.openxmlformats.org/officeDocument/2006/relationships/hyperlink" Target="https://www.pinoyeplans.com/" TargetMode="External"/><Relationship Id="rId10596" Type="http://schemas.openxmlformats.org/officeDocument/2006/relationships/hyperlink" Target="https://www.pinoyeplans.com/" TargetMode="External"/><Relationship Id="rId11647" Type="http://schemas.openxmlformats.org/officeDocument/2006/relationships/hyperlink" Target="https://sellhousefast.uk/" TargetMode="External"/><Relationship Id="rId1706" Type="http://schemas.openxmlformats.org/officeDocument/2006/relationships/hyperlink" Target="https://north65chamber.preview.gochambermaster.com/list/member/wolf-river-electric-isanti-779" TargetMode="External"/><Relationship Id="rId7268" Type="http://schemas.openxmlformats.org/officeDocument/2006/relationships/hyperlink" Target="https://www.simpleshowing.com/" TargetMode="External"/><Relationship Id="rId8319" Type="http://schemas.openxmlformats.org/officeDocument/2006/relationships/hyperlink" Target="https://www.zestlighting.com.au/" TargetMode="External"/><Relationship Id="rId10249" Type="http://schemas.openxmlformats.org/officeDocument/2006/relationships/hyperlink" Target="https://www.teachengineering.org/" TargetMode="External"/><Relationship Id="rId14120" Type="http://schemas.openxmlformats.org/officeDocument/2006/relationships/hyperlink" Target="https://keystonecustomdecksny.com/" TargetMode="External"/><Relationship Id="rId3878" Type="http://schemas.openxmlformats.org/officeDocument/2006/relationships/hyperlink" Target="https://downforeveryoneorjustme.com/thecoverguy.com" TargetMode="External"/><Relationship Id="rId4929" Type="http://schemas.openxmlformats.org/officeDocument/2006/relationships/hyperlink" Target="https://getlatka.com/companies/agentfire.com/funding" TargetMode="External"/><Relationship Id="rId8800" Type="http://schemas.openxmlformats.org/officeDocument/2006/relationships/hyperlink" Target="https://propertychecker.com/" TargetMode="External"/><Relationship Id="rId799" Type="http://schemas.openxmlformats.org/officeDocument/2006/relationships/hyperlink" Target="https://mail.kroxam.com/?m=483376315" TargetMode="External"/><Relationship Id="rId6351" Type="http://schemas.openxmlformats.org/officeDocument/2006/relationships/hyperlink" Target="https://www.fundz.net/blog/what-is-a-small-business-line-of-credit-what-entrepreneurs-need-to-know" TargetMode="External"/><Relationship Id="rId7402" Type="http://schemas.openxmlformats.org/officeDocument/2006/relationships/hyperlink" Target="https://bitscale.ai/directory/taylor-morrison" TargetMode="External"/><Relationship Id="rId10730" Type="http://schemas.openxmlformats.org/officeDocument/2006/relationships/hyperlink" Target="https://issuebehalf9.bitbucket.io/how-to-teach-newton-s-laws.html" TargetMode="External"/><Relationship Id="rId6004" Type="http://schemas.openxmlformats.org/officeDocument/2006/relationships/hyperlink" Target="https://www.simpleshowing.com/" TargetMode="External"/><Relationship Id="rId9574" Type="http://schemas.openxmlformats.org/officeDocument/2006/relationships/hyperlink" Target="https://www.teachengineering.org/" TargetMode="External"/><Relationship Id="rId13953" Type="http://schemas.openxmlformats.org/officeDocument/2006/relationships/hyperlink" Target="https://www.realtytimes.com/consumeradvice/ask-the-expert/item/1046594-9-signs-it-s-time-for-you-to-get-a-new-roof" TargetMode="External"/><Relationship Id="rId2961" Type="http://schemas.openxmlformats.org/officeDocument/2006/relationships/hyperlink" Target="https://www.simpleshowing.com/" TargetMode="External"/><Relationship Id="rId8176" Type="http://schemas.openxmlformats.org/officeDocument/2006/relationships/hyperlink" Target="https://fourmagazine.co.uk/how-to-perform-your-product-marketing-with-3d-visualization/" TargetMode="External"/><Relationship Id="rId9227" Type="http://schemas.openxmlformats.org/officeDocument/2006/relationships/hyperlink" Target="https://nadca.com/find-a-professional/capitol-duct-cleaning-1" TargetMode="External"/><Relationship Id="rId12555" Type="http://schemas.openxmlformats.org/officeDocument/2006/relationships/hyperlink" Target="https://www.lincolnshireshowground.co.uk/all-show" TargetMode="External"/><Relationship Id="rId13606" Type="http://schemas.openxmlformats.org/officeDocument/2006/relationships/hyperlink" Target="https://myinteriorpalace.com/" TargetMode="External"/><Relationship Id="rId933" Type="http://schemas.openxmlformats.org/officeDocument/2006/relationships/hyperlink" Target="https://www.simpleshowing.com/" TargetMode="External"/><Relationship Id="rId1563" Type="http://schemas.openxmlformats.org/officeDocument/2006/relationships/hyperlink" Target="https://www.simpleshowing.com/" TargetMode="External"/><Relationship Id="rId2614" Type="http://schemas.openxmlformats.org/officeDocument/2006/relationships/hyperlink" Target="https://www.pulte.com/" TargetMode="External"/><Relationship Id="rId11157" Type="http://schemas.openxmlformats.org/officeDocument/2006/relationships/hyperlink" Target="https://www.techdee.com/safely-clean-up-after-minor-water-damage/" TargetMode="External"/><Relationship Id="rId12208" Type="http://schemas.openxmlformats.org/officeDocument/2006/relationships/hyperlink" Target="https://www.bobvila.com/" TargetMode="External"/><Relationship Id="rId15778" Type="http://schemas.openxmlformats.org/officeDocument/2006/relationships/hyperlink" Target="https://myinteriorpalace.com/" TargetMode="External"/><Relationship Id="rId1216" Type="http://schemas.openxmlformats.org/officeDocument/2006/relationships/hyperlink" Target="https://happy2movelondon.co.uk/r" TargetMode="External"/><Relationship Id="rId4786" Type="http://schemas.openxmlformats.org/officeDocument/2006/relationships/hyperlink" Target="https://www.simpleshowing.com/" TargetMode="External"/><Relationship Id="rId5837" Type="http://schemas.openxmlformats.org/officeDocument/2006/relationships/hyperlink" Target="https://phonexa.com/blog/got-low-intent-leads-heres-how-to-finish-q4-with-a-bang/" TargetMode="External"/><Relationship Id="rId3388" Type="http://schemas.openxmlformats.org/officeDocument/2006/relationships/hyperlink" Target="https://www.pulte.com/" TargetMode="External"/><Relationship Id="rId4439" Type="http://schemas.openxmlformats.org/officeDocument/2006/relationships/hyperlink" Target="https://www.kapre.com/" TargetMode="External"/><Relationship Id="rId8310" Type="http://schemas.openxmlformats.org/officeDocument/2006/relationships/hyperlink" Target="https://www.zestlighting.com.au/" TargetMode="External"/><Relationship Id="rId10240" Type="http://schemas.openxmlformats.org/officeDocument/2006/relationships/hyperlink" Target="https://www.teachengineering.org/" TargetMode="External"/><Relationship Id="rId14861" Type="http://schemas.openxmlformats.org/officeDocument/2006/relationships/hyperlink" Target="https://www.fluidplumbingservices.com.au/" TargetMode="External"/><Relationship Id="rId15912" Type="http://schemas.openxmlformats.org/officeDocument/2006/relationships/hyperlink" Target="http://remodelingkc.memberzone.com/list/ql/g-43?o=&amp;dm=True" TargetMode="External"/><Relationship Id="rId790" Type="http://schemas.openxmlformats.org/officeDocument/2006/relationships/hyperlink" Target="https://contractorfinder.bradfordwhite.com/contractors/schaafsma-heating-and-cooling-31235-walker-mi" TargetMode="External"/><Relationship Id="rId2471" Type="http://schemas.openxmlformats.org/officeDocument/2006/relationships/hyperlink" Target="https://mycodelesswebsite.com/home-builder-websites/" TargetMode="External"/><Relationship Id="rId3522" Type="http://schemas.openxmlformats.org/officeDocument/2006/relationships/hyperlink" Target="https://www.simpleshowing.com/" TargetMode="External"/><Relationship Id="rId4920" Type="http://schemas.openxmlformats.org/officeDocument/2006/relationships/hyperlink" Target="https://www.simpleshowing.com/" TargetMode="External"/><Relationship Id="rId9084" Type="http://schemas.openxmlformats.org/officeDocument/2006/relationships/hyperlink" Target="https://www.pinoyeplans.com/" TargetMode="External"/><Relationship Id="rId12065" Type="http://schemas.openxmlformats.org/officeDocument/2006/relationships/hyperlink" Target="https://www.twz.com/about" TargetMode="External"/><Relationship Id="rId13116" Type="http://schemas.openxmlformats.org/officeDocument/2006/relationships/hyperlink" Target="https://goodpods.com/podcasts/reputation-onramp-281630" TargetMode="External"/><Relationship Id="rId13463" Type="http://schemas.openxmlformats.org/officeDocument/2006/relationships/hyperlink" Target="https://anationofmoms.com/" TargetMode="External"/><Relationship Id="rId14514" Type="http://schemas.openxmlformats.org/officeDocument/2006/relationships/hyperlink" Target="https://www.jackcooper.com/practical-tips-for-improving-the-performance-of-your-garage-door-opener/" TargetMode="External"/><Relationship Id="rId443" Type="http://schemas.openxmlformats.org/officeDocument/2006/relationships/hyperlink" Target="https://www.simpleshowing.com/" TargetMode="External"/><Relationship Id="rId1073" Type="http://schemas.openxmlformats.org/officeDocument/2006/relationships/hyperlink" Target="https://www.urbansplatter.com/2023/03/what-your-basement-theme-should-be-based-on-your-zodiac-signs-element/" TargetMode="External"/><Relationship Id="rId2124" Type="http://schemas.openxmlformats.org/officeDocument/2006/relationships/hyperlink" Target="https://www.simpleshowing.com/" TargetMode="External"/><Relationship Id="rId4296" Type="http://schemas.openxmlformats.org/officeDocument/2006/relationships/hyperlink" Target="https://www.hometap.com/blog/the-best-small-business-loans-for-niche-entrepreneurs" TargetMode="External"/><Relationship Id="rId5694" Type="http://schemas.openxmlformats.org/officeDocument/2006/relationships/hyperlink" Target="https://www.simpleshowing.com/" TargetMode="External"/><Relationship Id="rId6745" Type="http://schemas.openxmlformats.org/officeDocument/2006/relationships/hyperlink" Target="https://theprovidencegroup.com/" TargetMode="External"/><Relationship Id="rId15288" Type="http://schemas.openxmlformats.org/officeDocument/2006/relationships/hyperlink" Target="https://www.managementtoday.co.uk/week-jonathan-holmes-luxdeco/article/1162377" TargetMode="External"/><Relationship Id="rId5347" Type="http://schemas.openxmlformats.org/officeDocument/2006/relationships/hyperlink" Target="https://citrusbug.com/blog/ai-in-fintech/" TargetMode="External"/><Relationship Id="rId9968" Type="http://schemas.openxmlformats.org/officeDocument/2006/relationships/hyperlink" Target="https://blog.uclm.es/proyectoremareemi/tag/lessonplan/" TargetMode="External"/><Relationship Id="rId11898" Type="http://schemas.openxmlformats.org/officeDocument/2006/relationships/hyperlink" Target="https://www.hamiltoninternationalestates.com/" TargetMode="External"/><Relationship Id="rId12949" Type="http://schemas.openxmlformats.org/officeDocument/2006/relationships/hyperlink" Target="https://propertypressonline.co.uk/" TargetMode="External"/><Relationship Id="rId1957" Type="http://schemas.openxmlformats.org/officeDocument/2006/relationships/hyperlink" Target="https://markspain.com/" TargetMode="External"/><Relationship Id="rId14371" Type="http://schemas.openxmlformats.org/officeDocument/2006/relationships/hyperlink" Target="https://myinteriorpalace.com/" TargetMode="External"/><Relationship Id="rId15422" Type="http://schemas.openxmlformats.org/officeDocument/2006/relationships/hyperlink" Target="https://www.luxdeco.com/" TargetMode="External"/><Relationship Id="rId4430" Type="http://schemas.openxmlformats.org/officeDocument/2006/relationships/hyperlink" Target="https://www.kapre.com/" TargetMode="External"/><Relationship Id="rId14024" Type="http://schemas.openxmlformats.org/officeDocument/2006/relationships/hyperlink" Target="https://keystonecustomdecksny.com/" TargetMode="External"/><Relationship Id="rId3032" Type="http://schemas.openxmlformats.org/officeDocument/2006/relationships/hyperlink" Target="https://www.opendoor.com/l2/partner-region" TargetMode="External"/><Relationship Id="rId7653" Type="http://schemas.openxmlformats.org/officeDocument/2006/relationships/hyperlink" Target="https://www.oreanda-news.com/en/promyshlennost/article978149/" TargetMode="External"/><Relationship Id="rId10981" Type="http://schemas.openxmlformats.org/officeDocument/2006/relationships/hyperlink" Target="https://www.teachengineering.org/" TargetMode="External"/><Relationship Id="rId16196" Type="http://schemas.openxmlformats.org/officeDocument/2006/relationships/hyperlink" Target="https://www.unitedcarpetsandbeds.com/" TargetMode="External"/><Relationship Id="rId6255" Type="http://schemas.openxmlformats.org/officeDocument/2006/relationships/hyperlink" Target="https://northeast.newschannelnebraska.com/story/52973697/how-banks-make-your-money-make-money" TargetMode="External"/><Relationship Id="rId7306" Type="http://schemas.openxmlformats.org/officeDocument/2006/relationships/hyperlink" Target="https://www.taylormorrison.com/" TargetMode="External"/><Relationship Id="rId8704" Type="http://schemas.openxmlformats.org/officeDocument/2006/relationships/hyperlink" Target="https://www.constructionireland.ie/c/589982/reaseheath-college" TargetMode="External"/><Relationship Id="rId10634" Type="http://schemas.openxmlformats.org/officeDocument/2006/relationships/hyperlink" Target="https://studyworkgrow.com/resource/saving-a-life-heart-valve-replacement/" TargetMode="External"/><Relationship Id="rId13857" Type="http://schemas.openxmlformats.org/officeDocument/2006/relationships/hyperlink" Target="https://www.mbav.com.au/" TargetMode="External"/><Relationship Id="rId14908" Type="http://schemas.openxmlformats.org/officeDocument/2006/relationships/hyperlink" Target="https://myinteriorpalace.com/" TargetMode="External"/><Relationship Id="rId2865" Type="http://schemas.openxmlformats.org/officeDocument/2006/relationships/hyperlink" Target="https://www.simpleshowing.com/" TargetMode="External"/><Relationship Id="rId3916" Type="http://schemas.openxmlformats.org/officeDocument/2006/relationships/hyperlink" Target="https://thecoverguy.com/" TargetMode="External"/><Relationship Id="rId9478" Type="http://schemas.openxmlformats.org/officeDocument/2006/relationships/hyperlink" Target="https://www.teachengineering.org/" TargetMode="External"/><Relationship Id="rId12459" Type="http://schemas.openxmlformats.org/officeDocument/2006/relationships/hyperlink" Target="https://propertypressonline.co.uk/" TargetMode="External"/><Relationship Id="rId837" Type="http://schemas.openxmlformats.org/officeDocument/2006/relationships/hyperlink" Target="https://www.simpleshowing.com/" TargetMode="External"/><Relationship Id="rId1467" Type="http://schemas.openxmlformats.org/officeDocument/2006/relationships/hyperlink" Target="https://www.simpleshowing.com/" TargetMode="External"/><Relationship Id="rId2518" Type="http://schemas.openxmlformats.org/officeDocument/2006/relationships/hyperlink" Target="https://www.pulte.com/" TargetMode="External"/><Relationship Id="rId8561" Type="http://schemas.openxmlformats.org/officeDocument/2006/relationships/hyperlink" Target="https://www.pinoyeplans.com/" TargetMode="External"/><Relationship Id="rId9612" Type="http://schemas.openxmlformats.org/officeDocument/2006/relationships/hyperlink" Target="https://www.pinoyeplans.com/" TargetMode="External"/><Relationship Id="rId10491" Type="http://schemas.openxmlformats.org/officeDocument/2006/relationships/hyperlink" Target="https://www.pinoyeplans.com/" TargetMode="External"/><Relationship Id="rId12940" Type="http://schemas.openxmlformats.org/officeDocument/2006/relationships/hyperlink" Target="https://propertypressonline.co.uk/" TargetMode="External"/><Relationship Id="rId1601" Type="http://schemas.openxmlformats.org/officeDocument/2006/relationships/hyperlink" Target="https://letsreachsuccess.com/make-your-business-eco-friendly/" TargetMode="External"/><Relationship Id="rId7163" Type="http://schemas.openxmlformats.org/officeDocument/2006/relationships/hyperlink" Target="https://www.taylormorrison.com/" TargetMode="External"/><Relationship Id="rId8214" Type="http://schemas.openxmlformats.org/officeDocument/2006/relationships/hyperlink" Target="https://smaarchviz.com/" TargetMode="External"/><Relationship Id="rId10144" Type="http://schemas.openxmlformats.org/officeDocument/2006/relationships/hyperlink" Target="https://www.teachengineering.org/" TargetMode="External"/><Relationship Id="rId11542" Type="http://schemas.openxmlformats.org/officeDocument/2006/relationships/hyperlink" Target="https://blog.seeff.com/secret-weapon-that-could-help-south-african-homeowners-to-sell-property" TargetMode="External"/><Relationship Id="rId14765" Type="http://schemas.openxmlformats.org/officeDocument/2006/relationships/hyperlink" Target="https://www.easygaragedoorrepair.com/" TargetMode="External"/><Relationship Id="rId15816" Type="http://schemas.openxmlformats.org/officeDocument/2006/relationships/hyperlink" Target="https://www.thepinnaclelist.com/articles/best-timber-for-external-wall-cladding-top-choices-for-durability/" TargetMode="External"/><Relationship Id="rId694" Type="http://schemas.openxmlformats.org/officeDocument/2006/relationships/hyperlink" Target="https://www.wgbh.org/lifestyle/food/recipes/2018-07-10/sorry-new-england-theres-a-whole-world-of-chowders-out-there" TargetMode="External"/><Relationship Id="rId2375" Type="http://schemas.openxmlformats.org/officeDocument/2006/relationships/hyperlink" Target="https://www.dsldmortgage.com/blog/top-15-home-builders-in-houston-texas/" TargetMode="External"/><Relationship Id="rId3773" Type="http://schemas.openxmlformats.org/officeDocument/2006/relationships/hyperlink" Target="https://www.foamorder.com/learning-center/diy/diy-jacuzzi-hot-tub-cover-what-you-need-to-know-before-you-start" TargetMode="External"/><Relationship Id="rId4824" Type="http://schemas.openxmlformats.org/officeDocument/2006/relationships/hyperlink" Target="https://digitalbranch.cmlibrary.org/business-center/getting-your-nc-real-estate-license/" TargetMode="External"/><Relationship Id="rId13367" Type="http://schemas.openxmlformats.org/officeDocument/2006/relationships/hyperlink" Target="https://anationofmoms.com/" TargetMode="External"/><Relationship Id="rId14418" Type="http://schemas.openxmlformats.org/officeDocument/2006/relationships/hyperlink" Target="https://rapidapi.com/cdn/images?url=https://telegra.ph/Esta-For-Usa-05-16-9" TargetMode="External"/><Relationship Id="rId347" Type="http://schemas.openxmlformats.org/officeDocument/2006/relationships/hyperlink" Target="https://www.greencitytimes.com/living-sustainably-in-northern-virginia/" TargetMode="External"/><Relationship Id="rId2028" Type="http://schemas.openxmlformats.org/officeDocument/2006/relationships/hyperlink" Target="https://www.simpleshowing.com/" TargetMode="External"/><Relationship Id="rId3426" Type="http://schemas.openxmlformats.org/officeDocument/2006/relationships/hyperlink" Target="https://www.simpleshowing.com/" TargetMode="External"/><Relationship Id="rId6996" Type="http://schemas.openxmlformats.org/officeDocument/2006/relationships/hyperlink" Target="https://salescenter.mccoy.txst.edu/corporate-partners.html" TargetMode="External"/><Relationship Id="rId5598" Type="http://schemas.openxmlformats.org/officeDocument/2006/relationships/hyperlink" Target="https://www.simpleshowing.com/" TargetMode="External"/><Relationship Id="rId6649" Type="http://schemas.openxmlformats.org/officeDocument/2006/relationships/hyperlink" Target="https://www.simpleshowing.com/" TargetMode="External"/><Relationship Id="rId12450" Type="http://schemas.openxmlformats.org/officeDocument/2006/relationships/hyperlink" Target="https://propertypressonline.co.uk/" TargetMode="External"/><Relationship Id="rId13501" Type="http://schemas.openxmlformats.org/officeDocument/2006/relationships/hyperlink" Target="https://myinteriorpalace.com/" TargetMode="External"/><Relationship Id="rId8071" Type="http://schemas.openxmlformats.org/officeDocument/2006/relationships/hyperlink" Target="https://www.thearcadiaonline.com/prepare-your-home-for-the-winter-a-manual/" TargetMode="External"/><Relationship Id="rId9122" Type="http://schemas.openxmlformats.org/officeDocument/2006/relationships/hyperlink" Target="https://taskbarx.org/the-future-of-accuracy-innovations-in-construction-estimation/" TargetMode="External"/><Relationship Id="rId11052" Type="http://schemas.openxmlformats.org/officeDocument/2006/relationships/hyperlink" Target="https://www.pinoyeplans.com/" TargetMode="External"/><Relationship Id="rId12103" Type="http://schemas.openxmlformats.org/officeDocument/2006/relationships/hyperlink" Target="https://www.bobvila.com/" TargetMode="External"/><Relationship Id="rId15673" Type="http://schemas.openxmlformats.org/officeDocument/2006/relationships/hyperlink" Target="https://myinteriorpalace.com/" TargetMode="External"/><Relationship Id="rId1111" Type="http://schemas.openxmlformats.org/officeDocument/2006/relationships/hyperlink" Target="https://www.matrixbasements.com/" TargetMode="External"/><Relationship Id="rId4681" Type="http://schemas.openxmlformats.org/officeDocument/2006/relationships/hyperlink" Target="https://www.simpleshowing.com/" TargetMode="External"/><Relationship Id="rId5732" Type="http://schemas.openxmlformats.org/officeDocument/2006/relationships/hyperlink" Target="https://www.simpleshowing.com/" TargetMode="External"/><Relationship Id="rId14275" Type="http://schemas.openxmlformats.org/officeDocument/2006/relationships/hyperlink" Target="https://myinteriorpalace.com/" TargetMode="External"/><Relationship Id="rId15326" Type="http://schemas.openxmlformats.org/officeDocument/2006/relationships/hyperlink" Target="https://www.luxdeco.com/" TargetMode="External"/><Relationship Id="rId3283" Type="http://schemas.openxmlformats.org/officeDocument/2006/relationships/hyperlink" Target="https://www.pulte.com/" TargetMode="External"/><Relationship Id="rId4334" Type="http://schemas.openxmlformats.org/officeDocument/2006/relationships/hyperlink" Target="https://www.kapre.com/" TargetMode="External"/><Relationship Id="rId8955" Type="http://schemas.openxmlformats.org/officeDocument/2006/relationships/hyperlink" Target="https://www.pinoyeplans.com/" TargetMode="External"/><Relationship Id="rId10885" Type="http://schemas.openxmlformats.org/officeDocument/2006/relationships/hyperlink" Target="https://www.teachengineering.org/" TargetMode="External"/><Relationship Id="rId11936" Type="http://schemas.openxmlformats.org/officeDocument/2006/relationships/hyperlink" Target="https://bulwarkpestcontrol.com/getting-rid-of-ants-with-vinegar-does-it-really-work/" TargetMode="External"/><Relationship Id="rId6159" Type="http://schemas.openxmlformats.org/officeDocument/2006/relationships/hyperlink" Target="https://csr.cs.uml.edu/freedom-debt-relief-log-in" TargetMode="External"/><Relationship Id="rId7557" Type="http://schemas.openxmlformats.org/officeDocument/2006/relationships/hyperlink" Target="http://business.smdailypress.com/smdailypress/article/ibnspotlights-2023-4-20-taylor-morrison-home-corp-nyse-tmhc-climbs-to-new-52-week-high" TargetMode="External"/><Relationship Id="rId8608" Type="http://schemas.openxmlformats.org/officeDocument/2006/relationships/hyperlink" Target="https://www.globenewswire.com/fr/news-release/2024/08/28/2937071/0/en/Buyers-Advocate-Launch-Property-Management-and-Vendor-Advocacy-Services-in-Melbourne.html" TargetMode="External"/><Relationship Id="rId10538" Type="http://schemas.openxmlformats.org/officeDocument/2006/relationships/hyperlink" Target="https://www.sepco-solarlighting.com/blog/performance-and-maintenance-of-solar-panels-in-cold-climates" TargetMode="External"/><Relationship Id="rId13011" Type="http://schemas.openxmlformats.org/officeDocument/2006/relationships/hyperlink" Target="https://www.step.org/industry-news/uk-government-tables-draft-regulations-protect-personal-information-public-companies" TargetMode="External"/><Relationship Id="rId2769" Type="http://schemas.openxmlformats.org/officeDocument/2006/relationships/hyperlink" Target="https://www.simpleshowing.com/" TargetMode="External"/><Relationship Id="rId6640" Type="http://schemas.openxmlformats.org/officeDocument/2006/relationships/hyperlink" Target="https://www.simpleshowing.com/" TargetMode="External"/><Relationship Id="rId15183" Type="http://schemas.openxmlformats.org/officeDocument/2006/relationships/hyperlink" Target="https://tamaracamerablog.com/make-your-house-look-more-put-together/" TargetMode="External"/><Relationship Id="rId16234" Type="http://schemas.openxmlformats.org/officeDocument/2006/relationships/hyperlink" Target="https://myinteriorpalace.com/" TargetMode="External"/><Relationship Id="rId4191" Type="http://schemas.openxmlformats.org/officeDocument/2006/relationships/hyperlink" Target="https://sandiegomagazine.com/guides/the-best-california-real-estate-continuing-ed-courses/" TargetMode="External"/><Relationship Id="rId5242" Type="http://schemas.openxmlformats.org/officeDocument/2006/relationships/hyperlink" Target="https://www.simpleshowing.com/" TargetMode="External"/><Relationship Id="rId9863" Type="http://schemas.openxmlformats.org/officeDocument/2006/relationships/hyperlink" Target="https://www.nps.gov/teachers/classrooms/heat-light-and-sound.htm" TargetMode="External"/><Relationship Id="rId77" Type="http://schemas.openxmlformats.org/officeDocument/2006/relationships/hyperlink" Target="http://photosqn.com/" TargetMode="External"/><Relationship Id="rId8465" Type="http://schemas.openxmlformats.org/officeDocument/2006/relationships/hyperlink" Target="https://www.pinoyeplans.com/" TargetMode="External"/><Relationship Id="rId9516" Type="http://schemas.openxmlformats.org/officeDocument/2006/relationships/hyperlink" Target="https://www.pinoyeplans.com/" TargetMode="External"/><Relationship Id="rId11793" Type="http://schemas.openxmlformats.org/officeDocument/2006/relationships/hyperlink" Target="https://www.hamiltoninternationalestates.com/" TargetMode="External"/><Relationship Id="rId12844" Type="http://schemas.openxmlformats.org/officeDocument/2006/relationships/hyperlink" Target="https://propertypressonline.co.uk/" TargetMode="External"/><Relationship Id="rId1852" Type="http://schemas.openxmlformats.org/officeDocument/2006/relationships/hyperlink" Target="https://wolfriverelectric.com/" TargetMode="External"/><Relationship Id="rId2903" Type="http://schemas.openxmlformats.org/officeDocument/2006/relationships/hyperlink" Target="https://www.utahbusiness.com/entrepreneurship/2023/03/23/how-arian-lewis-founded-kiln/" TargetMode="External"/><Relationship Id="rId7067" Type="http://schemas.openxmlformats.org/officeDocument/2006/relationships/hyperlink" Target="https://www.taylormorrison.com/" TargetMode="External"/><Relationship Id="rId8118" Type="http://schemas.openxmlformats.org/officeDocument/2006/relationships/hyperlink" Target="https://whiteglovemoving.us/" TargetMode="External"/><Relationship Id="rId10048" Type="http://schemas.openxmlformats.org/officeDocument/2006/relationships/hyperlink" Target="https://www.teachengineering.org/" TargetMode="External"/><Relationship Id="rId10395" Type="http://schemas.openxmlformats.org/officeDocument/2006/relationships/hyperlink" Target="https://www.pinoyeplans.com/" TargetMode="External"/><Relationship Id="rId11446" Type="http://schemas.openxmlformats.org/officeDocument/2006/relationships/hyperlink" Target="https://www.thesun.ie/fabulous/15096728/aldi-robotic-lawnmower-shopping-launch-date-specialbuys/" TargetMode="External"/><Relationship Id="rId1505" Type="http://schemas.openxmlformats.org/officeDocument/2006/relationships/hyperlink" Target="https://www.bbb.org/local/0704/bbb-foundation/torch" TargetMode="External"/><Relationship Id="rId14669" Type="http://schemas.openxmlformats.org/officeDocument/2006/relationships/hyperlink" Target="https://www.easygaragedoorrepair.com/" TargetMode="External"/><Relationship Id="rId3677" Type="http://schemas.openxmlformats.org/officeDocument/2006/relationships/hyperlink" Target="https://ddmgaragedoors.com/blog/2017/09/01/barcol-doors/" TargetMode="External"/><Relationship Id="rId4728" Type="http://schemas.openxmlformats.org/officeDocument/2006/relationships/hyperlink" Target="https://www.kswo.com/2024/05/27/high-school-seniors-can-now-get-real-estate-license-free-this-state/" TargetMode="External"/><Relationship Id="rId16091" Type="http://schemas.openxmlformats.org/officeDocument/2006/relationships/hyperlink" Target="https://www.rwdoors.com/" TargetMode="External"/><Relationship Id="rId598" Type="http://schemas.openxmlformats.org/officeDocument/2006/relationships/hyperlink" Target="https://search.ezilon.com/united_states/travel_and_tourism/vacation_rentals/north_carolina/index.shtml" TargetMode="External"/><Relationship Id="rId2279" Type="http://schemas.openxmlformats.org/officeDocument/2006/relationships/hyperlink" Target="https://www.greystar.com/homes-to-rent/us/ga/lake-lanier-area/cumming" TargetMode="External"/><Relationship Id="rId6150" Type="http://schemas.openxmlformats.org/officeDocument/2006/relationships/hyperlink" Target="https://www.simpleshowing.com/" TargetMode="External"/><Relationship Id="rId7201" Type="http://schemas.openxmlformats.org/officeDocument/2006/relationships/hyperlink" Target="https://www.taylormorrison.com/" TargetMode="External"/><Relationship Id="rId2760" Type="http://schemas.openxmlformats.org/officeDocument/2006/relationships/hyperlink" Target="https://www.simpleshowing.com/" TargetMode="External"/><Relationship Id="rId3811" Type="http://schemas.openxmlformats.org/officeDocument/2006/relationships/hyperlink" Target="https://thecoverguy.com/" TargetMode="External"/><Relationship Id="rId9373" Type="http://schemas.openxmlformats.org/officeDocument/2006/relationships/hyperlink" Target="https://www.teachengineering.org/" TargetMode="External"/><Relationship Id="rId12354" Type="http://schemas.openxmlformats.org/officeDocument/2006/relationships/hyperlink" Target="https://propertypressonline.co.uk/" TargetMode="External"/><Relationship Id="rId13405" Type="http://schemas.openxmlformats.org/officeDocument/2006/relationships/hyperlink" Target="https://myinteriorpalace.com/" TargetMode="External"/><Relationship Id="rId13752" Type="http://schemas.openxmlformats.org/officeDocument/2006/relationships/hyperlink" Target="https://www.geekextreme.com/how-do-automatic-gate-openers-work/" TargetMode="External"/><Relationship Id="rId14803" Type="http://schemas.openxmlformats.org/officeDocument/2006/relationships/hyperlink" Target="https://myinteriorpalace.com/" TargetMode="External"/><Relationship Id="rId732" Type="http://schemas.openxmlformats.org/officeDocument/2006/relationships/hyperlink" Target="https://www.carolinadesigns.com/" TargetMode="External"/><Relationship Id="rId1362" Type="http://schemas.openxmlformats.org/officeDocument/2006/relationships/hyperlink" Target="https://www.simpleshowing.com/" TargetMode="External"/><Relationship Id="rId2413" Type="http://schemas.openxmlformats.org/officeDocument/2006/relationships/hyperlink" Target="https://www.pulte.com/" TargetMode="External"/><Relationship Id="rId9026" Type="http://schemas.openxmlformats.org/officeDocument/2006/relationships/hyperlink" Target="https://newscooper.co.uk/the-role-of-digital-material-tools-in-construction-planning/" TargetMode="External"/><Relationship Id="rId12007" Type="http://schemas.openxmlformats.org/officeDocument/2006/relationships/hyperlink" Target="https://www.bobvila.com/" TargetMode="External"/><Relationship Id="rId1015" Type="http://schemas.openxmlformats.org/officeDocument/2006/relationships/hyperlink" Target="https://www.matrixbasements.com/" TargetMode="External"/><Relationship Id="rId4585" Type="http://schemas.openxmlformats.org/officeDocument/2006/relationships/hyperlink" Target="https://www.simpleshowing.com/" TargetMode="External"/><Relationship Id="rId5983" Type="http://schemas.openxmlformats.org/officeDocument/2006/relationships/hyperlink" Target="https://nonpareilonline.com/news/state-regional/" TargetMode="External"/><Relationship Id="rId14179" Type="http://schemas.openxmlformats.org/officeDocument/2006/relationships/hyperlink" Target="https://myinteriorpalace.com/" TargetMode="External"/><Relationship Id="rId15577" Type="http://schemas.openxmlformats.org/officeDocument/2006/relationships/hyperlink" Target="https://myinteriorpalace.com/" TargetMode="External"/><Relationship Id="rId3187" Type="http://schemas.openxmlformats.org/officeDocument/2006/relationships/hyperlink" Target="https://www.pulte.com/" TargetMode="External"/><Relationship Id="rId4238" Type="http://schemas.openxmlformats.org/officeDocument/2006/relationships/hyperlink" Target="https://www.kapre.com/" TargetMode="External"/><Relationship Id="rId5636" Type="http://schemas.openxmlformats.org/officeDocument/2006/relationships/hyperlink" Target="https://www.simpleshowing.com/" TargetMode="External"/><Relationship Id="rId8859" Type="http://schemas.openxmlformats.org/officeDocument/2006/relationships/hyperlink" Target="https://www.pinoyeplans.com/" TargetMode="External"/><Relationship Id="rId10789" Type="http://schemas.openxmlformats.org/officeDocument/2006/relationships/hyperlink" Target="https://www.teachengineering.org/" TargetMode="External"/><Relationship Id="rId14660" Type="http://schemas.openxmlformats.org/officeDocument/2006/relationships/hyperlink" Target="https://www.easygaragedoorrepair.com/" TargetMode="External"/><Relationship Id="rId15711" Type="http://schemas.openxmlformats.org/officeDocument/2006/relationships/hyperlink" Target="https://www.whitepages.com.au/urbanline-architectural-10347927/ipswich-qld-10347929B" TargetMode="External"/><Relationship Id="rId13262" Type="http://schemas.openxmlformats.org/officeDocument/2006/relationships/hyperlink" Target="https://www.pureinvestor.co.uk/" TargetMode="External"/><Relationship Id="rId14313" Type="http://schemas.openxmlformats.org/officeDocument/2006/relationships/hyperlink" Target="https://joycerey.com/blog/experience-luxury-with-yacht-rentals-in-los-angeles/" TargetMode="External"/><Relationship Id="rId2270" Type="http://schemas.openxmlformats.org/officeDocument/2006/relationships/hyperlink" Target="https://www.atlantarealestateforum.com/cumming-the-commuter-city-2/" TargetMode="External"/><Relationship Id="rId3321" Type="http://schemas.openxmlformats.org/officeDocument/2006/relationships/hyperlink" Target="https://www.simpleshowing.com/" TargetMode="External"/><Relationship Id="rId6891" Type="http://schemas.openxmlformats.org/officeDocument/2006/relationships/hyperlink" Target="https://www.simpleshowing.com/" TargetMode="External"/><Relationship Id="rId7942" Type="http://schemas.openxmlformats.org/officeDocument/2006/relationships/hyperlink" Target="https://techbullion.com/planning-restoration-expenses-after-water-related-incidents/" TargetMode="External"/><Relationship Id="rId242" Type="http://schemas.openxmlformats.org/officeDocument/2006/relationships/hyperlink" Target="http://bestutahrealestate.com/" TargetMode="External"/><Relationship Id="rId5493" Type="http://schemas.openxmlformats.org/officeDocument/2006/relationships/hyperlink" Target="https://bea-adventurous.com/how-to-travel-longer/" TargetMode="External"/><Relationship Id="rId6544" Type="http://schemas.openxmlformats.org/officeDocument/2006/relationships/hyperlink" Target="https://www.simpleshowing.com/" TargetMode="External"/><Relationship Id="rId10923" Type="http://schemas.openxmlformats.org/officeDocument/2006/relationships/hyperlink" Target="https://www.pinoyeplans.com/" TargetMode="External"/><Relationship Id="rId15087" Type="http://schemas.openxmlformats.org/officeDocument/2006/relationships/hyperlink" Target="https://grokipedia.com/page/The_Arts_Club" TargetMode="External"/><Relationship Id="rId16138" Type="http://schemas.openxmlformats.org/officeDocument/2006/relationships/hyperlink" Target="https://myinteriorpalace.com/" TargetMode="External"/><Relationship Id="rId4095" Type="http://schemas.openxmlformats.org/officeDocument/2006/relationships/hyperlink" Target="https://realestatelicensewizard.com/real-estate-express/" TargetMode="External"/><Relationship Id="rId5146" Type="http://schemas.openxmlformats.org/officeDocument/2006/relationships/hyperlink" Target="https://www.simpleshowing.com/" TargetMode="External"/><Relationship Id="rId8369" Type="http://schemas.openxmlformats.org/officeDocument/2006/relationships/hyperlink" Target="https://www.pinoyeplans.com/" TargetMode="External"/><Relationship Id="rId9767" Type="http://schemas.openxmlformats.org/officeDocument/2006/relationships/hyperlink" Target="https://www.homeschoolof1.com/homeschooling/" TargetMode="External"/><Relationship Id="rId11697" Type="http://schemas.openxmlformats.org/officeDocument/2006/relationships/hyperlink" Target="https://www.hamiltoninternationalestates.com/" TargetMode="External"/><Relationship Id="rId12748" Type="http://schemas.openxmlformats.org/officeDocument/2006/relationships/hyperlink" Target="https://propertypressonline.co.uk/" TargetMode="External"/><Relationship Id="rId1756" Type="http://schemas.openxmlformats.org/officeDocument/2006/relationships/hyperlink" Target="https://wolfriverelectric.com/" TargetMode="External"/><Relationship Id="rId2807" Type="http://schemas.openxmlformats.org/officeDocument/2006/relationships/hyperlink" Target="https://www.budgetblinds.com/plainfield/community-connection/blog/new-home-need-blinds-what-every-plainfield-homeowner-needs-to-know/" TargetMode="External"/><Relationship Id="rId10299" Type="http://schemas.openxmlformats.org/officeDocument/2006/relationships/hyperlink" Target="https://www.pinoyeplans.com/" TargetMode="External"/><Relationship Id="rId14170" Type="http://schemas.openxmlformats.org/officeDocument/2006/relationships/hyperlink" Target="https://myinteriorpalace.com/" TargetMode="External"/><Relationship Id="rId15221" Type="http://schemas.openxmlformats.org/officeDocument/2006/relationships/hyperlink" Target="https://www.luxdeco.com/" TargetMode="External"/><Relationship Id="rId1409" Type="http://schemas.openxmlformats.org/officeDocument/2006/relationships/hyperlink" Target="https://fooddrinklife.com/choosing-windows/" TargetMode="External"/><Relationship Id="rId4979" Type="http://schemas.openxmlformats.org/officeDocument/2006/relationships/hyperlink" Target="https://blog.rankfast.co/top-conversion-triggers-driving-growth-for-seo-for-real-estate-agents-in-2025/" TargetMode="External"/><Relationship Id="rId8850" Type="http://schemas.openxmlformats.org/officeDocument/2006/relationships/hyperlink" Target="https://www.pinoyeplans.com/" TargetMode="External"/><Relationship Id="rId9901" Type="http://schemas.openxmlformats.org/officeDocument/2006/relationships/hyperlink" Target="https://www.teachengineering.org/" TargetMode="External"/><Relationship Id="rId10780" Type="http://schemas.openxmlformats.org/officeDocument/2006/relationships/hyperlink" Target="https://www.teachengineering.org/" TargetMode="External"/><Relationship Id="rId7452" Type="http://schemas.openxmlformats.org/officeDocument/2006/relationships/hyperlink" Target="https://rss.investorbrandnetwork.com/spotlights/page/104/" TargetMode="External"/><Relationship Id="rId8503" Type="http://schemas.openxmlformats.org/officeDocument/2006/relationships/hyperlink" Target="https://pixelixe.com/blog/page/8/" TargetMode="External"/><Relationship Id="rId10433" Type="http://schemas.openxmlformats.org/officeDocument/2006/relationships/hyperlink" Target="https://www.clemson.edu/extension/4h/program-areas/science-engineering-technology/rocketry.html" TargetMode="External"/><Relationship Id="rId11831" Type="http://schemas.openxmlformats.org/officeDocument/2006/relationships/hyperlink" Target="https://www.digit.fyi/author/theo-priestley/" TargetMode="External"/><Relationship Id="rId6054" Type="http://schemas.openxmlformats.org/officeDocument/2006/relationships/hyperlink" Target="https://www.simpleshowing.com/" TargetMode="External"/><Relationship Id="rId7105" Type="http://schemas.openxmlformats.org/officeDocument/2006/relationships/hyperlink" Target="https://www.taylormorrison.com/" TargetMode="External"/><Relationship Id="rId983" Type="http://schemas.openxmlformats.org/officeDocument/2006/relationships/hyperlink" Target="https://emmareed.net/ideas-to-elevate-your-living-space-to-match-your-lifestyle/" TargetMode="External"/><Relationship Id="rId2664" Type="http://schemas.openxmlformats.org/officeDocument/2006/relationships/hyperlink" Target="https://www.simpleshowing.com/" TargetMode="External"/><Relationship Id="rId9277" Type="http://schemas.openxmlformats.org/officeDocument/2006/relationships/hyperlink" Target="https://www.teachengineering.org/" TargetMode="External"/><Relationship Id="rId12258" Type="http://schemas.openxmlformats.org/officeDocument/2006/relationships/hyperlink" Target="https://propertypressonline.co.uk/" TargetMode="External"/><Relationship Id="rId13656" Type="http://schemas.openxmlformats.org/officeDocument/2006/relationships/hyperlink" Target="https://www.legalreader.com/finding-right-physiotherapist-for-you/" TargetMode="External"/><Relationship Id="rId14707" Type="http://schemas.openxmlformats.org/officeDocument/2006/relationships/hyperlink" Target="https://myinteriorpalace.com/" TargetMode="External"/><Relationship Id="rId636" Type="http://schemas.openxmlformats.org/officeDocument/2006/relationships/hyperlink" Target="https://www.carolinadesigns.com/" TargetMode="External"/><Relationship Id="rId1266" Type="http://schemas.openxmlformats.org/officeDocument/2006/relationships/hyperlink" Target="https://www.simpleshowing.com/" TargetMode="External"/><Relationship Id="rId2317" Type="http://schemas.openxmlformats.org/officeDocument/2006/relationships/hyperlink" Target="https://www.collectionforsyth.com/" TargetMode="External"/><Relationship Id="rId3715" Type="http://schemas.openxmlformats.org/officeDocument/2006/relationships/hyperlink" Target="https://www.overheaddoors.com/" TargetMode="External"/><Relationship Id="rId13309" Type="http://schemas.openxmlformats.org/officeDocument/2006/relationships/hyperlink" Target="https://myinteriorpalace.com/" TargetMode="External"/><Relationship Id="rId5887" Type="http://schemas.openxmlformats.org/officeDocument/2006/relationships/hyperlink" Target="https://www.sms-magic.com/blog/how-taking-payments-via-messaging-can-improve-your-ar-turnover-ratio/" TargetMode="External"/><Relationship Id="rId6938" Type="http://schemas.openxmlformats.org/officeDocument/2006/relationships/hyperlink" Target="https://www.taylormorrison.com/" TargetMode="External"/><Relationship Id="rId4489" Type="http://schemas.openxmlformats.org/officeDocument/2006/relationships/hyperlink" Target="https://www.simpleshowing.com/" TargetMode="External"/><Relationship Id="rId8360" Type="http://schemas.openxmlformats.org/officeDocument/2006/relationships/hyperlink" Target="https://www.pinoyeplans.com/" TargetMode="External"/><Relationship Id="rId9411" Type="http://schemas.openxmlformats.org/officeDocument/2006/relationships/hyperlink" Target="https://www.pinoyeplans.com/" TargetMode="External"/><Relationship Id="rId10290" Type="http://schemas.openxmlformats.org/officeDocument/2006/relationships/hyperlink" Target="https://www.pinoyeplans.com/" TargetMode="External"/><Relationship Id="rId11341" Type="http://schemas.openxmlformats.org/officeDocument/2006/relationships/hyperlink" Target="https://www.hamiltoninternationalestates.com/" TargetMode="External"/><Relationship Id="rId15962" Type="http://schemas.openxmlformats.org/officeDocument/2006/relationships/hyperlink" Target="https://www.rwdoors.com/" TargetMode="External"/><Relationship Id="rId1400" Type="http://schemas.openxmlformats.org/officeDocument/2006/relationships/hyperlink" Target="https://skyryedesign.com/tips/key-features-that-make-a-bathroom-remodel-worthwhile/" TargetMode="External"/><Relationship Id="rId4970" Type="http://schemas.openxmlformats.org/officeDocument/2006/relationships/hyperlink" Target="https://www.simpleshowing.com/" TargetMode="External"/><Relationship Id="rId8013" Type="http://schemas.openxmlformats.org/officeDocument/2006/relationships/hyperlink" Target="https://indyroofandrestoration.com/" TargetMode="External"/><Relationship Id="rId14564" Type="http://schemas.openxmlformats.org/officeDocument/2006/relationships/hyperlink" Target="https://www.easygaragedoorrepair.com/" TargetMode="External"/><Relationship Id="rId15615" Type="http://schemas.openxmlformats.org/officeDocument/2006/relationships/hyperlink" Target="https://www.grandmashousediy.com/rules-for-home-space/" TargetMode="External"/><Relationship Id="rId3572" Type="http://schemas.openxmlformats.org/officeDocument/2006/relationships/hyperlink" Target="https://www.wabe.org/pultegroup-moving-atlanta-bringing-300-jobs/" TargetMode="External"/><Relationship Id="rId4623" Type="http://schemas.openxmlformats.org/officeDocument/2006/relationships/hyperlink" Target="https://en.mehrnews.com/news/137432/Top-10-traits-of-Iranian-realtors" TargetMode="External"/><Relationship Id="rId13166" Type="http://schemas.openxmlformats.org/officeDocument/2006/relationships/hyperlink" Target="https://www.shma.co.uk/" TargetMode="External"/><Relationship Id="rId14217" Type="http://schemas.openxmlformats.org/officeDocument/2006/relationships/hyperlink" Target="https://www.cadillachotelmiamibeach.com/press" TargetMode="External"/><Relationship Id="rId493" Type="http://schemas.openxmlformats.org/officeDocument/2006/relationships/hyperlink" Target="https://grokipedia.com/page/Outer_Banks" TargetMode="External"/><Relationship Id="rId2174" Type="http://schemas.openxmlformats.org/officeDocument/2006/relationships/hyperlink" Target="https://mummytodex.com/family-friendly-floorplans-is-a-bi-level-home-right-for-you/" TargetMode="External"/><Relationship Id="rId3225" Type="http://schemas.openxmlformats.org/officeDocument/2006/relationships/hyperlink" Target="https://www.simpleshowing.com/" TargetMode="External"/><Relationship Id="rId6795" Type="http://schemas.openxmlformats.org/officeDocument/2006/relationships/hyperlink" Target="https://www.simpleshowing.com/" TargetMode="External"/><Relationship Id="rId146" Type="http://schemas.openxmlformats.org/officeDocument/2006/relationships/hyperlink" Target="https://www.missioncityrecord.com/" TargetMode="External"/><Relationship Id="rId5397" Type="http://schemas.openxmlformats.org/officeDocument/2006/relationships/hyperlink" Target="https://flocksocial.com/blog/leveraging-instagram-for-side-income-while-studying" TargetMode="External"/><Relationship Id="rId6448" Type="http://schemas.openxmlformats.org/officeDocument/2006/relationships/hyperlink" Target="https://www.simpleshowing.com/" TargetMode="External"/><Relationship Id="rId7846" Type="http://schemas.openxmlformats.org/officeDocument/2006/relationships/hyperlink" Target="https://givefreely.com/charity-directory/nonprofit/ein-582007320/" TargetMode="External"/><Relationship Id="rId10827" Type="http://schemas.openxmlformats.org/officeDocument/2006/relationships/hyperlink" Target="https://www.pinoyeplans.com/" TargetMode="External"/><Relationship Id="rId12999" Type="http://schemas.openxmlformats.org/officeDocument/2006/relationships/hyperlink" Target="https://live-uk-uon.contensis.com/news/innovative-start-ups-national-entrepreneur-awards-seed-funding" TargetMode="External"/><Relationship Id="rId13300" Type="http://schemas.openxmlformats.org/officeDocument/2006/relationships/hyperlink" Target="https://myinteriorpalace.com/" TargetMode="External"/><Relationship Id="rId15472" Type="http://schemas.openxmlformats.org/officeDocument/2006/relationships/hyperlink" Target="https://myinteriorpalace.com/" TargetMode="External"/><Relationship Id="rId4480" Type="http://schemas.openxmlformats.org/officeDocument/2006/relationships/hyperlink" Target="https://www.simpleshowing.com/" TargetMode="External"/><Relationship Id="rId5531" Type="http://schemas.openxmlformats.org/officeDocument/2006/relationships/hyperlink" Target="https://jenaroundtheworld.com/vacation-planning-tips-for-spending-wisely/" TargetMode="External"/><Relationship Id="rId14074" Type="http://schemas.openxmlformats.org/officeDocument/2006/relationships/hyperlink" Target="https://myinteriorpalace.com/" TargetMode="External"/><Relationship Id="rId15125" Type="http://schemas.openxmlformats.org/officeDocument/2006/relationships/hyperlink" Target="https://www.luxdeco.com/" TargetMode="External"/><Relationship Id="rId3082" Type="http://schemas.openxmlformats.org/officeDocument/2006/relationships/hyperlink" Target="https://www.pulte.com/" TargetMode="External"/><Relationship Id="rId4133" Type="http://schemas.openxmlformats.org/officeDocument/2006/relationships/hyperlink" Target="https://www.kapre.com/" TargetMode="External"/><Relationship Id="rId8754" Type="http://schemas.openxmlformats.org/officeDocument/2006/relationships/hyperlink" Target="https://propertychecker.com/" TargetMode="External"/><Relationship Id="rId9805" Type="http://schemas.openxmlformats.org/officeDocument/2006/relationships/hyperlink" Target="https://www.teachengineering.org/" TargetMode="External"/><Relationship Id="rId19" Type="http://schemas.openxmlformats.org/officeDocument/2006/relationships/hyperlink" Target="https://www.amgrents.com/kissimmee-property-management-blog/the-dos-and-donts-of-digital-property-marketing" TargetMode="External"/><Relationship Id="rId7356" Type="http://schemas.openxmlformats.org/officeDocument/2006/relationships/hyperlink" Target="https://www.taylormorrison.com/" TargetMode="External"/><Relationship Id="rId8407" Type="http://schemas.openxmlformats.org/officeDocument/2006/relationships/hyperlink" Target="https://ukconstructionblog.co.uk/2025/08/25/eliminate-mould-quickly-with-professional-mould-removal-service/" TargetMode="External"/><Relationship Id="rId10337" Type="http://schemas.openxmlformats.org/officeDocument/2006/relationships/hyperlink" Target="https://learningmole.com/build-your-own-anemometer-measuring/" TargetMode="External"/><Relationship Id="rId10684" Type="http://schemas.openxmlformats.org/officeDocument/2006/relationships/hyperlink" Target="https://www.teachengineering.org/" TargetMode="External"/><Relationship Id="rId11735" Type="http://schemas.openxmlformats.org/officeDocument/2006/relationships/hyperlink" Target="https://www.thecanary.co/discovery/property/2026/02/11/what-delays-a-flat-sale-common-issues-buyers-and-sellers-overlook/" TargetMode="External"/><Relationship Id="rId7009" Type="http://schemas.openxmlformats.org/officeDocument/2006/relationships/hyperlink" Target="https://www.simpleshowing.com/" TargetMode="External"/><Relationship Id="rId14958" Type="http://schemas.openxmlformats.org/officeDocument/2006/relationships/hyperlink" Target="https://www.kulfiy.com/life-in-queanbeyan-why-this-aussie-town-should-be-on-your-radar/" TargetMode="External"/><Relationship Id="rId3966" Type="http://schemas.openxmlformats.org/officeDocument/2006/relationships/hyperlink" Target="https://www.simpleshowing.com/" TargetMode="External"/><Relationship Id="rId3" Type="http://schemas.openxmlformats.org/officeDocument/2006/relationships/hyperlink" Target="https://app.ahrefs.com/v2-site-explorer/backlinks?anchorRules=&amp;bestFilter=all&amp;dataMode=text&amp;domainNameRules=&amp;dr=20-&amp;filterLiveOnly=0&amp;followType=dofollow&amp;grouping=one-per-domain&amp;hiddenColumns=&amp;highlightChanges=6m&amp;history=all&amp;ipRules=&amp;language=en&amp;limit=50&amp;mode=subdomains&amp;offset=0&amp;orgDomainTraffic=1000-&amp;refPageAuthorRules=&amp;refPageTitleRules=&amp;refPageUrlRules=&amp;sort=Traffic&amp;sortDirection=desc&amp;surroundingRules=&amp;target=https%3A%2F%2Fcheapplumber.ca%2F&amp;targetUrlRules=" TargetMode="External"/><Relationship Id="rId887" Type="http://schemas.openxmlformats.org/officeDocument/2006/relationships/hyperlink" Target="https://wiza.co/d/absolute-pest-management-atx/d636" TargetMode="External"/><Relationship Id="rId2568" Type="http://schemas.openxmlformats.org/officeDocument/2006/relationships/hyperlink" Target="https://www.simpleshowing.com/" TargetMode="External"/><Relationship Id="rId3619" Type="http://schemas.openxmlformats.org/officeDocument/2006/relationships/hyperlink" Target="https://www.pulte.com/" TargetMode="External"/><Relationship Id="rId5041" Type="http://schemas.openxmlformats.org/officeDocument/2006/relationships/hyperlink" Target="https://tapfiliate.com/blog/affiliate-marketing-compliance-gp/" TargetMode="External"/><Relationship Id="rId12990" Type="http://schemas.openxmlformats.org/officeDocument/2006/relationships/hyperlink" Target="https://businesschief.com/leadership-and-strategy/mutual-benefit-academia-partnerships-1" TargetMode="External"/><Relationship Id="rId16033" Type="http://schemas.openxmlformats.org/officeDocument/2006/relationships/hyperlink" Target="https://myinteriorpalace.com/" TargetMode="External"/><Relationship Id="rId9662" Type="http://schemas.openxmlformats.org/officeDocument/2006/relationships/hyperlink" Target="https://open.oregonstate.education/" TargetMode="External"/><Relationship Id="rId11592" Type="http://schemas.openxmlformats.org/officeDocument/2006/relationships/hyperlink" Target="https://www.hamiltoninternationalestates.com/" TargetMode="External"/><Relationship Id="rId12643" Type="http://schemas.openxmlformats.org/officeDocument/2006/relationships/hyperlink" Target="https://propertypressonline.co.uk/" TargetMode="External"/><Relationship Id="rId1651" Type="http://schemas.openxmlformats.org/officeDocument/2006/relationships/hyperlink" Target="https://wolfriverelectric.com/" TargetMode="External"/><Relationship Id="rId2702" Type="http://schemas.openxmlformats.org/officeDocument/2006/relationships/hyperlink" Target="https://www.realestatenews.com/2024/04/16/major-homebuilder-objects-to-commissions-settlement-process" TargetMode="External"/><Relationship Id="rId8264" Type="http://schemas.openxmlformats.org/officeDocument/2006/relationships/hyperlink" Target="https://www.pinoyeplans.com/" TargetMode="External"/><Relationship Id="rId9315" Type="http://schemas.openxmlformats.org/officeDocument/2006/relationships/hyperlink" Target="https://www.pinoyeplans.com/" TargetMode="External"/><Relationship Id="rId10194" Type="http://schemas.openxmlformats.org/officeDocument/2006/relationships/hyperlink" Target="https://www.pinoyeplans.com/" TargetMode="External"/><Relationship Id="rId11245" Type="http://schemas.openxmlformats.org/officeDocument/2006/relationships/hyperlink" Target="https://www.pinoyeplans.com/" TargetMode="External"/><Relationship Id="rId1304" Type="http://schemas.openxmlformats.org/officeDocument/2006/relationships/hyperlink" Target="https://nerdbot.com/2024/07/22/where-do-most-buyers-find-their-homes/" TargetMode="External"/><Relationship Id="rId4874" Type="http://schemas.openxmlformats.org/officeDocument/2006/relationships/hyperlink" Target="https://www.simpleshowing.com/" TargetMode="External"/><Relationship Id="rId14468" Type="http://schemas.openxmlformats.org/officeDocument/2006/relationships/hyperlink" Target="https://raynordoor.com/" TargetMode="External"/><Relationship Id="rId15866" Type="http://schemas.openxmlformats.org/officeDocument/2006/relationships/hyperlink" Target="https://www.modinex.com.au/" TargetMode="External"/><Relationship Id="rId3476" Type="http://schemas.openxmlformats.org/officeDocument/2006/relationships/hyperlink" Target="https://www.boston.com/real-estate/home-of-the-week/2016/07/28/home-week-55-plus-community-reading/" TargetMode="External"/><Relationship Id="rId4527" Type="http://schemas.openxmlformats.org/officeDocument/2006/relationships/hyperlink" Target="https://www.wbay.com/2024/05/27/high-school-seniors-can-now-get-real-estate-license-free-this-state/" TargetMode="External"/><Relationship Id="rId5925" Type="http://schemas.openxmlformats.org/officeDocument/2006/relationships/hyperlink" Target="https://codiant.com/blog/how-to-build-an-effective-personal-expense-tracker-application/" TargetMode="External"/><Relationship Id="rId15519" Type="http://schemas.openxmlformats.org/officeDocument/2006/relationships/hyperlink" Target="https://www.stylist.co.uk/home/mixed-metal-home-accessories/595709" TargetMode="External"/><Relationship Id="rId10" Type="http://schemas.openxmlformats.org/officeDocument/2006/relationships/hyperlink" Target="https://www.mysiteplan.com/blogs/news/best-companies-for-3d-rendering-services" TargetMode="External"/><Relationship Id="rId397" Type="http://schemas.openxmlformats.org/officeDocument/2006/relationships/hyperlink" Target="https://constrofacilitator.com/page/697/?cat=-1" TargetMode="External"/><Relationship Id="rId2078" Type="http://schemas.openxmlformats.org/officeDocument/2006/relationships/hyperlink" Target="https://activerain.com/blogsview/3429861/house-for-sale-in-alpharetta-5520-kennemore-dr-by-the-mark-spain-team" TargetMode="External"/><Relationship Id="rId3129" Type="http://schemas.openxmlformats.org/officeDocument/2006/relationships/hyperlink" Target="https://www.simpleshowing.com/" TargetMode="External"/><Relationship Id="rId7000" Type="http://schemas.openxmlformats.org/officeDocument/2006/relationships/hyperlink" Target="https://www.simpleshowing.com/" TargetMode="External"/><Relationship Id="rId6699" Type="http://schemas.openxmlformats.org/officeDocument/2006/relationships/hyperlink" Target="https://www.simpleshowing.com/" TargetMode="External"/><Relationship Id="rId9172" Type="http://schemas.openxmlformats.org/officeDocument/2006/relationships/hyperlink" Target="https://nycestimating.us/" TargetMode="External"/><Relationship Id="rId13551" Type="http://schemas.openxmlformats.org/officeDocument/2006/relationships/hyperlink" Target="https://10kwraps.com/blog-top-5-kia-soul-accessories-youll-love-2025/" TargetMode="External"/><Relationship Id="rId14602" Type="http://schemas.openxmlformats.org/officeDocument/2006/relationships/hyperlink" Target="https://myinteriorpalace.com/" TargetMode="External"/><Relationship Id="rId3610" Type="http://schemas.openxmlformats.org/officeDocument/2006/relationships/hyperlink" Target="https://www.pulte.com/" TargetMode="External"/><Relationship Id="rId12153" Type="http://schemas.openxmlformats.org/officeDocument/2006/relationships/hyperlink" Target="https://www.hamiltoninternationalestates.com/" TargetMode="External"/><Relationship Id="rId13204" Type="http://schemas.openxmlformats.org/officeDocument/2006/relationships/hyperlink" Target="https://propertypressonline.co.uk/" TargetMode="External"/><Relationship Id="rId531" Type="http://schemas.openxmlformats.org/officeDocument/2006/relationships/hyperlink" Target="https://www.carolinadesigns.com/" TargetMode="External"/><Relationship Id="rId1161" Type="http://schemas.openxmlformats.org/officeDocument/2006/relationships/hyperlink" Target="https://www.simpleshowing.com/" TargetMode="External"/><Relationship Id="rId2212" Type="http://schemas.openxmlformats.org/officeDocument/2006/relationships/hyperlink" Target="https://www.tulsahomesforcash.com/" TargetMode="External"/><Relationship Id="rId5782" Type="http://schemas.openxmlformats.org/officeDocument/2006/relationships/hyperlink" Target="https://www.simpleshowing.com/" TargetMode="External"/><Relationship Id="rId6833" Type="http://schemas.openxmlformats.org/officeDocument/2006/relationships/hyperlink" Target="https://www.thespruce.com/household-tips-7556405" TargetMode="External"/><Relationship Id="rId15376" Type="http://schemas.openxmlformats.org/officeDocument/2006/relationships/hyperlink" Target="https://myinteriorpalace.com/" TargetMode="External"/><Relationship Id="rId4384" Type="http://schemas.openxmlformats.org/officeDocument/2006/relationships/hyperlink" Target="https://www.simpleshowing.com/" TargetMode="External"/><Relationship Id="rId5435" Type="http://schemas.openxmlformats.org/officeDocument/2006/relationships/hyperlink" Target="https://actionsprout.com/blog/scams-on-facebook-marketplace/" TargetMode="External"/><Relationship Id="rId15029" Type="http://schemas.openxmlformats.org/officeDocument/2006/relationships/hyperlink" Target="https://www.luxdeco.com/" TargetMode="External"/><Relationship Id="rId4037" Type="http://schemas.openxmlformats.org/officeDocument/2006/relationships/hyperlink" Target="https://housereal.net/think-your-waters-fine-think-again/" TargetMode="External"/><Relationship Id="rId8658" Type="http://schemas.openxmlformats.org/officeDocument/2006/relationships/hyperlink" Target="https://perlelectrical.co.nz/" TargetMode="External"/><Relationship Id="rId9709" Type="http://schemas.openxmlformats.org/officeDocument/2006/relationships/hyperlink" Target="https://www.teachengineering.org/" TargetMode="External"/><Relationship Id="rId11986" Type="http://schemas.openxmlformats.org/officeDocument/2006/relationships/hyperlink" Target="https://www.bobvila.com/" TargetMode="External"/><Relationship Id="rId10588" Type="http://schemas.openxmlformats.org/officeDocument/2006/relationships/hyperlink" Target="https://www.teachengineering.org/" TargetMode="External"/><Relationship Id="rId11639" Type="http://schemas.openxmlformats.org/officeDocument/2006/relationships/hyperlink" Target="https://bromsgrovestandard.co.uk/lifestyle/what-is-the-appeal-of-moving-out-of-birmingham-to-bromsgrove/" TargetMode="External"/><Relationship Id="rId15510" Type="http://schemas.openxmlformats.org/officeDocument/2006/relationships/hyperlink" Target="https://londonlovesbusiness.com/a-brave-new-world-luxdeco-ceo-jonathan-holmes-on-the-future-of-work-after-covid-19/" TargetMode="External"/><Relationship Id="rId3120" Type="http://schemas.openxmlformats.org/officeDocument/2006/relationships/hyperlink" Target="https://www.simpleshowing.com/" TargetMode="External"/><Relationship Id="rId13061" Type="http://schemas.openxmlformats.org/officeDocument/2006/relationships/hyperlink" Target="https://www.shma.co.uk/" TargetMode="External"/><Relationship Id="rId14112" Type="http://schemas.openxmlformats.org/officeDocument/2006/relationships/hyperlink" Target="https://bnonews.com/index.php/2025/03/how-outdoor-decks-can-completely-transform-your-home-benefits-design-ideas/" TargetMode="External"/><Relationship Id="rId6690" Type="http://schemas.openxmlformats.org/officeDocument/2006/relationships/hyperlink" Target="https://www.simpleshowing.com/" TargetMode="External"/><Relationship Id="rId7741" Type="http://schemas.openxmlformats.org/officeDocument/2006/relationships/hyperlink" Target="https://discoverlakelanier.com/" TargetMode="External"/><Relationship Id="rId10722" Type="http://schemas.openxmlformats.org/officeDocument/2006/relationships/hyperlink" Target="https://www.pinoyeplans.com/" TargetMode="External"/><Relationship Id="rId5292" Type="http://schemas.openxmlformats.org/officeDocument/2006/relationships/hyperlink" Target="https://www.simpleshowing.com/" TargetMode="External"/><Relationship Id="rId6343" Type="http://schemas.openxmlformats.org/officeDocument/2006/relationships/hyperlink" Target="https://leavethekey.com/blog/sell-home-with-heloc/" TargetMode="External"/><Relationship Id="rId2953" Type="http://schemas.openxmlformats.org/officeDocument/2006/relationships/hyperlink" Target="https://www.pulte.com/" TargetMode="External"/><Relationship Id="rId9566" Type="http://schemas.openxmlformats.org/officeDocument/2006/relationships/hyperlink" Target="https://classic.csunplugged.org/activities/image-representation/" TargetMode="External"/><Relationship Id="rId11496" Type="http://schemas.openxmlformats.org/officeDocument/2006/relationships/hyperlink" Target="https://sellhousefast.uk/" TargetMode="External"/><Relationship Id="rId12547" Type="http://schemas.openxmlformats.org/officeDocument/2006/relationships/hyperlink" Target="https://propertypressonline.co.uk/" TargetMode="External"/><Relationship Id="rId12894" Type="http://schemas.openxmlformats.org/officeDocument/2006/relationships/hyperlink" Target="https://www.thegayuk.com/everything-you-need-to-know-about-wills-and-inheritance-if-youre-lgbt/" TargetMode="External"/><Relationship Id="rId13945" Type="http://schemas.openxmlformats.org/officeDocument/2006/relationships/hyperlink" Target="https://myinteriorpalace.com/" TargetMode="External"/><Relationship Id="rId925" Type="http://schemas.openxmlformats.org/officeDocument/2006/relationships/hyperlink" Target="https://www.matrixbasements.com/" TargetMode="External"/><Relationship Id="rId1555" Type="http://schemas.openxmlformats.org/officeDocument/2006/relationships/hyperlink" Target="https://wolfriverelectric.com/" TargetMode="External"/><Relationship Id="rId2606" Type="http://schemas.openxmlformats.org/officeDocument/2006/relationships/hyperlink" Target="https://www.bwfa.com/55-communities/" TargetMode="External"/><Relationship Id="rId8168" Type="http://schemas.openxmlformats.org/officeDocument/2006/relationships/hyperlink" Target="https://www.pinoyeplans.com/" TargetMode="External"/><Relationship Id="rId9219" Type="http://schemas.openxmlformats.org/officeDocument/2006/relationships/hyperlink" Target="https://www.pinoyeplans.com/" TargetMode="External"/><Relationship Id="rId10098" Type="http://schemas.openxmlformats.org/officeDocument/2006/relationships/hyperlink" Target="https://www.pinoyeplans.com/" TargetMode="External"/><Relationship Id="rId11149" Type="http://schemas.openxmlformats.org/officeDocument/2006/relationships/hyperlink" Target="https://www.dreamandtravel.com/water-damage-an-unforeseen-issue-in-travel-diaries" TargetMode="External"/><Relationship Id="rId15020" Type="http://schemas.openxmlformats.org/officeDocument/2006/relationships/hyperlink" Target="https://www.luxdeco.com/" TargetMode="External"/><Relationship Id="rId1208" Type="http://schemas.openxmlformats.org/officeDocument/2006/relationships/hyperlink" Target="https://www.healthstaffdiscounts.co.uk/biz/a/50365-happy2move" TargetMode="External"/><Relationship Id="rId4778" Type="http://schemas.openxmlformats.org/officeDocument/2006/relationships/hyperlink" Target="https://www.kapre.com/" TargetMode="External"/><Relationship Id="rId5829" Type="http://schemas.openxmlformats.org/officeDocument/2006/relationships/hyperlink" Target="https://instawp.com/how-wordpress-teams-develop-sites-faster/" TargetMode="External"/><Relationship Id="rId7251" Type="http://schemas.openxmlformats.org/officeDocument/2006/relationships/hyperlink" Target="https://www.taylormorrison.com/" TargetMode="External"/><Relationship Id="rId9700" Type="http://schemas.openxmlformats.org/officeDocument/2006/relationships/hyperlink" Target="https://www.teachengineering.org/" TargetMode="External"/><Relationship Id="rId11630" Type="http://schemas.openxmlformats.org/officeDocument/2006/relationships/hyperlink" Target="https://www.gardenandhome.co.za/recipes/braai/why-gardens-and-braais-sell-houses/" TargetMode="External"/><Relationship Id="rId8302" Type="http://schemas.openxmlformats.org/officeDocument/2006/relationships/hyperlink" Target="https://gcmag.com.au/why-scandinavian-lighting-needs-to-be-on-your-home-renovation-list/" TargetMode="External"/><Relationship Id="rId10232" Type="http://schemas.openxmlformats.org/officeDocument/2006/relationships/hyperlink" Target="https://www.alsc.ala.org/blog/2024/09/storming-the-stacks-weather-education-for-kids/" TargetMode="External"/><Relationship Id="rId14853" Type="http://schemas.openxmlformats.org/officeDocument/2006/relationships/hyperlink" Target="https://www.we-heart.com/2025/08/12/protecting-pipes-appliances-from-hard-water-at-the-source/" TargetMode="External"/><Relationship Id="rId15904" Type="http://schemas.openxmlformats.org/officeDocument/2006/relationships/hyperlink" Target="https://myinteriorpalace.com/" TargetMode="External"/><Relationship Id="rId3861" Type="http://schemas.openxmlformats.org/officeDocument/2006/relationships/hyperlink" Target="https://www.simpleshowing.com/" TargetMode="External"/><Relationship Id="rId4912" Type="http://schemas.openxmlformats.org/officeDocument/2006/relationships/hyperlink" Target="https://www.simpleshowing.com/" TargetMode="External"/><Relationship Id="rId13455" Type="http://schemas.openxmlformats.org/officeDocument/2006/relationships/hyperlink" Target="https://destiny-matrix.cc/en/blog/destiny-matrix-reviews/" TargetMode="External"/><Relationship Id="rId14506" Type="http://schemas.openxmlformats.org/officeDocument/2006/relationships/hyperlink" Target="https://myinteriorpalace.com/" TargetMode="External"/><Relationship Id="rId782" Type="http://schemas.openxmlformats.org/officeDocument/2006/relationships/hyperlink" Target="https://www.simpleshowing.com/" TargetMode="External"/><Relationship Id="rId2463" Type="http://schemas.openxmlformats.org/officeDocument/2006/relationships/hyperlink" Target="https://www.simpleshowing.com/" TargetMode="External"/><Relationship Id="rId3514" Type="http://schemas.openxmlformats.org/officeDocument/2006/relationships/hyperlink" Target="https://www.pulte.com/" TargetMode="External"/><Relationship Id="rId9076" Type="http://schemas.openxmlformats.org/officeDocument/2006/relationships/hyperlink" Target="https://nycestimating.us/" TargetMode="External"/><Relationship Id="rId12057" Type="http://schemas.openxmlformats.org/officeDocument/2006/relationships/hyperlink" Target="https://www.hamiltoninternationalestates.com/" TargetMode="External"/><Relationship Id="rId13108" Type="http://schemas.openxmlformats.org/officeDocument/2006/relationships/hyperlink" Target="https://propertypressonline.co.uk/" TargetMode="External"/><Relationship Id="rId435" Type="http://schemas.openxmlformats.org/officeDocument/2006/relationships/hyperlink" Target="https://www.carolinadesigns.com/" TargetMode="External"/><Relationship Id="rId1065" Type="http://schemas.openxmlformats.org/officeDocument/2006/relationships/hyperlink" Target="https://www.simpleshowing.com/" TargetMode="External"/><Relationship Id="rId2116" Type="http://schemas.openxmlformats.org/officeDocument/2006/relationships/hyperlink" Target="https://markspain.com/" TargetMode="External"/><Relationship Id="rId5686" Type="http://schemas.openxmlformats.org/officeDocument/2006/relationships/hyperlink" Target="https://www.simpleshowing.com/" TargetMode="External"/><Relationship Id="rId6737" Type="http://schemas.openxmlformats.org/officeDocument/2006/relationships/hyperlink" Target="https://www.cityof.com/search?c=Atlanta,%20GA&amp;k%5B0%5D=AC%20Maintenance" TargetMode="External"/><Relationship Id="rId4288" Type="http://schemas.openxmlformats.org/officeDocument/2006/relationships/hyperlink" Target="https://www.simpleshowing.com/" TargetMode="External"/><Relationship Id="rId5339" Type="http://schemas.openxmlformats.org/officeDocument/2006/relationships/hyperlink" Target="https://annamoney.au/blog/guides/how-to-pay-yourself-as-a-business-owner/" TargetMode="External"/><Relationship Id="rId9210" Type="http://schemas.openxmlformats.org/officeDocument/2006/relationships/hyperlink" Target="https://www.pinoyeplans.com/" TargetMode="External"/><Relationship Id="rId11140" Type="http://schemas.openxmlformats.org/officeDocument/2006/relationships/hyperlink" Target="https://www.waterdamagespecialist.com.au/" TargetMode="External"/><Relationship Id="rId15761" Type="http://schemas.openxmlformats.org/officeDocument/2006/relationships/hyperlink" Target="https://www.modinex.com.au/" TargetMode="External"/><Relationship Id="rId1949" Type="http://schemas.openxmlformats.org/officeDocument/2006/relationships/hyperlink" Target="https://easyshiksha.com/news/home-loans-explained-a-beginners-guide-to-mortgages" TargetMode="External"/><Relationship Id="rId5820" Type="http://schemas.openxmlformats.org/officeDocument/2006/relationships/hyperlink" Target="https://www.simpleshowing.com/" TargetMode="External"/><Relationship Id="rId14363" Type="http://schemas.openxmlformats.org/officeDocument/2006/relationships/hyperlink" Target="https://luxurylifestyle.com/" TargetMode="External"/><Relationship Id="rId15414" Type="http://schemas.openxmlformats.org/officeDocument/2006/relationships/hyperlink" Target="https://subdomainfinder.c99.nl/scans/2024-01-03/luxdeco.com" TargetMode="External"/><Relationship Id="rId292" Type="http://schemas.openxmlformats.org/officeDocument/2006/relationships/hyperlink" Target="https://www.findrentals.com/travel-news/steps-to-renting-out-your-condo" TargetMode="External"/><Relationship Id="rId3371" Type="http://schemas.openxmlformats.org/officeDocument/2006/relationships/hyperlink" Target="https://www.connectcre.com/stories/pulte-homes-acquires-belred-multifamily-site/" TargetMode="External"/><Relationship Id="rId4422" Type="http://schemas.openxmlformats.org/officeDocument/2006/relationships/hyperlink" Target="https://www.mattwardhomes.com/blog/choosing-the-right-path-exploring-the-best-nashville-tn-real-estate-schools/" TargetMode="External"/><Relationship Id="rId7992" Type="http://schemas.openxmlformats.org/officeDocument/2006/relationships/hyperlink" Target="https://distinctiveroofing.net/" TargetMode="External"/><Relationship Id="rId14016" Type="http://schemas.openxmlformats.org/officeDocument/2006/relationships/hyperlink" Target="https://mossandfog.com/how-to-create-a-luxurious-outdoor-deck-for-entertaining/" TargetMode="External"/><Relationship Id="rId3024" Type="http://schemas.openxmlformats.org/officeDocument/2006/relationships/hyperlink" Target="https://www.simpleshowing.com/" TargetMode="External"/><Relationship Id="rId6594" Type="http://schemas.openxmlformats.org/officeDocument/2006/relationships/hyperlink" Target="https://www.thermasol.com/" TargetMode="External"/><Relationship Id="rId7645" Type="http://schemas.openxmlformats.org/officeDocument/2006/relationships/hyperlink" Target="https://www.simpleshowing.com/" TargetMode="External"/><Relationship Id="rId10973" Type="http://schemas.openxmlformats.org/officeDocument/2006/relationships/hyperlink" Target="https://www.robotlab.com/blog/places-to-find-simple-yet-actionable-stem-lesson-plans" TargetMode="External"/><Relationship Id="rId16188" Type="http://schemas.openxmlformats.org/officeDocument/2006/relationships/hyperlink" Target="https://www.cardiff.co.uk/listing/1576682-United-Carpets-Wood-Floors-Beds/" TargetMode="External"/><Relationship Id="rId5196" Type="http://schemas.openxmlformats.org/officeDocument/2006/relationships/hyperlink" Target="https://www.simpleshowing.com/" TargetMode="External"/><Relationship Id="rId6247" Type="http://schemas.openxmlformats.org/officeDocument/2006/relationships/hyperlink" Target="https://huntr.co/job/624476e899fcc0005379d438" TargetMode="External"/><Relationship Id="rId10626" Type="http://schemas.openxmlformats.org/officeDocument/2006/relationships/hyperlink" Target="https://www.pinoyeplans.com/" TargetMode="External"/><Relationship Id="rId12798" Type="http://schemas.openxmlformats.org/officeDocument/2006/relationships/hyperlink" Target="https://www.crowncommercial.gov.uk/suppliers/108/shakespeare-martineau-llp" TargetMode="External"/><Relationship Id="rId13849" Type="http://schemas.openxmlformats.org/officeDocument/2006/relationships/hyperlink" Target="https://myinteriorpalace.com/" TargetMode="External"/><Relationship Id="rId1459" Type="http://schemas.openxmlformats.org/officeDocument/2006/relationships/hyperlink" Target="https://ritewindow.com/blog/3-indicators-its-time-to-upgrade-your-shower-or-bath/" TargetMode="External"/><Relationship Id="rId2857" Type="http://schemas.openxmlformats.org/officeDocument/2006/relationships/hyperlink" Target="https://www.pulte.com/" TargetMode="External"/><Relationship Id="rId3908" Type="http://schemas.openxmlformats.org/officeDocument/2006/relationships/hyperlink" Target="https://sd35.bc.ca/page/5724/scholarship-database" TargetMode="External"/><Relationship Id="rId5330" Type="http://schemas.openxmlformats.org/officeDocument/2006/relationships/hyperlink" Target="https://www.simpleshowing.com/" TargetMode="External"/><Relationship Id="rId15271" Type="http://schemas.openxmlformats.org/officeDocument/2006/relationships/hyperlink" Target="https://myinteriorpalace.com/" TargetMode="External"/><Relationship Id="rId829" Type="http://schemas.openxmlformats.org/officeDocument/2006/relationships/hyperlink" Target="https://reerin.com/adu-planning" TargetMode="External"/><Relationship Id="rId9951" Type="http://schemas.openxmlformats.org/officeDocument/2006/relationships/hyperlink" Target="https://www.pinoyeplans.com/" TargetMode="External"/><Relationship Id="rId11881" Type="http://schemas.openxmlformats.org/officeDocument/2006/relationships/hyperlink" Target="https://www.buymortgage.com/" TargetMode="External"/><Relationship Id="rId12932" Type="http://schemas.openxmlformats.org/officeDocument/2006/relationships/hyperlink" Target="https://www.shma.co.uk/" TargetMode="External"/><Relationship Id="rId1940" Type="http://schemas.openxmlformats.org/officeDocument/2006/relationships/hyperlink" Target="https://www.fastexpert.com/agents/harmony-neely-70917/" TargetMode="External"/><Relationship Id="rId8553" Type="http://schemas.openxmlformats.org/officeDocument/2006/relationships/hyperlink" Target="https://www.cylind.com/" TargetMode="External"/><Relationship Id="rId9604" Type="http://schemas.openxmlformats.org/officeDocument/2006/relationships/hyperlink" Target="https://www.teachengineering.org/" TargetMode="External"/><Relationship Id="rId10483" Type="http://schemas.openxmlformats.org/officeDocument/2006/relationships/hyperlink" Target="https://www.teachengineering.org/" TargetMode="External"/><Relationship Id="rId11534" Type="http://schemas.openxmlformats.org/officeDocument/2006/relationships/hyperlink" Target="https://www.hamiltoninternationalestates.com/" TargetMode="External"/><Relationship Id="rId7155" Type="http://schemas.openxmlformats.org/officeDocument/2006/relationships/hyperlink" Target="https://www.firstcallgolf.com/industry-news/release/2023-07-31/taylor-morrison-selects-troon-as-national-partner-to-help-lead-operations-in-esplanade-communities-alongside-esplanade-resort-experiences" TargetMode="External"/><Relationship Id="rId8206" Type="http://schemas.openxmlformats.org/officeDocument/2006/relationships/hyperlink" Target="https://www.myvipon.com/post/1165780/suspend_product.php" TargetMode="External"/><Relationship Id="rId10136" Type="http://schemas.openxmlformats.org/officeDocument/2006/relationships/hyperlink" Target="https://www.accgov.com/3927/Pre-K---12-Programs" TargetMode="External"/><Relationship Id="rId14757" Type="http://schemas.openxmlformats.org/officeDocument/2006/relationships/hyperlink" Target="https://www.theinspirationedit.com/garage-door-repair-experts-for-emergencies/" TargetMode="External"/><Relationship Id="rId3765" Type="http://schemas.openxmlformats.org/officeDocument/2006/relationships/hyperlink" Target="https://www.simpleshowing.com/" TargetMode="External"/><Relationship Id="rId4816" Type="http://schemas.openxmlformats.org/officeDocument/2006/relationships/hyperlink" Target="https://www.simpleshowing.com/" TargetMode="External"/><Relationship Id="rId13359" Type="http://schemas.openxmlformats.org/officeDocument/2006/relationships/hyperlink" Target="https://www.mastermindbehavior.com/post/the-impact-of-positive-reinforcement-on-long-term-behavior-change" TargetMode="External"/><Relationship Id="rId15808" Type="http://schemas.openxmlformats.org/officeDocument/2006/relationships/hyperlink" Target="https://myinteriorpalace.com/" TargetMode="External"/><Relationship Id="rId686" Type="http://schemas.openxmlformats.org/officeDocument/2006/relationships/hyperlink" Target="https://www.simpleshowing.com/" TargetMode="External"/><Relationship Id="rId2367" Type="http://schemas.openxmlformats.org/officeDocument/2006/relationships/hyperlink" Target="https://www.simpleshowing.com/" TargetMode="External"/><Relationship Id="rId3418" Type="http://schemas.openxmlformats.org/officeDocument/2006/relationships/hyperlink" Target="https://www.pulte.com/" TargetMode="External"/><Relationship Id="rId339" Type="http://schemas.openxmlformats.org/officeDocument/2006/relationships/hyperlink" Target="https://www.finnandemma.com/blogs/news/understanding-the-real-estate-market" TargetMode="External"/><Relationship Id="rId6988" Type="http://schemas.openxmlformats.org/officeDocument/2006/relationships/hyperlink" Target="https://www.simpleshowing.com/" TargetMode="External"/><Relationship Id="rId9461" Type="http://schemas.openxmlformats.org/officeDocument/2006/relationships/hyperlink" Target="https://www.gcu.edu/blog/engineering-technology/engineering-degree-career-options" TargetMode="External"/><Relationship Id="rId13840" Type="http://schemas.openxmlformats.org/officeDocument/2006/relationships/hyperlink" Target="https://myinteriorpalace.com/" TargetMode="External"/><Relationship Id="rId8063" Type="http://schemas.openxmlformats.org/officeDocument/2006/relationships/hyperlink" Target="https://www.pinoyeplans.com/" TargetMode="External"/><Relationship Id="rId9114" Type="http://schemas.openxmlformats.org/officeDocument/2006/relationships/hyperlink" Target="https://www.pinoyeplans.com/" TargetMode="External"/><Relationship Id="rId11391" Type="http://schemas.openxmlformats.org/officeDocument/2006/relationships/hyperlink" Target="http://webuyhouses.com/" TargetMode="External"/><Relationship Id="rId12442" Type="http://schemas.openxmlformats.org/officeDocument/2006/relationships/hyperlink" Target="https://sturents.com/" TargetMode="External"/><Relationship Id="rId820" Type="http://schemas.openxmlformats.org/officeDocument/2006/relationships/hyperlink" Target="https://www.kylechamber.org/list/member/absolute-pest-management-buda-6413" TargetMode="External"/><Relationship Id="rId1450" Type="http://schemas.openxmlformats.org/officeDocument/2006/relationships/hyperlink" Target="https://ritewindow.com/blog/3-indicators-its-time-to-upgrade-your-shower-or-bath/" TargetMode="External"/><Relationship Id="rId2501" Type="http://schemas.openxmlformats.org/officeDocument/2006/relationships/hyperlink" Target="https://southernhospitalityblog.com/9-favorite-greige-paint-colors/" TargetMode="External"/><Relationship Id="rId11044" Type="http://schemas.openxmlformats.org/officeDocument/2006/relationships/hyperlink" Target="https://www.teachengineering.org/" TargetMode="External"/><Relationship Id="rId15665" Type="http://schemas.openxmlformats.org/officeDocument/2006/relationships/hyperlink" Target="https://www.luxdeco.com/" TargetMode="External"/><Relationship Id="rId1103" Type="http://schemas.openxmlformats.org/officeDocument/2006/relationships/hyperlink" Target="https://www.todays-woman.net/2024/home-improvement/how-to-plan-a-bathroom-remodel/" TargetMode="External"/><Relationship Id="rId4673" Type="http://schemas.openxmlformats.org/officeDocument/2006/relationships/hyperlink" Target="https://www.kapre.com/" TargetMode="External"/><Relationship Id="rId5724" Type="http://schemas.openxmlformats.org/officeDocument/2006/relationships/hyperlink" Target="https://www.simpleshowing.com/" TargetMode="External"/><Relationship Id="rId14267" Type="http://schemas.openxmlformats.org/officeDocument/2006/relationships/hyperlink" Target="https://luxurylifestyle.com/" TargetMode="External"/><Relationship Id="rId15318" Type="http://schemas.openxmlformats.org/officeDocument/2006/relationships/hyperlink" Target="https://domusnova.com/es/journal/pantone-sunshine-on-a-cloudy-day/" TargetMode="External"/><Relationship Id="rId3275" Type="http://schemas.openxmlformats.org/officeDocument/2006/relationships/hyperlink" Target="https://www.buzzfile.com/business/Pulte-Group-281-749-8000" TargetMode="External"/><Relationship Id="rId4326" Type="http://schemas.openxmlformats.org/officeDocument/2006/relationships/hyperlink" Target="https://blog.ict.com.mm/mobile-app-for-property-search/" TargetMode="External"/><Relationship Id="rId7896" Type="http://schemas.openxmlformats.org/officeDocument/2006/relationships/hyperlink" Target="https://certifiedrestorationinc.com/" TargetMode="External"/><Relationship Id="rId8947" Type="http://schemas.openxmlformats.org/officeDocument/2006/relationships/hyperlink" Target="https://nycestimating.us/" TargetMode="External"/><Relationship Id="rId196" Type="http://schemas.openxmlformats.org/officeDocument/2006/relationships/hyperlink" Target="https://aloa.co/blog/what-software-do-real-estate-agents-use" TargetMode="External"/><Relationship Id="rId6498" Type="http://schemas.openxmlformats.org/officeDocument/2006/relationships/hyperlink" Target="https://www.simpleshowing.com/" TargetMode="External"/><Relationship Id="rId7549" Type="http://schemas.openxmlformats.org/officeDocument/2006/relationships/hyperlink" Target="https://www.simpleshowing.com/" TargetMode="External"/><Relationship Id="rId10877" Type="http://schemas.openxmlformats.org/officeDocument/2006/relationships/hyperlink" Target="https://eku.adventist.org/?e=406283012" TargetMode="External"/><Relationship Id="rId11928" Type="http://schemas.openxmlformats.org/officeDocument/2006/relationships/hyperlink" Target="https://www.hamiltoninternationalestates.com/" TargetMode="External"/><Relationship Id="rId13350" Type="http://schemas.openxmlformats.org/officeDocument/2006/relationships/hyperlink" Target="https://wordable.io/add-fonts-to-google-docs/" TargetMode="External"/><Relationship Id="rId14401" Type="http://schemas.openxmlformats.org/officeDocument/2006/relationships/hyperlink" Target="https://myinteriorpalace.com/" TargetMode="External"/><Relationship Id="rId330" Type="http://schemas.openxmlformats.org/officeDocument/2006/relationships/hyperlink" Target="http://northernvirginiahomepro.com/" TargetMode="External"/><Relationship Id="rId2011" Type="http://schemas.openxmlformats.org/officeDocument/2006/relationships/hyperlink" Target="https://markspain.com/" TargetMode="External"/><Relationship Id="rId13003" Type="http://schemas.openxmlformats.org/officeDocument/2006/relationships/hyperlink" Target="https://propertypressonline.co.uk/" TargetMode="External"/><Relationship Id="rId4183" Type="http://schemas.openxmlformats.org/officeDocument/2006/relationships/hyperlink" Target="https://www.simpleshowing.com/" TargetMode="External"/><Relationship Id="rId5581" Type="http://schemas.openxmlformats.org/officeDocument/2006/relationships/hyperlink" Target="https://forsomethingmore.com/traveling-the-world-tips-smooth-adventures/" TargetMode="External"/><Relationship Id="rId6632" Type="http://schemas.openxmlformats.org/officeDocument/2006/relationships/hyperlink" Target="https://www.thermasol.com/" TargetMode="External"/><Relationship Id="rId15175" Type="http://schemas.openxmlformats.org/officeDocument/2006/relationships/hyperlink" Target="https://myinteriorpalace.com/" TargetMode="External"/><Relationship Id="rId16226" Type="http://schemas.openxmlformats.org/officeDocument/2006/relationships/hyperlink" Target="https://www.unitedcarpetsandbeds.com/" TargetMode="External"/><Relationship Id="rId5234" Type="http://schemas.openxmlformats.org/officeDocument/2006/relationships/hyperlink" Target="https://www.simpleshowing.com/" TargetMode="External"/><Relationship Id="rId9855" Type="http://schemas.openxmlformats.org/officeDocument/2006/relationships/hyperlink" Target="https://www.pinoyeplans.com/" TargetMode="External"/><Relationship Id="rId11785" Type="http://schemas.openxmlformats.org/officeDocument/2006/relationships/hyperlink" Target="https://sellhousefast.uk/" TargetMode="External"/><Relationship Id="rId12836" Type="http://schemas.openxmlformats.org/officeDocument/2006/relationships/hyperlink" Target="https://www.shma.co.uk/" TargetMode="External"/><Relationship Id="rId69" Type="http://schemas.openxmlformats.org/officeDocument/2006/relationships/hyperlink" Target="http://www.thelondoneconomic.com/" TargetMode="External"/><Relationship Id="rId1844" Type="http://schemas.openxmlformats.org/officeDocument/2006/relationships/hyperlink" Target="https://943thepoint.com/ixp/942/p/peddlers-village-best-shopping-center/" TargetMode="External"/><Relationship Id="rId8457" Type="http://schemas.openxmlformats.org/officeDocument/2006/relationships/hyperlink" Target="https://www.cylind.com/" TargetMode="External"/><Relationship Id="rId9508" Type="http://schemas.openxmlformats.org/officeDocument/2006/relationships/hyperlink" Target="https://www.teachengineering.org/" TargetMode="External"/><Relationship Id="rId10387" Type="http://schemas.openxmlformats.org/officeDocument/2006/relationships/hyperlink" Target="https://www.teachengineering.org/" TargetMode="External"/><Relationship Id="rId11438" Type="http://schemas.openxmlformats.org/officeDocument/2006/relationships/hyperlink" Target="https://www.hamiltoninternationalestates.com/" TargetMode="External"/><Relationship Id="rId7059" Type="http://schemas.openxmlformats.org/officeDocument/2006/relationships/hyperlink" Target="https://tradesmith.com/stockdata/TMHC:NYSE" TargetMode="External"/><Relationship Id="rId3669" Type="http://schemas.openxmlformats.org/officeDocument/2006/relationships/hyperlink" Target="https://www.simpleshowing.com/" TargetMode="External"/><Relationship Id="rId7540" Type="http://schemas.openxmlformats.org/officeDocument/2006/relationships/hyperlink" Target="https://www.simpleshowing.com/" TargetMode="External"/><Relationship Id="rId16083" Type="http://schemas.openxmlformats.org/officeDocument/2006/relationships/hyperlink" Target="https://career.alma.edu/blog/2025/04/10/19-tips-for-sociology-majors-who-are-mapping-their-careers/" TargetMode="External"/><Relationship Id="rId5091" Type="http://schemas.openxmlformats.org/officeDocument/2006/relationships/hyperlink" Target="https://ossisto.com/blog/account-resolution-services/" TargetMode="External"/><Relationship Id="rId6142" Type="http://schemas.openxmlformats.org/officeDocument/2006/relationships/hyperlink" Target="https://www.simpleshowing.com/" TargetMode="External"/><Relationship Id="rId10521" Type="http://schemas.openxmlformats.org/officeDocument/2006/relationships/hyperlink" Target="https://www.pinoyeplans.com/" TargetMode="External"/><Relationship Id="rId12693" Type="http://schemas.openxmlformats.org/officeDocument/2006/relationships/hyperlink" Target="https://www.nottingham.ac.uk/news/innovative-start-ups-national-entrepreneur-awards-seed-funding" TargetMode="External"/><Relationship Id="rId13744" Type="http://schemas.openxmlformats.org/officeDocument/2006/relationships/hyperlink" Target="https://myinteriorpalace.com/" TargetMode="External"/><Relationship Id="rId2752" Type="http://schemas.openxmlformats.org/officeDocument/2006/relationships/hyperlink" Target="https://www.pulte.com/" TargetMode="External"/><Relationship Id="rId3803" Type="http://schemas.openxmlformats.org/officeDocument/2006/relationships/hyperlink" Target="https://www.arcticspas.com/research/worlds-most-efficient-hot-tubs/" TargetMode="External"/><Relationship Id="rId9365" Type="http://schemas.openxmlformats.org/officeDocument/2006/relationships/hyperlink" Target="https://www.rooflife-oregon.com/blog/algae-on-roof-shingles/" TargetMode="External"/><Relationship Id="rId11295" Type="http://schemas.openxmlformats.org/officeDocument/2006/relationships/hyperlink" Target="https://realtylink.org/en/realtors" TargetMode="External"/><Relationship Id="rId12346" Type="http://schemas.openxmlformats.org/officeDocument/2006/relationships/hyperlink" Target="https://sturents.com/" TargetMode="External"/><Relationship Id="rId724" Type="http://schemas.openxmlformats.org/officeDocument/2006/relationships/hyperlink" Target="https://urbanmatter.com/9-things-to-eat-enjoy-experience-when-vacationing-in-duck-north-carolina/" TargetMode="External"/><Relationship Id="rId1354" Type="http://schemas.openxmlformats.org/officeDocument/2006/relationships/hyperlink" Target="https://darscover.com/" TargetMode="External"/><Relationship Id="rId2405" Type="http://schemas.openxmlformats.org/officeDocument/2006/relationships/hyperlink" Target="https://homenation.com/blog/top-5-home-builders-in-indiana" TargetMode="External"/><Relationship Id="rId5975" Type="http://schemas.openxmlformats.org/officeDocument/2006/relationships/hyperlink" Target="https://press.farm/importance-loan-literacy-todays-financial-sphere/" TargetMode="External"/><Relationship Id="rId9018" Type="http://schemas.openxmlformats.org/officeDocument/2006/relationships/hyperlink" Target="https://www.pinoyeplans.com/" TargetMode="External"/><Relationship Id="rId15569" Type="http://schemas.openxmlformats.org/officeDocument/2006/relationships/hyperlink" Target="https://www.luxdeco.com/" TargetMode="External"/><Relationship Id="rId60" Type="http://schemas.openxmlformats.org/officeDocument/2006/relationships/hyperlink" Target="http://blog.donajobrand.com/" TargetMode="External"/><Relationship Id="rId1007" Type="http://schemas.openxmlformats.org/officeDocument/2006/relationships/hyperlink" Target="https://conservamome.com/transforming-underused-spaces-into-functional-living-areas/" TargetMode="External"/><Relationship Id="rId4577" Type="http://schemas.openxmlformats.org/officeDocument/2006/relationships/hyperlink" Target="https://www.kapre.com/" TargetMode="External"/><Relationship Id="rId5628" Type="http://schemas.openxmlformats.org/officeDocument/2006/relationships/hyperlink" Target="https://www.simpleshowing.com/" TargetMode="External"/><Relationship Id="rId3179" Type="http://schemas.openxmlformats.org/officeDocument/2006/relationships/hyperlink" Target="https://www.nj.com/hudson/2025/09/luxury-townhomes-with-dog-walk-business-center-planned-for-nj-waterfront.html" TargetMode="External"/><Relationship Id="rId7050" Type="http://schemas.openxmlformats.org/officeDocument/2006/relationships/hyperlink" Target="http://www.stockwatch.com/Quote/Detail?U:TMHC" TargetMode="External"/><Relationship Id="rId8101" Type="http://schemas.openxmlformats.org/officeDocument/2006/relationships/hyperlink" Target="https://www.lsc.edu/foundation/scholarship-opportunities/external-scholarship-opportunities/" TargetMode="External"/><Relationship Id="rId10031" Type="http://schemas.openxmlformats.org/officeDocument/2006/relationships/hyperlink" Target="https://ideas.pixton.com/simple-machines" TargetMode="External"/><Relationship Id="rId14652" Type="http://schemas.openxmlformats.org/officeDocument/2006/relationships/hyperlink" Target="https://justsimplymom.com/3-best-garage-door-companies-in-houston-for-24-7-repairs/" TargetMode="External"/><Relationship Id="rId15703" Type="http://schemas.openxmlformats.org/officeDocument/2006/relationships/hyperlink" Target="https://myinteriorpalace.com/" TargetMode="External"/><Relationship Id="rId581" Type="http://schemas.openxmlformats.org/officeDocument/2006/relationships/hyperlink" Target="https://www.simpleshowing.com/" TargetMode="External"/><Relationship Id="rId2262" Type="http://schemas.openxmlformats.org/officeDocument/2006/relationships/hyperlink" Target="https://www.simpleshowing.com/" TargetMode="External"/><Relationship Id="rId3660" Type="http://schemas.openxmlformats.org/officeDocument/2006/relationships/hyperlink" Target="https://www.simpleshowing.com/" TargetMode="External"/><Relationship Id="rId4711" Type="http://schemas.openxmlformats.org/officeDocument/2006/relationships/hyperlink" Target="https://www.simpleshowing.com/" TargetMode="External"/><Relationship Id="rId13254" Type="http://schemas.openxmlformats.org/officeDocument/2006/relationships/hyperlink" Target="https://www.designingbuildings.co.uk/wiki/User:Portfolio8" TargetMode="External"/><Relationship Id="rId14305" Type="http://schemas.openxmlformats.org/officeDocument/2006/relationships/hyperlink" Target="https://myinteriorpalace.com/" TargetMode="External"/><Relationship Id="rId234" Type="http://schemas.openxmlformats.org/officeDocument/2006/relationships/hyperlink" Target="http://northernvirginiahomepro.com/" TargetMode="External"/><Relationship Id="rId3313" Type="http://schemas.openxmlformats.org/officeDocument/2006/relationships/hyperlink" Target="https://www.pulte.com/" TargetMode="External"/><Relationship Id="rId6883" Type="http://schemas.openxmlformats.org/officeDocument/2006/relationships/hyperlink" Target="https://www.taylormorrison.com/" TargetMode="External"/><Relationship Id="rId7934" Type="http://schemas.openxmlformats.org/officeDocument/2006/relationships/hyperlink" Target="https://www.pinoyeplans.com/" TargetMode="External"/><Relationship Id="rId5485" Type="http://schemas.openxmlformats.org/officeDocument/2006/relationships/hyperlink" Target="https://blog.designcrowd.fr/article/2232/how-to-visually-capture-customers-in-new-traffic-channels-2025" TargetMode="External"/><Relationship Id="rId6536" Type="http://schemas.openxmlformats.org/officeDocument/2006/relationships/hyperlink" Target="https://www.thermasol.com/" TargetMode="External"/><Relationship Id="rId10915" Type="http://schemas.openxmlformats.org/officeDocument/2006/relationships/hyperlink" Target="https://www.teachengineering.org/" TargetMode="External"/><Relationship Id="rId15079" Type="http://schemas.openxmlformats.org/officeDocument/2006/relationships/hyperlink" Target="https://myinteriorpalace.com/" TargetMode="External"/><Relationship Id="rId4087" Type="http://schemas.openxmlformats.org/officeDocument/2006/relationships/hyperlink" Target="https://www.simpleshowing.com/" TargetMode="External"/><Relationship Id="rId5138" Type="http://schemas.openxmlformats.org/officeDocument/2006/relationships/hyperlink" Target="https://www.simpleshowing.com/" TargetMode="External"/><Relationship Id="rId9759" Type="http://schemas.openxmlformats.org/officeDocument/2006/relationships/hyperlink" Target="https://www.pinoyeplans.com/" TargetMode="External"/><Relationship Id="rId1748" Type="http://schemas.openxmlformats.org/officeDocument/2006/relationships/hyperlink" Target="https://929thebull.com/ixp/137/p/washington-energy-efficiency/" TargetMode="External"/><Relationship Id="rId11689" Type="http://schemas.openxmlformats.org/officeDocument/2006/relationships/hyperlink" Target="https://sellhousefast.uk/" TargetMode="External"/><Relationship Id="rId14162" Type="http://schemas.openxmlformats.org/officeDocument/2006/relationships/hyperlink" Target="https://luxurylifestyle.com/" TargetMode="External"/><Relationship Id="rId15560" Type="http://schemas.openxmlformats.org/officeDocument/2006/relationships/hyperlink" Target="https://www.luxdeco.com/" TargetMode="External"/><Relationship Id="rId3170" Type="http://schemas.openxmlformats.org/officeDocument/2006/relationships/hyperlink" Target="https://rejournals.com/cbre-closes-land-sale-for-ryan-companies-in-st-paul/" TargetMode="External"/><Relationship Id="rId4221" Type="http://schemas.openxmlformats.org/officeDocument/2006/relationships/hyperlink" Target="https://community.kaplan.com/realestate" TargetMode="External"/><Relationship Id="rId15213" Type="http://schemas.openxmlformats.org/officeDocument/2006/relationships/hyperlink" Target="https://kitchensbedroomsandbathrooms.com/kitchens/barstools-with-backs-to-add-style-and-comfort-to-your-kitchen/" TargetMode="External"/><Relationship Id="rId6393" Type="http://schemas.openxmlformats.org/officeDocument/2006/relationships/hyperlink" Target="https://www.fiftyandfab.co.uk/guest-blogs/previous/19" TargetMode="External"/><Relationship Id="rId7791" Type="http://schemas.openxmlformats.org/officeDocument/2006/relationships/hyperlink" Target="https://discoverlakelanier.com/" TargetMode="External"/><Relationship Id="rId8842" Type="http://schemas.openxmlformats.org/officeDocument/2006/relationships/hyperlink" Target="https://www.trianglepest.com/" TargetMode="External"/><Relationship Id="rId10772" Type="http://schemas.openxmlformats.org/officeDocument/2006/relationships/hyperlink" Target="https://www.mathnasium.com/math-centers/warrenton/news/2024-7-23-steam-workshops" TargetMode="External"/><Relationship Id="rId11823" Type="http://schemas.openxmlformats.org/officeDocument/2006/relationships/hyperlink" Target="https://www.hamiltoninternationalestates.com/" TargetMode="External"/><Relationship Id="rId6046" Type="http://schemas.openxmlformats.org/officeDocument/2006/relationships/hyperlink" Target="https://www.simpleshowing.com/" TargetMode="External"/><Relationship Id="rId7444" Type="http://schemas.openxmlformats.org/officeDocument/2006/relationships/hyperlink" Target="https://www.simpleshowing.com/" TargetMode="External"/><Relationship Id="rId10425" Type="http://schemas.openxmlformats.org/officeDocument/2006/relationships/hyperlink" Target="https://www.pinoyeplans.com/" TargetMode="External"/><Relationship Id="rId13995" Type="http://schemas.openxmlformats.org/officeDocument/2006/relationships/hyperlink" Target="https://ghthanks.com/revamping-your-outdoors-without-breaking-the-bank-smart-tips-to-elevate-and-maintain-your-homes-curb-appeal/" TargetMode="External"/><Relationship Id="rId12597" Type="http://schemas.openxmlformats.org/officeDocument/2006/relationships/hyperlink" Target="https://www.bristol.ac.uk/bristol-digital-futures-institute/our-partners/" TargetMode="External"/><Relationship Id="rId13648" Type="http://schemas.openxmlformats.org/officeDocument/2006/relationships/hyperlink" Target="https://myinteriorpalace.com/" TargetMode="External"/><Relationship Id="rId975" Type="http://schemas.openxmlformats.org/officeDocument/2006/relationships/hyperlink" Target="https://www.simpleshowing.com/" TargetMode="External"/><Relationship Id="rId2656" Type="http://schemas.openxmlformats.org/officeDocument/2006/relationships/hyperlink" Target="https://www.pulte.com/" TargetMode="External"/><Relationship Id="rId3707" Type="http://schemas.openxmlformats.org/officeDocument/2006/relationships/hyperlink" Target="https://www.archpaper.com/2022/03/facades-the-clay-studio-reflects-skilled-craftwork-inside-and-out-philadelphia/" TargetMode="External"/><Relationship Id="rId9269" Type="http://schemas.openxmlformats.org/officeDocument/2006/relationships/hyperlink" Target="https://www.chemicals.co.uk/blog/what-is-viscosity-in-chemistry" TargetMode="External"/><Relationship Id="rId11199" Type="http://schemas.openxmlformats.org/officeDocument/2006/relationships/hyperlink" Target="https://www.waterdamagespecialist.com.au/" TargetMode="External"/><Relationship Id="rId15070" Type="http://schemas.openxmlformats.org/officeDocument/2006/relationships/hyperlink" Target="https://myinteriorpalace.com/" TargetMode="External"/><Relationship Id="rId16121" Type="http://schemas.openxmlformats.org/officeDocument/2006/relationships/hyperlink" Target="https://www.rwdoors.com/" TargetMode="External"/><Relationship Id="rId628" Type="http://schemas.openxmlformats.org/officeDocument/2006/relationships/hyperlink" Target="https://onestep4ward.com/5-essential-tips-for-choosing-the-perfect-vacation-rental/" TargetMode="External"/><Relationship Id="rId1258" Type="http://schemas.openxmlformats.org/officeDocument/2006/relationships/hyperlink" Target="https://darscover.com/" TargetMode="External"/><Relationship Id="rId2309" Type="http://schemas.openxmlformats.org/officeDocument/2006/relationships/hyperlink" Target="https://www.accessatlanta.com/atlanta-things-to-do/where-to-participate-in-egg-stra-special-easter-activities-in-metro-atlanta/RT4S42MSYZAAFMB2Y7CHIQ5M3Q/" TargetMode="External"/><Relationship Id="rId5879" Type="http://schemas.openxmlformats.org/officeDocument/2006/relationships/hyperlink" Target="https://www.brainvire.com/blog/measures-to-mitigate-impact-of-covid-19-on-finance-sector/" TargetMode="External"/><Relationship Id="rId9750" Type="http://schemas.openxmlformats.org/officeDocument/2006/relationships/hyperlink" Target="https://www.pinoyeplans.com/" TargetMode="External"/><Relationship Id="rId8352" Type="http://schemas.openxmlformats.org/officeDocument/2006/relationships/hyperlink" Target="https://australiansecurecapital.com.au/" TargetMode="External"/><Relationship Id="rId9403" Type="http://schemas.openxmlformats.org/officeDocument/2006/relationships/hyperlink" Target="https://www.teachengineering.org/" TargetMode="External"/><Relationship Id="rId11680" Type="http://schemas.openxmlformats.org/officeDocument/2006/relationships/hyperlink" Target="https://sellhousefast.uk/" TargetMode="External"/><Relationship Id="rId12731" Type="http://schemas.openxmlformats.org/officeDocument/2006/relationships/hyperlink" Target="https://www.shma.co.uk/" TargetMode="External"/><Relationship Id="rId8005" Type="http://schemas.openxmlformats.org/officeDocument/2006/relationships/hyperlink" Target="https://northfaceconstruction.com/blog/roof-scupper/" TargetMode="External"/><Relationship Id="rId10282" Type="http://schemas.openxmlformats.org/officeDocument/2006/relationships/hyperlink" Target="https://www.teachengineering.org/" TargetMode="External"/><Relationship Id="rId11333" Type="http://schemas.openxmlformats.org/officeDocument/2006/relationships/hyperlink" Target="http://webuyhouses.com/" TargetMode="External"/><Relationship Id="rId15954" Type="http://schemas.openxmlformats.org/officeDocument/2006/relationships/hyperlink" Target="https://grokipedia.com/page/Garage_door" TargetMode="External"/><Relationship Id="rId4962" Type="http://schemas.openxmlformats.org/officeDocument/2006/relationships/hyperlink" Target="https://www.simpleshowing.com/" TargetMode="External"/><Relationship Id="rId14556" Type="http://schemas.openxmlformats.org/officeDocument/2006/relationships/hyperlink" Target="https://www.thepaintedhinge.com/top-5-reasons-your-garage-door-opener-stops-working-and-how-to-prevent-it/" TargetMode="External"/><Relationship Id="rId15607" Type="http://schemas.openxmlformats.org/officeDocument/2006/relationships/hyperlink" Target="https://myinteriorpalace.com/" TargetMode="External"/><Relationship Id="rId3564" Type="http://schemas.openxmlformats.org/officeDocument/2006/relationships/hyperlink" Target="https://www.simpleshowing.com/" TargetMode="External"/><Relationship Id="rId4615" Type="http://schemas.openxmlformats.org/officeDocument/2006/relationships/hyperlink" Target="https://www.simpleshowing.com/" TargetMode="External"/><Relationship Id="rId13158" Type="http://schemas.openxmlformats.org/officeDocument/2006/relationships/hyperlink" Target="https://www.impressiondigital.com/resources/white-papers/a-guide-to-digital-marketing-for-professional-services/" TargetMode="External"/><Relationship Id="rId14209" Type="http://schemas.openxmlformats.org/officeDocument/2006/relationships/hyperlink" Target="https://myinteriorpalace.com/" TargetMode="External"/><Relationship Id="rId485" Type="http://schemas.openxmlformats.org/officeDocument/2006/relationships/hyperlink" Target="https://www.simpleshowing.com/" TargetMode="External"/><Relationship Id="rId2166" Type="http://schemas.openxmlformats.org/officeDocument/2006/relationships/hyperlink" Target="https://www.simpleshowing.com/" TargetMode="External"/><Relationship Id="rId3217" Type="http://schemas.openxmlformats.org/officeDocument/2006/relationships/hyperlink" Target="https://www.pulte.com/" TargetMode="External"/><Relationship Id="rId6787" Type="http://schemas.openxmlformats.org/officeDocument/2006/relationships/hyperlink" Target="https://www.taylormorrison.com/" TargetMode="External"/><Relationship Id="rId7838" Type="http://schemas.openxmlformats.org/officeDocument/2006/relationships/hyperlink" Target="https://www.simpleshowing.com/" TargetMode="External"/><Relationship Id="rId138" Type="http://schemas.openxmlformats.org/officeDocument/2006/relationships/hyperlink" Target="https://www.thenorthernview.com/" TargetMode="External"/><Relationship Id="rId5389" Type="http://schemas.openxmlformats.org/officeDocument/2006/relationships/hyperlink" Target="https://gethppy.com/workplace-happiness/how-hr-can-help-employees-facing-financial-difficulties" TargetMode="External"/><Relationship Id="rId9260" Type="http://schemas.openxmlformats.org/officeDocument/2006/relationships/hyperlink" Target="https://dewesoft.com/blog/volts-and-currents-explained" TargetMode="External"/><Relationship Id="rId10819" Type="http://schemas.openxmlformats.org/officeDocument/2006/relationships/hyperlink" Target="https://www.teachengineering.org/" TargetMode="External"/><Relationship Id="rId11190" Type="http://schemas.openxmlformats.org/officeDocument/2006/relationships/hyperlink" Target="https://www.waterdamagespecialist.com.au/" TargetMode="External"/><Relationship Id="rId12241" Type="http://schemas.openxmlformats.org/officeDocument/2006/relationships/hyperlink" Target="https://marrons.co.uk/" TargetMode="External"/><Relationship Id="rId2300" Type="http://schemas.openxmlformats.org/officeDocument/2006/relationships/hyperlink" Target="https://steller.co/d/the-collection-at-36kKttm6yzNVqLYBwha74KH" TargetMode="External"/><Relationship Id="rId1999" Type="http://schemas.openxmlformats.org/officeDocument/2006/relationships/hyperlink" Target="https://markspain.com/" TargetMode="External"/><Relationship Id="rId4472" Type="http://schemas.openxmlformats.org/officeDocument/2006/relationships/hyperlink" Target="https://www.kapre.com/" TargetMode="External"/><Relationship Id="rId5870" Type="http://schemas.openxmlformats.org/officeDocument/2006/relationships/hyperlink" Target="https://www.simpleshowing.com/" TargetMode="External"/><Relationship Id="rId6921" Type="http://schemas.openxmlformats.org/officeDocument/2006/relationships/hyperlink" Target="https://www.sherwin-williams.com/architects-specifiers-designers/inspiration/stir/new-residential-for-a-new-era" TargetMode="External"/><Relationship Id="rId15464" Type="http://schemas.openxmlformats.org/officeDocument/2006/relationships/hyperlink" Target="https://www.luxdeco.com/" TargetMode="External"/><Relationship Id="rId3074" Type="http://schemas.openxmlformats.org/officeDocument/2006/relationships/hyperlink" Target="https://www.metroparent.com/parenting/advice/kid-friendly-subdivisions-metro-detroit/" TargetMode="External"/><Relationship Id="rId4125" Type="http://schemas.openxmlformats.org/officeDocument/2006/relationships/hyperlink" Target="https://www.best-trade-schools.net/schools/bob-hogue-school-of-real-estate/" TargetMode="External"/><Relationship Id="rId5523" Type="http://schemas.openxmlformats.org/officeDocument/2006/relationships/hyperlink" Target="https://sportsmedicineweekly.com/blog/featured/top-career-ideas-for-people-who-love-health-and-fitness/" TargetMode="External"/><Relationship Id="rId14066" Type="http://schemas.openxmlformats.org/officeDocument/2006/relationships/hyperlink" Target="https://keystonecustomdecksny.com/" TargetMode="External"/><Relationship Id="rId15117" Type="http://schemas.openxmlformats.org/officeDocument/2006/relationships/hyperlink" Target="https://www.huzzle.com/companies/luxdeco" TargetMode="External"/><Relationship Id="rId7695" Type="http://schemas.openxmlformats.org/officeDocument/2006/relationships/hyperlink" Target="https://www.sangfroidwebdesign.com/cumming-ga-web-design-seo/" TargetMode="External"/><Relationship Id="rId8746" Type="http://schemas.openxmlformats.org/officeDocument/2006/relationships/hyperlink" Target="https://www.proven.partners/blog/capital-raising-real-estate" TargetMode="External"/><Relationship Id="rId10676" Type="http://schemas.openxmlformats.org/officeDocument/2006/relationships/hyperlink" Target="https://learn.k20center.ou.edu/lesson/1459" TargetMode="External"/><Relationship Id="rId11727" Type="http://schemas.openxmlformats.org/officeDocument/2006/relationships/hyperlink" Target="https://www.hamiltoninternationalestates.com/" TargetMode="External"/><Relationship Id="rId6297" Type="http://schemas.openxmlformats.org/officeDocument/2006/relationships/hyperlink" Target="https://www.citizentribune.com/news/business/7-easy-ways-to-start-saving-for-christmas/article_c0ad9383-4eb1-5464-9a2b-24340d663c46.html" TargetMode="External"/><Relationship Id="rId7348" Type="http://schemas.openxmlformats.org/officeDocument/2006/relationships/hyperlink" Target="https://app.podcastguru.io/podcast/house-of-data-1702761260/episode/brian-juedes-building-homes-with-data-ep-8-f1bd76d92eb61552ec8f70018b5cfac5" TargetMode="External"/><Relationship Id="rId10329" Type="http://schemas.openxmlformats.org/officeDocument/2006/relationships/hyperlink" Target="https://www.pinoyeplans.com/" TargetMode="External"/><Relationship Id="rId13899" Type="http://schemas.openxmlformats.org/officeDocument/2006/relationships/hyperlink" Target="https://www.bloglovin.com/blogs/a-house-in-hills-12110977/how-to-achieve-a-hampton-style-home-with-8735081564" TargetMode="External"/><Relationship Id="rId14200" Type="http://schemas.openxmlformats.org/officeDocument/2006/relationships/hyperlink" Target="https://myinteriorpalace.com/" TargetMode="External"/><Relationship Id="rId3958" Type="http://schemas.openxmlformats.org/officeDocument/2006/relationships/hyperlink" Target="https://www.smartsolarenergyco.com/" TargetMode="External"/><Relationship Id="rId879" Type="http://schemas.openxmlformats.org/officeDocument/2006/relationships/hyperlink" Target="https://www.simpleshowing.com/" TargetMode="External"/><Relationship Id="rId5380" Type="http://schemas.openxmlformats.org/officeDocument/2006/relationships/hyperlink" Target="https://www.simpleshowing.com/" TargetMode="External"/><Relationship Id="rId6431" Type="http://schemas.openxmlformats.org/officeDocument/2006/relationships/hyperlink" Target="https://www.thermasol.com/" TargetMode="External"/><Relationship Id="rId10810" Type="http://schemas.openxmlformats.org/officeDocument/2006/relationships/hyperlink" Target="https://www.teachengineering.org/" TargetMode="External"/><Relationship Id="rId16025" Type="http://schemas.openxmlformats.org/officeDocument/2006/relationships/hyperlink" Target="https://www.rwdoors.com/" TargetMode="External"/><Relationship Id="rId5033" Type="http://schemas.openxmlformats.org/officeDocument/2006/relationships/hyperlink" Target="https://www.achieve.com/learn/everyday-finances/need-money-to-pay-rent-tomorrow" TargetMode="External"/><Relationship Id="rId12982" Type="http://schemas.openxmlformats.org/officeDocument/2006/relationships/hyperlink" Target="https://propertypressonline.co.uk/" TargetMode="External"/><Relationship Id="rId1990" Type="http://schemas.openxmlformats.org/officeDocument/2006/relationships/hyperlink" Target="https://markspain.com/" TargetMode="External"/><Relationship Id="rId8256" Type="http://schemas.openxmlformats.org/officeDocument/2006/relationships/hyperlink" Target="https://www.zestlighting.com.au/" TargetMode="External"/><Relationship Id="rId9654" Type="http://schemas.openxmlformats.org/officeDocument/2006/relationships/hyperlink" Target="https://www.pinoyeplans.com/" TargetMode="External"/><Relationship Id="rId11584" Type="http://schemas.openxmlformats.org/officeDocument/2006/relationships/hyperlink" Target="https://sellhousefast.uk/" TargetMode="External"/><Relationship Id="rId12635" Type="http://schemas.openxmlformats.org/officeDocument/2006/relationships/hyperlink" Target="https://www.shma.co.uk/" TargetMode="External"/><Relationship Id="rId1643" Type="http://schemas.openxmlformats.org/officeDocument/2006/relationships/hyperlink" Target="https://applemagazine.com/7-home-investments-that-end-up-paying-for-themselves/" TargetMode="External"/><Relationship Id="rId9307" Type="http://schemas.openxmlformats.org/officeDocument/2006/relationships/hyperlink" Target="https://www.teachengineering.org/" TargetMode="External"/><Relationship Id="rId10186" Type="http://schemas.openxmlformats.org/officeDocument/2006/relationships/hyperlink" Target="https://www.teachengineering.org/" TargetMode="External"/><Relationship Id="rId11237" Type="http://schemas.openxmlformats.org/officeDocument/2006/relationships/hyperlink" Target="https://www.pinoyeplans.com/" TargetMode="External"/><Relationship Id="rId15858" Type="http://schemas.openxmlformats.org/officeDocument/2006/relationships/hyperlink" Target="https://nationaldirectory.com.au/urbanline1/home" TargetMode="External"/><Relationship Id="rId4866" Type="http://schemas.openxmlformats.org/officeDocument/2006/relationships/hyperlink" Target="https://www.simpleshowing.com/" TargetMode="External"/><Relationship Id="rId5917" Type="http://schemas.openxmlformats.org/officeDocument/2006/relationships/hyperlink" Target="https://www.digitaltrends.com/contributor-content/the-digital-dollar-how-ai-is-reshaping-debt-management/" TargetMode="External"/><Relationship Id="rId3468" Type="http://schemas.openxmlformats.org/officeDocument/2006/relationships/hyperlink" Target="https://www.simpleshowing.com/" TargetMode="External"/><Relationship Id="rId4519" Type="http://schemas.openxmlformats.org/officeDocument/2006/relationships/hyperlink" Target="https://www.simpleshowing.com/" TargetMode="External"/><Relationship Id="rId10320" Type="http://schemas.openxmlformats.org/officeDocument/2006/relationships/hyperlink" Target="https://www.pinoyeplans.com/" TargetMode="External"/><Relationship Id="rId389" Type="http://schemas.openxmlformats.org/officeDocument/2006/relationships/hyperlink" Target="https://programminginsider.com/the-art-of-presenting-exquisite-residences-through-photography/" TargetMode="External"/><Relationship Id="rId13890" Type="http://schemas.openxmlformats.org/officeDocument/2006/relationships/hyperlink" Target="https://grokipedia.com/page/Floating_floor" TargetMode="External"/><Relationship Id="rId14941" Type="http://schemas.openxmlformats.org/officeDocument/2006/relationships/hyperlink" Target="https://myinteriorpalace.com/" TargetMode="External"/><Relationship Id="rId870" Type="http://schemas.openxmlformats.org/officeDocument/2006/relationships/hyperlink" Target="https://www.simpleshowing.com/" TargetMode="External"/><Relationship Id="rId2551" Type="http://schemas.openxmlformats.org/officeDocument/2006/relationships/hyperlink" Target="https://www.pulte.com/" TargetMode="External"/><Relationship Id="rId9164" Type="http://schemas.openxmlformats.org/officeDocument/2006/relationships/hyperlink" Target="https://freezemagazine.co.uk/cost-optimization-benefits-of-structured-lumber-estimation/" TargetMode="External"/><Relationship Id="rId11094" Type="http://schemas.openxmlformats.org/officeDocument/2006/relationships/hyperlink" Target="https://www.pinoyeplans.com/" TargetMode="External"/><Relationship Id="rId12492" Type="http://schemas.openxmlformats.org/officeDocument/2006/relationships/hyperlink" Target="https://propertypressonline.co.uk/" TargetMode="External"/><Relationship Id="rId13543" Type="http://schemas.openxmlformats.org/officeDocument/2006/relationships/hyperlink" Target="https://myinteriorpalace.com/" TargetMode="External"/><Relationship Id="rId523" Type="http://schemas.openxmlformats.org/officeDocument/2006/relationships/hyperlink" Target="https://millennialmagazine.com/2022/02/01/an-outer-banks-holiday-nothing-like-a-regular-beach-getaway/" TargetMode="External"/><Relationship Id="rId1153" Type="http://schemas.openxmlformats.org/officeDocument/2006/relationships/hyperlink" Target="https://www.matrixbasements.com/" TargetMode="External"/><Relationship Id="rId2204" Type="http://schemas.openxmlformats.org/officeDocument/2006/relationships/hyperlink" Target="https://topworkplaces.com/company/mark-spain-real-estate/ajc/" TargetMode="External"/><Relationship Id="rId3602" Type="http://schemas.openxmlformats.org/officeDocument/2006/relationships/hyperlink" Target="http://www.sleepwithmepodcast.com/upon-the-orlando-eye-on-location-listener-fav-513/" TargetMode="External"/><Relationship Id="rId12145" Type="http://schemas.openxmlformats.org/officeDocument/2006/relationships/hyperlink" Target="https://www.bobvila.com/" TargetMode="External"/><Relationship Id="rId5774" Type="http://schemas.openxmlformats.org/officeDocument/2006/relationships/hyperlink" Target="https://www.simpleshowing.com/" TargetMode="External"/><Relationship Id="rId6825" Type="http://schemas.openxmlformats.org/officeDocument/2006/relationships/hyperlink" Target="https://www.simpleshowing.com/" TargetMode="External"/><Relationship Id="rId15368" Type="http://schemas.openxmlformats.org/officeDocument/2006/relationships/hyperlink" Target="https://www.luxdeco.com/" TargetMode="External"/><Relationship Id="rId4376" Type="http://schemas.openxmlformats.org/officeDocument/2006/relationships/hyperlink" Target="https://www.kapre.com/" TargetMode="External"/><Relationship Id="rId5427" Type="http://schemas.openxmlformats.org/officeDocument/2006/relationships/hyperlink" Target="https://graphically.io/blog/junior-graphic-designer-remote/" TargetMode="External"/><Relationship Id="rId8997" Type="http://schemas.openxmlformats.org/officeDocument/2006/relationships/hyperlink" Target="https://www.pinoyeplans.com/" TargetMode="External"/><Relationship Id="rId4029" Type="http://schemas.openxmlformats.org/officeDocument/2006/relationships/hyperlink" Target="https://www.simpleshowing.com/" TargetMode="External"/><Relationship Id="rId7599" Type="http://schemas.openxmlformats.org/officeDocument/2006/relationships/hyperlink" Target="https://careerhub.sunyempire.edu/jobs/taylor-morrison-land-financial-planning-analysis-manager/" TargetMode="External"/><Relationship Id="rId11978" Type="http://schemas.openxmlformats.org/officeDocument/2006/relationships/hyperlink" Target="https://linkdolls.com/blogs/dolls-info-qustions/how-to-make-fake-pussy" TargetMode="External"/><Relationship Id="rId14451" Type="http://schemas.openxmlformats.org/officeDocument/2006/relationships/hyperlink" Target="https://opplehouse.com/top-benefits-of-professional-garage-door-service-or-commercial-rolling-doors-installation/" TargetMode="External"/><Relationship Id="rId4510" Type="http://schemas.openxmlformats.org/officeDocument/2006/relationships/hyperlink" Target="https://www.simpleshowing.com/" TargetMode="External"/><Relationship Id="rId13053" Type="http://schemas.openxmlformats.org/officeDocument/2006/relationships/hyperlink" Target="https://www.what-franchise.com/news/peter-manford-joins-aaron-partners" TargetMode="External"/><Relationship Id="rId14104" Type="http://schemas.openxmlformats.org/officeDocument/2006/relationships/hyperlink" Target="https://myinteriorpalace.com/" TargetMode="External"/><Relationship Id="rId15502" Type="http://schemas.openxmlformats.org/officeDocument/2006/relationships/hyperlink" Target="https://myinteriorpalace.com/" TargetMode="External"/><Relationship Id="rId380" Type="http://schemas.openxmlformats.org/officeDocument/2006/relationships/hyperlink" Target="http://northernvirginiahomepro.com/" TargetMode="External"/><Relationship Id="rId2061" Type="http://schemas.openxmlformats.org/officeDocument/2006/relationships/hyperlink" Target="https://www.simpleshowing.com/" TargetMode="External"/><Relationship Id="rId3112" Type="http://schemas.openxmlformats.org/officeDocument/2006/relationships/hyperlink" Target="https://www.pulte.com/" TargetMode="External"/><Relationship Id="rId6682" Type="http://schemas.openxmlformats.org/officeDocument/2006/relationships/hyperlink" Target="https://www.simpleshowing.com/" TargetMode="External"/><Relationship Id="rId5284" Type="http://schemas.openxmlformats.org/officeDocument/2006/relationships/hyperlink" Target="https://www.simpleshowing.com/" TargetMode="External"/><Relationship Id="rId6335" Type="http://schemas.openxmlformats.org/officeDocument/2006/relationships/hyperlink" Target="https://omaha.com/news/nation-world/business/personal-finance/article_60a3d92a-8bc7-5615-86f0-e3352d16b4a8.html" TargetMode="External"/><Relationship Id="rId7733" Type="http://schemas.openxmlformats.org/officeDocument/2006/relationships/hyperlink" Target="https://discoverlakelanier.com/" TargetMode="External"/><Relationship Id="rId10714" Type="http://schemas.openxmlformats.org/officeDocument/2006/relationships/hyperlink" Target="https://www.teachengineering.org/" TargetMode="External"/><Relationship Id="rId12886" Type="http://schemas.openxmlformats.org/officeDocument/2006/relationships/hyperlink" Target="https://propertypressonline.co.uk/" TargetMode="External"/><Relationship Id="rId13937" Type="http://schemas.openxmlformats.org/officeDocument/2006/relationships/hyperlink" Target="https://faheyroofingcontractors.com/" TargetMode="External"/><Relationship Id="rId1894" Type="http://schemas.openxmlformats.org/officeDocument/2006/relationships/hyperlink" Target="https://markspain.com/" TargetMode="External"/><Relationship Id="rId2945" Type="http://schemas.openxmlformats.org/officeDocument/2006/relationships/hyperlink" Target="https://dc.urbanturf.com/articles/blog/new_condominiums_opening_next_to_the_vienna_metro/7269" TargetMode="External"/><Relationship Id="rId9558" Type="http://schemas.openxmlformats.org/officeDocument/2006/relationships/hyperlink" Target="https://www.pinoyeplans.com/" TargetMode="External"/><Relationship Id="rId11488" Type="http://schemas.openxmlformats.org/officeDocument/2006/relationships/hyperlink" Target="https://www.ukstartupblog.co.uk/exit-planning-for-entrepreneurs/" TargetMode="External"/><Relationship Id="rId12539" Type="http://schemas.openxmlformats.org/officeDocument/2006/relationships/hyperlink" Target="https://www.ridgefieldconsulting.co.uk/" TargetMode="External"/><Relationship Id="rId917" Type="http://schemas.openxmlformats.org/officeDocument/2006/relationships/hyperlink" Target="https://growjo.com/company/e3_Diagnostics" TargetMode="External"/><Relationship Id="rId1547" Type="http://schemas.openxmlformats.org/officeDocument/2006/relationships/hyperlink" Target="https://growthscribe.com/using-tech-driven-energy-solutions-to-boost-b2b-branding/" TargetMode="External"/><Relationship Id="rId15012" Type="http://schemas.openxmlformats.org/officeDocument/2006/relationships/hyperlink" Target="https://www.hollywoodmirrors.co.uk/pages/dressing-table" TargetMode="External"/><Relationship Id="rId4020" Type="http://schemas.openxmlformats.org/officeDocument/2006/relationships/hyperlink" Target="https://www.simpleshowing.com/" TargetMode="External"/><Relationship Id="rId7590" Type="http://schemas.openxmlformats.org/officeDocument/2006/relationships/hyperlink" Target="https://barbarashallue.typepad.com/musing_in_long_hollow/2015/02/travisso-new-homes-on-the-north-shore-of-lake-travis.html" TargetMode="External"/><Relationship Id="rId8641" Type="http://schemas.openxmlformats.org/officeDocument/2006/relationships/hyperlink" Target="https://archipro.com.au/professional/strata-electrical/case-studies?categoryLink=%2Fprojects" TargetMode="External"/><Relationship Id="rId6192" Type="http://schemas.openxmlformats.org/officeDocument/2006/relationships/hyperlink" Target="https://www.simpleshowing.com/" TargetMode="External"/><Relationship Id="rId7243" Type="http://schemas.openxmlformats.org/officeDocument/2006/relationships/hyperlink" Target="https://www.taylormorrison.com/" TargetMode="External"/><Relationship Id="rId10571" Type="http://schemas.openxmlformats.org/officeDocument/2006/relationships/hyperlink" Target="https://www.elmhurst.edu/blog/stem-teachers/" TargetMode="External"/><Relationship Id="rId11622" Type="http://schemas.openxmlformats.org/officeDocument/2006/relationships/hyperlink" Target="https://www.hamiltoninternationalestates.com/" TargetMode="External"/><Relationship Id="rId10224" Type="http://schemas.openxmlformats.org/officeDocument/2006/relationships/hyperlink" Target="https://www.pinoyeplans.com/" TargetMode="External"/><Relationship Id="rId13794" Type="http://schemas.openxmlformats.org/officeDocument/2006/relationships/hyperlink" Target="https://forum.programosy.pl/finepixviewer-vt98195s160.html-st=0?sk=t&amp;sd=a&amp;view=print" TargetMode="External"/><Relationship Id="rId14845" Type="http://schemas.openxmlformats.org/officeDocument/2006/relationships/hyperlink" Target="https://myinteriorpalace.com/" TargetMode="External"/><Relationship Id="rId3853" Type="http://schemas.openxmlformats.org/officeDocument/2006/relationships/hyperlink" Target="https://thecoverguy.com/" TargetMode="External"/><Relationship Id="rId4904" Type="http://schemas.openxmlformats.org/officeDocument/2006/relationships/hyperlink" Target="https://www.simpleshowing.com/" TargetMode="External"/><Relationship Id="rId9068" Type="http://schemas.openxmlformats.org/officeDocument/2006/relationships/hyperlink" Target="https://socialmediagirlsforum.co.uk/top-strategies-for-reducing-construction-project-delays/" TargetMode="External"/><Relationship Id="rId12396" Type="http://schemas.openxmlformats.org/officeDocument/2006/relationships/hyperlink" Target="https://propertypressonline.co.uk/" TargetMode="External"/><Relationship Id="rId13447" Type="http://schemas.openxmlformats.org/officeDocument/2006/relationships/hyperlink" Target="https://myinteriorpalace.com/" TargetMode="External"/><Relationship Id="rId774" Type="http://schemas.openxmlformats.org/officeDocument/2006/relationships/hyperlink" Target="https://www.schaafsma.com/" TargetMode="External"/><Relationship Id="rId1057" Type="http://schemas.openxmlformats.org/officeDocument/2006/relationships/hyperlink" Target="https://www.matrixbasements.com/" TargetMode="External"/><Relationship Id="rId2455" Type="http://schemas.openxmlformats.org/officeDocument/2006/relationships/hyperlink" Target="https://www.pulte.com/" TargetMode="External"/><Relationship Id="rId3506" Type="http://schemas.openxmlformats.org/officeDocument/2006/relationships/hyperlink" Target="https://lakelasvegas.com/lake-las-vegas-kicks-off-2019-with-event-to-showcase-new-home-communities/" TargetMode="External"/><Relationship Id="rId12049" Type="http://schemas.openxmlformats.org/officeDocument/2006/relationships/hyperlink" Target="https://www.bobvila.com/" TargetMode="External"/><Relationship Id="rId427" Type="http://schemas.openxmlformats.org/officeDocument/2006/relationships/hyperlink" Target="https://duckncguide.com/vacation-rentals" TargetMode="External"/><Relationship Id="rId2108" Type="http://schemas.openxmlformats.org/officeDocument/2006/relationships/hyperlink" Target="https://breakingac.com/news/2025/aug/27/fast-property-sales-and-the-shifting-neighborhood-landscape/" TargetMode="External"/><Relationship Id="rId5678" Type="http://schemas.openxmlformats.org/officeDocument/2006/relationships/hyperlink" Target="https://www.simpleshowing.com/" TargetMode="External"/><Relationship Id="rId6729" Type="http://schemas.openxmlformats.org/officeDocument/2006/relationships/hyperlink" Target="https://www.simpleshowing.com/" TargetMode="External"/><Relationship Id="rId12530" Type="http://schemas.openxmlformats.org/officeDocument/2006/relationships/hyperlink" Target="https://www.ridgefieldconsulting.co.uk/" TargetMode="External"/><Relationship Id="rId8151" Type="http://schemas.openxmlformats.org/officeDocument/2006/relationships/hyperlink" Target="https://integrityhomeexteriors.com/" TargetMode="External"/><Relationship Id="rId9202" Type="http://schemas.openxmlformats.org/officeDocument/2006/relationships/hyperlink" Target="https://oversonroofing.com/" TargetMode="External"/><Relationship Id="rId10081" Type="http://schemas.openxmlformats.org/officeDocument/2006/relationships/hyperlink" Target="https://www.teachengineering.org/" TargetMode="External"/><Relationship Id="rId11132" Type="http://schemas.openxmlformats.org/officeDocument/2006/relationships/hyperlink" Target="https://www.pinoyeplans.com/" TargetMode="External"/><Relationship Id="rId4761" Type="http://schemas.openxmlformats.org/officeDocument/2006/relationships/hyperlink" Target="https://www.witn.com/2024/05/27/high-school-seniors-can-now-get-real-estate-license-free-this-state/" TargetMode="External"/><Relationship Id="rId15753" Type="http://schemas.openxmlformats.org/officeDocument/2006/relationships/hyperlink" Target="https://www.nhs.trade/polymerlab-acropol-viroc-sealer-5-litre-co-vrcs-5l.html" TargetMode="External"/><Relationship Id="rId3363" Type="http://schemas.openxmlformats.org/officeDocument/2006/relationships/hyperlink" Target="https://www.simpleshowing.com/" TargetMode="External"/><Relationship Id="rId4414" Type="http://schemas.openxmlformats.org/officeDocument/2006/relationships/hyperlink" Target="https://www.simpleshowing.com/" TargetMode="External"/><Relationship Id="rId5812" Type="http://schemas.openxmlformats.org/officeDocument/2006/relationships/hyperlink" Target="https://www.simpleshowing.com/" TargetMode="External"/><Relationship Id="rId14008" Type="http://schemas.openxmlformats.org/officeDocument/2006/relationships/hyperlink" Target="https://myinteriorpalace.com/" TargetMode="External"/><Relationship Id="rId14355" Type="http://schemas.openxmlformats.org/officeDocument/2006/relationships/hyperlink" Target="https://online-casino2019.us.org/2025/11/10/the-impact-of-easy-online-casino-access-advantages-and-drawbacks/" TargetMode="External"/><Relationship Id="rId15406" Type="http://schemas.openxmlformats.org/officeDocument/2006/relationships/hyperlink" Target="https://myinteriorpalace.com/" TargetMode="External"/><Relationship Id="rId284" Type="http://schemas.openxmlformats.org/officeDocument/2006/relationships/hyperlink" Target="http://agilityportal.io/" TargetMode="External"/><Relationship Id="rId3016" Type="http://schemas.openxmlformats.org/officeDocument/2006/relationships/hyperlink" Target="https://www.pulte.com/" TargetMode="External"/><Relationship Id="rId7984" Type="http://schemas.openxmlformats.org/officeDocument/2006/relationships/hyperlink" Target="https://www.bullz-eye.com/2025/12/07/why-good-ventilation-matters-for-your-garage-roof/" TargetMode="External"/><Relationship Id="rId10965" Type="http://schemas.openxmlformats.org/officeDocument/2006/relationships/hyperlink" Target="https://www.pinoyeplans.com/" TargetMode="External"/><Relationship Id="rId5188" Type="http://schemas.openxmlformats.org/officeDocument/2006/relationships/hyperlink" Target="https://www.simpleshowing.com/" TargetMode="External"/><Relationship Id="rId6586" Type="http://schemas.openxmlformats.org/officeDocument/2006/relationships/hyperlink" Target="https://ytexas.com/thermasol/" TargetMode="External"/><Relationship Id="rId7637" Type="http://schemas.openxmlformats.org/officeDocument/2006/relationships/hyperlink" Target="https://www.taylormorrison.com/" TargetMode="External"/><Relationship Id="rId10618" Type="http://schemas.openxmlformats.org/officeDocument/2006/relationships/hyperlink" Target="https://www.teachengineering.org/" TargetMode="External"/><Relationship Id="rId6239" Type="http://schemas.openxmlformats.org/officeDocument/2006/relationships/hyperlink" Target="https://careerservices.fgcu.edu/blog/2025/06/16/the-hour-a-day-job-hunt-routine-that-works/" TargetMode="External"/><Relationship Id="rId12040" Type="http://schemas.openxmlformats.org/officeDocument/2006/relationships/hyperlink" Target="https://www.bobvila.com/" TargetMode="External"/><Relationship Id="rId1798" Type="http://schemas.openxmlformats.org/officeDocument/2006/relationships/hyperlink" Target="https://wolfriverelectric.com/" TargetMode="External"/><Relationship Id="rId2849" Type="http://schemas.openxmlformats.org/officeDocument/2006/relationships/hyperlink" Target="https://www.greenbuildingadvisor.com/article/major-u-s-builder-tests-net-zero-market" TargetMode="External"/><Relationship Id="rId6720" Type="http://schemas.openxmlformats.org/officeDocument/2006/relationships/hyperlink" Target="https://www.simpleshowing.com/" TargetMode="External"/><Relationship Id="rId15263" Type="http://schemas.openxmlformats.org/officeDocument/2006/relationships/hyperlink" Target="https://www.luxdeco.com/" TargetMode="External"/><Relationship Id="rId4271" Type="http://schemas.openxmlformats.org/officeDocument/2006/relationships/hyperlink" Target="https://www.kapre.com/" TargetMode="External"/><Relationship Id="rId5322" Type="http://schemas.openxmlformats.org/officeDocument/2006/relationships/hyperlink" Target="https://www.simpleshowing.com/" TargetMode="External"/><Relationship Id="rId8892" Type="http://schemas.openxmlformats.org/officeDocument/2006/relationships/hyperlink" Target="https://www.pinoyeplans.com/" TargetMode="External"/><Relationship Id="rId7494" Type="http://schemas.openxmlformats.org/officeDocument/2006/relationships/hyperlink" Target="https://nateseidel-newconstruction.my.canva.site/" TargetMode="External"/><Relationship Id="rId8545" Type="http://schemas.openxmlformats.org/officeDocument/2006/relationships/hyperlink" Target="https://mansionfreak.com/blog/3d-architecture-studio/" TargetMode="External"/><Relationship Id="rId9943" Type="http://schemas.openxmlformats.org/officeDocument/2006/relationships/hyperlink" Target="https://www.teachengineering.org/" TargetMode="External"/><Relationship Id="rId11873" Type="http://schemas.openxmlformats.org/officeDocument/2006/relationships/hyperlink" Target="https://www.mylondon.news/incoming/now-costs-96-average-income-10728554" TargetMode="External"/><Relationship Id="rId12924" Type="http://schemas.openxmlformats.org/officeDocument/2006/relationships/hyperlink" Target="http://www.legal500.fr/rankings/ranking/c-yorkshire-and-the-humber/tmt-technology-media-and-telecoms/intellectual-property/3787-shakespeare-martineau-llp" TargetMode="External"/><Relationship Id="rId1932" Type="http://schemas.openxmlformats.org/officeDocument/2006/relationships/hyperlink" Target="https://www.simpleshowing.com/" TargetMode="External"/><Relationship Id="rId6096" Type="http://schemas.openxmlformats.org/officeDocument/2006/relationships/hyperlink" Target="https://www.simpleshowing.com/" TargetMode="External"/><Relationship Id="rId7147" Type="http://schemas.openxmlformats.org/officeDocument/2006/relationships/hyperlink" Target="https://www.simpleshowing.com/" TargetMode="External"/><Relationship Id="rId10475" Type="http://schemas.openxmlformats.org/officeDocument/2006/relationships/hyperlink" Target="https://www.candywarehouse.com/blogs/candy-blog/science-experiments-to-do-with-mentos-pop-rocks-and-other-candy" TargetMode="External"/><Relationship Id="rId11526" Type="http://schemas.openxmlformats.org/officeDocument/2006/relationships/hyperlink" Target="https://sellhousefast.uk/" TargetMode="External"/><Relationship Id="rId10128" Type="http://schemas.openxmlformats.org/officeDocument/2006/relationships/hyperlink" Target="https://www.pinoyeplans.com/" TargetMode="External"/><Relationship Id="rId13698" Type="http://schemas.openxmlformats.org/officeDocument/2006/relationships/hyperlink" Target="https://horsebud99.bitbucket.io/how-to-keep-a-binder-organized.html" TargetMode="External"/><Relationship Id="rId14749" Type="http://schemas.openxmlformats.org/officeDocument/2006/relationships/hyperlink" Target="https://myinteriorpalace.com/" TargetMode="External"/><Relationship Id="rId3757" Type="http://schemas.openxmlformats.org/officeDocument/2006/relationships/hyperlink" Target="https://www.overheaddoors.com/" TargetMode="External"/><Relationship Id="rId4808" Type="http://schemas.openxmlformats.org/officeDocument/2006/relationships/hyperlink" Target="https://www.kapre.com/" TargetMode="External"/><Relationship Id="rId16171" Type="http://schemas.openxmlformats.org/officeDocument/2006/relationships/hyperlink" Target="https://myinteriorpalace.com/" TargetMode="External"/><Relationship Id="rId678" Type="http://schemas.openxmlformats.org/officeDocument/2006/relationships/hyperlink" Target="https://www.carolinadesigns.com/" TargetMode="External"/><Relationship Id="rId2359" Type="http://schemas.openxmlformats.org/officeDocument/2006/relationships/hyperlink" Target="https://www.pulte.com/" TargetMode="External"/><Relationship Id="rId6230" Type="http://schemas.openxmlformats.org/officeDocument/2006/relationships/hyperlink" Target="https://www.simpleshowing.com/" TargetMode="External"/><Relationship Id="rId9453" Type="http://schemas.openxmlformats.org/officeDocument/2006/relationships/hyperlink" Target="https://www.pinoyeplans.com/" TargetMode="External"/><Relationship Id="rId11383" Type="http://schemas.openxmlformats.org/officeDocument/2006/relationships/hyperlink" Target="https://www.clevescene.com/news/want-free-ice-cream-start-nabbing-we-buy-houses-signs-off-the-streets-of-cleveland-44127420" TargetMode="External"/><Relationship Id="rId12781" Type="http://schemas.openxmlformats.org/officeDocument/2006/relationships/hyperlink" Target="https://propertypressonline.co.uk/" TargetMode="External"/><Relationship Id="rId13832" Type="http://schemas.openxmlformats.org/officeDocument/2006/relationships/hyperlink" Target="https://aqglassshowerdoorsphoenix.com/" TargetMode="External"/><Relationship Id="rId812" Type="http://schemas.openxmlformats.org/officeDocument/2006/relationships/hyperlink" Target="https://www.simpleshowing.com/" TargetMode="External"/><Relationship Id="rId1442" Type="http://schemas.openxmlformats.org/officeDocument/2006/relationships/hyperlink" Target="https://sidehustles.com/job/1099-master-plumber-fa2b4445/" TargetMode="External"/><Relationship Id="rId2840" Type="http://schemas.openxmlformats.org/officeDocument/2006/relationships/hyperlink" Target="https://floridasolutions.atlassian.net/wiki/spaces/EA/pages/73367752/Isles+of+Lake+Nona+Orlando" TargetMode="External"/><Relationship Id="rId8055" Type="http://schemas.openxmlformats.org/officeDocument/2006/relationships/hyperlink" Target="https://indytoday.6amcity.com/newsletter/00000197-557b-d62b-a3ff-55fba7e00000" TargetMode="External"/><Relationship Id="rId9106" Type="http://schemas.openxmlformats.org/officeDocument/2006/relationships/hyperlink" Target="https://nycestimating.us/" TargetMode="External"/><Relationship Id="rId11036" Type="http://schemas.openxmlformats.org/officeDocument/2006/relationships/hyperlink" Target="https://teach.com.cach3.com/blog/page/5/index.html" TargetMode="External"/><Relationship Id="rId12434" Type="http://schemas.openxmlformats.org/officeDocument/2006/relationships/hyperlink" Target="https://www.durham.gov.uk/article/6069/Student-housing-landlord-assurance-scheme" TargetMode="External"/><Relationship Id="rId15657" Type="http://schemas.openxmlformats.org/officeDocument/2006/relationships/hyperlink" Target="http://content.yudu.com/A2k2qg/Waterfront67/resources/40.htm" TargetMode="External"/><Relationship Id="rId3267" Type="http://schemas.openxmlformats.org/officeDocument/2006/relationships/hyperlink" Target="https://www.simpleshowing.com/" TargetMode="External"/><Relationship Id="rId4665" Type="http://schemas.openxmlformats.org/officeDocument/2006/relationships/hyperlink" Target="https://fetzerlibrary.edgarcayce.org/search/result?keyword=private%20real%20estate" TargetMode="External"/><Relationship Id="rId5716" Type="http://schemas.openxmlformats.org/officeDocument/2006/relationships/hyperlink" Target="https://www.simpleshowing.com/" TargetMode="External"/><Relationship Id="rId14259" Type="http://schemas.openxmlformats.org/officeDocument/2006/relationships/hyperlink" Target="https://fitinline.com/article/read/top-fashion-and-textile-courses-for-a-comprehensive-education-in-the-industry/" TargetMode="External"/><Relationship Id="rId188" Type="http://schemas.openxmlformats.org/officeDocument/2006/relationships/hyperlink" Target="https://www.semiretiredmd.com/" TargetMode="External"/><Relationship Id="rId4318" Type="http://schemas.openxmlformats.org/officeDocument/2006/relationships/hyperlink" Target="https://www.simpleshowing.com/" TargetMode="External"/><Relationship Id="rId7888" Type="http://schemas.openxmlformats.org/officeDocument/2006/relationships/hyperlink" Target="https://designrelated.com/keep-your-roof-in-top-notch-condition/" TargetMode="External"/><Relationship Id="rId8939" Type="http://schemas.openxmlformats.org/officeDocument/2006/relationships/hyperlink" Target="https://ukrtime.co.ua/redefining-efficiency-with-digital-lumber-estimating-tools/" TargetMode="External"/><Relationship Id="rId10869" Type="http://schemas.openxmlformats.org/officeDocument/2006/relationships/hyperlink" Target="https://www.pinoyeplans.com/" TargetMode="External"/><Relationship Id="rId14740" Type="http://schemas.openxmlformats.org/officeDocument/2006/relationships/hyperlink" Target="https://myinteriorpalace.com/" TargetMode="External"/><Relationship Id="rId12291" Type="http://schemas.openxmlformats.org/officeDocument/2006/relationships/hyperlink" Target="https://propertypressonline.co.uk/" TargetMode="External"/><Relationship Id="rId13342" Type="http://schemas.openxmlformats.org/officeDocument/2006/relationships/hyperlink" Target="https://myinteriorpalace.com/" TargetMode="External"/><Relationship Id="rId2350" Type="http://schemas.openxmlformats.org/officeDocument/2006/relationships/hyperlink" Target="https://www.pulte.com/" TargetMode="External"/><Relationship Id="rId3401" Type="http://schemas.openxmlformats.org/officeDocument/2006/relationships/hyperlink" Target="https://www.quantumonline.com/search.cfm?tickersymbol=PHA**&amp;sopt=symbol" TargetMode="External"/><Relationship Id="rId6971" Type="http://schemas.openxmlformats.org/officeDocument/2006/relationships/hyperlink" Target="https://www.taylormorrison.com/" TargetMode="External"/><Relationship Id="rId322" Type="http://schemas.openxmlformats.org/officeDocument/2006/relationships/hyperlink" Target="https://hotchkissinsurance.com/insights-and-resources/thinking-about-renovating-heres-how-it-could-affect-your-home-insurance" TargetMode="External"/><Relationship Id="rId2003" Type="http://schemas.openxmlformats.org/officeDocument/2006/relationships/hyperlink" Target="https://msagears.com/real-estate-as-a-fast-track-exit-strategy-for-entrepreneurs/" TargetMode="External"/><Relationship Id="rId5573" Type="http://schemas.openxmlformats.org/officeDocument/2006/relationships/hyperlink" Target="https://www.side-line.com/what-kinds-of-debt-are-tax-deductible/" TargetMode="External"/><Relationship Id="rId6624" Type="http://schemas.openxmlformats.org/officeDocument/2006/relationships/hyperlink" Target="https://www.thermasol.com/" TargetMode="External"/><Relationship Id="rId15167" Type="http://schemas.openxmlformats.org/officeDocument/2006/relationships/hyperlink" Target="https://www.luxdeco.com/" TargetMode="External"/><Relationship Id="rId16218" Type="http://schemas.openxmlformats.org/officeDocument/2006/relationships/hyperlink" Target="https://speedtest.fastbase.com/Addreviews.aspx?cid=185283" TargetMode="External"/><Relationship Id="rId4175" Type="http://schemas.openxmlformats.org/officeDocument/2006/relationships/hyperlink" Target="https://www.kapre.com/" TargetMode="External"/><Relationship Id="rId5226" Type="http://schemas.openxmlformats.org/officeDocument/2006/relationships/hyperlink" Target="https://www.simpleshowing.com/" TargetMode="External"/><Relationship Id="rId7398" Type="http://schemas.openxmlformats.org/officeDocument/2006/relationships/hyperlink" Target="https://www.taylormorrison.com/" TargetMode="External"/><Relationship Id="rId8796" Type="http://schemas.openxmlformats.org/officeDocument/2006/relationships/hyperlink" Target="https://propertychecker.com/" TargetMode="External"/><Relationship Id="rId9847" Type="http://schemas.openxmlformats.org/officeDocument/2006/relationships/hyperlink" Target="https://www.teachengineering.org/" TargetMode="External"/><Relationship Id="rId11777" Type="http://schemas.openxmlformats.org/officeDocument/2006/relationships/hyperlink" Target="https://www.netlingo.com/tips/repossession.php" TargetMode="External"/><Relationship Id="rId12828" Type="http://schemas.openxmlformats.org/officeDocument/2006/relationships/hyperlink" Target="https://wonkhe.com/blogs/live-its-alive-a-one-day-conference/" TargetMode="External"/><Relationship Id="rId1836" Type="http://schemas.openxmlformats.org/officeDocument/2006/relationships/hyperlink" Target="https://www.simpleshowing.com/" TargetMode="External"/><Relationship Id="rId8449" Type="http://schemas.openxmlformats.org/officeDocument/2006/relationships/hyperlink" Target="https://businesstask.co.uk/using-commercial-3d-renderings-in-bidding-competitions-and-investor-pitches/" TargetMode="External"/><Relationship Id="rId10379" Type="http://schemas.openxmlformats.org/officeDocument/2006/relationships/hyperlink" Target="https://obsesi.or.id/index.php/obsesi/article/view/5561" TargetMode="External"/><Relationship Id="rId14250" Type="http://schemas.openxmlformats.org/officeDocument/2006/relationships/hyperlink" Target="https://luxurylaunches.com/jewelry/worlds_most_expensive_manicure_costs_51000.php" TargetMode="External"/><Relationship Id="rId15301" Type="http://schemas.openxmlformats.org/officeDocument/2006/relationships/hyperlink" Target="https://myinteriorpalace.com/" TargetMode="External"/><Relationship Id="rId8930" Type="http://schemas.openxmlformats.org/officeDocument/2006/relationships/hyperlink" Target="https://goldenmagazine.co.uk/aligning-cost-accuracy-with-sustainability-in-modern-construction/" TargetMode="External"/><Relationship Id="rId6481" Type="http://schemas.openxmlformats.org/officeDocument/2006/relationships/hyperlink" Target="https://www.thermasol.com/" TargetMode="External"/><Relationship Id="rId7532" Type="http://schemas.openxmlformats.org/officeDocument/2006/relationships/hyperlink" Target="https://www.taylormorrison.com/" TargetMode="External"/><Relationship Id="rId10860" Type="http://schemas.openxmlformats.org/officeDocument/2006/relationships/hyperlink" Target="https://www.pinoyeplans.com/" TargetMode="External"/><Relationship Id="rId11911" Type="http://schemas.openxmlformats.org/officeDocument/2006/relationships/hyperlink" Target="https://www.bobvila.com/" TargetMode="External"/><Relationship Id="rId16075" Type="http://schemas.openxmlformats.org/officeDocument/2006/relationships/hyperlink" Target="https://myinteriorpalace.com/" TargetMode="External"/><Relationship Id="rId5083" Type="http://schemas.openxmlformats.org/officeDocument/2006/relationships/hyperlink" Target="https://www.livebreathescotland.com/is-university-free-in-scotland/" TargetMode="External"/><Relationship Id="rId6134" Type="http://schemas.openxmlformats.org/officeDocument/2006/relationships/hyperlink" Target="https://www.simpleshowing.com/" TargetMode="External"/><Relationship Id="rId10513" Type="http://schemas.openxmlformats.org/officeDocument/2006/relationships/hyperlink" Target="https://www.teachengineering.org/" TargetMode="External"/><Relationship Id="rId9357" Type="http://schemas.openxmlformats.org/officeDocument/2006/relationships/hyperlink" Target="https://www.pinoyeplans.com/" TargetMode="External"/><Relationship Id="rId12685" Type="http://schemas.openxmlformats.org/officeDocument/2006/relationships/hyperlink" Target="https://propertypressonline.co.uk/" TargetMode="External"/><Relationship Id="rId13736" Type="http://schemas.openxmlformats.org/officeDocument/2006/relationships/hyperlink" Target="https://anationofmoms.com/" TargetMode="External"/><Relationship Id="rId1346" Type="http://schemas.openxmlformats.org/officeDocument/2006/relationships/hyperlink" Target="https://breakingthelines.com/opinion/from-sand-to-skylines-dubais-insightful-real-estate-development-story/" TargetMode="External"/><Relationship Id="rId1693" Type="http://schemas.openxmlformats.org/officeDocument/2006/relationships/hyperlink" Target="https://wolfriverelectric.com/" TargetMode="External"/><Relationship Id="rId2744" Type="http://schemas.openxmlformats.org/officeDocument/2006/relationships/hyperlink" Target="https://yellowhammernews.com/alabamas-smart-neighborhood-featured-in-first-u-s-smart-city-expo/" TargetMode="External"/><Relationship Id="rId11287" Type="http://schemas.openxmlformats.org/officeDocument/2006/relationships/hyperlink" Target="https://www.theglobalwomanleader.com/news/water-damage-restoration-a-comprehensive-guide-nwid-2677.html" TargetMode="External"/><Relationship Id="rId12338" Type="http://schemas.openxmlformats.org/officeDocument/2006/relationships/hyperlink" Target="https://knightknox.com/student-property-investment-explained/" TargetMode="External"/><Relationship Id="rId716" Type="http://schemas.openxmlformats.org/officeDocument/2006/relationships/hyperlink" Target="https://www.simpleshowing.com/" TargetMode="External"/><Relationship Id="rId5967" Type="http://schemas.openxmlformats.org/officeDocument/2006/relationships/hyperlink" Target="https://tribuneonlineng.com/online-or-in-person-loans-whats-better/" TargetMode="External"/><Relationship Id="rId52" Type="http://schemas.openxmlformats.org/officeDocument/2006/relationships/hyperlink" Target="http://thetechnotricks.net/" TargetMode="External"/><Relationship Id="rId4569" Type="http://schemas.openxmlformats.org/officeDocument/2006/relationships/hyperlink" Target="https://www.wlox.com/2024/05/27/high-school-seniors-can-now-get-real-estate-license-free-this-state/" TargetMode="External"/><Relationship Id="rId8440" Type="http://schemas.openxmlformats.org/officeDocument/2006/relationships/hyperlink" Target="https://bluelinebiz.com/customer-centric-design-improving-tenant-satisfaction-via-3d-architectural-visualizations/" TargetMode="External"/><Relationship Id="rId10370" Type="http://schemas.openxmlformats.org/officeDocument/2006/relationships/hyperlink" Target="https://www.knowitall.org/lessons/catapult-calamity" TargetMode="External"/><Relationship Id="rId11421" Type="http://schemas.openxmlformats.org/officeDocument/2006/relationships/hyperlink" Target="http://webuyhouses.com/" TargetMode="External"/><Relationship Id="rId7042" Type="http://schemas.openxmlformats.org/officeDocument/2006/relationships/hyperlink" Target="https://www.simpleshowing.com/" TargetMode="External"/><Relationship Id="rId10023" Type="http://schemas.openxmlformats.org/officeDocument/2006/relationships/hyperlink" Target="https://www.pinoyeplans.com/" TargetMode="External"/><Relationship Id="rId13593" Type="http://schemas.openxmlformats.org/officeDocument/2006/relationships/hyperlink" Target="https://www.canyon-news.com/5-worst-mistakes-to-avoid-when-choosing-a-diamond-engagement-ring/" TargetMode="External"/><Relationship Id="rId14991" Type="http://schemas.openxmlformats.org/officeDocument/2006/relationships/hyperlink" Target="https://www.thegoodwebguide.co.uk/article/fashion/ten-best-luxury-websites/20671" TargetMode="External"/><Relationship Id="rId3652" Type="http://schemas.openxmlformats.org/officeDocument/2006/relationships/hyperlink" Target="https://www.pulte.com/" TargetMode="External"/><Relationship Id="rId4703" Type="http://schemas.openxmlformats.org/officeDocument/2006/relationships/hyperlink" Target="https://www.kapre.com/" TargetMode="External"/><Relationship Id="rId12195" Type="http://schemas.openxmlformats.org/officeDocument/2006/relationships/hyperlink" Target="https://www.hamiltoninternationalestates.com/" TargetMode="External"/><Relationship Id="rId13246" Type="http://schemas.openxmlformats.org/officeDocument/2006/relationships/hyperlink" Target="https://propertypressonline.co.uk/" TargetMode="External"/><Relationship Id="rId14644" Type="http://schemas.openxmlformats.org/officeDocument/2006/relationships/hyperlink" Target="https://myinteriorpalace.com/" TargetMode="External"/><Relationship Id="rId573" Type="http://schemas.openxmlformats.org/officeDocument/2006/relationships/hyperlink" Target="https://www.carolinadesigns.com/" TargetMode="External"/><Relationship Id="rId2254" Type="http://schemas.openxmlformats.org/officeDocument/2006/relationships/hyperlink" Target="https://www.collectionforsyth.com/" TargetMode="External"/><Relationship Id="rId3305" Type="http://schemas.openxmlformats.org/officeDocument/2006/relationships/hyperlink" Target="https://www.resnet.us/past-conferences/orlando-2013/conference-sponsors-and-supporters/" TargetMode="External"/><Relationship Id="rId226" Type="http://schemas.openxmlformats.org/officeDocument/2006/relationships/hyperlink" Target="https://bluewatermtg.com/four-things-first-time-homebuyers-dont-know-real-estate-agents/" TargetMode="External"/><Relationship Id="rId5477" Type="http://schemas.openxmlformats.org/officeDocument/2006/relationships/hyperlink" Target="https://valiantceo.com/building-a-healthier-relationship-with-money/" TargetMode="External"/><Relationship Id="rId6875" Type="http://schemas.openxmlformats.org/officeDocument/2006/relationships/hyperlink" Target="https://stockanalysis.com/stocks/tmhc/" TargetMode="External"/><Relationship Id="rId7926" Type="http://schemas.openxmlformats.org/officeDocument/2006/relationships/hyperlink" Target="https://certifiedrestorationinc.com/" TargetMode="External"/><Relationship Id="rId10907" Type="http://schemas.openxmlformats.org/officeDocument/2006/relationships/hyperlink" Target="https://dca.learnquebec.ca/exploringbalance/" TargetMode="External"/><Relationship Id="rId4079" Type="http://schemas.openxmlformats.org/officeDocument/2006/relationships/hyperlink" Target="https://realestate.utah.gov/real-estate/education/pre-license-schools/" TargetMode="External"/><Relationship Id="rId6528" Type="http://schemas.openxmlformats.org/officeDocument/2006/relationships/hyperlink" Target="https://www.montecito-estate.com/santa-barbara-real-estate-blog/how-santa-barbara-homeowners-can-create-a-smart-healthy-home.php" TargetMode="External"/><Relationship Id="rId9001" Type="http://schemas.openxmlformats.org/officeDocument/2006/relationships/hyperlink" Target="https://nycestimating.us/" TargetMode="External"/><Relationship Id="rId15552" Type="http://schemas.openxmlformats.org/officeDocument/2006/relationships/hyperlink" Target="https://javaobjects.net/newly-leaked-photo-of-lenovo-rtx-4090-model-reveals-a-huge-triple-slot-design/" TargetMode="External"/><Relationship Id="rId4560" Type="http://schemas.openxmlformats.org/officeDocument/2006/relationships/hyperlink" Target="https://www.kcbd.com/2024/05/27/high-school-seniors-can-now-get-real-estate-license-free-this-state/" TargetMode="External"/><Relationship Id="rId5611" Type="http://schemas.openxmlformats.org/officeDocument/2006/relationships/hyperlink" Target="https://blog.loopcv.pro/career-financial-planning/" TargetMode="External"/><Relationship Id="rId14154" Type="http://schemas.openxmlformats.org/officeDocument/2006/relationships/hyperlink" Target="https://fintechzoom.com/lifestyle/fintechzoom-com-lifestyle/" TargetMode="External"/><Relationship Id="rId15205" Type="http://schemas.openxmlformats.org/officeDocument/2006/relationships/hyperlink" Target="https://myinteriorpalace.com/" TargetMode="External"/><Relationship Id="rId3162" Type="http://schemas.openxmlformats.org/officeDocument/2006/relationships/hyperlink" Target="https://www.simpleshowing.com/" TargetMode="External"/><Relationship Id="rId4213" Type="http://schemas.openxmlformats.org/officeDocument/2006/relationships/hyperlink" Target="https://www.simpleshowing.com/" TargetMode="External"/><Relationship Id="rId7783" Type="http://schemas.openxmlformats.org/officeDocument/2006/relationships/hyperlink" Target="https://discoverlakelanier.com/" TargetMode="External"/><Relationship Id="rId8834" Type="http://schemas.openxmlformats.org/officeDocument/2006/relationships/hyperlink" Target="http://www.athleisuremag.com/the-latest/tag/food" TargetMode="External"/><Relationship Id="rId6385" Type="http://schemas.openxmlformats.org/officeDocument/2006/relationships/hyperlink" Target="https://magicvalley.com/news/nation-world/business/personal-finance/article_d1a9a22b-a611-5c29-b40f-9a43993aa543.html" TargetMode="External"/><Relationship Id="rId7436" Type="http://schemas.openxmlformats.org/officeDocument/2006/relationships/hyperlink" Target="https://www.taylormorrison.com/" TargetMode="External"/><Relationship Id="rId10764" Type="http://schemas.openxmlformats.org/officeDocument/2006/relationships/hyperlink" Target="https://www.pinoyeplans.com/" TargetMode="External"/><Relationship Id="rId11815" Type="http://schemas.openxmlformats.org/officeDocument/2006/relationships/hyperlink" Target="https://sellhousefast.uk/" TargetMode="External"/><Relationship Id="rId6038" Type="http://schemas.openxmlformats.org/officeDocument/2006/relationships/hyperlink" Target="https://www.simpleshowing.com/" TargetMode="External"/><Relationship Id="rId10417" Type="http://schemas.openxmlformats.org/officeDocument/2006/relationships/hyperlink" Target="https://www.teachengineering.org/" TargetMode="External"/><Relationship Id="rId13987" Type="http://schemas.openxmlformats.org/officeDocument/2006/relationships/hyperlink" Target="https://myinteriorpalace.com/" TargetMode="External"/><Relationship Id="rId2995" Type="http://schemas.openxmlformats.org/officeDocument/2006/relationships/hyperlink" Target="https://www.pulte.com/" TargetMode="External"/><Relationship Id="rId12589" Type="http://schemas.openxmlformats.org/officeDocument/2006/relationships/hyperlink" Target="https://propertypressonline.co.uk/" TargetMode="External"/><Relationship Id="rId967" Type="http://schemas.openxmlformats.org/officeDocument/2006/relationships/hyperlink" Target="https://www.matrixbasements.com/" TargetMode="External"/><Relationship Id="rId1597" Type="http://schemas.openxmlformats.org/officeDocument/2006/relationships/hyperlink" Target="https://wolfriverelectric.com/" TargetMode="External"/><Relationship Id="rId2648" Type="http://schemas.openxmlformats.org/officeDocument/2006/relationships/hyperlink" Target="https://stpeterising.com/shoreline" TargetMode="External"/><Relationship Id="rId15062" Type="http://schemas.openxmlformats.org/officeDocument/2006/relationships/hyperlink" Target="https://www.luxdeco.com/" TargetMode="External"/><Relationship Id="rId16113" Type="http://schemas.openxmlformats.org/officeDocument/2006/relationships/hyperlink" Target="https://gadukafarmonicsb1.firebaseapp.com/b2/canadian-garage-doors-mississauga.html" TargetMode="External"/><Relationship Id="rId4070" Type="http://schemas.openxmlformats.org/officeDocument/2006/relationships/hyperlink" Target="https://www.simpleshowing.com/" TargetMode="External"/><Relationship Id="rId5121" Type="http://schemas.openxmlformats.org/officeDocument/2006/relationships/hyperlink" Target="https://www.debt.org/settlement/companies/" TargetMode="External"/><Relationship Id="rId8691" Type="http://schemas.openxmlformats.org/officeDocument/2006/relationships/hyperlink" Target="https://lubelska.co.uk/" TargetMode="External"/><Relationship Id="rId9742" Type="http://schemas.openxmlformats.org/officeDocument/2006/relationships/hyperlink" Target="https://www.teachengineering.org/" TargetMode="External"/><Relationship Id="rId11672" Type="http://schemas.openxmlformats.org/officeDocument/2006/relationships/hyperlink" Target="https://www.expressdoorsdirect.co.uk/blog/what-colour-is-best-for-a-front-door/" TargetMode="External"/><Relationship Id="rId1731" Type="http://schemas.openxmlformats.org/officeDocument/2006/relationships/hyperlink" Target="https://www.simpleshowing.com/" TargetMode="External"/><Relationship Id="rId7293" Type="http://schemas.openxmlformats.org/officeDocument/2006/relationships/hyperlink" Target="https://www.abc10.com/article/entertainment/television/programs/to-the-point/insurance-crisis-placer-county-homeowner-premium-drop/103-c21dc110-92a4-46e9-b3aa-a6de1350a6c9" TargetMode="External"/><Relationship Id="rId8344" Type="http://schemas.openxmlformats.org/officeDocument/2006/relationships/hyperlink" Target="https://brightreads.com/long-term-growth-potential-in-residential-property-investments/" TargetMode="External"/><Relationship Id="rId10274" Type="http://schemas.openxmlformats.org/officeDocument/2006/relationships/hyperlink" Target="https://timberframehq.com/mortise-tenon-thread-rod/" TargetMode="External"/><Relationship Id="rId11325" Type="http://schemas.openxmlformats.org/officeDocument/2006/relationships/hyperlink" Target="https://markspain.com/blog/top-companies-that-buy-houses-for-cash" TargetMode="External"/><Relationship Id="rId12723" Type="http://schemas.openxmlformats.org/officeDocument/2006/relationships/hyperlink" Target="https://legalsolutions.thomsonreuters.co.uk/en/products-services/highq/customer-stories/client-centric-solutions.html" TargetMode="External"/><Relationship Id="rId14895" Type="http://schemas.openxmlformats.org/officeDocument/2006/relationships/hyperlink" Target="https://soho.com.au/articles/tap-water-safety-tips-for-central-coast-families-essential-guidelines-for-peace-of-mind" TargetMode="External"/><Relationship Id="rId15946" Type="http://schemas.openxmlformats.org/officeDocument/2006/relationships/hyperlink" Target="https://myinteriorpalace.com/" TargetMode="External"/><Relationship Id="rId3556" Type="http://schemas.openxmlformats.org/officeDocument/2006/relationships/hyperlink" Target="https://www.pulte.com/" TargetMode="External"/><Relationship Id="rId4954" Type="http://schemas.openxmlformats.org/officeDocument/2006/relationships/hyperlink" Target="https://www.simpleshowing.com/" TargetMode="External"/><Relationship Id="rId12099" Type="http://schemas.openxmlformats.org/officeDocument/2006/relationships/hyperlink" Target="https://www.hamiltoninternationalestates.com/" TargetMode="External"/><Relationship Id="rId13497" Type="http://schemas.openxmlformats.org/officeDocument/2006/relationships/hyperlink" Target="https://www.intelligentliving.co/importance-of-multi-engine-flight-training-in-your-aviation-career/" TargetMode="External"/><Relationship Id="rId14548" Type="http://schemas.openxmlformats.org/officeDocument/2006/relationships/hyperlink" Target="https://myinteriorpalace.com/" TargetMode="External"/><Relationship Id="rId477" Type="http://schemas.openxmlformats.org/officeDocument/2006/relationships/hyperlink" Target="https://www.carolinadesigns.com/" TargetMode="External"/><Relationship Id="rId2158" Type="http://schemas.openxmlformats.org/officeDocument/2006/relationships/hyperlink" Target="https://markspain.com/" TargetMode="External"/><Relationship Id="rId3209" Type="http://schemas.openxmlformats.org/officeDocument/2006/relationships/hyperlink" Target="https://www.bdcnetwork.com/home/news/55163500/ryan-companies-breaks-ground-on-122-acre-highland-bridge-redevelopment-in-st-paul-minn" TargetMode="External"/><Relationship Id="rId4607" Type="http://schemas.openxmlformats.org/officeDocument/2006/relationships/hyperlink" Target="https://www.kapre.com/" TargetMode="External"/><Relationship Id="rId6779" Type="http://schemas.openxmlformats.org/officeDocument/2006/relationships/hyperlink" Target="https://www.tonetoatl.com/2018/04/Arrowhead-Real-Estate-Partners-Proposing-Huge-Decatur-Area-Residential-Development.html" TargetMode="External"/><Relationship Id="rId12580" Type="http://schemas.openxmlformats.org/officeDocument/2006/relationships/hyperlink" Target="https://propertypressonline.co.uk/" TargetMode="External"/><Relationship Id="rId13631" Type="http://schemas.openxmlformats.org/officeDocument/2006/relationships/hyperlink" Target="https://anationofmoms.com/" TargetMode="External"/><Relationship Id="rId9252" Type="http://schemas.openxmlformats.org/officeDocument/2006/relationships/hyperlink" Target="https://www.pinoyeplans.com/" TargetMode="External"/><Relationship Id="rId11182" Type="http://schemas.openxmlformats.org/officeDocument/2006/relationships/hyperlink" Target="https://www.waterdamagespecialist.com.au/" TargetMode="External"/><Relationship Id="rId12233" Type="http://schemas.openxmlformats.org/officeDocument/2006/relationships/hyperlink" Target="https://www.rtpi.org.uk/find-your-rtpi/rtpi-english-regions/rtpi-east-midlands/east-midlands-awards-for-planning-excellence/" TargetMode="External"/><Relationship Id="rId611" Type="http://schemas.openxmlformats.org/officeDocument/2006/relationships/hyperlink" Target="https://www.simpleshowing.com/" TargetMode="External"/><Relationship Id="rId1241" Type="http://schemas.openxmlformats.org/officeDocument/2006/relationships/hyperlink" Target="https://www.littlestuff.co.uk/how-to-achieve-a-stress-free-move/" TargetMode="External"/><Relationship Id="rId5862" Type="http://schemas.openxmlformats.org/officeDocument/2006/relationships/hyperlink" Target="https://www.simpleshowing.com/" TargetMode="External"/><Relationship Id="rId6913" Type="http://schemas.openxmlformats.org/officeDocument/2006/relationships/hyperlink" Target="https://www.realsimple.com/how-to-organize-a-walk-in-closet-7963831" TargetMode="External"/><Relationship Id="rId15456" Type="http://schemas.openxmlformats.org/officeDocument/2006/relationships/hyperlink" Target="https://www.sockgeeks.co.uk/blogs/more-about-sock-geeks/monthly-subscription-gifts-that-keep-on-giving" TargetMode="External"/><Relationship Id="rId4464" Type="http://schemas.openxmlformats.org/officeDocument/2006/relationships/hyperlink" Target="https://www.hawaiinewsnow.com/2024/05/27/high-school-seniors-can-now-get-real-estate-license-free-this-state/" TargetMode="External"/><Relationship Id="rId5515" Type="http://schemas.openxmlformats.org/officeDocument/2006/relationships/hyperlink" Target="https://geotargetly.com/blog/can-credit-card-fraud-be-minimised-with-ip-geolocation" TargetMode="External"/><Relationship Id="rId14058" Type="http://schemas.openxmlformats.org/officeDocument/2006/relationships/hyperlink" Target="https://blogbuz.co.uk/the-secret-to-a-stunning-outdoor-space-how-to-keep-your-garden-and-patio-beautiful-year-round/" TargetMode="External"/><Relationship Id="rId15109" Type="http://schemas.openxmlformats.org/officeDocument/2006/relationships/hyperlink" Target="https://myinteriorpalace.com/" TargetMode="External"/><Relationship Id="rId3066" Type="http://schemas.openxmlformats.org/officeDocument/2006/relationships/hyperlink" Target="https://www.simpleshowing.com/" TargetMode="External"/><Relationship Id="rId4117" Type="http://schemas.openxmlformats.org/officeDocument/2006/relationships/hyperlink" Target="https://www.propstream.com/news/real-estate-agent-vs.-wholesaler-whats-the-difference" TargetMode="External"/><Relationship Id="rId7687" Type="http://schemas.openxmlformats.org/officeDocument/2006/relationships/hyperlink" Target="https://www.simpleshowing.com/" TargetMode="External"/><Relationship Id="rId6289" Type="http://schemas.openxmlformats.org/officeDocument/2006/relationships/hyperlink" Target="https://wcfcourier.com/shopping/article_676a5138-e91a-5865-ab76-e0bb6cbffd27.html" TargetMode="External"/><Relationship Id="rId8738" Type="http://schemas.openxmlformats.org/officeDocument/2006/relationships/hyperlink" Target="https://www.pinoyeplans.com/" TargetMode="External"/><Relationship Id="rId10668" Type="http://schemas.openxmlformats.org/officeDocument/2006/relationships/hyperlink" Target="https://www.pinoyeplans.com/" TargetMode="External"/><Relationship Id="rId11719" Type="http://schemas.openxmlformats.org/officeDocument/2006/relationships/hyperlink" Target="https://sellhousefast.uk/" TargetMode="External"/><Relationship Id="rId12090" Type="http://schemas.openxmlformats.org/officeDocument/2006/relationships/hyperlink" Target="https://www.hamiltoninternationalestates.com/" TargetMode="External"/><Relationship Id="rId13141" Type="http://schemas.openxmlformats.org/officeDocument/2006/relationships/hyperlink" Target="https://propertypressonline.co.uk/" TargetMode="External"/><Relationship Id="rId2899" Type="http://schemas.openxmlformats.org/officeDocument/2006/relationships/hyperlink" Target="https://www.pulte.com/" TargetMode="External"/><Relationship Id="rId3200" Type="http://schemas.openxmlformats.org/officeDocument/2006/relationships/hyperlink" Target="https://www.aecdaily.com/news_content.php?parent_id=1586582" TargetMode="External"/><Relationship Id="rId6770" Type="http://schemas.openxmlformats.org/officeDocument/2006/relationships/hyperlink" Target="http://www.ninjacart.com/?n=65504917" TargetMode="External"/><Relationship Id="rId7821" Type="http://schemas.openxmlformats.org/officeDocument/2006/relationships/hyperlink" Target="https://discoverlakelanier.com/" TargetMode="External"/><Relationship Id="rId121" Type="http://schemas.openxmlformats.org/officeDocument/2006/relationships/hyperlink" Target="https://www.cottagesgardens.com/" TargetMode="External"/><Relationship Id="rId5372" Type="http://schemas.openxmlformats.org/officeDocument/2006/relationships/hyperlink" Target="https://www.simpleshowing.com/" TargetMode="External"/><Relationship Id="rId6423" Type="http://schemas.openxmlformats.org/officeDocument/2006/relationships/hyperlink" Target="https://harviagroup.com/harvias-share/" TargetMode="External"/><Relationship Id="rId9993" Type="http://schemas.openxmlformats.org/officeDocument/2006/relationships/hyperlink" Target="https://www.pinoyeplans.com/" TargetMode="External"/><Relationship Id="rId10802" Type="http://schemas.openxmlformats.org/officeDocument/2006/relationships/hyperlink" Target="https://www.npr.org/2017/03/27/517505469/episode-54-panic-in-the-streets-study-guide-for-middle-school" TargetMode="External"/><Relationship Id="rId16017" Type="http://schemas.openxmlformats.org/officeDocument/2006/relationships/hyperlink" Target="https://www.realtyexecutives.com/blog/garage-door-repairs-improve-home-security" TargetMode="External"/><Relationship Id="rId5025" Type="http://schemas.openxmlformats.org/officeDocument/2006/relationships/hyperlink" Target="https://www.cherryservers.com/blog/smart-contract-development" TargetMode="External"/><Relationship Id="rId8595" Type="http://schemas.openxmlformats.org/officeDocument/2006/relationships/hyperlink" Target="https://www.buyersadvocate.com.au/" TargetMode="External"/><Relationship Id="rId9646" Type="http://schemas.openxmlformats.org/officeDocument/2006/relationships/hyperlink" Target="https://www.teachengineering.org/" TargetMode="External"/><Relationship Id="rId12974" Type="http://schemas.openxmlformats.org/officeDocument/2006/relationships/hyperlink" Target="https://www.shma.co.uk/" TargetMode="External"/><Relationship Id="rId1635" Type="http://schemas.openxmlformats.org/officeDocument/2006/relationships/hyperlink" Target="https://www.simpleshowing.com/" TargetMode="External"/><Relationship Id="rId1982" Type="http://schemas.openxmlformats.org/officeDocument/2006/relationships/hyperlink" Target="https://globallycontent.com/skipping-repairs-and-avoiding-regrets-the-case-for-cash-sales-in-todays-fort-worth-market/" TargetMode="External"/><Relationship Id="rId7197" Type="http://schemas.openxmlformats.org/officeDocument/2006/relationships/hyperlink" Target="https://www.simpleshowing.com/" TargetMode="External"/><Relationship Id="rId8248" Type="http://schemas.openxmlformats.org/officeDocument/2006/relationships/hyperlink" Target="http://pigpigmentation.indiemade.com/blog/moodboard-monday-nocturnal-nursery-moths-constellations?icon_class=angle&amp;page=9" TargetMode="External"/><Relationship Id="rId10178" Type="http://schemas.openxmlformats.org/officeDocument/2006/relationships/hyperlink" Target="https://theartofeducation.edu/2024/02/feb-embracing-the-magic-a-love-letter-to-pinhole-photography-in-the-art-room/" TargetMode="External"/><Relationship Id="rId11576" Type="http://schemas.openxmlformats.org/officeDocument/2006/relationships/hyperlink" Target="https://www.property118.com/leasehold-system-much-alive-despite-governments-measures/" TargetMode="External"/><Relationship Id="rId12627" Type="http://schemas.openxmlformats.org/officeDocument/2006/relationships/hyperlink" Target="https://londonlovesbusiness.com/retail-and-london-bear-the-brunt-as-business-administrations-remained-high-in-2025/" TargetMode="External"/><Relationship Id="rId11229" Type="http://schemas.openxmlformats.org/officeDocument/2006/relationships/hyperlink" Target="https://ultimatestatusbar.com/how-to-salvage-these-8-household-items-after-a-flood/" TargetMode="External"/><Relationship Id="rId14799" Type="http://schemas.openxmlformats.org/officeDocument/2006/relationships/hyperlink" Target="https://houseofcoco.net/5-tips-for-extending-your-garage-doors-lifespan/" TargetMode="External"/><Relationship Id="rId15100" Type="http://schemas.openxmlformats.org/officeDocument/2006/relationships/hyperlink" Target="https://myinteriorpalace.com/" TargetMode="External"/><Relationship Id="rId4858" Type="http://schemas.openxmlformats.org/officeDocument/2006/relationships/hyperlink" Target="https://www.simpleshowing.com/" TargetMode="External"/><Relationship Id="rId5909" Type="http://schemas.openxmlformats.org/officeDocument/2006/relationships/hyperlink" Target="https://www.truework.com/verifications/freedom-debt-relief-employment-verification/" TargetMode="External"/><Relationship Id="rId11710" Type="http://schemas.openxmlformats.org/officeDocument/2006/relationships/hyperlink" Target="https://sellhousefast.uk/" TargetMode="External"/><Relationship Id="rId6280" Type="http://schemas.openxmlformats.org/officeDocument/2006/relationships/hyperlink" Target="https://www.simpleshowing.com/" TargetMode="External"/><Relationship Id="rId7331" Type="http://schemas.openxmlformats.org/officeDocument/2006/relationships/hyperlink" Target="https://www.latimes.com/business/la-xpm-2013-apr-01-la-fi-mo-taylor-morrison-ipo-20130401-story.html" TargetMode="External"/><Relationship Id="rId10312" Type="http://schemas.openxmlformats.org/officeDocument/2006/relationships/hyperlink" Target="https://www.teachengineering.org/" TargetMode="External"/><Relationship Id="rId13882" Type="http://schemas.openxmlformats.org/officeDocument/2006/relationships/hyperlink" Target="https://myinteriorpalace.com/" TargetMode="External"/><Relationship Id="rId2890" Type="http://schemas.openxmlformats.org/officeDocument/2006/relationships/hyperlink" Target="https://www.pulte.com/" TargetMode="External"/><Relationship Id="rId3941" Type="http://schemas.openxmlformats.org/officeDocument/2006/relationships/hyperlink" Target="https://www.truelocal.com.au/qld/capalaba/amj-metal-roofing-14728957" TargetMode="External"/><Relationship Id="rId12484" Type="http://schemas.openxmlformats.org/officeDocument/2006/relationships/hyperlink" Target="https://sturents.com/" TargetMode="External"/><Relationship Id="rId13535" Type="http://schemas.openxmlformats.org/officeDocument/2006/relationships/hyperlink" Target="https://anationofmoms.com/" TargetMode="External"/><Relationship Id="rId14933" Type="http://schemas.openxmlformats.org/officeDocument/2006/relationships/hyperlink" Target="https://www.fluidplumbingservices.com.au/" TargetMode="External"/><Relationship Id="rId862" Type="http://schemas.openxmlformats.org/officeDocument/2006/relationships/hyperlink" Target="https://www.absolutepestmgmt.com/" TargetMode="External"/><Relationship Id="rId1492" Type="http://schemas.openxmlformats.org/officeDocument/2006/relationships/hyperlink" Target="https://wolfriverelectric.com/" TargetMode="External"/><Relationship Id="rId2543" Type="http://schemas.openxmlformats.org/officeDocument/2006/relationships/hyperlink" Target="https://www.55places.com/blog/what-is-pulte-up-to" TargetMode="External"/><Relationship Id="rId9156" Type="http://schemas.openxmlformats.org/officeDocument/2006/relationships/hyperlink" Target="https://www.pinoyeplans.com/" TargetMode="External"/><Relationship Id="rId11086" Type="http://schemas.openxmlformats.org/officeDocument/2006/relationships/hyperlink" Target="https://www.teachengineering.org/" TargetMode="External"/><Relationship Id="rId12137" Type="http://schemas.openxmlformats.org/officeDocument/2006/relationships/hyperlink" Target="https://www.aircare.com/product-page/ma1201" TargetMode="External"/><Relationship Id="rId515" Type="http://schemas.openxmlformats.org/officeDocument/2006/relationships/hyperlink" Target="https://www.simpleshowing.com/" TargetMode="External"/><Relationship Id="rId1145" Type="http://schemas.openxmlformats.org/officeDocument/2006/relationships/hyperlink" Target="https://nerdymamma.com/home-passions-and-skills/" TargetMode="External"/><Relationship Id="rId5766" Type="http://schemas.openxmlformats.org/officeDocument/2006/relationships/hyperlink" Target="https://www.simpleshowing.com/" TargetMode="External"/><Relationship Id="rId4368" Type="http://schemas.openxmlformats.org/officeDocument/2006/relationships/hyperlink" Target="https://www.fox5vegas.com/2024/05/27/high-school-seniors-can-now-get-real-estate-license-free-this-state/" TargetMode="External"/><Relationship Id="rId5419" Type="http://schemas.openxmlformats.org/officeDocument/2006/relationships/hyperlink" Target="https://pixteller.com/blog/cost-vs-benefit-of-getting-a-degree-in-web-design-278" TargetMode="External"/><Relationship Id="rId6817" Type="http://schemas.openxmlformats.org/officeDocument/2006/relationships/hyperlink" Target="https://www.taylormorrison.com/" TargetMode="External"/><Relationship Id="rId8989" Type="http://schemas.openxmlformats.org/officeDocument/2006/relationships/hyperlink" Target="https://nycestimating.us/" TargetMode="External"/><Relationship Id="rId11220" Type="http://schemas.openxmlformats.org/officeDocument/2006/relationships/hyperlink" Target="https://gisuser.com/2023/08/mastering-geospatial-analysis-in-flood-restoration/" TargetMode="External"/><Relationship Id="rId14790" Type="http://schemas.openxmlformats.org/officeDocument/2006/relationships/hyperlink" Target="https://successfulblackparenting.com/2025/12/08/garage-door-remotes/" TargetMode="External"/><Relationship Id="rId15841" Type="http://schemas.openxmlformats.org/officeDocument/2006/relationships/hyperlink" Target="https://myinteriorpalace.com/" TargetMode="External"/><Relationship Id="rId5900" Type="http://schemas.openxmlformats.org/officeDocument/2006/relationships/hyperlink" Target="https://www.simpleshowing.com/" TargetMode="External"/><Relationship Id="rId13392" Type="http://schemas.openxmlformats.org/officeDocument/2006/relationships/hyperlink" Target="https://www.freshroastedcoffee.com/pages/in-the-news" TargetMode="External"/><Relationship Id="rId14443" Type="http://schemas.openxmlformats.org/officeDocument/2006/relationships/hyperlink" Target="https://myinteriorpalace.com/" TargetMode="External"/><Relationship Id="rId3451" Type="http://schemas.openxmlformats.org/officeDocument/2006/relationships/hyperlink" Target="https://www.pulte.com/" TargetMode="External"/><Relationship Id="rId4502" Type="http://schemas.openxmlformats.org/officeDocument/2006/relationships/hyperlink" Target="https://www.kapre.com/" TargetMode="External"/><Relationship Id="rId13045" Type="http://schemas.openxmlformats.org/officeDocument/2006/relationships/hyperlink" Target="https://propertypressonline.co.uk/" TargetMode="External"/><Relationship Id="rId372" Type="http://schemas.openxmlformats.org/officeDocument/2006/relationships/hyperlink" Target="http://northernvirginiahomepro.com/" TargetMode="External"/><Relationship Id="rId2053" Type="http://schemas.openxmlformats.org/officeDocument/2006/relationships/hyperlink" Target="https://markspain.com/" TargetMode="External"/><Relationship Id="rId3104" Type="http://schemas.openxmlformats.org/officeDocument/2006/relationships/hyperlink" Target="https://cleaninghabit.bigcartel.com/fels-naptha-brick-cleaning-tips" TargetMode="External"/><Relationship Id="rId6674" Type="http://schemas.openxmlformats.org/officeDocument/2006/relationships/hyperlink" Target="https://www.eplanters.com/blog/" TargetMode="External"/><Relationship Id="rId7725" Type="http://schemas.openxmlformats.org/officeDocument/2006/relationships/hyperlink" Target="https://www.boatsmartexam.com/us/georgia/boating-regulations/" TargetMode="External"/><Relationship Id="rId16268" Type="http://schemas.openxmlformats.org/officeDocument/2006/relationships/hyperlink" Target="https://www.unitedcarpetsandbeds.com/" TargetMode="External"/><Relationship Id="rId5276" Type="http://schemas.openxmlformats.org/officeDocument/2006/relationships/hyperlink" Target="https://www.simpleshowing.com/" TargetMode="External"/><Relationship Id="rId6327" Type="http://schemas.openxmlformats.org/officeDocument/2006/relationships/hyperlink" Target="https://winonadailynews.com/news/nation-world/business/personal-finance/article_58a45ac5-77b9-548d-a129-128e77861fab.html" TargetMode="External"/><Relationship Id="rId9897" Type="http://schemas.openxmlformats.org/officeDocument/2006/relationships/hyperlink" Target="https://www.pinoyeplans.com/" TargetMode="External"/><Relationship Id="rId10706" Type="http://schemas.openxmlformats.org/officeDocument/2006/relationships/hyperlink" Target="https://www.publicradioeast.org/us/2017-03-27/episode-54-panic-in-the-streets-study-guide-for-middle-school" TargetMode="External"/><Relationship Id="rId8499" Type="http://schemas.openxmlformats.org/officeDocument/2006/relationships/hyperlink" Target="https://www.cylind.com/" TargetMode="External"/><Relationship Id="rId12878" Type="http://schemas.openxmlformats.org/officeDocument/2006/relationships/hyperlink" Target="https://www.shma.co.uk/" TargetMode="External"/><Relationship Id="rId13929" Type="http://schemas.openxmlformats.org/officeDocument/2006/relationships/hyperlink" Target="https://amazingarchitecture.com/articles/planning-for-a-new-roof-how-to-budget-for-a-roof-replacement" TargetMode="External"/><Relationship Id="rId1886" Type="http://schemas.openxmlformats.org/officeDocument/2006/relationships/hyperlink" Target="https://www.1045thezone.com/contests/" TargetMode="External"/><Relationship Id="rId2937" Type="http://schemas.openxmlformats.org/officeDocument/2006/relationships/hyperlink" Target="https://www.simpleshowing.com/" TargetMode="External"/><Relationship Id="rId15351" Type="http://schemas.openxmlformats.org/officeDocument/2006/relationships/hyperlink" Target="https://www.hammonds-uk.com/blogs/neutral-bedroom-design-ideas-that-appeal-to-everyone/" TargetMode="External"/><Relationship Id="rId909" Type="http://schemas.openxmlformats.org/officeDocument/2006/relationships/hyperlink" Target="https://www.simpleshowing.com/" TargetMode="External"/><Relationship Id="rId1539" Type="http://schemas.openxmlformats.org/officeDocument/2006/relationships/hyperlink" Target="https://www.simpleshowing.com/" TargetMode="External"/><Relationship Id="rId5410" Type="http://schemas.openxmlformats.org/officeDocument/2006/relationships/hyperlink" Target="https://www.simpleshowing.com/" TargetMode="External"/><Relationship Id="rId8980" Type="http://schemas.openxmlformats.org/officeDocument/2006/relationships/hyperlink" Target="https://nycestimating.us/" TargetMode="External"/><Relationship Id="rId11961" Type="http://schemas.openxmlformats.org/officeDocument/2006/relationships/hyperlink" Target="https://www.hamiltoninternationalestates.com/" TargetMode="External"/><Relationship Id="rId15004" Type="http://schemas.openxmlformats.org/officeDocument/2006/relationships/hyperlink" Target="https://myinteriorpalace.com/" TargetMode="External"/><Relationship Id="rId4012" Type="http://schemas.openxmlformats.org/officeDocument/2006/relationships/hyperlink" Target="https://appleplumbing.com/" TargetMode="External"/><Relationship Id="rId7582" Type="http://schemas.openxmlformats.org/officeDocument/2006/relationships/hyperlink" Target="https://www.simpleshowing.com/" TargetMode="External"/><Relationship Id="rId8633" Type="http://schemas.openxmlformats.org/officeDocument/2006/relationships/hyperlink" Target="https://www.pinoyeplans.com/" TargetMode="External"/><Relationship Id="rId10563" Type="http://schemas.openxmlformats.org/officeDocument/2006/relationships/hyperlink" Target="https://www.pinoyeplans.com/" TargetMode="External"/><Relationship Id="rId11614" Type="http://schemas.openxmlformats.org/officeDocument/2006/relationships/hyperlink" Target="https://sellhousefast.uk/" TargetMode="External"/><Relationship Id="rId6184" Type="http://schemas.openxmlformats.org/officeDocument/2006/relationships/hyperlink" Target="https://www.simpleshowing.com/" TargetMode="External"/><Relationship Id="rId7235" Type="http://schemas.openxmlformats.org/officeDocument/2006/relationships/hyperlink" Target="https://www.youarecurrent.com/2024/05/24/carmel-based-pyatt-builders-acquired-by-taylor-morrison/" TargetMode="External"/><Relationship Id="rId10216" Type="http://schemas.openxmlformats.org/officeDocument/2006/relationships/hyperlink" Target="https://www.teachengineering.org/" TargetMode="External"/><Relationship Id="rId2794" Type="http://schemas.openxmlformats.org/officeDocument/2006/relationships/hyperlink" Target="https://www.pulte.com/" TargetMode="External"/><Relationship Id="rId3845" Type="http://schemas.openxmlformats.org/officeDocument/2006/relationships/hyperlink" Target="https://www.wheaton.edu/admissions-cost-and-aid/scholarships-and-financial-aid/academic-scholarships/outside-scholarships-and-resources/" TargetMode="External"/><Relationship Id="rId12388" Type="http://schemas.openxmlformats.org/officeDocument/2006/relationships/hyperlink" Target="https://sturents.com/" TargetMode="External"/><Relationship Id="rId13786" Type="http://schemas.openxmlformats.org/officeDocument/2006/relationships/hyperlink" Target="https://myinteriorpalace.com/" TargetMode="External"/><Relationship Id="rId14837" Type="http://schemas.openxmlformats.org/officeDocument/2006/relationships/hyperlink" Target="https://www.fluidplumbingservices.com.au/" TargetMode="External"/><Relationship Id="rId766" Type="http://schemas.openxmlformats.org/officeDocument/2006/relationships/hyperlink" Target="https://www.luxurytravelmagazine.com/news-articles/why-choosing-efficient-heating-can-make-a-home-more-comfortable" TargetMode="External"/><Relationship Id="rId1396" Type="http://schemas.openxmlformats.org/officeDocument/2006/relationships/hyperlink" Target="https://ritewindow.com/blog/3-indicators-its-time-to-upgrade-your-shower-or-bath/" TargetMode="External"/><Relationship Id="rId2447" Type="http://schemas.openxmlformats.org/officeDocument/2006/relationships/hyperlink" Target="https://www.riverislands.com/find-homes/neighborhoods/the-shores/" TargetMode="External"/><Relationship Id="rId13439" Type="http://schemas.openxmlformats.org/officeDocument/2006/relationships/hyperlink" Target="https://anationofmoms.com/" TargetMode="External"/><Relationship Id="rId419" Type="http://schemas.openxmlformats.org/officeDocument/2006/relationships/hyperlink" Target="https://www.simpleshowing.com/" TargetMode="External"/><Relationship Id="rId1049" Type="http://schemas.openxmlformats.org/officeDocument/2006/relationships/hyperlink" Target="https://hookedhome.com/adapting-your-home-to-fit-the-way-you-actually-live/" TargetMode="External"/><Relationship Id="rId13920" Type="http://schemas.openxmlformats.org/officeDocument/2006/relationships/hyperlink" Target="https://comradeweb.com/blog/top-best-roofing-websites/" TargetMode="External"/><Relationship Id="rId7092" Type="http://schemas.openxmlformats.org/officeDocument/2006/relationships/hyperlink" Target="https://blog.offerpad.com/how-to-buy-a-new-build-home-in-a-low-inventory-market/" TargetMode="External"/><Relationship Id="rId8143" Type="http://schemas.openxmlformats.org/officeDocument/2006/relationships/hyperlink" Target="https://bucketlistrewards.com/blog/2026-frontline-workers-award-rankings/" TargetMode="External"/><Relationship Id="rId8490" Type="http://schemas.openxmlformats.org/officeDocument/2006/relationships/hyperlink" Target="https://www.cylind.com/" TargetMode="External"/><Relationship Id="rId9541" Type="http://schemas.openxmlformats.org/officeDocument/2006/relationships/hyperlink" Target="https://www.teachengineering.org/" TargetMode="External"/><Relationship Id="rId11471" Type="http://schemas.openxmlformats.org/officeDocument/2006/relationships/hyperlink" Target="https://www.hamiltoninternationalestates.com/" TargetMode="External"/><Relationship Id="rId12522" Type="http://schemas.openxmlformats.org/officeDocument/2006/relationships/hyperlink" Target="https://www.accommodationforstudents.com/student-landlord-guides/4409" TargetMode="External"/><Relationship Id="rId900" Type="http://schemas.openxmlformats.org/officeDocument/2006/relationships/hyperlink" Target="https://www.simpleshowing.com/" TargetMode="External"/><Relationship Id="rId1530" Type="http://schemas.openxmlformats.org/officeDocument/2006/relationships/hyperlink" Target="https://www.simpleshowing.com/" TargetMode="External"/><Relationship Id="rId10073" Type="http://schemas.openxmlformats.org/officeDocument/2006/relationships/hyperlink" Target="https://mysteryscience.com/energy/mystery-3/energy-transfer-engineering/381" TargetMode="External"/><Relationship Id="rId11124" Type="http://schemas.openxmlformats.org/officeDocument/2006/relationships/hyperlink" Target="https://www.waterdamagespecialist.com.au/" TargetMode="External"/><Relationship Id="rId14694" Type="http://schemas.openxmlformats.org/officeDocument/2006/relationships/hyperlink" Target="https://secure2.websrvcs.com/System/Media/play.asp?id=30216&amp;key=86D5CAF7-CE9C-44DB-B517-282135AEE4F2" TargetMode="External"/><Relationship Id="rId15745" Type="http://schemas.openxmlformats.org/officeDocument/2006/relationships/hyperlink" Target="https://myinteriorpalace.com/" TargetMode="External"/><Relationship Id="rId4753" Type="http://schemas.openxmlformats.org/officeDocument/2006/relationships/hyperlink" Target="https://www.simpleshowing.com/" TargetMode="External"/><Relationship Id="rId5804" Type="http://schemas.openxmlformats.org/officeDocument/2006/relationships/hyperlink" Target="https://www.simpleshowing.com/" TargetMode="External"/><Relationship Id="rId13296" Type="http://schemas.openxmlformats.org/officeDocument/2006/relationships/hyperlink" Target="https://bmmagazine.co.uk/business/how-younger-property-investors-can-get-into-the-buy-to-let-market/" TargetMode="External"/><Relationship Id="rId14347" Type="http://schemas.openxmlformats.org/officeDocument/2006/relationships/hyperlink" Target="https://myinteriorpalace.com/" TargetMode="External"/><Relationship Id="rId3355" Type="http://schemas.openxmlformats.org/officeDocument/2006/relationships/hyperlink" Target="https://www.pulte.com/" TargetMode="External"/><Relationship Id="rId4406" Type="http://schemas.openxmlformats.org/officeDocument/2006/relationships/hyperlink" Target="https://www.kapre.com/" TargetMode="External"/><Relationship Id="rId7976" Type="http://schemas.openxmlformats.org/officeDocument/2006/relationships/hyperlink" Target="https://www.pinoyeplans.com/" TargetMode="External"/><Relationship Id="rId276" Type="http://schemas.openxmlformats.org/officeDocument/2006/relationships/hyperlink" Target="http://northernvirginiahomepro.com/" TargetMode="External"/><Relationship Id="rId3008" Type="http://schemas.openxmlformats.org/officeDocument/2006/relationships/hyperlink" Target="https://www.dandb.com/businessdirectory/millersfarmbypultehomes-copley-oh-112665415.html" TargetMode="External"/><Relationship Id="rId6578" Type="http://schemas.openxmlformats.org/officeDocument/2006/relationships/hyperlink" Target="https://www.thermasol.com/" TargetMode="External"/><Relationship Id="rId7629" Type="http://schemas.openxmlformats.org/officeDocument/2006/relationships/hyperlink" Target="https://business.sarasotachamber.com/active-member-directory/Details/taylor-morrison-3821973" TargetMode="External"/><Relationship Id="rId10957" Type="http://schemas.openxmlformats.org/officeDocument/2006/relationships/hyperlink" Target="https://www.teachengineering.org/" TargetMode="External"/><Relationship Id="rId9051" Type="http://schemas.openxmlformats.org/officeDocument/2006/relationships/hyperlink" Target="https://www.pinoyeplans.com/" TargetMode="External"/><Relationship Id="rId13430" Type="http://schemas.openxmlformats.org/officeDocument/2006/relationships/hyperlink" Target="https://anationofmoms.com/" TargetMode="External"/><Relationship Id="rId1040" Type="http://schemas.openxmlformats.org/officeDocument/2006/relationships/hyperlink" Target="https://tangyhouse.com/10-tips-to-transform-your-home-for-hosting-friends-and-family/" TargetMode="External"/><Relationship Id="rId12032" Type="http://schemas.openxmlformats.org/officeDocument/2006/relationships/hyperlink" Target="https://www.newlinepainting.com.au/how-long-to-wait-between-paint-coats/" TargetMode="External"/><Relationship Id="rId410" Type="http://schemas.openxmlformats.org/officeDocument/2006/relationships/hyperlink" Target="https://www.simpleshowing.com/" TargetMode="External"/><Relationship Id="rId5661" Type="http://schemas.openxmlformats.org/officeDocument/2006/relationships/hyperlink" Target="https://theartofcharm.com/uncategorized/gretchen-rubin-happiness-and-the-four-tendencies/" TargetMode="External"/><Relationship Id="rId6712" Type="http://schemas.openxmlformats.org/officeDocument/2006/relationships/hyperlink" Target="https://www.eplanters.com/blog/" TargetMode="External"/><Relationship Id="rId15255" Type="http://schemas.openxmlformats.org/officeDocument/2006/relationships/hyperlink" Target="https://squaremile.com/property/best-drinks-cabinets/" TargetMode="External"/><Relationship Id="rId4263" Type="http://schemas.openxmlformats.org/officeDocument/2006/relationships/hyperlink" Target="https://www.parkplacenetwork.com/reschools" TargetMode="External"/><Relationship Id="rId5314" Type="http://schemas.openxmlformats.org/officeDocument/2006/relationships/hyperlink" Target="https://www.simpleshowing.com/" TargetMode="External"/><Relationship Id="rId8884" Type="http://schemas.openxmlformats.org/officeDocument/2006/relationships/hyperlink" Target="https://www.trianglepest.com/" TargetMode="External"/><Relationship Id="rId9935" Type="http://schemas.openxmlformats.org/officeDocument/2006/relationships/hyperlink" Target="https://creativity.psu.edu/compendium/" TargetMode="External"/><Relationship Id="rId1924" Type="http://schemas.openxmlformats.org/officeDocument/2006/relationships/hyperlink" Target="https://markspain.com/" TargetMode="External"/><Relationship Id="rId7486" Type="http://schemas.openxmlformats.org/officeDocument/2006/relationships/hyperlink" Target="https://www.simpleshowing.com/" TargetMode="External"/><Relationship Id="rId8537" Type="http://schemas.openxmlformats.org/officeDocument/2006/relationships/hyperlink" Target="https://www.pinoyeplans.com/" TargetMode="External"/><Relationship Id="rId10467" Type="http://schemas.openxmlformats.org/officeDocument/2006/relationships/hyperlink" Target="https://www.pinoyeplans.com/" TargetMode="External"/><Relationship Id="rId11865" Type="http://schemas.openxmlformats.org/officeDocument/2006/relationships/hyperlink" Target="https://www.hamiltoninternationalestates.com/" TargetMode="External"/><Relationship Id="rId12916" Type="http://schemas.openxmlformats.org/officeDocument/2006/relationships/hyperlink" Target="https://propertypressonline.co.uk/" TargetMode="External"/><Relationship Id="rId6088" Type="http://schemas.openxmlformats.org/officeDocument/2006/relationships/hyperlink" Target="https://www.simpleshowing.com/" TargetMode="External"/><Relationship Id="rId7139" Type="http://schemas.openxmlformats.org/officeDocument/2006/relationships/hyperlink" Target="https://www.simpleshowing.com/" TargetMode="External"/><Relationship Id="rId11518" Type="http://schemas.openxmlformats.org/officeDocument/2006/relationships/hyperlink" Target="https://www.galliardhomes.com/guides/buyer/crossrail-and-hs2/investing-in-property-crossrail-hotspots" TargetMode="External"/><Relationship Id="rId2698" Type="http://schemas.openxmlformats.org/officeDocument/2006/relationships/hyperlink" Target="https://www.pulte.com/" TargetMode="External"/><Relationship Id="rId3749" Type="http://schemas.openxmlformats.org/officeDocument/2006/relationships/hyperlink" Target="https://garage-door-repair-15.nyc3.digitaloceanspaces.com/what-is-creating-your-garage-door-to-malfunction-discover-our-specialist-fixing-solutions.html" TargetMode="External"/><Relationship Id="rId5171" Type="http://schemas.openxmlformats.org/officeDocument/2006/relationships/hyperlink" Target="https://www.chargeflow.io/blog/avoid-ecommerce-chargeback-pitfalls-expert-strategies-for-2025" TargetMode="External"/><Relationship Id="rId6222" Type="http://schemas.openxmlformats.org/officeDocument/2006/relationships/hyperlink" Target="https://www.simpleshowing.com/" TargetMode="External"/><Relationship Id="rId7620" Type="http://schemas.openxmlformats.org/officeDocument/2006/relationships/hyperlink" Target="https://www.5newsonline.com/article/money/consumer/taylor-morrison-files-complaint-against-home-inspector-who-posts-videos-of-inspections-on-social-media/75-fc64bf74-360c-4f54-ac08-1d79f2af1d67" TargetMode="External"/><Relationship Id="rId10601" Type="http://schemas.openxmlformats.org/officeDocument/2006/relationships/hyperlink" Target="https://minerals.nv.gov/layouts/Page_Style_1.aspx?id=195833" TargetMode="External"/><Relationship Id="rId16163" Type="http://schemas.openxmlformats.org/officeDocument/2006/relationships/hyperlink" Target="https://www.unitedcarpetsandbeds.com/" TargetMode="External"/><Relationship Id="rId9792" Type="http://schemas.openxmlformats.org/officeDocument/2006/relationships/hyperlink" Target="https://www.pinoyeplans.com/" TargetMode="External"/><Relationship Id="rId12773" Type="http://schemas.openxmlformats.org/officeDocument/2006/relationships/hyperlink" Target="https://www.shma.co.uk/" TargetMode="External"/><Relationship Id="rId13824" Type="http://schemas.openxmlformats.org/officeDocument/2006/relationships/hyperlink" Target="https://psbios.com/how-to-prepare-for-shower-door-installation-in-phoenix-with-aq-glass/" TargetMode="External"/><Relationship Id="rId1781" Type="http://schemas.openxmlformats.org/officeDocument/2006/relationships/hyperlink" Target="https://www.stockmanbank.com/help/frequently-asked-questions/what-is-ebiz" TargetMode="External"/><Relationship Id="rId2832" Type="http://schemas.openxmlformats.org/officeDocument/2006/relationships/hyperlink" Target="https://www.simpleshowing.com/" TargetMode="External"/><Relationship Id="rId8394" Type="http://schemas.openxmlformats.org/officeDocument/2006/relationships/hyperlink" Target="https://24hourfloodpros.com/" TargetMode="External"/><Relationship Id="rId9445" Type="http://schemas.openxmlformats.org/officeDocument/2006/relationships/hyperlink" Target="https://www.teachengineering.org/" TargetMode="External"/><Relationship Id="rId11375" Type="http://schemas.openxmlformats.org/officeDocument/2006/relationships/hyperlink" Target="https://www.hamiltoninternationalestates.com/" TargetMode="External"/><Relationship Id="rId12426" Type="http://schemas.openxmlformats.org/officeDocument/2006/relationships/hyperlink" Target="https://propertypressonline.co.uk/" TargetMode="External"/><Relationship Id="rId804" Type="http://schemas.openxmlformats.org/officeDocument/2006/relationships/hyperlink" Target="https://www.schaafsma.com/" TargetMode="External"/><Relationship Id="rId1434" Type="http://schemas.openxmlformats.org/officeDocument/2006/relationships/hyperlink" Target="https://www.simpleshowing.com/" TargetMode="External"/><Relationship Id="rId8047" Type="http://schemas.openxmlformats.org/officeDocument/2006/relationships/hyperlink" Target="https://www.pinoyeplans.com/" TargetMode="External"/><Relationship Id="rId11028" Type="http://schemas.openxmlformats.org/officeDocument/2006/relationships/hyperlink" Target="https://www.pinoyeplans.com/" TargetMode="External"/><Relationship Id="rId14598" Type="http://schemas.openxmlformats.org/officeDocument/2006/relationships/hyperlink" Target="https://goodnever.com/homeorganization/4-most-common-garage-door-spring-issues-and-how-to-maintain-them-effectively/" TargetMode="External"/><Relationship Id="rId15996" Type="http://schemas.openxmlformats.org/officeDocument/2006/relationships/hyperlink" Target="https://myinteriorpalace.com/why-more-homeowners-are-switching-to-custom-garage-doors/" TargetMode="External"/><Relationship Id="rId4657" Type="http://schemas.openxmlformats.org/officeDocument/2006/relationships/hyperlink" Target="https://www.simpleshowing.com/" TargetMode="External"/><Relationship Id="rId5708" Type="http://schemas.openxmlformats.org/officeDocument/2006/relationships/hyperlink" Target="https://www.simpleshowing.com/" TargetMode="External"/><Relationship Id="rId15649" Type="http://schemas.openxmlformats.org/officeDocument/2006/relationships/hyperlink" Target="https://myinteriorpalace.com/" TargetMode="External"/><Relationship Id="rId3259" Type="http://schemas.openxmlformats.org/officeDocument/2006/relationships/hyperlink" Target="https://www.pulte.com/" TargetMode="External"/><Relationship Id="rId7130" Type="http://schemas.openxmlformats.org/officeDocument/2006/relationships/hyperlink" Target="https://www.simpleshowing.com/" TargetMode="External"/><Relationship Id="rId10111" Type="http://schemas.openxmlformats.org/officeDocument/2006/relationships/hyperlink" Target="https://www.teachengineering.org/" TargetMode="External"/><Relationship Id="rId13681" Type="http://schemas.openxmlformats.org/officeDocument/2006/relationships/hyperlink" Target="https://myinteriorpalace.com/" TargetMode="External"/><Relationship Id="rId14732" Type="http://schemas.openxmlformats.org/officeDocument/2006/relationships/hyperlink" Target="https://www.easygaragedoorrepair.com/" TargetMode="External"/><Relationship Id="rId3740" Type="http://schemas.openxmlformats.org/officeDocument/2006/relationships/hyperlink" Target="https://garagebuildings.com/how-to-stock-your-garage-for-winter" TargetMode="External"/><Relationship Id="rId12283" Type="http://schemas.openxmlformats.org/officeDocument/2006/relationships/hyperlink" Target="https://www.ridgefieldconsulting.co.uk/" TargetMode="External"/><Relationship Id="rId13334" Type="http://schemas.openxmlformats.org/officeDocument/2006/relationships/hyperlink" Target="https://a1floorsnc.com/" TargetMode="External"/><Relationship Id="rId661" Type="http://schemas.openxmlformats.org/officeDocument/2006/relationships/hyperlink" Target="https://www.boomermagazine.com/outer-banks-vacation-with-pets/" TargetMode="External"/><Relationship Id="rId1291" Type="http://schemas.openxmlformats.org/officeDocument/2006/relationships/hyperlink" Target="https://darscover.com/" TargetMode="External"/><Relationship Id="rId2342" Type="http://schemas.openxmlformats.org/officeDocument/2006/relationships/hyperlink" Target="https://www.milb.com/las-vegas" TargetMode="External"/><Relationship Id="rId6963" Type="http://schemas.openxmlformats.org/officeDocument/2006/relationships/hyperlink" Target="https://blog.invgate.com/it-skills-in-demand" TargetMode="External"/><Relationship Id="rId314" Type="http://schemas.openxmlformats.org/officeDocument/2006/relationships/hyperlink" Target="http://nelsonkb.com/" TargetMode="External"/><Relationship Id="rId5565" Type="http://schemas.openxmlformats.org/officeDocument/2006/relationships/hyperlink" Target="https://unicornplatform.com/blog/build-an-irresistible-used-car-dealership-website-design-in-minutes/" TargetMode="External"/><Relationship Id="rId6616" Type="http://schemas.openxmlformats.org/officeDocument/2006/relationships/hyperlink" Target="https://www.californiahomedesign.com/trending/2019/07/16/next-level/" TargetMode="External"/><Relationship Id="rId15159" Type="http://schemas.openxmlformats.org/officeDocument/2006/relationships/hyperlink" Target="https://www.melanielissackinteriors.com/blog/2023/7/7/7-tips-for-adding-softness-and-warmth-to-industrialist-interiors" TargetMode="External"/><Relationship Id="rId4167" Type="http://schemas.openxmlformats.org/officeDocument/2006/relationships/hyperlink" Target="https://www.followupboss.com/blog/review-for-2019-is-real-estate-express-the-best-of-its-kind" TargetMode="External"/><Relationship Id="rId5218" Type="http://schemas.openxmlformats.org/officeDocument/2006/relationships/hyperlink" Target="https://www.simpleshowing.com/" TargetMode="External"/><Relationship Id="rId8788" Type="http://schemas.openxmlformats.org/officeDocument/2006/relationships/hyperlink" Target="https://www.apmhelp.com/blog/property-management-taxes-louisiana" TargetMode="External"/><Relationship Id="rId9839" Type="http://schemas.openxmlformats.org/officeDocument/2006/relationships/hyperlink" Target="https://gustavus.edu/events/nobelconference/2021/Teachers/index.php" TargetMode="External"/><Relationship Id="rId11769" Type="http://schemas.openxmlformats.org/officeDocument/2006/relationships/hyperlink" Target="https://www.hamiltoninternationalestates.com/" TargetMode="External"/><Relationship Id="rId13191" Type="http://schemas.openxmlformats.org/officeDocument/2006/relationships/hyperlink" Target="https://realbusiness.co.uk/data-protection-legislation-getting-stricter" TargetMode="External"/><Relationship Id="rId15640" Type="http://schemas.openxmlformats.org/officeDocument/2006/relationships/hyperlink" Target="https://myinteriorpalace.com/" TargetMode="External"/><Relationship Id="rId1828" Type="http://schemas.openxmlformats.org/officeDocument/2006/relationships/hyperlink" Target="https://wolfriverelectric.com/" TargetMode="External"/><Relationship Id="rId3250" Type="http://schemas.openxmlformats.org/officeDocument/2006/relationships/hyperlink" Target="https://www.pulte.com/" TargetMode="External"/><Relationship Id="rId14242" Type="http://schemas.openxmlformats.org/officeDocument/2006/relationships/hyperlink" Target="https://myinteriorpalace.com/" TargetMode="External"/><Relationship Id="rId171" Type="http://schemas.openxmlformats.org/officeDocument/2006/relationships/hyperlink" Target="https://www.realtyna.com/" TargetMode="External"/><Relationship Id="rId4301" Type="http://schemas.openxmlformats.org/officeDocument/2006/relationships/hyperlink" Target="https://www.kapre.com/" TargetMode="External"/><Relationship Id="rId7871" Type="http://schemas.openxmlformats.org/officeDocument/2006/relationships/hyperlink" Target="https://www.pinoyeplans.com/" TargetMode="External"/><Relationship Id="rId8922" Type="http://schemas.openxmlformats.org/officeDocument/2006/relationships/hyperlink" Target="https://www.pinoyeplans.com/" TargetMode="External"/><Relationship Id="rId10852" Type="http://schemas.openxmlformats.org/officeDocument/2006/relationships/hyperlink" Target="https://www.teachengineering.org/" TargetMode="External"/><Relationship Id="rId11903" Type="http://schemas.openxmlformats.org/officeDocument/2006/relationships/hyperlink" Target="https://www.move.org/utility-bills-101/" TargetMode="External"/><Relationship Id="rId6473" Type="http://schemas.openxmlformats.org/officeDocument/2006/relationships/hyperlink" Target="https://plumbingonline.ca/products/thermasol-03-6152-050" TargetMode="External"/><Relationship Id="rId7524" Type="http://schemas.openxmlformats.org/officeDocument/2006/relationships/hyperlink" Target="https://strainer.jp/companies/6259" TargetMode="External"/><Relationship Id="rId10505" Type="http://schemas.openxmlformats.org/officeDocument/2006/relationships/hyperlink" Target="https://extension.sdstate.edu/science-technology-engineering-and-math-stem" TargetMode="External"/><Relationship Id="rId16067" Type="http://schemas.openxmlformats.org/officeDocument/2006/relationships/hyperlink" Target="https://www.rwdoors.com/" TargetMode="External"/><Relationship Id="rId5075" Type="http://schemas.openxmlformats.org/officeDocument/2006/relationships/hyperlink" Target="https://quaderno.io/blog/sales-tax-deduction/" TargetMode="External"/><Relationship Id="rId6126" Type="http://schemas.openxmlformats.org/officeDocument/2006/relationships/hyperlink" Target="https://www.simpleshowing.com/" TargetMode="External"/><Relationship Id="rId9696" Type="http://schemas.openxmlformats.org/officeDocument/2006/relationships/hyperlink" Target="https://www.pinoyeplans.com/" TargetMode="External"/><Relationship Id="rId12677" Type="http://schemas.openxmlformats.org/officeDocument/2006/relationships/hyperlink" Target="https://www.shma.co.uk/" TargetMode="External"/><Relationship Id="rId1685" Type="http://schemas.openxmlformats.org/officeDocument/2006/relationships/hyperlink" Target="https://1995.ng/kids-tablet-blog/Atouch-X19pro" TargetMode="External"/><Relationship Id="rId2736" Type="http://schemas.openxmlformats.org/officeDocument/2006/relationships/hyperlink" Target="https://www.simpleshowing.com/" TargetMode="External"/><Relationship Id="rId8298" Type="http://schemas.openxmlformats.org/officeDocument/2006/relationships/hyperlink" Target="https://www.zestlighting.com.au/" TargetMode="External"/><Relationship Id="rId9349" Type="http://schemas.openxmlformats.org/officeDocument/2006/relationships/hyperlink" Target="https://www.teachengineering.org/" TargetMode="External"/><Relationship Id="rId11279" Type="http://schemas.openxmlformats.org/officeDocument/2006/relationships/hyperlink" Target="https://www.waterdamagespecialist.com.au/" TargetMode="External"/><Relationship Id="rId13728" Type="http://schemas.openxmlformats.org/officeDocument/2006/relationships/hyperlink" Target="https://objectstorage.us-chicago-1.oraclecloud.com/n/axhftmgjrbzl/b/plumbers-stockton/o/emergency-plumber/why-your-home-needs-a-professional-water-line-check-by-stockton.html" TargetMode="External"/><Relationship Id="rId15150" Type="http://schemas.openxmlformats.org/officeDocument/2006/relationships/hyperlink" Target="https://nelsonkb.com/the-art-of-personalizing-your-home-decor-with-unique-lighting/" TargetMode="External"/><Relationship Id="rId16201" Type="http://schemas.openxmlformats.org/officeDocument/2006/relationships/hyperlink" Target="https://myinteriorpalace.com/" TargetMode="External"/><Relationship Id="rId708" Type="http://schemas.openxmlformats.org/officeDocument/2006/relationships/hyperlink" Target="https://www.carolinadesigns.com/" TargetMode="External"/><Relationship Id="rId1338" Type="http://schemas.openxmlformats.org/officeDocument/2006/relationships/hyperlink" Target="https://www.simpleshowing.com/" TargetMode="External"/><Relationship Id="rId5959" Type="http://schemas.openxmlformats.org/officeDocument/2006/relationships/hyperlink" Target="https://riproar.com/common-debt-consolidation-mistakes-and-how-to-avoid-them/" TargetMode="External"/><Relationship Id="rId7381" Type="http://schemas.openxmlformats.org/officeDocument/2006/relationships/hyperlink" Target="https://discovery.hgdata.com/product/planswift" TargetMode="External"/><Relationship Id="rId8432" Type="http://schemas.openxmlformats.org/officeDocument/2006/relationships/hyperlink" Target="https://www.pinoyeplans.com/" TargetMode="External"/><Relationship Id="rId9830" Type="http://schemas.openxmlformats.org/officeDocument/2006/relationships/hyperlink" Target="https://www.pilgrimsoul.com/home/how-to-teach-your-child-to-think-like-a-genius-a-parents-practical-guide" TargetMode="External"/><Relationship Id="rId11760" Type="http://schemas.openxmlformats.org/officeDocument/2006/relationships/hyperlink" Target="https://www.hamiltoninternationalestates.com/" TargetMode="External"/><Relationship Id="rId12811" Type="http://schemas.openxmlformats.org/officeDocument/2006/relationships/hyperlink" Target="https://propertypressonline.co.uk/" TargetMode="External"/><Relationship Id="rId44" Type="http://schemas.openxmlformats.org/officeDocument/2006/relationships/hyperlink" Target="http://propertycostarica.co.uk/" TargetMode="External"/><Relationship Id="rId7034" Type="http://schemas.openxmlformats.org/officeDocument/2006/relationships/hyperlink" Target="https://www.taylormorrison.com/" TargetMode="External"/><Relationship Id="rId10362" Type="http://schemas.openxmlformats.org/officeDocument/2006/relationships/hyperlink" Target="https://www.pinoyeplans.com/" TargetMode="External"/><Relationship Id="rId11413" Type="http://schemas.openxmlformats.org/officeDocument/2006/relationships/hyperlink" Target="https://clark.com/homes-real-estate/companies-buy-your-home-cash/" TargetMode="External"/><Relationship Id="rId14983" Type="http://schemas.openxmlformats.org/officeDocument/2006/relationships/hyperlink" Target="https://myinteriorpalace.com/" TargetMode="External"/><Relationship Id="rId3991" Type="http://schemas.openxmlformats.org/officeDocument/2006/relationships/hyperlink" Target="https://www.smartsolarenergyco.com/" TargetMode="External"/><Relationship Id="rId10015" Type="http://schemas.openxmlformats.org/officeDocument/2006/relationships/hyperlink" Target="https://www.teachengineering.org/" TargetMode="External"/><Relationship Id="rId13585" Type="http://schemas.openxmlformats.org/officeDocument/2006/relationships/hyperlink" Target="https://myinteriorpalace.com/" TargetMode="External"/><Relationship Id="rId14636" Type="http://schemas.openxmlformats.org/officeDocument/2006/relationships/hyperlink" Target="https://www.easygaragedoorrepair.com/" TargetMode="External"/><Relationship Id="rId2593" Type="http://schemas.openxmlformats.org/officeDocument/2006/relationships/hyperlink" Target="https://www.pulte.com/" TargetMode="External"/><Relationship Id="rId3644" Type="http://schemas.openxmlformats.org/officeDocument/2006/relationships/hyperlink" Target="https://www.multifamilybiz.com/pressreleases/11984/pulte_homes_acquires_former_office_park_in_san_mat..." TargetMode="External"/><Relationship Id="rId12187" Type="http://schemas.openxmlformats.org/officeDocument/2006/relationships/hyperlink" Target="https://www.bobvila.com/" TargetMode="External"/><Relationship Id="rId13238" Type="http://schemas.openxmlformats.org/officeDocument/2006/relationships/hyperlink" Target="https://www.pureinvestor.co.uk/" TargetMode="External"/><Relationship Id="rId565" Type="http://schemas.openxmlformats.org/officeDocument/2006/relationships/hyperlink" Target="https://millo.co/freelance-traveling-world-6-pieces-advice" TargetMode="External"/><Relationship Id="rId1195" Type="http://schemas.openxmlformats.org/officeDocument/2006/relationships/hyperlink" Target="https://happy2movelondon.co.uk/r" TargetMode="External"/><Relationship Id="rId2246" Type="http://schemas.openxmlformats.org/officeDocument/2006/relationships/hyperlink" Target="https://exploregeorgia.org/cumming/things-to-do" TargetMode="External"/><Relationship Id="rId6867" Type="http://schemas.openxmlformats.org/officeDocument/2006/relationships/hyperlink" Target="https://www.simpleshowing.com/" TargetMode="External"/><Relationship Id="rId7918" Type="http://schemas.openxmlformats.org/officeDocument/2006/relationships/hyperlink" Target="https://www.quadcities.com/other-news-of-interest/home-recovery-strategies-after-water-intrusion/" TargetMode="External"/><Relationship Id="rId218" Type="http://schemas.openxmlformats.org/officeDocument/2006/relationships/hyperlink" Target="http://suburbansolutions.com/" TargetMode="External"/><Relationship Id="rId5469" Type="http://schemas.openxmlformats.org/officeDocument/2006/relationships/hyperlink" Target="https://www.designveloper.com/blog/debt-management-software/" TargetMode="External"/><Relationship Id="rId9340" Type="http://schemas.openxmlformats.org/officeDocument/2006/relationships/hyperlink" Target="https://www.teachengineering.org/" TargetMode="External"/><Relationship Id="rId11270" Type="http://schemas.openxmlformats.org/officeDocument/2006/relationships/hyperlink" Target="https://www.sweetsofties.com/2024/05/preventing-water-damage.html?m=0" TargetMode="External"/><Relationship Id="rId12321" Type="http://schemas.openxmlformats.org/officeDocument/2006/relationships/hyperlink" Target="https://propertypressonline.co.uk/" TargetMode="External"/><Relationship Id="rId15891" Type="http://schemas.openxmlformats.org/officeDocument/2006/relationships/hyperlink" Target="https://www.londondaily.news/what-uk-homeowners-can-learn-from-garage-door-services-in-shawnee/" TargetMode="External"/><Relationship Id="rId5950" Type="http://schemas.openxmlformats.org/officeDocument/2006/relationships/hyperlink" Target="https://www.simpleshowing.com/" TargetMode="External"/><Relationship Id="rId14493" Type="http://schemas.openxmlformats.org/officeDocument/2006/relationships/hyperlink" Target="https://www.cience.com/company/raynor-door-company/-703785573082151949" TargetMode="External"/><Relationship Id="rId15544" Type="http://schemas.openxmlformats.org/officeDocument/2006/relationships/hyperlink" Target="https://myinteriorpalace.com/" TargetMode="External"/><Relationship Id="rId4552" Type="http://schemas.openxmlformats.org/officeDocument/2006/relationships/hyperlink" Target="https://www.simpleshowing.com/" TargetMode="External"/><Relationship Id="rId5603" Type="http://schemas.openxmlformats.org/officeDocument/2006/relationships/hyperlink" Target="https://www.theeducationmagazine.com/emotional-side-of-buying/" TargetMode="External"/><Relationship Id="rId13095" Type="http://schemas.openxmlformats.org/officeDocument/2006/relationships/hyperlink" Target="https://www.warwickshireworld.com/community/twice-as-many-stratford-upon-avon-homes-could-be-burdened-by-inheritance-tax-freeze-5103435" TargetMode="External"/><Relationship Id="rId14146" Type="http://schemas.openxmlformats.org/officeDocument/2006/relationships/hyperlink" Target="https://myinteriorpalace.com/" TargetMode="External"/><Relationship Id="rId3154" Type="http://schemas.openxmlformats.org/officeDocument/2006/relationships/hyperlink" Target="https://www.pulte.com/" TargetMode="External"/><Relationship Id="rId4205" Type="http://schemas.openxmlformats.org/officeDocument/2006/relationships/hyperlink" Target="https://www.kapre.com/" TargetMode="External"/><Relationship Id="rId7775" Type="http://schemas.openxmlformats.org/officeDocument/2006/relationships/hyperlink" Target="https://www.thegypsynurse.com/blog/northeast-georgia/" TargetMode="External"/><Relationship Id="rId8826" Type="http://schemas.openxmlformats.org/officeDocument/2006/relationships/hyperlink" Target="https://www.pinoyeplans.com/" TargetMode="External"/><Relationship Id="rId10756" Type="http://schemas.openxmlformats.org/officeDocument/2006/relationships/hyperlink" Target="https://www.teachengineering.org/" TargetMode="External"/><Relationship Id="rId6377" Type="http://schemas.openxmlformats.org/officeDocument/2006/relationships/hyperlink" Target="https://somiibo.com/blog/the-ultimate-guide-what-does-a-mortgage-underwriter-actually-do" TargetMode="External"/><Relationship Id="rId7428" Type="http://schemas.openxmlformats.org/officeDocument/2006/relationships/hyperlink" Target="https://www.harvestgreentexas.com/news/2203/homebuilders-flock-to-fort-bend-master-planned-community-of-harvest-green" TargetMode="External"/><Relationship Id="rId10409" Type="http://schemas.openxmlformats.org/officeDocument/2006/relationships/hyperlink" Target="https://www.fisheries.noaa.gov/alaska/outreach-and-education/noaa-live-alaska-season-1-2020-21" TargetMode="External"/><Relationship Id="rId11807" Type="http://schemas.openxmlformats.org/officeDocument/2006/relationships/hyperlink" Target="https://furniturenews.net/resources/how-the-furniture-industry-can-adapt-to-britains-desire-for-fast-and-free-delivery" TargetMode="External"/><Relationship Id="rId2987" Type="http://schemas.openxmlformats.org/officeDocument/2006/relationships/hyperlink" Target="https://flatfeegroup.com/NewMexico/buyingahome.php" TargetMode="External"/><Relationship Id="rId13979" Type="http://schemas.openxmlformats.org/officeDocument/2006/relationships/hyperlink" Target="https://faheyroofingcontractors.com/" TargetMode="External"/><Relationship Id="rId959" Type="http://schemas.openxmlformats.org/officeDocument/2006/relationships/hyperlink" Target="https://www.proremodeler.com/home/article/55184613/forty-under-40-then-now" TargetMode="External"/><Relationship Id="rId1589" Type="http://schemas.openxmlformats.org/officeDocument/2006/relationships/hyperlink" Target="https://thefutureofthings.com/25840-creating-a-green-business-10-tips-for-managing-your-energy-consumption/" TargetMode="External"/><Relationship Id="rId5460" Type="http://schemas.openxmlformats.org/officeDocument/2006/relationships/hyperlink" Target="https://www.simpleshowing.com/" TargetMode="External"/><Relationship Id="rId6511" Type="http://schemas.openxmlformats.org/officeDocument/2006/relationships/hyperlink" Target="https://www.simpleshowing.com/" TargetMode="External"/><Relationship Id="rId15054" Type="http://schemas.openxmlformats.org/officeDocument/2006/relationships/hyperlink" Target="https://www.remodelista.com/posts/10-easy-pieces-colorful-mohair-throw-blankets-stylists-secret-weapon/" TargetMode="External"/><Relationship Id="rId4062" Type="http://schemas.openxmlformats.org/officeDocument/2006/relationships/hyperlink" Target="https://www.realestateskills.com/blog/jobs-without-license" TargetMode="External"/><Relationship Id="rId5113" Type="http://schemas.openxmlformats.org/officeDocument/2006/relationships/hyperlink" Target="https://www.thinkific.com/blog/lms-analytics-how-to-use-data-to-drive-smarter-learning-business-decisions/" TargetMode="External"/><Relationship Id="rId16105" Type="http://schemas.openxmlformats.org/officeDocument/2006/relationships/hyperlink" Target="https://myinteriorpalace.com/" TargetMode="External"/><Relationship Id="rId8683" Type="http://schemas.openxmlformats.org/officeDocument/2006/relationships/hyperlink" Target="https://www.remodelista.com/posts/trend-alert-brick-floors-interiors-edition/" TargetMode="External"/><Relationship Id="rId9734" Type="http://schemas.openxmlformats.org/officeDocument/2006/relationships/hyperlink" Target="https://www.asor.org/resources/educational-materials/6-12/activities/" TargetMode="External"/><Relationship Id="rId11664" Type="http://schemas.openxmlformats.org/officeDocument/2006/relationships/hyperlink" Target="https://www.hamiltoninternationalestates.com/" TargetMode="External"/><Relationship Id="rId12715" Type="http://schemas.openxmlformats.org/officeDocument/2006/relationships/hyperlink" Target="https://propertypressonline.co.uk/" TargetMode="External"/><Relationship Id="rId1723" Type="http://schemas.openxmlformats.org/officeDocument/2006/relationships/hyperlink" Target="https://wolfriverelectric.com/" TargetMode="External"/><Relationship Id="rId7285" Type="http://schemas.openxmlformats.org/officeDocument/2006/relationships/hyperlink" Target="https://butterflies.org/gala2021/" TargetMode="External"/><Relationship Id="rId8336" Type="http://schemas.openxmlformats.org/officeDocument/2006/relationships/hyperlink" Target="https://www.pinoyeplans.com/" TargetMode="External"/><Relationship Id="rId10266" Type="http://schemas.openxmlformats.org/officeDocument/2006/relationships/hyperlink" Target="https://www.pinoyeplans.com/" TargetMode="External"/><Relationship Id="rId11317" Type="http://schemas.openxmlformats.org/officeDocument/2006/relationships/hyperlink" Target="https://www.hamiltoninternationalestates.com/" TargetMode="External"/><Relationship Id="rId14887" Type="http://schemas.openxmlformats.org/officeDocument/2006/relationships/hyperlink" Target="https://myinteriorpalace.com/" TargetMode="External"/><Relationship Id="rId3895" Type="http://schemas.openxmlformats.org/officeDocument/2006/relationships/hyperlink" Target="https://thecoverguy.com/" TargetMode="External"/><Relationship Id="rId4946" Type="http://schemas.openxmlformats.org/officeDocument/2006/relationships/hyperlink" Target="https://www.simpleshowing.com/" TargetMode="External"/><Relationship Id="rId13489" Type="http://schemas.openxmlformats.org/officeDocument/2006/relationships/hyperlink" Target="https://myinteriorpalace.com/" TargetMode="External"/><Relationship Id="rId15938" Type="http://schemas.openxmlformats.org/officeDocument/2006/relationships/hyperlink" Target="https://www.rwdoors.com/" TargetMode="External"/><Relationship Id="rId2497" Type="http://schemas.openxmlformats.org/officeDocument/2006/relationships/hyperlink" Target="https://www.pulte.com/" TargetMode="External"/><Relationship Id="rId3548" Type="http://schemas.openxmlformats.org/officeDocument/2006/relationships/hyperlink" Target="https://coparking.ch/en/United-States/parking/46461" TargetMode="External"/><Relationship Id="rId469" Type="http://schemas.openxmlformats.org/officeDocument/2006/relationships/hyperlink" Target="https://todaysmama.com/featured/outer-banks-vacation-family/" TargetMode="External"/><Relationship Id="rId1099" Type="http://schemas.openxmlformats.org/officeDocument/2006/relationships/hyperlink" Target="https://www.matrixbasements.com/" TargetMode="External"/><Relationship Id="rId6021" Type="http://schemas.openxmlformats.org/officeDocument/2006/relationships/hyperlink" Target="https://state-journal.com/2021/09/20/choosing-a-credit-counselor/" TargetMode="External"/><Relationship Id="rId9591" Type="http://schemas.openxmlformats.org/officeDocument/2006/relationships/hyperlink" Target="https://www.pinoyeplans.com/" TargetMode="External"/><Relationship Id="rId10400" Type="http://schemas.openxmlformats.org/officeDocument/2006/relationships/hyperlink" Target="https://www.homeschool.com/blog/stem-activities-for-homeschoolers/" TargetMode="External"/><Relationship Id="rId13970" Type="http://schemas.openxmlformats.org/officeDocument/2006/relationships/hyperlink" Target="https://faheyroofingcontractors.com/" TargetMode="External"/><Relationship Id="rId8193" Type="http://schemas.openxmlformats.org/officeDocument/2006/relationships/hyperlink" Target="https://smaarchviz.com/" TargetMode="External"/><Relationship Id="rId9244" Type="http://schemas.openxmlformats.org/officeDocument/2006/relationships/hyperlink" Target="https://scgmn.com/" TargetMode="External"/><Relationship Id="rId12572" Type="http://schemas.openxmlformats.org/officeDocument/2006/relationships/hyperlink" Target="https://www.shma.co.uk/" TargetMode="External"/><Relationship Id="rId13623" Type="http://schemas.openxmlformats.org/officeDocument/2006/relationships/hyperlink" Target="https://wizikey.com/media/publications/page/7854" TargetMode="External"/><Relationship Id="rId950" Type="http://schemas.openxmlformats.org/officeDocument/2006/relationships/hyperlink" Target="https://www.thedecorfix.com/7-ways-to-transform-unused-spaces-and-maximize-your-homes-potential/" TargetMode="External"/><Relationship Id="rId1580" Type="http://schemas.openxmlformats.org/officeDocument/2006/relationships/hyperlink" Target="https://techmoran.com/2025/06/05/5-reasons-businesses-are-switching-to-solar-energy/" TargetMode="External"/><Relationship Id="rId2631" Type="http://schemas.openxmlformats.org/officeDocument/2006/relationships/hyperlink" Target="https://www.simpleshowing.com/" TargetMode="External"/><Relationship Id="rId11174" Type="http://schemas.openxmlformats.org/officeDocument/2006/relationships/hyperlink" Target="https://thoughtsonlifeandlove.com/strengthening-relationships-amidst-home-repair-needs/89007/" TargetMode="External"/><Relationship Id="rId12225" Type="http://schemas.openxmlformats.org/officeDocument/2006/relationships/hyperlink" Target="https://propertypressonline.co.uk/" TargetMode="External"/><Relationship Id="rId15795" Type="http://schemas.openxmlformats.org/officeDocument/2006/relationships/hyperlink" Target="https://arkular.com/sandy-point-modular-beach-house-recently-completed-modular-home/" TargetMode="External"/><Relationship Id="rId603" Type="http://schemas.openxmlformats.org/officeDocument/2006/relationships/hyperlink" Target="https://www.carolinadesigns.com/" TargetMode="External"/><Relationship Id="rId1233" Type="http://schemas.openxmlformats.org/officeDocument/2006/relationships/hyperlink" Target="https://www.simpleshowing.com/" TargetMode="External"/><Relationship Id="rId5854" Type="http://schemas.openxmlformats.org/officeDocument/2006/relationships/hyperlink" Target="https://www.simpleshowing.com/" TargetMode="External"/><Relationship Id="rId6905" Type="http://schemas.openxmlformats.org/officeDocument/2006/relationships/hyperlink" Target="https://www.simpleshowing.com/" TargetMode="External"/><Relationship Id="rId14397" Type="http://schemas.openxmlformats.org/officeDocument/2006/relationships/hyperlink" Target="https://ragezone.com/2025/05/13/from-gut-feelings-to-smart-strategy-how-to-bet-intelligently-in-any-casino-game/" TargetMode="External"/><Relationship Id="rId15448" Type="http://schemas.openxmlformats.org/officeDocument/2006/relationships/hyperlink" Target="https://myinteriorpalace.com/" TargetMode="External"/><Relationship Id="rId4456" Type="http://schemas.openxmlformats.org/officeDocument/2006/relationships/hyperlink" Target="https://www.simpleshowing.com/" TargetMode="External"/><Relationship Id="rId5507" Type="http://schemas.openxmlformats.org/officeDocument/2006/relationships/hyperlink" Target="https://so.gay/life/money/how-to-create-a-bare-bones-budget-when-youre-in-debt/" TargetMode="External"/><Relationship Id="rId3058" Type="http://schemas.openxmlformats.org/officeDocument/2006/relationships/hyperlink" Target="https://www.pulte.com/" TargetMode="External"/><Relationship Id="rId4109" Type="http://schemas.openxmlformats.org/officeDocument/2006/relationships/hyperlink" Target="https://www.kapre.com/" TargetMode="External"/><Relationship Id="rId7679" Type="http://schemas.openxmlformats.org/officeDocument/2006/relationships/hyperlink" Target="https://discoverlakelanier.com/" TargetMode="External"/><Relationship Id="rId13480" Type="http://schemas.openxmlformats.org/officeDocument/2006/relationships/hyperlink" Target="https://myinteriorpalace.com/" TargetMode="External"/><Relationship Id="rId12082" Type="http://schemas.openxmlformats.org/officeDocument/2006/relationships/hyperlink" Target="https://www.bobvila.com/" TargetMode="External"/><Relationship Id="rId13133" Type="http://schemas.openxmlformats.org/officeDocument/2006/relationships/hyperlink" Target="https://www.shma.co.uk/" TargetMode="External"/><Relationship Id="rId14531" Type="http://schemas.openxmlformats.org/officeDocument/2006/relationships/hyperlink" Target="https://www.easygaragedoorrepair.com/" TargetMode="External"/><Relationship Id="rId460" Type="http://schemas.openxmlformats.org/officeDocument/2006/relationships/hyperlink" Target="https://businessabc.net/keeping-coastal-rentals-comfortable-safe-and-fully-powered" TargetMode="External"/><Relationship Id="rId1090" Type="http://schemas.openxmlformats.org/officeDocument/2006/relationships/hyperlink" Target="https://www.matrixbasements.com/" TargetMode="External"/><Relationship Id="rId2141" Type="http://schemas.openxmlformats.org/officeDocument/2006/relationships/hyperlink" Target="https://www.jobs.ca/org/87731fcb-487e-418d-b2c9-3e029df1d91a" TargetMode="External"/><Relationship Id="rId113" Type="http://schemas.openxmlformats.org/officeDocument/2006/relationships/hyperlink" Target="https://www.williampitt.com/" TargetMode="External"/><Relationship Id="rId6762" Type="http://schemas.openxmlformats.org/officeDocument/2006/relationships/hyperlink" Target="https://www.simpleshowing.com/" TargetMode="External"/><Relationship Id="rId7813" Type="http://schemas.openxmlformats.org/officeDocument/2006/relationships/hyperlink" Target="https://www.fox5atlanta.com/news/closures-lake-lanier-be-reduced-11-according-state-representative" TargetMode="External"/><Relationship Id="rId5017" Type="http://schemas.openxmlformats.org/officeDocument/2006/relationships/hyperlink" Target="https://leadsbridge.com/blog/how-much-does-it-cost-to-advertise-on-tiktok/" TargetMode="External"/><Relationship Id="rId5364" Type="http://schemas.openxmlformats.org/officeDocument/2006/relationships/hyperlink" Target="https://www.simpleshowing.com/" TargetMode="External"/><Relationship Id="rId6415" Type="http://schemas.openxmlformats.org/officeDocument/2006/relationships/hyperlink" Target="https://kioncentralcoast.com/news/2025/08/11/7-easy-ways-to-start-saving-for-christmas/" TargetMode="External"/><Relationship Id="rId9985" Type="http://schemas.openxmlformats.org/officeDocument/2006/relationships/hyperlink" Target="https://www.teachengineering.org/" TargetMode="External"/><Relationship Id="rId12966" Type="http://schemas.openxmlformats.org/officeDocument/2006/relationships/hyperlink" Target="https://shma.legl.com/engage/closed/" TargetMode="External"/><Relationship Id="rId16009" Type="http://schemas.openxmlformats.org/officeDocument/2006/relationships/hyperlink" Target="https://myinteriorpalace.com/" TargetMode="External"/><Relationship Id="rId1974" Type="http://schemas.openxmlformats.org/officeDocument/2006/relationships/hyperlink" Target="https://www.simpleshowing.com/" TargetMode="External"/><Relationship Id="rId8587" Type="http://schemas.openxmlformats.org/officeDocument/2006/relationships/hyperlink" Target="https://www.constructionplacements.com/effective-property-management-strategies/" TargetMode="External"/><Relationship Id="rId9638" Type="http://schemas.openxmlformats.org/officeDocument/2006/relationships/hyperlink" Target="https://www.kiwico.com/blog/activities-at-home/free-fun-resources-for-extended-learning-at-home" TargetMode="External"/><Relationship Id="rId11568" Type="http://schemas.openxmlformats.org/officeDocument/2006/relationships/hyperlink" Target="https://www.hamiltoninternationalestates.com/" TargetMode="External"/><Relationship Id="rId12619" Type="http://schemas.openxmlformats.org/officeDocument/2006/relationships/hyperlink" Target="https://propertypressonline.co.uk/" TargetMode="External"/><Relationship Id="rId1627" Type="http://schemas.openxmlformats.org/officeDocument/2006/relationships/hyperlink" Target="https://wolfriverelectric.com/" TargetMode="External"/><Relationship Id="rId7189" Type="http://schemas.openxmlformats.org/officeDocument/2006/relationships/hyperlink" Target="https://www.taylormorrison.com/" TargetMode="External"/><Relationship Id="rId14041" Type="http://schemas.openxmlformats.org/officeDocument/2006/relationships/hyperlink" Target="https://myinteriorpalace.com/" TargetMode="External"/><Relationship Id="rId3799" Type="http://schemas.openxmlformats.org/officeDocument/2006/relationships/hyperlink" Target="https://thecoverguy.com/" TargetMode="External"/><Relationship Id="rId4100" Type="http://schemas.openxmlformats.org/officeDocument/2006/relationships/hyperlink" Target="https://www.kapre.com/" TargetMode="External"/><Relationship Id="rId7670" Type="http://schemas.openxmlformats.org/officeDocument/2006/relationships/hyperlink" Target="https://www.taylormorrison.com/" TargetMode="External"/><Relationship Id="rId8721" Type="http://schemas.openxmlformats.org/officeDocument/2006/relationships/hyperlink" Target="https://roof-troopers.com/" TargetMode="External"/><Relationship Id="rId6272" Type="http://schemas.openxmlformats.org/officeDocument/2006/relationships/hyperlink" Target="https://www.simpleshowing.com/" TargetMode="External"/><Relationship Id="rId7323" Type="http://schemas.openxmlformats.org/officeDocument/2006/relationships/hyperlink" Target="https://www.simpleshowing.com/" TargetMode="External"/><Relationship Id="rId10651" Type="http://schemas.openxmlformats.org/officeDocument/2006/relationships/hyperlink" Target="https://www.teachengineering.org/" TargetMode="External"/><Relationship Id="rId11702" Type="http://schemas.openxmlformats.org/officeDocument/2006/relationships/hyperlink" Target="https://www.liverpoolecho.co.uk/news/liverpool-news/liverpool-students-addicted-fast-food-12236316" TargetMode="External"/><Relationship Id="rId9495" Type="http://schemas.openxmlformats.org/officeDocument/2006/relationships/hyperlink" Target="https://www.pinoyeplans.com/" TargetMode="External"/><Relationship Id="rId10304" Type="http://schemas.openxmlformats.org/officeDocument/2006/relationships/hyperlink" Target="https://blog.stem-supplies.com/breaking-down-the-buzzwords-21st-century-skills-and-design-thinking/" TargetMode="External"/><Relationship Id="rId13874" Type="http://schemas.openxmlformats.org/officeDocument/2006/relationships/hyperlink" Target="https://embeltonflooring.com/" TargetMode="External"/><Relationship Id="rId14925" Type="http://schemas.openxmlformats.org/officeDocument/2006/relationships/hyperlink" Target="https://mytunbridgewells.com/shower-water-filter/" TargetMode="External"/><Relationship Id="rId2882" Type="http://schemas.openxmlformats.org/officeDocument/2006/relationships/hyperlink" Target="https://www.coldwellbankerhomes.com/tx/richmond/5206-hazel-vista-ln/pid_66261045/" TargetMode="External"/><Relationship Id="rId3933" Type="http://schemas.openxmlformats.org/officeDocument/2006/relationships/hyperlink" Target="https://www.simpleshowing.com/" TargetMode="External"/><Relationship Id="rId8097" Type="http://schemas.openxmlformats.org/officeDocument/2006/relationships/hyperlink" Target="https://whiteglovemoving.us/" TargetMode="External"/><Relationship Id="rId9148" Type="http://schemas.openxmlformats.org/officeDocument/2006/relationships/hyperlink" Target="https://nycestimating.us/" TargetMode="External"/><Relationship Id="rId12476" Type="http://schemas.openxmlformats.org/officeDocument/2006/relationships/hyperlink" Target="https://www.deloitte.com/uk/en/Industries/real-estate/research/manchester-crane-survey-2022.html" TargetMode="External"/><Relationship Id="rId13527" Type="http://schemas.openxmlformats.org/officeDocument/2006/relationships/hyperlink" Target="https://trans4mind.com/counterpoint/index-health-fitness/tss-menstrual-cup.html" TargetMode="External"/><Relationship Id="rId854" Type="http://schemas.openxmlformats.org/officeDocument/2006/relationships/hyperlink" Target="https://thestay-at-home-momsurvivalguide.com/safest-insulation-types-for-your-kids-bedroom/" TargetMode="External"/><Relationship Id="rId1484" Type="http://schemas.openxmlformats.org/officeDocument/2006/relationships/hyperlink" Target="https://dev.rockportusa.com/events/details/44th-annual-gloucester-waterfront-festival-34975" TargetMode="External"/><Relationship Id="rId2535" Type="http://schemas.openxmlformats.org/officeDocument/2006/relationships/hyperlink" Target="https://www.simpleshowing.com/" TargetMode="External"/><Relationship Id="rId11078" Type="http://schemas.openxmlformats.org/officeDocument/2006/relationships/hyperlink" Target="https://en.sorumatik.co/t/grade-9-technology-projects-bridges/234378" TargetMode="External"/><Relationship Id="rId12129" Type="http://schemas.openxmlformats.org/officeDocument/2006/relationships/hyperlink" Target="https://www.hamiltoninternationalestates.com/" TargetMode="External"/><Relationship Id="rId15699" Type="http://schemas.openxmlformats.org/officeDocument/2006/relationships/hyperlink" Target="https://greenmagazine.com.au/product/modinex-group/timber-panelling/" TargetMode="External"/><Relationship Id="rId16000" Type="http://schemas.openxmlformats.org/officeDocument/2006/relationships/hyperlink" Target="https://myinteriorpalace.com/" TargetMode="External"/><Relationship Id="rId507" Type="http://schemas.openxmlformats.org/officeDocument/2006/relationships/hyperlink" Target="https://www.carolinadesigns.com/" TargetMode="External"/><Relationship Id="rId1137" Type="http://schemas.openxmlformats.org/officeDocument/2006/relationships/hyperlink" Target="https://www.simpleshowing.com/" TargetMode="External"/><Relationship Id="rId5758" Type="http://schemas.openxmlformats.org/officeDocument/2006/relationships/hyperlink" Target="https://www.simpleshowing.com/" TargetMode="External"/><Relationship Id="rId6809" Type="http://schemas.openxmlformats.org/officeDocument/2006/relationships/hyperlink" Target="https://finance.yahoo.com/quote/TMHC/" TargetMode="External"/><Relationship Id="rId7180" Type="http://schemas.openxmlformats.org/officeDocument/2006/relationships/hyperlink" Target="https://www.simpleshowing.com/" TargetMode="External"/><Relationship Id="rId8231" Type="http://schemas.openxmlformats.org/officeDocument/2006/relationships/hyperlink" Target="https://www.pinoyeplans.com/" TargetMode="External"/><Relationship Id="rId10161" Type="http://schemas.openxmlformats.org/officeDocument/2006/relationships/hyperlink" Target="https://www.pinoyeplans.com/" TargetMode="External"/><Relationship Id="rId11212" Type="http://schemas.openxmlformats.org/officeDocument/2006/relationships/hyperlink" Target="https://www.otsnews.co.uk/finding-the-right-professional-for-flood-restoration/" TargetMode="External"/><Relationship Id="rId12610" Type="http://schemas.openxmlformats.org/officeDocument/2006/relationships/hyperlink" Target="https://propertypressonline.co.uk/" TargetMode="External"/><Relationship Id="rId14782" Type="http://schemas.openxmlformats.org/officeDocument/2006/relationships/hyperlink" Target="https://myinteriorpalace.com/" TargetMode="External"/><Relationship Id="rId15833" Type="http://schemas.openxmlformats.org/officeDocument/2006/relationships/hyperlink" Target="https://www.modinex.com.au/" TargetMode="External"/><Relationship Id="rId2392" Type="http://schemas.openxmlformats.org/officeDocument/2006/relationships/hyperlink" Target="https://www.pulte.com/" TargetMode="External"/><Relationship Id="rId3790" Type="http://schemas.openxmlformats.org/officeDocument/2006/relationships/hyperlink" Target="https://thecoverguy.com/" TargetMode="External"/><Relationship Id="rId4841" Type="http://schemas.openxmlformats.org/officeDocument/2006/relationships/hyperlink" Target="https://www.kapre.com/" TargetMode="External"/><Relationship Id="rId13384" Type="http://schemas.openxmlformats.org/officeDocument/2006/relationships/hyperlink" Target="https://myinteriorpalace.com/" TargetMode="External"/><Relationship Id="rId14435" Type="http://schemas.openxmlformats.org/officeDocument/2006/relationships/hyperlink" Target="https://milehighhottub.com/" TargetMode="External"/><Relationship Id="rId364" Type="http://schemas.openxmlformats.org/officeDocument/2006/relationships/hyperlink" Target="http://northernvirginiahomepro.com/" TargetMode="External"/><Relationship Id="rId2045" Type="http://schemas.openxmlformats.org/officeDocument/2006/relationships/hyperlink" Target="https://himalayas.app/companies/mark-spain-real-estate/tech-stack" TargetMode="External"/><Relationship Id="rId3443" Type="http://schemas.openxmlformats.org/officeDocument/2006/relationships/hyperlink" Target="https://slides.com/afrojme/deck-1-4" TargetMode="External"/><Relationship Id="rId13037" Type="http://schemas.openxmlformats.org/officeDocument/2006/relationships/hyperlink" Target="https://www.shma.co.uk/" TargetMode="External"/><Relationship Id="rId6666" Type="http://schemas.openxmlformats.org/officeDocument/2006/relationships/hyperlink" Target="https://www.bromeliads.info/eplanters-coupons/" TargetMode="External"/><Relationship Id="rId7717" Type="http://schemas.openxmlformats.org/officeDocument/2006/relationships/hyperlink" Target="https://www.simpleshowing.com/" TargetMode="External"/><Relationship Id="rId5268" Type="http://schemas.openxmlformats.org/officeDocument/2006/relationships/hyperlink" Target="https://www.simpleshowing.com/" TargetMode="External"/><Relationship Id="rId6319" Type="http://schemas.openxmlformats.org/officeDocument/2006/relationships/hyperlink" Target="https://www.europeanbusinessreview.com/budgeting-vs-financial-planning/" TargetMode="External"/><Relationship Id="rId9889" Type="http://schemas.openxmlformats.org/officeDocument/2006/relationships/hyperlink" Target="https://www.teachengineering.org/" TargetMode="External"/><Relationship Id="rId12120" Type="http://schemas.openxmlformats.org/officeDocument/2006/relationships/hyperlink" Target="https://www.hamiltoninternationalestates.com/" TargetMode="External"/><Relationship Id="rId15690" Type="http://schemas.openxmlformats.org/officeDocument/2006/relationships/hyperlink" Target="https://archeyes.com/the-aalto-house-alvar-aalto/" TargetMode="External"/><Relationship Id="rId1878" Type="http://schemas.openxmlformats.org/officeDocument/2006/relationships/hyperlink" Target="https://www.simpleshowing.com/" TargetMode="External"/><Relationship Id="rId2929" Type="http://schemas.openxmlformats.org/officeDocument/2006/relationships/hyperlink" Target="https://www.pulte.com/" TargetMode="External"/><Relationship Id="rId14292" Type="http://schemas.openxmlformats.org/officeDocument/2006/relationships/hyperlink" Target="https://asi-globalpartitions.com/powder-coated-toilet-partitions/" TargetMode="External"/><Relationship Id="rId15343" Type="http://schemas.openxmlformats.org/officeDocument/2006/relationships/hyperlink" Target="https://myinteriorpalace.com/" TargetMode="External"/><Relationship Id="rId4351" Type="http://schemas.openxmlformats.org/officeDocument/2006/relationships/hyperlink" Target="https://www.simpleshowing.com/" TargetMode="External"/><Relationship Id="rId5402" Type="http://schemas.openxmlformats.org/officeDocument/2006/relationships/hyperlink" Target="https://www.simpleshowing.com/" TargetMode="External"/><Relationship Id="rId6800" Type="http://schemas.openxmlformats.org/officeDocument/2006/relationships/hyperlink" Target="https://www.floridaforboomers.com/taylor-morrison-esplanade-florida/" TargetMode="External"/><Relationship Id="rId4004" Type="http://schemas.openxmlformats.org/officeDocument/2006/relationships/hyperlink" Target="https://www.outdoorproject.com/users/solar-revolution-transforming-energy-production" TargetMode="External"/><Relationship Id="rId8972" Type="http://schemas.openxmlformats.org/officeDocument/2006/relationships/hyperlink" Target="https://visacheckqatar.com/streamlining-cost-estimation-strategies-for-smarter-project-planning/" TargetMode="External"/><Relationship Id="rId11953" Type="http://schemas.openxmlformats.org/officeDocument/2006/relationships/hyperlink" Target="https://www.bobvila.com/" TargetMode="External"/><Relationship Id="rId6176" Type="http://schemas.openxmlformats.org/officeDocument/2006/relationships/hyperlink" Target="https://www.simpleshowing.com/" TargetMode="External"/><Relationship Id="rId7227" Type="http://schemas.openxmlformats.org/officeDocument/2006/relationships/hyperlink" Target="https://www.simpleshowing.com/" TargetMode="External"/><Relationship Id="rId7574" Type="http://schemas.openxmlformats.org/officeDocument/2006/relationships/hyperlink" Target="https://www.taylormorrison.com/" TargetMode="External"/><Relationship Id="rId8625" Type="http://schemas.openxmlformats.org/officeDocument/2006/relationships/hyperlink" Target="https://aucklandpremiumpainters.co.nz/" TargetMode="External"/><Relationship Id="rId10555" Type="http://schemas.openxmlformats.org/officeDocument/2006/relationships/hyperlink" Target="https://www.teachengineering.org/" TargetMode="External"/><Relationship Id="rId11606" Type="http://schemas.openxmlformats.org/officeDocument/2006/relationships/hyperlink" Target="https://www.propertypriceadvice.co.uk/home-improvements/how-do-gardens-affect-house-price" TargetMode="External"/><Relationship Id="rId10208" Type="http://schemas.openxmlformats.org/officeDocument/2006/relationships/hyperlink" Target="https://blogs.glowscotland.org.uk/re/stemrenfrewshire/useful-websites/stem-websites/" TargetMode="External"/><Relationship Id="rId13778" Type="http://schemas.openxmlformats.org/officeDocument/2006/relationships/hyperlink" Target="https://anationofmoms.com/" TargetMode="External"/><Relationship Id="rId14829" Type="http://schemas.openxmlformats.org/officeDocument/2006/relationships/hyperlink" Target="https://thecleanplumber-sydney.homeone.com.au/" TargetMode="External"/><Relationship Id="rId2786" Type="http://schemas.openxmlformats.org/officeDocument/2006/relationships/hyperlink" Target="https://realtynewsreport.com/pulte-starts-145-home-gated-community-near-loop-610/" TargetMode="External"/><Relationship Id="rId3837" Type="http://schemas.openxmlformats.org/officeDocument/2006/relationships/hyperlink" Target="https://www.simpleshowing.com/" TargetMode="External"/><Relationship Id="rId9399" Type="http://schemas.openxmlformats.org/officeDocument/2006/relationships/hyperlink" Target="https://www.pinoyeplans.com/" TargetMode="External"/><Relationship Id="rId16251" Type="http://schemas.openxmlformats.org/officeDocument/2006/relationships/hyperlink" Target="https://www.top-rated.online/cities/Wrexham/place/p/9347193/United+Carpets+and+Beds+Wrexham" TargetMode="External"/><Relationship Id="rId758" Type="http://schemas.openxmlformats.org/officeDocument/2006/relationships/hyperlink" Target="https://www.simpleshowing.com/" TargetMode="External"/><Relationship Id="rId1388" Type="http://schemas.openxmlformats.org/officeDocument/2006/relationships/hyperlink" Target="https://tranio.com/articles/home-design-trends-for-2025-what-will-be-trendy/" TargetMode="External"/><Relationship Id="rId2439" Type="http://schemas.openxmlformats.org/officeDocument/2006/relationships/hyperlink" Target="https://www.simpleshowing.com/" TargetMode="External"/><Relationship Id="rId6310" Type="http://schemas.openxmlformats.org/officeDocument/2006/relationships/hyperlink" Target="https://www.simpleshowing.com/" TargetMode="External"/><Relationship Id="rId9880" Type="http://schemas.openxmlformats.org/officeDocument/2006/relationships/hyperlink" Target="https://www.teachengineering.org/" TargetMode="External"/><Relationship Id="rId94" Type="http://schemas.openxmlformats.org/officeDocument/2006/relationships/hyperlink" Target="http://syllablescounter.com/" TargetMode="External"/><Relationship Id="rId8482" Type="http://schemas.openxmlformats.org/officeDocument/2006/relationships/hyperlink" Target="https://retail-focus.co.uk/what-is-3d-rendering-learn-the-basics-for-beginners/" TargetMode="External"/><Relationship Id="rId9533" Type="http://schemas.openxmlformats.org/officeDocument/2006/relationships/hyperlink" Target="https://aroundthekampfire.com/9-activities-to-teach-engineering-design-process/" TargetMode="External"/><Relationship Id="rId12861" Type="http://schemas.openxmlformats.org/officeDocument/2006/relationships/hyperlink" Target="https://sheerluxe.com/life/careers/everything-you-need-know-about-maternity-leave" TargetMode="External"/><Relationship Id="rId13912" Type="http://schemas.openxmlformats.org/officeDocument/2006/relationships/hyperlink" Target="https://myinteriorpalace.com/" TargetMode="External"/><Relationship Id="rId2920" Type="http://schemas.openxmlformats.org/officeDocument/2006/relationships/hyperlink" Target="https://www.pulte.com/" TargetMode="External"/><Relationship Id="rId7084" Type="http://schemas.openxmlformats.org/officeDocument/2006/relationships/hyperlink" Target="https://www.simpleshowing.com/" TargetMode="External"/><Relationship Id="rId8135" Type="http://schemas.openxmlformats.org/officeDocument/2006/relationships/hyperlink" Target="https://www.pinoyeplans.com/" TargetMode="External"/><Relationship Id="rId10065" Type="http://schemas.openxmlformats.org/officeDocument/2006/relationships/hyperlink" Target="https://www.pinoyeplans.com/" TargetMode="External"/><Relationship Id="rId11463" Type="http://schemas.openxmlformats.org/officeDocument/2006/relationships/hyperlink" Target="https://sellhousefast.uk/" TargetMode="External"/><Relationship Id="rId12514" Type="http://schemas.openxmlformats.org/officeDocument/2006/relationships/hyperlink" Target="https://propertypressonline.co.uk/" TargetMode="External"/><Relationship Id="rId1522" Type="http://schemas.openxmlformats.org/officeDocument/2006/relationships/hyperlink" Target="https://wolfriverelectric.com/" TargetMode="External"/><Relationship Id="rId11116" Type="http://schemas.openxmlformats.org/officeDocument/2006/relationships/hyperlink" Target="https://northshoretimingonline.com/modern-farmhouse-vs-contemporary-choosing-your-custom-home-style/" TargetMode="External"/><Relationship Id="rId14686" Type="http://schemas.openxmlformats.org/officeDocument/2006/relationships/hyperlink" Target="https://myinteriorpalace.com/" TargetMode="External"/><Relationship Id="rId15737" Type="http://schemas.openxmlformats.org/officeDocument/2006/relationships/hyperlink" Target="https://www.modinex.com.au/" TargetMode="External"/><Relationship Id="rId3694" Type="http://schemas.openxmlformats.org/officeDocument/2006/relationships/hyperlink" Target="https://www.overheaddoors.com/" TargetMode="External"/><Relationship Id="rId4745" Type="http://schemas.openxmlformats.org/officeDocument/2006/relationships/hyperlink" Target="https://www.kapre.com/" TargetMode="External"/><Relationship Id="rId13288" Type="http://schemas.openxmlformats.org/officeDocument/2006/relationships/hyperlink" Target="https://propertypressonline.co.uk/" TargetMode="External"/><Relationship Id="rId14339" Type="http://schemas.openxmlformats.org/officeDocument/2006/relationships/hyperlink" Target="https://luxurylifestyle.com/" TargetMode="External"/><Relationship Id="rId2296" Type="http://schemas.openxmlformats.org/officeDocument/2006/relationships/hyperlink" Target="https://www.collectionforsyth.com/" TargetMode="External"/><Relationship Id="rId3347" Type="http://schemas.openxmlformats.org/officeDocument/2006/relationships/hyperlink" Target="https://www.coroflot.com/dwilli99/profile" TargetMode="External"/><Relationship Id="rId7968" Type="http://schemas.openxmlformats.org/officeDocument/2006/relationships/hyperlink" Target="https://distinctiveroofing.net/" TargetMode="External"/><Relationship Id="rId268" Type="http://schemas.openxmlformats.org/officeDocument/2006/relationships/hyperlink" Target="https://www.tinyhouseplans.com/blogs/guides/tiny-house-kitchen-design" TargetMode="External"/><Relationship Id="rId9390" Type="http://schemas.openxmlformats.org/officeDocument/2006/relationships/hyperlink" Target="https://www.pinoyeplans.com/" TargetMode="External"/><Relationship Id="rId10949" Type="http://schemas.openxmlformats.org/officeDocument/2006/relationships/hyperlink" Target="https://ellenjmchenry.com/hpt-lesson-3/" TargetMode="External"/><Relationship Id="rId12371" Type="http://schemas.openxmlformats.org/officeDocument/2006/relationships/hyperlink" Target="https://www.durham.ac.uk/colleges-and-student-experience/housing-hub/student-lettings-code-of-practice/" TargetMode="External"/><Relationship Id="rId13422" Type="http://schemas.openxmlformats.org/officeDocument/2006/relationships/hyperlink" Target="https://twinsmommy.com/make-money-blogging/" TargetMode="External"/><Relationship Id="rId14820" Type="http://schemas.openxmlformats.org/officeDocument/2006/relationships/hyperlink" Target="https://panhandle.newschannelnebraska.com/story/49387269/why-is-my-garage-door-clicking-and-not-closing" TargetMode="External"/><Relationship Id="rId2430" Type="http://schemas.openxmlformats.org/officeDocument/2006/relationships/hyperlink" Target="https://www.simpleshowing.com/" TargetMode="External"/><Relationship Id="rId9043" Type="http://schemas.openxmlformats.org/officeDocument/2006/relationships/hyperlink" Target="https://nycestimating.us/" TargetMode="External"/><Relationship Id="rId12024" Type="http://schemas.openxmlformats.org/officeDocument/2006/relationships/hyperlink" Target="https://www.hamiltoninternationalestates.com/" TargetMode="External"/><Relationship Id="rId402" Type="http://schemas.openxmlformats.org/officeDocument/2006/relationships/hyperlink" Target="http://northernvirginiahomepro.com/" TargetMode="External"/><Relationship Id="rId1032" Type="http://schemas.openxmlformats.org/officeDocument/2006/relationships/hyperlink" Target="https://www.simpleshowing.com/" TargetMode="External"/><Relationship Id="rId14196" Type="http://schemas.openxmlformats.org/officeDocument/2006/relationships/hyperlink" Target="https://ashadrynoodle.com/pages/press-page-pt-2" TargetMode="External"/><Relationship Id="rId15594" Type="http://schemas.openxmlformats.org/officeDocument/2006/relationships/hyperlink" Target="https://www.thesun.co.uk/tv/21086292/molly-mae-instagram-bedside-table-mansion/" TargetMode="External"/><Relationship Id="rId4255" Type="http://schemas.openxmlformats.org/officeDocument/2006/relationships/hyperlink" Target="https://www.simpleshowing.com/" TargetMode="External"/><Relationship Id="rId5306" Type="http://schemas.openxmlformats.org/officeDocument/2006/relationships/hyperlink" Target="https://www.simpleshowing.com/" TargetMode="External"/><Relationship Id="rId5653" Type="http://schemas.openxmlformats.org/officeDocument/2006/relationships/hyperlink" Target="https://www.readunwritten.com/2022/02/22/mistakes-avoid-erase-debt/" TargetMode="External"/><Relationship Id="rId6704" Type="http://schemas.openxmlformats.org/officeDocument/2006/relationships/hyperlink" Target="https://therealladywaver.fortunecity.ws/shoplinks.html" TargetMode="External"/><Relationship Id="rId15247" Type="http://schemas.openxmlformats.org/officeDocument/2006/relationships/hyperlink" Target="https://myinteriorpalace.com/" TargetMode="External"/><Relationship Id="rId8876" Type="http://schemas.openxmlformats.org/officeDocument/2006/relationships/hyperlink" Target="https://www.lawnandlandscape.com/article/ll1114-insect-control-services-addon/" TargetMode="External"/><Relationship Id="rId9927" Type="http://schemas.openxmlformats.org/officeDocument/2006/relationships/hyperlink" Target="https://www.pinoyeplans.com/" TargetMode="External"/><Relationship Id="rId11857" Type="http://schemas.openxmlformats.org/officeDocument/2006/relationships/hyperlink" Target="https://sellhousefast.uk/" TargetMode="External"/><Relationship Id="rId12908" Type="http://schemas.openxmlformats.org/officeDocument/2006/relationships/hyperlink" Target="https://www.shma.co.uk/" TargetMode="External"/><Relationship Id="rId1916" Type="http://schemas.openxmlformats.org/officeDocument/2006/relationships/hyperlink" Target="https://www.kulfiy.com/understanding-buyer-psychology-through-data/" TargetMode="External"/><Relationship Id="rId7478" Type="http://schemas.openxmlformats.org/officeDocument/2006/relationships/hyperlink" Target="https://www.taylormorrison.com/" TargetMode="External"/><Relationship Id="rId8529" Type="http://schemas.openxmlformats.org/officeDocument/2006/relationships/hyperlink" Target="https://www.cylind.com/" TargetMode="External"/><Relationship Id="rId10459" Type="http://schemas.openxmlformats.org/officeDocument/2006/relationships/hyperlink" Target="https://www.teachengineering.org/" TargetMode="External"/><Relationship Id="rId14330" Type="http://schemas.openxmlformats.org/officeDocument/2006/relationships/hyperlink" Target="https://luxurylifestyle.com/" TargetMode="External"/><Relationship Id="rId6561" Type="http://schemas.openxmlformats.org/officeDocument/2006/relationships/hyperlink" Target="https://www.thermasol.com/" TargetMode="External"/><Relationship Id="rId7612" Type="http://schemas.openxmlformats.org/officeDocument/2006/relationships/hyperlink" Target="https://www.simpleshowing.com/" TargetMode="External"/><Relationship Id="rId10940" Type="http://schemas.openxmlformats.org/officeDocument/2006/relationships/hyperlink" Target="https://classwork.com/amusement-park-physics-lessons/" TargetMode="External"/><Relationship Id="rId16155" Type="http://schemas.openxmlformats.org/officeDocument/2006/relationships/hyperlink" Target="https://threebestrated.co.uk/mattress-stores-in-chorley" TargetMode="External"/><Relationship Id="rId5163" Type="http://schemas.openxmlformats.org/officeDocument/2006/relationships/hyperlink" Target="https://www.mailmunch.com/blog/frightfully-good-emails" TargetMode="External"/><Relationship Id="rId6214" Type="http://schemas.openxmlformats.org/officeDocument/2006/relationships/hyperlink" Target="https://www.simpleshowing.com/" TargetMode="External"/><Relationship Id="rId9784" Type="http://schemas.openxmlformats.org/officeDocument/2006/relationships/hyperlink" Target="https://www.teachengineering.org/" TargetMode="External"/><Relationship Id="rId8386" Type="http://schemas.openxmlformats.org/officeDocument/2006/relationships/hyperlink" Target="https://24hourfloodpros.alboompro.com/" TargetMode="External"/><Relationship Id="rId9437" Type="http://schemas.openxmlformats.org/officeDocument/2006/relationships/hyperlink" Target="https://www.theteacherscorner.net/calendars/march.php" TargetMode="External"/><Relationship Id="rId12765" Type="http://schemas.openxmlformats.org/officeDocument/2006/relationships/hyperlink" Target="https://www.bisnow.com/events/london/industrial/industrial-logistics-transformation-7525" TargetMode="External"/><Relationship Id="rId13816" Type="http://schemas.openxmlformats.org/officeDocument/2006/relationships/hyperlink" Target="https://myinteriorpalace.com/" TargetMode="External"/><Relationship Id="rId1773" Type="http://schemas.openxmlformats.org/officeDocument/2006/relationships/hyperlink" Target="https://www.simpleshowing.com/" TargetMode="External"/><Relationship Id="rId2824" Type="http://schemas.openxmlformats.org/officeDocument/2006/relationships/hyperlink" Target="https://www.pulte.com/" TargetMode="External"/><Relationship Id="rId8039" Type="http://schemas.openxmlformats.org/officeDocument/2006/relationships/hyperlink" Target="https://indyroofandrestoration.com/" TargetMode="External"/><Relationship Id="rId11367" Type="http://schemas.openxmlformats.org/officeDocument/2006/relationships/hyperlink" Target="http://webuyhouses.com/" TargetMode="External"/><Relationship Id="rId12418" Type="http://schemas.openxmlformats.org/officeDocument/2006/relationships/hyperlink" Target="https://sturents.com/" TargetMode="External"/><Relationship Id="rId15988" Type="http://schemas.openxmlformats.org/officeDocument/2006/relationships/hyperlink" Target="https://myinteriorpalace.com/" TargetMode="External"/><Relationship Id="rId1426" Type="http://schemas.openxmlformats.org/officeDocument/2006/relationships/hyperlink" Target="https://ritewindow.com/blog/3-indicators-its-time-to-upgrade-your-shower-or-bath/" TargetMode="External"/><Relationship Id="rId4996" Type="http://schemas.openxmlformats.org/officeDocument/2006/relationships/hyperlink" Target="https://www.simpleshowing.com/" TargetMode="External"/><Relationship Id="rId3598" Type="http://schemas.openxmlformats.org/officeDocument/2006/relationships/hyperlink" Target="https://www.pulte.com/" TargetMode="External"/><Relationship Id="rId4649" Type="http://schemas.openxmlformats.org/officeDocument/2006/relationships/hyperlink" Target="https://www.kapre.com/" TargetMode="External"/><Relationship Id="rId8520" Type="http://schemas.openxmlformats.org/officeDocument/2006/relationships/hyperlink" Target="https://www.cylind.com/" TargetMode="External"/><Relationship Id="rId10450" Type="http://schemas.openxmlformats.org/officeDocument/2006/relationships/hyperlink" Target="https://www.teachengineering.org/" TargetMode="External"/><Relationship Id="rId11501" Type="http://schemas.openxmlformats.org/officeDocument/2006/relationships/hyperlink" Target="https://www.hamiltoninternationalestates.com/" TargetMode="External"/><Relationship Id="rId6071" Type="http://schemas.openxmlformats.org/officeDocument/2006/relationships/hyperlink" Target="https://talesofbelle.com/2025/04/05/smart-financial-moves-how-to-increase-your-income-and-secure-your-future/" TargetMode="External"/><Relationship Id="rId7122" Type="http://schemas.openxmlformats.org/officeDocument/2006/relationships/hyperlink" Target="https://www.taylormorrison.com/" TargetMode="External"/><Relationship Id="rId10103" Type="http://schemas.openxmlformats.org/officeDocument/2006/relationships/hyperlink" Target="https://www.nea.org/professional-excellence/student-engagement/read-across-america/find-your-book/tricky-chopsticks" TargetMode="External"/><Relationship Id="rId2681" Type="http://schemas.openxmlformats.org/officeDocument/2006/relationships/hyperlink" Target="https://www.mdregroup.com/residential/princeton-texas-subdivisions-best-neighborhoods/" TargetMode="External"/><Relationship Id="rId9294" Type="http://schemas.openxmlformats.org/officeDocument/2006/relationships/hyperlink" Target="https://www.pinoyeplans.com/" TargetMode="External"/><Relationship Id="rId12275" Type="http://schemas.openxmlformats.org/officeDocument/2006/relationships/hyperlink" Target="https://www.taxfyle.com/blog/family-business-taxes" TargetMode="External"/><Relationship Id="rId13673" Type="http://schemas.openxmlformats.org/officeDocument/2006/relationships/hyperlink" Target="https://anationofmoms.com/" TargetMode="External"/><Relationship Id="rId14724" Type="http://schemas.openxmlformats.org/officeDocument/2006/relationships/hyperlink" Target="https://homecomfortexperts.co.uk/2026/02/03/how-preventive-home-maintenance-helps-avoid-costly-garage-door-repairs/" TargetMode="External"/><Relationship Id="rId653" Type="http://schemas.openxmlformats.org/officeDocument/2006/relationships/hyperlink" Target="https://www.simpleshowing.com/" TargetMode="External"/><Relationship Id="rId1283" Type="http://schemas.openxmlformats.org/officeDocument/2006/relationships/hyperlink" Target="https://www.iplocation.net/tangible-assets-in-2025-how-adus-and-real-estate-still-drive-real-returns" TargetMode="External"/><Relationship Id="rId2334" Type="http://schemas.openxmlformats.org/officeDocument/2006/relationships/hyperlink" Target="https://www.simpleshowing.com/" TargetMode="External"/><Relationship Id="rId3732" Type="http://schemas.openxmlformats.org/officeDocument/2006/relationships/hyperlink" Target="https://www.simpleshowing.com/" TargetMode="External"/><Relationship Id="rId13326" Type="http://schemas.openxmlformats.org/officeDocument/2006/relationships/hyperlink" Target="https://www.urbansplatter.com/2024/07/top-benefits-of-installing-hardwood-flooring-in-your-home/" TargetMode="External"/><Relationship Id="rId306" Type="http://schemas.openxmlformats.org/officeDocument/2006/relationships/hyperlink" Target="http://northernvirginiahomepro.com/" TargetMode="External"/><Relationship Id="rId6955" Type="http://schemas.openxmlformats.org/officeDocument/2006/relationships/hyperlink" Target="https://www.simpleshowing.com/" TargetMode="External"/><Relationship Id="rId15498" Type="http://schemas.openxmlformats.org/officeDocument/2006/relationships/hyperlink" Target="https://www.thetaste.ie/ultimate-christmas-gift-guide-foodie-gifts-for-everyone" TargetMode="External"/><Relationship Id="rId4159" Type="http://schemas.openxmlformats.org/officeDocument/2006/relationships/hyperlink" Target="https://www.simpleshowing.com/" TargetMode="External"/><Relationship Id="rId5557" Type="http://schemas.openxmlformats.org/officeDocument/2006/relationships/hyperlink" Target="https://venturz.co/blog/financial-affiliate-programs" TargetMode="External"/><Relationship Id="rId6608" Type="http://schemas.openxmlformats.org/officeDocument/2006/relationships/hyperlink" Target="https://www.simpleshowing.com/" TargetMode="External"/><Relationship Id="rId8030" Type="http://schemas.openxmlformats.org/officeDocument/2006/relationships/hyperlink" Target="https://indyroofandrestoration.com/" TargetMode="External"/><Relationship Id="rId11011" Type="http://schemas.openxmlformats.org/officeDocument/2006/relationships/hyperlink" Target="https://www.teachengineering.org/" TargetMode="External"/><Relationship Id="rId14581" Type="http://schemas.openxmlformats.org/officeDocument/2006/relationships/hyperlink" Target="https://myinteriorpalace.com/" TargetMode="External"/><Relationship Id="rId15632" Type="http://schemas.openxmlformats.org/officeDocument/2006/relationships/hyperlink" Target="https://www.luxdeco.com/" TargetMode="External"/><Relationship Id="rId4640" Type="http://schemas.openxmlformats.org/officeDocument/2006/relationships/hyperlink" Target="https://www.kapre.com/" TargetMode="External"/><Relationship Id="rId13183" Type="http://schemas.openxmlformats.org/officeDocument/2006/relationships/hyperlink" Target="https://propertypressonline.co.uk/" TargetMode="External"/><Relationship Id="rId14234" Type="http://schemas.openxmlformats.org/officeDocument/2006/relationships/hyperlink" Target="https://luxurylifestyle.com/" TargetMode="External"/><Relationship Id="rId2191" Type="http://schemas.openxmlformats.org/officeDocument/2006/relationships/hyperlink" Target="https://markspain.com/" TargetMode="External"/><Relationship Id="rId3242" Type="http://schemas.openxmlformats.org/officeDocument/2006/relationships/hyperlink" Target="https://www.live5news.com/2022/03/21/its-beginning-end-proposed-development-awendaw-worries-residents-conservation-groups/" TargetMode="External"/><Relationship Id="rId163" Type="http://schemas.openxmlformats.org/officeDocument/2006/relationships/hyperlink" Target="https://www.ponokanews.com/" TargetMode="External"/><Relationship Id="rId6465" Type="http://schemas.openxmlformats.org/officeDocument/2006/relationships/hyperlink" Target="https://www.simpleshowing.com/" TargetMode="External"/><Relationship Id="rId7516" Type="http://schemas.openxmlformats.org/officeDocument/2006/relationships/hyperlink" Target="https://www.simpleshowing.com/" TargetMode="External"/><Relationship Id="rId7863" Type="http://schemas.openxmlformats.org/officeDocument/2006/relationships/hyperlink" Target="https://discoverlakelanier.com/" TargetMode="External"/><Relationship Id="rId8914" Type="http://schemas.openxmlformats.org/officeDocument/2006/relationships/hyperlink" Target="https://www.trianglepest.com/" TargetMode="External"/><Relationship Id="rId10844" Type="http://schemas.openxmlformats.org/officeDocument/2006/relationships/hyperlink" Target="https://web.uri.edu/education/curriculum-materials-library/online-tools/" TargetMode="External"/><Relationship Id="rId16059" Type="http://schemas.openxmlformats.org/officeDocument/2006/relationships/hyperlink" Target="https://www.apsense.com/user/rwdoors" TargetMode="External"/><Relationship Id="rId5067" Type="http://schemas.openxmlformats.org/officeDocument/2006/relationships/hyperlink" Target="https://muscatinejournal.com/news/" TargetMode="External"/><Relationship Id="rId6118" Type="http://schemas.openxmlformats.org/officeDocument/2006/relationships/hyperlink" Target="https://www.simpleshowing.com/" TargetMode="External"/><Relationship Id="rId9688" Type="http://schemas.openxmlformats.org/officeDocument/2006/relationships/hyperlink" Target="https://www.teachengineering.org/" TargetMode="External"/><Relationship Id="rId12669" Type="http://schemas.openxmlformats.org/officeDocument/2006/relationships/hyperlink" Target="https://www.csa-uk.com/members/?id=55977024" TargetMode="External"/><Relationship Id="rId1677" Type="http://schemas.openxmlformats.org/officeDocument/2006/relationships/hyperlink" Target="https://www.simpleshowing.com/" TargetMode="External"/><Relationship Id="rId2728" Type="http://schemas.openxmlformats.org/officeDocument/2006/relationships/hyperlink" Target="https://www.pulte.com/" TargetMode="External"/><Relationship Id="rId14091" Type="http://schemas.openxmlformats.org/officeDocument/2006/relationships/hyperlink" Target="https://payspacemagazine.com/articles/6-ways-to-make-your-outdoor-space-more-functional/" TargetMode="External"/><Relationship Id="rId15142" Type="http://schemas.openxmlformats.org/officeDocument/2006/relationships/hyperlink" Target="https://myinteriorpalace.com/" TargetMode="External"/><Relationship Id="rId4150" Type="http://schemas.openxmlformats.org/officeDocument/2006/relationships/hyperlink" Target="https://www.kapre.com/" TargetMode="External"/><Relationship Id="rId5201" Type="http://schemas.openxmlformats.org/officeDocument/2006/relationships/hyperlink" Target="https://www.inkle.io/blog/what-is-bad-debt-a-guide-to-calculating-expenses" TargetMode="External"/><Relationship Id="rId8771" Type="http://schemas.openxmlformats.org/officeDocument/2006/relationships/hyperlink" Target="https://www.pinoyeplans.com/" TargetMode="External"/><Relationship Id="rId9822" Type="http://schemas.openxmlformats.org/officeDocument/2006/relationships/hyperlink" Target="https://www.pinoyeplans.com/" TargetMode="External"/><Relationship Id="rId36" Type="http://schemas.openxmlformats.org/officeDocument/2006/relationships/hyperlink" Target="http://wissnow.com/" TargetMode="External"/><Relationship Id="rId7373" Type="http://schemas.openxmlformats.org/officeDocument/2006/relationships/hyperlink" Target="https://www.simpleshowing.com/" TargetMode="External"/><Relationship Id="rId8424" Type="http://schemas.openxmlformats.org/officeDocument/2006/relationships/hyperlink" Target="https://www.pacificsheetmetal.net/" TargetMode="External"/><Relationship Id="rId10354" Type="http://schemas.openxmlformats.org/officeDocument/2006/relationships/hyperlink" Target="https://www.teachengineering.org/" TargetMode="External"/><Relationship Id="rId11752" Type="http://schemas.openxmlformats.org/officeDocument/2006/relationships/hyperlink" Target="https://sellhousefast.uk/" TargetMode="External"/><Relationship Id="rId12803" Type="http://schemas.openxmlformats.org/officeDocument/2006/relationships/hyperlink" Target="https://www.shma.co.uk/" TargetMode="External"/><Relationship Id="rId1811" Type="http://schemas.openxmlformats.org/officeDocument/2006/relationships/hyperlink" Target="https://thetradable.com/opinions/the-future-of-sustainable-business-practices-what-you-need-to-know" TargetMode="External"/><Relationship Id="rId7026" Type="http://schemas.openxmlformats.org/officeDocument/2006/relationships/hyperlink" Target="https://www.bloomberg.com/quote/TMHC:US" TargetMode="External"/><Relationship Id="rId10007" Type="http://schemas.openxmlformats.org/officeDocument/2006/relationships/hyperlink" Target="https://www.teachthought.com/bulletin-board/science-resources-for-teachers/" TargetMode="External"/><Relationship Id="rId11405" Type="http://schemas.openxmlformats.org/officeDocument/2006/relationships/hyperlink" Target="https://www.hamiltoninternationalestates.com/" TargetMode="External"/><Relationship Id="rId14975" Type="http://schemas.openxmlformats.org/officeDocument/2006/relationships/hyperlink" Target="https://www.luxdeco.com/" TargetMode="External"/><Relationship Id="rId3983" Type="http://schemas.openxmlformats.org/officeDocument/2006/relationships/hyperlink" Target="https://thursd.com/articles/kenyas-sian-flowers-sustainability-drives-floriculture-profitability" TargetMode="External"/><Relationship Id="rId9198" Type="http://schemas.openxmlformats.org/officeDocument/2006/relationships/hyperlink" Target="https://www.pinoyeplans.com/" TargetMode="External"/><Relationship Id="rId13577" Type="http://schemas.openxmlformats.org/officeDocument/2006/relationships/hyperlink" Target="https://anationofmoms.com/" TargetMode="External"/><Relationship Id="rId14628" Type="http://schemas.openxmlformats.org/officeDocument/2006/relationships/hyperlink" Target="https://alittledelightful.com/5-most-common-garage-door-issues-and-how-to-fix-them/" TargetMode="External"/><Relationship Id="rId1187" Type="http://schemas.openxmlformats.org/officeDocument/2006/relationships/hyperlink" Target="https://www.hollywoodmirrors.co.uk/blogs/guide/moving-made-easy-preparations-for-a-smooth-transition" TargetMode="External"/><Relationship Id="rId2585" Type="http://schemas.openxmlformats.org/officeDocument/2006/relationships/hyperlink" Target="https://m16marketing.com/digital-marketing-blog/atlanta-the-beta-global-city-where-m6-marketing-grew-to-major-local-and-global-impact/" TargetMode="External"/><Relationship Id="rId3636" Type="http://schemas.openxmlformats.org/officeDocument/2006/relationships/hyperlink" Target="https://www.simpleshowing.com/" TargetMode="External"/><Relationship Id="rId12179" Type="http://schemas.openxmlformats.org/officeDocument/2006/relationships/hyperlink" Target="https://www.cuttingedgefirewood.com/pages/ultra-kiln-dried-firewood" TargetMode="External"/><Relationship Id="rId16050" Type="http://schemas.openxmlformats.org/officeDocument/2006/relationships/hyperlink" Target="https://careerlaunchpad.arcadia.edu/blog/2025/03/20/19-tips-for-sociology-majors-who-are-mapping-their-careers/" TargetMode="External"/><Relationship Id="rId557" Type="http://schemas.openxmlformats.org/officeDocument/2006/relationships/hyperlink" Target="https://www.simpleshowing.com/" TargetMode="External"/><Relationship Id="rId2238" Type="http://schemas.openxmlformats.org/officeDocument/2006/relationships/hyperlink" Target="https://www.simpleshowing.com/" TargetMode="External"/><Relationship Id="rId6859" Type="http://schemas.openxmlformats.org/officeDocument/2006/relationships/hyperlink" Target="https://www.taylormorrison.com/" TargetMode="External"/><Relationship Id="rId12660" Type="http://schemas.openxmlformats.org/officeDocument/2006/relationships/hyperlink" Target="https://www.theengineer.co.uk/content/in-depth/damage-control-how-repairability-could-help-address-the-e-waste-crisis/" TargetMode="External"/><Relationship Id="rId13711" Type="http://schemas.openxmlformats.org/officeDocument/2006/relationships/hyperlink" Target="https://myinteriorpalace.com/" TargetMode="External"/><Relationship Id="rId8281" Type="http://schemas.openxmlformats.org/officeDocument/2006/relationships/hyperlink" Target="https://thezillennialzine.com/2025/09/20/lighting-for-every-mood-how-to-set-the-right-ambiance/" TargetMode="External"/><Relationship Id="rId9332" Type="http://schemas.openxmlformats.org/officeDocument/2006/relationships/hyperlink" Target="https://freedomhomeschooling.com/electives/" TargetMode="External"/><Relationship Id="rId11262" Type="http://schemas.openxmlformats.org/officeDocument/2006/relationships/hyperlink" Target="https://www.waterdamagespecialist.com.au/" TargetMode="External"/><Relationship Id="rId12313" Type="http://schemas.openxmlformats.org/officeDocument/2006/relationships/hyperlink" Target="https://www.ridgefieldconsulting.co.uk/" TargetMode="External"/><Relationship Id="rId1321" Type="http://schemas.openxmlformats.org/officeDocument/2006/relationships/hyperlink" Target="https://darscover.com/" TargetMode="External"/><Relationship Id="rId4891" Type="http://schemas.openxmlformats.org/officeDocument/2006/relationships/hyperlink" Target="https://www.bloggingtips.com/best-affiliate-programs/real-estate" TargetMode="External"/><Relationship Id="rId14485" Type="http://schemas.openxmlformats.org/officeDocument/2006/relationships/hyperlink" Target="https://myinteriorpalace.com/" TargetMode="External"/><Relationship Id="rId15883" Type="http://schemas.openxmlformats.org/officeDocument/2006/relationships/hyperlink" Target="https://myinteriorpalace.com/" TargetMode="External"/><Relationship Id="rId3493" Type="http://schemas.openxmlformats.org/officeDocument/2006/relationships/hyperlink" Target="https://www.pulte.com/" TargetMode="External"/><Relationship Id="rId4544" Type="http://schemas.openxmlformats.org/officeDocument/2006/relationships/hyperlink" Target="https://www.kapre.com/" TargetMode="External"/><Relationship Id="rId5942" Type="http://schemas.openxmlformats.org/officeDocument/2006/relationships/hyperlink" Target="https://www.simpleshowing.com/" TargetMode="External"/><Relationship Id="rId13087" Type="http://schemas.openxmlformats.org/officeDocument/2006/relationships/hyperlink" Target="https://propertypressonline.co.uk/" TargetMode="External"/><Relationship Id="rId14138" Type="http://schemas.openxmlformats.org/officeDocument/2006/relationships/hyperlink" Target="https://keystonecustomdecksny.com/" TargetMode="External"/><Relationship Id="rId15536" Type="http://schemas.openxmlformats.org/officeDocument/2006/relationships/hyperlink" Target="https://www.luxdeco.com/" TargetMode="External"/><Relationship Id="rId2095" Type="http://schemas.openxmlformats.org/officeDocument/2006/relationships/hyperlink" Target="https://markspain.com/" TargetMode="External"/><Relationship Id="rId3146" Type="http://schemas.openxmlformats.org/officeDocument/2006/relationships/hyperlink" Target="https://www.thegoodhartgroup.com/55-communities-in-northern-virginia/" TargetMode="External"/><Relationship Id="rId6369" Type="http://schemas.openxmlformats.org/officeDocument/2006/relationships/hyperlink" Target="https://www.easyreadernews.com/finding-debt-relief-programs-that-work/" TargetMode="External"/><Relationship Id="rId7767" Type="http://schemas.openxmlformats.org/officeDocument/2006/relationships/hyperlink" Target="https://www.simpleshowing.com/" TargetMode="External"/><Relationship Id="rId8818" Type="http://schemas.openxmlformats.org/officeDocument/2006/relationships/hyperlink" Target="https://www.trianglepest.com/" TargetMode="External"/><Relationship Id="rId10748" Type="http://schemas.openxmlformats.org/officeDocument/2006/relationships/hyperlink" Target="https://unit.hlc.edu.tw/eduen/index.php/component/sppagebuilder/?view=page&amp;id=70&amp;Itemid=0" TargetMode="External"/><Relationship Id="rId12170" Type="http://schemas.openxmlformats.org/officeDocument/2006/relationships/hyperlink" Target="https://www.acdirect.com/high-velocity-air-conditioning/unico-hvac-systems.html" TargetMode="External"/><Relationship Id="rId13221" Type="http://schemas.openxmlformats.org/officeDocument/2006/relationships/hyperlink" Target="https://grokipedia.com/page/University_of_Liverpool" TargetMode="External"/><Relationship Id="rId2979" Type="http://schemas.openxmlformats.org/officeDocument/2006/relationships/hyperlink" Target="https://www.simpleshowing.com/" TargetMode="External"/><Relationship Id="rId6850" Type="http://schemas.openxmlformats.org/officeDocument/2006/relationships/hyperlink" Target="https://www.taylormorrison.com/" TargetMode="External"/><Relationship Id="rId7901" Type="http://schemas.openxmlformats.org/officeDocument/2006/relationships/hyperlink" Target="https://www.pinoyeplans.com/" TargetMode="External"/><Relationship Id="rId15393" Type="http://schemas.openxmlformats.org/officeDocument/2006/relationships/hyperlink" Target="https://thecodest.co/en/blog/e-commerce-web-development-crucial-things-that-you-cant-forget/" TargetMode="External"/><Relationship Id="rId201" Type="http://schemas.openxmlformats.org/officeDocument/2006/relationships/hyperlink" Target="http://northernvirginiahomepro.com/" TargetMode="External"/><Relationship Id="rId5452" Type="http://schemas.openxmlformats.org/officeDocument/2006/relationships/hyperlink" Target="https://www.simpleshowing.com/" TargetMode="External"/><Relationship Id="rId6503" Type="http://schemas.openxmlformats.org/officeDocument/2006/relationships/hyperlink" Target="https://www.simpleshowing.com/" TargetMode="External"/><Relationship Id="rId15046" Type="http://schemas.openxmlformats.org/officeDocument/2006/relationships/hyperlink" Target="https://myinteriorpalace.com/" TargetMode="External"/><Relationship Id="rId4054" Type="http://schemas.openxmlformats.org/officeDocument/2006/relationships/hyperlink" Target="https://www.kapre.com/" TargetMode="External"/><Relationship Id="rId5105" Type="http://schemas.openxmlformats.org/officeDocument/2006/relationships/hyperlink" Target="https://lickd.co/blog/advice-for-content-creators/how-to-revive-a-dead-youtube-channel" TargetMode="External"/><Relationship Id="rId8675" Type="http://schemas.openxmlformats.org/officeDocument/2006/relationships/hyperlink" Target="https://www.pinoyeplans.com/" TargetMode="External"/><Relationship Id="rId9726" Type="http://schemas.openxmlformats.org/officeDocument/2006/relationships/hyperlink" Target="https://www.pinoyeplans.com/" TargetMode="External"/><Relationship Id="rId7277" Type="http://schemas.openxmlformats.org/officeDocument/2006/relationships/hyperlink" Target="https://www.simpleshowing.com/" TargetMode="External"/><Relationship Id="rId8328" Type="http://schemas.openxmlformats.org/officeDocument/2006/relationships/hyperlink" Target="https://www.zestlighting.com.au/" TargetMode="External"/><Relationship Id="rId11656" Type="http://schemas.openxmlformats.org/officeDocument/2006/relationships/hyperlink" Target="https://sellhousefast.uk/" TargetMode="External"/><Relationship Id="rId12707" Type="http://schemas.openxmlformats.org/officeDocument/2006/relationships/hyperlink" Target="https://www.shma.co.uk/" TargetMode="External"/><Relationship Id="rId1715" Type="http://schemas.openxmlformats.org/officeDocument/2006/relationships/hyperlink" Target="https://journaltimes.com/life-entertainment/article_abec2c22-a9ca-5bd8-9391-c648a33a2469.html" TargetMode="External"/><Relationship Id="rId10258" Type="http://schemas.openxmlformats.org/officeDocument/2006/relationships/hyperlink" Target="https://www.teachengineering.org/" TargetMode="External"/><Relationship Id="rId11309" Type="http://schemas.openxmlformats.org/officeDocument/2006/relationships/hyperlink" Target="https://www.savemax.com/" TargetMode="External"/><Relationship Id="rId14879" Type="http://schemas.openxmlformats.org/officeDocument/2006/relationships/hyperlink" Target="https://www.fluidplumbingservices.com.au/" TargetMode="External"/><Relationship Id="rId3887" Type="http://schemas.openxmlformats.org/officeDocument/2006/relationships/hyperlink" Target="https://www.joinchargeback.com/review/thecoverguy.com" TargetMode="External"/><Relationship Id="rId4938" Type="http://schemas.openxmlformats.org/officeDocument/2006/relationships/hyperlink" Target="https://www.simpleshowing.com/" TargetMode="External"/><Relationship Id="rId2489" Type="http://schemas.openxmlformats.org/officeDocument/2006/relationships/hyperlink" Target="https://greatparkneighborhoods.com/homes/solis-park/polaris" TargetMode="External"/><Relationship Id="rId6360" Type="http://schemas.openxmlformats.org/officeDocument/2006/relationships/hyperlink" Target="https://www.simpleshowing.com/" TargetMode="External"/><Relationship Id="rId7411" Type="http://schemas.openxmlformats.org/officeDocument/2006/relationships/hyperlink" Target="https://asgca.org/construction-starts-on-wilczynski-asgca-design-at-azario-lakewood-florida/" TargetMode="External"/><Relationship Id="rId2970" Type="http://schemas.openxmlformats.org/officeDocument/2006/relationships/hyperlink" Target="https://www.simpleshowing.com/" TargetMode="External"/><Relationship Id="rId6013" Type="http://schemas.openxmlformats.org/officeDocument/2006/relationships/hyperlink" Target="https://www.referralcandy.com/blog/turning-your-passion-into-an-online-business" TargetMode="External"/><Relationship Id="rId9583" Type="http://schemas.openxmlformats.org/officeDocument/2006/relationships/hyperlink" Target="https://www.teachengineering.org/" TargetMode="External"/><Relationship Id="rId12564" Type="http://schemas.openxmlformats.org/officeDocument/2006/relationships/hyperlink" Target="https://www.reviewsolicitors.co.uk/west-midlands/birmingham/shakespeare-martineau-llp" TargetMode="External"/><Relationship Id="rId13962" Type="http://schemas.openxmlformats.org/officeDocument/2006/relationships/hyperlink" Target="https://directory.coldlytics.com/companies/faheyroofingcontractors" TargetMode="External"/><Relationship Id="rId942" Type="http://schemas.openxmlformats.org/officeDocument/2006/relationships/hyperlink" Target="https://www.simpleshowing.com/" TargetMode="External"/><Relationship Id="rId1572" Type="http://schemas.openxmlformats.org/officeDocument/2006/relationships/hyperlink" Target="https://www.simpleshowing.com/" TargetMode="External"/><Relationship Id="rId2623" Type="http://schemas.openxmlformats.org/officeDocument/2006/relationships/hyperlink" Target="https://www.pulte.com/" TargetMode="External"/><Relationship Id="rId8185" Type="http://schemas.openxmlformats.org/officeDocument/2006/relationships/hyperlink" Target="https://www.educa.jcyl.es/blogs/en/leyendo/comics-on-line-poesias-gloria-fuertes" TargetMode="External"/><Relationship Id="rId9236" Type="http://schemas.openxmlformats.org/officeDocument/2006/relationships/hyperlink" Target="https://metromsk.com/top-9-benefits-of-hiring-professional-air-duct-cleaning-experts/" TargetMode="External"/><Relationship Id="rId11166" Type="http://schemas.openxmlformats.org/officeDocument/2006/relationships/hyperlink" Target="https://www.pinoyeplans.com/" TargetMode="External"/><Relationship Id="rId12217" Type="http://schemas.openxmlformats.org/officeDocument/2006/relationships/hyperlink" Target="https://marrons.co.uk/" TargetMode="External"/><Relationship Id="rId13615" Type="http://schemas.openxmlformats.org/officeDocument/2006/relationships/hyperlink" Target="https://myinteriorpalace.com/" TargetMode="External"/><Relationship Id="rId1225" Type="http://schemas.openxmlformats.org/officeDocument/2006/relationships/hyperlink" Target="https://happy2movelondon.co.uk/r" TargetMode="External"/><Relationship Id="rId15787" Type="http://schemas.openxmlformats.org/officeDocument/2006/relationships/hyperlink" Target="https://myinteriorpalace.com/" TargetMode="External"/><Relationship Id="rId3397" Type="http://schemas.openxmlformats.org/officeDocument/2006/relationships/hyperlink" Target="https://www.pulte.com/" TargetMode="External"/><Relationship Id="rId4795" Type="http://schemas.openxmlformats.org/officeDocument/2006/relationships/hyperlink" Target="https://www.simpleshowing.com/" TargetMode="External"/><Relationship Id="rId5846" Type="http://schemas.openxmlformats.org/officeDocument/2006/relationships/hyperlink" Target="https://www.simpleshowing.com/" TargetMode="External"/><Relationship Id="rId14389" Type="http://schemas.openxmlformats.org/officeDocument/2006/relationships/hyperlink" Target="https://myinteriorpalace.com/" TargetMode="External"/><Relationship Id="rId4448" Type="http://schemas.openxmlformats.org/officeDocument/2006/relationships/hyperlink" Target="https://www.kapre.com/" TargetMode="External"/><Relationship Id="rId10999" Type="http://schemas.openxmlformats.org/officeDocument/2006/relationships/hyperlink" Target="https://www.teachengineering.org/" TargetMode="External"/><Relationship Id="rId11300" Type="http://schemas.openxmlformats.org/officeDocument/2006/relationships/hyperlink" Target="https://www.savemax.com/" TargetMode="External"/><Relationship Id="rId14870" Type="http://schemas.openxmlformats.org/officeDocument/2006/relationships/hyperlink" Target="https://www.fluidplumbingservices.com.au/" TargetMode="External"/><Relationship Id="rId15921" Type="http://schemas.openxmlformats.org/officeDocument/2006/relationships/hyperlink" Target="https://blog.housesitmatch.com/blog/garage-door-specialists-for-design/" TargetMode="External"/><Relationship Id="rId13472" Type="http://schemas.openxmlformats.org/officeDocument/2006/relationships/hyperlink" Target="https://anationofmoms.com/" TargetMode="External"/><Relationship Id="rId14523" Type="http://schemas.openxmlformats.org/officeDocument/2006/relationships/hyperlink" Target="https://whipperberry.com/category/home/" TargetMode="External"/><Relationship Id="rId2480" Type="http://schemas.openxmlformats.org/officeDocument/2006/relationships/hyperlink" Target="https://www.dbusiness.com/business-features/michigans-fortune-1000/" TargetMode="External"/><Relationship Id="rId3531" Type="http://schemas.openxmlformats.org/officeDocument/2006/relationships/hyperlink" Target="https://www.simpleshowing.com/" TargetMode="External"/><Relationship Id="rId9093" Type="http://schemas.openxmlformats.org/officeDocument/2006/relationships/hyperlink" Target="https://www.pinoyeplans.com/" TargetMode="External"/><Relationship Id="rId12074" Type="http://schemas.openxmlformats.org/officeDocument/2006/relationships/hyperlink" Target="https://www.thetatteredpew.com/creative-backyard-landscaping-ideas-on-a-budget/" TargetMode="External"/><Relationship Id="rId13125" Type="http://schemas.openxmlformats.org/officeDocument/2006/relationships/hyperlink" Target="https://ffnews.com/newsarticle/shakespeare-martineau-supports-the-launch-of-online-internship-platform-for-startups/" TargetMode="External"/><Relationship Id="rId452" Type="http://schemas.openxmlformats.org/officeDocument/2006/relationships/hyperlink" Target="https://www.simpleshowing.com/" TargetMode="External"/><Relationship Id="rId1082" Type="http://schemas.openxmlformats.org/officeDocument/2006/relationships/hyperlink" Target="https://www.finehomesandliving.com/home_design/from-storage-to-stunning-transforming-unused-square-footage/article_87896a86-9ae0-4823-b3e5-ac2b970c9636.html" TargetMode="External"/><Relationship Id="rId2133" Type="http://schemas.openxmlformats.org/officeDocument/2006/relationships/hyperlink" Target="https://www.simpleshowing.com/" TargetMode="External"/><Relationship Id="rId6754" Type="http://schemas.openxmlformats.org/officeDocument/2006/relationships/hyperlink" Target="https://theprovidencegroup.com/" TargetMode="External"/><Relationship Id="rId7805" Type="http://schemas.openxmlformats.org/officeDocument/2006/relationships/hyperlink" Target="https://www.simpleshowing.com/" TargetMode="External"/><Relationship Id="rId15297" Type="http://schemas.openxmlformats.org/officeDocument/2006/relationships/hyperlink" Target="https://www.sejasa.com/blog/12-ide-dekorasi-dinding-ini-bikin-rumah-unik-dan-artistik/" TargetMode="External"/><Relationship Id="rId105" Type="http://schemas.openxmlformats.org/officeDocument/2006/relationships/hyperlink" Target="https://www.sentinelcolorado.com/" TargetMode="External"/><Relationship Id="rId5356" Type="http://schemas.openxmlformats.org/officeDocument/2006/relationships/hyperlink" Target="https://www.simpleshowing.com/" TargetMode="External"/><Relationship Id="rId6407" Type="http://schemas.openxmlformats.org/officeDocument/2006/relationships/hyperlink" Target="https://www.talkesport.com/guides/how-to-dispute-errors-on-your-credit-reports/" TargetMode="External"/><Relationship Id="rId5009" Type="http://schemas.openxmlformats.org/officeDocument/2006/relationships/hyperlink" Target="https://wotnot.io/blog/chatbots-in-banking" TargetMode="External"/><Relationship Id="rId8579" Type="http://schemas.openxmlformats.org/officeDocument/2006/relationships/hyperlink" Target="https://www.pinoyeplans.com/" TargetMode="External"/><Relationship Id="rId9977" Type="http://schemas.openxmlformats.org/officeDocument/2006/relationships/hyperlink" Target="https://www.thepocketlab.com/blog/links-and-resources-from-scic14-featuring-disney-imagination-campus" TargetMode="External"/><Relationship Id="rId12958" Type="http://schemas.openxmlformats.org/officeDocument/2006/relationships/hyperlink" Target="https://propertypressonline.co.uk/" TargetMode="External"/><Relationship Id="rId1966" Type="http://schemas.openxmlformats.org/officeDocument/2006/relationships/hyperlink" Target="https://markspain.com/" TargetMode="External"/><Relationship Id="rId14380" Type="http://schemas.openxmlformats.org/officeDocument/2006/relationships/hyperlink" Target="https://myinteriorpalace.com/" TargetMode="External"/><Relationship Id="rId15431" Type="http://schemas.openxmlformats.org/officeDocument/2006/relationships/hyperlink" Target="https://www.luxdeco.com/" TargetMode="External"/><Relationship Id="rId1619" Type="http://schemas.openxmlformats.org/officeDocument/2006/relationships/hyperlink" Target="https://katsfm.com/washington-energy-efficiency/" TargetMode="External"/><Relationship Id="rId14033" Type="http://schemas.openxmlformats.org/officeDocument/2006/relationships/hyperlink" Target="https://keystonecustomdecksny.com/" TargetMode="External"/><Relationship Id="rId3041" Type="http://schemas.openxmlformats.org/officeDocument/2006/relationships/hyperlink" Target="https://www.abqjournal.com/2456320/protect-pipes-now-from-winter-freeze-later-ex-a-small-effort-now-can.html" TargetMode="External"/><Relationship Id="rId7662" Type="http://schemas.openxmlformats.org/officeDocument/2006/relationships/hyperlink" Target="https://www.hrc.org/resources/corporations/taylor-morrison-home" TargetMode="External"/><Relationship Id="rId8713" Type="http://schemas.openxmlformats.org/officeDocument/2006/relationships/hyperlink" Target="https://sanders-jeantn7476.firebaseapp.com/terra-cotta-tile-kitchen.html" TargetMode="External"/><Relationship Id="rId10643" Type="http://schemas.openxmlformats.org/officeDocument/2006/relationships/hyperlink" Target="https://www.sempersolaris.com/teaching-kids-renewable-energy/" TargetMode="External"/><Relationship Id="rId10990" Type="http://schemas.openxmlformats.org/officeDocument/2006/relationships/hyperlink" Target="https://www.teachengineering.org/" TargetMode="External"/><Relationship Id="rId6264" Type="http://schemas.openxmlformats.org/officeDocument/2006/relationships/hyperlink" Target="https://www.simpleshowing.com/" TargetMode="External"/><Relationship Id="rId7315" Type="http://schemas.openxmlformats.org/officeDocument/2006/relationships/hyperlink" Target="https://www.taylormorrison.com/" TargetMode="External"/><Relationship Id="rId9487" Type="http://schemas.openxmlformats.org/officeDocument/2006/relationships/hyperlink" Target="https://www.teachengineering.org/" TargetMode="External"/><Relationship Id="rId13866" Type="http://schemas.openxmlformats.org/officeDocument/2006/relationships/hyperlink" Target="https://opplehouse.com/best-kitchen-flooring-options/" TargetMode="External"/><Relationship Id="rId14917" Type="http://schemas.openxmlformats.org/officeDocument/2006/relationships/hyperlink" Target="https://myinteriorpalace.com/" TargetMode="External"/><Relationship Id="rId1476" Type="http://schemas.openxmlformats.org/officeDocument/2006/relationships/hyperlink" Target="https://www.simpleshowing.com/" TargetMode="External"/><Relationship Id="rId2874" Type="http://schemas.openxmlformats.org/officeDocument/2006/relationships/hyperlink" Target="https://www.simpleshowing.com/" TargetMode="External"/><Relationship Id="rId3925" Type="http://schemas.openxmlformats.org/officeDocument/2006/relationships/hyperlink" Target="https://amjmetalroofing.com.au/" TargetMode="External"/><Relationship Id="rId8089" Type="http://schemas.openxmlformats.org/officeDocument/2006/relationships/hyperlink" Target="https://wsutech.edu/payingforcollege/scholarships/" TargetMode="External"/><Relationship Id="rId12468" Type="http://schemas.openxmlformats.org/officeDocument/2006/relationships/hyperlink" Target="https://propertypressonline.co.uk/" TargetMode="External"/><Relationship Id="rId13519" Type="http://schemas.openxmlformats.org/officeDocument/2006/relationships/hyperlink" Target="https://myinteriorpalace.com/" TargetMode="External"/><Relationship Id="rId846" Type="http://schemas.openxmlformats.org/officeDocument/2006/relationships/hyperlink" Target="https://www.simpleshowing.com/" TargetMode="External"/><Relationship Id="rId1129" Type="http://schemas.openxmlformats.org/officeDocument/2006/relationships/hyperlink" Target="https://www.matrixbasements.com/" TargetMode="External"/><Relationship Id="rId2527" Type="http://schemas.openxmlformats.org/officeDocument/2006/relationships/hyperlink" Target="https://www.pulte.com/" TargetMode="External"/><Relationship Id="rId5000" Type="http://schemas.openxmlformats.org/officeDocument/2006/relationships/hyperlink" Target="https://www.simpleshowing.com/" TargetMode="External"/><Relationship Id="rId4699" Type="http://schemas.openxmlformats.org/officeDocument/2006/relationships/hyperlink" Target="https://www.simpleshowing.com/" TargetMode="External"/><Relationship Id="rId8570" Type="http://schemas.openxmlformats.org/officeDocument/2006/relationships/hyperlink" Target="https://www.pinoyeplans.com/" TargetMode="External"/><Relationship Id="rId9621" Type="http://schemas.openxmlformats.org/officeDocument/2006/relationships/hyperlink" Target="https://www.pinoyeplans.com/" TargetMode="External"/><Relationship Id="rId11551" Type="http://schemas.openxmlformats.org/officeDocument/2006/relationships/hyperlink" Target="https://sellhousefast.uk/" TargetMode="External"/><Relationship Id="rId12602" Type="http://schemas.openxmlformats.org/officeDocument/2006/relationships/hyperlink" Target="https://www.shma.co.uk/" TargetMode="External"/><Relationship Id="rId1610" Type="http://schemas.openxmlformats.org/officeDocument/2006/relationships/hyperlink" Target="https://scubby.com/enhancing-business-efficiency-with-energy-saving-electrical-solutions/" TargetMode="External"/><Relationship Id="rId7172" Type="http://schemas.openxmlformats.org/officeDocument/2006/relationships/hyperlink" Target="https://www.taylormorrison.com/" TargetMode="External"/><Relationship Id="rId8223" Type="http://schemas.openxmlformats.org/officeDocument/2006/relationships/hyperlink" Target="https://smaarchviz.com/" TargetMode="External"/><Relationship Id="rId10153" Type="http://schemas.openxmlformats.org/officeDocument/2006/relationships/hyperlink" Target="https://www.teachengineering.org/" TargetMode="External"/><Relationship Id="rId11204" Type="http://schemas.openxmlformats.org/officeDocument/2006/relationships/hyperlink" Target="https://myflashyhome.com/revamp-your-space-after-water-damage-recovery/" TargetMode="External"/><Relationship Id="rId14774" Type="http://schemas.openxmlformats.org/officeDocument/2006/relationships/hyperlink" Target="https://www.easygaragedoorrepair.com/" TargetMode="External"/><Relationship Id="rId3782" Type="http://schemas.openxmlformats.org/officeDocument/2006/relationships/hyperlink" Target="https://educationdata.org/scholarships-for-graduate-students" TargetMode="External"/><Relationship Id="rId4833" Type="http://schemas.openxmlformats.org/officeDocument/2006/relationships/hyperlink" Target="https://www.whsv.com/2024/05/27/high-school-seniors-can-now-get-real-estate-license-free-this-state/" TargetMode="External"/><Relationship Id="rId13376" Type="http://schemas.openxmlformats.org/officeDocument/2006/relationships/hyperlink" Target="https://anationofmoms.com/" TargetMode="External"/><Relationship Id="rId14427" Type="http://schemas.openxmlformats.org/officeDocument/2006/relationships/hyperlink" Target="https://myinteriorpalace.com/pros-and-cons-of-saltwater-hot-tubs/" TargetMode="External"/><Relationship Id="rId15825" Type="http://schemas.openxmlformats.org/officeDocument/2006/relationships/hyperlink" Target="https://www.lismorecitynews.com.au/story/8067428/the-queenslanders-guide-to-designing-a-coastal-style-home/" TargetMode="External"/><Relationship Id="rId2384" Type="http://schemas.openxmlformats.org/officeDocument/2006/relationships/hyperlink" Target="https://lakenona.com/neighbourhoods/isles-of-lake-lona/" TargetMode="External"/><Relationship Id="rId3435" Type="http://schemas.openxmlformats.org/officeDocument/2006/relationships/hyperlink" Target="https://www.simpleshowing.com/" TargetMode="External"/><Relationship Id="rId13029" Type="http://schemas.openxmlformats.org/officeDocument/2006/relationships/hyperlink" Target="https://practiceguides.chambers.com/practice-guides/private-wealth-disputes-2026/uk-south-west/trends-and-developments" TargetMode="External"/><Relationship Id="rId356" Type="http://schemas.openxmlformats.org/officeDocument/2006/relationships/hyperlink" Target="http://northernvirginiahomepro.com/" TargetMode="External"/><Relationship Id="rId2037" Type="http://schemas.openxmlformats.org/officeDocument/2006/relationships/hyperlink" Target="https://www.simpleshowing.com/" TargetMode="External"/><Relationship Id="rId6658" Type="http://schemas.openxmlformats.org/officeDocument/2006/relationships/hyperlink" Target="https://www.simpleshowing.com/" TargetMode="External"/><Relationship Id="rId7709" Type="http://schemas.openxmlformats.org/officeDocument/2006/relationships/hyperlink" Target="https://discoverlakelanier.com/" TargetMode="External"/><Relationship Id="rId8080" Type="http://schemas.openxmlformats.org/officeDocument/2006/relationships/hyperlink" Target="https://sflcn.com/top-6-renovation-projects-you-shouldnt-postpone/" TargetMode="External"/><Relationship Id="rId9131" Type="http://schemas.openxmlformats.org/officeDocument/2006/relationships/hyperlink" Target="https://redinv.upel.edu.ve/redinv/blogs/1200/Precise-Construction-Estimating-Built-on-Quality-Data" TargetMode="External"/><Relationship Id="rId13510" Type="http://schemas.openxmlformats.org/officeDocument/2006/relationships/hyperlink" Target="https://myinteriorpalace.com/" TargetMode="External"/><Relationship Id="rId11061" Type="http://schemas.openxmlformats.org/officeDocument/2006/relationships/hyperlink" Target="https://www.pinoyeplans.com/" TargetMode="External"/><Relationship Id="rId12112" Type="http://schemas.openxmlformats.org/officeDocument/2006/relationships/hyperlink" Target="https://www.bobvila.com/" TargetMode="External"/><Relationship Id="rId15682" Type="http://schemas.openxmlformats.org/officeDocument/2006/relationships/hyperlink" Target="https://myinteriorpalace.com/" TargetMode="External"/><Relationship Id="rId1120" Type="http://schemas.openxmlformats.org/officeDocument/2006/relationships/hyperlink" Target="https://www.matrixbasements.com/" TargetMode="External"/><Relationship Id="rId4690" Type="http://schemas.openxmlformats.org/officeDocument/2006/relationships/hyperlink" Target="https://www.simpleshowing.com/" TargetMode="External"/><Relationship Id="rId5741" Type="http://schemas.openxmlformats.org/officeDocument/2006/relationships/hyperlink" Target="https://www.namasteui.com/a-guide-to-business-debt-consolidation/" TargetMode="External"/><Relationship Id="rId14284" Type="http://schemas.openxmlformats.org/officeDocument/2006/relationships/hyperlink" Target="https://myinteriorpalace.com/" TargetMode="External"/><Relationship Id="rId15335" Type="http://schemas.openxmlformats.org/officeDocument/2006/relationships/hyperlink" Target="https://www.luxdeco.com/" TargetMode="External"/><Relationship Id="rId3292" Type="http://schemas.openxmlformats.org/officeDocument/2006/relationships/hyperlink" Target="https://www.pulte.com/" TargetMode="External"/><Relationship Id="rId4343" Type="http://schemas.openxmlformats.org/officeDocument/2006/relationships/hyperlink" Target="https://www.kapre.com/" TargetMode="External"/><Relationship Id="rId8964" Type="http://schemas.openxmlformats.org/officeDocument/2006/relationships/hyperlink" Target="https://www.pinoyeplans.com/" TargetMode="External"/><Relationship Id="rId7566" Type="http://schemas.openxmlformats.org/officeDocument/2006/relationships/hyperlink" Target="http://markets.chroniclejournal.com/chroniclejournal/article/ibnspotlights-2023-6-12-taylor-morrison-home-corp-nyse-tmhc-is-a-stock-spotlight-on-612" TargetMode="External"/><Relationship Id="rId8617" Type="http://schemas.openxmlformats.org/officeDocument/2006/relationships/hyperlink" Target="https://www.moneyhub.co.nz/reliable-house-painting-services-auckland.html" TargetMode="External"/><Relationship Id="rId10894" Type="http://schemas.openxmlformats.org/officeDocument/2006/relationships/hyperlink" Target="https://www.teachengineering.org/" TargetMode="External"/><Relationship Id="rId11945" Type="http://schemas.openxmlformats.org/officeDocument/2006/relationships/hyperlink" Target="https://concreteflooringsolutions.co.uk/blog/how-long-does-concrete-take-to-set-expert-advice-from-concrete-specialists/" TargetMode="External"/><Relationship Id="rId6168" Type="http://schemas.openxmlformats.org/officeDocument/2006/relationships/hyperlink" Target="https://www.simpleshowing.com/" TargetMode="External"/><Relationship Id="rId7219" Type="http://schemas.openxmlformats.org/officeDocument/2006/relationships/hyperlink" Target="https://www.taylormorrison.com/" TargetMode="External"/><Relationship Id="rId10547" Type="http://schemas.openxmlformats.org/officeDocument/2006/relationships/hyperlink" Target="https://homeschoolden.com/2015/10/29/chemistry-experiments-for-kids-grade-2-mixtures-chromatography-dna-kit/" TargetMode="External"/><Relationship Id="rId13020" Type="http://schemas.openxmlformats.org/officeDocument/2006/relationships/hyperlink" Target="https://www.irishnews.com/life/what-pensioners-need-to-know-about-income-tax-IRWULQV3P5LM3MYEMMCKTQ4CSA/" TargetMode="External"/><Relationship Id="rId2778" Type="http://schemas.openxmlformats.org/officeDocument/2006/relationships/hyperlink" Target="https://www.simpleshowing.com/" TargetMode="External"/><Relationship Id="rId3829" Type="http://schemas.openxmlformats.org/officeDocument/2006/relationships/hyperlink" Target="https://thecoverguy.com/" TargetMode="External"/><Relationship Id="rId7700" Type="http://schemas.openxmlformats.org/officeDocument/2006/relationships/hyperlink" Target="https://discoverlakelanier.com/" TargetMode="External"/><Relationship Id="rId15192" Type="http://schemas.openxmlformats.org/officeDocument/2006/relationships/hyperlink" Target="https://www.greatbuildz.com/blog/less-is-more-6-ways-modern-minimalism/" TargetMode="External"/><Relationship Id="rId16243" Type="http://schemas.openxmlformats.org/officeDocument/2006/relationships/hyperlink" Target="https://myinteriorpalace.com/" TargetMode="External"/><Relationship Id="rId5251" Type="http://schemas.openxmlformats.org/officeDocument/2006/relationships/hyperlink" Target="https://www.helpware.com/blog/fintech-app-development" TargetMode="External"/><Relationship Id="rId6302" Type="http://schemas.openxmlformats.org/officeDocument/2006/relationships/hyperlink" Target="https://www.simpleshowing.com/" TargetMode="External"/><Relationship Id="rId9872" Type="http://schemas.openxmlformats.org/officeDocument/2006/relationships/hyperlink" Target="https://www.tusd.org/schools/calle-mayor/resources/gate" TargetMode="External"/><Relationship Id="rId12853" Type="http://schemas.openxmlformats.org/officeDocument/2006/relationships/hyperlink" Target="https://propertypressonline.co.uk/" TargetMode="External"/><Relationship Id="rId86" Type="http://schemas.openxmlformats.org/officeDocument/2006/relationships/hyperlink" Target="http://360mag.co.uk/" TargetMode="External"/><Relationship Id="rId1861" Type="http://schemas.openxmlformats.org/officeDocument/2006/relationships/hyperlink" Target="https://wolfriverelectric.com/" TargetMode="External"/><Relationship Id="rId2912" Type="http://schemas.openxmlformats.org/officeDocument/2006/relationships/hyperlink" Target="https://business.slchamber.com/list/member/pultegroup-106696" TargetMode="External"/><Relationship Id="rId8474" Type="http://schemas.openxmlformats.org/officeDocument/2006/relationships/hyperlink" Target="https://www.pinoyeplans.com/" TargetMode="External"/><Relationship Id="rId9525" Type="http://schemas.openxmlformats.org/officeDocument/2006/relationships/hyperlink" Target="https://www.pinoyeplans.com/" TargetMode="External"/><Relationship Id="rId11455" Type="http://schemas.openxmlformats.org/officeDocument/2006/relationships/hyperlink" Target="https://www.swlondoner.co.uk/life/31012026-kensington-and-chelsea-named-londons-most-mortgage-burdened-borough" TargetMode="External"/><Relationship Id="rId12506" Type="http://schemas.openxmlformats.org/officeDocument/2006/relationships/hyperlink" Target="https://sturents.com/" TargetMode="External"/><Relationship Id="rId13904" Type="http://schemas.openxmlformats.org/officeDocument/2006/relationships/hyperlink" Target="https://embeltonflooring.com/" TargetMode="External"/><Relationship Id="rId1514" Type="http://schemas.openxmlformats.org/officeDocument/2006/relationships/hyperlink" Target="https://wefest.com/sponsors/" TargetMode="External"/><Relationship Id="rId7076" Type="http://schemas.openxmlformats.org/officeDocument/2006/relationships/hyperlink" Target="https://www.taylormorrison.com/" TargetMode="External"/><Relationship Id="rId8127" Type="http://schemas.openxmlformats.org/officeDocument/2006/relationships/hyperlink" Target="https://whiteglovemoving.us/" TargetMode="External"/><Relationship Id="rId10057" Type="http://schemas.openxmlformats.org/officeDocument/2006/relationships/hyperlink" Target="https://www.teachengineering.org/" TargetMode="External"/><Relationship Id="rId11108" Type="http://schemas.openxmlformats.org/officeDocument/2006/relationships/hyperlink" Target="https://hogfurniture.co/ha/blogs/ideas-inspiration/transform-your-living-space-how-painters-enhance-home-decor" TargetMode="External"/><Relationship Id="rId3686" Type="http://schemas.openxmlformats.org/officeDocument/2006/relationships/hyperlink" Target="https://alta-effect-productions.pdqs.mobi/overhead-door-company-of-fredericktm/" TargetMode="External"/><Relationship Id="rId14678" Type="http://schemas.openxmlformats.org/officeDocument/2006/relationships/hyperlink" Target="https://www.easygaragedoorrepair.com/" TargetMode="External"/><Relationship Id="rId15729" Type="http://schemas.openxmlformats.org/officeDocument/2006/relationships/hyperlink" Target="https://opplehouse.com/how-to-choose-interior-wall-panels-a-builders-guide-to-materials-and-methods/" TargetMode="External"/><Relationship Id="rId2288" Type="http://schemas.openxmlformats.org/officeDocument/2006/relationships/hyperlink" Target="https://www.crexi.com/properties/1766819/georgia-shuckin-shack-oyster-bar" TargetMode="External"/><Relationship Id="rId3339" Type="http://schemas.openxmlformats.org/officeDocument/2006/relationships/hyperlink" Target="https://www.simpleshowing.com/" TargetMode="External"/><Relationship Id="rId4737" Type="http://schemas.openxmlformats.org/officeDocument/2006/relationships/hyperlink" Target="https://www.wtvm.com/2024/05/27/high-school-seniors-can-now-get-real-estate-license-free-this-state/" TargetMode="External"/><Relationship Id="rId7210" Type="http://schemas.openxmlformats.org/officeDocument/2006/relationships/hyperlink" Target="https://www.taylormorrison.com/" TargetMode="External"/><Relationship Id="rId13761" Type="http://schemas.openxmlformats.org/officeDocument/2006/relationships/hyperlink" Target="https://optimisticmommy.com/4-versatile-must-have-accessories-for-women/" TargetMode="External"/><Relationship Id="rId14812" Type="http://schemas.openxmlformats.org/officeDocument/2006/relationships/hyperlink" Target="https://myinteriorpalace.com/" TargetMode="External"/><Relationship Id="rId3820" Type="http://schemas.openxmlformats.org/officeDocument/2006/relationships/hyperlink" Target="https://thecoverguy.com/" TargetMode="External"/><Relationship Id="rId9382" Type="http://schemas.openxmlformats.org/officeDocument/2006/relationships/hyperlink" Target="https://www.teachengineering.org/" TargetMode="External"/><Relationship Id="rId12363" Type="http://schemas.openxmlformats.org/officeDocument/2006/relationships/hyperlink" Target="https://propertypressonline.co.uk/" TargetMode="External"/><Relationship Id="rId13414" Type="http://schemas.openxmlformats.org/officeDocument/2006/relationships/hyperlink" Target="https://myinteriorpalace.com/" TargetMode="External"/><Relationship Id="rId741" Type="http://schemas.openxmlformats.org/officeDocument/2006/relationships/hyperlink" Target="https://www.carolinadesigns.com/" TargetMode="External"/><Relationship Id="rId1371" Type="http://schemas.openxmlformats.org/officeDocument/2006/relationships/hyperlink" Target="https://www.simpleshowing.com/" TargetMode="External"/><Relationship Id="rId2422" Type="http://schemas.openxmlformats.org/officeDocument/2006/relationships/hyperlink" Target="https://www.pulte.com/" TargetMode="External"/><Relationship Id="rId5992" Type="http://schemas.openxmlformats.org/officeDocument/2006/relationships/hyperlink" Target="https://www.simpleshowing.com/" TargetMode="External"/><Relationship Id="rId9035" Type="http://schemas.openxmlformats.org/officeDocument/2006/relationships/hyperlink" Target="https://learnlaughspeak.com/strategic-cost-planning-the-power-of-construction-estimation/" TargetMode="External"/><Relationship Id="rId12016" Type="http://schemas.openxmlformats.org/officeDocument/2006/relationships/hyperlink" Target="https://www.bobvila.com/" TargetMode="External"/><Relationship Id="rId15586" Type="http://schemas.openxmlformats.org/officeDocument/2006/relationships/hyperlink" Target="https://myinteriorpalace.com/" TargetMode="External"/><Relationship Id="rId1024" Type="http://schemas.openxmlformats.org/officeDocument/2006/relationships/hyperlink" Target="https://www.matrixbasements.com/" TargetMode="External"/><Relationship Id="rId4594" Type="http://schemas.openxmlformats.org/officeDocument/2006/relationships/hyperlink" Target="https://www.simpleshowing.com/" TargetMode="External"/><Relationship Id="rId5645" Type="http://schemas.openxmlformats.org/officeDocument/2006/relationships/hyperlink" Target="https://tucson.com/shopping/article_9b72c135-432f-577f-9a5b-b91ad84721c8.html" TargetMode="External"/><Relationship Id="rId14188" Type="http://schemas.openxmlformats.org/officeDocument/2006/relationships/hyperlink" Target="https://myinteriorpalace.com/" TargetMode="External"/><Relationship Id="rId15239" Type="http://schemas.openxmlformats.org/officeDocument/2006/relationships/hyperlink" Target="https://www.luxdeco.com/" TargetMode="External"/><Relationship Id="rId3196" Type="http://schemas.openxmlformats.org/officeDocument/2006/relationships/hyperlink" Target="https://www.pulte.com/" TargetMode="External"/><Relationship Id="rId4247" Type="http://schemas.openxmlformats.org/officeDocument/2006/relationships/hyperlink" Target="https://www.kapre.com/" TargetMode="External"/><Relationship Id="rId8868" Type="http://schemas.openxmlformats.org/officeDocument/2006/relationships/hyperlink" Target="https://www.pinoyeplans.com/" TargetMode="External"/><Relationship Id="rId9919" Type="http://schemas.openxmlformats.org/officeDocument/2006/relationships/hyperlink" Target="https://www.teachengineering.org/" TargetMode="External"/><Relationship Id="rId10798" Type="http://schemas.openxmlformats.org/officeDocument/2006/relationships/hyperlink" Target="https://www.teachengineering.org/" TargetMode="External"/><Relationship Id="rId11849" Type="http://schemas.openxmlformats.org/officeDocument/2006/relationships/hyperlink" Target="https://www.lifehack.org/481419/how-small-business-owners-can-strike-a-financially-viable-real-estate-deal" TargetMode="External"/><Relationship Id="rId15720" Type="http://schemas.openxmlformats.org/officeDocument/2006/relationships/hyperlink" Target="https://greenbuildingcanada.ca/sustainable-timber-internal-wall-cladding/" TargetMode="External"/><Relationship Id="rId1908" Type="http://schemas.openxmlformats.org/officeDocument/2006/relationships/hyperlink" Target="https://www.simpleshowing.com/" TargetMode="External"/><Relationship Id="rId13271" Type="http://schemas.openxmlformats.org/officeDocument/2006/relationships/hyperlink" Target="https://www.pureinvestor.co.uk/" TargetMode="External"/><Relationship Id="rId14322" Type="http://schemas.openxmlformats.org/officeDocument/2006/relationships/hyperlink" Target="https://www.instapaper.com/p/11555378/9" TargetMode="External"/><Relationship Id="rId251" Type="http://schemas.openxmlformats.org/officeDocument/2006/relationships/hyperlink" Target="http://prialto.com/" TargetMode="External"/><Relationship Id="rId3330" Type="http://schemas.openxmlformats.org/officeDocument/2006/relationships/hyperlink" Target="https://www.simpleshowing.com/" TargetMode="External"/><Relationship Id="rId7951" Type="http://schemas.openxmlformats.org/officeDocument/2006/relationships/hyperlink" Target="https://firstamericanroofing.com/blog/rubber-roof-repair/" TargetMode="External"/><Relationship Id="rId10932" Type="http://schemas.openxmlformats.org/officeDocument/2006/relationships/hyperlink" Target="https://www.pinoyeplans.com/" TargetMode="External"/><Relationship Id="rId6553" Type="http://schemas.openxmlformats.org/officeDocument/2006/relationships/hyperlink" Target="https://www.thermasol.com/" TargetMode="External"/><Relationship Id="rId7604" Type="http://schemas.openxmlformats.org/officeDocument/2006/relationships/hyperlink" Target="https://www.taylormorrison.com/" TargetMode="External"/><Relationship Id="rId15096" Type="http://schemas.openxmlformats.org/officeDocument/2006/relationships/hyperlink" Target="https://www.homestratosphere.com/should-your-coffee-table-wood-match-the-wood-floor-in-the-living-room/" TargetMode="External"/><Relationship Id="rId16147" Type="http://schemas.openxmlformats.org/officeDocument/2006/relationships/hyperlink" Target="https://myinteriorpalace.com/" TargetMode="External"/><Relationship Id="rId5155" Type="http://schemas.openxmlformats.org/officeDocument/2006/relationships/hyperlink" Target="https://www.nunify.com/blogs/virtual-workshop-ideas" TargetMode="External"/><Relationship Id="rId6206" Type="http://schemas.openxmlformats.org/officeDocument/2006/relationships/hyperlink" Target="https://www.simpleshowing.com/" TargetMode="External"/><Relationship Id="rId9776" Type="http://schemas.openxmlformats.org/officeDocument/2006/relationships/hyperlink" Target="https://sparkfuneducation.com/curriculum.html" TargetMode="External"/><Relationship Id="rId1765" Type="http://schemas.openxmlformats.org/officeDocument/2006/relationships/hyperlink" Target="https://wolfriverelectric.com/" TargetMode="External"/><Relationship Id="rId8378" Type="http://schemas.openxmlformats.org/officeDocument/2006/relationships/hyperlink" Target="https://www.pinoyeplans.com/" TargetMode="External"/><Relationship Id="rId9429" Type="http://schemas.openxmlformats.org/officeDocument/2006/relationships/hyperlink" Target="https://www.pinoyeplans.com/" TargetMode="External"/><Relationship Id="rId11359" Type="http://schemas.openxmlformats.org/officeDocument/2006/relationships/hyperlink" Target="https://connecthomebuyers.com/7-cash-buyers-for-homebuyers-to-consider-in-charlotte/" TargetMode="External"/><Relationship Id="rId12757" Type="http://schemas.openxmlformats.org/officeDocument/2006/relationships/hyperlink" Target="https://propertypressonline.co.uk/" TargetMode="External"/><Relationship Id="rId13808" Type="http://schemas.openxmlformats.org/officeDocument/2006/relationships/hyperlink" Target="https://anationofmoms.com/" TargetMode="External"/><Relationship Id="rId15230" Type="http://schemas.openxmlformats.org/officeDocument/2006/relationships/hyperlink" Target="https://www.luxdeco.com/" TargetMode="External"/><Relationship Id="rId1418" Type="http://schemas.openxmlformats.org/officeDocument/2006/relationships/hyperlink" Target="https://siit.co/guestposts/the-impact-of-a-kohler-shower-on-your-home/" TargetMode="External"/><Relationship Id="rId2816" Type="http://schemas.openxmlformats.org/officeDocument/2006/relationships/hyperlink" Target="https://www.englewoodchamber.com/events-news/events/2025-09-27-grand-opening-celebration-20" TargetMode="External"/><Relationship Id="rId4988" Type="http://schemas.openxmlformats.org/officeDocument/2006/relationships/hyperlink" Target="https://www.simpleshowing.com/" TargetMode="External"/><Relationship Id="rId9910" Type="http://schemas.openxmlformats.org/officeDocument/2006/relationships/hyperlink" Target="https://www.teachengineering.org/" TargetMode="External"/><Relationship Id="rId11840" Type="http://schemas.openxmlformats.org/officeDocument/2006/relationships/hyperlink" Target="https://www.eureporter.co/business-information/2025/01/16/after-a-better-than-expected-year-housing-market-outlooks-for-the-uk-are-positive/" TargetMode="External"/><Relationship Id="rId6063" Type="http://schemas.openxmlformats.org/officeDocument/2006/relationships/hyperlink" Target="https://sanantonioreport.org/money-problems-how-texans-can-get-out-of-debt-without-losing-their-minds-or-dignity-sponsored/" TargetMode="External"/><Relationship Id="rId7461" Type="http://schemas.openxmlformats.org/officeDocument/2006/relationships/hyperlink" Target="https://www.financialcontent.com/article/ibnspotlights-2023-4-20-taylor-morrison-home-corp-nyse-tmhc-climbs-to-new-52-week-high" TargetMode="External"/><Relationship Id="rId8512" Type="http://schemas.openxmlformats.org/officeDocument/2006/relationships/hyperlink" Target="https://farmhousekitchenandbath.com/blogs/news/why-hiring-a-3d-rendering-company-is-necessary-for-farmhouse-kitchen-planning" TargetMode="External"/><Relationship Id="rId10442" Type="http://schemas.openxmlformats.org/officeDocument/2006/relationships/hyperlink" Target="https://www.ms.uky.edu/~lee/outreach/outreach.html" TargetMode="External"/><Relationship Id="rId7114" Type="http://schemas.openxmlformats.org/officeDocument/2006/relationships/hyperlink" Target="https://www.orlandomagazine.com/best-of-orl-2022-home-shopping/" TargetMode="External"/><Relationship Id="rId13665" Type="http://schemas.openxmlformats.org/officeDocument/2006/relationships/hyperlink" Target="https://metromsk.com/the-prayer-mat-a-sacred-haven-for-peace-and-spiritual-connection/" TargetMode="External"/><Relationship Id="rId14716" Type="http://schemas.openxmlformats.org/officeDocument/2006/relationships/hyperlink" Target="https://myinteriorpalace.com/" TargetMode="External"/><Relationship Id="rId992" Type="http://schemas.openxmlformats.org/officeDocument/2006/relationships/hyperlink" Target="https://brewminate.com/how-interior-improvements-can-change-daily-life-at-home/" TargetMode="External"/><Relationship Id="rId2673" Type="http://schemas.openxmlformats.org/officeDocument/2006/relationships/hyperlink" Target="https://www.simpleshowing.com/" TargetMode="External"/><Relationship Id="rId3724" Type="http://schemas.openxmlformats.org/officeDocument/2006/relationships/hyperlink" Target="https://www.overheaddoors.com/" TargetMode="External"/><Relationship Id="rId9286" Type="http://schemas.openxmlformats.org/officeDocument/2006/relationships/hyperlink" Target="https://www.teachengineering.org/" TargetMode="External"/><Relationship Id="rId12267" Type="http://schemas.openxmlformats.org/officeDocument/2006/relationships/hyperlink" Target="https://propertypressonline.co.uk/" TargetMode="External"/><Relationship Id="rId13318" Type="http://schemas.openxmlformats.org/officeDocument/2006/relationships/hyperlink" Target="https://myinteriorpalace.com/" TargetMode="External"/><Relationship Id="rId645" Type="http://schemas.openxmlformats.org/officeDocument/2006/relationships/hyperlink" Target="https://www.carolinadesigns.com/" TargetMode="External"/><Relationship Id="rId1275" Type="http://schemas.openxmlformats.org/officeDocument/2006/relationships/hyperlink" Target="https://www.simpleshowing.com/" TargetMode="External"/><Relationship Id="rId2326" Type="http://schemas.openxmlformats.org/officeDocument/2006/relationships/hyperlink" Target="https://heatherlandhomes.com/" TargetMode="External"/><Relationship Id="rId5896" Type="http://schemas.openxmlformats.org/officeDocument/2006/relationships/hyperlink" Target="https://www.simpleshowing.com/" TargetMode="External"/><Relationship Id="rId6947" Type="http://schemas.openxmlformats.org/officeDocument/2006/relationships/hyperlink" Target="https://www.taylormorrison.com/" TargetMode="External"/><Relationship Id="rId4498" Type="http://schemas.openxmlformats.org/officeDocument/2006/relationships/hyperlink" Target="https://www.simpleshowing.com/" TargetMode="External"/><Relationship Id="rId5549" Type="http://schemas.openxmlformats.org/officeDocument/2006/relationships/hyperlink" Target="https://www.brightonsavoy.com.au/what-do-i-need-to-know-before-buying-an-engagement-ring/" TargetMode="External"/><Relationship Id="rId9420" Type="http://schemas.openxmlformats.org/officeDocument/2006/relationships/hyperlink" Target="https://www.pinoyeplans.com/" TargetMode="External"/><Relationship Id="rId8022" Type="http://schemas.openxmlformats.org/officeDocument/2006/relationships/hyperlink" Target="https://indyroofandrestoration.com/" TargetMode="External"/><Relationship Id="rId11350" Type="http://schemas.openxmlformats.org/officeDocument/2006/relationships/hyperlink" Target="https://mig.clubexpress.com/content.aspx?page_id=22&amp;club_id=760095&amp;module_id=360577" TargetMode="External"/><Relationship Id="rId12401" Type="http://schemas.openxmlformats.org/officeDocument/2006/relationships/hyperlink" Target="https://www.realyorkshireblog.com/post/why-you-should-consider-a-university-in-these-yorkshire-cities" TargetMode="External"/><Relationship Id="rId15971" Type="http://schemas.openxmlformats.org/officeDocument/2006/relationships/hyperlink" Target="https://www.rwdoors.com/" TargetMode="External"/><Relationship Id="rId11003" Type="http://schemas.openxmlformats.org/officeDocument/2006/relationships/hyperlink" Target="https://www.imsa.edu/academics/faculty/ashwin-mohan-ph-d/neuroai-research-project/outreach-and-publications/" TargetMode="External"/><Relationship Id="rId14573" Type="http://schemas.openxmlformats.org/officeDocument/2006/relationships/hyperlink" Target="https://www.easygaragedoorrepair.com/" TargetMode="External"/><Relationship Id="rId15624" Type="http://schemas.openxmlformats.org/officeDocument/2006/relationships/hyperlink" Target="https://threadsmonthly.com/diy-gift-ideas-for-women/" TargetMode="External"/><Relationship Id="rId3581" Type="http://schemas.openxmlformats.org/officeDocument/2006/relationships/hyperlink" Target="https://www.santaferealestate.com/listing-sold/202402148-42-avenida-colibri-santa-fe-nm-87508/" TargetMode="External"/><Relationship Id="rId4632" Type="http://schemas.openxmlformats.org/officeDocument/2006/relationships/hyperlink" Target="https://www.romper.com/p/where-did-arie-go-to-school-the-bachelor-has-always-been-passionate-about-racing-7776517" TargetMode="External"/><Relationship Id="rId13175" Type="http://schemas.openxmlformats.org/officeDocument/2006/relationships/hyperlink" Target="https://www.shma.co.uk/" TargetMode="External"/><Relationship Id="rId14226" Type="http://schemas.openxmlformats.org/officeDocument/2006/relationships/hyperlink" Target="https://www.mydearquotes.com/gambling-affiliate-programs-wildsino-portugal/" TargetMode="External"/><Relationship Id="rId2183" Type="http://schemas.openxmlformats.org/officeDocument/2006/relationships/hyperlink" Target="http://businesslistings.salemsurround.com/mark-spain-real-estate-alpharetta/" TargetMode="External"/><Relationship Id="rId3234" Type="http://schemas.openxmlformats.org/officeDocument/2006/relationships/hyperlink" Target="https://www.simpleshowing.com/" TargetMode="External"/><Relationship Id="rId7855" Type="http://schemas.openxmlformats.org/officeDocument/2006/relationships/hyperlink" Target="https://pmcommunities.com/selling-your-house-make-the-move-to-wescott-suwanee/" TargetMode="External"/><Relationship Id="rId8906" Type="http://schemas.openxmlformats.org/officeDocument/2006/relationships/hyperlink" Target="https://a-moz.groupbuyseo.org/case-studies/coalmarch" TargetMode="External"/><Relationship Id="rId155" Type="http://schemas.openxmlformats.org/officeDocument/2006/relationships/hyperlink" Target="https://www.heartworkorg.com/" TargetMode="External"/><Relationship Id="rId6457" Type="http://schemas.openxmlformats.org/officeDocument/2006/relationships/hyperlink" Target="https://www.thermasol.com/" TargetMode="External"/><Relationship Id="rId7508" Type="http://schemas.openxmlformats.org/officeDocument/2006/relationships/hyperlink" Target="https://www.taylormorrison.com/" TargetMode="External"/><Relationship Id="rId10836" Type="http://schemas.openxmlformats.org/officeDocument/2006/relationships/hyperlink" Target="https://www.pinoyeplans.com/" TargetMode="External"/><Relationship Id="rId5059" Type="http://schemas.openxmlformats.org/officeDocument/2006/relationships/hyperlink" Target="https://www.culturemonkey.io/employee-engagement/employee-wellness-challenges/" TargetMode="External"/><Relationship Id="rId14083" Type="http://schemas.openxmlformats.org/officeDocument/2006/relationships/hyperlink" Target="https://myinteriorpalace.com/" TargetMode="External"/><Relationship Id="rId15481" Type="http://schemas.openxmlformats.org/officeDocument/2006/relationships/hyperlink" Target="https://myinteriorpalace.com/" TargetMode="External"/><Relationship Id="rId1669" Type="http://schemas.openxmlformats.org/officeDocument/2006/relationships/hyperlink" Target="https://wolfriverelectric.com/" TargetMode="External"/><Relationship Id="rId3091" Type="http://schemas.openxmlformats.org/officeDocument/2006/relationships/hyperlink" Target="https://www.pulte.com/" TargetMode="External"/><Relationship Id="rId4142" Type="http://schemas.openxmlformats.org/officeDocument/2006/relationships/hyperlink" Target="https://www.wealthysinglemommy.com/quick-certifications-that-pay-well/" TargetMode="External"/><Relationship Id="rId5540" Type="http://schemas.openxmlformats.org/officeDocument/2006/relationships/hyperlink" Target="https://www.simpleshowing.com/" TargetMode="External"/><Relationship Id="rId15134" Type="http://schemas.openxmlformats.org/officeDocument/2006/relationships/hyperlink" Target="https://www.luxdeco.com/" TargetMode="External"/><Relationship Id="rId8763" Type="http://schemas.openxmlformats.org/officeDocument/2006/relationships/hyperlink" Target="https://propertychecker.com/" TargetMode="External"/><Relationship Id="rId9814" Type="http://schemas.openxmlformats.org/officeDocument/2006/relationships/hyperlink" Target="https://www.teachengineering.org/" TargetMode="External"/><Relationship Id="rId10693" Type="http://schemas.openxmlformats.org/officeDocument/2006/relationships/hyperlink" Target="https://www.teachengineering.org/" TargetMode="External"/><Relationship Id="rId11744" Type="http://schemas.openxmlformats.org/officeDocument/2006/relationships/hyperlink" Target="https://www.coventryobserver.co.uk/lifestyle/how-is-coventry-leading-the-way-with-sustainable-housing-projects-in-the-uk/" TargetMode="External"/><Relationship Id="rId28" Type="http://schemas.openxmlformats.org/officeDocument/2006/relationships/hyperlink" Target="http://www.supanet.com/" TargetMode="External"/><Relationship Id="rId1803" Type="http://schemas.openxmlformats.org/officeDocument/2006/relationships/hyperlink" Target="https://www.simpleshowing.com/" TargetMode="External"/><Relationship Id="rId7365" Type="http://schemas.openxmlformats.org/officeDocument/2006/relationships/hyperlink" Target="https://www.taylormorrison.com/" TargetMode="External"/><Relationship Id="rId8416" Type="http://schemas.openxmlformats.org/officeDocument/2006/relationships/hyperlink" Target="https://www.buddyprogram.org/gingerbreadhouse" TargetMode="External"/><Relationship Id="rId10346" Type="http://schemas.openxmlformats.org/officeDocument/2006/relationships/hyperlink" Target="https://algaeresearchsupply.com/pages/algae-lesson-links" TargetMode="External"/><Relationship Id="rId3975" Type="http://schemas.openxmlformats.org/officeDocument/2006/relationships/hyperlink" Target="https://www.simpleshowing.com/" TargetMode="External"/><Relationship Id="rId7018" Type="http://schemas.openxmlformats.org/officeDocument/2006/relationships/hyperlink" Target="https://www.simpleshowing.com/" TargetMode="External"/><Relationship Id="rId13569" Type="http://schemas.openxmlformats.org/officeDocument/2006/relationships/hyperlink" Target="https://thenakedchemist.com/cutibacterium-acnes-treatment/" TargetMode="External"/><Relationship Id="rId14967" Type="http://schemas.openxmlformats.org/officeDocument/2006/relationships/hyperlink" Target="https://www.rent.com/blog/decorating-ideas-in-a-700-square-foot-apartment/" TargetMode="External"/><Relationship Id="rId896" Type="http://schemas.openxmlformats.org/officeDocument/2006/relationships/hyperlink" Target="https://stage.searchaustinhomes.com/blog/cooling-temperatures-send-some-bugs-indoors/" TargetMode="External"/><Relationship Id="rId2577" Type="http://schemas.openxmlformats.org/officeDocument/2006/relationships/hyperlink" Target="https://www.simpleshowing.com/" TargetMode="External"/><Relationship Id="rId3628" Type="http://schemas.openxmlformats.org/officeDocument/2006/relationships/hyperlink" Target="https://www.pulte.com/" TargetMode="External"/><Relationship Id="rId16042" Type="http://schemas.openxmlformats.org/officeDocument/2006/relationships/hyperlink" Target="https://myinteriorpalace.com/" TargetMode="External"/><Relationship Id="rId549" Type="http://schemas.openxmlformats.org/officeDocument/2006/relationships/hyperlink" Target="https://www.carolinadesigns.com/" TargetMode="External"/><Relationship Id="rId1179" Type="http://schemas.openxmlformats.org/officeDocument/2006/relationships/hyperlink" Target="https://www.simpleshowing.com/" TargetMode="External"/><Relationship Id="rId5050" Type="http://schemas.openxmlformats.org/officeDocument/2006/relationships/hyperlink" Target="https://www.simpleshowing.com/" TargetMode="External"/><Relationship Id="rId6101" Type="http://schemas.openxmlformats.org/officeDocument/2006/relationships/hyperlink" Target="https://www.whatkatysaid.com/4-tips-to-improve-your-budgeting-skills/" TargetMode="External"/><Relationship Id="rId8273" Type="http://schemas.openxmlformats.org/officeDocument/2006/relationships/hyperlink" Target="https://www.pinoyeplans.com/" TargetMode="External"/><Relationship Id="rId9671" Type="http://schemas.openxmlformats.org/officeDocument/2006/relationships/hyperlink" Target="https://www.uen.org/pdtv/" TargetMode="External"/><Relationship Id="rId12652" Type="http://schemas.openxmlformats.org/officeDocument/2006/relationships/hyperlink" Target="https://propertypressonline.co.uk/" TargetMode="External"/><Relationship Id="rId13703" Type="http://schemas.openxmlformats.org/officeDocument/2006/relationships/hyperlink" Target="https://anationofmoms.com/" TargetMode="External"/><Relationship Id="rId1660" Type="http://schemas.openxmlformats.org/officeDocument/2006/relationships/hyperlink" Target="https://wolfriverelectric.com/" TargetMode="External"/><Relationship Id="rId2711" Type="http://schemas.openxmlformats.org/officeDocument/2006/relationships/hyperlink" Target="https://www.bgca.org/about-us/our-partners/pultegroup/" TargetMode="External"/><Relationship Id="rId9324" Type="http://schemas.openxmlformats.org/officeDocument/2006/relationships/hyperlink" Target="https://www.pinoyeplans.com/" TargetMode="External"/><Relationship Id="rId11254" Type="http://schemas.openxmlformats.org/officeDocument/2006/relationships/hyperlink" Target="https://www.talentedladiesclub.com/articles/restoration-services-a-lifesaver-in-crisis-situations/" TargetMode="External"/><Relationship Id="rId12305" Type="http://schemas.openxmlformats.org/officeDocument/2006/relationships/hyperlink" Target="https://www.inkl.com/news/how-higher-earners-can-sidestep-jeremy-hunt-s-tax-sinkhole" TargetMode="External"/><Relationship Id="rId15875" Type="http://schemas.openxmlformats.org/officeDocument/2006/relationships/hyperlink" Target="https://www.modinex.com.au/" TargetMode="External"/><Relationship Id="rId1313" Type="http://schemas.openxmlformats.org/officeDocument/2006/relationships/hyperlink" Target="https://tribulant.com/blog/business/6-tech-driven-solutions-transforming-real-estate-transactions/" TargetMode="External"/><Relationship Id="rId4883" Type="http://schemas.openxmlformats.org/officeDocument/2006/relationships/hyperlink" Target="https://darrylspeaks.com/how-and-when-to-build-a-next-level-real-estate-team/" TargetMode="External"/><Relationship Id="rId5934" Type="http://schemas.openxmlformats.org/officeDocument/2006/relationships/hyperlink" Target="https://www.simpleshowing.com/" TargetMode="External"/><Relationship Id="rId14477" Type="http://schemas.openxmlformats.org/officeDocument/2006/relationships/hyperlink" Target="https://raynordoor.com/" TargetMode="External"/><Relationship Id="rId15528" Type="http://schemas.openxmlformats.org/officeDocument/2006/relationships/hyperlink" Target="https://sena-homefurniture.co.uk/blog/modern-interior-design-best-tips-for-2021/" TargetMode="External"/><Relationship Id="rId3485" Type="http://schemas.openxmlformats.org/officeDocument/2006/relationships/hyperlink" Target="https://skyecanyon.com/press-releases/the-lights-go-on-at-skye-canyon-monday-mar-14-2016-with-community-entrance-monument-lighting/" TargetMode="External"/><Relationship Id="rId4536" Type="http://schemas.openxmlformats.org/officeDocument/2006/relationships/hyperlink" Target="https://www.wagmtv.com/2024/05/27/high-school-seniors-can-now-get-real-estate-license-free-this-state/" TargetMode="External"/><Relationship Id="rId13079" Type="http://schemas.openxmlformats.org/officeDocument/2006/relationships/hyperlink" Target="https://www.shma.co.uk/" TargetMode="External"/><Relationship Id="rId2087" Type="http://schemas.openxmlformats.org/officeDocument/2006/relationships/hyperlink" Target="https://www.atlantamagazine.com/homeandgarden/where-to-buy-now-in-metro-atlanta/" TargetMode="External"/><Relationship Id="rId3138" Type="http://schemas.openxmlformats.org/officeDocument/2006/relationships/hyperlink" Target="https://www.simpleshowing.com/" TargetMode="External"/><Relationship Id="rId7759" Type="http://schemas.openxmlformats.org/officeDocument/2006/relationships/hyperlink" Target="https://discoverlakelanier.com/" TargetMode="External"/><Relationship Id="rId9181" Type="http://schemas.openxmlformats.org/officeDocument/2006/relationships/hyperlink" Target="https://nycestimating.us/" TargetMode="External"/><Relationship Id="rId13560" Type="http://schemas.openxmlformats.org/officeDocument/2006/relationships/hyperlink" Target="https://nyc3.digitaloceanspaces.com/stub/plumber-adelaide/plumber-adelaide.html" TargetMode="External"/><Relationship Id="rId14611" Type="http://schemas.openxmlformats.org/officeDocument/2006/relationships/hyperlink" Target="https://myinteriorpalace.com/" TargetMode="External"/><Relationship Id="rId540" Type="http://schemas.openxmlformats.org/officeDocument/2006/relationships/hyperlink" Target="https://www.carolinadesigns.com/" TargetMode="External"/><Relationship Id="rId1170" Type="http://schemas.openxmlformats.org/officeDocument/2006/relationships/hyperlink" Target="https://www.simpleshowing.com/" TargetMode="External"/><Relationship Id="rId2221" Type="http://schemas.openxmlformats.org/officeDocument/2006/relationships/hyperlink" Target="https://www.tulsahomesforcash.com/" TargetMode="External"/><Relationship Id="rId12162" Type="http://schemas.openxmlformats.org/officeDocument/2006/relationships/hyperlink" Target="https://www.hamiltoninternationalestates.com/" TargetMode="External"/><Relationship Id="rId13213" Type="http://schemas.openxmlformats.org/officeDocument/2006/relationships/hyperlink" Target="https://propertypressonline.co.uk/" TargetMode="External"/><Relationship Id="rId5791" Type="http://schemas.openxmlformats.org/officeDocument/2006/relationships/hyperlink" Target="https://www.ncjustice.org/nc-senate-refuses-to-bring-bill-to-floor-that-protects-borrowers-from-abusive-debt-settlement-practices/" TargetMode="External"/><Relationship Id="rId6842" Type="http://schemas.openxmlformats.org/officeDocument/2006/relationships/hyperlink" Target="https://www.eastonparkatx.com/builder/taylor-morrison/" TargetMode="External"/><Relationship Id="rId15385" Type="http://schemas.openxmlformats.org/officeDocument/2006/relationships/hyperlink" Target="https://myinteriorpalace.com/" TargetMode="External"/><Relationship Id="rId4393" Type="http://schemas.openxmlformats.org/officeDocument/2006/relationships/hyperlink" Target="https://www.simpleshowing.com/" TargetMode="External"/><Relationship Id="rId5444" Type="http://schemas.openxmlformats.org/officeDocument/2006/relationships/hyperlink" Target="https://www.simpleshowing.com/" TargetMode="External"/><Relationship Id="rId11995" Type="http://schemas.openxmlformats.org/officeDocument/2006/relationships/hyperlink" Target="https://www.bobvila.com/" TargetMode="External"/><Relationship Id="rId15038" Type="http://schemas.openxmlformats.org/officeDocument/2006/relationships/hyperlink" Target="https://www.luxdeco.com/" TargetMode="External"/><Relationship Id="rId4046" Type="http://schemas.openxmlformats.org/officeDocument/2006/relationships/hyperlink" Target="https://www.kaplanfinancial.com/" TargetMode="External"/><Relationship Id="rId8667" Type="http://schemas.openxmlformats.org/officeDocument/2006/relationships/hyperlink" Target="https://perlelectrical.co.nz/" TargetMode="External"/><Relationship Id="rId9718" Type="http://schemas.openxmlformats.org/officeDocument/2006/relationships/hyperlink" Target="https://www.teachengineering.org/" TargetMode="External"/><Relationship Id="rId10597" Type="http://schemas.openxmlformats.org/officeDocument/2006/relationships/hyperlink" Target="https://www.teachengineering.org/" TargetMode="External"/><Relationship Id="rId11648" Type="http://schemas.openxmlformats.org/officeDocument/2006/relationships/hyperlink" Target="https://radiotoday.co.uk/2024/09/top-podcast-recommendations-to-help-you-navigate-the-complex-uk-housing-market/" TargetMode="External"/><Relationship Id="rId1707" Type="http://schemas.openxmlformats.org/officeDocument/2006/relationships/hyperlink" Target="https://www.simpleshowing.com/" TargetMode="External"/><Relationship Id="rId7269" Type="http://schemas.openxmlformats.org/officeDocument/2006/relationships/hyperlink" Target="https://www.taylormorrison.com/" TargetMode="External"/><Relationship Id="rId13070" Type="http://schemas.openxmlformats.org/officeDocument/2006/relationships/hyperlink" Target="https://www.shma.co.uk/" TargetMode="External"/><Relationship Id="rId14121" Type="http://schemas.openxmlformats.org/officeDocument/2006/relationships/hyperlink" Target="https://radical.fm/elevate-home-curb-appeal/" TargetMode="External"/><Relationship Id="rId3879" Type="http://schemas.openxmlformats.org/officeDocument/2006/relationships/hyperlink" Target="https://www.simpleshowing.com/" TargetMode="External"/><Relationship Id="rId6352" Type="http://schemas.openxmlformats.org/officeDocument/2006/relationships/hyperlink" Target="https://www.simpleshowing.com/" TargetMode="External"/><Relationship Id="rId7750" Type="http://schemas.openxmlformats.org/officeDocument/2006/relationships/hyperlink" Target="https://discoverlakelanier.com/" TargetMode="External"/><Relationship Id="rId8801" Type="http://schemas.openxmlformats.org/officeDocument/2006/relationships/hyperlink" Target="https://blog.itscovered.com/state-guides/tennessee-home-insurance-market" TargetMode="External"/><Relationship Id="rId10731" Type="http://schemas.openxmlformats.org/officeDocument/2006/relationships/hyperlink" Target="https://www.pinoyeplans.com/" TargetMode="External"/><Relationship Id="rId6005" Type="http://schemas.openxmlformats.org/officeDocument/2006/relationships/hyperlink" Target="https://www.expertlawfirm.com/debt-settlement-vs-legal-debt-solutions-understanding-your-options/" TargetMode="External"/><Relationship Id="rId7403" Type="http://schemas.openxmlformats.org/officeDocument/2006/relationships/hyperlink" Target="https://www.simpleshowing.com/" TargetMode="External"/><Relationship Id="rId13954" Type="http://schemas.openxmlformats.org/officeDocument/2006/relationships/hyperlink" Target="https://myinteriorpalace.com/" TargetMode="External"/><Relationship Id="rId2962" Type="http://schemas.openxmlformats.org/officeDocument/2006/relationships/hyperlink" Target="https://www.pulte.com/" TargetMode="External"/><Relationship Id="rId9575" Type="http://schemas.openxmlformats.org/officeDocument/2006/relationships/hyperlink" Target="https://spark.iop.org/properties-matter-home-experiments" TargetMode="External"/><Relationship Id="rId12556" Type="http://schemas.openxmlformats.org/officeDocument/2006/relationships/hyperlink" Target="https://propertypressonline.co.uk/" TargetMode="External"/><Relationship Id="rId13607" Type="http://schemas.openxmlformats.org/officeDocument/2006/relationships/hyperlink" Target="https://anationofmoms.com/" TargetMode="External"/><Relationship Id="rId934" Type="http://schemas.openxmlformats.org/officeDocument/2006/relationships/hyperlink" Target="https://www.matrixbasements.com/" TargetMode="External"/><Relationship Id="rId1564" Type="http://schemas.openxmlformats.org/officeDocument/2006/relationships/hyperlink" Target="https://wolfriverelectric.com/" TargetMode="External"/><Relationship Id="rId2615" Type="http://schemas.openxmlformats.org/officeDocument/2006/relationships/hyperlink" Target="https://www.myshortlister.com/zeamo-corporate-fitness-and-wellness-benefits/vendor-reviews" TargetMode="External"/><Relationship Id="rId8177" Type="http://schemas.openxmlformats.org/officeDocument/2006/relationships/hyperlink" Target="https://www.pinoyeplans.com/" TargetMode="External"/><Relationship Id="rId9228" Type="http://schemas.openxmlformats.org/officeDocument/2006/relationships/hyperlink" Target="https://www.pinoyeplans.com/" TargetMode="External"/><Relationship Id="rId11158" Type="http://schemas.openxmlformats.org/officeDocument/2006/relationships/hyperlink" Target="https://www.waterdamagespecialist.com.au/" TargetMode="External"/><Relationship Id="rId12209" Type="http://schemas.openxmlformats.org/officeDocument/2006/relationships/hyperlink" Target="https://pro.porch.com/near-me/deck-builders" TargetMode="External"/><Relationship Id="rId15779" Type="http://schemas.openxmlformats.org/officeDocument/2006/relationships/hyperlink" Target="https://www.modinex.com.au/" TargetMode="External"/><Relationship Id="rId1217" Type="http://schemas.openxmlformats.org/officeDocument/2006/relationships/hyperlink" Target="https://www.inkl.com/news/how-to-eliminate-empty-space-in-your-kitchen-9-expert-designer-solutions-our-editors-love" TargetMode="External"/><Relationship Id="rId4787" Type="http://schemas.openxmlformats.org/officeDocument/2006/relationships/hyperlink" Target="https://www.kapre.com/" TargetMode="External"/><Relationship Id="rId5838" Type="http://schemas.openxmlformats.org/officeDocument/2006/relationships/hyperlink" Target="https://www.simpleshowing.com/" TargetMode="External"/><Relationship Id="rId3389" Type="http://schemas.openxmlformats.org/officeDocument/2006/relationships/hyperlink" Target="https://www.fox10phoenix.com/news/booming-buckeye-figures-show-the-west-valley-city-was-the-fastest-growing-in-2018" TargetMode="External"/><Relationship Id="rId7260" Type="http://schemas.openxmlformats.org/officeDocument/2006/relationships/hyperlink" Target="https://www.taylormorrison.com/" TargetMode="External"/><Relationship Id="rId8311" Type="http://schemas.openxmlformats.org/officeDocument/2006/relationships/hyperlink" Target="https://betterbuilthomes.com.au/northwood-54-colour-selection/" TargetMode="External"/><Relationship Id="rId10241" Type="http://schemas.openxmlformats.org/officeDocument/2006/relationships/hyperlink" Target="https://iste.org/blog/Embed-literacy-into-STEM-projects" TargetMode="External"/><Relationship Id="rId14862" Type="http://schemas.openxmlformats.org/officeDocument/2006/relationships/hyperlink" Target="https://ahouseinthehills.com/guide-to-choosing-the-best-water-saving-appliances-for-your-home/" TargetMode="External"/><Relationship Id="rId15913" Type="http://schemas.openxmlformats.org/officeDocument/2006/relationships/hyperlink" Target="https://myinteriorpalace.com/" TargetMode="External"/><Relationship Id="rId3870" Type="http://schemas.openxmlformats.org/officeDocument/2006/relationships/hyperlink" Target="https://www.simpleshowing.com/" TargetMode="External"/><Relationship Id="rId4921" Type="http://schemas.openxmlformats.org/officeDocument/2006/relationships/hyperlink" Target="https://www.greenresidential.com/the-psychology-of-home-buyers-how-to-sell-your-home-faster/" TargetMode="External"/><Relationship Id="rId9085" Type="http://schemas.openxmlformats.org/officeDocument/2006/relationships/hyperlink" Target="https://nycestimating.us/" TargetMode="External"/><Relationship Id="rId13464" Type="http://schemas.openxmlformats.org/officeDocument/2006/relationships/hyperlink" Target="https://serpzilla.com/blog/write-for-us-fitness-blog/" TargetMode="External"/><Relationship Id="rId14515" Type="http://schemas.openxmlformats.org/officeDocument/2006/relationships/hyperlink" Target="https://myinteriorpalace.com/" TargetMode="External"/><Relationship Id="rId791" Type="http://schemas.openxmlformats.org/officeDocument/2006/relationships/hyperlink" Target="https://www.simpleshowing.com/" TargetMode="External"/><Relationship Id="rId1074" Type="http://schemas.openxmlformats.org/officeDocument/2006/relationships/hyperlink" Target="https://www.simpleshowing.com/" TargetMode="External"/><Relationship Id="rId2472" Type="http://schemas.openxmlformats.org/officeDocument/2006/relationships/hyperlink" Target="https://www.simpleshowing.com/" TargetMode="External"/><Relationship Id="rId3523" Type="http://schemas.openxmlformats.org/officeDocument/2006/relationships/hyperlink" Target="https://www.pulte.com/" TargetMode="External"/><Relationship Id="rId12066" Type="http://schemas.openxmlformats.org/officeDocument/2006/relationships/hyperlink" Target="https://www.hamiltoninternationalestates.com/" TargetMode="External"/><Relationship Id="rId13117" Type="http://schemas.openxmlformats.org/officeDocument/2006/relationships/hyperlink" Target="https://propertypressonline.co.uk/" TargetMode="External"/><Relationship Id="rId444" Type="http://schemas.openxmlformats.org/officeDocument/2006/relationships/hyperlink" Target="https://www.carolinadesigns.com/" TargetMode="External"/><Relationship Id="rId2125" Type="http://schemas.openxmlformats.org/officeDocument/2006/relationships/hyperlink" Target="https://markspain.com/" TargetMode="External"/><Relationship Id="rId5695" Type="http://schemas.openxmlformats.org/officeDocument/2006/relationships/hyperlink" Target="https://cuttingedgepr.com/articles/make-your-workers-aware-of-their-job-impact/" TargetMode="External"/><Relationship Id="rId6746" Type="http://schemas.openxmlformats.org/officeDocument/2006/relationships/hyperlink" Target="https://www.stjude.org/give/dream-home/atlanta.html" TargetMode="External"/><Relationship Id="rId15289" Type="http://schemas.openxmlformats.org/officeDocument/2006/relationships/hyperlink" Target="https://myinteriorpalace.com/" TargetMode="External"/><Relationship Id="rId4297" Type="http://schemas.openxmlformats.org/officeDocument/2006/relationships/hyperlink" Target="https://www.simpleshowing.com/" TargetMode="External"/><Relationship Id="rId5348" Type="http://schemas.openxmlformats.org/officeDocument/2006/relationships/hyperlink" Target="https://www.simpleshowing.com/" TargetMode="External"/><Relationship Id="rId9969" Type="http://schemas.openxmlformats.org/officeDocument/2006/relationships/hyperlink" Target="https://www.pinoyeplans.com/" TargetMode="External"/><Relationship Id="rId12200" Type="http://schemas.openxmlformats.org/officeDocument/2006/relationships/hyperlink" Target="https://www.lemonade.com/renters/explained/landlord-insurance-vs-renters-insurance/" TargetMode="External"/><Relationship Id="rId11899" Type="http://schemas.openxmlformats.org/officeDocument/2006/relationships/hyperlink" Target="https://www.bobvila.com/" TargetMode="External"/><Relationship Id="rId14372" Type="http://schemas.openxmlformats.org/officeDocument/2006/relationships/hyperlink" Target="https://luxurylifestyle.com/" TargetMode="External"/><Relationship Id="rId15770" Type="http://schemas.openxmlformats.org/officeDocument/2006/relationships/hyperlink" Target="https://www.modinex.com.au/" TargetMode="External"/><Relationship Id="rId1958" Type="http://schemas.openxmlformats.org/officeDocument/2006/relationships/hyperlink" Target="https://www.techsmartinfo.com/data-driven-real-estate/" TargetMode="External"/><Relationship Id="rId3380" Type="http://schemas.openxmlformats.org/officeDocument/2006/relationships/hyperlink" Target="https://www.test.carpentersworkshopgallery.com/job/pultegroup-commercial-escrow-officer-pgp-title-0ep3-9meci.html" TargetMode="External"/><Relationship Id="rId4431" Type="http://schemas.openxmlformats.org/officeDocument/2006/relationships/hyperlink" Target="https://riclexel.substack.com/p/me-myself-and-i" TargetMode="External"/><Relationship Id="rId14025" Type="http://schemas.openxmlformats.org/officeDocument/2006/relationships/hyperlink" Target="https://moneyinc.com/outdoor-elegance-on-a-budget-affordable-ways-to-enhance-and-preserve-your-homes-exterior-charm/" TargetMode="External"/><Relationship Id="rId15423" Type="http://schemas.openxmlformats.org/officeDocument/2006/relationships/hyperlink" Target="https://luxurysociety.com/en/the-latest-digital-baselworld-zegna-ferrari/" TargetMode="External"/><Relationship Id="rId3033" Type="http://schemas.openxmlformats.org/officeDocument/2006/relationships/hyperlink" Target="https://www.simpleshowing.com/" TargetMode="External"/><Relationship Id="rId10982" Type="http://schemas.openxmlformats.org/officeDocument/2006/relationships/hyperlink" Target="https://journals.iucr.org/j/issues/2023/05/00/gj5304/" TargetMode="External"/><Relationship Id="rId7654" Type="http://schemas.openxmlformats.org/officeDocument/2006/relationships/hyperlink" Target="https://www.simpleshowing.com/" TargetMode="External"/><Relationship Id="rId8705" Type="http://schemas.openxmlformats.org/officeDocument/2006/relationships/hyperlink" Target="https://www.pinoyeplans.com/" TargetMode="External"/><Relationship Id="rId10635" Type="http://schemas.openxmlformats.org/officeDocument/2006/relationships/hyperlink" Target="https://www.pinoyeplans.com/" TargetMode="External"/><Relationship Id="rId16197" Type="http://schemas.openxmlformats.org/officeDocument/2006/relationships/hyperlink" Target="https://carolineondesign.com/how-to-choose-cut-pile-vs-loop-pile-carpet-2/" TargetMode="External"/><Relationship Id="rId6256" Type="http://schemas.openxmlformats.org/officeDocument/2006/relationships/hyperlink" Target="https://www.simpleshowing.com/" TargetMode="External"/><Relationship Id="rId7307" Type="http://schemas.openxmlformats.org/officeDocument/2006/relationships/hyperlink" Target="https://www.mountdora.com/list/member/yardly-mount-dora-2345" TargetMode="External"/><Relationship Id="rId13858" Type="http://schemas.openxmlformats.org/officeDocument/2006/relationships/hyperlink" Target="https://myinteriorpalace.com/" TargetMode="External"/><Relationship Id="rId2866" Type="http://schemas.openxmlformats.org/officeDocument/2006/relationships/hyperlink" Target="https://www.pulte.com/" TargetMode="External"/><Relationship Id="rId3917" Type="http://schemas.openxmlformats.org/officeDocument/2006/relationships/hyperlink" Target="https://www.mavaquadoc.com/blogs/hot-tub-maintenance-blog/hot-tub-cover-lifespan-when-and-how-to-replace-it" TargetMode="External"/><Relationship Id="rId9479" Type="http://schemas.openxmlformats.org/officeDocument/2006/relationships/hyperlink" Target="https://www.nvcc.edu/academics/divisions/iet/systemic/outreach.html" TargetMode="External"/><Relationship Id="rId14909" Type="http://schemas.openxmlformats.org/officeDocument/2006/relationships/hyperlink" Target="https://www.fluidplumbingservices.com.au/" TargetMode="External"/><Relationship Id="rId15280" Type="http://schemas.openxmlformats.org/officeDocument/2006/relationships/hyperlink" Target="https://myinteriorpalace.com/" TargetMode="External"/><Relationship Id="rId838" Type="http://schemas.openxmlformats.org/officeDocument/2006/relationships/hyperlink" Target="https://www.absolutepestmgmt.com/" TargetMode="External"/><Relationship Id="rId1468" Type="http://schemas.openxmlformats.org/officeDocument/2006/relationships/hyperlink" Target="https://ritewindow.com/blog/3-indicators-its-time-to-upgrade-your-shower-or-bath/" TargetMode="External"/><Relationship Id="rId2519" Type="http://schemas.openxmlformats.org/officeDocument/2006/relationships/hyperlink" Target="https://www.southeasterngc.com/model-homes-virtual-tours/" TargetMode="External"/><Relationship Id="rId8562" Type="http://schemas.openxmlformats.org/officeDocument/2006/relationships/hyperlink" Target="https://www.cylind.com/" TargetMode="External"/><Relationship Id="rId9960" Type="http://schemas.openxmlformats.org/officeDocument/2006/relationships/hyperlink" Target="https://www.pinoyeplans.com/" TargetMode="External"/><Relationship Id="rId11890" Type="http://schemas.openxmlformats.org/officeDocument/2006/relationships/hyperlink" Target="https://www.bobvila.com/" TargetMode="External"/><Relationship Id="rId12941" Type="http://schemas.openxmlformats.org/officeDocument/2006/relationships/hyperlink" Target="https://www.shma.co.uk/" TargetMode="External"/><Relationship Id="rId7164" Type="http://schemas.openxmlformats.org/officeDocument/2006/relationships/hyperlink" Target="https://homebuildersassociationofcentralarizona.growthzoneapp.com/member-directory/Details/taylor-morrison-arizona-inc-1617737" TargetMode="External"/><Relationship Id="rId8215" Type="http://schemas.openxmlformats.org/officeDocument/2006/relationships/hyperlink" Target="https://blog.zamstudios.com/what-are-reinforcing-renderings-and-why-are-they-essential-in-modern-architecture/" TargetMode="External"/><Relationship Id="rId9613" Type="http://schemas.openxmlformats.org/officeDocument/2006/relationships/hyperlink" Target="https://www.teachengineering.org/" TargetMode="External"/><Relationship Id="rId10492" Type="http://schemas.openxmlformats.org/officeDocument/2006/relationships/hyperlink" Target="https://www.teachengineering.org/" TargetMode="External"/><Relationship Id="rId11543" Type="http://schemas.openxmlformats.org/officeDocument/2006/relationships/hyperlink" Target="https://www.hamiltoninternationalestates.com/" TargetMode="External"/><Relationship Id="rId1602" Type="http://schemas.openxmlformats.org/officeDocument/2006/relationships/hyperlink" Target="https://www.simpleshowing.com/" TargetMode="External"/><Relationship Id="rId10145" Type="http://schemas.openxmlformats.org/officeDocument/2006/relationships/hyperlink" Target="https://engineeringmanagementinstitute.org/tsec-70-lessons-learned-from-our-top-10-structural-engineering-episodes/" TargetMode="External"/><Relationship Id="rId14766" Type="http://schemas.openxmlformats.org/officeDocument/2006/relationships/hyperlink" Target="http://galvestonchamber.chambermaster.com/list/member/easy-garage-door-repair-17700" TargetMode="External"/><Relationship Id="rId15817" Type="http://schemas.openxmlformats.org/officeDocument/2006/relationships/hyperlink" Target="https://myinteriorpalace.com/" TargetMode="External"/><Relationship Id="rId3774" Type="http://schemas.openxmlformats.org/officeDocument/2006/relationships/hyperlink" Target="https://www.simpleshowing.com/" TargetMode="External"/><Relationship Id="rId4825" Type="http://schemas.openxmlformats.org/officeDocument/2006/relationships/hyperlink" Target="https://www.simpleshowing.com/" TargetMode="External"/><Relationship Id="rId13368" Type="http://schemas.openxmlformats.org/officeDocument/2006/relationships/hyperlink" Target="https://ledesthetics.com/blogs/news/best-fsa-eligible-red-light-therapy-mask" TargetMode="External"/><Relationship Id="rId14419" Type="http://schemas.openxmlformats.org/officeDocument/2006/relationships/hyperlink" Target="https://myinteriorpalace.com/" TargetMode="External"/><Relationship Id="rId695" Type="http://schemas.openxmlformats.org/officeDocument/2006/relationships/hyperlink" Target="https://www.simpleshowing.com/" TargetMode="External"/><Relationship Id="rId2376" Type="http://schemas.openxmlformats.org/officeDocument/2006/relationships/hyperlink" Target="https://www.simpleshowing.com/" TargetMode="External"/><Relationship Id="rId3427" Type="http://schemas.openxmlformats.org/officeDocument/2006/relationships/hyperlink" Target="https://www.pulte.com/" TargetMode="External"/><Relationship Id="rId6997" Type="http://schemas.openxmlformats.org/officeDocument/2006/relationships/hyperlink" Target="https://www.simpleshowing.com/" TargetMode="External"/><Relationship Id="rId348" Type="http://schemas.openxmlformats.org/officeDocument/2006/relationships/hyperlink" Target="http://northernvirginiahomepro.com/" TargetMode="External"/><Relationship Id="rId2029" Type="http://schemas.openxmlformats.org/officeDocument/2006/relationships/hyperlink" Target="https://markspain.com/" TargetMode="External"/><Relationship Id="rId5599" Type="http://schemas.openxmlformats.org/officeDocument/2006/relationships/hyperlink" Target="https://makemoneywithoutajob.com/getting-more-car-for-your-money/" TargetMode="External"/><Relationship Id="rId9470" Type="http://schemas.openxmlformats.org/officeDocument/2006/relationships/hyperlink" Target="https://www.edweek.org/teaching-learning/opinion-the-search-for-real-world-stem-problems/2017/07" TargetMode="External"/><Relationship Id="rId14900" Type="http://schemas.openxmlformats.org/officeDocument/2006/relationships/hyperlink" Target="https://www.fluidplumbingservices.com.au/" TargetMode="External"/><Relationship Id="rId2510" Type="http://schemas.openxmlformats.org/officeDocument/2006/relationships/hyperlink" Target="https://business.manateechamber.com/list/category/contractors-builders-and-developers-1663" TargetMode="External"/><Relationship Id="rId8072" Type="http://schemas.openxmlformats.org/officeDocument/2006/relationships/hyperlink" Target="https://www.pinoyeplans.com/" TargetMode="External"/><Relationship Id="rId9123" Type="http://schemas.openxmlformats.org/officeDocument/2006/relationships/hyperlink" Target="https://www.pinoyeplans.com/" TargetMode="External"/><Relationship Id="rId11053" Type="http://schemas.openxmlformats.org/officeDocument/2006/relationships/hyperlink" Target="https://www.teachengineering.org/" TargetMode="External"/><Relationship Id="rId12104" Type="http://schemas.openxmlformats.org/officeDocument/2006/relationships/hyperlink" Target="https://bloomboxclub.com/blogs/news/aloe-vera-plant-care-how-to-grow-them-benefits-and-care-tips" TargetMode="External"/><Relationship Id="rId12451" Type="http://schemas.openxmlformats.org/officeDocument/2006/relationships/hyperlink" Target="https://sturents.com/" TargetMode="External"/><Relationship Id="rId13502" Type="http://schemas.openxmlformats.org/officeDocument/2006/relationships/hyperlink" Target="https://anationofmoms.com/" TargetMode="External"/><Relationship Id="rId1112" Type="http://schemas.openxmlformats.org/officeDocument/2006/relationships/hyperlink" Target="https://www.partnerbase.com/matrix-basement-systems" TargetMode="External"/><Relationship Id="rId15674" Type="http://schemas.openxmlformats.org/officeDocument/2006/relationships/hyperlink" Target="https://www.luxdeco.com/" TargetMode="External"/><Relationship Id="rId3284" Type="http://schemas.openxmlformats.org/officeDocument/2006/relationships/hyperlink" Target="https://www.phillymag.com/2017/09/29/what-500k-will-buy-you-in-warminster/" TargetMode="External"/><Relationship Id="rId4682" Type="http://schemas.openxmlformats.org/officeDocument/2006/relationships/hyperlink" Target="https://www.kapre.com/" TargetMode="External"/><Relationship Id="rId5733" Type="http://schemas.openxmlformats.org/officeDocument/2006/relationships/hyperlink" Target="https://www.alore.io/blog/growth-pe" TargetMode="External"/><Relationship Id="rId14276" Type="http://schemas.openxmlformats.org/officeDocument/2006/relationships/hyperlink" Target="https://luxurylifestyle.com/" TargetMode="External"/><Relationship Id="rId15327" Type="http://schemas.openxmlformats.org/officeDocument/2006/relationships/hyperlink" Target="https://www.ft.com/content/714a2d24-4e82-46de-88b7-c1b708fb80f4" TargetMode="External"/><Relationship Id="rId4335" Type="http://schemas.openxmlformats.org/officeDocument/2006/relationships/hyperlink" Target="https://pro-reed.com/2025/01/11/real-estate-101-what-you-need-to-know/" TargetMode="External"/><Relationship Id="rId8956" Type="http://schemas.openxmlformats.org/officeDocument/2006/relationships/hyperlink" Target="https://nycestimating.us/" TargetMode="External"/><Relationship Id="rId10886" Type="http://schemas.openxmlformats.org/officeDocument/2006/relationships/hyperlink" Target="https://www.nextgov.com/emerging-tech/2017/10/secretly-wish-you-could-be-invisible-science-getting-close/141954/?oref=ng-next-story" TargetMode="External"/><Relationship Id="rId11937" Type="http://schemas.openxmlformats.org/officeDocument/2006/relationships/hyperlink" Target="https://www.hamiltoninternationalestates.com/" TargetMode="External"/><Relationship Id="rId7558" Type="http://schemas.openxmlformats.org/officeDocument/2006/relationships/hyperlink" Target="https://www.simpleshowing.com/" TargetMode="External"/><Relationship Id="rId8609" Type="http://schemas.openxmlformats.org/officeDocument/2006/relationships/hyperlink" Target="https://www.pinoyeplans.com/" TargetMode="External"/><Relationship Id="rId10539" Type="http://schemas.openxmlformats.org/officeDocument/2006/relationships/hyperlink" Target="https://www.pinoyeplans.com/" TargetMode="External"/><Relationship Id="rId14410" Type="http://schemas.openxmlformats.org/officeDocument/2006/relationships/hyperlink" Target="https://myinteriorpalace.com/" TargetMode="External"/><Relationship Id="rId13012" Type="http://schemas.openxmlformats.org/officeDocument/2006/relationships/hyperlink" Target="https://propertypressonline.co.uk/" TargetMode="External"/><Relationship Id="rId2020" Type="http://schemas.openxmlformats.org/officeDocument/2006/relationships/hyperlink" Target="https://markspain.com/" TargetMode="External"/><Relationship Id="rId5590" Type="http://schemas.openxmlformats.org/officeDocument/2006/relationships/hyperlink" Target="https://www.simpleshowing.com/" TargetMode="External"/><Relationship Id="rId6641" Type="http://schemas.openxmlformats.org/officeDocument/2006/relationships/hyperlink" Target="https://www.thermasol.com/" TargetMode="External"/><Relationship Id="rId15184" Type="http://schemas.openxmlformats.org/officeDocument/2006/relationships/hyperlink" Target="https://myinteriorpalace.com/" TargetMode="External"/><Relationship Id="rId16235" Type="http://schemas.openxmlformats.org/officeDocument/2006/relationships/hyperlink" Target="https://www.unitedcarpetsandbeds.com/" TargetMode="External"/><Relationship Id="rId4192" Type="http://schemas.openxmlformats.org/officeDocument/2006/relationships/hyperlink" Target="https://www.simpleshowing.com/" TargetMode="External"/><Relationship Id="rId5243" Type="http://schemas.openxmlformats.org/officeDocument/2006/relationships/hyperlink" Target="https://www.withconfetti.com/blog/post/cross-generational-team-building-when-20-somethings-and-50-somethings-build-together" TargetMode="External"/><Relationship Id="rId9864" Type="http://schemas.openxmlformats.org/officeDocument/2006/relationships/hyperlink" Target="https://www.pinoyeplans.com/" TargetMode="External"/><Relationship Id="rId11794" Type="http://schemas.openxmlformats.org/officeDocument/2006/relationships/hyperlink" Target="https://sellhousefast.uk/" TargetMode="External"/><Relationship Id="rId12845" Type="http://schemas.openxmlformats.org/officeDocument/2006/relationships/hyperlink" Target="https://www.shma.co.uk/" TargetMode="External"/><Relationship Id="rId78" Type="http://schemas.openxmlformats.org/officeDocument/2006/relationships/hyperlink" Target="http://erikchristianjohnson.com/" TargetMode="External"/><Relationship Id="rId1853" Type="http://schemas.openxmlformats.org/officeDocument/2006/relationships/hyperlink" Target="https://1027kord.com/ixp/137/p/washington-energy-efficiency/" TargetMode="External"/><Relationship Id="rId2904" Type="http://schemas.openxmlformats.org/officeDocument/2006/relationships/hyperlink" Target="https://www.simpleshowing.com/" TargetMode="External"/><Relationship Id="rId7068" Type="http://schemas.openxmlformats.org/officeDocument/2006/relationships/hyperlink" Target="https://www.sumgrowth.com/stock-profile/invest-in-TMHC-stock.html" TargetMode="External"/><Relationship Id="rId8119" Type="http://schemas.openxmlformats.org/officeDocument/2006/relationships/hyperlink" Target="https://test.smartcanucks.ca/?t=202609714" TargetMode="External"/><Relationship Id="rId8466" Type="http://schemas.openxmlformats.org/officeDocument/2006/relationships/hyperlink" Target="https://www.cylind.com/" TargetMode="External"/><Relationship Id="rId9517" Type="http://schemas.openxmlformats.org/officeDocument/2006/relationships/hyperlink" Target="https://www.teachengineering.org/" TargetMode="External"/><Relationship Id="rId10396" Type="http://schemas.openxmlformats.org/officeDocument/2006/relationships/hyperlink" Target="https://www.teachengineering.org/" TargetMode="External"/><Relationship Id="rId11447" Type="http://schemas.openxmlformats.org/officeDocument/2006/relationships/hyperlink" Target="https://www.hamiltoninternationalestates.com/" TargetMode="External"/><Relationship Id="rId1506" Type="http://schemas.openxmlformats.org/officeDocument/2006/relationships/hyperlink" Target="https://www.simpleshowing.com/" TargetMode="External"/><Relationship Id="rId10049" Type="http://schemas.openxmlformats.org/officeDocument/2006/relationships/hyperlink" Target="https://www.ilpi.com/msds/ref/viscosity.html" TargetMode="External"/><Relationship Id="rId3678" Type="http://schemas.openxmlformats.org/officeDocument/2006/relationships/hyperlink" Target="https://www.simpleshowing.com/" TargetMode="External"/><Relationship Id="rId4729" Type="http://schemas.openxmlformats.org/officeDocument/2006/relationships/hyperlink" Target="https://www.simpleshowing.com/" TargetMode="External"/><Relationship Id="rId8600" Type="http://schemas.openxmlformats.org/officeDocument/2006/relationships/hyperlink" Target="https://www.pinoyeplans.com/" TargetMode="External"/><Relationship Id="rId16092" Type="http://schemas.openxmlformats.org/officeDocument/2006/relationships/hyperlink" Target="https://can.ezilon.com/canada/business/industrial_goods_and_services/industrial_equipment/industrial_doors/index.shtml" TargetMode="External"/><Relationship Id="rId599" Type="http://schemas.openxmlformats.org/officeDocument/2006/relationships/hyperlink" Target="https://www.simpleshowing.com/" TargetMode="External"/><Relationship Id="rId6151" Type="http://schemas.openxmlformats.org/officeDocument/2006/relationships/hyperlink" Target="https://rachelbustin.com/personal-finance/avoiding-the-risks-of-debt-settlement/" TargetMode="External"/><Relationship Id="rId7202" Type="http://schemas.openxmlformats.org/officeDocument/2006/relationships/hyperlink" Target="https://www.c21edge.com/property/24-O6217512-4672-Ackee-Road-Kissimmee-FL-34758/" TargetMode="External"/><Relationship Id="rId10530" Type="http://schemas.openxmlformats.org/officeDocument/2006/relationships/hyperlink" Target="https://www.pinoyeplans.com/" TargetMode="External"/><Relationship Id="rId9374" Type="http://schemas.openxmlformats.org/officeDocument/2006/relationships/hyperlink" Target="https://www.scouts.ca/resources/activity-finder/newspaper-towers.html" TargetMode="External"/><Relationship Id="rId13753" Type="http://schemas.openxmlformats.org/officeDocument/2006/relationships/hyperlink" Target="https://myinteriorpalace.com/" TargetMode="External"/><Relationship Id="rId14804" Type="http://schemas.openxmlformats.org/officeDocument/2006/relationships/hyperlink" Target="https://www.easygaragedoorrepair.com/" TargetMode="External"/><Relationship Id="rId1363" Type="http://schemas.openxmlformats.org/officeDocument/2006/relationships/hyperlink" Target="https://darscover.com/" TargetMode="External"/><Relationship Id="rId2761" Type="http://schemas.openxmlformats.org/officeDocument/2006/relationships/hyperlink" Target="https://www.pulte.com/" TargetMode="External"/><Relationship Id="rId3812" Type="http://schemas.openxmlformats.org/officeDocument/2006/relationships/hyperlink" Target="https://useactive.com/how-long-does-it-take-a-hot-tub-to-heat-up/" TargetMode="External"/><Relationship Id="rId9027" Type="http://schemas.openxmlformats.org/officeDocument/2006/relationships/hyperlink" Target="https://www.pinoyeplans.com/" TargetMode="External"/><Relationship Id="rId12355" Type="http://schemas.openxmlformats.org/officeDocument/2006/relationships/hyperlink" Target="https://sturents.com/" TargetMode="External"/><Relationship Id="rId13406" Type="http://schemas.openxmlformats.org/officeDocument/2006/relationships/hyperlink" Target="https://anationofmoms.com/" TargetMode="External"/><Relationship Id="rId733" Type="http://schemas.openxmlformats.org/officeDocument/2006/relationships/hyperlink" Target="https://www.toolify.ai/ai-news/innovation-for-all-how-diverse-sectors-are-leveraging-intelligent-tools-to-drive-growth-3880246" TargetMode="External"/><Relationship Id="rId1016" Type="http://schemas.openxmlformats.org/officeDocument/2006/relationships/hyperlink" Target="https://whipperberry.com/entertaining-at-home/" TargetMode="External"/><Relationship Id="rId2414" Type="http://schemas.openxmlformats.org/officeDocument/2006/relationships/hyperlink" Target="https://wellenpark.com/neighborhood/lakespur/available-homes/" TargetMode="External"/><Relationship Id="rId5984" Type="http://schemas.openxmlformats.org/officeDocument/2006/relationships/hyperlink" Target="https://www.simpleshowing.com/" TargetMode="External"/><Relationship Id="rId12008" Type="http://schemas.openxmlformats.org/officeDocument/2006/relationships/hyperlink" Target="https://eforms.com/employment/independent-contractor/handyman/" TargetMode="External"/><Relationship Id="rId15578" Type="http://schemas.openxmlformats.org/officeDocument/2006/relationships/hyperlink" Target="https://www.luxdeco.com/" TargetMode="External"/><Relationship Id="rId4586" Type="http://schemas.openxmlformats.org/officeDocument/2006/relationships/hyperlink" Target="https://www.kapre.com/" TargetMode="External"/><Relationship Id="rId5637" Type="http://schemas.openxmlformats.org/officeDocument/2006/relationships/hyperlink" Target="https://www.paystubhero.com/who-claims-child-on-taxes-with-50-50-custody/" TargetMode="External"/><Relationship Id="rId3188" Type="http://schemas.openxmlformats.org/officeDocument/2006/relationships/hyperlink" Target="https://www.ascii.co.uk/animated-art/home-sweet-home-house-animated-ascii-art-by-pulte-homes.html" TargetMode="External"/><Relationship Id="rId4239" Type="http://schemas.openxmlformats.org/officeDocument/2006/relationships/hyperlink" Target="https://www.quiz-maker.com/cp-np-hardest-real-estate-exam" TargetMode="External"/><Relationship Id="rId8110" Type="http://schemas.openxmlformats.org/officeDocument/2006/relationships/hyperlink" Target="http://directory.about.us/usdir/private/?&amp;p=266" TargetMode="External"/><Relationship Id="rId10040" Type="http://schemas.openxmlformats.org/officeDocument/2006/relationships/hyperlink" Target="https://itp.nyu.edu/physcomp/labs/lab-using-a-rotary-encoder/" TargetMode="External"/><Relationship Id="rId14661" Type="http://schemas.openxmlformats.org/officeDocument/2006/relationships/hyperlink" Target="https://www.sweetsofties.com/2025/06/10-services-you-will-need-in-case-of-house-issues-in-houston-essential-solutions-for-homeowners.html" TargetMode="External"/><Relationship Id="rId4720" Type="http://schemas.openxmlformats.org/officeDocument/2006/relationships/hyperlink" Target="https://www.simpleshowing.com/" TargetMode="External"/><Relationship Id="rId13263" Type="http://schemas.openxmlformats.org/officeDocument/2006/relationships/hyperlink" Target="https://novaramedia.com/2022/10/11/developer-landlords-are-trying-to-take-over-liverpool/" TargetMode="External"/><Relationship Id="rId14314" Type="http://schemas.openxmlformats.org/officeDocument/2006/relationships/hyperlink" Target="https://myinteriorpalace.com/" TargetMode="External"/><Relationship Id="rId15712" Type="http://schemas.openxmlformats.org/officeDocument/2006/relationships/hyperlink" Target="https://myinteriorpalace.com/" TargetMode="External"/><Relationship Id="rId590" Type="http://schemas.openxmlformats.org/officeDocument/2006/relationships/hyperlink" Target="https://www.simpleshowing.com/" TargetMode="External"/><Relationship Id="rId2271" Type="http://schemas.openxmlformats.org/officeDocument/2006/relationships/hyperlink" Target="https://www.simpleshowing.com/" TargetMode="External"/><Relationship Id="rId3322" Type="http://schemas.openxmlformats.org/officeDocument/2006/relationships/hyperlink" Target="https://www.pulte.com/" TargetMode="External"/><Relationship Id="rId243" Type="http://schemas.openxmlformats.org/officeDocument/2006/relationships/hyperlink" Target="http://northernvirginiahomepro.com/" TargetMode="External"/><Relationship Id="rId5494" Type="http://schemas.openxmlformats.org/officeDocument/2006/relationships/hyperlink" Target="https://www.simpleshowing.com/" TargetMode="External"/><Relationship Id="rId6892" Type="http://schemas.openxmlformats.org/officeDocument/2006/relationships/hyperlink" Target="https://www.taylormorrison.com/" TargetMode="External"/><Relationship Id="rId7943" Type="http://schemas.openxmlformats.org/officeDocument/2006/relationships/hyperlink" Target="https://www.pinoyeplans.com/" TargetMode="External"/><Relationship Id="rId10924" Type="http://schemas.openxmlformats.org/officeDocument/2006/relationships/hyperlink" Target="https://www.teachengineering.org/" TargetMode="External"/><Relationship Id="rId15088" Type="http://schemas.openxmlformats.org/officeDocument/2006/relationships/hyperlink" Target="https://myinteriorpalace.com/" TargetMode="External"/><Relationship Id="rId4096" Type="http://schemas.openxmlformats.org/officeDocument/2006/relationships/hyperlink" Target="https://www.simpleshowing.com/" TargetMode="External"/><Relationship Id="rId5147" Type="http://schemas.openxmlformats.org/officeDocument/2006/relationships/hyperlink" Target="https://www.kiplinger.com/personal-finance/a-beginners-guide-to-building-wealth-in-10-years" TargetMode="External"/><Relationship Id="rId6545" Type="http://schemas.openxmlformats.org/officeDocument/2006/relationships/hyperlink" Target="https://www.thermasol.com/" TargetMode="External"/><Relationship Id="rId16139" Type="http://schemas.openxmlformats.org/officeDocument/2006/relationships/hyperlink" Target="https://www.unitedcarpetsandbeds.com/" TargetMode="External"/><Relationship Id="rId9768" Type="http://schemas.openxmlformats.org/officeDocument/2006/relationships/hyperlink" Target="https://www.pinoyeplans.com/" TargetMode="External"/><Relationship Id="rId11698" Type="http://schemas.openxmlformats.org/officeDocument/2006/relationships/hyperlink" Target="https://sellhousefast.uk/" TargetMode="External"/><Relationship Id="rId12749" Type="http://schemas.openxmlformats.org/officeDocument/2006/relationships/hyperlink" Target="https://www.shma.co.uk/" TargetMode="External"/><Relationship Id="rId1757" Type="http://schemas.openxmlformats.org/officeDocument/2006/relationships/hyperlink" Target="https://liteonline.com/ixp/95/p/alert-wildfire-season-is-open-this-week-in-idaho/" TargetMode="External"/><Relationship Id="rId2808" Type="http://schemas.openxmlformats.org/officeDocument/2006/relationships/hyperlink" Target="https://www.simpleshowing.com/" TargetMode="External"/><Relationship Id="rId14171" Type="http://schemas.openxmlformats.org/officeDocument/2006/relationships/hyperlink" Target="https://luxurylifestyle.com/" TargetMode="External"/><Relationship Id="rId15222" Type="http://schemas.openxmlformats.org/officeDocument/2006/relationships/hyperlink" Target="https://emmareed.net/5-ways-to-marble-to-your-home-for-a-timeless-look/" TargetMode="External"/><Relationship Id="rId4230" Type="http://schemas.openxmlformats.org/officeDocument/2006/relationships/hyperlink" Target="https://inboundrem.com/become-real-estate-agent-kentucky/" TargetMode="External"/><Relationship Id="rId8851" Type="http://schemas.openxmlformats.org/officeDocument/2006/relationships/hyperlink" Target="https://www.trianglepest.com/" TargetMode="External"/><Relationship Id="rId7453" Type="http://schemas.openxmlformats.org/officeDocument/2006/relationships/hyperlink" Target="https://www.simpleshowing.com/" TargetMode="External"/><Relationship Id="rId8504" Type="http://schemas.openxmlformats.org/officeDocument/2006/relationships/hyperlink" Target="https://www.pinoyeplans.com/" TargetMode="External"/><Relationship Id="rId9902" Type="http://schemas.openxmlformats.org/officeDocument/2006/relationships/hyperlink" Target="https://www.keystonetutors.com/news/engineering-super-curricular-activities" TargetMode="External"/><Relationship Id="rId10781" Type="http://schemas.openxmlformats.org/officeDocument/2006/relationships/hyperlink" Target="https://blog.quizalize.com/2021/04/08/earth-day-classroom-resources/" TargetMode="External"/><Relationship Id="rId11832" Type="http://schemas.openxmlformats.org/officeDocument/2006/relationships/hyperlink" Target="https://www.hamiltoninternationalestates.com/" TargetMode="External"/><Relationship Id="rId6055" Type="http://schemas.openxmlformats.org/officeDocument/2006/relationships/hyperlink" Target="https://nomadisbeautiful.com/travel-blogs/how-to-manage-your-finances-as-a-digital-nomad/" TargetMode="External"/><Relationship Id="rId7106" Type="http://schemas.openxmlformats.org/officeDocument/2006/relationships/hyperlink" Target="https://houstonagentmagazine.com/2023/05/25/bonterra-at-woodforest-near-full-close-out/" TargetMode="External"/><Relationship Id="rId10434" Type="http://schemas.openxmlformats.org/officeDocument/2006/relationships/hyperlink" Target="https://www.pinoyeplans.com/" TargetMode="External"/><Relationship Id="rId9278" Type="http://schemas.openxmlformats.org/officeDocument/2006/relationships/hyperlink" Target="https://inventorsoftomorrow.com/build-a-simple-rube-goldberg/" TargetMode="External"/><Relationship Id="rId13657" Type="http://schemas.openxmlformats.org/officeDocument/2006/relationships/hyperlink" Target="https://myinteriorpalace.com/" TargetMode="External"/><Relationship Id="rId14708" Type="http://schemas.openxmlformats.org/officeDocument/2006/relationships/hyperlink" Target="https://www.easygaragedoorrepair.com/" TargetMode="External"/><Relationship Id="rId984" Type="http://schemas.openxmlformats.org/officeDocument/2006/relationships/hyperlink" Target="https://www.simpleshowing.com/" TargetMode="External"/><Relationship Id="rId2665" Type="http://schemas.openxmlformats.org/officeDocument/2006/relationships/hyperlink" Target="https://www.pulte.com/" TargetMode="External"/><Relationship Id="rId3716" Type="http://schemas.openxmlformats.org/officeDocument/2006/relationships/hyperlink" Target="https://bestlifeonline.com/mudroom-ideas/" TargetMode="External"/><Relationship Id="rId12259" Type="http://schemas.openxmlformats.org/officeDocument/2006/relationships/hyperlink" Target="https://marrons.co.uk/" TargetMode="External"/><Relationship Id="rId16130" Type="http://schemas.openxmlformats.org/officeDocument/2006/relationships/hyperlink" Target="https://www.unitedcarpetsandbeds.com/" TargetMode="External"/><Relationship Id="rId637" Type="http://schemas.openxmlformats.org/officeDocument/2006/relationships/hyperlink" Target="https://www.ranktracker.com/blog/6-industries-that-are-ripe-for-seo-disruption/" TargetMode="External"/><Relationship Id="rId1267" Type="http://schemas.openxmlformats.org/officeDocument/2006/relationships/hyperlink" Target="https://darscover.com/" TargetMode="External"/><Relationship Id="rId2318" Type="http://schemas.openxmlformats.org/officeDocument/2006/relationships/hyperlink" Target="https://tripinfoapp.herokuapp.com/shopping/ga" TargetMode="External"/><Relationship Id="rId5888" Type="http://schemas.openxmlformats.org/officeDocument/2006/relationships/hyperlink" Target="https://www.simpleshowing.com/" TargetMode="External"/><Relationship Id="rId6939" Type="http://schemas.openxmlformats.org/officeDocument/2006/relationships/hyperlink" Target="https://www.naics.com/company-profile-page/?co=14150" TargetMode="External"/><Relationship Id="rId8361" Type="http://schemas.openxmlformats.org/officeDocument/2006/relationships/hyperlink" Target="https://australiansecurecapital.com.au/" TargetMode="External"/><Relationship Id="rId9412" Type="http://schemas.openxmlformats.org/officeDocument/2006/relationships/hyperlink" Target="https://www.teachengineering.org/" TargetMode="External"/><Relationship Id="rId10291" Type="http://schemas.openxmlformats.org/officeDocument/2006/relationships/hyperlink" Target="https://www.teachengineering.org/" TargetMode="External"/><Relationship Id="rId11342" Type="http://schemas.openxmlformats.org/officeDocument/2006/relationships/hyperlink" Target="http://webuyhouses.com/" TargetMode="External"/><Relationship Id="rId12740" Type="http://schemas.openxmlformats.org/officeDocument/2006/relationships/hyperlink" Target="https://www.shma.co.uk/" TargetMode="External"/><Relationship Id="rId1401" Type="http://schemas.openxmlformats.org/officeDocument/2006/relationships/hyperlink" Target="https://www.simpleshowing.com/" TargetMode="External"/><Relationship Id="rId8014" Type="http://schemas.openxmlformats.org/officeDocument/2006/relationships/hyperlink" Target="https://marketingsherpa.com/article/how-to/test" TargetMode="External"/><Relationship Id="rId15963" Type="http://schemas.openxmlformats.org/officeDocument/2006/relationships/hyperlink" Target="https://nerdbot.com/2025/08/13/modern-doors-with-lasting-value-the-perfect-blend-of-style-strength-and-functionality/" TargetMode="External"/><Relationship Id="rId3573" Type="http://schemas.openxmlformats.org/officeDocument/2006/relationships/hyperlink" Target="https://www.simpleshowing.com/" TargetMode="External"/><Relationship Id="rId4971" Type="http://schemas.openxmlformats.org/officeDocument/2006/relationships/hyperlink" Target="https://old.sermitsiaq.ag/en/rental-listing-description-template.html" TargetMode="External"/><Relationship Id="rId13167" Type="http://schemas.openxmlformats.org/officeDocument/2006/relationships/hyperlink" Target="https://www.lawcareers.net/Explore/Diary/7914-05-07-2022-QA-Recruitment-takeover" TargetMode="External"/><Relationship Id="rId14565" Type="http://schemas.openxmlformats.org/officeDocument/2006/relationships/hyperlink" Target="https://randylemmon.com/7-best-garage-door-repair-companies-in-houston-texas/" TargetMode="External"/><Relationship Id="rId15616" Type="http://schemas.openxmlformats.org/officeDocument/2006/relationships/hyperlink" Target="https://myinteriorpalace.com/" TargetMode="External"/><Relationship Id="rId494" Type="http://schemas.openxmlformats.org/officeDocument/2006/relationships/hyperlink" Target="https://www.simpleshowing.com/" TargetMode="External"/><Relationship Id="rId2175" Type="http://schemas.openxmlformats.org/officeDocument/2006/relationships/hyperlink" Target="https://www.simpleshowing.com/" TargetMode="External"/><Relationship Id="rId3226" Type="http://schemas.openxmlformats.org/officeDocument/2006/relationships/hyperlink" Target="https://www.pulte.com/" TargetMode="External"/><Relationship Id="rId4624" Type="http://schemas.openxmlformats.org/officeDocument/2006/relationships/hyperlink" Target="https://www.simpleshowing.com/" TargetMode="External"/><Relationship Id="rId14218" Type="http://schemas.openxmlformats.org/officeDocument/2006/relationships/hyperlink" Target="https://myinteriorpalace.com/" TargetMode="External"/><Relationship Id="rId147" Type="http://schemas.openxmlformats.org/officeDocument/2006/relationships/hyperlink" Target="https://www.homie.com/" TargetMode="External"/><Relationship Id="rId6796" Type="http://schemas.openxmlformats.org/officeDocument/2006/relationships/hyperlink" Target="https://www.taylormorrison.com/" TargetMode="External"/><Relationship Id="rId7847" Type="http://schemas.openxmlformats.org/officeDocument/2006/relationships/hyperlink" Target="https://www.simpleshowing.com/" TargetMode="External"/><Relationship Id="rId10828" Type="http://schemas.openxmlformats.org/officeDocument/2006/relationships/hyperlink" Target="https://www.teachengineering.org/" TargetMode="External"/><Relationship Id="rId5398" Type="http://schemas.openxmlformats.org/officeDocument/2006/relationships/hyperlink" Target="https://www.simpleshowing.com/" TargetMode="External"/><Relationship Id="rId6449" Type="http://schemas.openxmlformats.org/officeDocument/2006/relationships/hyperlink" Target="https://www.thermasol.com/" TargetMode="External"/><Relationship Id="rId12250" Type="http://schemas.openxmlformats.org/officeDocument/2006/relationships/hyperlink" Target="https://marrons.co.uk/" TargetMode="External"/><Relationship Id="rId13301" Type="http://schemas.openxmlformats.org/officeDocument/2006/relationships/hyperlink" Target="https://a1floorsnc.com/" TargetMode="External"/><Relationship Id="rId6930" Type="http://schemas.openxmlformats.org/officeDocument/2006/relationships/hyperlink" Target="https://www.nwf.org/Magazines/National-Wildlife/2020/April-May/Gardening/Taylor-Morrison" TargetMode="External"/><Relationship Id="rId15473" Type="http://schemas.openxmlformats.org/officeDocument/2006/relationships/hyperlink" Target="https://www.luxdeco.com/" TargetMode="External"/><Relationship Id="rId4481" Type="http://schemas.openxmlformats.org/officeDocument/2006/relationships/hyperlink" Target="https://www.kapre.com/" TargetMode="External"/><Relationship Id="rId5532" Type="http://schemas.openxmlformats.org/officeDocument/2006/relationships/hyperlink" Target="https://www.simpleshowing.com/" TargetMode="External"/><Relationship Id="rId14075" Type="http://schemas.openxmlformats.org/officeDocument/2006/relationships/hyperlink" Target="https://keystonecustomdecksny.com/" TargetMode="External"/><Relationship Id="rId15126" Type="http://schemas.openxmlformats.org/officeDocument/2006/relationships/hyperlink" Target="https://livada-casino.com/loranocarter-qatar/" TargetMode="External"/><Relationship Id="rId3083" Type="http://schemas.openxmlformats.org/officeDocument/2006/relationships/hyperlink" Target="https://www.lyft.com/rider/routes/336-main-to-river-hill-ridge-by-pulte-homes" TargetMode="External"/><Relationship Id="rId4134" Type="http://schemas.openxmlformats.org/officeDocument/2006/relationships/hyperlink" Target="https://www.inspectionsupport.com/the-best-online-courses-for-home-inspectors/" TargetMode="External"/><Relationship Id="rId7357" Type="http://schemas.openxmlformats.org/officeDocument/2006/relationships/hyperlink" Target="https://www.globalconstructionreview.com/44-of-our-staff-are-female-so-every-week-is-women-in-construction-week/" TargetMode="External"/><Relationship Id="rId8408" Type="http://schemas.openxmlformats.org/officeDocument/2006/relationships/hyperlink" Target="https://www.pinoyeplans.com/" TargetMode="External"/><Relationship Id="rId8755" Type="http://schemas.openxmlformats.org/officeDocument/2006/relationships/hyperlink" Target="https://www.agencyheight.com/selling-your-home-insurance-considerations-before-you-close/" TargetMode="External"/><Relationship Id="rId9806" Type="http://schemas.openxmlformats.org/officeDocument/2006/relationships/hyperlink" Target="https://www.donnaisd.net/about-us/departments/energy-management/home" TargetMode="External"/><Relationship Id="rId10685" Type="http://schemas.openxmlformats.org/officeDocument/2006/relationships/hyperlink" Target="https://www.infento.com/blog/staying-at-home/" TargetMode="External"/><Relationship Id="rId11736" Type="http://schemas.openxmlformats.org/officeDocument/2006/relationships/hyperlink" Target="https://www.hamiltoninternationalestates.com/" TargetMode="External"/><Relationship Id="rId10338" Type="http://schemas.openxmlformats.org/officeDocument/2006/relationships/hyperlink" Target="https://www.pinoyeplans.com/" TargetMode="External"/><Relationship Id="rId14959" Type="http://schemas.openxmlformats.org/officeDocument/2006/relationships/hyperlink" Target="https://myinteriorpalace.com/" TargetMode="External"/><Relationship Id="rId3967" Type="http://schemas.openxmlformats.org/officeDocument/2006/relationships/hyperlink" Target="https://www.smartsolarenergyco.com/" TargetMode="External"/><Relationship Id="rId4" Type="http://schemas.openxmlformats.org/officeDocument/2006/relationships/hyperlink" Target="https://homebriefings.com/top-10-3d-exterior-rendering-services-according-to-experts/" TargetMode="External"/><Relationship Id="rId888" Type="http://schemas.openxmlformats.org/officeDocument/2006/relationships/hyperlink" Target="https://www.simpleshowing.com/" TargetMode="External"/><Relationship Id="rId2569" Type="http://schemas.openxmlformats.org/officeDocument/2006/relationships/hyperlink" Target="https://www.pulte.com/" TargetMode="External"/><Relationship Id="rId6440" Type="http://schemas.openxmlformats.org/officeDocument/2006/relationships/hyperlink" Target="https://www.thermasol.com/" TargetMode="External"/><Relationship Id="rId16034" Type="http://schemas.openxmlformats.org/officeDocument/2006/relationships/hyperlink" Target="https://www.rwdoors.com/" TargetMode="External"/><Relationship Id="rId5042" Type="http://schemas.openxmlformats.org/officeDocument/2006/relationships/hyperlink" Target="https://www.simpleshowing.com/" TargetMode="External"/><Relationship Id="rId9663" Type="http://schemas.openxmlformats.org/officeDocument/2006/relationships/hyperlink" Target="https://www.pinoyeplans.com/" TargetMode="External"/><Relationship Id="rId12991" Type="http://schemas.openxmlformats.org/officeDocument/2006/relationships/hyperlink" Target="https://propertypressonline.co.uk/" TargetMode="External"/><Relationship Id="rId1652" Type="http://schemas.openxmlformats.org/officeDocument/2006/relationships/hyperlink" Target="https://techbuzzireland.com/2025/06/06/5-green-initiatives-every-business-should-implement/" TargetMode="External"/><Relationship Id="rId8265" Type="http://schemas.openxmlformats.org/officeDocument/2006/relationships/hyperlink" Target="https://www.zestlighting.com.au/" TargetMode="External"/><Relationship Id="rId9316" Type="http://schemas.openxmlformats.org/officeDocument/2006/relationships/hyperlink" Target="https://www.teachengineering.org/" TargetMode="External"/><Relationship Id="rId10195" Type="http://schemas.openxmlformats.org/officeDocument/2006/relationships/hyperlink" Target="https://www.teachengineering.org/" TargetMode="External"/><Relationship Id="rId11246" Type="http://schemas.openxmlformats.org/officeDocument/2006/relationships/hyperlink" Target="https://www.waterdamagespecialist.com.au/" TargetMode="External"/><Relationship Id="rId11593" Type="http://schemas.openxmlformats.org/officeDocument/2006/relationships/hyperlink" Target="https://sellhousefast.uk/" TargetMode="External"/><Relationship Id="rId12644" Type="http://schemas.openxmlformats.org/officeDocument/2006/relationships/hyperlink" Target="https://www.shma.co.uk/" TargetMode="External"/><Relationship Id="rId1305" Type="http://schemas.openxmlformats.org/officeDocument/2006/relationships/hyperlink" Target="https://www.simpleshowing.com/" TargetMode="External"/><Relationship Id="rId2703" Type="http://schemas.openxmlformats.org/officeDocument/2006/relationships/hyperlink" Target="https://www.simpleshowing.com/" TargetMode="External"/><Relationship Id="rId15867" Type="http://schemas.openxmlformats.org/officeDocument/2006/relationships/hyperlink" Target="https://s3da-design.com/guest-contribution/the-role-of-exterior-cladding-in-construction-and-architecture/" TargetMode="External"/><Relationship Id="rId4875" Type="http://schemas.openxmlformats.org/officeDocument/2006/relationships/hyperlink" Target="https://www.uprinting.com/blog/signs-and-banners-statistics/" TargetMode="External"/><Relationship Id="rId5926" Type="http://schemas.openxmlformats.org/officeDocument/2006/relationships/hyperlink" Target="https://www.simpleshowing.com/" TargetMode="External"/><Relationship Id="rId14469" Type="http://schemas.openxmlformats.org/officeDocument/2006/relationships/hyperlink" Target="https://reviews.birdeye.com/raynor-door-company-356062448" TargetMode="External"/><Relationship Id="rId11" Type="http://schemas.openxmlformats.org/officeDocument/2006/relationships/hyperlink" Target="https://cove.inc/blog/7-ways-shadow-studies-impact-building-design" TargetMode="External"/><Relationship Id="rId398" Type="http://schemas.openxmlformats.org/officeDocument/2006/relationships/hyperlink" Target="http://northernvirginiahomepro.com/" TargetMode="External"/><Relationship Id="rId2079" Type="http://schemas.openxmlformats.org/officeDocument/2006/relationships/hyperlink" Target="https://www.simpleshowing.com/" TargetMode="External"/><Relationship Id="rId3477" Type="http://schemas.openxmlformats.org/officeDocument/2006/relationships/hyperlink" Target="https://www.simpleshowing.com/" TargetMode="External"/><Relationship Id="rId4528" Type="http://schemas.openxmlformats.org/officeDocument/2006/relationships/hyperlink" Target="https://www.simpleshowing.com/" TargetMode="External"/><Relationship Id="rId7001" Type="http://schemas.openxmlformats.org/officeDocument/2006/relationships/hyperlink" Target="https://www.taylormorrison.com/" TargetMode="External"/><Relationship Id="rId13552" Type="http://schemas.openxmlformats.org/officeDocument/2006/relationships/hyperlink" Target="https://myinteriorpalace.com/" TargetMode="External"/><Relationship Id="rId14603" Type="http://schemas.openxmlformats.org/officeDocument/2006/relationships/hyperlink" Target="https://www.easygaragedoorrepair.com/" TargetMode="External"/><Relationship Id="rId14950" Type="http://schemas.openxmlformats.org/officeDocument/2006/relationships/hyperlink" Target="https://myinteriorpalace.com/" TargetMode="External"/><Relationship Id="rId2560" Type="http://schemas.openxmlformats.org/officeDocument/2006/relationships/hyperlink" Target="https://www.pulte.com/" TargetMode="External"/><Relationship Id="rId3611" Type="http://schemas.openxmlformats.org/officeDocument/2006/relationships/hyperlink" Target="https://sofiahealth.com/states/fl/sarasota-springs/wellness-coach/" TargetMode="External"/><Relationship Id="rId9173" Type="http://schemas.openxmlformats.org/officeDocument/2006/relationships/hyperlink" Target="https://digitalnewsalerts.org/learn-how-estimating-is-a-critical-component-of-effective-project-planning/" TargetMode="External"/><Relationship Id="rId12154" Type="http://schemas.openxmlformats.org/officeDocument/2006/relationships/hyperlink" Target="https://www.bobvila.com/" TargetMode="External"/><Relationship Id="rId13205" Type="http://schemas.openxmlformats.org/officeDocument/2006/relationships/hyperlink" Target="https://www.shma.co.uk/" TargetMode="External"/><Relationship Id="rId532" Type="http://schemas.openxmlformats.org/officeDocument/2006/relationships/hyperlink" Target="https://www.educba.com/solo-travel/" TargetMode="External"/><Relationship Id="rId1162" Type="http://schemas.openxmlformats.org/officeDocument/2006/relationships/hyperlink" Target="https://www.matrixbasements.com/" TargetMode="External"/><Relationship Id="rId2213" Type="http://schemas.openxmlformats.org/officeDocument/2006/relationships/hyperlink" Target="https://www.lorddecor.com/blog/mixing-modern-and-rustic-how-to-balance-comfort-with-clean-lines" TargetMode="External"/><Relationship Id="rId5783" Type="http://schemas.openxmlformats.org/officeDocument/2006/relationships/hyperlink" Target="https://hevodata.com/learn/financial-data-science/" TargetMode="External"/><Relationship Id="rId15377" Type="http://schemas.openxmlformats.org/officeDocument/2006/relationships/hyperlink" Target="https://www.luxdeco.com/" TargetMode="External"/><Relationship Id="rId4385" Type="http://schemas.openxmlformats.org/officeDocument/2006/relationships/hyperlink" Target="https://www.kapre.com/" TargetMode="External"/><Relationship Id="rId5436" Type="http://schemas.openxmlformats.org/officeDocument/2006/relationships/hyperlink" Target="https://www.simpleshowing.com/" TargetMode="External"/><Relationship Id="rId6834" Type="http://schemas.openxmlformats.org/officeDocument/2006/relationships/hyperlink" Target="https://www.simpleshowing.com/" TargetMode="External"/><Relationship Id="rId4038" Type="http://schemas.openxmlformats.org/officeDocument/2006/relationships/hyperlink" Target="https://www.simpleshowing.com/" TargetMode="External"/><Relationship Id="rId11987" Type="http://schemas.openxmlformats.org/officeDocument/2006/relationships/hyperlink" Target="https://carex.com/" TargetMode="External"/><Relationship Id="rId8659" Type="http://schemas.openxmlformats.org/officeDocument/2006/relationships/hyperlink" Target="https://www.apsense.com/user/perlelectrical" TargetMode="External"/><Relationship Id="rId10589" Type="http://schemas.openxmlformats.org/officeDocument/2006/relationships/hyperlink" Target="https://assist.asta.edu.au/resource/2744/great-gravity-escape" TargetMode="External"/><Relationship Id="rId14460" Type="http://schemas.openxmlformats.org/officeDocument/2006/relationships/hyperlink" Target="https://myinteriorpalace.com/how-modern-garage-doors-blend-style-safety-and-convenience/" TargetMode="External"/><Relationship Id="rId15511" Type="http://schemas.openxmlformats.org/officeDocument/2006/relationships/hyperlink" Target="https://myinteriorpalace.com/" TargetMode="External"/><Relationship Id="rId13062" Type="http://schemas.openxmlformats.org/officeDocument/2006/relationships/hyperlink" Target="https://content.yudu.com/libraryHtml/A438io/EastMidlandsChamberD/141.html" TargetMode="External"/><Relationship Id="rId14113" Type="http://schemas.openxmlformats.org/officeDocument/2006/relationships/hyperlink" Target="https://myinteriorpalace.com/" TargetMode="External"/><Relationship Id="rId2070" Type="http://schemas.openxmlformats.org/officeDocument/2006/relationships/hyperlink" Target="https://www.simpleshowing.com/" TargetMode="External"/><Relationship Id="rId3121" Type="http://schemas.openxmlformats.org/officeDocument/2006/relationships/hyperlink" Target="https://www.pulte.com/" TargetMode="External"/><Relationship Id="rId6691" Type="http://schemas.openxmlformats.org/officeDocument/2006/relationships/hyperlink" Target="https://www.eplanters.com/blog/" TargetMode="External"/><Relationship Id="rId7742" Type="http://schemas.openxmlformats.org/officeDocument/2006/relationships/hyperlink" Target="https://www.tenantbase.com/atlanta/" TargetMode="External"/><Relationship Id="rId5293" Type="http://schemas.openxmlformats.org/officeDocument/2006/relationships/hyperlink" Target="https://www.credenceresearch.com/report/debt-settlement-market" TargetMode="External"/><Relationship Id="rId6344" Type="http://schemas.openxmlformats.org/officeDocument/2006/relationships/hyperlink" Target="https://www.simpleshowing.com/" TargetMode="External"/><Relationship Id="rId10723" Type="http://schemas.openxmlformats.org/officeDocument/2006/relationships/hyperlink" Target="https://www.teachengineering.org/" TargetMode="External"/><Relationship Id="rId9567" Type="http://schemas.openxmlformats.org/officeDocument/2006/relationships/hyperlink" Target="https://www.pinoyeplans.com/" TargetMode="External"/><Relationship Id="rId12895" Type="http://schemas.openxmlformats.org/officeDocument/2006/relationships/hyperlink" Target="https://propertypressonline.co.uk/" TargetMode="External"/><Relationship Id="rId13946" Type="http://schemas.openxmlformats.org/officeDocument/2006/relationships/hyperlink" Target="https://faheyroofingcontractors.com/" TargetMode="External"/><Relationship Id="rId2954" Type="http://schemas.openxmlformats.org/officeDocument/2006/relationships/hyperlink" Target="https://www.dailybulletin.com/2021/09/12/best-of-inland-empire-2021-best-new-home-builder/" TargetMode="External"/><Relationship Id="rId8169" Type="http://schemas.openxmlformats.org/officeDocument/2006/relationships/hyperlink" Target="https://smaarchviz.com/" TargetMode="External"/><Relationship Id="rId11497" Type="http://schemas.openxmlformats.org/officeDocument/2006/relationships/hyperlink" Target="https://www.bellway.co.uk/your-nest/topic/inspiration/10-best-yorkshire-commuter-towns" TargetMode="External"/><Relationship Id="rId12548" Type="http://schemas.openxmlformats.org/officeDocument/2006/relationships/hyperlink" Target="https://www.shma.co.uk/" TargetMode="External"/><Relationship Id="rId926" Type="http://schemas.openxmlformats.org/officeDocument/2006/relationships/hyperlink" Target="https://www.milwaukeeadmirals.com/team/corporate-partners/" TargetMode="External"/><Relationship Id="rId1556" Type="http://schemas.openxmlformats.org/officeDocument/2006/relationships/hyperlink" Target="https://981thehawk.com/summer-power-outages-new-york/" TargetMode="External"/><Relationship Id="rId2607" Type="http://schemas.openxmlformats.org/officeDocument/2006/relationships/hyperlink" Target="https://www.simpleshowing.com/" TargetMode="External"/><Relationship Id="rId10099" Type="http://schemas.openxmlformats.org/officeDocument/2006/relationships/hyperlink" Target="https://www.teachengineering.org/" TargetMode="External"/><Relationship Id="rId15021" Type="http://schemas.openxmlformats.org/officeDocument/2006/relationships/hyperlink" Target="https://www.giftex.in/exhibition/a-guide-to-timeless-elegance-in-furniture/" TargetMode="External"/><Relationship Id="rId1209" Type="http://schemas.openxmlformats.org/officeDocument/2006/relationships/hyperlink" Target="https://www.simpleshowing.com/" TargetMode="External"/><Relationship Id="rId4779" Type="http://schemas.openxmlformats.org/officeDocument/2006/relationships/hyperlink" Target="https://www.wect.com/2024/05/27/high-school-seniors-can-now-get-real-estate-license-free-this-state/" TargetMode="External"/><Relationship Id="rId8650" Type="http://schemas.openxmlformats.org/officeDocument/2006/relationships/hyperlink" Target="https://geekmamas.com/2025/03/26/why-heat-pump-servicing-is-crucial-for-year-round-comfort/" TargetMode="External"/><Relationship Id="rId9701" Type="http://schemas.openxmlformats.org/officeDocument/2006/relationships/hyperlink" Target="https://seagrant.whoi.edu/noaa-live-webinars/" TargetMode="External"/><Relationship Id="rId10580" Type="http://schemas.openxmlformats.org/officeDocument/2006/relationships/hyperlink" Target="https://www.kqed.org/mindshift/24483/do-math-and-science-teachers-need-special-training" TargetMode="External"/><Relationship Id="rId11631" Type="http://schemas.openxmlformats.org/officeDocument/2006/relationships/hyperlink" Target="https://www.hamiltoninternationalestates.com/" TargetMode="External"/><Relationship Id="rId7252" Type="http://schemas.openxmlformats.org/officeDocument/2006/relationships/hyperlink" Target="https://www.denverlifemagazine.com/denvers-new-developments/" TargetMode="External"/><Relationship Id="rId8303" Type="http://schemas.openxmlformats.org/officeDocument/2006/relationships/hyperlink" Target="https://www.pinoyeplans.com/" TargetMode="External"/><Relationship Id="rId10233" Type="http://schemas.openxmlformats.org/officeDocument/2006/relationships/hyperlink" Target="https://www.pinoyeplans.com/" TargetMode="External"/><Relationship Id="rId3862" Type="http://schemas.openxmlformats.org/officeDocument/2006/relationships/hyperlink" Target="https://thecoverguy.com/" TargetMode="External"/><Relationship Id="rId13456" Type="http://schemas.openxmlformats.org/officeDocument/2006/relationships/hyperlink" Target="https://myinteriorpalace.com/" TargetMode="External"/><Relationship Id="rId14854" Type="http://schemas.openxmlformats.org/officeDocument/2006/relationships/hyperlink" Target="https://myinteriorpalace.com/" TargetMode="External"/><Relationship Id="rId15905" Type="http://schemas.openxmlformats.org/officeDocument/2006/relationships/hyperlink" Target="https://www.raynorkc.com/" TargetMode="External"/><Relationship Id="rId783" Type="http://schemas.openxmlformats.org/officeDocument/2006/relationships/hyperlink" Target="https://www.schaafsma.com/" TargetMode="External"/><Relationship Id="rId2464" Type="http://schemas.openxmlformats.org/officeDocument/2006/relationships/hyperlink" Target="https://www.pulte.com/" TargetMode="External"/><Relationship Id="rId3515" Type="http://schemas.openxmlformats.org/officeDocument/2006/relationships/hyperlink" Target="https://www.myplainview.com/news/article/Pulte-Beats-Wall-Street-Year-Forecasts-9006952.php" TargetMode="External"/><Relationship Id="rId4913" Type="http://schemas.openxmlformats.org/officeDocument/2006/relationships/hyperlink" Target="https://speedprocanada.com/st-catharines/niagara-real-estate-yard-signs/" TargetMode="External"/><Relationship Id="rId9077" Type="http://schemas.openxmlformats.org/officeDocument/2006/relationships/hyperlink" Target="https://onpattison.com/news/2025/jul/08/everything-you-need-to-know-about-construction-estimation-in-2025/" TargetMode="External"/><Relationship Id="rId12058" Type="http://schemas.openxmlformats.org/officeDocument/2006/relationships/hyperlink" Target="https://www.bobvila.com/" TargetMode="External"/><Relationship Id="rId13109" Type="http://schemas.openxmlformats.org/officeDocument/2006/relationships/hyperlink" Target="https://www.shma.co.uk/" TargetMode="External"/><Relationship Id="rId14507" Type="http://schemas.openxmlformats.org/officeDocument/2006/relationships/hyperlink" Target="https://www.easygaragedoorrepair.com/" TargetMode="External"/><Relationship Id="rId436" Type="http://schemas.openxmlformats.org/officeDocument/2006/relationships/hyperlink" Target="https://www.engagebay.com/blog/how-to-start-a-travel-agency/" TargetMode="External"/><Relationship Id="rId1066" Type="http://schemas.openxmlformats.org/officeDocument/2006/relationships/hyperlink" Target="https://www.matrixbasements.com/" TargetMode="External"/><Relationship Id="rId2117" Type="http://schemas.openxmlformats.org/officeDocument/2006/relationships/hyperlink" Target="https://www.axios.com/local/charlotte/2020/10/02/hot-homes-10-ranch-style-houses-for-sale-in-charlotte-right-now-starting-at-199k-234080" TargetMode="External"/><Relationship Id="rId4289" Type="http://schemas.openxmlformats.org/officeDocument/2006/relationships/hyperlink" Target="https://www.kapre.com/" TargetMode="External"/><Relationship Id="rId5687" Type="http://schemas.openxmlformats.org/officeDocument/2006/relationships/hyperlink" Target="https://www.villagevoice.com/how-to-receive-credit-card-debt-relief-without-worry/" TargetMode="External"/><Relationship Id="rId6738" Type="http://schemas.openxmlformats.org/officeDocument/2006/relationships/hyperlink" Target="https://www.simpleshowing.com/" TargetMode="External"/><Relationship Id="rId8160" Type="http://schemas.openxmlformats.org/officeDocument/2006/relationships/hyperlink" Target="https://smaarchviz.com/" TargetMode="External"/><Relationship Id="rId9211" Type="http://schemas.openxmlformats.org/officeDocument/2006/relationships/hyperlink" Target="https://mcd.net.au/" TargetMode="External"/><Relationship Id="rId10090" Type="http://schemas.openxmlformats.org/officeDocument/2006/relationships/hyperlink" Target="https://www.teachengineering.org/" TargetMode="External"/><Relationship Id="rId11141" Type="http://schemas.openxmlformats.org/officeDocument/2006/relationships/hyperlink" Target="https://greenbuildingcanada.ca/green-carpet-drying/" TargetMode="External"/><Relationship Id="rId15762" Type="http://schemas.openxmlformats.org/officeDocument/2006/relationships/hyperlink" Target="https://growjo.com/company/IceWarp" TargetMode="External"/><Relationship Id="rId1200" Type="http://schemas.openxmlformats.org/officeDocument/2006/relationships/hyperlink" Target="https://www.simpleshowing.com/" TargetMode="External"/><Relationship Id="rId4770" Type="http://schemas.openxmlformats.org/officeDocument/2006/relationships/hyperlink" Target="https://www.wdbj7.com/2024/05/27/high-school-seniors-can-now-get-real-estate-license-free-this-state/" TargetMode="External"/><Relationship Id="rId5821" Type="http://schemas.openxmlformats.org/officeDocument/2006/relationships/hyperlink" Target="https://easternsuburbsmums.com.au/how-to-prioritize-debt-payments-while-staying-on-top-of-taxes/" TargetMode="External"/><Relationship Id="rId14364" Type="http://schemas.openxmlformats.org/officeDocument/2006/relationships/hyperlink" Target="https://olive-wolverine-471793.hostingersite.com/category/gloucester-city/page/2/" TargetMode="External"/><Relationship Id="rId15415" Type="http://schemas.openxmlformats.org/officeDocument/2006/relationships/hyperlink" Target="https://myinteriorpalace.com/" TargetMode="External"/><Relationship Id="rId3372" Type="http://schemas.openxmlformats.org/officeDocument/2006/relationships/hyperlink" Target="https://www.simpleshowing.com/" TargetMode="External"/><Relationship Id="rId4423" Type="http://schemas.openxmlformats.org/officeDocument/2006/relationships/hyperlink" Target="https://www.simpleshowing.com/" TargetMode="External"/><Relationship Id="rId7993" Type="http://schemas.openxmlformats.org/officeDocument/2006/relationships/hyperlink" Target="https://www.honestaberoofing.com/indianapolis/about-us/blog/2025/october/how-to-spot-early-signs-of-roof-leaks-before-winter-in-indianapolis" TargetMode="External"/><Relationship Id="rId14017" Type="http://schemas.openxmlformats.org/officeDocument/2006/relationships/hyperlink" Target="https://myinteriorpalace.com/" TargetMode="External"/><Relationship Id="rId293" Type="http://schemas.openxmlformats.org/officeDocument/2006/relationships/hyperlink" Target="http://findrentals.com/" TargetMode="External"/><Relationship Id="rId3025" Type="http://schemas.openxmlformats.org/officeDocument/2006/relationships/hyperlink" Target="https://www.pulte.com/" TargetMode="External"/><Relationship Id="rId6595" Type="http://schemas.openxmlformats.org/officeDocument/2006/relationships/hyperlink" Target="https://www.custombuilderonline.com/home/article/55173703/thermasol-modular-sauna" TargetMode="External"/><Relationship Id="rId7646" Type="http://schemas.openxmlformats.org/officeDocument/2006/relationships/hyperlink" Target="https://www.taylormorrison.com/" TargetMode="External"/><Relationship Id="rId10974" Type="http://schemas.openxmlformats.org/officeDocument/2006/relationships/hyperlink" Target="https://www.pinoyeplans.com/" TargetMode="External"/><Relationship Id="rId16189" Type="http://schemas.openxmlformats.org/officeDocument/2006/relationships/hyperlink" Target="https://myinteriorpalace.com/" TargetMode="External"/><Relationship Id="rId5197" Type="http://schemas.openxmlformats.org/officeDocument/2006/relationships/hyperlink" Target="https://www.qureos.com/job-desc/debt-collector" TargetMode="External"/><Relationship Id="rId6248" Type="http://schemas.openxmlformats.org/officeDocument/2006/relationships/hyperlink" Target="https://www.simpleshowing.com/" TargetMode="External"/><Relationship Id="rId10627" Type="http://schemas.openxmlformats.org/officeDocument/2006/relationships/hyperlink" Target="https://www.teachengineering.org/" TargetMode="External"/><Relationship Id="rId12799" Type="http://schemas.openxmlformats.org/officeDocument/2006/relationships/hyperlink" Target="https://propertypressonline.co.uk/" TargetMode="External"/><Relationship Id="rId13100" Type="http://schemas.openxmlformats.org/officeDocument/2006/relationships/hyperlink" Target="https://www.shma.co.uk/" TargetMode="External"/><Relationship Id="rId2858" Type="http://schemas.openxmlformats.org/officeDocument/2006/relationships/hyperlink" Target="https://www.swgas.com/en/finding-a-builder" TargetMode="External"/><Relationship Id="rId3909" Type="http://schemas.openxmlformats.org/officeDocument/2006/relationships/hyperlink" Target="https://www.simpleshowing.com/" TargetMode="External"/><Relationship Id="rId15272" Type="http://schemas.openxmlformats.org/officeDocument/2006/relationships/hyperlink" Target="https://www.luxdeco.com/" TargetMode="External"/><Relationship Id="rId4280" Type="http://schemas.openxmlformats.org/officeDocument/2006/relationships/hyperlink" Target="https://www.kapre.com/" TargetMode="External"/><Relationship Id="rId5331" Type="http://schemas.openxmlformats.org/officeDocument/2006/relationships/hyperlink" Target="https://www.sphinx-solution.com/blog/iot-app-development-services/" TargetMode="External"/><Relationship Id="rId9952" Type="http://schemas.openxmlformats.org/officeDocument/2006/relationships/hyperlink" Target="https://www.teachengineering.org/" TargetMode="External"/><Relationship Id="rId1941" Type="http://schemas.openxmlformats.org/officeDocument/2006/relationships/hyperlink" Target="https://www.simpleshowing.com/" TargetMode="External"/><Relationship Id="rId8554" Type="http://schemas.openxmlformats.org/officeDocument/2006/relationships/hyperlink" Target="https://www.seo-for-jobs.com/companies/cylind/cylind-profile" TargetMode="External"/><Relationship Id="rId9605" Type="http://schemas.openxmlformats.org/officeDocument/2006/relationships/hyperlink" Target="https://www.easyteacherworksheets.com/science/twopages-machines.html" TargetMode="External"/><Relationship Id="rId10484" Type="http://schemas.openxmlformats.org/officeDocument/2006/relationships/hyperlink" Target="https://makercamp.make.co/project/cardboard-prototypes/" TargetMode="External"/><Relationship Id="rId11535" Type="http://schemas.openxmlformats.org/officeDocument/2006/relationships/hyperlink" Target="https://sellhousefast.uk/" TargetMode="External"/><Relationship Id="rId11882" Type="http://schemas.openxmlformats.org/officeDocument/2006/relationships/hyperlink" Target="https://areapatch.com/protecting-your-investment-due-diligence-in-mortgage-note-transactions/" TargetMode="External"/><Relationship Id="rId12933" Type="http://schemas.openxmlformats.org/officeDocument/2006/relationships/hyperlink" Target="https://growjo.com/company/Mayer_Electric_Supply_Co" TargetMode="External"/><Relationship Id="rId7156" Type="http://schemas.openxmlformats.org/officeDocument/2006/relationships/hyperlink" Target="https://www.simpleshowing.com/" TargetMode="External"/><Relationship Id="rId8207" Type="http://schemas.openxmlformats.org/officeDocument/2006/relationships/hyperlink" Target="https://www.pinoyeplans.com/" TargetMode="External"/><Relationship Id="rId10137" Type="http://schemas.openxmlformats.org/officeDocument/2006/relationships/hyperlink" Target="https://www.pinoyeplans.com/" TargetMode="External"/><Relationship Id="rId14758" Type="http://schemas.openxmlformats.org/officeDocument/2006/relationships/hyperlink" Target="https://myinteriorpalace.com/" TargetMode="External"/><Relationship Id="rId15809" Type="http://schemas.openxmlformats.org/officeDocument/2006/relationships/hyperlink" Target="https://www.modinex.com.au/" TargetMode="External"/><Relationship Id="rId687" Type="http://schemas.openxmlformats.org/officeDocument/2006/relationships/hyperlink" Target="https://www.carolinadesigns.com/" TargetMode="External"/><Relationship Id="rId2368" Type="http://schemas.openxmlformats.org/officeDocument/2006/relationships/hyperlink" Target="https://www.pulte.com/" TargetMode="External"/><Relationship Id="rId3766" Type="http://schemas.openxmlformats.org/officeDocument/2006/relationships/hyperlink" Target="https://www.overheaddoors.com/" TargetMode="External"/><Relationship Id="rId4817" Type="http://schemas.openxmlformats.org/officeDocument/2006/relationships/hyperlink" Target="https://www.kapre.com/" TargetMode="External"/><Relationship Id="rId16180" Type="http://schemas.openxmlformats.org/officeDocument/2006/relationships/hyperlink" Target="https://myinteriorpalace.com/" TargetMode="External"/><Relationship Id="rId3419" Type="http://schemas.openxmlformats.org/officeDocument/2006/relationships/hyperlink" Target="https://wgtjradio.com/s-hall-pulte-homes-hunters-creek-sales-begin-this-fall/" TargetMode="External"/><Relationship Id="rId6989" Type="http://schemas.openxmlformats.org/officeDocument/2006/relationships/hyperlink" Target="https://www.taylormorrison.com/" TargetMode="External"/><Relationship Id="rId12790" Type="http://schemas.openxmlformats.org/officeDocument/2006/relationships/hyperlink" Target="https://propertypressonline.co.uk/" TargetMode="External"/><Relationship Id="rId13841" Type="http://schemas.openxmlformats.org/officeDocument/2006/relationships/hyperlink" Target="https://aqglassshowerdoorsphoenix.com/" TargetMode="External"/><Relationship Id="rId3900" Type="http://schemas.openxmlformats.org/officeDocument/2006/relationships/hyperlink" Target="https://www.simpleshowing.com/" TargetMode="External"/><Relationship Id="rId9462" Type="http://schemas.openxmlformats.org/officeDocument/2006/relationships/hyperlink" Target="https://www.pinoyeplans.com/" TargetMode="External"/><Relationship Id="rId11392" Type="http://schemas.openxmlformats.org/officeDocument/2006/relationships/hyperlink" Target="https://player.captivate.fm/episode/43477b08-2525-420c-b4e5-df314c4065bc" TargetMode="External"/><Relationship Id="rId12443" Type="http://schemas.openxmlformats.org/officeDocument/2006/relationships/hyperlink" Target="https://www.moneymagpie.com/make-money/make-and-save-money-from-renting" TargetMode="External"/><Relationship Id="rId821" Type="http://schemas.openxmlformats.org/officeDocument/2006/relationships/hyperlink" Target="https://www.simpleshowing.com/" TargetMode="External"/><Relationship Id="rId1451" Type="http://schemas.openxmlformats.org/officeDocument/2006/relationships/hyperlink" Target="https://slapdashmom.com/budgeting-for-a-bathroom-remodel-mastering-the-art-of-reality/" TargetMode="External"/><Relationship Id="rId2502" Type="http://schemas.openxmlformats.org/officeDocument/2006/relationships/hyperlink" Target="https://www.simpleshowing.com/" TargetMode="External"/><Relationship Id="rId8064" Type="http://schemas.openxmlformats.org/officeDocument/2006/relationships/hyperlink" Target="https://johnsonrestoration.net/" TargetMode="External"/><Relationship Id="rId9115" Type="http://schemas.openxmlformats.org/officeDocument/2006/relationships/hyperlink" Target="https://nycestimating.us/" TargetMode="External"/><Relationship Id="rId11045" Type="http://schemas.openxmlformats.org/officeDocument/2006/relationships/hyperlink" Target="https://faculty.engineering.ucdavis.edu/vandergheynst/teaching/" TargetMode="External"/><Relationship Id="rId15666" Type="http://schemas.openxmlformats.org/officeDocument/2006/relationships/hyperlink" Target="https://3dbrute.com/marat-boucle-sofa/" TargetMode="External"/><Relationship Id="rId1104" Type="http://schemas.openxmlformats.org/officeDocument/2006/relationships/hyperlink" Target="https://www.simpleshowing.com/" TargetMode="External"/><Relationship Id="rId4674" Type="http://schemas.openxmlformats.org/officeDocument/2006/relationships/hyperlink" Target="https://www.westernmassnews.com/2024/05/27/high-school-seniors-can-now-get-real-estate-license-free-this-state/" TargetMode="External"/><Relationship Id="rId5725" Type="http://schemas.openxmlformats.org/officeDocument/2006/relationships/hyperlink" Target="https://www.socialworktoday.com/archive/0720p28.shtml" TargetMode="External"/><Relationship Id="rId14268" Type="http://schemas.openxmlformats.org/officeDocument/2006/relationships/hyperlink" Target="https://lamonts.com.au/there-is-a-new-crisis-in-modern-society-that-has-endured-from-skepticism-about-the-legitimacy-and-importance-of-the-discipline-of-philosophy-itself-when/" TargetMode="External"/><Relationship Id="rId15319" Type="http://schemas.openxmlformats.org/officeDocument/2006/relationships/hyperlink" Target="https://myinteriorpalace.com/" TargetMode="External"/><Relationship Id="rId3276" Type="http://schemas.openxmlformats.org/officeDocument/2006/relationships/hyperlink" Target="https://www.simpleshowing.com/" TargetMode="External"/><Relationship Id="rId4327" Type="http://schemas.openxmlformats.org/officeDocument/2006/relationships/hyperlink" Target="https://www.simpleshowing.com/" TargetMode="External"/><Relationship Id="rId197" Type="http://schemas.openxmlformats.org/officeDocument/2006/relationships/hyperlink" Target="http://aloa.co/" TargetMode="External"/><Relationship Id="rId6499" Type="http://schemas.openxmlformats.org/officeDocument/2006/relationships/hyperlink" Target="https://www.thermasol.com/" TargetMode="External"/><Relationship Id="rId7897" Type="http://schemas.openxmlformats.org/officeDocument/2006/relationships/hyperlink" Target="https://www.karensgreencleaning.com/blog/swiffer-wet-on-hardwood-floors" TargetMode="External"/><Relationship Id="rId8948" Type="http://schemas.openxmlformats.org/officeDocument/2006/relationships/hyperlink" Target="https://study4sure.com/from-lumber-takeoff-to-strategic-insight-the-role-of-data-in-construction/" TargetMode="External"/><Relationship Id="rId10878" Type="http://schemas.openxmlformats.org/officeDocument/2006/relationships/hyperlink" Target="https://www.pinoyeplans.com/" TargetMode="External"/><Relationship Id="rId11929" Type="http://schemas.openxmlformats.org/officeDocument/2006/relationships/hyperlink" Target="https://www.bobvila.com/" TargetMode="External"/><Relationship Id="rId15800" Type="http://schemas.openxmlformats.org/officeDocument/2006/relationships/hyperlink" Target="https://www.modinex.com.au/" TargetMode="External"/><Relationship Id="rId13351" Type="http://schemas.openxmlformats.org/officeDocument/2006/relationships/hyperlink" Target="https://myinteriorpalace.com/" TargetMode="External"/><Relationship Id="rId14402" Type="http://schemas.openxmlformats.org/officeDocument/2006/relationships/hyperlink" Target="https://luxurylifestyle.com/" TargetMode="External"/><Relationship Id="rId3410" Type="http://schemas.openxmlformats.org/officeDocument/2006/relationships/hyperlink" Target="http://events.waterloorecords.com/events/2022/5/7/dripping-springs-race-to-brunch-5k-tickets" TargetMode="External"/><Relationship Id="rId6980" Type="http://schemas.openxmlformats.org/officeDocument/2006/relationships/hyperlink" Target="https://www.taylormorrison.com/" TargetMode="External"/><Relationship Id="rId13004" Type="http://schemas.openxmlformats.org/officeDocument/2006/relationships/hyperlink" Target="https://www.shma.co.uk/" TargetMode="External"/><Relationship Id="rId331" Type="http://schemas.openxmlformats.org/officeDocument/2006/relationships/hyperlink" Target="https://www.modernloftinteriors.com/blogs/creative-loft-blog/indulge-in-the-best-the-most-coveted-luxury-furniture-brands" TargetMode="External"/><Relationship Id="rId2012" Type="http://schemas.openxmlformats.org/officeDocument/2006/relationships/hyperlink" Target="https://www.asbn.com/small-business-shows/atlanta-small-business-show/how-this-local-real-estate-tycoon-is-giving-frontline-workers-much-needed-piece-of-mind-for-their-families-mark-spain/" TargetMode="External"/><Relationship Id="rId5582" Type="http://schemas.openxmlformats.org/officeDocument/2006/relationships/hyperlink" Target="https://www.simpleshowing.com/" TargetMode="External"/><Relationship Id="rId6633" Type="http://schemas.openxmlformats.org/officeDocument/2006/relationships/hyperlink" Target="https://www.farrlawfirm.com/technology-findings-from-aarps-2024-tech-trends-and-adults-50/" TargetMode="External"/><Relationship Id="rId15176" Type="http://schemas.openxmlformats.org/officeDocument/2006/relationships/hyperlink" Target="https://www.luxdeco.com/" TargetMode="External"/><Relationship Id="rId16227" Type="http://schemas.openxmlformats.org/officeDocument/2006/relationships/hyperlink" Target="https://www.emmysmummy.com/3-smart-popular-bed-choices-for-busy-family-homes" TargetMode="External"/><Relationship Id="rId4184" Type="http://schemas.openxmlformats.org/officeDocument/2006/relationships/hyperlink" Target="https://www.kapre.com/" TargetMode="External"/><Relationship Id="rId5235" Type="http://schemas.openxmlformats.org/officeDocument/2006/relationships/hyperlink" Target="https://fredericksburg.com/news/nation-world/" TargetMode="External"/><Relationship Id="rId9856" Type="http://schemas.openxmlformats.org/officeDocument/2006/relationships/hyperlink" Target="https://www.teachengineering.org/" TargetMode="External"/><Relationship Id="rId8458" Type="http://schemas.openxmlformats.org/officeDocument/2006/relationships/hyperlink" Target="https://sendbridge.com/marketing/beyond-the-standard-how-top-360-virtual-tour-companies-elevate-a-brands-digital-storytelling" TargetMode="External"/><Relationship Id="rId9509" Type="http://schemas.openxmlformats.org/officeDocument/2006/relationships/hyperlink" Target="https://whatihavelearnedteaching.com/teaching-ideas-for-static-electricity/" TargetMode="External"/><Relationship Id="rId11786" Type="http://schemas.openxmlformats.org/officeDocument/2006/relationships/hyperlink" Target="https://www.scottishfinancialnews.com/articles/and-finallycheating-husband-returns-to-find-home-sold" TargetMode="External"/><Relationship Id="rId12837" Type="http://schemas.openxmlformats.org/officeDocument/2006/relationships/hyperlink" Target="https://www.installeronline.co.uk/news/plumber-wins-supreme-court-workers-rights-case-against-pimlico-plumbers/" TargetMode="External"/><Relationship Id="rId1845" Type="http://schemas.openxmlformats.org/officeDocument/2006/relationships/hyperlink" Target="https://www.simpleshowing.com/" TargetMode="External"/><Relationship Id="rId10388" Type="http://schemas.openxmlformats.org/officeDocument/2006/relationships/hyperlink" Target="https://education.indiana.edu/about/p-12-school-engagement/baxter-stem-challenges/index.html" TargetMode="External"/><Relationship Id="rId11439" Type="http://schemas.openxmlformats.org/officeDocument/2006/relationships/hyperlink" Target="http://webuyhouses.com/" TargetMode="External"/><Relationship Id="rId15310" Type="http://schemas.openxmlformats.org/officeDocument/2006/relationships/hyperlink" Target="https://myinteriorpalace.com/" TargetMode="External"/><Relationship Id="rId11920" Type="http://schemas.openxmlformats.org/officeDocument/2006/relationships/hyperlink" Target="https://www.bobvila.com/" TargetMode="External"/><Relationship Id="rId5092" Type="http://schemas.openxmlformats.org/officeDocument/2006/relationships/hyperlink" Target="https://www.simpleshowing.com/" TargetMode="External"/><Relationship Id="rId6490" Type="http://schemas.openxmlformats.org/officeDocument/2006/relationships/hyperlink" Target="https://www.thermasol.com/" TargetMode="External"/><Relationship Id="rId7541" Type="http://schemas.openxmlformats.org/officeDocument/2006/relationships/hyperlink" Target="https://www.taylormorrison.com/" TargetMode="External"/><Relationship Id="rId10522" Type="http://schemas.openxmlformats.org/officeDocument/2006/relationships/hyperlink" Target="https://www.teachengineering.org/" TargetMode="External"/><Relationship Id="rId16084" Type="http://schemas.openxmlformats.org/officeDocument/2006/relationships/hyperlink" Target="https://myinteriorpalace.com/" TargetMode="External"/><Relationship Id="rId6143" Type="http://schemas.openxmlformats.org/officeDocument/2006/relationships/hyperlink" Target="https://geeksaroundglobe.com/benefits-of-financial-education/" TargetMode="External"/><Relationship Id="rId12694" Type="http://schemas.openxmlformats.org/officeDocument/2006/relationships/hyperlink" Target="https://propertypressonline.co.uk/" TargetMode="External"/><Relationship Id="rId13745" Type="http://schemas.openxmlformats.org/officeDocument/2006/relationships/hyperlink" Target="https://anationofmoms.com/" TargetMode="External"/><Relationship Id="rId2753" Type="http://schemas.openxmlformats.org/officeDocument/2006/relationships/hyperlink" Target="https://www.jll.com/en-us/newsroom/first-phase-of-the-sale-of-bridgeview-in-kearny-new-jersey" TargetMode="External"/><Relationship Id="rId3804" Type="http://schemas.openxmlformats.org/officeDocument/2006/relationships/hyperlink" Target="https://www.simpleshowing.com/" TargetMode="External"/><Relationship Id="rId9366" Type="http://schemas.openxmlformats.org/officeDocument/2006/relationships/hyperlink" Target="https://www.pinoyeplans.com/" TargetMode="External"/><Relationship Id="rId11296" Type="http://schemas.openxmlformats.org/officeDocument/2006/relationships/hyperlink" Target="https://www.hamiltoninternationalestates.com/" TargetMode="External"/><Relationship Id="rId12347" Type="http://schemas.openxmlformats.org/officeDocument/2006/relationships/hyperlink" Target="https://www.sussex.ac.uk/study/accommodation/off-campus" TargetMode="External"/><Relationship Id="rId725" Type="http://schemas.openxmlformats.org/officeDocument/2006/relationships/hyperlink" Target="https://www.simpleshowing.com/" TargetMode="External"/><Relationship Id="rId1355" Type="http://schemas.openxmlformats.org/officeDocument/2006/relationships/hyperlink" Target="https://paylinedata.com/blog/preparing-a-property-for-sale" TargetMode="External"/><Relationship Id="rId2406" Type="http://schemas.openxmlformats.org/officeDocument/2006/relationships/hyperlink" Target="https://www.simpleshowing.com/" TargetMode="External"/><Relationship Id="rId9019" Type="http://schemas.openxmlformats.org/officeDocument/2006/relationships/hyperlink" Target="https://nycestimating.us/" TargetMode="External"/><Relationship Id="rId1008" Type="http://schemas.openxmlformats.org/officeDocument/2006/relationships/hyperlink" Target="https://www.simpleshowing.com/" TargetMode="External"/><Relationship Id="rId4578" Type="http://schemas.openxmlformats.org/officeDocument/2006/relationships/hyperlink" Target="https://www.kwch.com/2024/05/27/high-school-seniors-can-now-get-real-estate-license-free-this-state/" TargetMode="External"/><Relationship Id="rId5976" Type="http://schemas.openxmlformats.org/officeDocument/2006/relationships/hyperlink" Target="https://www.simpleshowing.com/" TargetMode="External"/><Relationship Id="rId61" Type="http://schemas.openxmlformats.org/officeDocument/2006/relationships/hyperlink" Target="http://casabelforte.com/" TargetMode="External"/><Relationship Id="rId5629" Type="http://schemas.openxmlformats.org/officeDocument/2006/relationships/hyperlink" Target="https://www.timedoctor.com/blog/contact-center-compliance/" TargetMode="External"/><Relationship Id="rId7051" Type="http://schemas.openxmlformats.org/officeDocument/2006/relationships/hyperlink" Target="https://www.simpleshowing.com/" TargetMode="External"/><Relationship Id="rId8102" Type="http://schemas.openxmlformats.org/officeDocument/2006/relationships/hyperlink" Target="https://www.pinoyeplans.com/" TargetMode="External"/><Relationship Id="rId9500" Type="http://schemas.openxmlformats.org/officeDocument/2006/relationships/hyperlink" Target="https://www.thoughtco.com/robert-fulton-steamboat-4075444" TargetMode="External"/><Relationship Id="rId11430" Type="http://schemas.openxmlformats.org/officeDocument/2006/relationships/hyperlink" Target="http://webuyhouses.com/" TargetMode="External"/><Relationship Id="rId10032" Type="http://schemas.openxmlformats.org/officeDocument/2006/relationships/hyperlink" Target="https://www.pinoyeplans.com/" TargetMode="External"/><Relationship Id="rId14653" Type="http://schemas.openxmlformats.org/officeDocument/2006/relationships/hyperlink" Target="https://myinteriorpalace.com/" TargetMode="External"/><Relationship Id="rId15704" Type="http://schemas.openxmlformats.org/officeDocument/2006/relationships/hyperlink" Target="https://www.modinex.com.au/" TargetMode="External"/><Relationship Id="rId3661" Type="http://schemas.openxmlformats.org/officeDocument/2006/relationships/hyperlink" Target="https://www.overheaddoors.com/" TargetMode="External"/><Relationship Id="rId4712" Type="http://schemas.openxmlformats.org/officeDocument/2006/relationships/hyperlink" Target="https://www.kapre.com/" TargetMode="External"/><Relationship Id="rId13255" Type="http://schemas.openxmlformats.org/officeDocument/2006/relationships/hyperlink" Target="https://propertypressonline.co.uk/" TargetMode="External"/><Relationship Id="rId14306" Type="http://schemas.openxmlformats.org/officeDocument/2006/relationships/hyperlink" Target="https://luxurylifestyle.com/" TargetMode="External"/><Relationship Id="rId582" Type="http://schemas.openxmlformats.org/officeDocument/2006/relationships/hyperlink" Target="https://www.carolinadesigns.com/" TargetMode="External"/><Relationship Id="rId2263" Type="http://schemas.openxmlformats.org/officeDocument/2006/relationships/hyperlink" Target="https://www.collectionforsyth.com/" TargetMode="External"/><Relationship Id="rId3314" Type="http://schemas.openxmlformats.org/officeDocument/2006/relationships/hyperlink" Target="https://www.rallypoint.com/answers/what-is-everybody-s-opinion-on-retiring-in-san-antonio-vs-trying-for-savannah-ga" TargetMode="External"/><Relationship Id="rId6884" Type="http://schemas.openxmlformats.org/officeDocument/2006/relationships/hyperlink" Target="https://lifestylefrisco.com/frisco-neighborhood-guide-estates-at-shaddock-park/" TargetMode="External"/><Relationship Id="rId7935" Type="http://schemas.openxmlformats.org/officeDocument/2006/relationships/hyperlink" Target="https://certifiedrestorationinc.com/" TargetMode="External"/><Relationship Id="rId235" Type="http://schemas.openxmlformats.org/officeDocument/2006/relationships/hyperlink" Target="https://onlinebizbooster.net/become-an-entrepreneur-in-real-estate/" TargetMode="External"/><Relationship Id="rId5486" Type="http://schemas.openxmlformats.org/officeDocument/2006/relationships/hyperlink" Target="https://www.simpleshowing.com/" TargetMode="External"/><Relationship Id="rId6537" Type="http://schemas.openxmlformats.org/officeDocument/2006/relationships/hyperlink" Target="https://www.alairhomes.com/houston223/project/braeburn-drive-custom-home-2/" TargetMode="External"/><Relationship Id="rId10916" Type="http://schemas.openxmlformats.org/officeDocument/2006/relationships/hyperlink" Target="http://www.mesa.edu.au/seaweek2007/links01.asp" TargetMode="External"/><Relationship Id="rId4088" Type="http://schemas.openxmlformats.org/officeDocument/2006/relationships/hyperlink" Target="https://www.kapre.com/" TargetMode="External"/><Relationship Id="rId5139" Type="http://schemas.openxmlformats.org/officeDocument/2006/relationships/hyperlink" Target="https://contactpoint360.com/blog/successful-debt-collection-techniques/" TargetMode="External"/><Relationship Id="rId9010" Type="http://schemas.openxmlformats.org/officeDocument/2006/relationships/hyperlink" Target="https://nycestimating.us/" TargetMode="External"/><Relationship Id="rId15561" Type="http://schemas.openxmlformats.org/officeDocument/2006/relationships/hyperlink" Target="https://www.pinterest.de/ideas/surrey/902591305050/" TargetMode="External"/><Relationship Id="rId1749" Type="http://schemas.openxmlformats.org/officeDocument/2006/relationships/hyperlink" Target="https://www.simpleshowing.com/" TargetMode="External"/><Relationship Id="rId3171" Type="http://schemas.openxmlformats.org/officeDocument/2006/relationships/hyperlink" Target="https://www.simpleshowing.com/" TargetMode="External"/><Relationship Id="rId5620" Type="http://schemas.openxmlformats.org/officeDocument/2006/relationships/hyperlink" Target="https://www.simpleshowing.com/" TargetMode="External"/><Relationship Id="rId14163" Type="http://schemas.openxmlformats.org/officeDocument/2006/relationships/hyperlink" Target="https://www.peanutbutterrunner.com/the-sanctuary-on-kiawah-island/" TargetMode="External"/><Relationship Id="rId15214" Type="http://schemas.openxmlformats.org/officeDocument/2006/relationships/hyperlink" Target="https://myinteriorpalace.com/" TargetMode="External"/><Relationship Id="rId4222" Type="http://schemas.openxmlformats.org/officeDocument/2006/relationships/hyperlink" Target="https://www.simpleshowing.com/" TargetMode="External"/><Relationship Id="rId7792" Type="http://schemas.openxmlformats.org/officeDocument/2006/relationships/hyperlink" Target="https://www.budgettravel.com/places/usa-georgia-lake-lanier" TargetMode="External"/><Relationship Id="rId8843" Type="http://schemas.openxmlformats.org/officeDocument/2006/relationships/hyperlink" Target="https://ibusinessfunding.com/resources/decide-whether-purchase-another-business" TargetMode="External"/><Relationship Id="rId10773" Type="http://schemas.openxmlformats.org/officeDocument/2006/relationships/hyperlink" Target="https://www.pinoyeplans.com/" TargetMode="External"/><Relationship Id="rId11824" Type="http://schemas.openxmlformats.org/officeDocument/2006/relationships/hyperlink" Target="https://sellhousefast.uk/" TargetMode="External"/><Relationship Id="rId6394" Type="http://schemas.openxmlformats.org/officeDocument/2006/relationships/hyperlink" Target="https://www.simpleshowing.com/" TargetMode="External"/><Relationship Id="rId7445" Type="http://schemas.openxmlformats.org/officeDocument/2006/relationships/hyperlink" Target="https://www.taylormorrison.com/" TargetMode="External"/><Relationship Id="rId10426" Type="http://schemas.openxmlformats.org/officeDocument/2006/relationships/hyperlink" Target="https://www.teachengineering.org/" TargetMode="External"/><Relationship Id="rId6047" Type="http://schemas.openxmlformats.org/officeDocument/2006/relationships/hyperlink" Target="https://career.austincc.edu/blog/2025/06/24/the-hour-a-day-job-hunt-routine-that-works/" TargetMode="External"/><Relationship Id="rId13996" Type="http://schemas.openxmlformats.org/officeDocument/2006/relationships/hyperlink" Target="https://myinteriorpalace.com/" TargetMode="External"/><Relationship Id="rId976" Type="http://schemas.openxmlformats.org/officeDocument/2006/relationships/hyperlink" Target="https://www.matrixbasements.com/" TargetMode="External"/><Relationship Id="rId2657" Type="http://schemas.openxmlformats.org/officeDocument/2006/relationships/hyperlink" Target="https://www.levelset.com/contractors/pulte-group-dba-pulte-homes/" TargetMode="External"/><Relationship Id="rId12598" Type="http://schemas.openxmlformats.org/officeDocument/2006/relationships/hyperlink" Target="https://propertypressonline.co.uk/" TargetMode="External"/><Relationship Id="rId13649" Type="http://schemas.openxmlformats.org/officeDocument/2006/relationships/hyperlink" Target="https://anationofmoms.com/" TargetMode="External"/><Relationship Id="rId15071" Type="http://schemas.openxmlformats.org/officeDocument/2006/relationships/hyperlink" Target="https://www.luxdeco.com/" TargetMode="External"/><Relationship Id="rId629" Type="http://schemas.openxmlformats.org/officeDocument/2006/relationships/hyperlink" Target="https://www.simpleshowing.com/" TargetMode="External"/><Relationship Id="rId1259" Type="http://schemas.openxmlformats.org/officeDocument/2006/relationships/hyperlink" Target="https://amazingarchitecture.com/articles/features-of-traditional-maltese-houses" TargetMode="External"/><Relationship Id="rId3708" Type="http://schemas.openxmlformats.org/officeDocument/2006/relationships/hyperlink" Target="https://www.simpleshowing.com/" TargetMode="External"/><Relationship Id="rId5130" Type="http://schemas.openxmlformats.org/officeDocument/2006/relationships/hyperlink" Target="https://www.simpleshowing.com/" TargetMode="External"/><Relationship Id="rId16122" Type="http://schemas.openxmlformats.org/officeDocument/2006/relationships/hyperlink" Target="https://lovechicliving.co.uk/raynor-garage-door-contemporary-design/" TargetMode="External"/><Relationship Id="rId9751" Type="http://schemas.openxmlformats.org/officeDocument/2006/relationships/hyperlink" Target="https://www.teachengineering.org/" TargetMode="External"/><Relationship Id="rId11681" Type="http://schemas.openxmlformats.org/officeDocument/2006/relationships/hyperlink" Target="https://www.buyassociationgroup.com/en-us/news/leasehold-properties-made-third-homes-sold-last-year/" TargetMode="External"/><Relationship Id="rId12732" Type="http://schemas.openxmlformats.org/officeDocument/2006/relationships/hyperlink" Target="https://healthinnovation-em.org.uk/component/content/category/67-news/151-news?Itemid=235" TargetMode="External"/><Relationship Id="rId1740" Type="http://schemas.openxmlformats.org/officeDocument/2006/relationships/hyperlink" Target="https://www.simpleshowing.com/" TargetMode="External"/><Relationship Id="rId8353" Type="http://schemas.openxmlformats.org/officeDocument/2006/relationships/hyperlink" Target="https://au.gradconnection.com/employers/australian-secure-capital-fund/jobs/" TargetMode="External"/><Relationship Id="rId9404" Type="http://schemas.openxmlformats.org/officeDocument/2006/relationships/hyperlink" Target="https://njalternateroute.rutgers.edu/blog/61-peer-recommended-resources-science-teachers" TargetMode="External"/><Relationship Id="rId10283" Type="http://schemas.openxmlformats.org/officeDocument/2006/relationships/hyperlink" Target="https://www.reference.com/science-technology/real-life-examples-series-circuits-cb5f68412d4ca1ec" TargetMode="External"/><Relationship Id="rId11334" Type="http://schemas.openxmlformats.org/officeDocument/2006/relationships/hyperlink" Target="https://www.housebuyersofamerica.com/cash-home-buyers/georgia" TargetMode="External"/><Relationship Id="rId15955" Type="http://schemas.openxmlformats.org/officeDocument/2006/relationships/hyperlink" Target="https://myinteriorpalace.com/" TargetMode="External"/><Relationship Id="rId4963" Type="http://schemas.openxmlformats.org/officeDocument/2006/relationships/hyperlink" Target="https://www.prosemedia.com/blog/why-your-luxury-branding-is-alienating-modern-buyers" TargetMode="External"/><Relationship Id="rId8006" Type="http://schemas.openxmlformats.org/officeDocument/2006/relationships/hyperlink" Target="https://www.pinoyeplans.com/" TargetMode="External"/><Relationship Id="rId14557" Type="http://schemas.openxmlformats.org/officeDocument/2006/relationships/hyperlink" Target="https://myinteriorpalace.com/" TargetMode="External"/><Relationship Id="rId15608" Type="http://schemas.openxmlformats.org/officeDocument/2006/relationships/hyperlink" Target="https://www.luxdeco.com/" TargetMode="External"/><Relationship Id="rId3565" Type="http://schemas.openxmlformats.org/officeDocument/2006/relationships/hyperlink" Target="https://www.pulte.com/" TargetMode="External"/><Relationship Id="rId4616" Type="http://schemas.openxmlformats.org/officeDocument/2006/relationships/hyperlink" Target="https://www.kapre.com/" TargetMode="External"/><Relationship Id="rId13159" Type="http://schemas.openxmlformats.org/officeDocument/2006/relationships/hyperlink" Target="https://propertypressonline.co.uk/" TargetMode="External"/><Relationship Id="rId486" Type="http://schemas.openxmlformats.org/officeDocument/2006/relationships/hyperlink" Target="https://www.carolinadesigns.com/" TargetMode="External"/><Relationship Id="rId2167" Type="http://schemas.openxmlformats.org/officeDocument/2006/relationships/hyperlink" Target="https://markspain.com/" TargetMode="External"/><Relationship Id="rId3218" Type="http://schemas.openxmlformats.org/officeDocument/2006/relationships/hyperlink" Target="https://s.gmx.com/find?q=new%20home%20communities%20in%20texas&amp;devi=02&amp;mkt=DE-DE&amp;lang=en&amp;origin=999999999999999999&amp;ae=" TargetMode="External"/><Relationship Id="rId6788" Type="http://schemas.openxmlformats.org/officeDocument/2006/relationships/hyperlink" Target="https://travisso.com/" TargetMode="External"/><Relationship Id="rId139" Type="http://schemas.openxmlformats.org/officeDocument/2006/relationships/hyperlink" Target="https://www.aldergrovestar.com/" TargetMode="External"/><Relationship Id="rId7839" Type="http://schemas.openxmlformats.org/officeDocument/2006/relationships/hyperlink" Target="https://discoverlakelanier.com/" TargetMode="External"/><Relationship Id="rId9261" Type="http://schemas.openxmlformats.org/officeDocument/2006/relationships/hyperlink" Target="https://www.pinoyeplans.com/" TargetMode="External"/><Relationship Id="rId13640" Type="http://schemas.openxmlformats.org/officeDocument/2006/relationships/hyperlink" Target="https://anationofmoms.com/" TargetMode="External"/><Relationship Id="rId11191" Type="http://schemas.openxmlformats.org/officeDocument/2006/relationships/hyperlink" Target="https://favs.news/upholding-ethical-standards-in-water-damage-emergencies/" TargetMode="External"/><Relationship Id="rId12242" Type="http://schemas.openxmlformats.org/officeDocument/2006/relationships/hyperlink" Target="https://www.localgovernmentlawyer.co.uk/projects-and-regeneration/317-projects-features/61226-all-change-the-implications-of-planning-reform-upon-regeneration-projects" TargetMode="External"/><Relationship Id="rId620" Type="http://schemas.openxmlformats.org/officeDocument/2006/relationships/hyperlink" Target="https://www.simpleshowing.com/" TargetMode="External"/><Relationship Id="rId1250" Type="http://schemas.openxmlformats.org/officeDocument/2006/relationships/hyperlink" Target="https://clay.earth/profile/london-humphreys" TargetMode="External"/><Relationship Id="rId2301" Type="http://schemas.openxmlformats.org/officeDocument/2006/relationships/hyperlink" Target="https://www.simpleshowing.com/" TargetMode="External"/><Relationship Id="rId5871" Type="http://schemas.openxmlformats.org/officeDocument/2006/relationships/hyperlink" Target="https://timelines.ai/whatsapp-api-vs-sms/" TargetMode="External"/><Relationship Id="rId6922" Type="http://schemas.openxmlformats.org/officeDocument/2006/relationships/hyperlink" Target="https://www.simpleshowing.com/" TargetMode="External"/><Relationship Id="rId15465" Type="http://schemas.openxmlformats.org/officeDocument/2006/relationships/hyperlink" Target="https://www.highperformr.ai/company/luxdeco" TargetMode="External"/><Relationship Id="rId4473" Type="http://schemas.openxmlformats.org/officeDocument/2006/relationships/hyperlink" Target="https://www.wabi.tv/2024/05/27/high-school-seniors-can-now-get-real-estate-license-free-this-state/" TargetMode="External"/><Relationship Id="rId5524" Type="http://schemas.openxmlformats.org/officeDocument/2006/relationships/hyperlink" Target="https://www.simpleshowing.com/" TargetMode="External"/><Relationship Id="rId14067" Type="http://schemas.openxmlformats.org/officeDocument/2006/relationships/hyperlink" Target="https://literallydarling.com/blog/2024/10/30/5-common-deck-building-mistakes-and-how-to-avoid-them/" TargetMode="External"/><Relationship Id="rId15118" Type="http://schemas.openxmlformats.org/officeDocument/2006/relationships/hyperlink" Target="https://myinteriorpalace.com/" TargetMode="External"/><Relationship Id="rId3075" Type="http://schemas.openxmlformats.org/officeDocument/2006/relationships/hyperlink" Target="https://www.simpleshowing.com/" TargetMode="External"/><Relationship Id="rId4126" Type="http://schemas.openxmlformats.org/officeDocument/2006/relationships/hyperlink" Target="https://www.simpleshowing.com/" TargetMode="External"/><Relationship Id="rId7696" Type="http://schemas.openxmlformats.org/officeDocument/2006/relationships/hyperlink" Target="https://www.simpleshowing.com/" TargetMode="External"/><Relationship Id="rId8747" Type="http://schemas.openxmlformats.org/officeDocument/2006/relationships/hyperlink" Target="https://www.pinoyeplans.com/" TargetMode="External"/><Relationship Id="rId6298" Type="http://schemas.openxmlformats.org/officeDocument/2006/relationships/hyperlink" Target="https://www.simpleshowing.com/" TargetMode="External"/><Relationship Id="rId7349" Type="http://schemas.openxmlformats.org/officeDocument/2006/relationships/hyperlink" Target="https://www.simpleshowing.com/" TargetMode="External"/><Relationship Id="rId10677" Type="http://schemas.openxmlformats.org/officeDocument/2006/relationships/hyperlink" Target="https://www.pinoyeplans.com/" TargetMode="External"/><Relationship Id="rId11728" Type="http://schemas.openxmlformats.org/officeDocument/2006/relationships/hyperlink" Target="https://sellhousefast.uk/" TargetMode="External"/><Relationship Id="rId13150" Type="http://schemas.openxmlformats.org/officeDocument/2006/relationships/hyperlink" Target="https://propertypressonline.co.uk/" TargetMode="External"/><Relationship Id="rId14201" Type="http://schemas.openxmlformats.org/officeDocument/2006/relationships/hyperlink" Target="https://luxurylifestyle.com/" TargetMode="External"/><Relationship Id="rId130" Type="http://schemas.openxmlformats.org/officeDocument/2006/relationships/hyperlink" Target="https://www.cowichanvalleycitizen.com/" TargetMode="External"/><Relationship Id="rId3959" Type="http://schemas.openxmlformats.org/officeDocument/2006/relationships/hyperlink" Target="https://www.spacedaily.com/reports/How_Solar_Energy_Innovations_from_Space_Technology_Are_Powering_Earths_Future_999.html" TargetMode="External"/><Relationship Id="rId5381" Type="http://schemas.openxmlformats.org/officeDocument/2006/relationships/hyperlink" Target="https://designworklife.com/the-rise-of-online-work-a-new-era-of-employment-and-opportunity/" TargetMode="External"/><Relationship Id="rId7830" Type="http://schemas.openxmlformats.org/officeDocument/2006/relationships/hyperlink" Target="https://discoverlakelanier.com/" TargetMode="External"/><Relationship Id="rId10811" Type="http://schemas.openxmlformats.org/officeDocument/2006/relationships/hyperlink" Target="https://www.nassp.org/engaging-girls-in-stem/" TargetMode="External"/><Relationship Id="rId5034" Type="http://schemas.openxmlformats.org/officeDocument/2006/relationships/hyperlink" Target="https://www.simpleshowing.com/" TargetMode="External"/><Relationship Id="rId6432" Type="http://schemas.openxmlformats.org/officeDocument/2006/relationships/hyperlink" Target="https://riluxa.com/blog/guides-18/how-to-warm-up-a-cold-bathroom-154" TargetMode="External"/><Relationship Id="rId12983" Type="http://schemas.openxmlformats.org/officeDocument/2006/relationships/hyperlink" Target="https://www.shma.co.uk/" TargetMode="External"/><Relationship Id="rId16026" Type="http://schemas.openxmlformats.org/officeDocument/2006/relationships/hyperlink" Target="https://artdaily.com/news/181452/Selecting-Overhead-Doors-for-Industrial-or-Commercial-Purposes--An-Insight" TargetMode="External"/><Relationship Id="rId1991" Type="http://schemas.openxmlformats.org/officeDocument/2006/relationships/hyperlink" Target="https://craigscottcapital.com/5-market-forces-investors-should-watch-before-purchasing-property/" TargetMode="External"/><Relationship Id="rId9655" Type="http://schemas.openxmlformats.org/officeDocument/2006/relationships/hyperlink" Target="https://www.teachengineering.org/" TargetMode="External"/><Relationship Id="rId11585" Type="http://schemas.openxmlformats.org/officeDocument/2006/relationships/hyperlink" Target="https://clubhubuk.co.uk/knowing-the-right-time-to-find-a-new-family-home-in-the-uk-market/" TargetMode="External"/><Relationship Id="rId12636" Type="http://schemas.openxmlformats.org/officeDocument/2006/relationships/hyperlink" Target="https://www.r-e-a.net/our-members/our-members-directory/" TargetMode="External"/><Relationship Id="rId1644" Type="http://schemas.openxmlformats.org/officeDocument/2006/relationships/hyperlink" Target="https://www.simpleshowing.com/" TargetMode="External"/><Relationship Id="rId8257" Type="http://schemas.openxmlformats.org/officeDocument/2006/relationships/hyperlink" Target="https://www.clickbank.com/blog/best-traffic-sources-for-affiliate-marketing/" TargetMode="External"/><Relationship Id="rId9308" Type="http://schemas.openxmlformats.org/officeDocument/2006/relationships/hyperlink" Target="https://www.sciencefriday.com/educational-resources/pop-up-book-engineering/" TargetMode="External"/><Relationship Id="rId10187" Type="http://schemas.openxmlformats.org/officeDocument/2006/relationships/hyperlink" Target="https://www.calgaryschild.com/education/support-services/2851-fun-with-steam-foster-a-love-of-science-technology-engineering-and-math" TargetMode="External"/><Relationship Id="rId11238" Type="http://schemas.openxmlformats.org/officeDocument/2006/relationships/hyperlink" Target="https://www.waterdamagespecialist.com.au/" TargetMode="External"/><Relationship Id="rId4867" Type="http://schemas.openxmlformats.org/officeDocument/2006/relationships/hyperlink" Target="https://join.virtuallatinos.com/blog/real-estate-virtual-assistant-jobs/" TargetMode="External"/><Relationship Id="rId15859" Type="http://schemas.openxmlformats.org/officeDocument/2006/relationships/hyperlink" Target="https://myinteriorpalace.com/" TargetMode="External"/><Relationship Id="rId3469" Type="http://schemas.openxmlformats.org/officeDocument/2006/relationships/hyperlink" Target="https://www.pulte.com/" TargetMode="External"/><Relationship Id="rId5918" Type="http://schemas.openxmlformats.org/officeDocument/2006/relationships/hyperlink" Target="https://www.simpleshowing.com/" TargetMode="External"/><Relationship Id="rId7340" Type="http://schemas.openxmlformats.org/officeDocument/2006/relationships/hyperlink" Target="https://www.simpleshowing.com/" TargetMode="External"/><Relationship Id="rId10321" Type="http://schemas.openxmlformats.org/officeDocument/2006/relationships/hyperlink" Target="https://www.teachengineering.org/" TargetMode="External"/><Relationship Id="rId13891" Type="http://schemas.openxmlformats.org/officeDocument/2006/relationships/hyperlink" Target="https://myinteriorpalace.com/" TargetMode="External"/><Relationship Id="rId14942" Type="http://schemas.openxmlformats.org/officeDocument/2006/relationships/hyperlink" Target="https://www.fluidplumbingservices.com.au/" TargetMode="External"/><Relationship Id="rId3950" Type="http://schemas.openxmlformats.org/officeDocument/2006/relationships/hyperlink" Target="https://worldpopulationreview.com/state-rankings/solar-incentives-by-state" TargetMode="External"/><Relationship Id="rId9165" Type="http://schemas.openxmlformats.org/officeDocument/2006/relationships/hyperlink" Target="https://www.pinoyeplans.com/" TargetMode="External"/><Relationship Id="rId12493" Type="http://schemas.openxmlformats.org/officeDocument/2006/relationships/hyperlink" Target="https://sturents.com/" TargetMode="External"/><Relationship Id="rId13544" Type="http://schemas.openxmlformats.org/officeDocument/2006/relationships/hyperlink" Target="https://anationofmoms.com/" TargetMode="External"/><Relationship Id="rId871" Type="http://schemas.openxmlformats.org/officeDocument/2006/relationships/hyperlink" Target="https://www.absolutepestmgmt.com/" TargetMode="External"/><Relationship Id="rId2552" Type="http://schemas.openxmlformats.org/officeDocument/2006/relationships/hyperlink" Target="https://www.ospreyobserver.com/2023/10/pulte-homes-purchases-one-of-last-large-developable-tracts-in-riverview/" TargetMode="External"/><Relationship Id="rId3603" Type="http://schemas.openxmlformats.org/officeDocument/2006/relationships/hyperlink" Target="https://www.simpleshowing.com/" TargetMode="External"/><Relationship Id="rId11095" Type="http://schemas.openxmlformats.org/officeDocument/2006/relationships/hyperlink" Target="https://www.teachengineering.org/" TargetMode="External"/><Relationship Id="rId12146" Type="http://schemas.openxmlformats.org/officeDocument/2006/relationships/hyperlink" Target="https://www.budgetdumpster.com/resources/how-to-dispose-of-yard-waste.php" TargetMode="External"/><Relationship Id="rId524" Type="http://schemas.openxmlformats.org/officeDocument/2006/relationships/hyperlink" Target="https://www.simpleshowing.com/" TargetMode="External"/><Relationship Id="rId1154" Type="http://schemas.openxmlformats.org/officeDocument/2006/relationships/hyperlink" Target="https://havokjournal.com/life-2/why-basements-are-perfect-for-family-game-nights/" TargetMode="External"/><Relationship Id="rId2205" Type="http://schemas.openxmlformats.org/officeDocument/2006/relationships/hyperlink" Target="https://www.simpleshowing.com/" TargetMode="External"/><Relationship Id="rId5775" Type="http://schemas.openxmlformats.org/officeDocument/2006/relationships/hyperlink" Target="https://techysumo.com/how-self-esteem-expands-career-options/" TargetMode="External"/><Relationship Id="rId6826" Type="http://schemas.openxmlformats.org/officeDocument/2006/relationships/hyperlink" Target="https://www.taylormorrison.com/" TargetMode="External"/><Relationship Id="rId15369" Type="http://schemas.openxmlformats.org/officeDocument/2006/relationships/hyperlink" Target="https://www.missljbeauty.com/2025/10/simple-ways-to-make-small-rooms-feel.html" TargetMode="External"/><Relationship Id="rId4377" Type="http://schemas.openxmlformats.org/officeDocument/2006/relationships/hyperlink" Target="https://www.mobilemodular.com/blog/concrete-alternatives-for-greener-construction-initiatives" TargetMode="External"/><Relationship Id="rId5428" Type="http://schemas.openxmlformats.org/officeDocument/2006/relationships/hyperlink" Target="https://www.simpleshowing.com/" TargetMode="External"/><Relationship Id="rId8998" Type="http://schemas.openxmlformats.org/officeDocument/2006/relationships/hyperlink" Target="https://nycestimating.us/" TargetMode="External"/><Relationship Id="rId11979" Type="http://schemas.openxmlformats.org/officeDocument/2006/relationships/hyperlink" Target="https://www.hamiltoninternationalestates.com/" TargetMode="External"/><Relationship Id="rId15850" Type="http://schemas.openxmlformats.org/officeDocument/2006/relationships/hyperlink" Target="https://myinteriorpalace.com/" TargetMode="External"/><Relationship Id="rId3460" Type="http://schemas.openxmlformats.org/officeDocument/2006/relationships/hyperlink" Target="https://www.pulte.com/" TargetMode="External"/><Relationship Id="rId14452" Type="http://schemas.openxmlformats.org/officeDocument/2006/relationships/hyperlink" Target="https://myinteriorpalace.com/" TargetMode="External"/><Relationship Id="rId15503" Type="http://schemas.openxmlformats.org/officeDocument/2006/relationships/hyperlink" Target="https://www.luxdeco.com/" TargetMode="External"/><Relationship Id="rId381" Type="http://schemas.openxmlformats.org/officeDocument/2006/relationships/hyperlink" Target="https://accordinglaw.com/which-legal-clauses-can-make-or-break-your-real-estate-deal/" TargetMode="External"/><Relationship Id="rId2062" Type="http://schemas.openxmlformats.org/officeDocument/2006/relationships/hyperlink" Target="https://markspain.com/" TargetMode="External"/><Relationship Id="rId3113" Type="http://schemas.openxmlformats.org/officeDocument/2006/relationships/hyperlink" Target="https://flyhomes.com/search/details/6028-wildline-dr-saint-cloud-fl-34771/42005830" TargetMode="External"/><Relationship Id="rId4511" Type="http://schemas.openxmlformats.org/officeDocument/2006/relationships/hyperlink" Target="https://www.kapre.com/" TargetMode="External"/><Relationship Id="rId13054" Type="http://schemas.openxmlformats.org/officeDocument/2006/relationships/hyperlink" Target="https://propertypressonline.co.uk/" TargetMode="External"/><Relationship Id="rId14105" Type="http://schemas.openxmlformats.org/officeDocument/2006/relationships/hyperlink" Target="https://keystonecustomdecksny.com/" TargetMode="External"/><Relationship Id="rId6683" Type="http://schemas.openxmlformats.org/officeDocument/2006/relationships/hyperlink" Target="https://www.eplanters.com/blog/" TargetMode="External"/><Relationship Id="rId7734" Type="http://schemas.openxmlformats.org/officeDocument/2006/relationships/hyperlink" Target="https://kiddingaroundgreenville.com/lake-lanier-ga" TargetMode="External"/><Relationship Id="rId10715" Type="http://schemas.openxmlformats.org/officeDocument/2006/relationships/hyperlink" Target="https://capesteamahead.cargo.site/Further-Readings-Resources" TargetMode="External"/><Relationship Id="rId5285" Type="http://schemas.openxmlformats.org/officeDocument/2006/relationships/hyperlink" Target="https://straitsresearch.com/report/debt-settlement-market" TargetMode="External"/><Relationship Id="rId6336" Type="http://schemas.openxmlformats.org/officeDocument/2006/relationships/hyperlink" Target="https://www.simpleshowing.com/" TargetMode="External"/><Relationship Id="rId1895" Type="http://schemas.openxmlformats.org/officeDocument/2006/relationships/hyperlink" Target="https://aisdr.com/inc-5000-companies-ai-prospecting/mark-spain-real-estate/" TargetMode="External"/><Relationship Id="rId2946" Type="http://schemas.openxmlformats.org/officeDocument/2006/relationships/hyperlink" Target="https://www.simpleshowing.com/" TargetMode="External"/><Relationship Id="rId9559" Type="http://schemas.openxmlformats.org/officeDocument/2006/relationships/hyperlink" Target="https://www.teachengineering.org/" TargetMode="External"/><Relationship Id="rId11489" Type="http://schemas.openxmlformats.org/officeDocument/2006/relationships/hyperlink" Target="https://www.hamiltoninternationalestates.com/" TargetMode="External"/><Relationship Id="rId12887" Type="http://schemas.openxmlformats.org/officeDocument/2006/relationships/hyperlink" Target="https://www.shma.co.uk/" TargetMode="External"/><Relationship Id="rId13938" Type="http://schemas.openxmlformats.org/officeDocument/2006/relationships/hyperlink" Target="https://myinteriorpalace.com/average-cost-of-new-siding-installation-explained/" TargetMode="External"/><Relationship Id="rId15360" Type="http://schemas.openxmlformats.org/officeDocument/2006/relationships/hyperlink" Target="https://www.cbinsights.com/company/luxdeco" TargetMode="External"/><Relationship Id="rId918" Type="http://schemas.openxmlformats.org/officeDocument/2006/relationships/hyperlink" Target="https://www.simpleshowing.com/" TargetMode="External"/><Relationship Id="rId1548" Type="http://schemas.openxmlformats.org/officeDocument/2006/relationships/hyperlink" Target="https://www.simpleshowing.com/" TargetMode="External"/><Relationship Id="rId15013" Type="http://schemas.openxmlformats.org/officeDocument/2006/relationships/hyperlink" Target="https://myinteriorpalace.com/" TargetMode="External"/><Relationship Id="rId4021" Type="http://schemas.openxmlformats.org/officeDocument/2006/relationships/hyperlink" Target="https://appleplumbing.com/" TargetMode="External"/><Relationship Id="rId7591" Type="http://schemas.openxmlformats.org/officeDocument/2006/relationships/hyperlink" Target="https://www.simpleshowing.com/" TargetMode="External"/><Relationship Id="rId11970" Type="http://schemas.openxmlformats.org/officeDocument/2006/relationships/hyperlink" Target="https://www.hamiltoninternationalestates.com/" TargetMode="External"/><Relationship Id="rId6193" Type="http://schemas.openxmlformats.org/officeDocument/2006/relationships/hyperlink" Target="https://greensboro.com/news/nation-world/business/personal-finance/article_dcbe56a0-f64d-5c42-a92c-970c25d6b2f4.html" TargetMode="External"/><Relationship Id="rId7244" Type="http://schemas.openxmlformats.org/officeDocument/2006/relationships/hyperlink" Target="https://thegolfwire.com/esplanade-resort-experience-jacksonville/" TargetMode="External"/><Relationship Id="rId8642" Type="http://schemas.openxmlformats.org/officeDocument/2006/relationships/hyperlink" Target="https://www.pinoyeplans.com/" TargetMode="External"/><Relationship Id="rId10572" Type="http://schemas.openxmlformats.org/officeDocument/2006/relationships/hyperlink" Target="https://www.pinoyeplans.com/" TargetMode="External"/><Relationship Id="rId11623" Type="http://schemas.openxmlformats.org/officeDocument/2006/relationships/hyperlink" Target="https://sellhousefast.uk/" TargetMode="External"/><Relationship Id="rId10225" Type="http://schemas.openxmlformats.org/officeDocument/2006/relationships/hyperlink" Target="https://www.teachengineering.org/" TargetMode="External"/><Relationship Id="rId13795" Type="http://schemas.openxmlformats.org/officeDocument/2006/relationships/hyperlink" Target="https://myinteriorpalace.com/" TargetMode="External"/><Relationship Id="rId14846" Type="http://schemas.openxmlformats.org/officeDocument/2006/relationships/hyperlink" Target="https://www.fluidplumbingservices.com.au/" TargetMode="External"/><Relationship Id="rId3854" Type="http://schemas.openxmlformats.org/officeDocument/2006/relationships/hyperlink" Target="https://civiconcepts.com/blog/how-to-protect-outdoor-living-spaces-and-keep-them-looking-new" TargetMode="External"/><Relationship Id="rId4905" Type="http://schemas.openxmlformats.org/officeDocument/2006/relationships/hyperlink" Target="https://www.mainelistings.com/profile/20180721152621939518000000" TargetMode="External"/><Relationship Id="rId12397" Type="http://schemas.openxmlformats.org/officeDocument/2006/relationships/hyperlink" Target="https://sturents.com/" TargetMode="External"/><Relationship Id="rId13448" Type="http://schemas.openxmlformats.org/officeDocument/2006/relationships/hyperlink" Target="https://anationofmoms.com/" TargetMode="External"/><Relationship Id="rId775" Type="http://schemas.openxmlformats.org/officeDocument/2006/relationships/hyperlink" Target="https://wemadethislife.com/why-you-shouldnt-neglect-your-ac-systems-maintenance/" TargetMode="External"/><Relationship Id="rId2456" Type="http://schemas.openxmlformats.org/officeDocument/2006/relationships/hyperlink" Target="https://www.clevelandrealestatetopagent.com/blog/emerald-woods-columbia-station-ohio/" TargetMode="External"/><Relationship Id="rId3507" Type="http://schemas.openxmlformats.org/officeDocument/2006/relationships/hyperlink" Target="https://www.simpleshowing.com/" TargetMode="External"/><Relationship Id="rId9069" Type="http://schemas.openxmlformats.org/officeDocument/2006/relationships/hyperlink" Target="https://www.pinoyeplans.com/" TargetMode="External"/><Relationship Id="rId428" Type="http://schemas.openxmlformats.org/officeDocument/2006/relationships/hyperlink" Target="https://www.simpleshowing.com/" TargetMode="External"/><Relationship Id="rId1058" Type="http://schemas.openxmlformats.org/officeDocument/2006/relationships/hyperlink" Target="https://www.usehatchapp.com/blog/3-reasons-why-you-shouldnt-buy-hatch" TargetMode="External"/><Relationship Id="rId2109" Type="http://schemas.openxmlformats.org/officeDocument/2006/relationships/hyperlink" Target="https://www.simpleshowing.com/" TargetMode="External"/><Relationship Id="rId5679" Type="http://schemas.openxmlformats.org/officeDocument/2006/relationships/hyperlink" Target="https://laptoptestguide.com/turning-a-hobby-into-a-career/" TargetMode="External"/><Relationship Id="rId9550" Type="http://schemas.openxmlformats.org/officeDocument/2006/relationships/hyperlink" Target="https://www.teachengineering.org/" TargetMode="External"/><Relationship Id="rId8152" Type="http://schemas.openxmlformats.org/officeDocument/2006/relationships/hyperlink" Target="https://www.homepros.com/merchants/integrity-home-exteriors/364483" TargetMode="External"/><Relationship Id="rId9203" Type="http://schemas.openxmlformats.org/officeDocument/2006/relationships/hyperlink" Target="https://www.ontoplist.com/roofing-companies/az/phoenix/" TargetMode="External"/><Relationship Id="rId10082" Type="http://schemas.openxmlformats.org/officeDocument/2006/relationships/hyperlink" Target="https://commodity.com/precious-metals/resources/" TargetMode="External"/><Relationship Id="rId11480" Type="http://schemas.openxmlformats.org/officeDocument/2006/relationships/hyperlink" Target="https://www.hamiltoninternationalestates.com/" TargetMode="External"/><Relationship Id="rId12531" Type="http://schemas.openxmlformats.org/officeDocument/2006/relationships/hyperlink" Target="https://www.londonstone.co.uk/garden-design-ideas/driveways/" TargetMode="External"/><Relationship Id="rId11133" Type="http://schemas.openxmlformats.org/officeDocument/2006/relationships/hyperlink" Target="https://www.waterdamagespecialist.com.au/" TargetMode="External"/><Relationship Id="rId15754" Type="http://schemas.openxmlformats.org/officeDocument/2006/relationships/hyperlink" Target="https://myinteriorpalace.com/" TargetMode="External"/><Relationship Id="rId4762" Type="http://schemas.openxmlformats.org/officeDocument/2006/relationships/hyperlink" Target="https://www.simpleshowing.com/" TargetMode="External"/><Relationship Id="rId5813" Type="http://schemas.openxmlformats.org/officeDocument/2006/relationships/hyperlink" Target="https://www.safesearchkids.com/financial-freedom-for-future-doctors-a-step-by-step-guide-to-managing-medical-school-loans/" TargetMode="External"/><Relationship Id="rId14356" Type="http://schemas.openxmlformats.org/officeDocument/2006/relationships/hyperlink" Target="https://myinteriorpalace.com/" TargetMode="External"/><Relationship Id="rId15407" Type="http://schemas.openxmlformats.org/officeDocument/2006/relationships/hyperlink" Target="https://www.luxdeco.com/" TargetMode="External"/><Relationship Id="rId285" Type="http://schemas.openxmlformats.org/officeDocument/2006/relationships/hyperlink" Target="http://northernvirginiahomepro.com/" TargetMode="External"/><Relationship Id="rId3364" Type="http://schemas.openxmlformats.org/officeDocument/2006/relationships/hyperlink" Target="https://www.pulte.com/" TargetMode="External"/><Relationship Id="rId4415" Type="http://schemas.openxmlformats.org/officeDocument/2006/relationships/hyperlink" Target="https://www.kapre.com/" TargetMode="External"/><Relationship Id="rId7985" Type="http://schemas.openxmlformats.org/officeDocument/2006/relationships/hyperlink" Target="https://www.pinoyeplans.com/" TargetMode="External"/><Relationship Id="rId14009" Type="http://schemas.openxmlformats.org/officeDocument/2006/relationships/hyperlink" Target="https://keystonecustomdecksny.com/" TargetMode="External"/><Relationship Id="rId3017" Type="http://schemas.openxmlformats.org/officeDocument/2006/relationships/hyperlink" Target="https://www.sandiegouniontribune.com/2009/08/03/pulte-2q-loss-widens-but-looks-better-than-1q/" TargetMode="External"/><Relationship Id="rId6587" Type="http://schemas.openxmlformats.org/officeDocument/2006/relationships/hyperlink" Target="https://www.simpleshowing.com/" TargetMode="External"/><Relationship Id="rId7638" Type="http://schemas.openxmlformats.org/officeDocument/2006/relationships/hyperlink" Target="https://index.businessinsurance.com/businessinsurance/article/ibnspotlights-2023-6-6-taylor-morrison-home-corp-nyse-tmhc-climbs-to-new-52-week-high" TargetMode="External"/><Relationship Id="rId10619" Type="http://schemas.openxmlformats.org/officeDocument/2006/relationships/hyperlink" Target="https://udayton.edu/engineering/k-12-programs/stem-stories-for-third-grade-students/facilitators.php" TargetMode="External"/><Relationship Id="rId10966" Type="http://schemas.openxmlformats.org/officeDocument/2006/relationships/hyperlink" Target="https://www.teachengineering.org/" TargetMode="External"/><Relationship Id="rId5189" Type="http://schemas.openxmlformats.org/officeDocument/2006/relationships/hyperlink" Target="https://www.creditdonkey.com/national-debt-relief-complaints.html" TargetMode="External"/><Relationship Id="rId9060" Type="http://schemas.openxmlformats.org/officeDocument/2006/relationships/hyperlink" Target="https://www.pinoyeplans.com/" TargetMode="External"/><Relationship Id="rId12041" Type="http://schemas.openxmlformats.org/officeDocument/2006/relationships/hyperlink" Target="https://www.andar.com/blogs/blog/how-to-remove-paint-from-leather" TargetMode="External"/><Relationship Id="rId1799" Type="http://schemas.openxmlformats.org/officeDocument/2006/relationships/hyperlink" Target="https://www.fingerlakes1.com/2025/05/22/what-are-the-best-eco-friendly-investments-for-americans-to-also-save-money/" TargetMode="External"/><Relationship Id="rId2100" Type="http://schemas.openxmlformats.org/officeDocument/2006/relationships/hyperlink" Target="https://www.simpleshowing.com/" TargetMode="External"/><Relationship Id="rId5670" Type="http://schemas.openxmlformats.org/officeDocument/2006/relationships/hyperlink" Target="https://www.simpleshowing.com/" TargetMode="External"/><Relationship Id="rId4272" Type="http://schemas.openxmlformats.org/officeDocument/2006/relationships/hyperlink" Target="https://www.nucamp.co/blog/coding-bootcamp-palau-plw-real-estate-the-complete-guide-to-using-ai-in-the-real-estate-industry-in-palau-in-2025" TargetMode="External"/><Relationship Id="rId5323" Type="http://schemas.openxmlformats.org/officeDocument/2006/relationships/hyperlink" Target="https://news.bitcoin.com/freedom-debt-relief-a-trusted-solution-to-regain-financial-control/" TargetMode="External"/><Relationship Id="rId6721" Type="http://schemas.openxmlformats.org/officeDocument/2006/relationships/hyperlink" Target="https://www.eplanters.com/blog/" TargetMode="External"/><Relationship Id="rId15264" Type="http://schemas.openxmlformats.org/officeDocument/2006/relationships/hyperlink" Target="https://www.yankodesign.com/2023/12/12/shop-for-timeless-christmas-essentials-and-gifts-in-red-white-and-green/" TargetMode="External"/><Relationship Id="rId8893" Type="http://schemas.openxmlformats.org/officeDocument/2006/relationships/hyperlink" Target="https://www.trianglepest.com/" TargetMode="External"/><Relationship Id="rId9944" Type="http://schemas.openxmlformats.org/officeDocument/2006/relationships/hyperlink" Target="https://sites.asee.org/precollege/teacher-resources/" TargetMode="External"/><Relationship Id="rId11874" Type="http://schemas.openxmlformats.org/officeDocument/2006/relationships/hyperlink" Target="https://www.hamiltoninternationalestates.com/" TargetMode="External"/><Relationship Id="rId12925" Type="http://schemas.openxmlformats.org/officeDocument/2006/relationships/hyperlink" Target="https://propertypressonline.co.uk/" TargetMode="External"/><Relationship Id="rId1933" Type="http://schemas.openxmlformats.org/officeDocument/2006/relationships/hyperlink" Target="https://markspain.com/" TargetMode="External"/><Relationship Id="rId6097" Type="http://schemas.openxmlformats.org/officeDocument/2006/relationships/hyperlink" Target="https://bullocksbuzz.com/what-is-debt-consolidation-and-how-it-can-help-you/" TargetMode="External"/><Relationship Id="rId7495" Type="http://schemas.openxmlformats.org/officeDocument/2006/relationships/hyperlink" Target="https://www.simpleshowing.com/" TargetMode="External"/><Relationship Id="rId8546" Type="http://schemas.openxmlformats.org/officeDocument/2006/relationships/hyperlink" Target="https://www.pinoyeplans.com/" TargetMode="External"/><Relationship Id="rId10476" Type="http://schemas.openxmlformats.org/officeDocument/2006/relationships/hyperlink" Target="https://www.pinoyeplans.com/" TargetMode="External"/><Relationship Id="rId11527" Type="http://schemas.openxmlformats.org/officeDocument/2006/relationships/hyperlink" Target="https://ecomagazine.co.uk/the-hidden-environmental-cost-of-prolonged-property-sales/" TargetMode="External"/><Relationship Id="rId7148" Type="http://schemas.openxmlformats.org/officeDocument/2006/relationships/hyperlink" Target="https://www.taylormorrison.com/" TargetMode="External"/><Relationship Id="rId10129" Type="http://schemas.openxmlformats.org/officeDocument/2006/relationships/hyperlink" Target="https://www.teachengineering.org/" TargetMode="External"/><Relationship Id="rId13699" Type="http://schemas.openxmlformats.org/officeDocument/2006/relationships/hyperlink" Target="https://myinteriorpalace.com/" TargetMode="External"/><Relationship Id="rId14000" Type="http://schemas.openxmlformats.org/officeDocument/2006/relationships/hyperlink" Target="https://keystonecustomdecksny.com/" TargetMode="External"/><Relationship Id="rId3758" Type="http://schemas.openxmlformats.org/officeDocument/2006/relationships/hyperlink" Target="https://blog.eskrim.org.tr/?b=92761323" TargetMode="External"/><Relationship Id="rId4809" Type="http://schemas.openxmlformats.org/officeDocument/2006/relationships/hyperlink" Target="https://www.wsfa.com/2024/05/27/high-school-seniors-can-now-get-real-estate-license-free-this-state/" TargetMode="External"/><Relationship Id="rId16172" Type="http://schemas.openxmlformats.org/officeDocument/2006/relationships/hyperlink" Target="https://www.unitedcarpetsandbeds.com/" TargetMode="External"/><Relationship Id="rId679" Type="http://schemas.openxmlformats.org/officeDocument/2006/relationships/hyperlink" Target="https://coastalvirginiamag.com/article/h2obx-waterpark-on-the-outer-banks/" TargetMode="External"/><Relationship Id="rId5180" Type="http://schemas.openxmlformats.org/officeDocument/2006/relationships/hyperlink" Target="https://www.simpleshowing.com/" TargetMode="External"/><Relationship Id="rId6231" Type="http://schemas.openxmlformats.org/officeDocument/2006/relationships/hyperlink" Target="https://careerservices.smumn.edu/blog/2025/10/09/a-job-search-playbook-five-weekly-habits-that-deliver-results/" TargetMode="External"/><Relationship Id="rId10610" Type="http://schemas.openxmlformats.org/officeDocument/2006/relationships/hyperlink" Target="https://training.fema.gov/programs/emischool/emischool.aspx/el361toolkit/fema-emi-mit@fema.dhs.gov" TargetMode="External"/><Relationship Id="rId9454" Type="http://schemas.openxmlformats.org/officeDocument/2006/relationships/hyperlink" Target="https://www.teachengineering.org/" TargetMode="External"/><Relationship Id="rId12782" Type="http://schemas.openxmlformats.org/officeDocument/2006/relationships/hyperlink" Target="https://www.shma.co.uk/" TargetMode="External"/><Relationship Id="rId13833" Type="http://schemas.openxmlformats.org/officeDocument/2006/relationships/hyperlink" Target="https://azbigmedia.com/lifestyle/home-and-design/why-custom-glass-shower-doors-are-they-the-perfect-upgrade-for-your-home/" TargetMode="External"/><Relationship Id="rId1790" Type="http://schemas.openxmlformats.org/officeDocument/2006/relationships/hyperlink" Target="https://keyw.com/ixp/137/p/washington-energy-efficiency/" TargetMode="External"/><Relationship Id="rId2841" Type="http://schemas.openxmlformats.org/officeDocument/2006/relationships/hyperlink" Target="https://www.simpleshowing.com/" TargetMode="External"/><Relationship Id="rId8056" Type="http://schemas.openxmlformats.org/officeDocument/2006/relationships/hyperlink" Target="https://www.pinoyeplans.com/" TargetMode="External"/><Relationship Id="rId9107" Type="http://schemas.openxmlformats.org/officeDocument/2006/relationships/hyperlink" Target="https://kongotech.org/how-to-handle-construction-delays-and-keep-your-project-on-track/" TargetMode="External"/><Relationship Id="rId11384" Type="http://schemas.openxmlformats.org/officeDocument/2006/relationships/hyperlink" Target="https://www.hamiltoninternationalestates.com/" TargetMode="External"/><Relationship Id="rId12435" Type="http://schemas.openxmlformats.org/officeDocument/2006/relationships/hyperlink" Target="https://propertypressonline.co.uk/" TargetMode="External"/><Relationship Id="rId813" Type="http://schemas.openxmlformats.org/officeDocument/2006/relationships/hyperlink" Target="https://www.absolutepestmgmt.com/" TargetMode="External"/><Relationship Id="rId1443" Type="http://schemas.openxmlformats.org/officeDocument/2006/relationships/hyperlink" Target="https://www.simpleshowing.com/" TargetMode="External"/><Relationship Id="rId11037" Type="http://schemas.openxmlformats.org/officeDocument/2006/relationships/hyperlink" Target="https://www.pinoyeplans.com/" TargetMode="External"/><Relationship Id="rId15658" Type="http://schemas.openxmlformats.org/officeDocument/2006/relationships/hyperlink" Target="https://myinteriorpalace.com/" TargetMode="External"/><Relationship Id="rId4666" Type="http://schemas.openxmlformats.org/officeDocument/2006/relationships/hyperlink" Target="https://www.simpleshowing.com/" TargetMode="External"/><Relationship Id="rId5717" Type="http://schemas.openxmlformats.org/officeDocument/2006/relationships/hyperlink" Target="https://algoscale.com/blog/how-data-analytics-is-revolutionizing-lending-decisions-credit-scoring-reinvented/" TargetMode="External"/><Relationship Id="rId3268" Type="http://schemas.openxmlformats.org/officeDocument/2006/relationships/hyperlink" Target="https://www.pulte.com/" TargetMode="External"/><Relationship Id="rId4319" Type="http://schemas.openxmlformats.org/officeDocument/2006/relationships/hyperlink" Target="https://www.kapre.com/" TargetMode="External"/><Relationship Id="rId7889" Type="http://schemas.openxmlformats.org/officeDocument/2006/relationships/hyperlink" Target="https://www.pinoyeplans.com/" TargetMode="External"/><Relationship Id="rId10120" Type="http://schemas.openxmlformats.org/officeDocument/2006/relationships/hyperlink" Target="https://www.teachengineering.org/" TargetMode="External"/><Relationship Id="rId189" Type="http://schemas.openxmlformats.org/officeDocument/2006/relationships/hyperlink" Target="https://www.bayareamodern.com/" TargetMode="External"/><Relationship Id="rId12292" Type="http://schemas.openxmlformats.org/officeDocument/2006/relationships/hyperlink" Target="https://www.ridgefieldconsulting.co.uk/" TargetMode="External"/><Relationship Id="rId13690" Type="http://schemas.openxmlformats.org/officeDocument/2006/relationships/hyperlink" Target="https://myinteriorpalace.com/" TargetMode="External"/><Relationship Id="rId14741" Type="http://schemas.openxmlformats.org/officeDocument/2006/relationships/hyperlink" Target="https://www.easygaragedoorrepair.com/" TargetMode="External"/><Relationship Id="rId670" Type="http://schemas.openxmlformats.org/officeDocument/2006/relationships/hyperlink" Target="https://www.theredheadbaker.com/vacation-recap/" TargetMode="External"/><Relationship Id="rId2351" Type="http://schemas.openxmlformats.org/officeDocument/2006/relationships/hyperlink" Target="https://www.opportunityvillage.org/ovevents/magical-forest" TargetMode="External"/><Relationship Id="rId3402" Type="http://schemas.openxmlformats.org/officeDocument/2006/relationships/hyperlink" Target="https://www.simpleshowing.com/" TargetMode="External"/><Relationship Id="rId4800" Type="http://schemas.openxmlformats.org/officeDocument/2006/relationships/hyperlink" Target="https://edukemy.com/upsc-current-affairs/daily-current-affairs/02-Dec-2021/02-12-2021" TargetMode="External"/><Relationship Id="rId13343" Type="http://schemas.openxmlformats.org/officeDocument/2006/relationships/hyperlink" Target="https://a1floorsnc.com/" TargetMode="External"/><Relationship Id="rId323" Type="http://schemas.openxmlformats.org/officeDocument/2006/relationships/hyperlink" Target="http://hotchkissinsurance.com/" TargetMode="External"/><Relationship Id="rId2004" Type="http://schemas.openxmlformats.org/officeDocument/2006/relationships/hyperlink" Target="https://www.simpleshowing.com/" TargetMode="External"/><Relationship Id="rId6972" Type="http://schemas.openxmlformats.org/officeDocument/2006/relationships/hyperlink" Target="https://www.choicestock.co.kr/search/summary/TMHC" TargetMode="External"/><Relationship Id="rId4176" Type="http://schemas.openxmlformats.org/officeDocument/2006/relationships/hyperlink" Target="https://www.labor.maryland.gov/license/mrec/mrecproviders.shtml" TargetMode="External"/><Relationship Id="rId5574" Type="http://schemas.openxmlformats.org/officeDocument/2006/relationships/hyperlink" Target="https://www.simpleshowing.com/" TargetMode="External"/><Relationship Id="rId6625" Type="http://schemas.openxmlformats.org/officeDocument/2006/relationships/hyperlink" Target="https://dev.robbreport.com.vn/nhung-thiet-ke-noi-that-tich-hop-cong-nghe-moi-khien-ban-tro-nen-khoe-manh-hon/" TargetMode="External"/><Relationship Id="rId15168" Type="http://schemas.openxmlformats.org/officeDocument/2006/relationships/hyperlink" Target="https://richardbrendon.com/blogs/journal/the-art-skill-of-glassblowing" TargetMode="External"/><Relationship Id="rId16219" Type="http://schemas.openxmlformats.org/officeDocument/2006/relationships/hyperlink" Target="https://myinteriorpalace.com/" TargetMode="External"/><Relationship Id="rId5227" Type="http://schemas.openxmlformats.org/officeDocument/2006/relationships/hyperlink" Target="https://www.leewayhertz.com/generative-ai-in-finance-and-banking/" TargetMode="External"/><Relationship Id="rId8797" Type="http://schemas.openxmlformats.org/officeDocument/2006/relationships/hyperlink" Target="https://www.financialsamurai.com/how-to-spot-red-flags-in-off-plan-property-investments/" TargetMode="External"/><Relationship Id="rId9848" Type="http://schemas.openxmlformats.org/officeDocument/2006/relationships/hyperlink" Target="https://go-outdoors.caltech.edu/teachers/resources-for-teachers/other-resources" TargetMode="External"/><Relationship Id="rId11778" Type="http://schemas.openxmlformats.org/officeDocument/2006/relationships/hyperlink" Target="https://www.hamiltoninternationalestates.com/" TargetMode="External"/><Relationship Id="rId12829" Type="http://schemas.openxmlformats.org/officeDocument/2006/relationships/hyperlink" Target="https://propertypressonline.co.uk/" TargetMode="External"/><Relationship Id="rId1837" Type="http://schemas.openxmlformats.org/officeDocument/2006/relationships/hyperlink" Target="https://wolfriverelectric.com/" TargetMode="External"/><Relationship Id="rId7399" Type="http://schemas.openxmlformats.org/officeDocument/2006/relationships/hyperlink" Target="https://www.moen.com/press-room/press-releases/us-moen-awarded-2024-national-account-partner-of-the-year-by-homebuilder-taylor-morrison/" TargetMode="External"/><Relationship Id="rId14251" Type="http://schemas.openxmlformats.org/officeDocument/2006/relationships/hyperlink" Target="https://myinteriorpalace.com/" TargetMode="External"/><Relationship Id="rId15302" Type="http://schemas.openxmlformats.org/officeDocument/2006/relationships/hyperlink" Target="https://www.luxdeco.com/" TargetMode="External"/><Relationship Id="rId4310" Type="http://schemas.openxmlformats.org/officeDocument/2006/relationships/hyperlink" Target="https://www.kapre.com/" TargetMode="External"/><Relationship Id="rId7880" Type="http://schemas.openxmlformats.org/officeDocument/2006/relationships/hyperlink" Target="https://www.pinoyeplans.com/" TargetMode="External"/><Relationship Id="rId180" Type="http://schemas.openxmlformats.org/officeDocument/2006/relationships/hyperlink" Target="https://www.lightboxre.com/" TargetMode="External"/><Relationship Id="rId6482" Type="http://schemas.openxmlformats.org/officeDocument/2006/relationships/hyperlink" Target="https://ahouseinthehills.com/essential-renovation-projects-for-a-luxurious-home-experience/" TargetMode="External"/><Relationship Id="rId7533" Type="http://schemas.openxmlformats.org/officeDocument/2006/relationships/hyperlink" Target="https://www.visualvisitor.com/companies/2985458/taylor_morrison" TargetMode="External"/><Relationship Id="rId8931" Type="http://schemas.openxmlformats.org/officeDocument/2006/relationships/hyperlink" Target="https://www.pinoyeplans.com/" TargetMode="External"/><Relationship Id="rId10861" Type="http://schemas.openxmlformats.org/officeDocument/2006/relationships/hyperlink" Target="https://www.teachengineering.org/" TargetMode="External"/><Relationship Id="rId11912" Type="http://schemas.openxmlformats.org/officeDocument/2006/relationships/hyperlink" Target="https://www.mesotheliomahope.com/blog/how-can-you-tell-if-your-popcorn-ceiling-has-asbestos/" TargetMode="External"/><Relationship Id="rId16076" Type="http://schemas.openxmlformats.org/officeDocument/2006/relationships/hyperlink" Target="https://www.rwdoors.com/" TargetMode="External"/><Relationship Id="rId5084" Type="http://schemas.openxmlformats.org/officeDocument/2006/relationships/hyperlink" Target="https://www.simpleshowing.com/" TargetMode="External"/><Relationship Id="rId6135" Type="http://schemas.openxmlformats.org/officeDocument/2006/relationships/hyperlink" Target="https://forums.justuseapp.com/en/post/XPVT87DCJJ/can-t-login-to-my-freedom-debt-relief-account" TargetMode="External"/><Relationship Id="rId10514" Type="http://schemas.openxmlformats.org/officeDocument/2006/relationships/hyperlink" Target="https://www.outrightcrm.com/blog/ultrasonic-sensor-guide/" TargetMode="External"/><Relationship Id="rId12686" Type="http://schemas.openxmlformats.org/officeDocument/2006/relationships/hyperlink" Target="https://www.shma.co.uk/" TargetMode="External"/><Relationship Id="rId13737" Type="http://schemas.openxmlformats.org/officeDocument/2006/relationships/hyperlink" Target="https://www.save.ca/community/what-to-do-with-your-2014-calendar/" TargetMode="External"/><Relationship Id="rId1694" Type="http://schemas.openxmlformats.org/officeDocument/2006/relationships/hyperlink" Target="https://www.cowboybootstore.co.uk/blog/Cowboy,%20Boots,%20Cowboy%20boots,%20Western,%20Western%20wear,%20Boho,%20Cowgirl" TargetMode="External"/><Relationship Id="rId2745" Type="http://schemas.openxmlformats.org/officeDocument/2006/relationships/hyperlink" Target="https://www.simpleshowing.com/" TargetMode="External"/><Relationship Id="rId9358" Type="http://schemas.openxmlformats.org/officeDocument/2006/relationships/hyperlink" Target="https://www.teachengineering.org/" TargetMode="External"/><Relationship Id="rId11288" Type="http://schemas.openxmlformats.org/officeDocument/2006/relationships/hyperlink" Target="https://www.waterdamagespecialist.com.au/" TargetMode="External"/><Relationship Id="rId12339" Type="http://schemas.openxmlformats.org/officeDocument/2006/relationships/hyperlink" Target="https://propertypressonline.co.uk/" TargetMode="External"/><Relationship Id="rId16210" Type="http://schemas.openxmlformats.org/officeDocument/2006/relationships/hyperlink" Target="https://myinteriorpalace.com/" TargetMode="External"/><Relationship Id="rId717" Type="http://schemas.openxmlformats.org/officeDocument/2006/relationships/hyperlink" Target="https://www.carolinadesigns.com/" TargetMode="External"/><Relationship Id="rId1347" Type="http://schemas.openxmlformats.org/officeDocument/2006/relationships/hyperlink" Target="https://www.simpleshowing.com/" TargetMode="External"/><Relationship Id="rId5968" Type="http://schemas.openxmlformats.org/officeDocument/2006/relationships/hyperlink" Target="https://www.simpleshowing.com/" TargetMode="External"/><Relationship Id="rId53" Type="http://schemas.openxmlformats.org/officeDocument/2006/relationships/hyperlink" Target="http://yucatanmagazine.com/" TargetMode="External"/><Relationship Id="rId7390" Type="http://schemas.openxmlformats.org/officeDocument/2006/relationships/hyperlink" Target="https://www.highperformr.ai/company/taylor-morrison" TargetMode="External"/><Relationship Id="rId8441" Type="http://schemas.openxmlformats.org/officeDocument/2006/relationships/hyperlink" Target="https://www.pinoyeplans.com/" TargetMode="External"/><Relationship Id="rId10371" Type="http://schemas.openxmlformats.org/officeDocument/2006/relationships/hyperlink" Target="https://www.pinoyeplans.com/" TargetMode="External"/><Relationship Id="rId12820" Type="http://schemas.openxmlformats.org/officeDocument/2006/relationships/hyperlink" Target="https://propertypressonline.co.uk/" TargetMode="External"/><Relationship Id="rId7043" Type="http://schemas.openxmlformats.org/officeDocument/2006/relationships/hyperlink" Target="https://www.taylormorrison.com/" TargetMode="External"/><Relationship Id="rId10024" Type="http://schemas.openxmlformats.org/officeDocument/2006/relationships/hyperlink" Target="https://www.teachengineering.org/" TargetMode="External"/><Relationship Id="rId11422" Type="http://schemas.openxmlformats.org/officeDocument/2006/relationships/hyperlink" Target="https://pgs.d22.myftpupload.com/2025/12/how-to-sell-my-house-fast-in-maine-cash-offer-options/" TargetMode="External"/><Relationship Id="rId14992" Type="http://schemas.openxmlformats.org/officeDocument/2006/relationships/hyperlink" Target="https://myinteriorpalace.com/" TargetMode="External"/><Relationship Id="rId13594" Type="http://schemas.openxmlformats.org/officeDocument/2006/relationships/hyperlink" Target="https://myinteriorpalace.com/" TargetMode="External"/><Relationship Id="rId14645" Type="http://schemas.openxmlformats.org/officeDocument/2006/relationships/hyperlink" Target="https://www.easygaragedoorrepair.com/" TargetMode="External"/><Relationship Id="rId574" Type="http://schemas.openxmlformats.org/officeDocument/2006/relationships/hyperlink" Target="https://sunnysweetdays.com/outer-banks/" TargetMode="External"/><Relationship Id="rId2255" Type="http://schemas.openxmlformats.org/officeDocument/2006/relationships/hyperlink" Target="https://www.midgardselfstorage.com/georgia/cumming-ga/post-rd" TargetMode="External"/><Relationship Id="rId3653" Type="http://schemas.openxmlformats.org/officeDocument/2006/relationships/hyperlink" Target="https://swooped.co/job-postings/assistant-construction-manager-carmel-innovative-construction-group-f3b56" TargetMode="External"/><Relationship Id="rId4704" Type="http://schemas.openxmlformats.org/officeDocument/2006/relationships/hyperlink" Target="https://www.wtap.com/2024/05/27/high-school-seniors-can-now-get-real-estate-license-free-this-state/" TargetMode="External"/><Relationship Id="rId12196" Type="http://schemas.openxmlformats.org/officeDocument/2006/relationships/hyperlink" Target="https://www.bobvila.com/" TargetMode="External"/><Relationship Id="rId13247" Type="http://schemas.openxmlformats.org/officeDocument/2006/relationships/hyperlink" Target="https://www.pureinvestor.co.uk/" TargetMode="External"/><Relationship Id="rId227" Type="http://schemas.openxmlformats.org/officeDocument/2006/relationships/hyperlink" Target="http://bluewatermtg.com/" TargetMode="External"/><Relationship Id="rId3306" Type="http://schemas.openxmlformats.org/officeDocument/2006/relationships/hyperlink" Target="https://www.simpleshowing.com/" TargetMode="External"/><Relationship Id="rId6876" Type="http://schemas.openxmlformats.org/officeDocument/2006/relationships/hyperlink" Target="https://www.simpleshowing.com/" TargetMode="External"/><Relationship Id="rId7927" Type="http://schemas.openxmlformats.org/officeDocument/2006/relationships/hyperlink" Target="https://www.marshmallowchallenge.com/blog/repairing-and-restoring-your-business-after-flooding/" TargetMode="External"/><Relationship Id="rId10908" Type="http://schemas.openxmlformats.org/officeDocument/2006/relationships/hyperlink" Target="https://www.pinoyeplans.com/" TargetMode="External"/><Relationship Id="rId5478" Type="http://schemas.openxmlformats.org/officeDocument/2006/relationships/hyperlink" Target="https://www.simpleshowing.com/" TargetMode="External"/><Relationship Id="rId6529" Type="http://schemas.openxmlformats.org/officeDocument/2006/relationships/hyperlink" Target="https://www.simpleshowing.com/" TargetMode="External"/><Relationship Id="rId12330" Type="http://schemas.openxmlformats.org/officeDocument/2006/relationships/hyperlink" Target="https://propertypressonline.co.uk/" TargetMode="External"/><Relationship Id="rId9002" Type="http://schemas.openxmlformats.org/officeDocument/2006/relationships/hyperlink" Target="https://incestflox.net/the-essential-guide-to-accurate-construction-estimation-in-modern-projects/" TargetMode="External"/><Relationship Id="rId4561" Type="http://schemas.openxmlformats.org/officeDocument/2006/relationships/hyperlink" Target="https://www.simpleshowing.com/" TargetMode="External"/><Relationship Id="rId5612" Type="http://schemas.openxmlformats.org/officeDocument/2006/relationships/hyperlink" Target="https://www.simpleshowing.com/" TargetMode="External"/><Relationship Id="rId14155" Type="http://schemas.openxmlformats.org/officeDocument/2006/relationships/hyperlink" Target="https://myinteriorpalace.com/" TargetMode="External"/><Relationship Id="rId15206" Type="http://schemas.openxmlformats.org/officeDocument/2006/relationships/hyperlink" Target="https://www.luxdeco.com/" TargetMode="External"/><Relationship Id="rId15553" Type="http://schemas.openxmlformats.org/officeDocument/2006/relationships/hyperlink" Target="https://myinteriorpalace.com/" TargetMode="External"/><Relationship Id="rId3163" Type="http://schemas.openxmlformats.org/officeDocument/2006/relationships/hyperlink" Target="https://www.pulte.com/" TargetMode="External"/><Relationship Id="rId4214" Type="http://schemas.openxmlformats.org/officeDocument/2006/relationships/hyperlink" Target="https://www.kapre.com/" TargetMode="External"/><Relationship Id="rId6386" Type="http://schemas.openxmlformats.org/officeDocument/2006/relationships/hyperlink" Target="https://www.simpleshowing.com/" TargetMode="External"/><Relationship Id="rId7784" Type="http://schemas.openxmlformats.org/officeDocument/2006/relationships/hyperlink" Target="https://www.hilldrup.com/help-and-support/moving-guides/city-moving-guides/atlanta-moving-guide/" TargetMode="External"/><Relationship Id="rId8835" Type="http://schemas.openxmlformats.org/officeDocument/2006/relationships/hyperlink" Target="https://www.pinoyeplans.com/" TargetMode="External"/><Relationship Id="rId10765" Type="http://schemas.openxmlformats.org/officeDocument/2006/relationships/hyperlink" Target="https://www.teachengineering.org/" TargetMode="External"/><Relationship Id="rId11816" Type="http://schemas.openxmlformats.org/officeDocument/2006/relationships/hyperlink" Target="https://www.insightdiy.co.uk/news/brits-interest-in-retailerled-services-for-home-improvement-/6853.htm" TargetMode="External"/><Relationship Id="rId6039" Type="http://schemas.openxmlformats.org/officeDocument/2006/relationships/hyperlink" Target="https://www.jobma.com/blog/this-is-what-i-was-waiting-for-transitioning-to-the-real-world/" TargetMode="External"/><Relationship Id="rId7437" Type="http://schemas.openxmlformats.org/officeDocument/2006/relationships/hyperlink" Target="https://fintechmagazine.com/company/taylor-morrison" TargetMode="External"/><Relationship Id="rId10418" Type="http://schemas.openxmlformats.org/officeDocument/2006/relationships/hyperlink" Target="https://wattsupwiththat.com/2022/11/23/co2-is-innocent-but-clouds-are-guilty-new-science-has-created-a-black-swan-event/" TargetMode="External"/><Relationship Id="rId13988" Type="http://schemas.openxmlformats.org/officeDocument/2006/relationships/hyperlink" Target="https://faheyroofingcontractors.com/" TargetMode="External"/><Relationship Id="rId2996" Type="http://schemas.openxmlformats.org/officeDocument/2006/relationships/hyperlink" Target="https://www.pressenterprise.com/2016/02/19/pulte-homes-delivers-life-tested174-plans-quickly-and-affordably-at-avelina-in-perris/" TargetMode="External"/><Relationship Id="rId968" Type="http://schemas.openxmlformats.org/officeDocument/2006/relationships/hyperlink" Target="https://homebusinessmag.com/lifestyles/home-improvement/home-design-trends-shaping-way-we-live-today/" TargetMode="External"/><Relationship Id="rId1598" Type="http://schemas.openxmlformats.org/officeDocument/2006/relationships/hyperlink" Target="https://www.sussexexpress.co.uk/education/brighton-hove-is-one-of-the-best-cities-for-graduates-in-2025-see-the-full-top-10-rankings-5173306" TargetMode="External"/><Relationship Id="rId2649" Type="http://schemas.openxmlformats.org/officeDocument/2006/relationships/hyperlink" Target="https://www.simpleshowing.com/" TargetMode="External"/><Relationship Id="rId6520" Type="http://schemas.openxmlformats.org/officeDocument/2006/relationships/hyperlink" Target="https://tamaracamerablog.com/the-difference-between-a-residential-steam-room-shower-kit-and-a-regular-shower/" TargetMode="External"/><Relationship Id="rId15063" Type="http://schemas.openxmlformats.org/officeDocument/2006/relationships/hyperlink" Target="https://www.familydaysout.com/blog/your-guide-to-creating-cozy-corners" TargetMode="External"/><Relationship Id="rId16114" Type="http://schemas.openxmlformats.org/officeDocument/2006/relationships/hyperlink" Target="https://myinteriorpalace.com/" TargetMode="External"/><Relationship Id="rId4071" Type="http://schemas.openxmlformats.org/officeDocument/2006/relationships/hyperlink" Target="https://www.kapre.com/" TargetMode="External"/><Relationship Id="rId5122" Type="http://schemas.openxmlformats.org/officeDocument/2006/relationships/hyperlink" Target="https://www.simpleshowing.com/" TargetMode="External"/><Relationship Id="rId8692" Type="http://schemas.openxmlformats.org/officeDocument/2006/relationships/hyperlink" Target="https://yorkshirewonders.co.uk/innovative-flooring-trends-for-home-remodel-projects" TargetMode="External"/><Relationship Id="rId9743" Type="http://schemas.openxmlformats.org/officeDocument/2006/relationships/hyperlink" Target="https://www.mommymaestra.com/2021/02/" TargetMode="External"/><Relationship Id="rId7294" Type="http://schemas.openxmlformats.org/officeDocument/2006/relationships/hyperlink" Target="https://www.simpleshowing.com/" TargetMode="External"/><Relationship Id="rId8345" Type="http://schemas.openxmlformats.org/officeDocument/2006/relationships/hyperlink" Target="https://www.pinoyeplans.com/" TargetMode="External"/><Relationship Id="rId11673" Type="http://schemas.openxmlformats.org/officeDocument/2006/relationships/hyperlink" Target="https://www.hamiltoninternationalestates.com/" TargetMode="External"/><Relationship Id="rId12724" Type="http://schemas.openxmlformats.org/officeDocument/2006/relationships/hyperlink" Target="https://propertypressonline.co.uk/" TargetMode="External"/><Relationship Id="rId1732" Type="http://schemas.openxmlformats.org/officeDocument/2006/relationships/hyperlink" Target="https://wolfriverelectric.com/" TargetMode="External"/><Relationship Id="rId10275" Type="http://schemas.openxmlformats.org/officeDocument/2006/relationships/hyperlink" Target="https://www.pinoyeplans.com/" TargetMode="External"/><Relationship Id="rId11326" Type="http://schemas.openxmlformats.org/officeDocument/2006/relationships/hyperlink" Target="https://www.hamiltoninternationalestates.com/" TargetMode="External"/><Relationship Id="rId14896" Type="http://schemas.openxmlformats.org/officeDocument/2006/relationships/hyperlink" Target="https://myinteriorpalace.com/" TargetMode="External"/><Relationship Id="rId15947" Type="http://schemas.openxmlformats.org/officeDocument/2006/relationships/hyperlink" Target="https://www.rwdoors.com/" TargetMode="External"/><Relationship Id="rId4955" Type="http://schemas.openxmlformats.org/officeDocument/2006/relationships/hyperlink" Target="https://official.lofty.com/dippidi" TargetMode="External"/><Relationship Id="rId13498" Type="http://schemas.openxmlformats.org/officeDocument/2006/relationships/hyperlink" Target="https://myinteriorpalace.com/" TargetMode="External"/><Relationship Id="rId14549" Type="http://schemas.openxmlformats.org/officeDocument/2006/relationships/hyperlink" Target="https://www.easygaragedoorrepair.com/" TargetMode="External"/><Relationship Id="rId3557" Type="http://schemas.openxmlformats.org/officeDocument/2006/relationships/hyperlink" Target="https://www.remax.com/wa/carnation/home-details/31840-myrtle-lot-39-street-carnation-wa-98014/9581616752043164796/M00000650/2345229" TargetMode="External"/><Relationship Id="rId4608" Type="http://schemas.openxmlformats.org/officeDocument/2006/relationships/hyperlink" Target="https://www.wnem.com/2024/05/27/high-school-seniors-can-now-get-real-estate-license-free-this-state/" TargetMode="External"/><Relationship Id="rId478" Type="http://schemas.openxmlformats.org/officeDocument/2006/relationships/hyperlink" Target="https://www.hmdb.org/m.asp?m=257453" TargetMode="External"/><Relationship Id="rId2159" Type="http://schemas.openxmlformats.org/officeDocument/2006/relationships/hyperlink" Target="https://themusemark.com/the-art-of-waiting-how-insight-forms-before-action/" TargetMode="External"/><Relationship Id="rId6030" Type="http://schemas.openxmlformats.org/officeDocument/2006/relationships/hyperlink" Target="https://www.simpleshowing.com/" TargetMode="External"/><Relationship Id="rId12581" Type="http://schemas.openxmlformats.org/officeDocument/2006/relationships/hyperlink" Target="https://www.shma.co.uk/" TargetMode="External"/><Relationship Id="rId2640" Type="http://schemas.openxmlformats.org/officeDocument/2006/relationships/hyperlink" Target="https://www.simpleshowing.com/" TargetMode="External"/><Relationship Id="rId9253" Type="http://schemas.openxmlformats.org/officeDocument/2006/relationships/hyperlink" Target="https://scgmn.com/" TargetMode="External"/><Relationship Id="rId11183" Type="http://schemas.openxmlformats.org/officeDocument/2006/relationships/hyperlink" Target="https://www.solutionhow.com/en-us/education/professional-solutions-for-sydneys-water-damage/" TargetMode="External"/><Relationship Id="rId12234" Type="http://schemas.openxmlformats.org/officeDocument/2006/relationships/hyperlink" Target="https://propertypressonline.co.uk/" TargetMode="External"/><Relationship Id="rId13632" Type="http://schemas.openxmlformats.org/officeDocument/2006/relationships/hyperlink" Target="https://ilonas-five-star-site-e3803d.webflow.io/" TargetMode="External"/><Relationship Id="rId612" Type="http://schemas.openxmlformats.org/officeDocument/2006/relationships/hyperlink" Target="https://www.carolinadesigns.com/" TargetMode="External"/><Relationship Id="rId1242" Type="http://schemas.openxmlformats.org/officeDocument/2006/relationships/hyperlink" Target="https://www.simpleshowing.com/" TargetMode="External"/><Relationship Id="rId4465" Type="http://schemas.openxmlformats.org/officeDocument/2006/relationships/hyperlink" Target="https://www.simpleshowing.com/" TargetMode="External"/><Relationship Id="rId5863" Type="http://schemas.openxmlformats.org/officeDocument/2006/relationships/hyperlink" Target="https://www.accuweather.com/en/weather-news/dont-wait-until-its-too-late-5-expert-tips-for-getting-your-finances-in-order-before-a-natural-disaster-strikes/343225" TargetMode="External"/><Relationship Id="rId6914" Type="http://schemas.openxmlformats.org/officeDocument/2006/relationships/hyperlink" Target="https://www.simpleshowing.com/" TargetMode="External"/><Relationship Id="rId15457" Type="http://schemas.openxmlformats.org/officeDocument/2006/relationships/hyperlink" Target="https://myinteriorpalace.com/" TargetMode="External"/><Relationship Id="rId3067" Type="http://schemas.openxmlformats.org/officeDocument/2006/relationships/hyperlink" Target="https://www.pulte.com/" TargetMode="External"/><Relationship Id="rId4118" Type="http://schemas.openxmlformats.org/officeDocument/2006/relationships/hyperlink" Target="mailto:davidtullly@gmail.com" TargetMode="External"/><Relationship Id="rId5516" Type="http://schemas.openxmlformats.org/officeDocument/2006/relationships/hyperlink" Target="https://www.simpleshowing.com/" TargetMode="External"/><Relationship Id="rId14059" Type="http://schemas.openxmlformats.org/officeDocument/2006/relationships/hyperlink" Target="https://myinteriorpalace.com/" TargetMode="External"/><Relationship Id="rId7688" Type="http://schemas.openxmlformats.org/officeDocument/2006/relationships/hyperlink" Target="https://discoverlakelanier.com/" TargetMode="External"/><Relationship Id="rId8739" Type="http://schemas.openxmlformats.org/officeDocument/2006/relationships/hyperlink" Target="https://roof-troopers.com/" TargetMode="External"/><Relationship Id="rId10669" Type="http://schemas.openxmlformats.org/officeDocument/2006/relationships/hyperlink" Target="https://www.teachengineering.org/" TargetMode="External"/><Relationship Id="rId14540" Type="http://schemas.openxmlformats.org/officeDocument/2006/relationships/hyperlink" Target="https://www.easygaragedoorrepair.com/" TargetMode="External"/><Relationship Id="rId12091" Type="http://schemas.openxmlformats.org/officeDocument/2006/relationships/hyperlink" Target="https://www.bobvila.com/" TargetMode="External"/><Relationship Id="rId13142" Type="http://schemas.openxmlformats.org/officeDocument/2006/relationships/hyperlink" Target="https://www.shma.co.uk/" TargetMode="External"/><Relationship Id="rId2150" Type="http://schemas.openxmlformats.org/officeDocument/2006/relationships/hyperlink" Target="https://www.letsdiskuss.com/post/what-first-time-sellers-in-florida-need-to-know-in-2025" TargetMode="External"/><Relationship Id="rId3201" Type="http://schemas.openxmlformats.org/officeDocument/2006/relationships/hyperlink" Target="https://www.simpleshowing.com/" TargetMode="External"/><Relationship Id="rId6771" Type="http://schemas.openxmlformats.org/officeDocument/2006/relationships/hyperlink" Target="https://www.simpleshowing.com/" TargetMode="External"/><Relationship Id="rId7822" Type="http://schemas.openxmlformats.org/officeDocument/2006/relationships/hyperlink" Target="https://www.padsplit.com/blog/local-highlights/atlanta/5-of-the-best-day-trips-near-atlanta/" TargetMode="External"/><Relationship Id="rId122" Type="http://schemas.openxmlformats.org/officeDocument/2006/relationships/hyperlink" Target="https://www.fortunebuilders.com/" TargetMode="External"/><Relationship Id="rId5373" Type="http://schemas.openxmlformats.org/officeDocument/2006/relationships/hyperlink" Target="https://www.landlordstudio.com/blog/tax-benefits-of-using-a-heloc-for-real-estate" TargetMode="External"/><Relationship Id="rId6424" Type="http://schemas.openxmlformats.org/officeDocument/2006/relationships/hyperlink" Target="https://www.simpleshowing.com/" TargetMode="External"/><Relationship Id="rId10803" Type="http://schemas.openxmlformats.org/officeDocument/2006/relationships/hyperlink" Target="https://www.pinoyeplans.com/" TargetMode="External"/><Relationship Id="rId16018" Type="http://schemas.openxmlformats.org/officeDocument/2006/relationships/hyperlink" Target="https://myinteriorpalace.com/" TargetMode="External"/><Relationship Id="rId5026" Type="http://schemas.openxmlformats.org/officeDocument/2006/relationships/hyperlink" Target="https://www.simpleshowing.com/" TargetMode="External"/><Relationship Id="rId8596" Type="http://schemas.openxmlformats.org/officeDocument/2006/relationships/hyperlink" Target="https://rebaa.com.au/members/buyers-advocate/" TargetMode="External"/><Relationship Id="rId9994" Type="http://schemas.openxmlformats.org/officeDocument/2006/relationships/hyperlink" Target="https://www.teachengineering.org/" TargetMode="External"/><Relationship Id="rId12975" Type="http://schemas.openxmlformats.org/officeDocument/2006/relationships/hyperlink" Target="https://prospeo.io/t/feefo-customers" TargetMode="External"/><Relationship Id="rId1983" Type="http://schemas.openxmlformats.org/officeDocument/2006/relationships/hyperlink" Target="https://www.simpleshowing.com/" TargetMode="External"/><Relationship Id="rId7198" Type="http://schemas.openxmlformats.org/officeDocument/2006/relationships/hyperlink" Target="https://www.taylormorrison.com/" TargetMode="External"/><Relationship Id="rId8249" Type="http://schemas.openxmlformats.org/officeDocument/2006/relationships/hyperlink" Target="https://www.pinoyeplans.com/" TargetMode="External"/><Relationship Id="rId9647" Type="http://schemas.openxmlformats.org/officeDocument/2006/relationships/hyperlink" Target="https://vet.tufts.edu/news-events/news/animal-based-engineering-challenges-draw-future-vets-and-biomedical-engineers" TargetMode="External"/><Relationship Id="rId11577" Type="http://schemas.openxmlformats.org/officeDocument/2006/relationships/hyperlink" Target="https://www.hamiltoninternationalestates.com/" TargetMode="External"/><Relationship Id="rId12628" Type="http://schemas.openxmlformats.org/officeDocument/2006/relationships/hyperlink" Target="https://propertypressonline.co.uk/" TargetMode="External"/><Relationship Id="rId1636" Type="http://schemas.openxmlformats.org/officeDocument/2006/relationships/hyperlink" Target="https://wolfriverelectric.com/" TargetMode="External"/><Relationship Id="rId10179" Type="http://schemas.openxmlformats.org/officeDocument/2006/relationships/hyperlink" Target="https://www.pinoyeplans.com/" TargetMode="External"/><Relationship Id="rId14050" Type="http://schemas.openxmlformats.org/officeDocument/2006/relationships/hyperlink" Target="https://myinteriorpalace.com/" TargetMode="External"/><Relationship Id="rId15101" Type="http://schemas.openxmlformats.org/officeDocument/2006/relationships/hyperlink" Target="https://www.luxdeco.com/" TargetMode="External"/><Relationship Id="rId4859" Type="http://schemas.openxmlformats.org/officeDocument/2006/relationships/hyperlink" Target="https://www.ihomefinder.com/blog/agent-and-broker-resources/idx-websites/" TargetMode="External"/><Relationship Id="rId8730" Type="http://schemas.openxmlformats.org/officeDocument/2006/relationships/hyperlink" Target="https://roof-troopers.com/" TargetMode="External"/><Relationship Id="rId10660" Type="http://schemas.openxmlformats.org/officeDocument/2006/relationships/hyperlink" Target="https://www.teachengineering.org/" TargetMode="External"/><Relationship Id="rId6281" Type="http://schemas.openxmlformats.org/officeDocument/2006/relationships/hyperlink" Target="https://www.10news.com/news/making-it-in-san-diego/making-it-in-san-diego-getting-the-most-bang-for-your-buck-from-home-renovations" TargetMode="External"/><Relationship Id="rId7332" Type="http://schemas.openxmlformats.org/officeDocument/2006/relationships/hyperlink" Target="https://www.simpleshowing.com/" TargetMode="External"/><Relationship Id="rId10313" Type="http://schemas.openxmlformats.org/officeDocument/2006/relationships/hyperlink" Target="https://www.windsorpubliclibrary.com/learn/index.php/grade-1-8/grade-7/grade-7-understanding-structures-and-mechanisms-form-and-function/" TargetMode="External"/><Relationship Id="rId11711" Type="http://schemas.openxmlformats.org/officeDocument/2006/relationships/hyperlink" Target="https://www.theboltonnews.co.uk/news/17281822.greater-manchester-hit-80-burglaries-every-day/" TargetMode="External"/><Relationship Id="rId13883" Type="http://schemas.openxmlformats.org/officeDocument/2006/relationships/hyperlink" Target="https://embeltonflooring.com/" TargetMode="External"/><Relationship Id="rId14934" Type="http://schemas.openxmlformats.org/officeDocument/2006/relationships/hyperlink" Target="https://pick-kart.com/understanding-the-lifespan-of-hot-water-systems/" TargetMode="External"/><Relationship Id="rId863" Type="http://schemas.openxmlformats.org/officeDocument/2006/relationships/hyperlink" Target="https://www.officefinder.com/officeblog/eco-friendly-ways-to-keep-pests-out-of-the-office/" TargetMode="External"/><Relationship Id="rId1493" Type="http://schemas.openxmlformats.org/officeDocument/2006/relationships/hyperlink" Target="https://www.cleanenergyresourceteams.org/company/wolf-river-electric" TargetMode="External"/><Relationship Id="rId2544" Type="http://schemas.openxmlformats.org/officeDocument/2006/relationships/hyperlink" Target="https://www.simpleshowing.com/" TargetMode="External"/><Relationship Id="rId2891" Type="http://schemas.openxmlformats.org/officeDocument/2006/relationships/hyperlink" Target="https://www.azfamily.com/2024/02/06/you-can-buy-golf-course-home-phoenix-area-less-than-400k/" TargetMode="External"/><Relationship Id="rId3942" Type="http://schemas.openxmlformats.org/officeDocument/2006/relationships/hyperlink" Target="https://www.simpleshowing.com/" TargetMode="External"/><Relationship Id="rId9157" Type="http://schemas.openxmlformats.org/officeDocument/2006/relationships/hyperlink" Target="https://nycestimating.us/" TargetMode="External"/><Relationship Id="rId11087" Type="http://schemas.openxmlformats.org/officeDocument/2006/relationships/hyperlink" Target="https://awesomecolouringpages.web.app/coloring-patterns-in-the-fact-table.html" TargetMode="External"/><Relationship Id="rId12485" Type="http://schemas.openxmlformats.org/officeDocument/2006/relationships/hyperlink" Target="https://www.onthemarket.com/details/17131727/" TargetMode="External"/><Relationship Id="rId13536" Type="http://schemas.openxmlformats.org/officeDocument/2006/relationships/hyperlink" Target="https://gluesticksgumdrops.com/peppermint-snow-ice-cream/" TargetMode="External"/><Relationship Id="rId516" Type="http://schemas.openxmlformats.org/officeDocument/2006/relationships/hyperlink" Target="https://www.carolinadesigns.com/" TargetMode="External"/><Relationship Id="rId1146" Type="http://schemas.openxmlformats.org/officeDocument/2006/relationships/hyperlink" Target="https://www.simpleshowing.com/" TargetMode="External"/><Relationship Id="rId12138" Type="http://schemas.openxmlformats.org/officeDocument/2006/relationships/hyperlink" Target="https://www.hamiltoninternationalestates.com/" TargetMode="External"/><Relationship Id="rId5767" Type="http://schemas.openxmlformats.org/officeDocument/2006/relationships/hyperlink" Target="https://kyma.com/stacker-money/2025/08/05/what-is-a-prepaid-debit-card-and-how-does-it-work/" TargetMode="External"/><Relationship Id="rId6818" Type="http://schemas.openxmlformats.org/officeDocument/2006/relationships/hyperlink" Target="https://www.harvestbyhillwood.com/new-home/builders/taylor-morrison/" TargetMode="External"/><Relationship Id="rId4369" Type="http://schemas.openxmlformats.org/officeDocument/2006/relationships/hyperlink" Target="https://www.simpleshowing.com/" TargetMode="External"/><Relationship Id="rId8240" Type="http://schemas.openxmlformats.org/officeDocument/2006/relationships/hyperlink" Target="https://www.pinoyeplans.com/" TargetMode="External"/><Relationship Id="rId10170" Type="http://schemas.openxmlformats.org/officeDocument/2006/relationships/hyperlink" Target="https://www.pinoyeplans.com/" TargetMode="External"/><Relationship Id="rId11221" Type="http://schemas.openxmlformats.org/officeDocument/2006/relationships/hyperlink" Target="https://www.waterdamagespecialist.com.au/" TargetMode="External"/><Relationship Id="rId14791" Type="http://schemas.openxmlformats.org/officeDocument/2006/relationships/hyperlink" Target="https://myinteriorpalace.com/" TargetMode="External"/><Relationship Id="rId4850" Type="http://schemas.openxmlformats.org/officeDocument/2006/relationships/hyperlink" Target="https://www.simpleshowing.com/" TargetMode="External"/><Relationship Id="rId5901" Type="http://schemas.openxmlformats.org/officeDocument/2006/relationships/hyperlink" Target="https://blog.housesitmatch.com/blog/buying-a-foreclosure-home-your-guide/" TargetMode="External"/><Relationship Id="rId13393" Type="http://schemas.openxmlformats.org/officeDocument/2006/relationships/hyperlink" Target="https://myinteriorpalace.com/" TargetMode="External"/><Relationship Id="rId14444" Type="http://schemas.openxmlformats.org/officeDocument/2006/relationships/hyperlink" Target="https://raynordoor.com/" TargetMode="External"/><Relationship Id="rId15842" Type="http://schemas.openxmlformats.org/officeDocument/2006/relationships/hyperlink" Target="https://www.modinex.com.au/" TargetMode="External"/><Relationship Id="rId3452" Type="http://schemas.openxmlformats.org/officeDocument/2006/relationships/hyperlink" Target="https://www.wbtv.com/story/35850587/heres-how-much-a-new-house-will-cost-you-in-10-charlotte-area-towns-and-cities/" TargetMode="External"/><Relationship Id="rId4503" Type="http://schemas.openxmlformats.org/officeDocument/2006/relationships/hyperlink" Target="https://www.knopnews2.com/2024/05/27/high-school-seniors-can-now-get-real-estate-license-free-this-state/" TargetMode="External"/><Relationship Id="rId13046" Type="http://schemas.openxmlformats.org/officeDocument/2006/relationships/hyperlink" Target="https://www.shma.co.uk/" TargetMode="External"/><Relationship Id="rId373" Type="http://schemas.openxmlformats.org/officeDocument/2006/relationships/hyperlink" Target="https://www.whisperingbold.com/post/striking-the-perfect-balance-designing-your-home-for-comfort-and-future-value" TargetMode="External"/><Relationship Id="rId2054" Type="http://schemas.openxmlformats.org/officeDocument/2006/relationships/hyperlink" Target="https://housesitmatch.com/blog/how-much-does-property-appraisal-cost/" TargetMode="External"/><Relationship Id="rId3105" Type="http://schemas.openxmlformats.org/officeDocument/2006/relationships/hyperlink" Target="https://www.simpleshowing.com/" TargetMode="External"/><Relationship Id="rId6675" Type="http://schemas.openxmlformats.org/officeDocument/2006/relationships/hyperlink" Target="https://raisingteenstoday.com/fun-and-easy-weekend-projects-to-transform-your-teens-bedroom/" TargetMode="External"/><Relationship Id="rId16269" Type="http://schemas.openxmlformats.org/officeDocument/2006/relationships/hyperlink" Target="https://mail.kroxam.com/?m=386912215" TargetMode="External"/><Relationship Id="rId5277" Type="http://schemas.openxmlformats.org/officeDocument/2006/relationships/hyperlink" Target="https://www.agrusslawfirm.com/companies-with-arbitration-clauses/freedom-debt-relief-llc/" TargetMode="External"/><Relationship Id="rId6328" Type="http://schemas.openxmlformats.org/officeDocument/2006/relationships/hyperlink" Target="https://www.simpleshowing.com/" TargetMode="External"/><Relationship Id="rId7726" Type="http://schemas.openxmlformats.org/officeDocument/2006/relationships/hyperlink" Target="https://www.simpleshowing.com/" TargetMode="External"/><Relationship Id="rId10707" Type="http://schemas.openxmlformats.org/officeDocument/2006/relationships/hyperlink" Target="https://www.pinoyeplans.com/" TargetMode="External"/><Relationship Id="rId9898" Type="http://schemas.openxmlformats.org/officeDocument/2006/relationships/hyperlink" Target="https://www.teachengineering.org/" TargetMode="External"/><Relationship Id="rId12879" Type="http://schemas.openxmlformats.org/officeDocument/2006/relationships/hyperlink" Target="https://www.timeshighereducation.com/blog/ofs-framework-undermines-prevent-guidance" TargetMode="External"/><Relationship Id="rId1887" Type="http://schemas.openxmlformats.org/officeDocument/2006/relationships/hyperlink" Target="https://www.simpleshowing.com/" TargetMode="External"/><Relationship Id="rId2938" Type="http://schemas.openxmlformats.org/officeDocument/2006/relationships/hyperlink" Target="https://www.pulte.com/" TargetMode="External"/><Relationship Id="rId15352" Type="http://schemas.openxmlformats.org/officeDocument/2006/relationships/hyperlink" Target="https://myinteriorpalace.com/" TargetMode="External"/><Relationship Id="rId4360" Type="http://schemas.openxmlformats.org/officeDocument/2006/relationships/hyperlink" Target="https://www.simpleshowing.com/" TargetMode="External"/><Relationship Id="rId5411" Type="http://schemas.openxmlformats.org/officeDocument/2006/relationships/hyperlink" Target="https://www.uniqode.com/blog/digital-business-cards-for/financial-advisors" TargetMode="External"/><Relationship Id="rId8981" Type="http://schemas.openxmlformats.org/officeDocument/2006/relationships/hyperlink" Target="https://idiomsinsider.com/smart-wood-quantity-planning-methods-for-cost-controlled-construction/" TargetMode="External"/><Relationship Id="rId15005" Type="http://schemas.openxmlformats.org/officeDocument/2006/relationships/hyperlink" Target="https://www.luxdeco.com/" TargetMode="External"/><Relationship Id="rId4013" Type="http://schemas.openxmlformats.org/officeDocument/2006/relationships/hyperlink" Target="https://appleplumbing.applicantpro.com/jobs/" TargetMode="External"/><Relationship Id="rId7583" Type="http://schemas.openxmlformats.org/officeDocument/2006/relationships/hyperlink" Target="https://www.taylormorrison.com/" TargetMode="External"/><Relationship Id="rId8634" Type="http://schemas.openxmlformats.org/officeDocument/2006/relationships/hyperlink" Target="https://aucklandpremiumpainters.co.nz/" TargetMode="External"/><Relationship Id="rId11962" Type="http://schemas.openxmlformats.org/officeDocument/2006/relationships/hyperlink" Target="https://www.bobvila.com/" TargetMode="External"/><Relationship Id="rId6185" Type="http://schemas.openxmlformats.org/officeDocument/2006/relationships/hyperlink" Target="https://content.unionplus.org/taxonomy_term/money" TargetMode="External"/><Relationship Id="rId7236" Type="http://schemas.openxmlformats.org/officeDocument/2006/relationships/hyperlink" Target="https://www.simpleshowing.com/" TargetMode="External"/><Relationship Id="rId10564" Type="http://schemas.openxmlformats.org/officeDocument/2006/relationships/hyperlink" Target="https://www.teachengineering.org/" TargetMode="External"/><Relationship Id="rId11615" Type="http://schemas.openxmlformats.org/officeDocument/2006/relationships/hyperlink" Target="https://www.tellyexpress.com/how-to-build-your-ideal-home-cinema-for-the-best-film-and-tv-viewing-experience/" TargetMode="External"/><Relationship Id="rId10217" Type="http://schemas.openxmlformats.org/officeDocument/2006/relationships/hyperlink" Target="https://stemeducationjournal.springeropen.com/articles/10.1186/s40594-021-00310-2" TargetMode="External"/><Relationship Id="rId13787" Type="http://schemas.openxmlformats.org/officeDocument/2006/relationships/hyperlink" Target="https://anationofmoms.com/" TargetMode="External"/><Relationship Id="rId14838" Type="http://schemas.openxmlformats.org/officeDocument/2006/relationships/hyperlink" Target="https://2amagazine.com/why-gas-appliances-need-regular-maintenance-more-than-just-a-tune-up/" TargetMode="External"/><Relationship Id="rId1397" Type="http://schemas.openxmlformats.org/officeDocument/2006/relationships/hyperlink" Target="https://wellbeingmagazine.com/the-impact-of-proper-window-cleaning-on-light-and-room-brightness/" TargetMode="External"/><Relationship Id="rId2795" Type="http://schemas.openxmlformats.org/officeDocument/2006/relationships/hyperlink" Target="https://www.stor-n-lock.com/blog/salt-lake-city-residents-arent-leaving-despite-rising-costs" TargetMode="External"/><Relationship Id="rId3846" Type="http://schemas.openxmlformats.org/officeDocument/2006/relationships/hyperlink" Target="https://www.simpleshowing.com/" TargetMode="External"/><Relationship Id="rId12389" Type="http://schemas.openxmlformats.org/officeDocument/2006/relationships/hyperlink" Target="https://www.exeter.ac.uk/students/careers/internships/scp/" TargetMode="External"/><Relationship Id="rId16260" Type="http://schemas.openxmlformats.org/officeDocument/2006/relationships/hyperlink" Target="https://chem-dry.net/chemdryofsanluisobispoca/blog/why-you-should-clean-your-carpets-as-soon-as-possible" TargetMode="External"/><Relationship Id="rId767" Type="http://schemas.openxmlformats.org/officeDocument/2006/relationships/hyperlink" Target="https://www.simpleshowing.com/" TargetMode="External"/><Relationship Id="rId2448" Type="http://schemas.openxmlformats.org/officeDocument/2006/relationships/hyperlink" Target="https://www.simpleshowing.com/" TargetMode="External"/><Relationship Id="rId12870" Type="http://schemas.openxmlformats.org/officeDocument/2006/relationships/hyperlink" Target="https://financialpost.com/legal-post/canadian-lawyer-barry-leon-judge-for-eastern-caribbean-supreme-court-and-other-legal-moves-and-grooves" TargetMode="External"/><Relationship Id="rId8491" Type="http://schemas.openxmlformats.org/officeDocument/2006/relationships/hyperlink" Target="https://www.promoteproject.com/public/index.php/tag/rendering" TargetMode="External"/><Relationship Id="rId9542" Type="http://schemas.openxmlformats.org/officeDocument/2006/relationships/hyperlink" Target="https://www.inspiritai.com/blogs/ai-blog/harvard-summer-camp-opportunities" TargetMode="External"/><Relationship Id="rId11472" Type="http://schemas.openxmlformats.org/officeDocument/2006/relationships/hyperlink" Target="https://sellhousefast.uk/" TargetMode="External"/><Relationship Id="rId12523" Type="http://schemas.openxmlformats.org/officeDocument/2006/relationships/hyperlink" Target="https://propertypressonline.co.uk/" TargetMode="External"/><Relationship Id="rId13921" Type="http://schemas.openxmlformats.org/officeDocument/2006/relationships/hyperlink" Target="https://myinteriorpalace.com/" TargetMode="External"/><Relationship Id="rId901" Type="http://schemas.openxmlformats.org/officeDocument/2006/relationships/hyperlink" Target="https://www.matrixbasements.com/" TargetMode="External"/><Relationship Id="rId1531" Type="http://schemas.openxmlformats.org/officeDocument/2006/relationships/hyperlink" Target="https://wolfriverelectric.com/" TargetMode="External"/><Relationship Id="rId7093" Type="http://schemas.openxmlformats.org/officeDocument/2006/relationships/hyperlink" Target="https://www.simpleshowing.com/" TargetMode="External"/><Relationship Id="rId8144" Type="http://schemas.openxmlformats.org/officeDocument/2006/relationships/hyperlink" Target="https://www.pinoyeplans.com/" TargetMode="External"/><Relationship Id="rId10074" Type="http://schemas.openxmlformats.org/officeDocument/2006/relationships/hyperlink" Target="https://www.pinoyeplans.com/" TargetMode="External"/><Relationship Id="rId11125" Type="http://schemas.openxmlformats.org/officeDocument/2006/relationships/hyperlink" Target="https://thehometrotters.blog/career-opportunities-in-the-water-damage-restoration-industry/" TargetMode="External"/><Relationship Id="rId4754" Type="http://schemas.openxmlformats.org/officeDocument/2006/relationships/hyperlink" Target="https://www.kapre.com/" TargetMode="External"/><Relationship Id="rId13297" Type="http://schemas.openxmlformats.org/officeDocument/2006/relationships/hyperlink" Target="https://myinteriorpalace.com/" TargetMode="External"/><Relationship Id="rId14695" Type="http://schemas.openxmlformats.org/officeDocument/2006/relationships/hyperlink" Target="https://myinteriorpalace.com/" TargetMode="External"/><Relationship Id="rId15746" Type="http://schemas.openxmlformats.org/officeDocument/2006/relationships/hyperlink" Target="https://www.modinex.com.au/" TargetMode="External"/><Relationship Id="rId3356" Type="http://schemas.openxmlformats.org/officeDocument/2006/relationships/hyperlink" Target="https://statestemplate.byf.org/celebrating-national-volunteer-month/" TargetMode="External"/><Relationship Id="rId4407" Type="http://schemas.openxmlformats.org/officeDocument/2006/relationships/hyperlink" Target="https://www.fox8live.com/2024/05/27/high-school-seniors-can-now-get-real-estate-license-free-this-state/" TargetMode="External"/><Relationship Id="rId5805" Type="http://schemas.openxmlformats.org/officeDocument/2006/relationships/hyperlink" Target="https://www.the-entourage.com/blog/the-importance-of-budgeting-in-debt-management-1" TargetMode="External"/><Relationship Id="rId14348" Type="http://schemas.openxmlformats.org/officeDocument/2006/relationships/hyperlink" Target="https://luxurylifestyle.com/" TargetMode="External"/><Relationship Id="rId277" Type="http://schemas.openxmlformats.org/officeDocument/2006/relationships/hyperlink" Target="https://toptenrealestatedeals.com/blog/why-the-last-decade-was-dominated-by-the-ultra-luxury-condo" TargetMode="External"/><Relationship Id="rId3009" Type="http://schemas.openxmlformats.org/officeDocument/2006/relationships/hyperlink" Target="https://www.simpleshowing.com/" TargetMode="External"/><Relationship Id="rId7977" Type="http://schemas.openxmlformats.org/officeDocument/2006/relationships/hyperlink" Target="https://distinctiveroofing.net/" TargetMode="External"/><Relationship Id="rId10958" Type="http://schemas.openxmlformats.org/officeDocument/2006/relationships/hyperlink" Target="https://hx7.c5f.myftpupload.com/2020/04/steam-up-learning-with-50-fabulous-resources/" TargetMode="External"/><Relationship Id="rId6579" Type="http://schemas.openxmlformats.org/officeDocument/2006/relationships/hyperlink" Target="https://hbsdealer.com/thermasol-wood-saunas" TargetMode="External"/><Relationship Id="rId9052" Type="http://schemas.openxmlformats.org/officeDocument/2006/relationships/hyperlink" Target="https://nycestimating.us/" TargetMode="External"/><Relationship Id="rId12380" Type="http://schemas.openxmlformats.org/officeDocument/2006/relationships/hyperlink" Target="https://globaltaiwan.org/2024/09/uk-taiwan-frontier-in-academic-innovation/" TargetMode="External"/><Relationship Id="rId13431" Type="http://schemas.openxmlformats.org/officeDocument/2006/relationships/hyperlink" Target="https://artsycraftsymom.com/caterpillar-crafts-for-kids/" TargetMode="External"/><Relationship Id="rId12033" Type="http://schemas.openxmlformats.org/officeDocument/2006/relationships/hyperlink" Target="https://www.hamiltoninternationalestates.com/" TargetMode="External"/><Relationship Id="rId411" Type="http://schemas.openxmlformats.org/officeDocument/2006/relationships/hyperlink" Target="https://www.carolinadesigns.com/" TargetMode="External"/><Relationship Id="rId1041" Type="http://schemas.openxmlformats.org/officeDocument/2006/relationships/hyperlink" Target="https://www.simpleshowing.com/" TargetMode="External"/><Relationship Id="rId5662" Type="http://schemas.openxmlformats.org/officeDocument/2006/relationships/hyperlink" Target="https://www.simpleshowing.com/" TargetMode="External"/><Relationship Id="rId6713" Type="http://schemas.openxmlformats.org/officeDocument/2006/relationships/hyperlink" Target="https://www.glam.com/1196840/the-best-styling-tips-to-make-your-boring-dresser-look-chic/" TargetMode="External"/><Relationship Id="rId15256" Type="http://schemas.openxmlformats.org/officeDocument/2006/relationships/hyperlink" Target="https://myinteriorpalace.com/" TargetMode="External"/><Relationship Id="rId4264" Type="http://schemas.openxmlformats.org/officeDocument/2006/relationships/hyperlink" Target="https://www.simpleshowing.com/" TargetMode="External"/><Relationship Id="rId5315" Type="http://schemas.openxmlformats.org/officeDocument/2006/relationships/hyperlink" Target="https://www.alibabacloud.com/blog/generative-ai-in-2025-transforming-industries-with-use-cases-%26-trends_602526" TargetMode="External"/><Relationship Id="rId8885" Type="http://schemas.openxmlformats.org/officeDocument/2006/relationships/hyperlink" Target="https://thomaspestservices.com/blog/post/ick-or-treat" TargetMode="External"/><Relationship Id="rId7487" Type="http://schemas.openxmlformats.org/officeDocument/2006/relationships/hyperlink" Target="https://www.taylormorrison.com/" TargetMode="External"/><Relationship Id="rId8538" Type="http://schemas.openxmlformats.org/officeDocument/2006/relationships/hyperlink" Target="https://www.cylind.com/" TargetMode="External"/><Relationship Id="rId9936" Type="http://schemas.openxmlformats.org/officeDocument/2006/relationships/hyperlink" Target="https://www.pinoyeplans.com/" TargetMode="External"/><Relationship Id="rId11866" Type="http://schemas.openxmlformats.org/officeDocument/2006/relationships/hyperlink" Target="https://sellhousefast.uk/" TargetMode="External"/><Relationship Id="rId12917" Type="http://schemas.openxmlformats.org/officeDocument/2006/relationships/hyperlink" Target="https://www.shma.co.uk/" TargetMode="External"/><Relationship Id="rId1925" Type="http://schemas.openxmlformats.org/officeDocument/2006/relationships/hyperlink" Target="https://optimisticmommy.com/creating-a-forever-home-what-families-should-look-for-when-buying/" TargetMode="External"/><Relationship Id="rId6089" Type="http://schemas.openxmlformats.org/officeDocument/2006/relationships/hyperlink" Target="https://share.snipd.com/episode/6a7c70d3-7e4c-4018-a1f0-77f5980cb359" TargetMode="External"/><Relationship Id="rId10468" Type="http://schemas.openxmlformats.org/officeDocument/2006/relationships/hyperlink" Target="https://www.teachengineering.org/" TargetMode="External"/><Relationship Id="rId11519" Type="http://schemas.openxmlformats.org/officeDocument/2006/relationships/hyperlink" Target="https://www.hamiltoninternationalestates.com/" TargetMode="External"/><Relationship Id="rId2699" Type="http://schemas.openxmlformats.org/officeDocument/2006/relationships/hyperlink" Target="http://manateechamber.chambermaster.com/list/searchalpha/p" TargetMode="External"/><Relationship Id="rId3000" Type="http://schemas.openxmlformats.org/officeDocument/2006/relationships/hyperlink" Target="https://www.simpleshowing.com/" TargetMode="External"/><Relationship Id="rId6570" Type="http://schemas.openxmlformats.org/officeDocument/2006/relationships/hyperlink" Target="https://illustrarch.com/articles/19280-why-walk-in-showers-are-a-must-have-in-your-next-bathroom-remodel.html" TargetMode="External"/><Relationship Id="rId7621" Type="http://schemas.openxmlformats.org/officeDocument/2006/relationships/hyperlink" Target="https://www.simpleshowing.com/" TargetMode="External"/><Relationship Id="rId10602" Type="http://schemas.openxmlformats.org/officeDocument/2006/relationships/hyperlink" Target="https://www.pinoyeplans.com/" TargetMode="External"/><Relationship Id="rId16164" Type="http://schemas.openxmlformats.org/officeDocument/2006/relationships/hyperlink" Target="https://www.openingtimesin.uk/united-carpets-and-beds-bristol" TargetMode="External"/><Relationship Id="rId5172" Type="http://schemas.openxmlformats.org/officeDocument/2006/relationships/hyperlink" Target="https://www.simpleshowing.com/" TargetMode="External"/><Relationship Id="rId6223" Type="http://schemas.openxmlformats.org/officeDocument/2006/relationships/hyperlink" Target="https://fremonttribune.com/shopping/article_637c5e59-a016-56a3-9004-53488fefb6ed.html" TargetMode="External"/><Relationship Id="rId9793" Type="http://schemas.openxmlformats.org/officeDocument/2006/relationships/hyperlink" Target="https://www.teachengineering.org/" TargetMode="External"/><Relationship Id="rId1782" Type="http://schemas.openxmlformats.org/officeDocument/2006/relationships/hyperlink" Target="https://www.simpleshowing.com/" TargetMode="External"/><Relationship Id="rId2833" Type="http://schemas.openxmlformats.org/officeDocument/2006/relationships/hyperlink" Target="https://www.pulte.com/" TargetMode="External"/><Relationship Id="rId8395" Type="http://schemas.openxmlformats.org/officeDocument/2006/relationships/hyperlink" Target="https://oysterlink.com/company-profile/24-hour-flood-pros-1/" TargetMode="External"/><Relationship Id="rId9446" Type="http://schemas.openxmlformats.org/officeDocument/2006/relationships/hyperlink" Target="https://littlemedicalschool.com/treasurecoast/steam-education-2/" TargetMode="External"/><Relationship Id="rId11376" Type="http://schemas.openxmlformats.org/officeDocument/2006/relationships/hyperlink" Target="http://webuyhouses.com/" TargetMode="External"/><Relationship Id="rId12774" Type="http://schemas.openxmlformats.org/officeDocument/2006/relationships/hyperlink" Target="https://fi.co/insight/health-tech-startup-resource-list-645-accelerators-incubators-investors-and-more" TargetMode="External"/><Relationship Id="rId13825" Type="http://schemas.openxmlformats.org/officeDocument/2006/relationships/hyperlink" Target="https://myinteriorpalace.com/" TargetMode="External"/><Relationship Id="rId805" Type="http://schemas.openxmlformats.org/officeDocument/2006/relationships/hyperlink" Target="https://michigansaves.org/news/covid-19-safety-standards-you-can-expect-from-your-michigan-saves-contractor/" TargetMode="External"/><Relationship Id="rId1435" Type="http://schemas.openxmlformats.org/officeDocument/2006/relationships/hyperlink" Target="https://ritewindow.com/blog/3-indicators-its-time-to-upgrade-your-shower-or-bath/" TargetMode="External"/><Relationship Id="rId8048" Type="http://schemas.openxmlformats.org/officeDocument/2006/relationships/hyperlink" Target="https://indyroofandrestoration.com/" TargetMode="External"/><Relationship Id="rId11029" Type="http://schemas.openxmlformats.org/officeDocument/2006/relationships/hyperlink" Target="https://www.teachengineering.org/" TargetMode="External"/><Relationship Id="rId12427" Type="http://schemas.openxmlformats.org/officeDocument/2006/relationships/hyperlink" Target="https://sturents.com/" TargetMode="External"/><Relationship Id="rId15997" Type="http://schemas.openxmlformats.org/officeDocument/2006/relationships/hyperlink" Target="https://myinteriorpalace.com/" TargetMode="External"/><Relationship Id="rId14599" Type="http://schemas.openxmlformats.org/officeDocument/2006/relationships/hyperlink" Target="https://myinteriorpalace.com/" TargetMode="External"/><Relationship Id="rId4658" Type="http://schemas.openxmlformats.org/officeDocument/2006/relationships/hyperlink" Target="https://www.kapre.com/" TargetMode="External"/><Relationship Id="rId5709" Type="http://schemas.openxmlformats.org/officeDocument/2006/relationships/hyperlink" Target="https://www.invoiceberry.com/blog/a-guide-to-small-business-loans/" TargetMode="External"/><Relationship Id="rId6080" Type="http://schemas.openxmlformats.org/officeDocument/2006/relationships/hyperlink" Target="https://www.simpleshowing.com/" TargetMode="External"/><Relationship Id="rId7131" Type="http://schemas.openxmlformats.org/officeDocument/2006/relationships/hyperlink" Target="https://www.taylormorrison.com/" TargetMode="External"/><Relationship Id="rId11510" Type="http://schemas.openxmlformats.org/officeDocument/2006/relationships/hyperlink" Target="https://www.hamiltoninternationalestates.com/" TargetMode="External"/><Relationship Id="rId10112" Type="http://schemas.openxmlformats.org/officeDocument/2006/relationships/hyperlink" Target="https://texadasoftware.com/blog/taking-care-of-our-kids-education-during-covid/" TargetMode="External"/><Relationship Id="rId13682" Type="http://schemas.openxmlformats.org/officeDocument/2006/relationships/hyperlink" Target="https://anationofmoms.com/" TargetMode="External"/><Relationship Id="rId14733" Type="http://schemas.openxmlformats.org/officeDocument/2006/relationships/hyperlink" Target="https://news.gcu.edu.pk/en/houston-garage-door-service-hiring/" TargetMode="External"/><Relationship Id="rId2690" Type="http://schemas.openxmlformats.org/officeDocument/2006/relationships/hyperlink" Target="https://www.carnationwa.gov/85-degrees/" TargetMode="External"/><Relationship Id="rId3741" Type="http://schemas.openxmlformats.org/officeDocument/2006/relationships/hyperlink" Target="https://www.simpleshowing.com/" TargetMode="External"/><Relationship Id="rId12284" Type="http://schemas.openxmlformats.org/officeDocument/2006/relationships/hyperlink" Target="https://www.sophisticatedcloud.com/all-blogs/5-ways-to-reinvest-in-your-business-for-growth-and-long-term-success" TargetMode="External"/><Relationship Id="rId13335" Type="http://schemas.openxmlformats.org/officeDocument/2006/relationships/hyperlink" Target="https://www.homelovr.com/how-to-improve-comfort-with-interior-home-upgrades/" TargetMode="External"/><Relationship Id="rId662" Type="http://schemas.openxmlformats.org/officeDocument/2006/relationships/hyperlink" Target="https://www.simpleshowing.com/" TargetMode="External"/><Relationship Id="rId1292" Type="http://schemas.openxmlformats.org/officeDocument/2006/relationships/hyperlink" Target="https://hyscaler.com/insights/property-technology-real-estate/" TargetMode="External"/><Relationship Id="rId2343" Type="http://schemas.openxmlformats.org/officeDocument/2006/relationships/hyperlink" Target="https://www.simpleshowing.com/" TargetMode="External"/><Relationship Id="rId6964" Type="http://schemas.openxmlformats.org/officeDocument/2006/relationships/hyperlink" Target="https://www.simpleshowing.com/" TargetMode="External"/><Relationship Id="rId315" Type="http://schemas.openxmlformats.org/officeDocument/2006/relationships/hyperlink" Target="http://northernvirginiahomepro.com/" TargetMode="External"/><Relationship Id="rId5566" Type="http://schemas.openxmlformats.org/officeDocument/2006/relationships/hyperlink" Target="https://www.simpleshowing.com/" TargetMode="External"/><Relationship Id="rId6617" Type="http://schemas.openxmlformats.org/officeDocument/2006/relationships/hyperlink" Target="https://www.simpleshowing.com/" TargetMode="External"/><Relationship Id="rId4168" Type="http://schemas.openxmlformats.org/officeDocument/2006/relationships/hyperlink" Target="https://www.simpleshowing.com/" TargetMode="External"/><Relationship Id="rId5219" Type="http://schemas.openxmlformats.org/officeDocument/2006/relationships/hyperlink" Target="https://auburnpub.com/news/nation-world/business/" TargetMode="External"/><Relationship Id="rId8789" Type="http://schemas.openxmlformats.org/officeDocument/2006/relationships/hyperlink" Target="https://www.pinoyeplans.com/" TargetMode="External"/><Relationship Id="rId11020" Type="http://schemas.openxmlformats.org/officeDocument/2006/relationships/hyperlink" Target="https://www.teachengineering.org/" TargetMode="External"/><Relationship Id="rId14590" Type="http://schemas.openxmlformats.org/officeDocument/2006/relationships/hyperlink" Target="https://myinteriorpalace.com/" TargetMode="External"/><Relationship Id="rId15641" Type="http://schemas.openxmlformats.org/officeDocument/2006/relationships/hyperlink" Target="https://www.luxdeco.com/" TargetMode="External"/><Relationship Id="rId1829" Type="http://schemas.openxmlformats.org/officeDocument/2006/relationships/hyperlink" Target="https://wobm.com/ixp/942/p/peddlers-village-best-shopping-center/" TargetMode="External"/><Relationship Id="rId5700" Type="http://schemas.openxmlformats.org/officeDocument/2006/relationships/hyperlink" Target="https://www.simpleshowing.com/" TargetMode="External"/><Relationship Id="rId13192" Type="http://schemas.openxmlformats.org/officeDocument/2006/relationships/hyperlink" Target="https://propertypressonline.co.uk/" TargetMode="External"/><Relationship Id="rId14243" Type="http://schemas.openxmlformats.org/officeDocument/2006/relationships/hyperlink" Target="https://luxurylifestyle.com/" TargetMode="External"/><Relationship Id="rId3251" Type="http://schemas.openxmlformats.org/officeDocument/2006/relationships/hyperlink" Target="https://www.oregonlive.com/front-porch/2012/01/case-shiller_us_portland_home.html" TargetMode="External"/><Relationship Id="rId4302" Type="http://schemas.openxmlformats.org/officeDocument/2006/relationships/hyperlink" Target="https://dailymom.com/shine/10-profitable-jobs-that-dont-require-a-degree/" TargetMode="External"/><Relationship Id="rId7872" Type="http://schemas.openxmlformats.org/officeDocument/2006/relationships/hyperlink" Target="https://trustroofing.com/" TargetMode="External"/><Relationship Id="rId8923" Type="http://schemas.openxmlformats.org/officeDocument/2006/relationships/hyperlink" Target="https://nycestimating.us/" TargetMode="External"/><Relationship Id="rId172" Type="http://schemas.openxmlformats.org/officeDocument/2006/relationships/hyperlink" Target="https://www.aaplonline.com/" TargetMode="External"/><Relationship Id="rId6474" Type="http://schemas.openxmlformats.org/officeDocument/2006/relationships/hyperlink" Target="https://www.thermasol.com/" TargetMode="External"/><Relationship Id="rId7525" Type="http://schemas.openxmlformats.org/officeDocument/2006/relationships/hyperlink" Target="https://www.simpleshowing.com/" TargetMode="External"/><Relationship Id="rId10853" Type="http://schemas.openxmlformats.org/officeDocument/2006/relationships/hyperlink" Target="https://forums.atozteacherstuff.com/index.php?threads/tips-for-stretching-out-a-lesson-plan.203218/" TargetMode="External"/><Relationship Id="rId11904" Type="http://schemas.openxmlformats.org/officeDocument/2006/relationships/hyperlink" Target="https://www.hamiltoninternationalestates.com/" TargetMode="External"/><Relationship Id="rId16068" Type="http://schemas.openxmlformats.org/officeDocument/2006/relationships/hyperlink" Target="https://careerservices.smumn.edu/blog/2025/03/24/15-tips-for-environmental-studies-majors-who-are-mapping-their-careers/" TargetMode="External"/><Relationship Id="rId5076" Type="http://schemas.openxmlformats.org/officeDocument/2006/relationships/hyperlink" Target="https://www.simpleshowing.com/" TargetMode="External"/><Relationship Id="rId6127" Type="http://schemas.openxmlformats.org/officeDocument/2006/relationships/hyperlink" Target="https://v2cloud.com/blog/remote-work-for-parents" TargetMode="External"/><Relationship Id="rId9697" Type="http://schemas.openxmlformats.org/officeDocument/2006/relationships/hyperlink" Target="https://www.teachengineering.org/" TargetMode="External"/><Relationship Id="rId10506" Type="http://schemas.openxmlformats.org/officeDocument/2006/relationships/hyperlink" Target="https://www.pinoyeplans.com/" TargetMode="External"/><Relationship Id="rId1686" Type="http://schemas.openxmlformats.org/officeDocument/2006/relationships/hyperlink" Target="https://www.simpleshowing.com/" TargetMode="External"/><Relationship Id="rId8299" Type="http://schemas.openxmlformats.org/officeDocument/2006/relationships/hyperlink" Target="https://www.female.com.au/kitchen-glow-up-2024s-must-have-modern-pendant-lights.htm" TargetMode="External"/><Relationship Id="rId12678" Type="http://schemas.openxmlformats.org/officeDocument/2006/relationships/hyperlink" Target="https://contendlegal.com/family/divorce-separation/pet-arrangements-maintenance/" TargetMode="External"/><Relationship Id="rId13729" Type="http://schemas.openxmlformats.org/officeDocument/2006/relationships/hyperlink" Target="https://myinteriorpalace.com/" TargetMode="External"/><Relationship Id="rId1339" Type="http://schemas.openxmlformats.org/officeDocument/2006/relationships/hyperlink" Target="https://darscover.com/" TargetMode="External"/><Relationship Id="rId2737" Type="http://schemas.openxmlformats.org/officeDocument/2006/relationships/hyperlink" Target="https://www.pulte.com/" TargetMode="External"/><Relationship Id="rId5210" Type="http://schemas.openxmlformats.org/officeDocument/2006/relationships/hyperlink" Target="https://www.simpleshowing.com/" TargetMode="External"/><Relationship Id="rId15151" Type="http://schemas.openxmlformats.org/officeDocument/2006/relationships/hyperlink" Target="https://myinteriorpalace.com/" TargetMode="External"/><Relationship Id="rId16202" Type="http://schemas.openxmlformats.org/officeDocument/2006/relationships/hyperlink" Target="https://www.unitedcarpetsandbeds.com/" TargetMode="External"/><Relationship Id="rId709" Type="http://schemas.openxmlformats.org/officeDocument/2006/relationships/hyperlink" Target="https://woodyhigh123.wixsite.com/jacobandshyanne/accomodations" TargetMode="External"/><Relationship Id="rId8780" Type="http://schemas.openxmlformats.org/officeDocument/2006/relationships/hyperlink" Target="https://www.pinoyeplans.com/" TargetMode="External"/><Relationship Id="rId9831" Type="http://schemas.openxmlformats.org/officeDocument/2006/relationships/hyperlink" Target="https://www.pinoyeplans.com/" TargetMode="External"/><Relationship Id="rId11761" Type="http://schemas.openxmlformats.org/officeDocument/2006/relationships/hyperlink" Target="https://sellhousefast.uk/" TargetMode="External"/><Relationship Id="rId12812" Type="http://schemas.openxmlformats.org/officeDocument/2006/relationships/hyperlink" Target="https://www.shma.co.uk/" TargetMode="External"/><Relationship Id="rId45" Type="http://schemas.openxmlformats.org/officeDocument/2006/relationships/hyperlink" Target="http://100percentnorway.com/" TargetMode="External"/><Relationship Id="rId1820" Type="http://schemas.openxmlformats.org/officeDocument/2006/relationships/hyperlink" Target="https://my1035.com/ixp/12/p/montana-utilities/" TargetMode="External"/><Relationship Id="rId7382" Type="http://schemas.openxmlformats.org/officeDocument/2006/relationships/hyperlink" Target="https://www.simpleshowing.com/" TargetMode="External"/><Relationship Id="rId8433" Type="http://schemas.openxmlformats.org/officeDocument/2006/relationships/hyperlink" Target="https://www.cylind.com/" TargetMode="External"/><Relationship Id="rId10363" Type="http://schemas.openxmlformats.org/officeDocument/2006/relationships/hyperlink" Target="https://www.teachengineering.org/" TargetMode="External"/><Relationship Id="rId11414" Type="http://schemas.openxmlformats.org/officeDocument/2006/relationships/hyperlink" Target="https://www.hamiltoninternationalestates.com/" TargetMode="External"/><Relationship Id="rId3992" Type="http://schemas.openxmlformats.org/officeDocument/2006/relationships/hyperlink" Target="https://riverjournalonline.com/communities/solar-energy-program-turns-homes-into-virtual-power-plants/26155/" TargetMode="External"/><Relationship Id="rId7035" Type="http://schemas.openxmlformats.org/officeDocument/2006/relationships/hyperlink" Target="https://informedinfrastructure.com/41235/americas-most-trusted-homebuilder-reveals-new-design-studio-in-denver/" TargetMode="External"/><Relationship Id="rId10016" Type="http://schemas.openxmlformats.org/officeDocument/2006/relationships/hyperlink" Target="https://usm.maine.edu/stem-outreach/resources/" TargetMode="External"/><Relationship Id="rId13586" Type="http://schemas.openxmlformats.org/officeDocument/2006/relationships/hyperlink" Target="https://anationofmoms.com/" TargetMode="External"/><Relationship Id="rId14984" Type="http://schemas.openxmlformats.org/officeDocument/2006/relationships/hyperlink" Target="https://www.luxdeco.com/" TargetMode="External"/><Relationship Id="rId2594" Type="http://schemas.openxmlformats.org/officeDocument/2006/relationships/hyperlink" Target="https://www.senioradvice.com/articles/buying-a-home-to-age-in-place" TargetMode="External"/><Relationship Id="rId3645" Type="http://schemas.openxmlformats.org/officeDocument/2006/relationships/hyperlink" Target="https://www.simpleshowing.com/" TargetMode="External"/><Relationship Id="rId12188" Type="http://schemas.openxmlformats.org/officeDocument/2006/relationships/hyperlink" Target="https://primeweld.com/blogs/news/garage-and-workshop-plans" TargetMode="External"/><Relationship Id="rId13239" Type="http://schemas.openxmlformats.org/officeDocument/2006/relationships/hyperlink" Target="https://born2invest.com/articles/student-property-buy-let-invest/" TargetMode="External"/><Relationship Id="rId14637" Type="http://schemas.openxmlformats.org/officeDocument/2006/relationships/hyperlink" Target="https://daltxrealestate.com/houston-garage-door-service-hiring/" TargetMode="External"/><Relationship Id="rId566" Type="http://schemas.openxmlformats.org/officeDocument/2006/relationships/hyperlink" Target="https://www.simpleshowing.com/" TargetMode="External"/><Relationship Id="rId1196" Type="http://schemas.openxmlformats.org/officeDocument/2006/relationships/hyperlink" Target="https://americanspcc.org/9-helpful-tips-for-moving-with-kids-without-the-meltdowns/" TargetMode="External"/><Relationship Id="rId2247" Type="http://schemas.openxmlformats.org/officeDocument/2006/relationships/hyperlink" Target="https://www.simpleshowing.com/" TargetMode="External"/><Relationship Id="rId219" Type="http://schemas.openxmlformats.org/officeDocument/2006/relationships/hyperlink" Target="http://northernvirginiahomepro.com/" TargetMode="External"/><Relationship Id="rId6868" Type="http://schemas.openxmlformats.org/officeDocument/2006/relationships/hyperlink" Target="https://www.taylormorrison.com/" TargetMode="External"/><Relationship Id="rId7919" Type="http://schemas.openxmlformats.org/officeDocument/2006/relationships/hyperlink" Target="https://www.pinoyeplans.com/" TargetMode="External"/><Relationship Id="rId8290" Type="http://schemas.openxmlformats.org/officeDocument/2006/relationships/hyperlink" Target="https://interia.com.au/resource/how-to-illuminate-your-path-to-business-productivity/" TargetMode="External"/><Relationship Id="rId9341" Type="http://schemas.openxmlformats.org/officeDocument/2006/relationships/hyperlink" Target="https://www.soinc.org/mission-possible-b" TargetMode="External"/><Relationship Id="rId13720" Type="http://schemas.openxmlformats.org/officeDocument/2006/relationships/hyperlink" Target="https://myinteriorpalace.com/" TargetMode="External"/><Relationship Id="rId11271" Type="http://schemas.openxmlformats.org/officeDocument/2006/relationships/hyperlink" Target="https://www.waterdamagespecialist.com.au/" TargetMode="External"/><Relationship Id="rId12322" Type="http://schemas.openxmlformats.org/officeDocument/2006/relationships/hyperlink" Target="https://sturents.com/" TargetMode="External"/><Relationship Id="rId15892" Type="http://schemas.openxmlformats.org/officeDocument/2006/relationships/hyperlink" Target="https://myinteriorpalace.com/" TargetMode="External"/><Relationship Id="rId700" Type="http://schemas.openxmlformats.org/officeDocument/2006/relationships/hyperlink" Target="https://www.mklibrary.com/10-easy-ways-to-stay-fit-on-a-vacation-without-compromising-fun/" TargetMode="External"/><Relationship Id="rId1330" Type="http://schemas.openxmlformats.org/officeDocument/2006/relationships/hyperlink" Target="https://darscover.com/" TargetMode="External"/><Relationship Id="rId5951" Type="http://schemas.openxmlformats.org/officeDocument/2006/relationships/hyperlink" Target="https://poe.com/p/How-can-I-effectively-communicate-my-concerns-about-unpaid-debts-to-someone-who-seems-uninterested-in-paying" TargetMode="External"/><Relationship Id="rId14494" Type="http://schemas.openxmlformats.org/officeDocument/2006/relationships/hyperlink" Target="https://myinteriorpalace.com/" TargetMode="External"/><Relationship Id="rId15545" Type="http://schemas.openxmlformats.org/officeDocument/2006/relationships/hyperlink" Target="https://www.luxdeco.com/" TargetMode="External"/><Relationship Id="rId4553" Type="http://schemas.openxmlformats.org/officeDocument/2006/relationships/hyperlink" Target="https://www.kapre.com/" TargetMode="External"/><Relationship Id="rId5604" Type="http://schemas.openxmlformats.org/officeDocument/2006/relationships/hyperlink" Target="https://www.simpleshowing.com/" TargetMode="External"/><Relationship Id="rId13096" Type="http://schemas.openxmlformats.org/officeDocument/2006/relationships/hyperlink" Target="https://propertypressonline.co.uk/" TargetMode="External"/><Relationship Id="rId14147" Type="http://schemas.openxmlformats.org/officeDocument/2006/relationships/hyperlink" Target="https://keystonecustomdecksny.com/" TargetMode="External"/><Relationship Id="rId3155" Type="http://schemas.openxmlformats.org/officeDocument/2006/relationships/hyperlink" Target="https://www.eventbrite.com/o/pulte-homes-85979622643" TargetMode="External"/><Relationship Id="rId4206" Type="http://schemas.openxmlformats.org/officeDocument/2006/relationships/hyperlink" Target="https://ark7.com/blog/learn/cities/colorado-real-estate-wholesaling-guide/" TargetMode="External"/><Relationship Id="rId7776" Type="http://schemas.openxmlformats.org/officeDocument/2006/relationships/hyperlink" Target="https://www.simpleshowing.com/" TargetMode="External"/><Relationship Id="rId8827" Type="http://schemas.openxmlformats.org/officeDocument/2006/relationships/hyperlink" Target="https://www.trianglepest.com/" TargetMode="External"/><Relationship Id="rId6378" Type="http://schemas.openxmlformats.org/officeDocument/2006/relationships/hyperlink" Target="https://www.simpleshowing.com/" TargetMode="External"/><Relationship Id="rId7429" Type="http://schemas.openxmlformats.org/officeDocument/2006/relationships/hyperlink" Target="https://www.simpleshowing.com/" TargetMode="External"/><Relationship Id="rId10757" Type="http://schemas.openxmlformats.org/officeDocument/2006/relationships/hyperlink" Target="https://itep.nau.edu/eeop/saturday-academy/student-activities/" TargetMode="External"/><Relationship Id="rId11808" Type="http://schemas.openxmlformats.org/officeDocument/2006/relationships/hyperlink" Target="https://www.hamiltoninternationalestates.com/" TargetMode="External"/><Relationship Id="rId13230" Type="http://schemas.openxmlformats.org/officeDocument/2006/relationships/hyperlink" Target="https://www.thepinnaclelist.com/articles/uk-property-investment-opportunities-4-predicted-buy-to-let-hotspots-for-2019/" TargetMode="External"/><Relationship Id="rId210" Type="http://schemas.openxmlformats.org/officeDocument/2006/relationships/hyperlink" Target="http://northernvirginiahomepro.com/" TargetMode="External"/><Relationship Id="rId2988" Type="http://schemas.openxmlformats.org/officeDocument/2006/relationships/hyperlink" Target="https://www.simpleshowing.com/" TargetMode="External"/><Relationship Id="rId7910" Type="http://schemas.openxmlformats.org/officeDocument/2006/relationships/hyperlink" Target="https://www.pinoyeplans.com/" TargetMode="External"/><Relationship Id="rId5461" Type="http://schemas.openxmlformats.org/officeDocument/2006/relationships/hyperlink" Target="https://careerlaunch.unlv.edu/blog/2025/10/09/a-job-search-playbook-five-weekly-habits-that-deliver-results/" TargetMode="External"/><Relationship Id="rId6512" Type="http://schemas.openxmlformats.org/officeDocument/2006/relationships/hyperlink" Target="https://www.thermasol.com/" TargetMode="External"/><Relationship Id="rId15055" Type="http://schemas.openxmlformats.org/officeDocument/2006/relationships/hyperlink" Target="https://myinteriorpalace.com/" TargetMode="External"/><Relationship Id="rId16106" Type="http://schemas.openxmlformats.org/officeDocument/2006/relationships/hyperlink" Target="https://www.rwdoors.com/" TargetMode="External"/><Relationship Id="rId4063" Type="http://schemas.openxmlformats.org/officeDocument/2006/relationships/hyperlink" Target="mailto:davidtullly@gmail.com" TargetMode="External"/><Relationship Id="rId5114" Type="http://schemas.openxmlformats.org/officeDocument/2006/relationships/hyperlink" Target="https://www.simpleshowing.com/" TargetMode="External"/><Relationship Id="rId8684" Type="http://schemas.openxmlformats.org/officeDocument/2006/relationships/hyperlink" Target="https://www.pinoyeplans.com/" TargetMode="External"/><Relationship Id="rId9735" Type="http://schemas.openxmlformats.org/officeDocument/2006/relationships/hyperlink" Target="https://www.pinoyeplans.com/" TargetMode="External"/><Relationship Id="rId11665" Type="http://schemas.openxmlformats.org/officeDocument/2006/relationships/hyperlink" Target="https://sellhousefast.uk/" TargetMode="External"/><Relationship Id="rId1724" Type="http://schemas.openxmlformats.org/officeDocument/2006/relationships/hyperlink" Target="https://members.woodburychamber.org/list/member/wolf-river-electric-isanti-13429" TargetMode="External"/><Relationship Id="rId7286" Type="http://schemas.openxmlformats.org/officeDocument/2006/relationships/hyperlink" Target="https://www.simpleshowing.com/" TargetMode="External"/><Relationship Id="rId8337" Type="http://schemas.openxmlformats.org/officeDocument/2006/relationships/hyperlink" Target="https://australiansecurecapital.com.au/" TargetMode="External"/><Relationship Id="rId10267" Type="http://schemas.openxmlformats.org/officeDocument/2006/relationships/hyperlink" Target="https://www.teachengineering.org/" TargetMode="External"/><Relationship Id="rId11318" Type="http://schemas.openxmlformats.org/officeDocument/2006/relationships/hyperlink" Target="https://www.savemax.com/" TargetMode="External"/><Relationship Id="rId12716" Type="http://schemas.openxmlformats.org/officeDocument/2006/relationships/hyperlink" Target="https://www.shma.co.uk/" TargetMode="External"/><Relationship Id="rId3896" Type="http://schemas.openxmlformats.org/officeDocument/2006/relationships/hyperlink" Target="https://cfcc.academicworks.com/opportunities/external?page=2" TargetMode="External"/><Relationship Id="rId14888" Type="http://schemas.openxmlformats.org/officeDocument/2006/relationships/hyperlink" Target="https://www.fluidplumbingservices.com.au/" TargetMode="External"/><Relationship Id="rId15939" Type="http://schemas.openxmlformats.org/officeDocument/2006/relationships/hyperlink" Target="https://threebestrated.ca/garage-door-repair-in-vaughan-on" TargetMode="External"/><Relationship Id="rId2498" Type="http://schemas.openxmlformats.org/officeDocument/2006/relationships/hyperlink" Target="https://help-center.pissedconsumer.com/worst-to-best-homebuilders/" TargetMode="External"/><Relationship Id="rId3549" Type="http://schemas.openxmlformats.org/officeDocument/2006/relationships/hyperlink" Target="https://www.simpleshowing.com/" TargetMode="External"/><Relationship Id="rId4947" Type="http://schemas.openxmlformats.org/officeDocument/2006/relationships/hyperlink" Target="https://viasocket.com/integrations/agentfire/proact" TargetMode="External"/><Relationship Id="rId7420" Type="http://schemas.openxmlformats.org/officeDocument/2006/relationships/hyperlink" Target="https://www.simpleshowing.com/" TargetMode="External"/><Relationship Id="rId6022" Type="http://schemas.openxmlformats.org/officeDocument/2006/relationships/hyperlink" Target="https://www.simpleshowing.com/" TargetMode="External"/><Relationship Id="rId10401" Type="http://schemas.openxmlformats.org/officeDocument/2006/relationships/hyperlink" Target="https://www.pinoyeplans.com/" TargetMode="External"/><Relationship Id="rId13971" Type="http://schemas.openxmlformats.org/officeDocument/2006/relationships/hyperlink" Target="https://sunnysweetdays.com/diy-vs-professional-vinyl-siding-installation-which-is-best/" TargetMode="External"/><Relationship Id="rId8194" Type="http://schemas.openxmlformats.org/officeDocument/2006/relationships/hyperlink" Target="https://www.reviewadda.com/institute/details/634636/gd-goenka-world-institute-gdgwi-gurgaon" TargetMode="External"/><Relationship Id="rId9592" Type="http://schemas.openxmlformats.org/officeDocument/2006/relationships/hyperlink" Target="https://www.teachengineering.org/" TargetMode="External"/><Relationship Id="rId12573" Type="http://schemas.openxmlformats.org/officeDocument/2006/relationships/hyperlink" Target="https://www.trinitycollege.com/qualifications/SELT/bristol" TargetMode="External"/><Relationship Id="rId13624" Type="http://schemas.openxmlformats.org/officeDocument/2006/relationships/hyperlink" Target="https://myinteriorpalace.com/" TargetMode="External"/><Relationship Id="rId951" Type="http://schemas.openxmlformats.org/officeDocument/2006/relationships/hyperlink" Target="https://www.simpleshowing.com/" TargetMode="External"/><Relationship Id="rId1581" Type="http://schemas.openxmlformats.org/officeDocument/2006/relationships/hyperlink" Target="https://www.simpleshowing.com/" TargetMode="External"/><Relationship Id="rId2632" Type="http://schemas.openxmlformats.org/officeDocument/2006/relationships/hyperlink" Target="https://www.pulte.com/" TargetMode="External"/><Relationship Id="rId9245" Type="http://schemas.openxmlformats.org/officeDocument/2006/relationships/hyperlink" Target="https://www.thisisbarry.com/film/you-should-have-left-explained-plot-and-ending/" TargetMode="External"/><Relationship Id="rId11175" Type="http://schemas.openxmlformats.org/officeDocument/2006/relationships/hyperlink" Target="https://www.pinoyeplans.com/" TargetMode="External"/><Relationship Id="rId12226" Type="http://schemas.openxmlformats.org/officeDocument/2006/relationships/hyperlink" Target="https://marrons.co.uk/" TargetMode="External"/><Relationship Id="rId15796" Type="http://schemas.openxmlformats.org/officeDocument/2006/relationships/hyperlink" Target="https://myinteriorpalace.com/" TargetMode="External"/><Relationship Id="rId604" Type="http://schemas.openxmlformats.org/officeDocument/2006/relationships/hyperlink" Target="https://jetsettimes.com/inspiration/advice-hacks/a-brief-guide-to-planning-an-intimate-destination-wedding/" TargetMode="External"/><Relationship Id="rId1234" Type="http://schemas.openxmlformats.org/officeDocument/2006/relationships/hyperlink" Target="https://happy2movelondon.co.uk/r" TargetMode="External"/><Relationship Id="rId5855" Type="http://schemas.openxmlformats.org/officeDocument/2006/relationships/hyperlink" Target="https://www.curadebt.com/choose-debt-consolidation-in-philadelphia-pa-over-bankruptcy-heres-why/" TargetMode="External"/><Relationship Id="rId6906" Type="http://schemas.openxmlformats.org/officeDocument/2006/relationships/hyperlink" Target="https://www.taylormorrison.com/" TargetMode="External"/><Relationship Id="rId14398" Type="http://schemas.openxmlformats.org/officeDocument/2006/relationships/hyperlink" Target="https://myinteriorpalace.com/" TargetMode="External"/><Relationship Id="rId15449" Type="http://schemas.openxmlformats.org/officeDocument/2006/relationships/hyperlink" Target="https://www.luxdeco.com/" TargetMode="External"/><Relationship Id="rId4457" Type="http://schemas.openxmlformats.org/officeDocument/2006/relationships/hyperlink" Target="https://www.kapre.com/" TargetMode="External"/><Relationship Id="rId5508" Type="http://schemas.openxmlformats.org/officeDocument/2006/relationships/hyperlink" Target="https://www.simpleshowing.com/" TargetMode="External"/><Relationship Id="rId3059" Type="http://schemas.openxmlformats.org/officeDocument/2006/relationships/hyperlink" Target="https://www.raveis.com/eprop/TB8328674/5633-clearwater-court-lakewood-ranch-fl-34211" TargetMode="External"/><Relationship Id="rId15930" Type="http://schemas.openxmlformats.org/officeDocument/2006/relationships/hyperlink" Target="http://stocks.observer-reporter.com/observerreporter/article/getfeatured-2025-8-13-raynor-garage-doors-of-kansas-city-expands-with-new-location-in-lees-summit-mo" TargetMode="External"/><Relationship Id="rId13481" Type="http://schemas.openxmlformats.org/officeDocument/2006/relationships/hyperlink" Target="https://anationofmoms.com/" TargetMode="External"/><Relationship Id="rId14532" Type="http://schemas.openxmlformats.org/officeDocument/2006/relationships/hyperlink" Target="https://wemadethislife.com/top-6-tips-for-keeping-your-garage-door-running-smoothly/" TargetMode="External"/><Relationship Id="rId1091" Type="http://schemas.openxmlformats.org/officeDocument/2006/relationships/hyperlink" Target="https://www.forgetfulmomma.com/2024/10/17/the-ultimate-guide-to-creating-a-spa-like-bathroom-at-home/" TargetMode="External"/><Relationship Id="rId3540" Type="http://schemas.openxmlformats.org/officeDocument/2006/relationships/hyperlink" Target="https://www.simpleshowing.com/" TargetMode="External"/><Relationship Id="rId12083" Type="http://schemas.openxmlformats.org/officeDocument/2006/relationships/hyperlink" Target="https://www.lawnstarter.com/blog/landscaping/guide-to-pergolas-types-uses-costs/" TargetMode="External"/><Relationship Id="rId13134" Type="http://schemas.openxmlformats.org/officeDocument/2006/relationships/hyperlink" Target="https://blogs.bath.ac.uk/council-digest/2022/11/11/weekly-digest-11-november/" TargetMode="External"/><Relationship Id="rId114" Type="http://schemas.openxmlformats.org/officeDocument/2006/relationships/hyperlink" Target="https://www.hmbreview.com/" TargetMode="External"/><Relationship Id="rId461" Type="http://schemas.openxmlformats.org/officeDocument/2006/relationships/hyperlink" Target="https://www.simpleshowing.com/" TargetMode="External"/><Relationship Id="rId2142" Type="http://schemas.openxmlformats.org/officeDocument/2006/relationships/hyperlink" Target="https://www.simpleshowing.com/" TargetMode="External"/><Relationship Id="rId6763" Type="http://schemas.openxmlformats.org/officeDocument/2006/relationships/hyperlink" Target="https://theprovidencegroup.com/" TargetMode="External"/><Relationship Id="rId7814" Type="http://schemas.openxmlformats.org/officeDocument/2006/relationships/hyperlink" Target="https://www.simpleshowing.com/" TargetMode="External"/><Relationship Id="rId5365" Type="http://schemas.openxmlformats.org/officeDocument/2006/relationships/hyperlink" Target="https://www.zazz.io/blog/guide-to-technical-recruiting/" TargetMode="External"/><Relationship Id="rId6416" Type="http://schemas.openxmlformats.org/officeDocument/2006/relationships/hyperlink" Target="https://www.simpleshowing.com/" TargetMode="External"/><Relationship Id="rId9986" Type="http://schemas.openxmlformats.org/officeDocument/2006/relationships/hyperlink" Target="https://openlab.citytech.cuny.edu/principlesofengineering/2020/05/05/engineering-design-process-and-pedagogy/" TargetMode="External"/><Relationship Id="rId5018" Type="http://schemas.openxmlformats.org/officeDocument/2006/relationships/hyperlink" Target="https://www.simpleshowing.com/" TargetMode="External"/><Relationship Id="rId8588" Type="http://schemas.openxmlformats.org/officeDocument/2006/relationships/hyperlink" Target="https://www.pinoyeplans.com/" TargetMode="External"/><Relationship Id="rId9639" Type="http://schemas.openxmlformats.org/officeDocument/2006/relationships/hyperlink" Target="https://www.pinoyeplans.com/" TargetMode="External"/><Relationship Id="rId12967" Type="http://schemas.openxmlformats.org/officeDocument/2006/relationships/hyperlink" Target="https://propertypressonline.co.uk/" TargetMode="External"/><Relationship Id="rId1628" Type="http://schemas.openxmlformats.org/officeDocument/2006/relationships/hyperlink" Target="https://wmmq.com/ixp/691/p/michigan-consumers-gas-bill-increase/" TargetMode="External"/><Relationship Id="rId1975" Type="http://schemas.openxmlformats.org/officeDocument/2006/relationships/hyperlink" Target="https://markspain.com/" TargetMode="External"/><Relationship Id="rId11569" Type="http://schemas.openxmlformats.org/officeDocument/2006/relationships/hyperlink" Target="https://sellhousefast.uk/" TargetMode="External"/><Relationship Id="rId14042" Type="http://schemas.openxmlformats.org/officeDocument/2006/relationships/hyperlink" Target="https://keystonecustomdecksny.com/" TargetMode="External"/><Relationship Id="rId15440" Type="http://schemas.openxmlformats.org/officeDocument/2006/relationships/hyperlink" Target="https://www.luxdeco.com/" TargetMode="External"/><Relationship Id="rId3050" Type="http://schemas.openxmlformats.org/officeDocument/2006/relationships/hyperlink" Target="https://www.sarasotamagazine.com/home-and-real-estate/2022/09/nokomis-pulte-homes-legacy-groves" TargetMode="External"/><Relationship Id="rId4101" Type="http://schemas.openxmlformats.org/officeDocument/2006/relationships/hyperlink" Target="https://www.investopedia.com/how-to-get-a-real-estate-license-in-new-york-ny-5114757" TargetMode="External"/><Relationship Id="rId7671" Type="http://schemas.openxmlformats.org/officeDocument/2006/relationships/hyperlink" Target="https://supplychaindigital.com/company/taylor-morrison" TargetMode="External"/><Relationship Id="rId8722" Type="http://schemas.openxmlformats.org/officeDocument/2006/relationships/hyperlink" Target="https://bestexteriorsinc.com/blog/nail-pops-on-roof/" TargetMode="External"/><Relationship Id="rId10652" Type="http://schemas.openxmlformats.org/officeDocument/2006/relationships/hyperlink" Target="https://www.scmp.com/yp/discover/lifestyle/features/article/3067560/everything-youve-ever-wanted-know-about-blood-types" TargetMode="External"/><Relationship Id="rId11703" Type="http://schemas.openxmlformats.org/officeDocument/2006/relationships/hyperlink" Target="https://www.hamiltoninternationalestates.com/" TargetMode="External"/><Relationship Id="rId6273" Type="http://schemas.openxmlformats.org/officeDocument/2006/relationships/hyperlink" Target="https://www.myoutdoors.co.uk/snippets/everything-you-need-to-know-about-financing-your-new-vehicle" TargetMode="External"/><Relationship Id="rId7324" Type="http://schemas.openxmlformats.org/officeDocument/2006/relationships/hyperlink" Target="https://www.taylormorrison.com/" TargetMode="External"/><Relationship Id="rId10305" Type="http://schemas.openxmlformats.org/officeDocument/2006/relationships/hyperlink" Target="https://www.pinoyeplans.com/" TargetMode="External"/><Relationship Id="rId13875" Type="http://schemas.openxmlformats.org/officeDocument/2006/relationships/hyperlink" Target="https://myinteriorpalace.com/engineered-timber-vs-solid-timber-which-flooring-option-wins/" TargetMode="External"/><Relationship Id="rId2883" Type="http://schemas.openxmlformats.org/officeDocument/2006/relationships/hyperlink" Target="https://www.simpleshowing.com/" TargetMode="External"/><Relationship Id="rId3934" Type="http://schemas.openxmlformats.org/officeDocument/2006/relationships/hyperlink" Target="https://amjmetalroofing.com.au/" TargetMode="External"/><Relationship Id="rId9496" Type="http://schemas.openxmlformats.org/officeDocument/2006/relationships/hyperlink" Target="https://www.teachengineering.org/" TargetMode="External"/><Relationship Id="rId12477" Type="http://schemas.openxmlformats.org/officeDocument/2006/relationships/hyperlink" Target="https://propertypressonline.co.uk/" TargetMode="External"/><Relationship Id="rId13528" Type="http://schemas.openxmlformats.org/officeDocument/2006/relationships/hyperlink" Target="https://myinteriorpalace.com/" TargetMode="External"/><Relationship Id="rId14926" Type="http://schemas.openxmlformats.org/officeDocument/2006/relationships/hyperlink" Target="https://myinteriorpalace.com/" TargetMode="External"/><Relationship Id="rId855" Type="http://schemas.openxmlformats.org/officeDocument/2006/relationships/hyperlink" Target="https://www.simpleshowing.com/" TargetMode="External"/><Relationship Id="rId1485" Type="http://schemas.openxmlformats.org/officeDocument/2006/relationships/hyperlink" Target="https://www.simpleshowing.com/" TargetMode="External"/><Relationship Id="rId2536" Type="http://schemas.openxmlformats.org/officeDocument/2006/relationships/hyperlink" Target="https://www.pulte.com/" TargetMode="External"/><Relationship Id="rId8098" Type="http://schemas.openxmlformats.org/officeDocument/2006/relationships/hyperlink" Target="https://dream.utah.edu/dream_scholarships.php" TargetMode="External"/><Relationship Id="rId9149" Type="http://schemas.openxmlformats.org/officeDocument/2006/relationships/hyperlink" Target="https://www.broadwayworld.com/westend/regional/In-the-Mat-4288702" TargetMode="External"/><Relationship Id="rId11079" Type="http://schemas.openxmlformats.org/officeDocument/2006/relationships/hyperlink" Target="https://www.pinoyeplans.com/" TargetMode="External"/><Relationship Id="rId16001" Type="http://schemas.openxmlformats.org/officeDocument/2006/relationships/hyperlink" Target="https://www.rwdoors.com/" TargetMode="External"/><Relationship Id="rId508" Type="http://schemas.openxmlformats.org/officeDocument/2006/relationships/hyperlink" Target="https://exploringthenorth.com/outer-banks-oceanfront-rental-amenities/" TargetMode="External"/><Relationship Id="rId1138" Type="http://schemas.openxmlformats.org/officeDocument/2006/relationships/hyperlink" Target="https://www.matrixbasements.com/" TargetMode="External"/><Relationship Id="rId5759" Type="http://schemas.openxmlformats.org/officeDocument/2006/relationships/hyperlink" Target="https://filecamp.com/blog/dam-for-product-launches/" TargetMode="External"/><Relationship Id="rId9630" Type="http://schemas.openxmlformats.org/officeDocument/2006/relationships/hyperlink" Target="https://www.pinoyeplans.com/" TargetMode="External"/><Relationship Id="rId7181" Type="http://schemas.openxmlformats.org/officeDocument/2006/relationships/hyperlink" Target="https://www.taylormorrison.com/" TargetMode="External"/><Relationship Id="rId8232" Type="http://schemas.openxmlformats.org/officeDocument/2006/relationships/hyperlink" Target="https://smaarchviz.com/" TargetMode="External"/><Relationship Id="rId11560" Type="http://schemas.openxmlformats.org/officeDocument/2006/relationships/hyperlink" Target="https://sellhousefast.uk/" TargetMode="External"/><Relationship Id="rId12611" Type="http://schemas.openxmlformats.org/officeDocument/2006/relationships/hyperlink" Target="https://www.shma.co.uk/" TargetMode="External"/><Relationship Id="rId10162" Type="http://schemas.openxmlformats.org/officeDocument/2006/relationships/hyperlink" Target="https://www.teachengineering.org/" TargetMode="External"/><Relationship Id="rId11213" Type="http://schemas.openxmlformats.org/officeDocument/2006/relationships/hyperlink" Target="https://www.waterdamagespecialist.com.au/" TargetMode="External"/><Relationship Id="rId14783" Type="http://schemas.openxmlformats.org/officeDocument/2006/relationships/hyperlink" Target="https://www.easygaragedoorrepair.com/" TargetMode="External"/><Relationship Id="rId15834" Type="http://schemas.openxmlformats.org/officeDocument/2006/relationships/hyperlink" Target="https://lbe.clients.squiz.net/services/your-council/grt/site-delivery" TargetMode="External"/><Relationship Id="rId3791" Type="http://schemas.openxmlformats.org/officeDocument/2006/relationships/hyperlink" Target="https://the-cover-guy.tenereteam.com/" TargetMode="External"/><Relationship Id="rId4842" Type="http://schemas.openxmlformats.org/officeDocument/2006/relationships/hyperlink" Target="https://www.greenbuildermedia.com/blog/18-of-the-best-sustainable-materials-for-building" TargetMode="External"/><Relationship Id="rId13385" Type="http://schemas.openxmlformats.org/officeDocument/2006/relationships/hyperlink" Target="https://anationofmoms.com/" TargetMode="External"/><Relationship Id="rId14436" Type="http://schemas.openxmlformats.org/officeDocument/2006/relationships/hyperlink" Target="https://www.longmontleader.com/directory/hot-tubs-and-spas/mile-high-hot-tubs-88675" TargetMode="External"/><Relationship Id="rId2393" Type="http://schemas.openxmlformats.org/officeDocument/2006/relationships/hyperlink" Target="https://www.felixhomes.com/blog/best-high-production-home-builders-in-tennessee" TargetMode="External"/><Relationship Id="rId3444" Type="http://schemas.openxmlformats.org/officeDocument/2006/relationships/hyperlink" Target="https://www.simpleshowing.com/" TargetMode="External"/><Relationship Id="rId13038" Type="http://schemas.openxmlformats.org/officeDocument/2006/relationships/hyperlink" Target="https://www.ainvest.com/news/regulatory-crackdown-savings-growth-investor-guide-market-share-winners-2603/" TargetMode="External"/><Relationship Id="rId365" Type="http://schemas.openxmlformats.org/officeDocument/2006/relationships/hyperlink" Target="https://www.modlar.com/news/386/maximizing-property-value-tips-for-architects-and-interior-designers-in-real-estate-development/" TargetMode="External"/><Relationship Id="rId2046" Type="http://schemas.openxmlformats.org/officeDocument/2006/relationships/hyperlink" Target="https://www.simpleshowing.com/" TargetMode="External"/><Relationship Id="rId6667" Type="http://schemas.openxmlformats.org/officeDocument/2006/relationships/hyperlink" Target="https://www.simpleshowing.com/" TargetMode="External"/><Relationship Id="rId7718" Type="http://schemas.openxmlformats.org/officeDocument/2006/relationships/hyperlink" Target="https://discoverlakelanier.com/" TargetMode="External"/><Relationship Id="rId5269" Type="http://schemas.openxmlformats.org/officeDocument/2006/relationships/hyperlink" Target="https://blog.internxt.com/identity-theft/" TargetMode="External"/><Relationship Id="rId9140" Type="http://schemas.openxmlformats.org/officeDocument/2006/relationships/hyperlink" Target="https://presscenter.com/strategic-cost-estimation-for-construction-success-a-comprehensive-approach/" TargetMode="External"/><Relationship Id="rId11070" Type="http://schemas.openxmlformats.org/officeDocument/2006/relationships/hyperlink" Target="https://www.pinoyeplans.com/" TargetMode="External"/><Relationship Id="rId12121" Type="http://schemas.openxmlformats.org/officeDocument/2006/relationships/hyperlink" Target="https://www.bobvila.com/" TargetMode="External"/><Relationship Id="rId15691" Type="http://schemas.openxmlformats.org/officeDocument/2006/relationships/hyperlink" Target="https://myinteriorpalace.com/" TargetMode="External"/><Relationship Id="rId1879" Type="http://schemas.openxmlformats.org/officeDocument/2006/relationships/hyperlink" Target="https://markspain.com/" TargetMode="External"/><Relationship Id="rId5750" Type="http://schemas.openxmlformats.org/officeDocument/2006/relationships/hyperlink" Target="https://www.simpleshowing.com/" TargetMode="External"/><Relationship Id="rId6801" Type="http://schemas.openxmlformats.org/officeDocument/2006/relationships/hyperlink" Target="https://www.simpleshowing.com/" TargetMode="External"/><Relationship Id="rId14293" Type="http://schemas.openxmlformats.org/officeDocument/2006/relationships/hyperlink" Target="https://myinteriorpalace.com/" TargetMode="External"/><Relationship Id="rId15344" Type="http://schemas.openxmlformats.org/officeDocument/2006/relationships/hyperlink" Target="https://www.luxdeco.com/" TargetMode="External"/><Relationship Id="rId4005" Type="http://schemas.openxmlformats.org/officeDocument/2006/relationships/hyperlink" Target="https://www.simpleshowing.com/" TargetMode="External"/><Relationship Id="rId4352" Type="http://schemas.openxmlformats.org/officeDocument/2006/relationships/hyperlink" Target="https://www.kapre.com/" TargetMode="External"/><Relationship Id="rId5403" Type="http://schemas.openxmlformats.org/officeDocument/2006/relationships/hyperlink" Target="https://www.abilities.com/2025/09/06/securing-your-future-comprehensive-financial-planning-for-people-with-disabilities" TargetMode="External"/><Relationship Id="rId8973" Type="http://schemas.openxmlformats.org/officeDocument/2006/relationships/hyperlink" Target="https://www.pinoyeplans.com/" TargetMode="External"/><Relationship Id="rId11954" Type="http://schemas.openxmlformats.org/officeDocument/2006/relationships/hyperlink" Target="https://sprinklersupplystore.com/blogs/learning-center/how-to-adjust-sprinkler-heads" TargetMode="External"/><Relationship Id="rId7575" Type="http://schemas.openxmlformats.org/officeDocument/2006/relationships/hyperlink" Target="https://www.essence.com/news/rushcard-introduces-mobile-series-addressing-racial-profiling/" TargetMode="External"/><Relationship Id="rId8626" Type="http://schemas.openxmlformats.org/officeDocument/2006/relationships/hyperlink" Target="https://nextgenwebs.github.io/aucklandpremiumpainters/auckland-plasterer.html" TargetMode="External"/><Relationship Id="rId10556" Type="http://schemas.openxmlformats.org/officeDocument/2006/relationships/hyperlink" Target="https://remc-cdn.fxbrt.com/21Things4Students/21/15-design-thinking/q1-what-is-design-thinking/" TargetMode="External"/><Relationship Id="rId11607" Type="http://schemas.openxmlformats.org/officeDocument/2006/relationships/hyperlink" Target="https://www.hamiltoninternationalestates.com/" TargetMode="External"/><Relationship Id="rId6177" Type="http://schemas.openxmlformats.org/officeDocument/2006/relationships/hyperlink" Target="https://paylinedata.com/blog/effective-strategies-for-reducing-a-credit-card-balance" TargetMode="External"/><Relationship Id="rId7228" Type="http://schemas.openxmlformats.org/officeDocument/2006/relationships/hyperlink" Target="https://www.taylormorrison.com/" TargetMode="External"/><Relationship Id="rId10209" Type="http://schemas.openxmlformats.org/officeDocument/2006/relationships/hyperlink" Target="https://www.pinoyeplans.com/" TargetMode="External"/><Relationship Id="rId2787" Type="http://schemas.openxmlformats.org/officeDocument/2006/relationships/hyperlink" Target="https://www.simpleshowing.com/" TargetMode="External"/><Relationship Id="rId3838" Type="http://schemas.openxmlformats.org/officeDocument/2006/relationships/hyperlink" Target="https://thecoverguy.com/" TargetMode="External"/><Relationship Id="rId13779" Type="http://schemas.openxmlformats.org/officeDocument/2006/relationships/hyperlink" Target="https://www.herotraveler.com/emma-jeff/story/how-to-travel-on-a-budget-2026-smart-ways-to-save-money-in-germany" TargetMode="External"/><Relationship Id="rId16252" Type="http://schemas.openxmlformats.org/officeDocument/2006/relationships/hyperlink" Target="https://myinteriorpalace.com/" TargetMode="External"/><Relationship Id="rId759" Type="http://schemas.openxmlformats.org/officeDocument/2006/relationships/hyperlink" Target="https://www.carolinadesigns.com/" TargetMode="External"/><Relationship Id="rId1389" Type="http://schemas.openxmlformats.org/officeDocument/2006/relationships/hyperlink" Target="https://www.simpleshowing.com/" TargetMode="External"/><Relationship Id="rId5260" Type="http://schemas.openxmlformats.org/officeDocument/2006/relationships/hyperlink" Target="https://www.simpleshowing.com/" TargetMode="External"/><Relationship Id="rId6311" Type="http://schemas.openxmlformats.org/officeDocument/2006/relationships/hyperlink" Target="https://techgenyz.com/tips-to-help-you-pay-off-credit-card-debt/" TargetMode="External"/><Relationship Id="rId8483" Type="http://schemas.openxmlformats.org/officeDocument/2006/relationships/hyperlink" Target="https://www.pinoyeplans.com/" TargetMode="External"/><Relationship Id="rId9881" Type="http://schemas.openxmlformats.org/officeDocument/2006/relationships/hyperlink" Target="https://swe-rms.swe.org/outreach/" TargetMode="External"/><Relationship Id="rId12862" Type="http://schemas.openxmlformats.org/officeDocument/2006/relationships/hyperlink" Target="https://propertypressonline.co.uk/" TargetMode="External"/><Relationship Id="rId13913" Type="http://schemas.openxmlformats.org/officeDocument/2006/relationships/hyperlink" Target="https://faheyroofingcontractors.com/" TargetMode="External"/><Relationship Id="rId95" Type="http://schemas.openxmlformats.org/officeDocument/2006/relationships/hyperlink" Target="http://pixwox.org/" TargetMode="External"/><Relationship Id="rId1870" Type="http://schemas.openxmlformats.org/officeDocument/2006/relationships/hyperlink" Target="https://wolfriverelectric.com/" TargetMode="External"/><Relationship Id="rId2921" Type="http://schemas.openxmlformats.org/officeDocument/2006/relationships/hyperlink" Target="https://www.cnet.com/personal-finance/mortgages/i-found-out-why-brand-new-homes-could-transform-the-housing-market/" TargetMode="External"/><Relationship Id="rId7085" Type="http://schemas.openxmlformats.org/officeDocument/2006/relationships/hyperlink" Target="https://www.taylormorrison.com/" TargetMode="External"/><Relationship Id="rId8136" Type="http://schemas.openxmlformats.org/officeDocument/2006/relationships/hyperlink" Target="https://whiteglovemoving.us/" TargetMode="External"/><Relationship Id="rId9534" Type="http://schemas.openxmlformats.org/officeDocument/2006/relationships/hyperlink" Target="https://www.pinoyeplans.com/" TargetMode="External"/><Relationship Id="rId11464" Type="http://schemas.openxmlformats.org/officeDocument/2006/relationships/hyperlink" Target="https://wepresent.wetransfer.com/stories/is-color-disappearing" TargetMode="External"/><Relationship Id="rId12515" Type="http://schemas.openxmlformats.org/officeDocument/2006/relationships/hyperlink" Target="https://sturents.com/" TargetMode="External"/><Relationship Id="rId1523" Type="http://schemas.openxmlformats.org/officeDocument/2006/relationships/hyperlink" Target="https://99wfmk.com/michigan-summer-ac-setting-recommendation/" TargetMode="External"/><Relationship Id="rId10066" Type="http://schemas.openxmlformats.org/officeDocument/2006/relationships/hyperlink" Target="https://www.teachengineering.org/" TargetMode="External"/><Relationship Id="rId11117" Type="http://schemas.openxmlformats.org/officeDocument/2006/relationships/hyperlink" Target="https://www.pinoyeplans.com/" TargetMode="External"/><Relationship Id="rId14687" Type="http://schemas.openxmlformats.org/officeDocument/2006/relationships/hyperlink" Target="https://www.easygaragedoorrepair.com/" TargetMode="External"/><Relationship Id="rId15738" Type="http://schemas.openxmlformats.org/officeDocument/2006/relationships/hyperlink" Target="https://www.oneflare.com.au/b/modinex-group" TargetMode="External"/><Relationship Id="rId3695" Type="http://schemas.openxmlformats.org/officeDocument/2006/relationships/hyperlink" Target="https://www.infarrantlycreative.net/garage-sensor-blinking-red/" TargetMode="External"/><Relationship Id="rId4746" Type="http://schemas.openxmlformats.org/officeDocument/2006/relationships/hyperlink" Target="https://kaplanmena.com/kaplan-business/" TargetMode="External"/><Relationship Id="rId13289" Type="http://schemas.openxmlformats.org/officeDocument/2006/relationships/hyperlink" Target="https://www.pureinvestor.co.uk/" TargetMode="External"/><Relationship Id="rId2297" Type="http://schemas.openxmlformats.org/officeDocument/2006/relationships/hyperlink" Target="https://www.atlantaparent.com/event/the-annual-easter-event/" TargetMode="External"/><Relationship Id="rId3348" Type="http://schemas.openxmlformats.org/officeDocument/2006/relationships/hyperlink" Target="https://www.simpleshowing.com/" TargetMode="External"/><Relationship Id="rId7969" Type="http://schemas.openxmlformats.org/officeDocument/2006/relationships/hyperlink" Target="https://detailed-food-860226.framer.app/blog/metal-roofing-types-a-guide-to-choosing-the-best" TargetMode="External"/><Relationship Id="rId10200" Type="http://schemas.openxmlformats.org/officeDocument/2006/relationships/hyperlink" Target="https://www.pinoyeplans.com/" TargetMode="External"/><Relationship Id="rId269" Type="http://schemas.openxmlformats.org/officeDocument/2006/relationships/hyperlink" Target="http://tinyhouseplans.com/" TargetMode="External"/><Relationship Id="rId9391" Type="http://schemas.openxmlformats.org/officeDocument/2006/relationships/hyperlink" Target="https://www.teachengineering.org/" TargetMode="External"/><Relationship Id="rId13770" Type="http://schemas.openxmlformats.org/officeDocument/2006/relationships/hyperlink" Target="https://eris.yabaleftonline.ng/en/adagio-advent-calendar.html" TargetMode="External"/><Relationship Id="rId14821" Type="http://schemas.openxmlformats.org/officeDocument/2006/relationships/hyperlink" Target="https://myinteriorpalace.com/" TargetMode="External"/><Relationship Id="rId1380" Type="http://schemas.openxmlformats.org/officeDocument/2006/relationships/hyperlink" Target="https://www.simpleshowing.com/" TargetMode="External"/><Relationship Id="rId9044" Type="http://schemas.openxmlformats.org/officeDocument/2006/relationships/hyperlink" Target="https://punzify.com/data-driven-methods-optimizing-construction.html" TargetMode="External"/><Relationship Id="rId12372" Type="http://schemas.openxmlformats.org/officeDocument/2006/relationships/hyperlink" Target="https://propertypressonline.co.uk/" TargetMode="External"/><Relationship Id="rId13423" Type="http://schemas.openxmlformats.org/officeDocument/2006/relationships/hyperlink" Target="https://myinteriorpalace.com/" TargetMode="External"/><Relationship Id="rId403" Type="http://schemas.openxmlformats.org/officeDocument/2006/relationships/hyperlink" Target="https://www.beycome.com/blog/real-estate-investments-how-navigate-the-market/" TargetMode="External"/><Relationship Id="rId750" Type="http://schemas.openxmlformats.org/officeDocument/2006/relationships/hyperlink" Target="https://www.carolinadesigns.com/" TargetMode="External"/><Relationship Id="rId1033" Type="http://schemas.openxmlformats.org/officeDocument/2006/relationships/hyperlink" Target="https://www.matrixbasements.com/" TargetMode="External"/><Relationship Id="rId2431" Type="http://schemas.openxmlformats.org/officeDocument/2006/relationships/hyperlink" Target="https://www.pulte.com/" TargetMode="External"/><Relationship Id="rId12025" Type="http://schemas.openxmlformats.org/officeDocument/2006/relationships/hyperlink" Target="https://www.bobvila.com/" TargetMode="External"/><Relationship Id="rId15595" Type="http://schemas.openxmlformats.org/officeDocument/2006/relationships/hyperlink" Target="https://myinteriorpalace.com/" TargetMode="External"/><Relationship Id="rId5654" Type="http://schemas.openxmlformats.org/officeDocument/2006/relationships/hyperlink" Target="https://www.simpleshowing.com/" TargetMode="External"/><Relationship Id="rId6705" Type="http://schemas.openxmlformats.org/officeDocument/2006/relationships/hyperlink" Target="https://www.simpleshowing.com/" TargetMode="External"/><Relationship Id="rId14197" Type="http://schemas.openxmlformats.org/officeDocument/2006/relationships/hyperlink" Target="https://myinteriorpalace.com/" TargetMode="External"/><Relationship Id="rId15248" Type="http://schemas.openxmlformats.org/officeDocument/2006/relationships/hyperlink" Target="https://www.luxdeco.com/" TargetMode="External"/><Relationship Id="rId4256" Type="http://schemas.openxmlformats.org/officeDocument/2006/relationships/hyperlink" Target="https://www.kapre.com/" TargetMode="External"/><Relationship Id="rId5307" Type="http://schemas.openxmlformats.org/officeDocument/2006/relationships/hyperlink" Target="https://cartflows.com/blog/woocommerce-vs-shopify/" TargetMode="External"/><Relationship Id="rId8877" Type="http://schemas.openxmlformats.org/officeDocument/2006/relationships/hyperlink" Target="https://www.pinoyeplans.com/" TargetMode="External"/><Relationship Id="rId9928" Type="http://schemas.openxmlformats.org/officeDocument/2006/relationships/hyperlink" Target="https://www.teachengineering.org/" TargetMode="External"/><Relationship Id="rId1917" Type="http://schemas.openxmlformats.org/officeDocument/2006/relationships/hyperlink" Target="https://www.simpleshowing.com/" TargetMode="External"/><Relationship Id="rId7479" Type="http://schemas.openxmlformats.org/officeDocument/2006/relationships/hyperlink" Target="https://www.snapdocs.com/resource-center/video/road-to-adoption" TargetMode="External"/><Relationship Id="rId11858" Type="http://schemas.openxmlformats.org/officeDocument/2006/relationships/hyperlink" Target="https://archive.thetab.com/uk/sheffield/2019/10/31/student-houses-at-sheffield-uni-are-cheapest-in-the-uk-study-says-40675" TargetMode="External"/><Relationship Id="rId12909" Type="http://schemas.openxmlformats.org/officeDocument/2006/relationships/hyperlink" Target="https://www.wigantoday.net/lifestyle/homes-and-gardens/shakespeare-martineau-advises-great-places-on-major-ps104m-wigan-housing-deal-5128896" TargetMode="External"/><Relationship Id="rId13280" Type="http://schemas.openxmlformats.org/officeDocument/2006/relationships/hyperlink" Target="https://www.pureinvestor.co.uk/" TargetMode="External"/><Relationship Id="rId14331" Type="http://schemas.openxmlformats.org/officeDocument/2006/relationships/hyperlink" Target="https://gisuser.com/2025/04/balance-not-dependence-how-to-integrate-kratom-into-a-healthy-daily-routine/" TargetMode="External"/><Relationship Id="rId260" Type="http://schemas.openxmlformats.org/officeDocument/2006/relationships/hyperlink" Target="http://articles.avarchitectsbuild.com/" TargetMode="External"/><Relationship Id="rId7960" Type="http://schemas.openxmlformats.org/officeDocument/2006/relationships/hyperlink" Target="https://thesiliconreview.com/2025/08/what-smart-technology-means-for-the-future-of-roofing" TargetMode="External"/><Relationship Id="rId10941" Type="http://schemas.openxmlformats.org/officeDocument/2006/relationships/hyperlink" Target="https://www.pinoyeplans.com/" TargetMode="External"/><Relationship Id="rId5164" Type="http://schemas.openxmlformats.org/officeDocument/2006/relationships/hyperlink" Target="https://www.simpleshowing.com/" TargetMode="External"/><Relationship Id="rId6215" Type="http://schemas.openxmlformats.org/officeDocument/2006/relationships/hyperlink" Target="https://cambridgeassessment.britanico.cl/nv22z/page.php?page=military-star-card-statute-of-limitations" TargetMode="External"/><Relationship Id="rId6562" Type="http://schemas.openxmlformats.org/officeDocument/2006/relationships/hyperlink" Target="https://thecinnamonhollow.com/the-ultimate-guide-to-upgrading-your-bathroom-with-a-smart-shower-system/" TargetMode="External"/><Relationship Id="rId7613" Type="http://schemas.openxmlformats.org/officeDocument/2006/relationships/hyperlink" Target="https://www.taylormorrison.com/" TargetMode="External"/><Relationship Id="rId16156" Type="http://schemas.openxmlformats.org/officeDocument/2006/relationships/hyperlink" Target="https://myinteriorpalace.com/" TargetMode="External"/><Relationship Id="rId9785" Type="http://schemas.openxmlformats.org/officeDocument/2006/relationships/hyperlink" Target="https://projectwet.georgia.gov/supplementary-materials" TargetMode="External"/><Relationship Id="rId12766" Type="http://schemas.openxmlformats.org/officeDocument/2006/relationships/hyperlink" Target="https://propertypressonline.co.uk/" TargetMode="External"/><Relationship Id="rId13817" Type="http://schemas.openxmlformats.org/officeDocument/2006/relationships/hyperlink" Target="https://aqglassshowerdoorsphoenix.com/" TargetMode="External"/><Relationship Id="rId1774" Type="http://schemas.openxmlformats.org/officeDocument/2006/relationships/hyperlink" Target="https://wolfriverelectric.com/" TargetMode="External"/><Relationship Id="rId2825" Type="http://schemas.openxmlformats.org/officeDocument/2006/relationships/hyperlink" Target="https://www.neighborhoods.com/blog/4-best-selling-master-planned-communities-in-las-vegas-in-2018" TargetMode="External"/><Relationship Id="rId8387" Type="http://schemas.openxmlformats.org/officeDocument/2006/relationships/hyperlink" Target="https://www.pinoyeplans.com/" TargetMode="External"/><Relationship Id="rId9438" Type="http://schemas.openxmlformats.org/officeDocument/2006/relationships/hyperlink" Target="https://www.pinoyeplans.com/" TargetMode="External"/><Relationship Id="rId11368" Type="http://schemas.openxmlformats.org/officeDocument/2006/relationships/hyperlink" Target="https://www.tekedia.com/life-series-buy-home/" TargetMode="External"/><Relationship Id="rId12419" Type="http://schemas.openxmlformats.org/officeDocument/2006/relationships/hyperlink" Target="https://www.bigissue.com/news/housing/student-accommodation-boom-housing-cardiff/" TargetMode="External"/><Relationship Id="rId1427" Type="http://schemas.openxmlformats.org/officeDocument/2006/relationships/hyperlink" Target="https://mygreenbucks.net/choosing-the-perfect-home-remodeling-contractor-your-guide-to-success/" TargetMode="External"/><Relationship Id="rId4997" Type="http://schemas.openxmlformats.org/officeDocument/2006/relationships/hyperlink" Target="https://www.bigcommerce.co.uk/articles/ecommerce/ecommerce-platforms/" TargetMode="External"/><Relationship Id="rId15989" Type="http://schemas.openxmlformats.org/officeDocument/2006/relationships/hyperlink" Target="https://www.rwdoors.com/" TargetMode="External"/><Relationship Id="rId3599" Type="http://schemas.openxmlformats.org/officeDocument/2006/relationships/hyperlink" Target="https://www.msn.com/en-us/money/realestate/the-build-out-art-and-architecture-coming-to-jax-beach-in-new-luxury-condo-project/ar-AAKWGZh" TargetMode="External"/><Relationship Id="rId7470" Type="http://schemas.openxmlformats.org/officeDocument/2006/relationships/hyperlink" Target="https://untappd.com/v/cassia-at-skye-ranch-taylor-morrison/13142190/photos" TargetMode="External"/><Relationship Id="rId8521" Type="http://schemas.openxmlformats.org/officeDocument/2006/relationships/hyperlink" Target="http://forums.maxperformanceinc.com/forums/member.php?u=206205" TargetMode="External"/><Relationship Id="rId12900" Type="http://schemas.openxmlformats.org/officeDocument/2006/relationships/hyperlink" Target="https://www.globalbankingandfinance.com/shakespeare-martineau-appoints-finance-and-disputes-partner-to-grow-london-practice/" TargetMode="External"/><Relationship Id="rId6072" Type="http://schemas.openxmlformats.org/officeDocument/2006/relationships/hyperlink" Target="https://www.simpleshowing.com/" TargetMode="External"/><Relationship Id="rId7123" Type="http://schemas.openxmlformats.org/officeDocument/2006/relationships/hyperlink" Target="https://www.outbrain.com/blog/source-content-ideas/" TargetMode="External"/><Relationship Id="rId10451" Type="http://schemas.openxmlformats.org/officeDocument/2006/relationships/hyperlink" Target="https://www.stlpr.org/economy-business/2023-09-22/barges-are-very-efficient-does-that-make-them-a-good-climate-alternative-for-shipping" TargetMode="External"/><Relationship Id="rId11502" Type="http://schemas.openxmlformats.org/officeDocument/2006/relationships/hyperlink" Target="https://sellhousefast.uk/" TargetMode="External"/><Relationship Id="rId9295" Type="http://schemas.openxmlformats.org/officeDocument/2006/relationships/hyperlink" Target="https://www.teachengineering.org/" TargetMode="External"/><Relationship Id="rId10104" Type="http://schemas.openxmlformats.org/officeDocument/2006/relationships/hyperlink" Target="https://www.pinoyeplans.com/" TargetMode="External"/><Relationship Id="rId13674" Type="http://schemas.openxmlformats.org/officeDocument/2006/relationships/hyperlink" Target="https://www.evite.com/c/evite-pass-the-giving" TargetMode="External"/><Relationship Id="rId14725" Type="http://schemas.openxmlformats.org/officeDocument/2006/relationships/hyperlink" Target="https://myinteriorpalace.com/" TargetMode="External"/><Relationship Id="rId2682" Type="http://schemas.openxmlformats.org/officeDocument/2006/relationships/hyperlink" Target="https://www.simpleshowing.com/" TargetMode="External"/><Relationship Id="rId3733" Type="http://schemas.openxmlformats.org/officeDocument/2006/relationships/hyperlink" Target="https://www.overheaddoors.com/" TargetMode="External"/><Relationship Id="rId12276" Type="http://schemas.openxmlformats.org/officeDocument/2006/relationships/hyperlink" Target="https://propertypressonline.co.uk/" TargetMode="External"/><Relationship Id="rId13327" Type="http://schemas.openxmlformats.org/officeDocument/2006/relationships/hyperlink" Target="https://myinteriorpalace.com/" TargetMode="External"/><Relationship Id="rId654" Type="http://schemas.openxmlformats.org/officeDocument/2006/relationships/hyperlink" Target="https://www.carolinadesigns.com/" TargetMode="External"/><Relationship Id="rId1284" Type="http://schemas.openxmlformats.org/officeDocument/2006/relationships/hyperlink" Target="https://www.simpleshowing.com/" TargetMode="External"/><Relationship Id="rId2335" Type="http://schemas.openxmlformats.org/officeDocument/2006/relationships/hyperlink" Target="https://www.pulte.com/" TargetMode="External"/><Relationship Id="rId6956" Type="http://schemas.openxmlformats.org/officeDocument/2006/relationships/hyperlink" Target="https://www.taylormorrison.com/" TargetMode="External"/><Relationship Id="rId15499" Type="http://schemas.openxmlformats.org/officeDocument/2006/relationships/hyperlink" Target="https://myinteriorpalace.com/" TargetMode="External"/><Relationship Id="rId307" Type="http://schemas.openxmlformats.org/officeDocument/2006/relationships/hyperlink" Target="https://www.omnihomeideas.com/home-finance/investing-in-real-estate-strategies-for-beginners-to-build-wealth/" TargetMode="External"/><Relationship Id="rId5558" Type="http://schemas.openxmlformats.org/officeDocument/2006/relationships/hyperlink" Target="https://www.simpleshowing.com/" TargetMode="External"/><Relationship Id="rId6609" Type="http://schemas.openxmlformats.org/officeDocument/2006/relationships/hyperlink" Target="https://www.thermasol.com/" TargetMode="External"/><Relationship Id="rId12410" Type="http://schemas.openxmlformats.org/officeDocument/2006/relationships/hyperlink" Target="https://www.justpark.com/resource-centre/where-to-find-affordable-parking-near-the-university-of-leeds" TargetMode="External"/><Relationship Id="rId8031" Type="http://schemas.openxmlformats.org/officeDocument/2006/relationships/hyperlink" Target="https://secure.qgiv.com/event/fohwalk4water/sponsors/" TargetMode="External"/><Relationship Id="rId11012" Type="http://schemas.openxmlformats.org/officeDocument/2006/relationships/hyperlink" Target="https://drexel.edu/biomed/about/diversity/NSF-high-school-engineering-course/" TargetMode="External"/><Relationship Id="rId15980" Type="http://schemas.openxmlformats.org/officeDocument/2006/relationships/hyperlink" Target="https://www.rwdoors.com/" TargetMode="External"/><Relationship Id="rId3590" Type="http://schemas.openxmlformats.org/officeDocument/2006/relationships/hyperlink" Target="https://wwww.stockwatch.com/Quote/Detail?U%3APHM" TargetMode="External"/><Relationship Id="rId13184" Type="http://schemas.openxmlformats.org/officeDocument/2006/relationships/hyperlink" Target="https://www.shma.co.uk/" TargetMode="External"/><Relationship Id="rId14582" Type="http://schemas.openxmlformats.org/officeDocument/2006/relationships/hyperlink" Target="https://www.easygaragedoorrepair.com/" TargetMode="External"/><Relationship Id="rId15633" Type="http://schemas.openxmlformats.org/officeDocument/2006/relationships/hyperlink" Target="https://www.finnavenue.com/ms-my/blogs/decorating-ideas/4-hari-raya-decoration-ideas" TargetMode="External"/><Relationship Id="rId2192" Type="http://schemas.openxmlformats.org/officeDocument/2006/relationships/hyperlink" Target="https://www.appsruntheworld.com/customers-database/customers/view/higher-tech-realty-united-states" TargetMode="External"/><Relationship Id="rId3243" Type="http://schemas.openxmlformats.org/officeDocument/2006/relationships/hyperlink" Target="https://www.simpleshowing.com/" TargetMode="External"/><Relationship Id="rId4641" Type="http://schemas.openxmlformats.org/officeDocument/2006/relationships/hyperlink" Target="https://www.valleynewslive.com/2024/05/27/high-school-seniors-can-now-get-real-estate-license-free-this-state/" TargetMode="External"/><Relationship Id="rId14235" Type="http://schemas.openxmlformats.org/officeDocument/2006/relationships/hyperlink" Target="https://1883magazine.com/bwj-travel-delivers-unforgettable-travel-experiences-through-strategic-leadership-and-workplace-empowerment/" TargetMode="External"/><Relationship Id="rId164" Type="http://schemas.openxmlformats.org/officeDocument/2006/relationships/hyperlink" Target="https://www.northdeltareporter.com/" TargetMode="External"/><Relationship Id="rId7864" Type="http://schemas.openxmlformats.org/officeDocument/2006/relationships/hyperlink" Target="https://mommypoppins.com/atlanta-kids/community/georgia-reopening-phase-1-whats-open-and-whats-closed-in-atlanta" TargetMode="External"/><Relationship Id="rId8915" Type="http://schemas.openxmlformats.org/officeDocument/2006/relationships/hyperlink" Target="https://quotela.net/why-concord-residents-trust-triangle-pest-control-for-long-term-relief/" TargetMode="External"/><Relationship Id="rId10845" Type="http://schemas.openxmlformats.org/officeDocument/2006/relationships/hyperlink" Target="https://www.pinoyeplans.com/" TargetMode="External"/><Relationship Id="rId5068" Type="http://schemas.openxmlformats.org/officeDocument/2006/relationships/hyperlink" Target="https://www.simpleshowing.com/" TargetMode="External"/><Relationship Id="rId6466" Type="http://schemas.openxmlformats.org/officeDocument/2006/relationships/hyperlink" Target="https://www.thermasol.com/" TargetMode="External"/><Relationship Id="rId7517" Type="http://schemas.openxmlformats.org/officeDocument/2006/relationships/hyperlink" Target="https://www.taylormorrison.com/" TargetMode="External"/><Relationship Id="rId6119" Type="http://schemas.openxmlformats.org/officeDocument/2006/relationships/hyperlink" Target="https://orangecoast.com/contributor-content/how-california-debt-relief-programs-may-be-a-solution-for-you/" TargetMode="External"/><Relationship Id="rId9689" Type="http://schemas.openxmlformats.org/officeDocument/2006/relationships/hyperlink" Target="https://sciencelessonsthatrock.com/earthquake-lesson-plans/" TargetMode="External"/><Relationship Id="rId15490" Type="http://schemas.openxmlformats.org/officeDocument/2006/relationships/hyperlink" Target="https://myinteriorpalace.com/" TargetMode="External"/><Relationship Id="rId1678" Type="http://schemas.openxmlformats.org/officeDocument/2006/relationships/hyperlink" Target="https://wolfriverelectric.com/" TargetMode="External"/><Relationship Id="rId2729" Type="http://schemas.openxmlformats.org/officeDocument/2006/relationships/hyperlink" Target="https://www.mlive.com/news/ann-arbor/2021/07/a-birds-eye-view-of-ann-arbors-north-side-housing-boom.html" TargetMode="External"/><Relationship Id="rId6600" Type="http://schemas.openxmlformats.org/officeDocument/2006/relationships/hyperlink" Target="https://www.thermasol.com/" TargetMode="External"/><Relationship Id="rId14092" Type="http://schemas.openxmlformats.org/officeDocument/2006/relationships/hyperlink" Target="https://myinteriorpalace.com/" TargetMode="External"/><Relationship Id="rId15143" Type="http://schemas.openxmlformats.org/officeDocument/2006/relationships/hyperlink" Target="https://www.luxdeco.com/" TargetMode="External"/><Relationship Id="rId4151" Type="http://schemas.openxmlformats.org/officeDocument/2006/relationships/hyperlink" Target="https://myelisting.com/commercial-real-estate-news/1654/how-become-commercial-real-estate-agent-north-carolina/" TargetMode="External"/><Relationship Id="rId5202" Type="http://schemas.openxmlformats.org/officeDocument/2006/relationships/hyperlink" Target="https://www.simpleshowing.com/" TargetMode="External"/><Relationship Id="rId7374" Type="http://schemas.openxmlformats.org/officeDocument/2006/relationships/hyperlink" Target="https://www.taylormorrison.com/" TargetMode="External"/><Relationship Id="rId8425" Type="http://schemas.openxmlformats.org/officeDocument/2006/relationships/hyperlink" Target="https://associatedgeneralcontractorsofcolorado.growthzoneapp.com/find-a-member/Details/pacific-sheet-metal-inc-4097260" TargetMode="External"/><Relationship Id="rId8772" Type="http://schemas.openxmlformats.org/officeDocument/2006/relationships/hyperlink" Target="https://propertychecker.com/" TargetMode="External"/><Relationship Id="rId9823" Type="http://schemas.openxmlformats.org/officeDocument/2006/relationships/hyperlink" Target="https://www.teachengineering.org/" TargetMode="External"/><Relationship Id="rId11753" Type="http://schemas.openxmlformats.org/officeDocument/2006/relationships/hyperlink" Target="https://www.lincsonline.co.uk/stamford/news/rude-street-names-increase-property-value-by-40-000-9119925/" TargetMode="External"/><Relationship Id="rId12804" Type="http://schemas.openxmlformats.org/officeDocument/2006/relationships/hyperlink" Target="https://www.denplan.co.uk/dentists/denplan-expert-network/shakespeare-martineau" TargetMode="External"/><Relationship Id="rId37" Type="http://schemas.openxmlformats.org/officeDocument/2006/relationships/hyperlink" Target="http://treeleftbigshop.com/" TargetMode="External"/><Relationship Id="rId1812" Type="http://schemas.openxmlformats.org/officeDocument/2006/relationships/hyperlink" Target="https://www.simpleshowing.com/" TargetMode="External"/><Relationship Id="rId7027" Type="http://schemas.openxmlformats.org/officeDocument/2006/relationships/hyperlink" Target="https://www.simpleshowing.com/" TargetMode="External"/><Relationship Id="rId10355" Type="http://schemas.openxmlformats.org/officeDocument/2006/relationships/hyperlink" Target="https://blogs.vsb.bc.ca/mcarmichae/2015/10/" TargetMode="External"/><Relationship Id="rId11406" Type="http://schemas.openxmlformats.org/officeDocument/2006/relationships/hyperlink" Target="http://webuyhouses.com/" TargetMode="External"/><Relationship Id="rId14976" Type="http://schemas.openxmlformats.org/officeDocument/2006/relationships/hyperlink" Target="https://www.decoist.com/colors-that-go-with-burgundy/" TargetMode="External"/><Relationship Id="rId3984" Type="http://schemas.openxmlformats.org/officeDocument/2006/relationships/hyperlink" Target="https://www.simpleshowing.com/" TargetMode="External"/><Relationship Id="rId9199" Type="http://schemas.openxmlformats.org/officeDocument/2006/relationships/hyperlink" Target="https://oversonroofing.com/" TargetMode="External"/><Relationship Id="rId10008" Type="http://schemas.openxmlformats.org/officeDocument/2006/relationships/hyperlink" Target="https://www.pinoyeplans.com/" TargetMode="External"/><Relationship Id="rId13578" Type="http://schemas.openxmlformats.org/officeDocument/2006/relationships/hyperlink" Target="https://woombie.com/blog/post/navigating-urgent-roof-repairs-as-a-new-parent" TargetMode="External"/><Relationship Id="rId14629" Type="http://schemas.openxmlformats.org/officeDocument/2006/relationships/hyperlink" Target="https://myinteriorpalace.com/" TargetMode="External"/><Relationship Id="rId2586" Type="http://schemas.openxmlformats.org/officeDocument/2006/relationships/hyperlink" Target="https://www.simpleshowing.com/" TargetMode="External"/><Relationship Id="rId3637" Type="http://schemas.openxmlformats.org/officeDocument/2006/relationships/hyperlink" Target="https://www.pulte.com/" TargetMode="External"/><Relationship Id="rId16051" Type="http://schemas.openxmlformats.org/officeDocument/2006/relationships/hyperlink" Target="https://myinteriorpalace.com/" TargetMode="External"/><Relationship Id="rId558" Type="http://schemas.openxmlformats.org/officeDocument/2006/relationships/hyperlink" Target="https://www.carolinadesigns.com/" TargetMode="External"/><Relationship Id="rId1188" Type="http://schemas.openxmlformats.org/officeDocument/2006/relationships/hyperlink" Target="https://www.simpleshowing.com/" TargetMode="External"/><Relationship Id="rId2239" Type="http://schemas.openxmlformats.org/officeDocument/2006/relationships/hyperlink" Target="https://cheapplumber.ca/" TargetMode="External"/><Relationship Id="rId6110" Type="http://schemas.openxmlformats.org/officeDocument/2006/relationships/hyperlink" Target="https://www.simpleshowing.com/" TargetMode="External"/><Relationship Id="rId9680" Type="http://schemas.openxmlformats.org/officeDocument/2006/relationships/hyperlink" Target="https://kidsclubaba.com/how-mini-golf-in-west-orange-nj-teaches-kids-patience-math-skills/" TargetMode="External"/><Relationship Id="rId8282" Type="http://schemas.openxmlformats.org/officeDocument/2006/relationships/hyperlink" Target="https://www.pinoyeplans.com/" TargetMode="External"/><Relationship Id="rId9333" Type="http://schemas.openxmlformats.org/officeDocument/2006/relationships/hyperlink" Target="https://www.pinoyeplans.com/" TargetMode="External"/><Relationship Id="rId11263" Type="http://schemas.openxmlformats.org/officeDocument/2006/relationships/hyperlink" Target="https://www.urbansplatter.com/2022/09/how-to-deal-with-your-flood-damaged-carpets/" TargetMode="External"/><Relationship Id="rId12661" Type="http://schemas.openxmlformats.org/officeDocument/2006/relationships/hyperlink" Target="https://propertypressonline.co.uk/" TargetMode="External"/><Relationship Id="rId13712" Type="http://schemas.openxmlformats.org/officeDocument/2006/relationships/hyperlink" Target="https://anationofmoms.com/" TargetMode="External"/><Relationship Id="rId1322" Type="http://schemas.openxmlformats.org/officeDocument/2006/relationships/hyperlink" Target="https://repliescorner.com/how-rental-property-accounting-software-can-make-your-job-easier/" TargetMode="External"/><Relationship Id="rId2720" Type="http://schemas.openxmlformats.org/officeDocument/2006/relationships/hyperlink" Target="https://usgv6-deploymon.nist.gov/cgi-bin/generate-com" TargetMode="External"/><Relationship Id="rId12314" Type="http://schemas.openxmlformats.org/officeDocument/2006/relationships/hyperlink" Target="https://forums.contractoruk.com/accounting-legal/144648-leeway-with-wholly-and-exclusively-for-business-use-regarding-furniture-5.html" TargetMode="External"/><Relationship Id="rId15884" Type="http://schemas.openxmlformats.org/officeDocument/2006/relationships/hyperlink" Target="https://www.raynorkc.com/" TargetMode="External"/><Relationship Id="rId4892" Type="http://schemas.openxmlformats.org/officeDocument/2006/relationships/hyperlink" Target="https://www.simpleshowing.com/" TargetMode="External"/><Relationship Id="rId5943" Type="http://schemas.openxmlformats.org/officeDocument/2006/relationships/hyperlink" Target="https://www.smallbusinesscoach.org/tag/effective-communications/page/19/" TargetMode="External"/><Relationship Id="rId14486" Type="http://schemas.openxmlformats.org/officeDocument/2006/relationships/hyperlink" Target="https://raynordoor.com/" TargetMode="External"/><Relationship Id="rId15537" Type="http://schemas.openxmlformats.org/officeDocument/2006/relationships/hyperlink" Target="https://fashionisks.com/can-you-be-a-minimalist-and-still-be-trendy-yes-and-heres-how/" TargetMode="External"/><Relationship Id="rId2096" Type="http://schemas.openxmlformats.org/officeDocument/2006/relationships/hyperlink" Target="https://www.bloglovin.com/blogs/a-house-in-hills-12110977/7-things-to-do-before-you-move-into-a-new-8734028497" TargetMode="External"/><Relationship Id="rId3494" Type="http://schemas.openxmlformats.org/officeDocument/2006/relationships/hyperlink" Target="https://nateseidel-newconstruction.my.canva.site/" TargetMode="External"/><Relationship Id="rId4545" Type="http://schemas.openxmlformats.org/officeDocument/2006/relationships/hyperlink" Target="https://www.kait8.com/2024/05/27/high-school-seniors-can-now-get-real-estate-license-free-this-state/" TargetMode="External"/><Relationship Id="rId13088" Type="http://schemas.openxmlformats.org/officeDocument/2006/relationships/hyperlink" Target="https://www.shma.co.uk/" TargetMode="External"/><Relationship Id="rId14139" Type="http://schemas.openxmlformats.org/officeDocument/2006/relationships/hyperlink" Target="https://geeksaroundglobe.com/top-10-outdoor-living-trends-for-2025/" TargetMode="External"/><Relationship Id="rId3147" Type="http://schemas.openxmlformats.org/officeDocument/2006/relationships/hyperlink" Target="https://www.simpleshowing.com/" TargetMode="External"/><Relationship Id="rId7768" Type="http://schemas.openxmlformats.org/officeDocument/2006/relationships/hyperlink" Target="https://discoverlakelanier.com/" TargetMode="External"/><Relationship Id="rId8819" Type="http://schemas.openxmlformats.org/officeDocument/2006/relationships/hyperlink" Target="https://bestbeebrothers.com/blogs/blog/carpenter-bees-vs-bumble-bees" TargetMode="External"/><Relationship Id="rId10749" Type="http://schemas.openxmlformats.org/officeDocument/2006/relationships/hyperlink" Target="https://www.pinoyeplans.com/" TargetMode="External"/><Relationship Id="rId14620" Type="http://schemas.openxmlformats.org/officeDocument/2006/relationships/hyperlink" Target="https://myinteriorpalace.com/" TargetMode="External"/><Relationship Id="rId9190" Type="http://schemas.openxmlformats.org/officeDocument/2006/relationships/hyperlink" Target="https://nycestimating.us/" TargetMode="External"/><Relationship Id="rId12171" Type="http://schemas.openxmlformats.org/officeDocument/2006/relationships/hyperlink" Target="https://www.hamiltoninternationalestates.com/" TargetMode="External"/><Relationship Id="rId13222" Type="http://schemas.openxmlformats.org/officeDocument/2006/relationships/hyperlink" Target="https://propertypressonline.co.uk/" TargetMode="External"/><Relationship Id="rId2230" Type="http://schemas.openxmlformats.org/officeDocument/2006/relationships/hyperlink" Target="https://cheapplumber.ca/" TargetMode="External"/><Relationship Id="rId15394" Type="http://schemas.openxmlformats.org/officeDocument/2006/relationships/hyperlink" Target="https://myinteriorpalace.com/" TargetMode="External"/><Relationship Id="rId202" Type="http://schemas.openxmlformats.org/officeDocument/2006/relationships/hyperlink" Target="https://hillcrestmgmt.com/condo-rules-and-regulations/" TargetMode="External"/><Relationship Id="rId5453" Type="http://schemas.openxmlformats.org/officeDocument/2006/relationships/hyperlink" Target="https://upmetrics.co/business-terms/dissolution" TargetMode="External"/><Relationship Id="rId6504" Type="http://schemas.openxmlformats.org/officeDocument/2006/relationships/hyperlink" Target="https://www.thermasol.com/" TargetMode="External"/><Relationship Id="rId6851" Type="http://schemas.openxmlformats.org/officeDocument/2006/relationships/hyperlink" Target="https://wmphoenixopen.com/tournament-sponsors/" TargetMode="External"/><Relationship Id="rId7902" Type="http://schemas.openxmlformats.org/officeDocument/2006/relationships/hyperlink" Target="https://certifiedrestorationinc.com/" TargetMode="External"/><Relationship Id="rId15047" Type="http://schemas.openxmlformats.org/officeDocument/2006/relationships/hyperlink" Target="https://www.luxdeco.com/" TargetMode="External"/><Relationship Id="rId4055" Type="http://schemas.openxmlformats.org/officeDocument/2006/relationships/hyperlink" Target="https://investing.io/how-many-jobs-real-estate-investment-trusts/" TargetMode="External"/><Relationship Id="rId5106" Type="http://schemas.openxmlformats.org/officeDocument/2006/relationships/hyperlink" Target="https://www.simpleshowing.com/" TargetMode="External"/><Relationship Id="rId7278" Type="http://schemas.openxmlformats.org/officeDocument/2006/relationships/hyperlink" Target="https://www.taylormorrison.com/" TargetMode="External"/><Relationship Id="rId8676" Type="http://schemas.openxmlformats.org/officeDocument/2006/relationships/hyperlink" Target="https://lubelska.co.uk/" TargetMode="External"/><Relationship Id="rId9727" Type="http://schemas.openxmlformats.org/officeDocument/2006/relationships/hyperlink" Target="https://www.teachengineering.org/" TargetMode="External"/><Relationship Id="rId11657" Type="http://schemas.openxmlformats.org/officeDocument/2006/relationships/hyperlink" Target="https://www.marieclaire.co.uk/news/interiors-trends-2020-691859" TargetMode="External"/><Relationship Id="rId12708" Type="http://schemas.openxmlformats.org/officeDocument/2006/relationships/hyperlink" Target="https://www.stir.ac.uk/people/257456" TargetMode="External"/><Relationship Id="rId1716" Type="http://schemas.openxmlformats.org/officeDocument/2006/relationships/hyperlink" Target="https://www.simpleshowing.com/" TargetMode="External"/><Relationship Id="rId8329" Type="http://schemas.openxmlformats.org/officeDocument/2006/relationships/hyperlink" Target="https://www.riverineherald.com.au/general/how-lighting-can-make-or-break-a-small-bathroom-design/" TargetMode="External"/><Relationship Id="rId10259" Type="http://schemas.openxmlformats.org/officeDocument/2006/relationships/hyperlink" Target="https://www.ocsb.ca/2022/03/02/consider-engineering-during-steam-week-2/" TargetMode="External"/><Relationship Id="rId14130" Type="http://schemas.openxmlformats.org/officeDocument/2006/relationships/hyperlink" Target="https://www.build-review.com/creative-ways-to-transform-your-backyard-into-a-breathtaking-outdoor-escape/" TargetMode="External"/><Relationship Id="rId3888" Type="http://schemas.openxmlformats.org/officeDocument/2006/relationships/hyperlink" Target="https://www.simpleshowing.com/" TargetMode="External"/><Relationship Id="rId4939" Type="http://schemas.openxmlformats.org/officeDocument/2006/relationships/hyperlink" Target="https://www.highperformr.ai/company/agentfire" TargetMode="External"/><Relationship Id="rId8810" Type="http://schemas.openxmlformats.org/officeDocument/2006/relationships/hyperlink" Target="https://www.bkreader.com/sponsored/what-you-need-to-know-before-buying-real-estate-in-new-york-10886878" TargetMode="External"/><Relationship Id="rId6361" Type="http://schemas.openxmlformats.org/officeDocument/2006/relationships/hyperlink" Target="https://itexus.com/software-for-credit-unions-the-key-to-efficiency-and-compliance/" TargetMode="External"/><Relationship Id="rId7412" Type="http://schemas.openxmlformats.org/officeDocument/2006/relationships/hyperlink" Target="https://www.simpleshowing.com/" TargetMode="External"/><Relationship Id="rId10740" Type="http://schemas.openxmlformats.org/officeDocument/2006/relationships/hyperlink" Target="https://www.pinoyeplans.com/" TargetMode="External"/><Relationship Id="rId6014" Type="http://schemas.openxmlformats.org/officeDocument/2006/relationships/hyperlink" Target="https://www.simpleshowing.com/" TargetMode="External"/><Relationship Id="rId9584" Type="http://schemas.openxmlformats.org/officeDocument/2006/relationships/hyperlink" Target="http://blog.teachersource.com/2020/10/30/building-spaghetti-bridges/" TargetMode="External"/><Relationship Id="rId13963" Type="http://schemas.openxmlformats.org/officeDocument/2006/relationships/hyperlink" Target="https://myinteriorpalace.com/" TargetMode="External"/><Relationship Id="rId2971" Type="http://schemas.openxmlformats.org/officeDocument/2006/relationships/hyperlink" Target="https://www.pulte.com/" TargetMode="External"/><Relationship Id="rId8186" Type="http://schemas.openxmlformats.org/officeDocument/2006/relationships/hyperlink" Target="https://www.pinoyeplans.com/" TargetMode="External"/><Relationship Id="rId9237" Type="http://schemas.openxmlformats.org/officeDocument/2006/relationships/hyperlink" Target="https://www.pinoyeplans.com/" TargetMode="External"/><Relationship Id="rId12565" Type="http://schemas.openxmlformats.org/officeDocument/2006/relationships/hyperlink" Target="https://propertypressonline.co.uk/" TargetMode="External"/><Relationship Id="rId13616" Type="http://schemas.openxmlformats.org/officeDocument/2006/relationships/hyperlink" Target="https://anationofmoms.com/" TargetMode="External"/><Relationship Id="rId943" Type="http://schemas.openxmlformats.org/officeDocument/2006/relationships/hyperlink" Target="https://www.matrixbasements.com/" TargetMode="External"/><Relationship Id="rId1573" Type="http://schemas.openxmlformats.org/officeDocument/2006/relationships/hyperlink" Target="https://wolfriverelectric.com/" TargetMode="External"/><Relationship Id="rId2624" Type="http://schemas.openxmlformats.org/officeDocument/2006/relationships/hyperlink" Target="https://indianaeconomicdigest.net/Content/Most-Recent/Housing/Article/Bargersville-which-has-seen-population-more-than-triple-from-about-4-000-in-2010-to-estimated-13-000-in-2025-seeks-balance-as-it-builds-a-downtown/31/117/119380" TargetMode="External"/><Relationship Id="rId11167" Type="http://schemas.openxmlformats.org/officeDocument/2006/relationships/hyperlink" Target="https://www.waterdamagespecialist.com.au/" TargetMode="External"/><Relationship Id="rId12218" Type="http://schemas.openxmlformats.org/officeDocument/2006/relationships/hyperlink" Target="https://www.udg.org.uk/directory/practices/marrons" TargetMode="External"/><Relationship Id="rId15788" Type="http://schemas.openxmlformats.org/officeDocument/2006/relationships/hyperlink" Target="https://www.modinex.com.au/" TargetMode="External"/><Relationship Id="rId1226" Type="http://schemas.openxmlformats.org/officeDocument/2006/relationships/hyperlink" Target="https://mummyconstant.com/a-mini-guide-to-a-clutter-free-home/" TargetMode="External"/><Relationship Id="rId4796" Type="http://schemas.openxmlformats.org/officeDocument/2006/relationships/hyperlink" Target="https://www.kapre.com/" TargetMode="External"/><Relationship Id="rId5847" Type="http://schemas.openxmlformats.org/officeDocument/2006/relationships/hyperlink" Target="https://beatricedailysun.com/news/nation-world/business/personal-finance/article_6ba264c4-21fa-5e0f-9c74-1f0c05b33326.html" TargetMode="External"/><Relationship Id="rId3398" Type="http://schemas.openxmlformats.org/officeDocument/2006/relationships/hyperlink" Target="https://www.houstonchronicle.com/business/article/hill-country-guadalupe-river-land-auction-tbotg-21099011.php" TargetMode="External"/><Relationship Id="rId4449" Type="http://schemas.openxmlformats.org/officeDocument/2006/relationships/hyperlink" Target="https://www.kgns.tv/2024/05/27/high-school-seniors-can-now-get-real-estate-license-free-this-state/" TargetMode="External"/><Relationship Id="rId8320" Type="http://schemas.openxmlformats.org/officeDocument/2006/relationships/hyperlink" Target="https://www.dairynewsaustralia.com.au/general/how-lighting-can-make-or-break-a-small-bathroom-design/" TargetMode="External"/><Relationship Id="rId10250" Type="http://schemas.openxmlformats.org/officeDocument/2006/relationships/hyperlink" Target="http://gk12glacier.bu.edu/pages/resources/links.php" TargetMode="External"/><Relationship Id="rId11301" Type="http://schemas.openxmlformats.org/officeDocument/2006/relationships/hyperlink" Target="https://threebestrated.ca/real-estate-agents-in-mississauga-on" TargetMode="External"/><Relationship Id="rId13473" Type="http://schemas.openxmlformats.org/officeDocument/2006/relationships/hyperlink" Target="https://totalstoragesolutions.com/blogs/creating-a-pet-friendly-home-with-self-storage/" TargetMode="External"/><Relationship Id="rId14871" Type="http://schemas.openxmlformats.org/officeDocument/2006/relationships/hyperlink" Target="https://www.soup.io/understanding-the-necessity-of-regular-fire-safety-audits-at-home" TargetMode="External"/><Relationship Id="rId15922" Type="http://schemas.openxmlformats.org/officeDocument/2006/relationships/hyperlink" Target="https://myinteriorpalace.com/" TargetMode="External"/><Relationship Id="rId2481" Type="http://schemas.openxmlformats.org/officeDocument/2006/relationships/hyperlink" Target="https://www.simpleshowing.com/" TargetMode="External"/><Relationship Id="rId3532" Type="http://schemas.openxmlformats.org/officeDocument/2006/relationships/hyperlink" Target="https://www.pulte.com/" TargetMode="External"/><Relationship Id="rId4930" Type="http://schemas.openxmlformats.org/officeDocument/2006/relationships/hyperlink" Target="https://www.simpleshowing.com/" TargetMode="External"/><Relationship Id="rId9094" Type="http://schemas.openxmlformats.org/officeDocument/2006/relationships/hyperlink" Target="https://nycestimating.us/" TargetMode="External"/><Relationship Id="rId12075" Type="http://schemas.openxmlformats.org/officeDocument/2006/relationships/hyperlink" Target="https://www.hamiltoninternationalestates.com/" TargetMode="External"/><Relationship Id="rId13126" Type="http://schemas.openxmlformats.org/officeDocument/2006/relationships/hyperlink" Target="https://propertypressonline.co.uk/" TargetMode="External"/><Relationship Id="rId14524" Type="http://schemas.openxmlformats.org/officeDocument/2006/relationships/hyperlink" Target="https://myinteriorpalace.com/" TargetMode="External"/><Relationship Id="rId453" Type="http://schemas.openxmlformats.org/officeDocument/2006/relationships/hyperlink" Target="https://www.carolinadesigns.com/" TargetMode="External"/><Relationship Id="rId1083" Type="http://schemas.openxmlformats.org/officeDocument/2006/relationships/hyperlink" Target="https://www.simpleshowing.com/" TargetMode="External"/><Relationship Id="rId2134" Type="http://schemas.openxmlformats.org/officeDocument/2006/relationships/hyperlink" Target="https://markspain.com/" TargetMode="External"/><Relationship Id="rId106" Type="http://schemas.openxmlformats.org/officeDocument/2006/relationships/hyperlink" Target="https://www.localrealtyservice.com/" TargetMode="External"/><Relationship Id="rId5357" Type="http://schemas.openxmlformats.org/officeDocument/2006/relationships/hyperlink" Target="https://www.moneylion.com/network/freedomplus/loans/compare/b9e0b935-45b8-4978-aef2-b96eb5bb250b?view=relevant" TargetMode="External"/><Relationship Id="rId6755" Type="http://schemas.openxmlformats.org/officeDocument/2006/relationships/hyperlink" Target="https://www.century21.com/property/631-skytop-drive-cumming-ga-30040-REN033880648" TargetMode="External"/><Relationship Id="rId7806" Type="http://schemas.openxmlformats.org/officeDocument/2006/relationships/hyperlink" Target="https://discoverlakelanier.com/" TargetMode="External"/><Relationship Id="rId15298" Type="http://schemas.openxmlformats.org/officeDocument/2006/relationships/hyperlink" Target="https://myinteriorpalace.com/" TargetMode="External"/><Relationship Id="rId6408" Type="http://schemas.openxmlformats.org/officeDocument/2006/relationships/hyperlink" Target="https://www.simpleshowing.com/" TargetMode="External"/><Relationship Id="rId9978" Type="http://schemas.openxmlformats.org/officeDocument/2006/relationships/hyperlink" Target="https://www.pinoyeplans.com/" TargetMode="External"/><Relationship Id="rId12959" Type="http://schemas.openxmlformats.org/officeDocument/2006/relationships/hyperlink" Target="https://www.shma.co.uk/" TargetMode="External"/><Relationship Id="rId1967" Type="http://schemas.openxmlformats.org/officeDocument/2006/relationships/hyperlink" Target="https://businesstechmoney.com/see-it-to-sell-it-why-great-listing-photos-win-over-sellers-and-buyers-alike/" TargetMode="External"/><Relationship Id="rId14381" Type="http://schemas.openxmlformats.org/officeDocument/2006/relationships/hyperlink" Target="https://luxurylifestyle.com/" TargetMode="External"/><Relationship Id="rId15432" Type="http://schemas.openxmlformats.org/officeDocument/2006/relationships/hyperlink" Target="https://www.edgeobeyond.com/blogs/news/wonderful-wedding-gifts" TargetMode="External"/><Relationship Id="rId4440" Type="http://schemas.openxmlformats.org/officeDocument/2006/relationships/hyperlink" Target="https://www.webcenterfairbanks.com/2024/05/27/high-school-seniors-can-now-get-real-estate-license-free-this-state/" TargetMode="External"/><Relationship Id="rId14034" Type="http://schemas.openxmlformats.org/officeDocument/2006/relationships/hyperlink" Target="https://thedesigninspiration.com/news/home/modern-outdoor-entertaining-stylish-and-functional-ideas/" TargetMode="External"/><Relationship Id="rId3042" Type="http://schemas.openxmlformats.org/officeDocument/2006/relationships/hyperlink" Target="https://www.simpleshowing.com/" TargetMode="External"/><Relationship Id="rId7663" Type="http://schemas.openxmlformats.org/officeDocument/2006/relationships/hyperlink" Target="https://www.simpleshowing.com/" TargetMode="External"/><Relationship Id="rId8714" Type="http://schemas.openxmlformats.org/officeDocument/2006/relationships/hyperlink" Target="https://www.pinoyeplans.com/" TargetMode="External"/><Relationship Id="rId10991" Type="http://schemas.openxmlformats.org/officeDocument/2006/relationships/hyperlink" Target="https://subjecttoclimate.org/external-resources/renew-a-bead-game" TargetMode="External"/><Relationship Id="rId6265" Type="http://schemas.openxmlformats.org/officeDocument/2006/relationships/hyperlink" Target="https://www.moneycrashers.com/freedom-debt-relief-review/" TargetMode="External"/><Relationship Id="rId7316" Type="http://schemas.openxmlformats.org/officeDocument/2006/relationships/hyperlink" Target="https://skrapp.io/directory/company/taylormorrison.com" TargetMode="External"/><Relationship Id="rId10644" Type="http://schemas.openxmlformats.org/officeDocument/2006/relationships/hyperlink" Target="https://www.pinoyeplans.com/" TargetMode="External"/><Relationship Id="rId9488" Type="http://schemas.openxmlformats.org/officeDocument/2006/relationships/hyperlink" Target="https://www.nfpa.com/fluid-power-curriculum" TargetMode="External"/><Relationship Id="rId13867" Type="http://schemas.openxmlformats.org/officeDocument/2006/relationships/hyperlink" Target="https://myinteriorpalace.com/" TargetMode="External"/><Relationship Id="rId14918" Type="http://schemas.openxmlformats.org/officeDocument/2006/relationships/hyperlink" Target="https://www.fluidplumbingservices.com.au/" TargetMode="External"/><Relationship Id="rId2875" Type="http://schemas.openxmlformats.org/officeDocument/2006/relationships/hyperlink" Target="https://www.pulte.com/" TargetMode="External"/><Relationship Id="rId3926" Type="http://schemas.openxmlformats.org/officeDocument/2006/relationships/hyperlink" Target="https://www.yellowpages.com.au/sup/amj-metal-roofing-14640240-listing.html" TargetMode="External"/><Relationship Id="rId12469" Type="http://schemas.openxmlformats.org/officeDocument/2006/relationships/hyperlink" Target="https://sturents.com/" TargetMode="External"/><Relationship Id="rId847" Type="http://schemas.openxmlformats.org/officeDocument/2006/relationships/hyperlink" Target="https://www.absolutepestmgmt.com/" TargetMode="External"/><Relationship Id="rId1477" Type="http://schemas.openxmlformats.org/officeDocument/2006/relationships/hyperlink" Target="https://ritewindow.com/blog/3-indicators-its-time-to-upgrade-your-shower-or-bath/" TargetMode="External"/><Relationship Id="rId2528" Type="http://schemas.openxmlformats.org/officeDocument/2006/relationships/hyperlink" Target="https://summerlin.com/neighborhood-spotlight-carmel-cliff-by-pulte-homes/" TargetMode="External"/><Relationship Id="rId5001" Type="http://schemas.openxmlformats.org/officeDocument/2006/relationships/hyperlink" Target="https://www.goforma.com/limited-company/disadvantages-of-a-private-limited-company" TargetMode="External"/><Relationship Id="rId8571" Type="http://schemas.openxmlformats.org/officeDocument/2006/relationships/hyperlink" Target="https://www.cylind.com/" TargetMode="External"/><Relationship Id="rId9622" Type="http://schemas.openxmlformats.org/officeDocument/2006/relationships/hyperlink" Target="https://www.teachengineering.org/" TargetMode="External"/><Relationship Id="rId11552" Type="http://schemas.openxmlformats.org/officeDocument/2006/relationships/hyperlink" Target="https://www.essentialliving.co.uk/blogs-insights/the-bedroom-colours-to-boost-your-relationship/" TargetMode="External"/><Relationship Id="rId12950" Type="http://schemas.openxmlformats.org/officeDocument/2006/relationships/hyperlink" Target="https://www.shma.co.uk/" TargetMode="External"/><Relationship Id="rId1611" Type="http://schemas.openxmlformats.org/officeDocument/2006/relationships/hyperlink" Target="https://www.simpleshowing.com/" TargetMode="External"/><Relationship Id="rId7173" Type="http://schemas.openxmlformats.org/officeDocument/2006/relationships/hyperlink" Target="https://www.nyse.com/quote/XNYS:TMHC" TargetMode="External"/><Relationship Id="rId8224" Type="http://schemas.openxmlformats.org/officeDocument/2006/relationships/hyperlink" Target="https://repack-mechanics.com/games/pc_torrent_download/3rd_person/star-wars-the-force-unleashed-dilogy-2009-2010-pc-repack-ot-rg-mehaniki/4-1-0-206" TargetMode="External"/><Relationship Id="rId10154" Type="http://schemas.openxmlformats.org/officeDocument/2006/relationships/hyperlink" Target="https://sierraview.chicousd.org/subsites/Mrs--Bunch-Classroom/Links-and-Websites/index.html" TargetMode="External"/><Relationship Id="rId11205" Type="http://schemas.openxmlformats.org/officeDocument/2006/relationships/hyperlink" Target="https://www.waterdamagespecialist.com.au/" TargetMode="External"/><Relationship Id="rId12603" Type="http://schemas.openxmlformats.org/officeDocument/2006/relationships/hyperlink" Target="https://mooreks.co.uk/insights/charitepulse-captain-toms-legacy-tarnished-by-his-family-gift-aid-fraud-and-banking-woes/" TargetMode="External"/><Relationship Id="rId14775" Type="http://schemas.openxmlformats.org/officeDocument/2006/relationships/hyperlink" Target="https://www.bloglovin.com/blogs/a-house-in-hills-12110977/top-5-garage-door-spring-repair-companies-8725180981" TargetMode="External"/><Relationship Id="rId15826" Type="http://schemas.openxmlformats.org/officeDocument/2006/relationships/hyperlink" Target="https://myinteriorpalace.com/" TargetMode="External"/><Relationship Id="rId2385" Type="http://schemas.openxmlformats.org/officeDocument/2006/relationships/hyperlink" Target="https://www.simpleshowing.com/" TargetMode="External"/><Relationship Id="rId3783" Type="http://schemas.openxmlformats.org/officeDocument/2006/relationships/hyperlink" Target="https://www.simpleshowing.com/" TargetMode="External"/><Relationship Id="rId4834" Type="http://schemas.openxmlformats.org/officeDocument/2006/relationships/hyperlink" Target="https://www.simpleshowing.com/" TargetMode="External"/><Relationship Id="rId13377" Type="http://schemas.openxmlformats.org/officeDocument/2006/relationships/hyperlink" Target="https://thesilentdiscocompany.co.uk/blog/top-5-halloween-silent-disco-themes/" TargetMode="External"/><Relationship Id="rId14428" Type="http://schemas.openxmlformats.org/officeDocument/2006/relationships/hyperlink" Target="https://myinteriorpalace.com/" TargetMode="External"/><Relationship Id="rId357" Type="http://schemas.openxmlformats.org/officeDocument/2006/relationships/hyperlink" Target="https://www.contractormag.com/management/best-practices/article/55273482/plumbing-and-the-future-of-modular-construction" TargetMode="External"/><Relationship Id="rId2038" Type="http://schemas.openxmlformats.org/officeDocument/2006/relationships/hyperlink" Target="https://markspain.com/" TargetMode="External"/><Relationship Id="rId3436" Type="http://schemas.openxmlformats.org/officeDocument/2006/relationships/hyperlink" Target="https://www.pulte.com/" TargetMode="External"/><Relationship Id="rId6659" Type="http://schemas.openxmlformats.org/officeDocument/2006/relationships/hyperlink" Target="https://www.eplanters.com/blog/" TargetMode="External"/><Relationship Id="rId12460" Type="http://schemas.openxmlformats.org/officeDocument/2006/relationships/hyperlink" Target="https://sturents.com/" TargetMode="External"/><Relationship Id="rId13511" Type="http://schemas.openxmlformats.org/officeDocument/2006/relationships/hyperlink" Target="https://anationofmoms.com/" TargetMode="External"/><Relationship Id="rId8081" Type="http://schemas.openxmlformats.org/officeDocument/2006/relationships/hyperlink" Target="https://www.pinoyeplans.com/" TargetMode="External"/><Relationship Id="rId9132" Type="http://schemas.openxmlformats.org/officeDocument/2006/relationships/hyperlink" Target="https://www.pinoyeplans.com/" TargetMode="External"/><Relationship Id="rId11062" Type="http://schemas.openxmlformats.org/officeDocument/2006/relationships/hyperlink" Target="https://www.teachengineering.org/" TargetMode="External"/><Relationship Id="rId12113" Type="http://schemas.openxmlformats.org/officeDocument/2006/relationships/hyperlink" Target="https://www.inchcalculator.com/roof-replacement-cost/" TargetMode="External"/><Relationship Id="rId15683" Type="http://schemas.openxmlformats.org/officeDocument/2006/relationships/hyperlink" Target="https://www.modinex.com.au/" TargetMode="External"/><Relationship Id="rId1121" Type="http://schemas.openxmlformats.org/officeDocument/2006/relationships/hyperlink" Target="https://milwaukeenariwiassoc.weblinkconnect.com/directory/results/map.aspx?listingid=2332" TargetMode="External"/><Relationship Id="rId4691" Type="http://schemas.openxmlformats.org/officeDocument/2006/relationships/hyperlink" Target="https://www.kapre.com/" TargetMode="External"/><Relationship Id="rId5742" Type="http://schemas.openxmlformats.org/officeDocument/2006/relationships/hyperlink" Target="https://www.simpleshowing.com/" TargetMode="External"/><Relationship Id="rId14285" Type="http://schemas.openxmlformats.org/officeDocument/2006/relationships/hyperlink" Target="https://luxurylifestyle.com/" TargetMode="External"/><Relationship Id="rId15336" Type="http://schemas.openxmlformats.org/officeDocument/2006/relationships/hyperlink" Target="https://www.edwardmartin.com/blogs/information/should-i-get-a-black-gold-or-wood-frame-for-my-arched-mirror" TargetMode="External"/><Relationship Id="rId3293" Type="http://schemas.openxmlformats.org/officeDocument/2006/relationships/hyperlink" Target="https://www.floqast.com/au/stories/pultegroup-constructs-faster-close-and-team-productivity-with-floqast" TargetMode="External"/><Relationship Id="rId4344" Type="http://schemas.openxmlformats.org/officeDocument/2006/relationships/hyperlink" Target="https://studybreaks.com/college/real-estate-college/" TargetMode="External"/><Relationship Id="rId7567" Type="http://schemas.openxmlformats.org/officeDocument/2006/relationships/hyperlink" Target="https://www.simpleshowing.com/" TargetMode="External"/><Relationship Id="rId8965" Type="http://schemas.openxmlformats.org/officeDocument/2006/relationships/hyperlink" Target="https://nycestimating.us/" TargetMode="External"/><Relationship Id="rId10895" Type="http://schemas.openxmlformats.org/officeDocument/2006/relationships/hyperlink" Target="http://test.mosme.net/index.php?load=read&amp;id=2401" TargetMode="External"/><Relationship Id="rId11946" Type="http://schemas.openxmlformats.org/officeDocument/2006/relationships/hyperlink" Target="https://www.hamiltoninternationalestates.com/" TargetMode="External"/><Relationship Id="rId6169" Type="http://schemas.openxmlformats.org/officeDocument/2006/relationships/hyperlink" Target="https://careers.newark.rutgers.edu/blog/2025/10/14/a-job-search-playbook-five-weekly-habits-that-deliver-results/" TargetMode="External"/><Relationship Id="rId8618" Type="http://schemas.openxmlformats.org/officeDocument/2006/relationships/hyperlink" Target="https://www.pinoyeplans.com/" TargetMode="External"/><Relationship Id="rId10548" Type="http://schemas.openxmlformats.org/officeDocument/2006/relationships/hyperlink" Target="https://www.pinoyeplans.com/" TargetMode="External"/><Relationship Id="rId13021" Type="http://schemas.openxmlformats.org/officeDocument/2006/relationships/hyperlink" Target="https://propertypressonline.co.uk/" TargetMode="External"/><Relationship Id="rId2779" Type="http://schemas.openxmlformats.org/officeDocument/2006/relationships/hyperlink" Target="https://www.pulte.com/" TargetMode="External"/><Relationship Id="rId6650" Type="http://schemas.openxmlformats.org/officeDocument/2006/relationships/hyperlink" Target="https://www.thermasol.com/" TargetMode="External"/><Relationship Id="rId7701" Type="http://schemas.openxmlformats.org/officeDocument/2006/relationships/hyperlink" Target="https://www.atlantamotorsportspark.com/about/plan-your-visit/" TargetMode="External"/><Relationship Id="rId15193" Type="http://schemas.openxmlformats.org/officeDocument/2006/relationships/hyperlink" Target="https://myinteriorpalace.com/" TargetMode="External"/><Relationship Id="rId16244" Type="http://schemas.openxmlformats.org/officeDocument/2006/relationships/hyperlink" Target="https://www.unitedcarpetsandbeds.com/" TargetMode="External"/><Relationship Id="rId5252" Type="http://schemas.openxmlformats.org/officeDocument/2006/relationships/hyperlink" Target="https://www.simpleshowing.com/" TargetMode="External"/><Relationship Id="rId6303" Type="http://schemas.openxmlformats.org/officeDocument/2006/relationships/hyperlink" Target="https://qconline.com/news/nation-world/business/personal-finance/article_ea32240c-ab62-5045-9460-94f2154dbff3.html" TargetMode="External"/><Relationship Id="rId9873" Type="http://schemas.openxmlformats.org/officeDocument/2006/relationships/hyperlink" Target="https://www.pinoyeplans.com/" TargetMode="External"/><Relationship Id="rId87" Type="http://schemas.openxmlformats.org/officeDocument/2006/relationships/hyperlink" Target="http://thelondonmedia.co.uk/" TargetMode="External"/><Relationship Id="rId8475" Type="http://schemas.openxmlformats.org/officeDocument/2006/relationships/hyperlink" Target="https://www.cylind.com/" TargetMode="External"/><Relationship Id="rId9526" Type="http://schemas.openxmlformats.org/officeDocument/2006/relationships/hyperlink" Target="https://www.teachengineering.org/" TargetMode="External"/><Relationship Id="rId12854" Type="http://schemas.openxmlformats.org/officeDocument/2006/relationships/hyperlink" Target="https://www.shma.co.uk/" TargetMode="External"/><Relationship Id="rId13905" Type="http://schemas.openxmlformats.org/officeDocument/2006/relationships/hyperlink" Target="https://www.amazingarchitecture.com/index.php/articles/hybrid-vs-engineered-timber-flooring-which-is-the-right-choice" TargetMode="External"/><Relationship Id="rId1862" Type="http://schemas.openxmlformats.org/officeDocument/2006/relationships/hyperlink" Target="https://wnbf.com/ixp/498/p/summer-power-outages-new-york/" TargetMode="External"/><Relationship Id="rId2913" Type="http://schemas.openxmlformats.org/officeDocument/2006/relationships/hyperlink" Target="https://www.simpleshowing.com/" TargetMode="External"/><Relationship Id="rId7077" Type="http://schemas.openxmlformats.org/officeDocument/2006/relationships/hyperlink" Target="https://www.laughingplace.com/news-id10033570.asp" TargetMode="External"/><Relationship Id="rId8128" Type="http://schemas.openxmlformats.org/officeDocument/2006/relationships/hyperlink" Target="https://www.sallie.com/scholarships/scholly/white-glove-moving--storage-2025-scholarship" TargetMode="External"/><Relationship Id="rId10058" Type="http://schemas.openxmlformats.org/officeDocument/2006/relationships/hyperlink" Target="https://edgewaterpublic.vcsedu.org/academics/stem" TargetMode="External"/><Relationship Id="rId11456" Type="http://schemas.openxmlformats.org/officeDocument/2006/relationships/hyperlink" Target="https://www.hamiltoninternationalestates.com/" TargetMode="External"/><Relationship Id="rId12507" Type="http://schemas.openxmlformats.org/officeDocument/2006/relationships/hyperlink" Target="https://www.worldconstructionnetwork.com/comment/why-are-singapore-based-investors-flocking-to-uk-real-estate/" TargetMode="External"/><Relationship Id="rId1515" Type="http://schemas.openxmlformats.org/officeDocument/2006/relationships/hyperlink" Target="https://www.simpleshowing.com/" TargetMode="External"/><Relationship Id="rId11109" Type="http://schemas.openxmlformats.org/officeDocument/2006/relationships/hyperlink" Target="https://www.pinoyeplans.com/" TargetMode="External"/><Relationship Id="rId14679" Type="http://schemas.openxmlformats.org/officeDocument/2006/relationships/hyperlink" Target="https://www.offthemrkt.com/lifestyle/5-most-widely-used-garage-door-services-in-houston-tx" TargetMode="External"/><Relationship Id="rId3687" Type="http://schemas.openxmlformats.org/officeDocument/2006/relationships/hyperlink" Target="https://www.simpleshowing.com/" TargetMode="External"/><Relationship Id="rId4738" Type="http://schemas.openxmlformats.org/officeDocument/2006/relationships/hyperlink" Target="https://www.simpleshowing.com/" TargetMode="External"/><Relationship Id="rId2289" Type="http://schemas.openxmlformats.org/officeDocument/2006/relationships/hyperlink" Target="https://www.simpleshowing.com/" TargetMode="External"/><Relationship Id="rId6160" Type="http://schemas.openxmlformats.org/officeDocument/2006/relationships/hyperlink" Target="https://www.simpleshowing.com/" TargetMode="External"/><Relationship Id="rId7211" Type="http://schemas.openxmlformats.org/officeDocument/2006/relationships/hyperlink" Target="https://myneighborhoodnews.com/taylor-morrison-partners-with-abcs-extreme-makeover-home-edition-to-build-dream-home-for-deserving-local-family-in-cypress" TargetMode="External"/><Relationship Id="rId13762" Type="http://schemas.openxmlformats.org/officeDocument/2006/relationships/hyperlink" Target="https://myinteriorpalace.com/" TargetMode="External"/><Relationship Id="rId2770" Type="http://schemas.openxmlformats.org/officeDocument/2006/relationships/hyperlink" Target="https://www.pulte.com/" TargetMode="External"/><Relationship Id="rId3821" Type="http://schemas.openxmlformats.org/officeDocument/2006/relationships/hyperlink" Target="https://ideal.house/zh-CN/community/topics/coverlets" TargetMode="External"/><Relationship Id="rId9383" Type="http://schemas.openxmlformats.org/officeDocument/2006/relationships/hyperlink" Target="https://itlp.colorado.edu/" TargetMode="External"/><Relationship Id="rId12364" Type="http://schemas.openxmlformats.org/officeDocument/2006/relationships/hyperlink" Target="https://sturents.com/" TargetMode="External"/><Relationship Id="rId13415" Type="http://schemas.openxmlformats.org/officeDocument/2006/relationships/hyperlink" Target="https://anationofmoms.com/" TargetMode="External"/><Relationship Id="rId14813" Type="http://schemas.openxmlformats.org/officeDocument/2006/relationships/hyperlink" Target="https://www.easygaragedoorrepair.com/" TargetMode="External"/><Relationship Id="rId742" Type="http://schemas.openxmlformats.org/officeDocument/2006/relationships/hyperlink" Target="https://wanderlog.com/place/details/11820284/carolina-designs-realty--vacation-rentals" TargetMode="External"/><Relationship Id="rId1372" Type="http://schemas.openxmlformats.org/officeDocument/2006/relationships/hyperlink" Target="https://darscover.com/" TargetMode="External"/><Relationship Id="rId2423" Type="http://schemas.openxmlformats.org/officeDocument/2006/relationships/hyperlink" Target="https://sterlingranchcolorado.com/homes/featured-homes/" TargetMode="External"/><Relationship Id="rId9036" Type="http://schemas.openxmlformats.org/officeDocument/2006/relationships/hyperlink" Target="https://www.pinoyeplans.com/" TargetMode="External"/><Relationship Id="rId12017" Type="http://schemas.openxmlformats.org/officeDocument/2006/relationships/hyperlink" Target="https://www.flooringinc.com/blog/homemade-floor-cleaner" TargetMode="External"/><Relationship Id="rId1025" Type="http://schemas.openxmlformats.org/officeDocument/2006/relationships/hyperlink" Target="https://www.crazylaura.com/living-on-the-edge-how-modern-families-rethink-shelter-and-security/" TargetMode="External"/><Relationship Id="rId4595" Type="http://schemas.openxmlformats.org/officeDocument/2006/relationships/hyperlink" Target="https://www.kapre.com/" TargetMode="External"/><Relationship Id="rId5646" Type="http://schemas.openxmlformats.org/officeDocument/2006/relationships/hyperlink" Target="https://www.simpleshowing.com/" TargetMode="External"/><Relationship Id="rId5993" Type="http://schemas.openxmlformats.org/officeDocument/2006/relationships/hyperlink" Target="https://career.uconn.edu/blog/2025/12/19/a-job-search-playbook-five-weekly-habits-that-deliver-results/" TargetMode="External"/><Relationship Id="rId14189" Type="http://schemas.openxmlformats.org/officeDocument/2006/relationships/hyperlink" Target="https://luxurylifestyle.com/" TargetMode="External"/><Relationship Id="rId15587" Type="http://schemas.openxmlformats.org/officeDocument/2006/relationships/hyperlink" Target="https://www.luxdeco.com/" TargetMode="External"/><Relationship Id="rId3197" Type="http://schemas.openxmlformats.org/officeDocument/2006/relationships/hyperlink" Target="https://www.devex.com/organizations/putle-group-134216" TargetMode="External"/><Relationship Id="rId4248" Type="http://schemas.openxmlformats.org/officeDocument/2006/relationships/hyperlink" Target="https://www.dllr.state.md.us/license/mrec/mrecproviders.shtml" TargetMode="External"/><Relationship Id="rId8869" Type="http://schemas.openxmlformats.org/officeDocument/2006/relationships/hyperlink" Target="https://www.trianglepest.com/" TargetMode="External"/><Relationship Id="rId10799" Type="http://schemas.openxmlformats.org/officeDocument/2006/relationships/hyperlink" Target="https://www.quia.com/pages/ryarbrough/page8" TargetMode="External"/><Relationship Id="rId11100" Type="http://schemas.openxmlformats.org/officeDocument/2006/relationships/hyperlink" Target="https://www.pinoyeplans.com/" TargetMode="External"/><Relationship Id="rId14670" Type="http://schemas.openxmlformats.org/officeDocument/2006/relationships/hyperlink" Target="https://geekmamas.com/2025/08/12/top-3-affordable-garage-door-repair-services-in-houston-reliable-options-for-quality-repairs/" TargetMode="External"/><Relationship Id="rId15721" Type="http://schemas.openxmlformats.org/officeDocument/2006/relationships/hyperlink" Target="https://myinteriorpalace.com/" TargetMode="External"/><Relationship Id="rId1909" Type="http://schemas.openxmlformats.org/officeDocument/2006/relationships/hyperlink" Target="https://markspain.com/" TargetMode="External"/><Relationship Id="rId13272" Type="http://schemas.openxmlformats.org/officeDocument/2006/relationships/hyperlink" Target="https://www.landlordtoday.co.uk/guides-tips/breaking-news/2018/11/liverpool-leading-the-way-for-annual-house-price-growth-and-affordability?source=related_articles" TargetMode="External"/><Relationship Id="rId14323" Type="http://schemas.openxmlformats.org/officeDocument/2006/relationships/hyperlink" Target="https://myinteriorpalace.com/" TargetMode="External"/><Relationship Id="rId2280" Type="http://schemas.openxmlformats.org/officeDocument/2006/relationships/hyperlink" Target="https://www.simpleshowing.com/" TargetMode="External"/><Relationship Id="rId3331" Type="http://schemas.openxmlformats.org/officeDocument/2006/relationships/hyperlink" Target="https://www.pulte.com/" TargetMode="External"/><Relationship Id="rId7952" Type="http://schemas.openxmlformats.org/officeDocument/2006/relationships/hyperlink" Target="https://www.pinoyeplans.com/" TargetMode="External"/><Relationship Id="rId252" Type="http://schemas.openxmlformats.org/officeDocument/2006/relationships/hyperlink" Target="http://northernvirginiahomepro.com/" TargetMode="External"/><Relationship Id="rId6554" Type="http://schemas.openxmlformats.org/officeDocument/2006/relationships/hyperlink" Target="https://onekindesign.com/colonial-style-farmhouse-home-new-jersey-new-look/" TargetMode="External"/><Relationship Id="rId7605" Type="http://schemas.openxmlformats.org/officeDocument/2006/relationships/hyperlink" Target="https://www.dallasnews.com/business/2013/04/02/owner-of-frisco-based-darling-homes-sets-public-stock-sale/" TargetMode="External"/><Relationship Id="rId10933" Type="http://schemas.openxmlformats.org/officeDocument/2006/relationships/hyperlink" Target="https://www.teachengineering.org/" TargetMode="External"/><Relationship Id="rId15097" Type="http://schemas.openxmlformats.org/officeDocument/2006/relationships/hyperlink" Target="https://myinteriorpalace.com/" TargetMode="External"/><Relationship Id="rId16148" Type="http://schemas.openxmlformats.org/officeDocument/2006/relationships/hyperlink" Target="https://www.unitedcarpetsandbeds.com/" TargetMode="External"/><Relationship Id="rId5156" Type="http://schemas.openxmlformats.org/officeDocument/2006/relationships/hyperlink" Target="https://www.simpleshowing.com/" TargetMode="External"/><Relationship Id="rId6207" Type="http://schemas.openxmlformats.org/officeDocument/2006/relationships/hyperlink" Target="https://www.urbansplatter.com/2025/03/why-setting-savings-goals-matters/" TargetMode="External"/><Relationship Id="rId9777" Type="http://schemas.openxmlformats.org/officeDocument/2006/relationships/hyperlink" Target="https://www.pinoyeplans.com/" TargetMode="External"/><Relationship Id="rId8379" Type="http://schemas.openxmlformats.org/officeDocument/2006/relationships/hyperlink" Target="https://24hourfloodpros.com/" TargetMode="External"/><Relationship Id="rId12758" Type="http://schemas.openxmlformats.org/officeDocument/2006/relationships/hyperlink" Target="https://www.shma.co.uk/" TargetMode="External"/><Relationship Id="rId13809" Type="http://schemas.openxmlformats.org/officeDocument/2006/relationships/hyperlink" Target="https://4.bing.com/images/search?q=Stamp+Seal+Icon&amp;FORM=IRMHRS" TargetMode="External"/><Relationship Id="rId1766" Type="http://schemas.openxmlformats.org/officeDocument/2006/relationships/hyperlink" Target="https://k945.com/ixp/180/p/louisiana-outage-risk-high/" TargetMode="External"/><Relationship Id="rId2817" Type="http://schemas.openxmlformats.org/officeDocument/2006/relationships/hyperlink" Target="https://www.simpleshowing.com/" TargetMode="External"/><Relationship Id="rId14180" Type="http://schemas.openxmlformats.org/officeDocument/2006/relationships/hyperlink" Target="https://luxurylifestyle.com/" TargetMode="External"/><Relationship Id="rId15231" Type="http://schemas.openxmlformats.org/officeDocument/2006/relationships/hyperlink" Target="https://remer.com.au/mirror-shape/" TargetMode="External"/><Relationship Id="rId1419" Type="http://schemas.openxmlformats.org/officeDocument/2006/relationships/hyperlink" Target="https://www.simpleshowing.com/" TargetMode="External"/><Relationship Id="rId4989" Type="http://schemas.openxmlformats.org/officeDocument/2006/relationships/hyperlink" Target="https://theconversioncode.kit.com/posts/turn-your-list-into-listings-w-chris-smith-x-agentfire-x-labcoat-agents" TargetMode="External"/><Relationship Id="rId8860" Type="http://schemas.openxmlformats.org/officeDocument/2006/relationships/hyperlink" Target="https://www.trianglepest.com/" TargetMode="External"/><Relationship Id="rId9911" Type="http://schemas.openxmlformats.org/officeDocument/2006/relationships/hyperlink" Target="https://clas.ucdenver.edu/denversciencefair/project-resources" TargetMode="External"/><Relationship Id="rId10790" Type="http://schemas.openxmlformats.org/officeDocument/2006/relationships/hyperlink" Target="https://oklahoma.gov/careertech/educators/stem/programs/applied-engineering.html" TargetMode="External"/><Relationship Id="rId11841" Type="http://schemas.openxmlformats.org/officeDocument/2006/relationships/hyperlink" Target="https://www.hamiltoninternationalestates.com/" TargetMode="External"/><Relationship Id="rId1900" Type="http://schemas.openxmlformats.org/officeDocument/2006/relationships/hyperlink" Target="https://markspain.com/" TargetMode="External"/><Relationship Id="rId7462" Type="http://schemas.openxmlformats.org/officeDocument/2006/relationships/hyperlink" Target="https://www.simpleshowing.com/" TargetMode="External"/><Relationship Id="rId8513" Type="http://schemas.openxmlformats.org/officeDocument/2006/relationships/hyperlink" Target="https://www.pinoyeplans.com/" TargetMode="External"/><Relationship Id="rId10443" Type="http://schemas.openxmlformats.org/officeDocument/2006/relationships/hyperlink" Target="https://www.pinoyeplans.com/" TargetMode="External"/><Relationship Id="rId6064" Type="http://schemas.openxmlformats.org/officeDocument/2006/relationships/hyperlink" Target="https://www.simpleshowing.com/" TargetMode="External"/><Relationship Id="rId7115" Type="http://schemas.openxmlformats.org/officeDocument/2006/relationships/hyperlink" Target="https://www.simpleshowing.com/" TargetMode="External"/><Relationship Id="rId993" Type="http://schemas.openxmlformats.org/officeDocument/2006/relationships/hyperlink" Target="https://www.simpleshowing.com/" TargetMode="External"/><Relationship Id="rId2674" Type="http://schemas.openxmlformats.org/officeDocument/2006/relationships/hyperlink" Target="https://www.pulte.com/" TargetMode="External"/><Relationship Id="rId9287" Type="http://schemas.openxmlformats.org/officeDocument/2006/relationships/hyperlink" Target="https://www.sciencefacts.net/inclined-plane.html" TargetMode="External"/><Relationship Id="rId12268" Type="http://schemas.openxmlformats.org/officeDocument/2006/relationships/hyperlink" Target="https://www.ridgefieldconsulting.co.uk/" TargetMode="External"/><Relationship Id="rId13666" Type="http://schemas.openxmlformats.org/officeDocument/2006/relationships/hyperlink" Target="https://myinteriorpalace.com/" TargetMode="External"/><Relationship Id="rId14717" Type="http://schemas.openxmlformats.org/officeDocument/2006/relationships/hyperlink" Target="https://www.easygaragedoorrepair.com/" TargetMode="External"/><Relationship Id="rId646" Type="http://schemas.openxmlformats.org/officeDocument/2006/relationships/hyperlink" Target="https://drprem.com/travel/biggest-rental-homes-outer-banks/" TargetMode="External"/><Relationship Id="rId1276" Type="http://schemas.openxmlformats.org/officeDocument/2006/relationships/hyperlink" Target="https://darscover.com/" TargetMode="External"/><Relationship Id="rId2327" Type="http://schemas.openxmlformats.org/officeDocument/2006/relationships/hyperlink" Target="https://www.homes.com/property/the-jasmine-plan-estates-at-cameron-manor/ebclm2pw8zelm/" TargetMode="External"/><Relationship Id="rId3725" Type="http://schemas.openxmlformats.org/officeDocument/2006/relationships/hyperlink" Target="http://home.kangaroo.vn/?h=87985523" TargetMode="External"/><Relationship Id="rId13319" Type="http://schemas.openxmlformats.org/officeDocument/2006/relationships/hyperlink" Target="https://a1floorsnc.com/" TargetMode="External"/><Relationship Id="rId5897" Type="http://schemas.openxmlformats.org/officeDocument/2006/relationships/hyperlink" Target="https://graduatecoach.co.uk/blog/university/page/2/" TargetMode="External"/><Relationship Id="rId6948" Type="http://schemas.openxmlformats.org/officeDocument/2006/relationships/hyperlink" Target="https://austin.com/austin-family-featured-on-extreme-makeover-home-edition/" TargetMode="External"/><Relationship Id="rId13800" Type="http://schemas.openxmlformats.org/officeDocument/2006/relationships/hyperlink" Target="https://www.prettyopinionated.com/2013/09/fall-harvest-recipes/" TargetMode="External"/><Relationship Id="rId4499" Type="http://schemas.openxmlformats.org/officeDocument/2006/relationships/hyperlink" Target="https://www.kapre.com/" TargetMode="External"/><Relationship Id="rId8370" Type="http://schemas.openxmlformats.org/officeDocument/2006/relationships/hyperlink" Target="https://24hourfloodpros.com/" TargetMode="External"/><Relationship Id="rId9421" Type="http://schemas.openxmlformats.org/officeDocument/2006/relationships/hyperlink" Target="https://www.teachengineering.org/" TargetMode="External"/><Relationship Id="rId11351" Type="http://schemas.openxmlformats.org/officeDocument/2006/relationships/hyperlink" Target="https://www.hamiltoninternationalestates.com/" TargetMode="External"/><Relationship Id="rId12402" Type="http://schemas.openxmlformats.org/officeDocument/2006/relationships/hyperlink" Target="https://propertypressonline.co.uk/" TargetMode="External"/><Relationship Id="rId15972" Type="http://schemas.openxmlformats.org/officeDocument/2006/relationships/hyperlink" Target="https://www.career.msstate.edu/blog/2025/07/18/15-tips-for-environmental-studies-majors-who-are-mapping-their-careers/" TargetMode="External"/><Relationship Id="rId1410" Type="http://schemas.openxmlformats.org/officeDocument/2006/relationships/hyperlink" Target="https://www.simpleshowing.com/" TargetMode="External"/><Relationship Id="rId4980" Type="http://schemas.openxmlformats.org/officeDocument/2006/relationships/hyperlink" Target="https://www.simpleshowing.com/" TargetMode="External"/><Relationship Id="rId8023" Type="http://schemas.openxmlformats.org/officeDocument/2006/relationships/hyperlink" Target="https://ibuyer.com/blog/selling-a-house-with-hail-damage/" TargetMode="External"/><Relationship Id="rId11004" Type="http://schemas.openxmlformats.org/officeDocument/2006/relationships/hyperlink" Target="https://www.pinoyeplans.com/" TargetMode="External"/><Relationship Id="rId14574" Type="http://schemas.openxmlformats.org/officeDocument/2006/relationships/hyperlink" Target="https://amazingarchitecture.com/articles/common-home-repairs-how-to-fix-everyday-issues-around-the-house" TargetMode="External"/><Relationship Id="rId15625" Type="http://schemas.openxmlformats.org/officeDocument/2006/relationships/hyperlink" Target="https://myinteriorpalace.com/" TargetMode="External"/><Relationship Id="rId3582" Type="http://schemas.openxmlformats.org/officeDocument/2006/relationships/hyperlink" Target="https://www.simpleshowing.com/" TargetMode="External"/><Relationship Id="rId4633" Type="http://schemas.openxmlformats.org/officeDocument/2006/relationships/hyperlink" Target="https://www.simpleshowing.com/" TargetMode="External"/><Relationship Id="rId13176" Type="http://schemas.openxmlformats.org/officeDocument/2006/relationships/hyperlink" Target="https://cmdrecruitment.com/why-include-a-salary-in-job-ads/" TargetMode="External"/><Relationship Id="rId14227" Type="http://schemas.openxmlformats.org/officeDocument/2006/relationships/hyperlink" Target="https://myinteriorpalace.com/" TargetMode="External"/><Relationship Id="rId2184" Type="http://schemas.openxmlformats.org/officeDocument/2006/relationships/hyperlink" Target="https://www.simpleshowing.com/" TargetMode="External"/><Relationship Id="rId3235" Type="http://schemas.openxmlformats.org/officeDocument/2006/relationships/hyperlink" Target="https://www.pulte.com/" TargetMode="External"/><Relationship Id="rId7856" Type="http://schemas.openxmlformats.org/officeDocument/2006/relationships/hyperlink" Target="https://www.simpleshowing.com/" TargetMode="External"/><Relationship Id="rId156" Type="http://schemas.openxmlformats.org/officeDocument/2006/relationships/hyperlink" Target="https://www.realatlas.com/" TargetMode="External"/><Relationship Id="rId6458" Type="http://schemas.openxmlformats.org/officeDocument/2006/relationships/hyperlink" Target="https://3rings.designerpages.com/2025/03/play-misty-for-me/" TargetMode="External"/><Relationship Id="rId7509" Type="http://schemas.openxmlformats.org/officeDocument/2006/relationships/hyperlink" Target="https://docu.team/photogrid.php?action=show_item&amp;store=17968&amp;item=98239" TargetMode="External"/><Relationship Id="rId8907" Type="http://schemas.openxmlformats.org/officeDocument/2006/relationships/hyperlink" Target="https://www.pinoyeplans.com/" TargetMode="External"/><Relationship Id="rId10837" Type="http://schemas.openxmlformats.org/officeDocument/2006/relationships/hyperlink" Target="https://www.teachengineering.org/" TargetMode="External"/><Relationship Id="rId13310" Type="http://schemas.openxmlformats.org/officeDocument/2006/relationships/hyperlink" Target="https://a1floorsnc.com/" TargetMode="External"/><Relationship Id="rId15482" Type="http://schemas.openxmlformats.org/officeDocument/2006/relationships/hyperlink" Target="https://www.luxdeco.com/" TargetMode="External"/><Relationship Id="rId4490" Type="http://schemas.openxmlformats.org/officeDocument/2006/relationships/hyperlink" Target="https://www.kapre.com/" TargetMode="External"/><Relationship Id="rId5541" Type="http://schemas.openxmlformats.org/officeDocument/2006/relationships/hyperlink" Target="https://inevent.com/blog/others/go-beyond-remote-work-with-inevent.html" TargetMode="External"/><Relationship Id="rId14084" Type="http://schemas.openxmlformats.org/officeDocument/2006/relationships/hyperlink" Target="https://keystonecustomdecksny.com/" TargetMode="External"/><Relationship Id="rId15135" Type="http://schemas.openxmlformats.org/officeDocument/2006/relationships/hyperlink" Target="https://www.crowdcube.eu/companies/luxdeco/pitches/Zpvx2q" TargetMode="External"/><Relationship Id="rId3092" Type="http://schemas.openxmlformats.org/officeDocument/2006/relationships/hyperlink" Target="https://ggwash.org/view/33773/drive-til-you-qualify-takes-on-an-urban-flair" TargetMode="External"/><Relationship Id="rId4143" Type="http://schemas.openxmlformats.org/officeDocument/2006/relationships/hyperlink" Target="https://www.simpleshowing.com/" TargetMode="External"/><Relationship Id="rId8764" Type="http://schemas.openxmlformats.org/officeDocument/2006/relationships/hyperlink" Target="https://www.tomsguide.com/home/outdoors/i-asked-experts-if-i-can-paint-my-side-of-my-neighbors-fence-heres-what-they-say" TargetMode="External"/><Relationship Id="rId9815" Type="http://schemas.openxmlformats.org/officeDocument/2006/relationships/hyperlink" Target="https://stride.ce.ufl.edu/k-12-workforce-development/resources-for-educators/" TargetMode="External"/><Relationship Id="rId10694" Type="http://schemas.openxmlformats.org/officeDocument/2006/relationships/hyperlink" Target="https://routledgetextbooks.com/textbooks/9781032025162/resources.php" TargetMode="External"/><Relationship Id="rId29" Type="http://schemas.openxmlformats.org/officeDocument/2006/relationships/hyperlink" Target="http://mobilehomeexteriors.com/" TargetMode="External"/><Relationship Id="rId7366" Type="http://schemas.openxmlformats.org/officeDocument/2006/relationships/hyperlink" Target="https://energydigital.com/company/taylor-morrison" TargetMode="External"/><Relationship Id="rId8417" Type="http://schemas.openxmlformats.org/officeDocument/2006/relationships/hyperlink" Target="https://www.pinoyeplans.com/" TargetMode="External"/><Relationship Id="rId10347" Type="http://schemas.openxmlformats.org/officeDocument/2006/relationships/hyperlink" Target="https://www.pinoyeplans.com/" TargetMode="External"/><Relationship Id="rId11745" Type="http://schemas.openxmlformats.org/officeDocument/2006/relationships/hyperlink" Target="https://www.hamiltoninternationalestates.com/" TargetMode="External"/><Relationship Id="rId1804" Type="http://schemas.openxmlformats.org/officeDocument/2006/relationships/hyperlink" Target="https://wolfriverelectric.com/" TargetMode="External"/><Relationship Id="rId7019" Type="http://schemas.openxmlformats.org/officeDocument/2006/relationships/hyperlink" Target="https://www.taylormorrison.com/" TargetMode="External"/><Relationship Id="rId14968" Type="http://schemas.openxmlformats.org/officeDocument/2006/relationships/hyperlink" Target="https://myinteriorpalace.com/" TargetMode="External"/><Relationship Id="rId3976" Type="http://schemas.openxmlformats.org/officeDocument/2006/relationships/hyperlink" Target="https://www.smartsolarenergyco.com/" TargetMode="External"/><Relationship Id="rId897" Type="http://schemas.openxmlformats.org/officeDocument/2006/relationships/hyperlink" Target="https://www.simpleshowing.com/" TargetMode="External"/><Relationship Id="rId2578" Type="http://schemas.openxmlformats.org/officeDocument/2006/relationships/hyperlink" Target="https://www.pulte.com/" TargetMode="External"/><Relationship Id="rId3629" Type="http://schemas.openxmlformats.org/officeDocument/2006/relationships/hyperlink" Target="https://www.11alive.com/article/news/xbox-controllers-virtual-reality-become-atlanta-real-estate-tools/85-501670190" TargetMode="External"/><Relationship Id="rId5051" Type="http://schemas.openxmlformats.org/officeDocument/2006/relationships/hyperlink" Target="https://tryascend.com/debt-relief/company/national-debt-relief/fees" TargetMode="External"/><Relationship Id="rId7500" Type="http://schemas.openxmlformats.org/officeDocument/2006/relationships/hyperlink" Target="https://investor.wedbush.com/wedbush/article/ibnspotlights-2023-6-12-taylor-morrison-home-corp-nyse-tmhc-is-a-stock-spotlight-on-612" TargetMode="External"/><Relationship Id="rId16043" Type="http://schemas.openxmlformats.org/officeDocument/2006/relationships/hyperlink" Target="https://www.rwdoors.com/" TargetMode="External"/><Relationship Id="rId6102" Type="http://schemas.openxmlformats.org/officeDocument/2006/relationships/hyperlink" Target="https://www.simpleshowing.com/" TargetMode="External"/><Relationship Id="rId9672" Type="http://schemas.openxmlformats.org/officeDocument/2006/relationships/hyperlink" Target="https://www.pinoyeplans.com/" TargetMode="External"/><Relationship Id="rId12653" Type="http://schemas.openxmlformats.org/officeDocument/2006/relationships/hyperlink" Target="https://www.shma.co.uk/" TargetMode="External"/><Relationship Id="rId13704" Type="http://schemas.openxmlformats.org/officeDocument/2006/relationships/hyperlink" Target="https://flyarchitecture.net/2025/02/28/paint-perfection-the-architectural-approach-to-flawless-finishes/" TargetMode="External"/><Relationship Id="rId1661" Type="http://schemas.openxmlformats.org/officeDocument/2006/relationships/hyperlink" Target="https://www.glasgowworld.com/community/data-reveals-glasgow-is-the-top-uk-city-without-internet-access-5173184" TargetMode="External"/><Relationship Id="rId2712" Type="http://schemas.openxmlformats.org/officeDocument/2006/relationships/hyperlink" Target="https://www.simpleshowing.com/" TargetMode="External"/><Relationship Id="rId8274" Type="http://schemas.openxmlformats.org/officeDocument/2006/relationships/hyperlink" Target="https://www.zestlighting.com.au/" TargetMode="External"/><Relationship Id="rId9325" Type="http://schemas.openxmlformats.org/officeDocument/2006/relationships/hyperlink" Target="https://www.teachengineering.org/" TargetMode="External"/><Relationship Id="rId11255" Type="http://schemas.openxmlformats.org/officeDocument/2006/relationships/hyperlink" Target="https://www.waterdamagespecialist.com.au/" TargetMode="External"/><Relationship Id="rId12306" Type="http://schemas.openxmlformats.org/officeDocument/2006/relationships/hyperlink" Target="https://propertypressonline.co.uk/" TargetMode="External"/><Relationship Id="rId1314" Type="http://schemas.openxmlformats.org/officeDocument/2006/relationships/hyperlink" Target="https://www.simpleshowing.com/" TargetMode="External"/><Relationship Id="rId4884" Type="http://schemas.openxmlformats.org/officeDocument/2006/relationships/hyperlink" Target="https://www.simpleshowing.com/" TargetMode="External"/><Relationship Id="rId5935" Type="http://schemas.openxmlformats.org/officeDocument/2006/relationships/hyperlink" Target="https://journalnow.com/news/nation-world/business/personal-finance/article_59faff1a-6b99-5024-9745-afc180b3eaaf.html" TargetMode="External"/><Relationship Id="rId14478" Type="http://schemas.openxmlformats.org/officeDocument/2006/relationships/hyperlink" Target="https://directory.yext.com/en/raynor-door-company-2427865896" TargetMode="External"/><Relationship Id="rId15876" Type="http://schemas.openxmlformats.org/officeDocument/2006/relationships/hyperlink" Target="https://www.re-thinkingthefuture.com/technologies/gp3731-external-cladding-in-modern-design-10-best-ideas-for-you/" TargetMode="External"/><Relationship Id="rId3486" Type="http://schemas.openxmlformats.org/officeDocument/2006/relationships/hyperlink" Target="https://www.simpleshowing.com/" TargetMode="External"/><Relationship Id="rId4537" Type="http://schemas.openxmlformats.org/officeDocument/2006/relationships/hyperlink" Target="https://www.simpleshowing.com/" TargetMode="External"/><Relationship Id="rId15529" Type="http://schemas.openxmlformats.org/officeDocument/2006/relationships/hyperlink" Target="https://myinteriorpalace.com/" TargetMode="External"/><Relationship Id="rId20" Type="http://schemas.openxmlformats.org/officeDocument/2006/relationships/hyperlink" Target="https://www.eetimes.com/designspark-mechanical-its-not-your-grandmothers-mcad/" TargetMode="External"/><Relationship Id="rId2088" Type="http://schemas.openxmlformats.org/officeDocument/2006/relationships/hyperlink" Target="https://www.simpleshowing.com/" TargetMode="External"/><Relationship Id="rId3139" Type="http://schemas.openxmlformats.org/officeDocument/2006/relationships/hyperlink" Target="https://www.pulte.com/" TargetMode="External"/><Relationship Id="rId7010" Type="http://schemas.openxmlformats.org/officeDocument/2006/relationships/hyperlink" Target="https://www.taylormorrison.com/" TargetMode="External"/><Relationship Id="rId9182" Type="http://schemas.openxmlformats.org/officeDocument/2006/relationships/hyperlink" Target="https://wordleweb.io/streamline-project-budgets-efficiently-using-cost-estimator-tools" TargetMode="External"/><Relationship Id="rId13561" Type="http://schemas.openxmlformats.org/officeDocument/2006/relationships/hyperlink" Target="https://myinteriorpalace.com/" TargetMode="External"/><Relationship Id="rId14612" Type="http://schemas.openxmlformats.org/officeDocument/2006/relationships/hyperlink" Target="https://www.easygaragedoorrepair.com/" TargetMode="External"/><Relationship Id="rId3620" Type="http://schemas.openxmlformats.org/officeDocument/2006/relationships/hyperlink" Target="https://tolestemple.com/idx/listings/walker-and-catoosa/page-10?idx-d-SortOrders%3C0%3E-Column=DateAdded&amp;idx-d-SortOrders%3C0%3E-Direction=DESC" TargetMode="External"/><Relationship Id="rId12163" Type="http://schemas.openxmlformats.org/officeDocument/2006/relationships/hyperlink" Target="https://www.bobvila.com/" TargetMode="External"/><Relationship Id="rId13214" Type="http://schemas.openxmlformats.org/officeDocument/2006/relationships/hyperlink" Target="https://www.pureinvestor.co.uk/" TargetMode="External"/><Relationship Id="rId541" Type="http://schemas.openxmlformats.org/officeDocument/2006/relationships/hyperlink" Target="https://www.vabeach.com/virginia-beach-articles/how-to-plan-a-safe-vacation-to-virginia-beach/" TargetMode="External"/><Relationship Id="rId1171" Type="http://schemas.openxmlformats.org/officeDocument/2006/relationships/hyperlink" Target="https://happy2movelondon.co.uk/r" TargetMode="External"/><Relationship Id="rId2222" Type="http://schemas.openxmlformats.org/officeDocument/2006/relationships/hyperlink" Target="https://geebo.com/services/view/id/1940041-tulsa-home-buyers-/" TargetMode="External"/><Relationship Id="rId5792" Type="http://schemas.openxmlformats.org/officeDocument/2006/relationships/hyperlink" Target="https://www.simpleshowing.com/" TargetMode="External"/><Relationship Id="rId6843" Type="http://schemas.openxmlformats.org/officeDocument/2006/relationships/hyperlink" Target="https://www.simpleshowing.com/" TargetMode="External"/><Relationship Id="rId15386" Type="http://schemas.openxmlformats.org/officeDocument/2006/relationships/hyperlink" Target="https://www.luxdeco.com/" TargetMode="External"/><Relationship Id="rId4394" Type="http://schemas.openxmlformats.org/officeDocument/2006/relationships/hyperlink" Target="https://www.kapre.com/" TargetMode="External"/><Relationship Id="rId5445" Type="http://schemas.openxmlformats.org/officeDocument/2006/relationships/hyperlink" Target="https://edit.sundayriley.com/saving-money/" TargetMode="External"/><Relationship Id="rId15039" Type="http://schemas.openxmlformats.org/officeDocument/2006/relationships/hyperlink" Target="https://blog.comfort-works.com/top-10-favourite-ikea-sofas/" TargetMode="External"/><Relationship Id="rId4047" Type="http://schemas.openxmlformats.org/officeDocument/2006/relationships/hyperlink" Target="https://www.simpleshowing.com/" TargetMode="External"/><Relationship Id="rId8668" Type="http://schemas.openxmlformats.org/officeDocument/2006/relationships/hyperlink" Target="https://www.infonews.co.nz/news.cfm?id=124622" TargetMode="External"/><Relationship Id="rId9719" Type="http://schemas.openxmlformats.org/officeDocument/2006/relationships/hyperlink" Target="https://layers-of-learning.com/unit-resources/science-resources/earth-space-resources-for-layers-of-learning/" TargetMode="External"/><Relationship Id="rId11996" Type="http://schemas.openxmlformats.org/officeDocument/2006/relationships/hyperlink" Target="https://www.decorativeceilingtiles.net/blog/10-inexpensive-basement-wall-panels-to-use/" TargetMode="External"/><Relationship Id="rId10598" Type="http://schemas.openxmlformats.org/officeDocument/2006/relationships/hyperlink" Target="https://www.physics.uoguelph.ca/lemon-power" TargetMode="External"/><Relationship Id="rId11649" Type="http://schemas.openxmlformats.org/officeDocument/2006/relationships/hyperlink" Target="https://www.hamiltoninternationalestates.com/" TargetMode="External"/><Relationship Id="rId13071" Type="http://schemas.openxmlformats.org/officeDocument/2006/relationships/hyperlink" Target="https://www.simplylawjobs.com/career-hub/articles/insights/day-in-the-life-of/a-day-in-the-life-of-a-trainee-solicitor" TargetMode="External"/><Relationship Id="rId15520" Type="http://schemas.openxmlformats.org/officeDocument/2006/relationships/hyperlink" Target="https://myinteriorpalace.com/" TargetMode="External"/><Relationship Id="rId1708" Type="http://schemas.openxmlformats.org/officeDocument/2006/relationships/hyperlink" Target="https://wolfriverelectric.com/" TargetMode="External"/><Relationship Id="rId3130" Type="http://schemas.openxmlformats.org/officeDocument/2006/relationships/hyperlink" Target="https://www.pulte.com/" TargetMode="External"/><Relationship Id="rId14122" Type="http://schemas.openxmlformats.org/officeDocument/2006/relationships/hyperlink" Target="https://myinteriorpalace.com/" TargetMode="External"/><Relationship Id="rId7751" Type="http://schemas.openxmlformats.org/officeDocument/2006/relationships/hyperlink" Target="https://www.boatsetter.com/boat-rental-experiences/georgia-lakes" TargetMode="External"/><Relationship Id="rId8802" Type="http://schemas.openxmlformats.org/officeDocument/2006/relationships/hyperlink" Target="https://www.pinoyeplans.com/" TargetMode="External"/><Relationship Id="rId10732" Type="http://schemas.openxmlformats.org/officeDocument/2006/relationships/hyperlink" Target="https://www.teachengineering.org/" TargetMode="External"/><Relationship Id="rId6353" Type="http://schemas.openxmlformats.org/officeDocument/2006/relationships/hyperlink" Target="https://kearneyhub.com/news/nation-world/business/personal-finance/article_2f13520f-48b1-50c4-adbf-a2bcfa2bd75c.html" TargetMode="External"/><Relationship Id="rId7404" Type="http://schemas.openxmlformats.org/officeDocument/2006/relationships/hyperlink" Target="https://www.taylormorrison.com/" TargetMode="External"/><Relationship Id="rId2963" Type="http://schemas.openxmlformats.org/officeDocument/2006/relationships/hyperlink" Target="https://santaritaranchaustin.com/saddleback-model-homes-opening/" TargetMode="External"/><Relationship Id="rId6006" Type="http://schemas.openxmlformats.org/officeDocument/2006/relationships/hyperlink" Target="https://www.simpleshowing.com/" TargetMode="External"/><Relationship Id="rId9576" Type="http://schemas.openxmlformats.org/officeDocument/2006/relationships/hyperlink" Target="https://www.pinoyeplans.com/" TargetMode="External"/><Relationship Id="rId12557" Type="http://schemas.openxmlformats.org/officeDocument/2006/relationships/hyperlink" Target="https://www.shma.co.uk/" TargetMode="External"/><Relationship Id="rId13955" Type="http://schemas.openxmlformats.org/officeDocument/2006/relationships/hyperlink" Target="https://faheyroofingcontractors.com/" TargetMode="External"/><Relationship Id="rId935" Type="http://schemas.openxmlformats.org/officeDocument/2006/relationships/hyperlink" Target="https://amdurproductions.com/current-and-past-sponsors/" TargetMode="External"/><Relationship Id="rId1565" Type="http://schemas.openxmlformats.org/officeDocument/2006/relationships/hyperlink" Target="https://indianjadibooti.com/Jadistore/blog-headlines/indianjadibooti-spirulina-powder" TargetMode="External"/><Relationship Id="rId2616" Type="http://schemas.openxmlformats.org/officeDocument/2006/relationships/hyperlink" Target="https://www.simpleshowing.com/" TargetMode="External"/><Relationship Id="rId8178" Type="http://schemas.openxmlformats.org/officeDocument/2006/relationships/hyperlink" Target="https://smaarchviz.com/" TargetMode="External"/><Relationship Id="rId9229" Type="http://schemas.openxmlformats.org/officeDocument/2006/relationships/hyperlink" Target="https://capitolductcleaning.com/" TargetMode="External"/><Relationship Id="rId11159" Type="http://schemas.openxmlformats.org/officeDocument/2006/relationships/hyperlink" Target="https://www.padmagazine.co.uk/property-facilities-management/property-care-101-addressing-water-damage/25033/" TargetMode="External"/><Relationship Id="rId13608" Type="http://schemas.openxmlformats.org/officeDocument/2006/relationships/hyperlink" Target="https://archive.ogunstate.gov.ng/amourmeet-com-the-end-of-your-dating-battles-21/" TargetMode="External"/><Relationship Id="rId15030" Type="http://schemas.openxmlformats.org/officeDocument/2006/relationships/hyperlink" Target="https://whytile.com/2020/08/tile-color-psychology-how-your-tile-color-affects-your-mood/" TargetMode="External"/><Relationship Id="rId1218" Type="http://schemas.openxmlformats.org/officeDocument/2006/relationships/hyperlink" Target="https://www.simpleshowing.com/" TargetMode="External"/><Relationship Id="rId4788" Type="http://schemas.openxmlformats.org/officeDocument/2006/relationships/hyperlink" Target="https://reelmind.ai/blog/real-estate-agent-license-ai-s-career-path-guidance" TargetMode="External"/><Relationship Id="rId5839" Type="http://schemas.openxmlformats.org/officeDocument/2006/relationships/hyperlink" Target="https://trangotech.com/blog/create-mobile-app-prototype/" TargetMode="External"/><Relationship Id="rId7261" Type="http://schemas.openxmlformats.org/officeDocument/2006/relationships/hyperlink" Target="https://www.ksdk.com/article/news/nation-world/taylor-morrison-files-complaint-against-home-inspector-who-posts-videos-of-inspections-on-social-media/75-fc64bf74-360c-4f54-ac08-1d79f2af1d67" TargetMode="External"/><Relationship Id="rId9710" Type="http://schemas.openxmlformats.org/officeDocument/2006/relationships/hyperlink" Target="https://stelar.edc.org/resource-library-0" TargetMode="External"/><Relationship Id="rId11640" Type="http://schemas.openxmlformats.org/officeDocument/2006/relationships/hyperlink" Target="https://www.hamiltoninternationalestates.com/" TargetMode="External"/><Relationship Id="rId8312" Type="http://schemas.openxmlformats.org/officeDocument/2006/relationships/hyperlink" Target="https://www.pinoyeplans.com/" TargetMode="External"/><Relationship Id="rId10242" Type="http://schemas.openxmlformats.org/officeDocument/2006/relationships/hyperlink" Target="https://www.pinoyeplans.com/" TargetMode="External"/><Relationship Id="rId14863" Type="http://schemas.openxmlformats.org/officeDocument/2006/relationships/hyperlink" Target="https://myinteriorpalace.com/" TargetMode="External"/><Relationship Id="rId15914" Type="http://schemas.openxmlformats.org/officeDocument/2006/relationships/hyperlink" Target="https://www.raynorkc.com/" TargetMode="External"/><Relationship Id="rId3871" Type="http://schemas.openxmlformats.org/officeDocument/2006/relationships/hyperlink" Target="https://thecoverguy.com/" TargetMode="External"/><Relationship Id="rId4922" Type="http://schemas.openxmlformats.org/officeDocument/2006/relationships/hyperlink" Target="https://www.simpleshowing.com/" TargetMode="External"/><Relationship Id="rId13465" Type="http://schemas.openxmlformats.org/officeDocument/2006/relationships/hyperlink" Target="https://myinteriorpalace.com/" TargetMode="External"/><Relationship Id="rId14516" Type="http://schemas.openxmlformats.org/officeDocument/2006/relationships/hyperlink" Target="https://www.easygaragedoorrepair.com/" TargetMode="External"/><Relationship Id="rId792" Type="http://schemas.openxmlformats.org/officeDocument/2006/relationships/hyperlink" Target="https://www.schaafsma.com/" TargetMode="External"/><Relationship Id="rId2473" Type="http://schemas.openxmlformats.org/officeDocument/2006/relationships/hyperlink" Target="https://www.pulte.com/" TargetMode="External"/><Relationship Id="rId3524" Type="http://schemas.openxmlformats.org/officeDocument/2006/relationships/hyperlink" Target="https://www.arlnow.com/2016/05/03/ask-eli-what-to-expect-when-buying-new-construction/" TargetMode="External"/><Relationship Id="rId9086" Type="http://schemas.openxmlformats.org/officeDocument/2006/relationships/hyperlink" Target="https://lakelandcurrents.com/why-construction-estimation-is-crucial-for-small-contractors/" TargetMode="External"/><Relationship Id="rId12067" Type="http://schemas.openxmlformats.org/officeDocument/2006/relationships/hyperlink" Target="https://www.bobvila.com/" TargetMode="External"/><Relationship Id="rId13118" Type="http://schemas.openxmlformats.org/officeDocument/2006/relationships/hyperlink" Target="https://www.shma.co.uk/" TargetMode="External"/><Relationship Id="rId445" Type="http://schemas.openxmlformats.org/officeDocument/2006/relationships/hyperlink" Target="https://outerbanksthisweek.com/carolinadesigns/accommodation/transcendence-house-504" TargetMode="External"/><Relationship Id="rId1075" Type="http://schemas.openxmlformats.org/officeDocument/2006/relationships/hyperlink" Target="https://www.matrixbasements.com/" TargetMode="External"/><Relationship Id="rId2126" Type="http://schemas.openxmlformats.org/officeDocument/2006/relationships/hyperlink" Target="https://www.levels.fyi/sr-rs/companies/mark-spain-real-estate" TargetMode="External"/><Relationship Id="rId5696" Type="http://schemas.openxmlformats.org/officeDocument/2006/relationships/hyperlink" Target="https://www.simpleshowing.com/" TargetMode="External"/><Relationship Id="rId6747" Type="http://schemas.openxmlformats.org/officeDocument/2006/relationships/hyperlink" Target="https://www.simpleshowing.com/" TargetMode="External"/><Relationship Id="rId4298" Type="http://schemas.openxmlformats.org/officeDocument/2006/relationships/hyperlink" Target="https://www.kapre.com/" TargetMode="External"/><Relationship Id="rId5349" Type="http://schemas.openxmlformats.org/officeDocument/2006/relationships/hyperlink" Target="https://www.index.dev/blog/ai-startup-tech-stack" TargetMode="External"/><Relationship Id="rId9220" Type="http://schemas.openxmlformats.org/officeDocument/2006/relationships/hyperlink" Target="https://mcd.net.au/" TargetMode="External"/><Relationship Id="rId11150" Type="http://schemas.openxmlformats.org/officeDocument/2006/relationships/hyperlink" Target="https://www.pinoyeplans.com/" TargetMode="External"/><Relationship Id="rId12201" Type="http://schemas.openxmlformats.org/officeDocument/2006/relationships/hyperlink" Target="https://www.hamiltoninternationalestates.com/" TargetMode="External"/><Relationship Id="rId15771" Type="http://schemas.openxmlformats.org/officeDocument/2006/relationships/hyperlink" Target="https://urbanmatter.com/timber-cladding-for-exterior-walls-expert-guide-to-materials-methods/" TargetMode="External"/><Relationship Id="rId1959" Type="http://schemas.openxmlformats.org/officeDocument/2006/relationships/hyperlink" Target="https://www.simpleshowing.com/" TargetMode="External"/><Relationship Id="rId5830" Type="http://schemas.openxmlformats.org/officeDocument/2006/relationships/hyperlink" Target="https://www.simpleshowing.com/" TargetMode="External"/><Relationship Id="rId14373" Type="http://schemas.openxmlformats.org/officeDocument/2006/relationships/hyperlink" Target="https://www.bullz-eye.com/2008/11/28/2008-holiday-gift-guide-luxury/" TargetMode="External"/><Relationship Id="rId15424" Type="http://schemas.openxmlformats.org/officeDocument/2006/relationships/hyperlink" Target="https://myinteriorpalace.com/" TargetMode="External"/><Relationship Id="rId3381" Type="http://schemas.openxmlformats.org/officeDocument/2006/relationships/hyperlink" Target="https://www.simpleshowing.com/" TargetMode="External"/><Relationship Id="rId4432" Type="http://schemas.openxmlformats.org/officeDocument/2006/relationships/hyperlink" Target="https://www.simpleshowing.com/" TargetMode="External"/><Relationship Id="rId10983" Type="http://schemas.openxmlformats.org/officeDocument/2006/relationships/hyperlink" Target="https://www.pinoyeplans.com/" TargetMode="External"/><Relationship Id="rId14026" Type="http://schemas.openxmlformats.org/officeDocument/2006/relationships/hyperlink" Target="https://myinteriorpalace.com/" TargetMode="External"/><Relationship Id="rId3034" Type="http://schemas.openxmlformats.org/officeDocument/2006/relationships/hyperlink" Target="https://www.pulte.com/" TargetMode="External"/><Relationship Id="rId7655" Type="http://schemas.openxmlformats.org/officeDocument/2006/relationships/hyperlink" Target="https://www.taylormorrison.com/" TargetMode="External"/><Relationship Id="rId8706" Type="http://schemas.openxmlformats.org/officeDocument/2006/relationships/hyperlink" Target="https://lubelska.co.uk/" TargetMode="External"/><Relationship Id="rId10636" Type="http://schemas.openxmlformats.org/officeDocument/2006/relationships/hyperlink" Target="https://www.teachengineering.org/" TargetMode="External"/><Relationship Id="rId16198" Type="http://schemas.openxmlformats.org/officeDocument/2006/relationships/hyperlink" Target="https://myinteriorpalace.com/" TargetMode="External"/><Relationship Id="rId6257" Type="http://schemas.openxmlformats.org/officeDocument/2006/relationships/hyperlink" Target="https://thecinnamonhollow.com/building-a-defense-against-impulse-buying/" TargetMode="External"/><Relationship Id="rId7308" Type="http://schemas.openxmlformats.org/officeDocument/2006/relationships/hyperlink" Target="https://www.simpleshowing.com/" TargetMode="External"/><Relationship Id="rId13859" Type="http://schemas.openxmlformats.org/officeDocument/2006/relationships/hyperlink" Target="https://embeltonflooring.com/" TargetMode="External"/><Relationship Id="rId15281" Type="http://schemas.openxmlformats.org/officeDocument/2006/relationships/hyperlink" Target="https://www.luxdeco.com/" TargetMode="External"/><Relationship Id="rId839" Type="http://schemas.openxmlformats.org/officeDocument/2006/relationships/hyperlink" Target="https://thehowtohome.com/7-hidden-problems-in-your-backyard-you-should-fix-before-your-next-diy-project/" TargetMode="External"/><Relationship Id="rId1469" Type="http://schemas.openxmlformats.org/officeDocument/2006/relationships/hyperlink" Target="http://capeannma.chambermaster.com/events/details/festival-by-the-sea-2025-34912?calendarMonth=2025-08-01" TargetMode="External"/><Relationship Id="rId2867" Type="http://schemas.openxmlformats.org/officeDocument/2006/relationships/hyperlink" Target="https://business.georgetownchamber.org/list/ql/ally-members-31" TargetMode="External"/><Relationship Id="rId3918" Type="http://schemas.openxmlformats.org/officeDocument/2006/relationships/hyperlink" Target="https://www.simpleshowing.com/" TargetMode="External"/><Relationship Id="rId5340" Type="http://schemas.openxmlformats.org/officeDocument/2006/relationships/hyperlink" Target="https://www.simpleshowing.com/" TargetMode="External"/><Relationship Id="rId9961" Type="http://schemas.openxmlformats.org/officeDocument/2006/relationships/hyperlink" Target="https://www.teachengineering.org/" TargetMode="External"/><Relationship Id="rId11891" Type="http://schemas.openxmlformats.org/officeDocument/2006/relationships/hyperlink" Target="https://www.allstate.com/resources/car-insurance/repair-or-replace-cracked-windshield" TargetMode="External"/><Relationship Id="rId12942" Type="http://schemas.openxmlformats.org/officeDocument/2006/relationships/hyperlink" Target="https://www.podchaser.com/podcasts/going-further-and-higher-educa-1972626/episodes/freedom-of-speech-142734710" TargetMode="External"/><Relationship Id="rId1950" Type="http://schemas.openxmlformats.org/officeDocument/2006/relationships/hyperlink" Target="https://www.simpleshowing.com/" TargetMode="External"/><Relationship Id="rId8563" Type="http://schemas.openxmlformats.org/officeDocument/2006/relationships/hyperlink" Target="https://advids.co/agencies/15-best-3d-animated-flythrough-video-agencies-serving-germany" TargetMode="External"/><Relationship Id="rId9614" Type="http://schemas.openxmlformats.org/officeDocument/2006/relationships/hyperlink" Target="https://kidsparkeducation.org/blog/3-engineering-projects-for-middle-school-stem" TargetMode="External"/><Relationship Id="rId10493" Type="http://schemas.openxmlformats.org/officeDocument/2006/relationships/hyperlink" Target="https://osse.dc.gov/page/capital-leaf-leaders-environmental-actions-our-future-transportation-resources" TargetMode="External"/><Relationship Id="rId11544" Type="http://schemas.openxmlformats.org/officeDocument/2006/relationships/hyperlink" Target="https://sellhousefast.uk/" TargetMode="External"/><Relationship Id="rId1603" Type="http://schemas.openxmlformats.org/officeDocument/2006/relationships/hyperlink" Target="https://wolfriverelectric.com/" TargetMode="External"/><Relationship Id="rId7165" Type="http://schemas.openxmlformats.org/officeDocument/2006/relationships/hyperlink" Target="https://www.simpleshowing.com/" TargetMode="External"/><Relationship Id="rId8216" Type="http://schemas.openxmlformats.org/officeDocument/2006/relationships/hyperlink" Target="https://www.pinoyeplans.com/" TargetMode="External"/><Relationship Id="rId10146" Type="http://schemas.openxmlformats.org/officeDocument/2006/relationships/hyperlink" Target="https://www.pinoyeplans.com/" TargetMode="External"/><Relationship Id="rId14767" Type="http://schemas.openxmlformats.org/officeDocument/2006/relationships/hyperlink" Target="https://myinteriorpalace.com/" TargetMode="External"/><Relationship Id="rId3775" Type="http://schemas.openxmlformats.org/officeDocument/2006/relationships/hyperlink" Target="https://thecoverguy.com/" TargetMode="External"/><Relationship Id="rId4826" Type="http://schemas.openxmlformats.org/officeDocument/2006/relationships/hyperlink" Target="https://www.kapre.com/" TargetMode="External"/><Relationship Id="rId13369" Type="http://schemas.openxmlformats.org/officeDocument/2006/relationships/hyperlink" Target="https://myinteriorpalace.com/" TargetMode="External"/><Relationship Id="rId15818" Type="http://schemas.openxmlformats.org/officeDocument/2006/relationships/hyperlink" Target="https://www.modinex.com.au/" TargetMode="External"/><Relationship Id="rId696" Type="http://schemas.openxmlformats.org/officeDocument/2006/relationships/hyperlink" Target="https://www.carolinadesigns.com/" TargetMode="External"/><Relationship Id="rId2377" Type="http://schemas.openxmlformats.org/officeDocument/2006/relationships/hyperlink" Target="https://www.pulte.com/" TargetMode="External"/><Relationship Id="rId3428" Type="http://schemas.openxmlformats.org/officeDocument/2006/relationships/hyperlink" Target="https://windowhero.com/locations/nashville/blog/how-clean-windows-influence-the-overall-look-and-feel-of-nashville-homes/" TargetMode="External"/><Relationship Id="rId349" Type="http://schemas.openxmlformats.org/officeDocument/2006/relationships/hyperlink" Target="https://www.kevinszabojrplumbing.net/blog/2022/7/18/everything-you-need-to-know-about-condo-remodeling" TargetMode="External"/><Relationship Id="rId6998" Type="http://schemas.openxmlformats.org/officeDocument/2006/relationships/hyperlink" Target="https://www.taylormorrison.com/" TargetMode="External"/><Relationship Id="rId9471" Type="http://schemas.openxmlformats.org/officeDocument/2006/relationships/hyperlink" Target="https://www.pinoyeplans.com/" TargetMode="External"/><Relationship Id="rId13850" Type="http://schemas.openxmlformats.org/officeDocument/2006/relationships/hyperlink" Target="https://aqglassshowerdoorsphoenix.com/" TargetMode="External"/><Relationship Id="rId14901" Type="http://schemas.openxmlformats.org/officeDocument/2006/relationships/hyperlink" Target="https://shedblog.com.au/essential-holiday-electrical-safety-precautions-in-australia/" TargetMode="External"/><Relationship Id="rId8073" Type="http://schemas.openxmlformats.org/officeDocument/2006/relationships/hyperlink" Target="https://johnsonrestoration.net/" TargetMode="External"/><Relationship Id="rId9124" Type="http://schemas.openxmlformats.org/officeDocument/2006/relationships/hyperlink" Target="https://nycestimating.us/" TargetMode="External"/><Relationship Id="rId12452" Type="http://schemas.openxmlformats.org/officeDocument/2006/relationships/hyperlink" Target="https://theoxfordblue.co.uk/what-are-the-antidoes-to-the-constant-rise-in-the-cost-of-living/" TargetMode="External"/><Relationship Id="rId13503" Type="http://schemas.openxmlformats.org/officeDocument/2006/relationships/hyperlink" Target="https://osgcontainers.com/en-vn/blog/shipping-container-offices-a-trend-in-flexible-workspaces/" TargetMode="External"/><Relationship Id="rId830" Type="http://schemas.openxmlformats.org/officeDocument/2006/relationships/hyperlink" Target="https://www.simpleshowing.com/" TargetMode="External"/><Relationship Id="rId1460" Type="http://schemas.openxmlformats.org/officeDocument/2006/relationships/hyperlink" Target="https://www.iberkshires.com/story/75903/To-DIY-or-Not-to-DIY-The-Pros-and-Cons-of-Professional.html" TargetMode="External"/><Relationship Id="rId2511" Type="http://schemas.openxmlformats.org/officeDocument/2006/relationships/hyperlink" Target="https://www.simpleshowing.com/" TargetMode="External"/><Relationship Id="rId11054" Type="http://schemas.openxmlformats.org/officeDocument/2006/relationships/hyperlink" Target="https://www.gadgetreview.com/from-potato-batteries-to-tesla-coils-11-gadgets-that-make-science-tangible" TargetMode="External"/><Relationship Id="rId12105" Type="http://schemas.openxmlformats.org/officeDocument/2006/relationships/hyperlink" Target="https://www.hamiltoninternationalestates.com/" TargetMode="External"/><Relationship Id="rId15675" Type="http://schemas.openxmlformats.org/officeDocument/2006/relationships/hyperlink" Target="https://www.bloggang.com/viewblog.php?id=founder&amp;date=06-12-2016&amp;group=13&amp;gblog=68" TargetMode="External"/><Relationship Id="rId1113" Type="http://schemas.openxmlformats.org/officeDocument/2006/relationships/hyperlink" Target="https://www.simpleshowing.com/" TargetMode="External"/><Relationship Id="rId4683" Type="http://schemas.openxmlformats.org/officeDocument/2006/relationships/hyperlink" Target="https://www.wctv.tv/2024/05/27/high-school-seniors-can-now-get-real-estate-license-free-this-state/" TargetMode="External"/><Relationship Id="rId5734" Type="http://schemas.openxmlformats.org/officeDocument/2006/relationships/hyperlink" Target="https://www.simpleshowing.com/" TargetMode="External"/><Relationship Id="rId14277" Type="http://schemas.openxmlformats.org/officeDocument/2006/relationships/hyperlink" Target="https://dsfantiquejewelry.com/blogs/time-blog/fine-jewelry-three-reasons-buying-vintage-is-the-ultimate-commitment-to-sustainability" TargetMode="External"/><Relationship Id="rId15328" Type="http://schemas.openxmlformats.org/officeDocument/2006/relationships/hyperlink" Target="https://myinteriorpalace.com/" TargetMode="External"/><Relationship Id="rId3285" Type="http://schemas.openxmlformats.org/officeDocument/2006/relationships/hyperlink" Target="https://www.simpleshowing.com/" TargetMode="External"/><Relationship Id="rId4336" Type="http://schemas.openxmlformats.org/officeDocument/2006/relationships/hyperlink" Target="https://www.simpleshowing.com/" TargetMode="External"/><Relationship Id="rId8957" Type="http://schemas.openxmlformats.org/officeDocument/2006/relationships/hyperlink" Target="https://loveregards.com/cost-focused-resource-review-systems-designed-for-complex-build-environments/" TargetMode="External"/><Relationship Id="rId7559" Type="http://schemas.openxmlformats.org/officeDocument/2006/relationships/hyperlink" Target="https://www.taylormorrison.com/" TargetMode="External"/><Relationship Id="rId10887" Type="http://schemas.openxmlformats.org/officeDocument/2006/relationships/hyperlink" Target="https://www.pinoyeplans.com/" TargetMode="External"/><Relationship Id="rId11938" Type="http://schemas.openxmlformats.org/officeDocument/2006/relationships/hyperlink" Target="https://www.bobvila.com/" TargetMode="External"/><Relationship Id="rId13360" Type="http://schemas.openxmlformats.org/officeDocument/2006/relationships/hyperlink" Target="https://myinteriorpalace.com/" TargetMode="External"/><Relationship Id="rId13013" Type="http://schemas.openxmlformats.org/officeDocument/2006/relationships/hyperlink" Target="https://www.shma.co.uk/" TargetMode="External"/><Relationship Id="rId14411" Type="http://schemas.openxmlformats.org/officeDocument/2006/relationships/hyperlink" Target="https://luxurylifestyle.com/" TargetMode="External"/><Relationship Id="rId340" Type="http://schemas.openxmlformats.org/officeDocument/2006/relationships/hyperlink" Target="http://northernvirginiahomepro.com/" TargetMode="External"/><Relationship Id="rId2021" Type="http://schemas.openxmlformats.org/officeDocument/2006/relationships/hyperlink" Target="https://exeleonmagazine.com/how-real-estate-professionals-build-market-credibility/" TargetMode="External"/><Relationship Id="rId4193" Type="http://schemas.openxmlformats.org/officeDocument/2006/relationships/hyperlink" Target="https://www.kapre.com/" TargetMode="External"/><Relationship Id="rId5591" Type="http://schemas.openxmlformats.org/officeDocument/2006/relationships/hyperlink" Target="https://www.travellingweasels.com/2025/02/how-to-travel-and-have-a-career.html" TargetMode="External"/><Relationship Id="rId6642" Type="http://schemas.openxmlformats.org/officeDocument/2006/relationships/hyperlink" Target="https://hospitalitydesign.com/products/roundups/new-bathroom-products-fixtures/" TargetMode="External"/><Relationship Id="rId15185" Type="http://schemas.openxmlformats.org/officeDocument/2006/relationships/hyperlink" Target="https://www.luxdeco.com/" TargetMode="External"/><Relationship Id="rId16236" Type="http://schemas.openxmlformats.org/officeDocument/2006/relationships/hyperlink" Target="https://www.urbancompany.com/blog/how-to-choose-the-perfect-carpet-flooring-colour-to-match-your-walls" TargetMode="External"/><Relationship Id="rId5244" Type="http://schemas.openxmlformats.org/officeDocument/2006/relationships/hyperlink" Target="https://www.simpleshowing.com/" TargetMode="External"/><Relationship Id="rId9865" Type="http://schemas.openxmlformats.org/officeDocument/2006/relationships/hyperlink" Target="https://www.teachengineering.org/" TargetMode="External"/><Relationship Id="rId11795" Type="http://schemas.openxmlformats.org/officeDocument/2006/relationships/hyperlink" Target="https://fadmagazine.com/2025/01/02/tips-to-help-you-pick-between-a-frame-and-a-canvas-for-your-wall-decor/" TargetMode="External"/><Relationship Id="rId12846" Type="http://schemas.openxmlformats.org/officeDocument/2006/relationships/hyperlink" Target="https://www.lexology.com/library/detail.aspx?g=e9dadb11-cdfb-4888-9cb9-11cd00a299f4" TargetMode="External"/><Relationship Id="rId79" Type="http://schemas.openxmlformats.org/officeDocument/2006/relationships/hyperlink" Target="http://pillreports.net/" TargetMode="External"/><Relationship Id="rId1854" Type="http://schemas.openxmlformats.org/officeDocument/2006/relationships/hyperlink" Target="https://www.simpleshowing.com/" TargetMode="External"/><Relationship Id="rId2905" Type="http://schemas.openxmlformats.org/officeDocument/2006/relationships/hyperlink" Target="https://www.pulte.com/" TargetMode="External"/><Relationship Id="rId8467" Type="http://schemas.openxmlformats.org/officeDocument/2006/relationships/hyperlink" Target="https://designsvalley.com/architectural-3d-visualization-new-era-the-role-of-ai-in-enhancing-design-accuracy-and-efficiency/" TargetMode="External"/><Relationship Id="rId9518" Type="http://schemas.openxmlformats.org/officeDocument/2006/relationships/hyperlink" Target="https://www.studiesweekly.com/waves/" TargetMode="External"/><Relationship Id="rId10397" Type="http://schemas.openxmlformats.org/officeDocument/2006/relationships/hyperlink" Target="https://www.mccrone.com/mm/investigating-the-magic-of-kinetic-sand/" TargetMode="External"/><Relationship Id="rId11448" Type="http://schemas.openxmlformats.org/officeDocument/2006/relationships/hyperlink" Target="https://sellhousefast.uk/" TargetMode="External"/><Relationship Id="rId1507" Type="http://schemas.openxmlformats.org/officeDocument/2006/relationships/hyperlink" Target="https://wolfriverelectric.com/" TargetMode="External"/><Relationship Id="rId7069" Type="http://schemas.openxmlformats.org/officeDocument/2006/relationships/hyperlink" Target="https://www.simpleshowing.com/" TargetMode="External"/><Relationship Id="rId3679" Type="http://schemas.openxmlformats.org/officeDocument/2006/relationships/hyperlink" Target="https://www.overheaddoors.com/" TargetMode="External"/><Relationship Id="rId7550" Type="http://schemas.openxmlformats.org/officeDocument/2006/relationships/hyperlink" Target="https://www.taylormorrison.com/" TargetMode="External"/><Relationship Id="rId16093" Type="http://schemas.openxmlformats.org/officeDocument/2006/relationships/hyperlink" Target="https://myinteriorpalace.com/" TargetMode="External"/><Relationship Id="rId6152" Type="http://schemas.openxmlformats.org/officeDocument/2006/relationships/hyperlink" Target="https://www.simpleshowing.com/" TargetMode="External"/><Relationship Id="rId7203" Type="http://schemas.openxmlformats.org/officeDocument/2006/relationships/hyperlink" Target="https://www.simpleshowing.com/" TargetMode="External"/><Relationship Id="rId8601" Type="http://schemas.openxmlformats.org/officeDocument/2006/relationships/hyperlink" Target="https://www.buyersadvocate.com.au/" TargetMode="External"/><Relationship Id="rId10531" Type="http://schemas.openxmlformats.org/officeDocument/2006/relationships/hyperlink" Target="https://www.teachengineering.org/" TargetMode="External"/><Relationship Id="rId13754" Type="http://schemas.openxmlformats.org/officeDocument/2006/relationships/hyperlink" Target="https://anationofmoms.com/" TargetMode="External"/><Relationship Id="rId14805" Type="http://schemas.openxmlformats.org/officeDocument/2006/relationships/hyperlink" Target="https://homesteadsupplier.com/blogs/news/how-often-should-you-replace-garage-door-springs-for-smooth-operation" TargetMode="External"/><Relationship Id="rId2762" Type="http://schemas.openxmlformats.org/officeDocument/2006/relationships/hyperlink" Target="https://www.restonnow.com/2019/05/15/photos-lofts-at-reston-station-now-complete/" TargetMode="External"/><Relationship Id="rId3813" Type="http://schemas.openxmlformats.org/officeDocument/2006/relationships/hyperlink" Target="https://www.simpleshowing.com/" TargetMode="External"/><Relationship Id="rId9028" Type="http://schemas.openxmlformats.org/officeDocument/2006/relationships/hyperlink" Target="https://nycestimating.us/" TargetMode="External"/><Relationship Id="rId9375" Type="http://schemas.openxmlformats.org/officeDocument/2006/relationships/hyperlink" Target="https://www.pinoyeplans.com/" TargetMode="External"/><Relationship Id="rId12356" Type="http://schemas.openxmlformats.org/officeDocument/2006/relationships/hyperlink" Target="https://www.parklaneproperties.com/student/8-bed-house-cardigan-road/123" TargetMode="External"/><Relationship Id="rId13407" Type="http://schemas.openxmlformats.org/officeDocument/2006/relationships/hyperlink" Target="https://anyreasonvegans.com/the-best-vegan-green-smoothies/" TargetMode="External"/><Relationship Id="rId734" Type="http://schemas.openxmlformats.org/officeDocument/2006/relationships/hyperlink" Target="https://www.simpleshowing.com/" TargetMode="External"/><Relationship Id="rId1364" Type="http://schemas.openxmlformats.org/officeDocument/2006/relationships/hyperlink" Target="https://reverbico.com/blog/the-future-of-real-estate-technology-trends/" TargetMode="External"/><Relationship Id="rId2415" Type="http://schemas.openxmlformats.org/officeDocument/2006/relationships/hyperlink" Target="https://www.simpleshowing.com/" TargetMode="External"/><Relationship Id="rId5985" Type="http://schemas.openxmlformats.org/officeDocument/2006/relationships/hyperlink" Target="https://www.credit.com/blog/how-to-ensure-financial-security-in-the-future-in-12-steps/" TargetMode="External"/><Relationship Id="rId12009" Type="http://schemas.openxmlformats.org/officeDocument/2006/relationships/hyperlink" Target="https://www.hamiltoninternationalestates.com/" TargetMode="External"/><Relationship Id="rId15579" Type="http://schemas.openxmlformats.org/officeDocument/2006/relationships/hyperlink" Target="https://kvia.com/lifestyle/stacker-lifestyle/2024/04/30/legendary-interior-designers-from-every-decade-of-the-20th-century/" TargetMode="External"/><Relationship Id="rId70" Type="http://schemas.openxmlformats.org/officeDocument/2006/relationships/hyperlink" Target="http://adultist.org/" TargetMode="External"/><Relationship Id="rId1017" Type="http://schemas.openxmlformats.org/officeDocument/2006/relationships/hyperlink" Target="https://www.simpleshowing.com/" TargetMode="External"/><Relationship Id="rId4587" Type="http://schemas.openxmlformats.org/officeDocument/2006/relationships/hyperlink" Target="https://www.kctv5.com/2024/05/27/high-school-seniors-can-now-get-real-estate-license-free-this-state/" TargetMode="External"/><Relationship Id="rId5638" Type="http://schemas.openxmlformats.org/officeDocument/2006/relationships/hyperlink" Target="https://www.simpleshowing.com/" TargetMode="External"/><Relationship Id="rId3189" Type="http://schemas.openxmlformats.org/officeDocument/2006/relationships/hyperlink" Target="https://www.simpleshowing.com/" TargetMode="External"/><Relationship Id="rId7060" Type="http://schemas.openxmlformats.org/officeDocument/2006/relationships/hyperlink" Target="https://www.simpleshowing.com/" TargetMode="External"/><Relationship Id="rId8111" Type="http://schemas.openxmlformats.org/officeDocument/2006/relationships/hyperlink" Target="https://www.pinoyeplans.com/" TargetMode="External"/><Relationship Id="rId10041" Type="http://schemas.openxmlformats.org/officeDocument/2006/relationships/hyperlink" Target="https://www.pinoyeplans.com/" TargetMode="External"/><Relationship Id="rId14662" Type="http://schemas.openxmlformats.org/officeDocument/2006/relationships/hyperlink" Target="https://myinteriorpalace.com/" TargetMode="External"/><Relationship Id="rId15713" Type="http://schemas.openxmlformats.org/officeDocument/2006/relationships/hyperlink" Target="https://www.modinex.com.au/" TargetMode="External"/><Relationship Id="rId591" Type="http://schemas.openxmlformats.org/officeDocument/2006/relationships/hyperlink" Target="https://www.carolinadesigns.com/" TargetMode="External"/><Relationship Id="rId2272" Type="http://schemas.openxmlformats.org/officeDocument/2006/relationships/hyperlink" Target="https://www.collectionforsyth.com/" TargetMode="External"/><Relationship Id="rId3670" Type="http://schemas.openxmlformats.org/officeDocument/2006/relationships/hyperlink" Target="https://www.overheaddoors.com/" TargetMode="External"/><Relationship Id="rId4721" Type="http://schemas.openxmlformats.org/officeDocument/2006/relationships/hyperlink" Target="https://www.kapre.com/" TargetMode="External"/><Relationship Id="rId13264" Type="http://schemas.openxmlformats.org/officeDocument/2006/relationships/hyperlink" Target="https://propertypressonline.co.uk/" TargetMode="External"/><Relationship Id="rId14315" Type="http://schemas.openxmlformats.org/officeDocument/2006/relationships/hyperlink" Target="https://luxurylifestyle.com/" TargetMode="External"/><Relationship Id="rId244" Type="http://schemas.openxmlformats.org/officeDocument/2006/relationships/hyperlink" Target="https://utopiamanagement.com/2021/01/understanding-condo-rules-and-regulations" TargetMode="External"/><Relationship Id="rId3323" Type="http://schemas.openxmlformats.org/officeDocument/2006/relationships/hyperlink" Target="https://www.auburnhills.org/city-council-approves-17-million-in-new-projects/" TargetMode="External"/><Relationship Id="rId6893" Type="http://schemas.openxmlformats.org/officeDocument/2006/relationships/hyperlink" Target="https://www.nailsmag.com/1092779/10-housing-and-interior-design-trends-for-2025" TargetMode="External"/><Relationship Id="rId7944" Type="http://schemas.openxmlformats.org/officeDocument/2006/relationships/hyperlink" Target="https://certifiedrestorationinc.com/" TargetMode="External"/><Relationship Id="rId10925" Type="http://schemas.openxmlformats.org/officeDocument/2006/relationships/hyperlink" Target="https://www.localmemphis.com/article/news/local/outreach/back-to-school/apps-and-sites-to-keep-your-kids-minds-working-and-yours-less-stressed-this-school-year/63-83bfb343-7811-47e7-9ace-f52290d7361b" TargetMode="External"/><Relationship Id="rId5495" Type="http://schemas.openxmlformats.org/officeDocument/2006/relationships/hyperlink" Target="https://www.stonewallinstitute.com/signs-that-loved-one-has-alcoholism/" TargetMode="External"/><Relationship Id="rId6546" Type="http://schemas.openxmlformats.org/officeDocument/2006/relationships/hyperlink" Target="https://cm.hsvchamber.org/list/member/gls-kitchen-bath-showroom-37372" TargetMode="External"/><Relationship Id="rId15089" Type="http://schemas.openxmlformats.org/officeDocument/2006/relationships/hyperlink" Target="https://www.luxdeco.com/" TargetMode="External"/><Relationship Id="rId4097" Type="http://schemas.openxmlformats.org/officeDocument/2006/relationships/hyperlink" Target="https://www.kapre.com/" TargetMode="External"/><Relationship Id="rId5148" Type="http://schemas.openxmlformats.org/officeDocument/2006/relationships/hyperlink" Target="https://www.simpleshowing.com/" TargetMode="External"/><Relationship Id="rId9769" Type="http://schemas.openxmlformats.org/officeDocument/2006/relationships/hyperlink" Target="https://www.teachengineering.org/" TargetMode="External"/><Relationship Id="rId11699" Type="http://schemas.openxmlformats.org/officeDocument/2006/relationships/hyperlink" Target="https://www.propertyweek.com/features/crossrail-boosts-regeneration-as-well-as-house-prices/5077165.article" TargetMode="External"/><Relationship Id="rId12000" Type="http://schemas.openxmlformats.org/officeDocument/2006/relationships/hyperlink" Target="https://www.hamiltoninternationalestates.com/" TargetMode="External"/><Relationship Id="rId15570" Type="http://schemas.openxmlformats.org/officeDocument/2006/relationships/hyperlink" Target="https://katykear.myportfolio.com/exposure" TargetMode="External"/><Relationship Id="rId1758" Type="http://schemas.openxmlformats.org/officeDocument/2006/relationships/hyperlink" Target="https://www.simpleshowing.com/" TargetMode="External"/><Relationship Id="rId2809" Type="http://schemas.openxmlformats.org/officeDocument/2006/relationships/hyperlink" Target="https://www.pulte.com/" TargetMode="External"/><Relationship Id="rId14172" Type="http://schemas.openxmlformats.org/officeDocument/2006/relationships/hyperlink" Target="https://isleblue.co/magazine/lake-como-luxury-villas-demand/" TargetMode="External"/><Relationship Id="rId15223" Type="http://schemas.openxmlformats.org/officeDocument/2006/relationships/hyperlink" Target="https://myinteriorpalace.com/" TargetMode="External"/><Relationship Id="rId3180" Type="http://schemas.openxmlformats.org/officeDocument/2006/relationships/hyperlink" Target="https://www.simpleshowing.com/" TargetMode="External"/><Relationship Id="rId4231" Type="http://schemas.openxmlformats.org/officeDocument/2006/relationships/hyperlink" Target="https://www.simpleshowing.com/" TargetMode="External"/><Relationship Id="rId8852" Type="http://schemas.openxmlformats.org/officeDocument/2006/relationships/hyperlink" Target="https://pepperjoe.com/blogs/blog/how-growing-your-own-pepper-plants-fresh-produce-helps-combat-carbon-emissions" TargetMode="External"/><Relationship Id="rId9903" Type="http://schemas.openxmlformats.org/officeDocument/2006/relationships/hyperlink" Target="https://www.pinoyeplans.com/" TargetMode="External"/><Relationship Id="rId10782" Type="http://schemas.openxmlformats.org/officeDocument/2006/relationships/hyperlink" Target="https://www.pinoyeplans.com/" TargetMode="External"/><Relationship Id="rId11833" Type="http://schemas.openxmlformats.org/officeDocument/2006/relationships/hyperlink" Target="https://sellhousefast.uk/" TargetMode="External"/><Relationship Id="rId6056" Type="http://schemas.openxmlformats.org/officeDocument/2006/relationships/hyperlink" Target="https://www.simpleshowing.com/" TargetMode="External"/><Relationship Id="rId7454" Type="http://schemas.openxmlformats.org/officeDocument/2006/relationships/hyperlink" Target="https://www.taylormorrison.com/" TargetMode="External"/><Relationship Id="rId8505" Type="http://schemas.openxmlformats.org/officeDocument/2006/relationships/hyperlink" Target="https://www.cylind.com/" TargetMode="External"/><Relationship Id="rId10435" Type="http://schemas.openxmlformats.org/officeDocument/2006/relationships/hyperlink" Target="https://www.teachengineering.org/" TargetMode="External"/><Relationship Id="rId7107" Type="http://schemas.openxmlformats.org/officeDocument/2006/relationships/hyperlink" Target="https://www.simpleshowing.com/" TargetMode="External"/><Relationship Id="rId13658" Type="http://schemas.openxmlformats.org/officeDocument/2006/relationships/hyperlink" Target="https://anationofmoms.com/" TargetMode="External"/><Relationship Id="rId14709" Type="http://schemas.openxmlformats.org/officeDocument/2006/relationships/hyperlink" Target="https://knockoffdecor.com/garage-door-stops-working-at-night/" TargetMode="External"/><Relationship Id="rId985" Type="http://schemas.openxmlformats.org/officeDocument/2006/relationships/hyperlink" Target="https://www.matrixbasements.com/" TargetMode="External"/><Relationship Id="rId2666" Type="http://schemas.openxmlformats.org/officeDocument/2006/relationships/hyperlink" Target="https://sunterratx.com/you-can-do-more-in-a-pulte-home/" TargetMode="External"/><Relationship Id="rId3717" Type="http://schemas.openxmlformats.org/officeDocument/2006/relationships/hyperlink" Target="https://www.simpleshowing.com/" TargetMode="External"/><Relationship Id="rId9279" Type="http://schemas.openxmlformats.org/officeDocument/2006/relationships/hyperlink" Target="https://www.pinoyeplans.com/" TargetMode="External"/><Relationship Id="rId15080" Type="http://schemas.openxmlformats.org/officeDocument/2006/relationships/hyperlink" Target="https://www.luxdeco.com/" TargetMode="External"/><Relationship Id="rId16131" Type="http://schemas.openxmlformats.org/officeDocument/2006/relationships/hyperlink" Target="https://www.expertreviews.co.uk/home-garden/best-carpet-for-stairs" TargetMode="External"/><Relationship Id="rId638" Type="http://schemas.openxmlformats.org/officeDocument/2006/relationships/hyperlink" Target="https://www.simpleshowing.com/" TargetMode="External"/><Relationship Id="rId1268" Type="http://schemas.openxmlformats.org/officeDocument/2006/relationships/hyperlink" Target="https://www.sfgate.com/realestate/article/how-a-national-housing-emergency-could-open-more-21041521.php" TargetMode="External"/><Relationship Id="rId2319" Type="http://schemas.openxmlformats.org/officeDocument/2006/relationships/hyperlink" Target="https://www.simpleshowing.com/" TargetMode="External"/><Relationship Id="rId5889" Type="http://schemas.openxmlformats.org/officeDocument/2006/relationships/hyperlink" Target="https://antelope-wolf-fph9.squarespace.com/blog/tag/flat+fee+real+estate" TargetMode="External"/><Relationship Id="rId9760" Type="http://schemas.openxmlformats.org/officeDocument/2006/relationships/hyperlink" Target="https://www.teachengineering.org/" TargetMode="External"/><Relationship Id="rId8362" Type="http://schemas.openxmlformats.org/officeDocument/2006/relationships/hyperlink" Target="https://www.telguarder.com/au/tel/1300269419" TargetMode="External"/><Relationship Id="rId9413" Type="http://schemas.openxmlformats.org/officeDocument/2006/relationships/hyperlink" Target="https://www.kyscience.org/resources_for_teachers.php" TargetMode="External"/><Relationship Id="rId11690" Type="http://schemas.openxmlformats.org/officeDocument/2006/relationships/hyperlink" Target="https://www.ebusinessblog.co.uk/augmented-reality-for-homebuyers/" TargetMode="External"/><Relationship Id="rId12741" Type="http://schemas.openxmlformats.org/officeDocument/2006/relationships/hyperlink" Target="https://www.caremanagementmatters.co.uk/feature/resource-finder/" TargetMode="External"/><Relationship Id="rId2800" Type="http://schemas.openxmlformats.org/officeDocument/2006/relationships/hyperlink" Target="https://www.pulte.com/" TargetMode="External"/><Relationship Id="rId8015" Type="http://schemas.openxmlformats.org/officeDocument/2006/relationships/hyperlink" Target="https://www.pinoyeplans.com/" TargetMode="External"/><Relationship Id="rId10292" Type="http://schemas.openxmlformats.org/officeDocument/2006/relationships/hyperlink" Target="https://www.engineeringtoolbox.com/psychrometric-chart-d_250.html" TargetMode="External"/><Relationship Id="rId11343" Type="http://schemas.openxmlformats.org/officeDocument/2006/relationships/hyperlink" Target="https://www.homego.com/blog/how-much-do-you-lose-selling-a-house-as-is/" TargetMode="External"/><Relationship Id="rId15964" Type="http://schemas.openxmlformats.org/officeDocument/2006/relationships/hyperlink" Target="https://myinteriorpalace.com/" TargetMode="External"/><Relationship Id="rId1402" Type="http://schemas.openxmlformats.org/officeDocument/2006/relationships/hyperlink" Target="https://ritewindow.com/blog/3-indicators-its-time-to-upgrade-your-shower-or-bath/" TargetMode="External"/><Relationship Id="rId4972" Type="http://schemas.openxmlformats.org/officeDocument/2006/relationships/hyperlink" Target="https://www.simpleshowing.com/" TargetMode="External"/><Relationship Id="rId14566" Type="http://schemas.openxmlformats.org/officeDocument/2006/relationships/hyperlink" Target="https://myinteriorpalace.com/" TargetMode="External"/><Relationship Id="rId15617" Type="http://schemas.openxmlformats.org/officeDocument/2006/relationships/hyperlink" Target="https://www.luxdeco.com/" TargetMode="External"/><Relationship Id="rId3574" Type="http://schemas.openxmlformats.org/officeDocument/2006/relationships/hyperlink" Target="https://www.pulte.com/" TargetMode="External"/><Relationship Id="rId4625" Type="http://schemas.openxmlformats.org/officeDocument/2006/relationships/hyperlink" Target="https://www.kapre.com/" TargetMode="External"/><Relationship Id="rId13168" Type="http://schemas.openxmlformats.org/officeDocument/2006/relationships/hyperlink" Target="https://propertypressonline.co.uk/" TargetMode="External"/><Relationship Id="rId14219" Type="http://schemas.openxmlformats.org/officeDocument/2006/relationships/hyperlink" Target="https://luxurylifestyle.com/" TargetMode="External"/><Relationship Id="rId495" Type="http://schemas.openxmlformats.org/officeDocument/2006/relationships/hyperlink" Target="https://www.carolinadesigns.com/" TargetMode="External"/><Relationship Id="rId2176" Type="http://schemas.openxmlformats.org/officeDocument/2006/relationships/hyperlink" Target="https://markspain.com/" TargetMode="External"/><Relationship Id="rId3227" Type="http://schemas.openxmlformats.org/officeDocument/2006/relationships/hyperlink" Target="https://bluevaultpartners.com/invitation-homes-pultegroup-form-strategic-relationship-for-purchase-of-approximately-7500-new-homes/" TargetMode="External"/><Relationship Id="rId6797" Type="http://schemas.openxmlformats.org/officeDocument/2006/relationships/hyperlink" Target="https://www.lasvegashomesbyleslie.com/downtown-summerlin-shopping-directory.php" TargetMode="External"/><Relationship Id="rId7848" Type="http://schemas.openxmlformats.org/officeDocument/2006/relationships/hyperlink" Target="https://discoverlakelanier.com/" TargetMode="External"/><Relationship Id="rId148" Type="http://schemas.openxmlformats.org/officeDocument/2006/relationships/hyperlink" Target="https://www.land.com/" TargetMode="External"/><Relationship Id="rId5399" Type="http://schemas.openxmlformats.org/officeDocument/2006/relationships/hyperlink" Target="https://www.creolestudios.com/ai-agentic-workflows-what-they-are-and-why-they-matter/" TargetMode="External"/><Relationship Id="rId9270" Type="http://schemas.openxmlformats.org/officeDocument/2006/relationships/hyperlink" Target="https://www.pinoyeplans.com/" TargetMode="External"/><Relationship Id="rId10829" Type="http://schemas.openxmlformats.org/officeDocument/2006/relationships/hyperlink" Target="https://www.scetv.org/stories/2019/steam-education-more-engineering-pinterest-challenges" TargetMode="External"/><Relationship Id="rId12251" Type="http://schemas.openxmlformats.org/officeDocument/2006/relationships/hyperlink" Target="https://www.bbc.com/news/articles/cly6em6z3dmo" TargetMode="External"/><Relationship Id="rId13302" Type="http://schemas.openxmlformats.org/officeDocument/2006/relationships/hyperlink" Target="https://chambermaster.wakeforestchamber.org/list/searchalpha/a" TargetMode="External"/><Relationship Id="rId14700" Type="http://schemas.openxmlformats.org/officeDocument/2006/relationships/hyperlink" Target="https://www.pinuphouses.com/key-factors-to-consider-when-choosing-a-trusted-local-garage-door-company/" TargetMode="External"/><Relationship Id="rId2310" Type="http://schemas.openxmlformats.org/officeDocument/2006/relationships/hyperlink" Target="https://www.simpleshowing.com/" TargetMode="External"/><Relationship Id="rId4482" Type="http://schemas.openxmlformats.org/officeDocument/2006/relationships/hyperlink" Target="https://business.providence.edu/undergraduate/friar-leadership-and-immersion-program-flip/pathways/" TargetMode="External"/><Relationship Id="rId5880" Type="http://schemas.openxmlformats.org/officeDocument/2006/relationships/hyperlink" Target="https://www.simpleshowing.com/" TargetMode="External"/><Relationship Id="rId6931" Type="http://schemas.openxmlformats.org/officeDocument/2006/relationships/hyperlink" Target="https://www.simpleshowing.com/" TargetMode="External"/><Relationship Id="rId14076" Type="http://schemas.openxmlformats.org/officeDocument/2006/relationships/hyperlink" Target="https://decoratoradvice.com/6-transformative-design-ideas-for-your-outdoor-living-space/" TargetMode="External"/><Relationship Id="rId15474" Type="http://schemas.openxmlformats.org/officeDocument/2006/relationships/hyperlink" Target="https://resident.com/resource-guide/2026/02/25/luxury-living-high-end-remodels-to-make-your-home-shine" TargetMode="External"/><Relationship Id="rId3084" Type="http://schemas.openxmlformats.org/officeDocument/2006/relationships/hyperlink" Target="https://www.simpleshowing.com/" TargetMode="External"/><Relationship Id="rId4135" Type="http://schemas.openxmlformats.org/officeDocument/2006/relationships/hyperlink" Target="mailto:davidtullly@gmail.com" TargetMode="External"/><Relationship Id="rId5533" Type="http://schemas.openxmlformats.org/officeDocument/2006/relationships/hyperlink" Target="https://www.octopusintelligence.com/the-role-of-business-loan-rates-in-the-healthcare-industrys-growth/" TargetMode="External"/><Relationship Id="rId15127" Type="http://schemas.openxmlformats.org/officeDocument/2006/relationships/hyperlink" Target="https://myinteriorpalace.com/" TargetMode="External"/><Relationship Id="rId8756" Type="http://schemas.openxmlformats.org/officeDocument/2006/relationships/hyperlink" Target="https://www.pinoyeplans.com/" TargetMode="External"/><Relationship Id="rId9807" Type="http://schemas.openxmlformats.org/officeDocument/2006/relationships/hyperlink" Target="https://www.pinoyeplans.com/" TargetMode="External"/><Relationship Id="rId10686" Type="http://schemas.openxmlformats.org/officeDocument/2006/relationships/hyperlink" Target="https://www.pinoyeplans.com/" TargetMode="External"/><Relationship Id="rId11737" Type="http://schemas.openxmlformats.org/officeDocument/2006/relationships/hyperlink" Target="https://sellhousefast.uk/" TargetMode="External"/><Relationship Id="rId7358" Type="http://schemas.openxmlformats.org/officeDocument/2006/relationships/hyperlink" Target="https://www.simpleshowing.com/" TargetMode="External"/><Relationship Id="rId8409" Type="http://schemas.openxmlformats.org/officeDocument/2006/relationships/hyperlink" Target="https://24hourfloodpros.com/" TargetMode="External"/><Relationship Id="rId10339" Type="http://schemas.openxmlformats.org/officeDocument/2006/relationships/hyperlink" Target="https://www.teachengineering.org/" TargetMode="External"/><Relationship Id="rId14210" Type="http://schemas.openxmlformats.org/officeDocument/2006/relationships/hyperlink" Target="https://luxurylifestyle.com/" TargetMode="External"/><Relationship Id="rId3968" Type="http://schemas.openxmlformats.org/officeDocument/2006/relationships/hyperlink" Target="https://constructionreviewonline.com/knowhow/installations-materials/how-to-reduce-solar-panel-installation-costs/" TargetMode="External"/><Relationship Id="rId5" Type="http://schemas.openxmlformats.org/officeDocument/2006/relationships/hyperlink" Target="https://www.thepinnaclelist.com/articles/how-architectural-rendering-enhances-the-luxury-home-buying-experience/" TargetMode="External"/><Relationship Id="rId889" Type="http://schemas.openxmlformats.org/officeDocument/2006/relationships/hyperlink" Target="https://www.absolutepestmgmt.com/" TargetMode="External"/><Relationship Id="rId5390" Type="http://schemas.openxmlformats.org/officeDocument/2006/relationships/hyperlink" Target="https://www.simpleshowing.com/" TargetMode="External"/><Relationship Id="rId6441" Type="http://schemas.openxmlformats.org/officeDocument/2006/relationships/hyperlink" Target="https://www.distributordatasolutions.com/network/our-manufacturers/" TargetMode="External"/><Relationship Id="rId10820" Type="http://schemas.openxmlformats.org/officeDocument/2006/relationships/hyperlink" Target="https://www.sciencealert.com/pure-chaos-of-magnetic-fields-could-be-responsible-for-the-black-hole-s-intense-shine" TargetMode="External"/><Relationship Id="rId16035" Type="http://schemas.openxmlformats.org/officeDocument/2006/relationships/hyperlink" Target="https://careerservices.fgcu.edu/blog/2025/06/30/15-tips-for-environmental-studies-majors-who-are-mapping-their-careers/" TargetMode="External"/><Relationship Id="rId5043" Type="http://schemas.openxmlformats.org/officeDocument/2006/relationships/hyperlink" Target="https://www.socialpilot.co/blog/target-market-vs-target-audience" TargetMode="External"/><Relationship Id="rId12992" Type="http://schemas.openxmlformats.org/officeDocument/2006/relationships/hyperlink" Target="https://www.shma.co.uk/" TargetMode="External"/><Relationship Id="rId8266" Type="http://schemas.openxmlformats.org/officeDocument/2006/relationships/hyperlink" Target="https://worldbusinessoutlook.com/the-role-of-color-temperature-in-choosing-bathroom-lighting-fixtures/" TargetMode="External"/><Relationship Id="rId9317" Type="http://schemas.openxmlformats.org/officeDocument/2006/relationships/hyperlink" Target="https://thehomeschoolscientist.com/100-engineering-projects-kids/" TargetMode="External"/><Relationship Id="rId9664" Type="http://schemas.openxmlformats.org/officeDocument/2006/relationships/hyperlink" Target="https://www.teachengineering.org/" TargetMode="External"/><Relationship Id="rId11594" Type="http://schemas.openxmlformats.org/officeDocument/2006/relationships/hyperlink" Target="https://www.theveganreview.com/vegan-restaurants-increase-house-prices-by-over-3000/" TargetMode="External"/><Relationship Id="rId12645" Type="http://schemas.openxmlformats.org/officeDocument/2006/relationships/hyperlink" Target="https://www.lawsociety.org.uk/campaigns/women-in-leadership-in-law/tools/the-women-in-law-pledge" TargetMode="External"/><Relationship Id="rId1653" Type="http://schemas.openxmlformats.org/officeDocument/2006/relationships/hyperlink" Target="https://www.simpleshowing.com/" TargetMode="External"/><Relationship Id="rId2704" Type="http://schemas.openxmlformats.org/officeDocument/2006/relationships/hyperlink" Target="https://www.pulte.com/" TargetMode="External"/><Relationship Id="rId10196" Type="http://schemas.openxmlformats.org/officeDocument/2006/relationships/hyperlink" Target="https://iblog.dearbornschools.org/puchals/category/social-science-resources/" TargetMode="External"/><Relationship Id="rId11247" Type="http://schemas.openxmlformats.org/officeDocument/2006/relationships/hyperlink" Target="https://www.pen2print.org/2024/07/steps-for-effective-water-damage.html" TargetMode="External"/><Relationship Id="rId15868" Type="http://schemas.openxmlformats.org/officeDocument/2006/relationships/hyperlink" Target="https://myinteriorpalace.com/" TargetMode="External"/><Relationship Id="rId1306" Type="http://schemas.openxmlformats.org/officeDocument/2006/relationships/hyperlink" Target="https://darscover.com/" TargetMode="External"/><Relationship Id="rId4876" Type="http://schemas.openxmlformats.org/officeDocument/2006/relationships/hyperlink" Target="https://www.simpleshowing.com/" TargetMode="External"/><Relationship Id="rId5927" Type="http://schemas.openxmlformats.org/officeDocument/2006/relationships/hyperlink" Target="https://krdo.com/stacker-money/2025/06/26/how-to-be-debt-free-by-retirement/" TargetMode="External"/><Relationship Id="rId12" Type="http://schemas.openxmlformats.org/officeDocument/2006/relationships/hyperlink" Target="https://www.gatheradu.com/blog/small-space-hacks-adu-interior-design-ideas-that-maximize-every-inch" TargetMode="External"/><Relationship Id="rId3478" Type="http://schemas.openxmlformats.org/officeDocument/2006/relationships/hyperlink" Target="https://www.pulte.com/" TargetMode="External"/><Relationship Id="rId4529" Type="http://schemas.openxmlformats.org/officeDocument/2006/relationships/hyperlink" Target="https://www.kapre.com/" TargetMode="External"/><Relationship Id="rId8400" Type="http://schemas.openxmlformats.org/officeDocument/2006/relationships/hyperlink" Target="https://24hourfloodpros.com/" TargetMode="External"/><Relationship Id="rId10330" Type="http://schemas.openxmlformats.org/officeDocument/2006/relationships/hyperlink" Target="https://www.teachengineering.org/" TargetMode="External"/><Relationship Id="rId399" Type="http://schemas.openxmlformats.org/officeDocument/2006/relationships/hyperlink" Target="https://www.awaylands.com/story/why-real-estate-appraisal-is-essential-for-property-buyers-and-sellers/" TargetMode="External"/><Relationship Id="rId7002" Type="http://schemas.openxmlformats.org/officeDocument/2006/relationships/hyperlink" Target="https://allreadymoving.com/blog/55-plus-communities-in-tacoma/" TargetMode="External"/><Relationship Id="rId14951" Type="http://schemas.openxmlformats.org/officeDocument/2006/relationships/hyperlink" Target="https://www.fluidplumbingservices.com.au/" TargetMode="External"/><Relationship Id="rId880" Type="http://schemas.openxmlformats.org/officeDocument/2006/relationships/hyperlink" Target="https://www.absolutepestmgmt.com/" TargetMode="External"/><Relationship Id="rId2561" Type="http://schemas.openxmlformats.org/officeDocument/2006/relationships/hyperlink" Target="https://www.allmine.com/collection/ashworthestates" TargetMode="External"/><Relationship Id="rId9174" Type="http://schemas.openxmlformats.org/officeDocument/2006/relationships/hyperlink" Target="https://www.pinoyeplans.com/" TargetMode="External"/><Relationship Id="rId12155" Type="http://schemas.openxmlformats.org/officeDocument/2006/relationships/hyperlink" Target="https://www.lacrema.com/diy-wine-bottle-decor-9-ways-upcycle-empty-bottles.html" TargetMode="External"/><Relationship Id="rId13553" Type="http://schemas.openxmlformats.org/officeDocument/2006/relationships/hyperlink" Target="https://anationofmoms.com/" TargetMode="External"/><Relationship Id="rId14604" Type="http://schemas.openxmlformats.org/officeDocument/2006/relationships/hyperlink" Target="https://housesitmatch.com/blog/maintain-garage-doors-5-top-tips/" TargetMode="External"/><Relationship Id="rId533" Type="http://schemas.openxmlformats.org/officeDocument/2006/relationships/hyperlink" Target="https://www.simpleshowing.com/" TargetMode="External"/><Relationship Id="rId1163" Type="http://schemas.openxmlformats.org/officeDocument/2006/relationships/hyperlink" Target="https://www.emmysmummy.com/guide-to-remodelling-your-basement-for-extra-living-space" TargetMode="External"/><Relationship Id="rId2214" Type="http://schemas.openxmlformats.org/officeDocument/2006/relationships/hyperlink" Target="https://www.simpleshowing.com/" TargetMode="External"/><Relationship Id="rId3612" Type="http://schemas.openxmlformats.org/officeDocument/2006/relationships/hyperlink" Target="https://www.simpleshowing.com/" TargetMode="External"/><Relationship Id="rId13206" Type="http://schemas.openxmlformats.org/officeDocument/2006/relationships/hyperlink" Target="https://www.fastbase.com/countryindex/United-Kingdom/R/Real-estate-attorney" TargetMode="External"/><Relationship Id="rId5784" Type="http://schemas.openxmlformats.org/officeDocument/2006/relationships/hyperlink" Target="https://www.simpleshowing.com/" TargetMode="External"/><Relationship Id="rId6835" Type="http://schemas.openxmlformats.org/officeDocument/2006/relationships/hyperlink" Target="https://www.taylormorrison.com/" TargetMode="External"/><Relationship Id="rId15378" Type="http://schemas.openxmlformats.org/officeDocument/2006/relationships/hyperlink" Target="https://www.telegraph.co.uk/lifestyle/interiors/10414293/Design-notebook-the-best-geometric-throws.html" TargetMode="External"/><Relationship Id="rId4386" Type="http://schemas.openxmlformats.org/officeDocument/2006/relationships/hyperlink" Target="https://www.kxii.com/2024/05/27/high-school-seniors-can-now-get-real-estate-license-free-this-state/" TargetMode="External"/><Relationship Id="rId5437" Type="http://schemas.openxmlformats.org/officeDocument/2006/relationships/hyperlink" Target="https://www.menutiger.com/blog/tips-to-recession-proof-your-restaurant" TargetMode="External"/><Relationship Id="rId11988" Type="http://schemas.openxmlformats.org/officeDocument/2006/relationships/hyperlink" Target="https://www.hamiltoninternationalestates.com/" TargetMode="External"/><Relationship Id="rId4039" Type="http://schemas.openxmlformats.org/officeDocument/2006/relationships/hyperlink" Target="https://appleplumbing.com/" TargetMode="External"/><Relationship Id="rId14461" Type="http://schemas.openxmlformats.org/officeDocument/2006/relationships/hyperlink" Target="https://myinteriorpalace.com/" TargetMode="External"/><Relationship Id="rId15512" Type="http://schemas.openxmlformats.org/officeDocument/2006/relationships/hyperlink" Target="https://www.luxdeco.com/" TargetMode="External"/><Relationship Id="rId4520" Type="http://schemas.openxmlformats.org/officeDocument/2006/relationships/hyperlink" Target="https://www.kapre.com/" TargetMode="External"/><Relationship Id="rId13063" Type="http://schemas.openxmlformats.org/officeDocument/2006/relationships/hyperlink" Target="https://propertypressonline.co.uk/" TargetMode="External"/><Relationship Id="rId14114" Type="http://schemas.openxmlformats.org/officeDocument/2006/relationships/hyperlink" Target="https://keystonecustomdecksny.com/" TargetMode="External"/><Relationship Id="rId390" Type="http://schemas.openxmlformats.org/officeDocument/2006/relationships/hyperlink" Target="http://northernvirginiahomepro.com/" TargetMode="External"/><Relationship Id="rId2071" Type="http://schemas.openxmlformats.org/officeDocument/2006/relationships/hyperlink" Target="https://markspain.com/" TargetMode="External"/><Relationship Id="rId3122" Type="http://schemas.openxmlformats.org/officeDocument/2006/relationships/hyperlink" Target="https://www.compass.com/listing/2718-fetching-trail-davenport-fl-33896/1524844714180898497/" TargetMode="External"/><Relationship Id="rId6692" Type="http://schemas.openxmlformats.org/officeDocument/2006/relationships/hyperlink" Target="https://www.nintendoworldreport.com/forums/index.php?action=profile;area=showposts;sa=messages;u=11321" TargetMode="External"/><Relationship Id="rId5294" Type="http://schemas.openxmlformats.org/officeDocument/2006/relationships/hyperlink" Target="https://www.simpleshowing.com/" TargetMode="External"/><Relationship Id="rId6345" Type="http://schemas.openxmlformats.org/officeDocument/2006/relationships/hyperlink" Target="https://starlocalmedia.com/what-to-do-when-your-spouse-loses-their-job/article_9fa7ae7b-013d-5fd0-ab6f-83f343b32a52.html" TargetMode="External"/><Relationship Id="rId7743" Type="http://schemas.openxmlformats.org/officeDocument/2006/relationships/hyperlink" Target="https://www.simpleshowing.com/" TargetMode="External"/><Relationship Id="rId10724" Type="http://schemas.openxmlformats.org/officeDocument/2006/relationships/hyperlink" Target="https://www.schoollibraryjournal.com/story/honoring-h2o-teaching-resources-about-vital-importance-clean-water" TargetMode="External"/><Relationship Id="rId12896" Type="http://schemas.openxmlformats.org/officeDocument/2006/relationships/hyperlink" Target="https://www.shma.co.uk/" TargetMode="External"/><Relationship Id="rId13947" Type="http://schemas.openxmlformats.org/officeDocument/2006/relationships/hyperlink" Target="https://www.yourgreenpal.com/blog/the-importance-of-professional-roof-snow-removal-infographic" TargetMode="External"/><Relationship Id="rId2955" Type="http://schemas.openxmlformats.org/officeDocument/2006/relationships/hyperlink" Target="https://www.simpleshowing.com/" TargetMode="External"/><Relationship Id="rId9568" Type="http://schemas.openxmlformats.org/officeDocument/2006/relationships/hyperlink" Target="https://www.teachengineering.org/" TargetMode="External"/><Relationship Id="rId11498" Type="http://schemas.openxmlformats.org/officeDocument/2006/relationships/hyperlink" Target="https://www.hamiltoninternationalestates.com/" TargetMode="External"/><Relationship Id="rId12549" Type="http://schemas.openxmlformats.org/officeDocument/2006/relationships/hyperlink" Target="https://www.limesolicitors.co.uk/" TargetMode="External"/><Relationship Id="rId927" Type="http://schemas.openxmlformats.org/officeDocument/2006/relationships/hyperlink" Target="https://www.simpleshowing.com/" TargetMode="External"/><Relationship Id="rId1557" Type="http://schemas.openxmlformats.org/officeDocument/2006/relationships/hyperlink" Target="https://www.simpleshowing.com/" TargetMode="External"/><Relationship Id="rId2608" Type="http://schemas.openxmlformats.org/officeDocument/2006/relationships/hyperlink" Target="https://www.pulte.com/" TargetMode="External"/><Relationship Id="rId15022" Type="http://schemas.openxmlformats.org/officeDocument/2006/relationships/hyperlink" Target="https://myinteriorpalace.com/" TargetMode="External"/><Relationship Id="rId4030" Type="http://schemas.openxmlformats.org/officeDocument/2006/relationships/hyperlink" Target="https://appleplumbing.com/" TargetMode="External"/><Relationship Id="rId8651" Type="http://schemas.openxmlformats.org/officeDocument/2006/relationships/hyperlink" Target="https://www.pinoyeplans.com/" TargetMode="External"/><Relationship Id="rId9702" Type="http://schemas.openxmlformats.org/officeDocument/2006/relationships/hyperlink" Target="https://www.pinoyeplans.com/" TargetMode="External"/><Relationship Id="rId7253" Type="http://schemas.openxmlformats.org/officeDocument/2006/relationships/hyperlink" Target="https://www.simpleshowing.com/" TargetMode="External"/><Relationship Id="rId8304" Type="http://schemas.openxmlformats.org/officeDocument/2006/relationships/hyperlink" Target="https://www.zestlighting.com.au/" TargetMode="External"/><Relationship Id="rId10234" Type="http://schemas.openxmlformats.org/officeDocument/2006/relationships/hyperlink" Target="https://www.teachengineering.org/" TargetMode="External"/><Relationship Id="rId10581" Type="http://schemas.openxmlformats.org/officeDocument/2006/relationships/hyperlink" Target="https://www.pinoyeplans.com/" TargetMode="External"/><Relationship Id="rId11632" Type="http://schemas.openxmlformats.org/officeDocument/2006/relationships/hyperlink" Target="https://sellhousefast.uk/" TargetMode="External"/><Relationship Id="rId14855" Type="http://schemas.openxmlformats.org/officeDocument/2006/relationships/hyperlink" Target="https://www.fluidplumbingservices.com.au/" TargetMode="External"/><Relationship Id="rId15906" Type="http://schemas.openxmlformats.org/officeDocument/2006/relationships/hyperlink" Target="https://reviews.birdeye.com/raynor-garage-doors-of-kansas-city-145480078015888" TargetMode="External"/><Relationship Id="rId3863" Type="http://schemas.openxmlformats.org/officeDocument/2006/relationships/hyperlink" Target="https://www.backyardboss.net/hot-tub-chemical-alternatives/" TargetMode="External"/><Relationship Id="rId4914" Type="http://schemas.openxmlformats.org/officeDocument/2006/relationships/hyperlink" Target="https://www.simpleshowing.com/" TargetMode="External"/><Relationship Id="rId9078" Type="http://schemas.openxmlformats.org/officeDocument/2006/relationships/hyperlink" Target="https://www.pinoyeplans.com/" TargetMode="External"/><Relationship Id="rId13457" Type="http://schemas.openxmlformats.org/officeDocument/2006/relationships/hyperlink" Target="https://anationofmoms.com/" TargetMode="External"/><Relationship Id="rId14508" Type="http://schemas.openxmlformats.org/officeDocument/2006/relationships/hyperlink" Target="https://business.hwcoc.org/list/member/easy-garage-door-repair-16222" TargetMode="External"/><Relationship Id="rId784" Type="http://schemas.openxmlformats.org/officeDocument/2006/relationships/hyperlink" Target="https://www.lennox.com/residential/locate/dealer/mi/walker/schaafsma-htg-and-clg-co" TargetMode="External"/><Relationship Id="rId1067" Type="http://schemas.openxmlformats.org/officeDocument/2006/relationships/hyperlink" Target="https://www.womanaroundtown.com/contributed/ten-home-upgrades-senior-couples-can-make-for-aging-in-place/" TargetMode="External"/><Relationship Id="rId2465" Type="http://schemas.openxmlformats.org/officeDocument/2006/relationships/hyperlink" Target="https://www.knowatlanta.com/feature-stories-on-atlanta/atlantas-best-builders-new-home-communities" TargetMode="External"/><Relationship Id="rId3516" Type="http://schemas.openxmlformats.org/officeDocument/2006/relationships/hyperlink" Target="https://www.simpleshowing.com/" TargetMode="External"/><Relationship Id="rId12059" Type="http://schemas.openxmlformats.org/officeDocument/2006/relationships/hyperlink" Target="https://colonyroofers.com/learningcenter/what-is-roof-sag" TargetMode="External"/><Relationship Id="rId437" Type="http://schemas.openxmlformats.org/officeDocument/2006/relationships/hyperlink" Target="https://www.simpleshowing.com/" TargetMode="External"/><Relationship Id="rId2118" Type="http://schemas.openxmlformats.org/officeDocument/2006/relationships/hyperlink" Target="https://www.simpleshowing.com/" TargetMode="External"/><Relationship Id="rId5688" Type="http://schemas.openxmlformats.org/officeDocument/2006/relationships/hyperlink" Target="https://www.simpleshowing.com/" TargetMode="External"/><Relationship Id="rId6739" Type="http://schemas.openxmlformats.org/officeDocument/2006/relationships/hyperlink" Target="https://www.rocklynhomes.com/" TargetMode="External"/><Relationship Id="rId12540" Type="http://schemas.openxmlformats.org/officeDocument/2006/relationships/hyperlink" Target="https://eridan.websrvcs.com/System/Media/play.asp?id=30216&amp;key=934CA76B-47BE-415F-AFCF-A6B339CF412E" TargetMode="External"/><Relationship Id="rId8161" Type="http://schemas.openxmlformats.org/officeDocument/2006/relationships/hyperlink" Target="https://celebritymagazine.co.uk/3d-rendering-of-a-house-how-modern-visualization-brings-designs-to-life/" TargetMode="External"/><Relationship Id="rId9212" Type="http://schemas.openxmlformats.org/officeDocument/2006/relationships/hyperlink" Target="https://thelocalproject.com.au/galleries/clifftop-house-by-joe-adsett-architects-project-archive-teneriffe-qld-australia/" TargetMode="External"/><Relationship Id="rId10091" Type="http://schemas.openxmlformats.org/officeDocument/2006/relationships/hyperlink" Target="https://physics.stackexchange.com/questions/389947/why-are-the-wet-patches-on-these-floor-tiles-circular" TargetMode="External"/><Relationship Id="rId11142" Type="http://schemas.openxmlformats.org/officeDocument/2006/relationships/hyperlink" Target="https://www.pinoyeplans.com/" TargetMode="External"/><Relationship Id="rId1201" Type="http://schemas.openxmlformats.org/officeDocument/2006/relationships/hyperlink" Target="https://happy2movelondon.co.uk/r" TargetMode="External"/><Relationship Id="rId4771" Type="http://schemas.openxmlformats.org/officeDocument/2006/relationships/hyperlink" Target="https://www.simpleshowing.com/" TargetMode="External"/><Relationship Id="rId14365" Type="http://schemas.openxmlformats.org/officeDocument/2006/relationships/hyperlink" Target="https://myinteriorpalace.com/" TargetMode="External"/><Relationship Id="rId15763" Type="http://schemas.openxmlformats.org/officeDocument/2006/relationships/hyperlink" Target="https://myinteriorpalace.com/" TargetMode="External"/><Relationship Id="rId3373" Type="http://schemas.openxmlformats.org/officeDocument/2006/relationships/hyperlink" Target="https://www.pulte.com/" TargetMode="External"/><Relationship Id="rId4424" Type="http://schemas.openxmlformats.org/officeDocument/2006/relationships/hyperlink" Target="https://www.kapre.com/" TargetMode="External"/><Relationship Id="rId5822" Type="http://schemas.openxmlformats.org/officeDocument/2006/relationships/hyperlink" Target="https://www.simpleshowing.com/" TargetMode="External"/><Relationship Id="rId14018" Type="http://schemas.openxmlformats.org/officeDocument/2006/relationships/hyperlink" Target="https://keystonecustomdecksny.com/" TargetMode="External"/><Relationship Id="rId15416" Type="http://schemas.openxmlformats.org/officeDocument/2006/relationships/hyperlink" Target="https://www.luxdeco.com/" TargetMode="External"/><Relationship Id="rId294" Type="http://schemas.openxmlformats.org/officeDocument/2006/relationships/hyperlink" Target="http://northernvirginiahomepro.com/" TargetMode="External"/><Relationship Id="rId3026" Type="http://schemas.openxmlformats.org/officeDocument/2006/relationships/hyperlink" Target="https://skyscraperpage.com/forum/showthread.php?p=7967228" TargetMode="External"/><Relationship Id="rId7994" Type="http://schemas.openxmlformats.org/officeDocument/2006/relationships/hyperlink" Target="https://www.pinoyeplans.com/" TargetMode="External"/><Relationship Id="rId10975" Type="http://schemas.openxmlformats.org/officeDocument/2006/relationships/hyperlink" Target="https://www.teachengineering.org/" TargetMode="External"/><Relationship Id="rId5198" Type="http://schemas.openxmlformats.org/officeDocument/2006/relationships/hyperlink" Target="https://www.simpleshowing.com/" TargetMode="External"/><Relationship Id="rId6596" Type="http://schemas.openxmlformats.org/officeDocument/2006/relationships/hyperlink" Target="https://www.simpleshowing.com/" TargetMode="External"/><Relationship Id="rId7647" Type="http://schemas.openxmlformats.org/officeDocument/2006/relationships/hyperlink" Target="https://tiphero.com/6-diy-home-improvement-projects-that-wont-break-your-bank" TargetMode="External"/><Relationship Id="rId10628" Type="http://schemas.openxmlformats.org/officeDocument/2006/relationships/hyperlink" Target="https://ncscienceolympiad.ncsu.edu/resources/elementary/super-sleuths/" TargetMode="External"/><Relationship Id="rId6249" Type="http://schemas.openxmlformats.org/officeDocument/2006/relationships/hyperlink" Target="https://globalcareers.brandeis.edu/blog/2025/06/30/the-hour-a-day-job-hunt-routine-that-works/" TargetMode="External"/><Relationship Id="rId12050" Type="http://schemas.openxmlformats.org/officeDocument/2006/relationships/hyperlink" Target="https://alliancechemical.com/blogs/articles/diy-castor-oil-mole-repellent-natural-amp-effective-mole-control-for-your-law" TargetMode="External"/><Relationship Id="rId13101" Type="http://schemas.openxmlformats.org/officeDocument/2006/relationships/hyperlink" Target="https://constructionmanagement.co.uk/ir35-where-does-the-construction-industry-stand-now/" TargetMode="External"/><Relationship Id="rId2859" Type="http://schemas.openxmlformats.org/officeDocument/2006/relationships/hyperlink" Target="https://www.simpleshowing.com/" TargetMode="External"/><Relationship Id="rId6730" Type="http://schemas.openxmlformats.org/officeDocument/2006/relationships/hyperlink" Target="https://www.eplanters.com/blog/" TargetMode="External"/><Relationship Id="rId15273" Type="http://schemas.openxmlformats.org/officeDocument/2006/relationships/hyperlink" Target="https://www.handypro.com/post/creating-a-warm-and-inviting-home-design-tips-for-older-adults" TargetMode="External"/><Relationship Id="rId4281" Type="http://schemas.openxmlformats.org/officeDocument/2006/relationships/hyperlink" Target="https://landerlab.io/blog/how-to-get-real-estate-leads-without-cold-calling" TargetMode="External"/><Relationship Id="rId5332" Type="http://schemas.openxmlformats.org/officeDocument/2006/relationships/hyperlink" Target="https://www.simpleshowing.com/" TargetMode="External"/><Relationship Id="rId8555" Type="http://schemas.openxmlformats.org/officeDocument/2006/relationships/hyperlink" Target="https://www.pinoyeplans.com/" TargetMode="External"/><Relationship Id="rId9606" Type="http://schemas.openxmlformats.org/officeDocument/2006/relationships/hyperlink" Target="https://www.pinoyeplans.com/" TargetMode="External"/><Relationship Id="rId9953" Type="http://schemas.openxmlformats.org/officeDocument/2006/relationships/hyperlink" Target="https://ryan.houstonisd.org/academics-programs/health-science-curriculum" TargetMode="External"/><Relationship Id="rId11883" Type="http://schemas.openxmlformats.org/officeDocument/2006/relationships/hyperlink" Target="https://www.hamiltoninternationalestates.com/" TargetMode="External"/><Relationship Id="rId12934" Type="http://schemas.openxmlformats.org/officeDocument/2006/relationships/hyperlink" Target="https://propertypressonline.co.uk/" TargetMode="External"/><Relationship Id="rId1942" Type="http://schemas.openxmlformats.org/officeDocument/2006/relationships/hyperlink" Target="https://markspain.com/" TargetMode="External"/><Relationship Id="rId7157" Type="http://schemas.openxmlformats.org/officeDocument/2006/relationships/hyperlink" Target="https://www.taylormorrison.com/" TargetMode="External"/><Relationship Id="rId8208" Type="http://schemas.openxmlformats.org/officeDocument/2006/relationships/hyperlink" Target="https://smaarchviz.com/" TargetMode="External"/><Relationship Id="rId10485" Type="http://schemas.openxmlformats.org/officeDocument/2006/relationships/hyperlink" Target="https://www.pinoyeplans.com/" TargetMode="External"/><Relationship Id="rId11536" Type="http://schemas.openxmlformats.org/officeDocument/2006/relationships/hyperlink" Target="https://digitaloft.co.uk/august-2025-highlights/" TargetMode="External"/><Relationship Id="rId10138" Type="http://schemas.openxmlformats.org/officeDocument/2006/relationships/hyperlink" Target="https://www.teachengineering.org/" TargetMode="External"/><Relationship Id="rId14759" Type="http://schemas.openxmlformats.org/officeDocument/2006/relationships/hyperlink" Target="https://www.easygaragedoorrepair.com/" TargetMode="External"/><Relationship Id="rId3767" Type="http://schemas.openxmlformats.org/officeDocument/2006/relationships/hyperlink" Target="https://www.certifiedeo.com/company/mid-atlantic-door-group-inc" TargetMode="External"/><Relationship Id="rId4818" Type="http://schemas.openxmlformats.org/officeDocument/2006/relationships/hyperlink" Target="https://www.kbtx.com/2024/05/27/high-school-seniors-can-now-get-real-estate-license-free-this-state/" TargetMode="External"/><Relationship Id="rId16181" Type="http://schemas.openxmlformats.org/officeDocument/2006/relationships/hyperlink" Target="https://www.unitedcarpetsandbeds.com/" TargetMode="External"/><Relationship Id="rId688" Type="http://schemas.openxmlformats.org/officeDocument/2006/relationships/hyperlink" Target="https://www.peoplesmart.com/companies/carolina-designs-realty-inc/2063353" TargetMode="External"/><Relationship Id="rId2369" Type="http://schemas.openxmlformats.org/officeDocument/2006/relationships/hyperlink" Target="https://metrodevelopmentgroup.com/communities/seaire/" TargetMode="External"/><Relationship Id="rId6240" Type="http://schemas.openxmlformats.org/officeDocument/2006/relationships/hyperlink" Target="https://www.simpleshowing.com/" TargetMode="External"/><Relationship Id="rId2850" Type="http://schemas.openxmlformats.org/officeDocument/2006/relationships/hyperlink" Target="https://www.simpleshowing.com/" TargetMode="External"/><Relationship Id="rId9463" Type="http://schemas.openxmlformats.org/officeDocument/2006/relationships/hyperlink" Target="https://www.teachengineering.org/" TargetMode="External"/><Relationship Id="rId11393" Type="http://schemas.openxmlformats.org/officeDocument/2006/relationships/hyperlink" Target="https://www.hamiltoninternationalestates.com/" TargetMode="External"/><Relationship Id="rId12444" Type="http://schemas.openxmlformats.org/officeDocument/2006/relationships/hyperlink" Target="https://propertypressonline.co.uk/" TargetMode="External"/><Relationship Id="rId12791" Type="http://schemas.openxmlformats.org/officeDocument/2006/relationships/hyperlink" Target="https://www.shma.co.uk/" TargetMode="External"/><Relationship Id="rId13842" Type="http://schemas.openxmlformats.org/officeDocument/2006/relationships/hyperlink" Target="https://www.merchantcircle.com/az-phoenix/home-and-garden/bed-and-bath" TargetMode="External"/><Relationship Id="rId822" Type="http://schemas.openxmlformats.org/officeDocument/2006/relationships/hyperlink" Target="https://www.absolutepestmgmt.com/" TargetMode="External"/><Relationship Id="rId1452" Type="http://schemas.openxmlformats.org/officeDocument/2006/relationships/hyperlink" Target="https://www.simpleshowing.com/" TargetMode="External"/><Relationship Id="rId2503" Type="http://schemas.openxmlformats.org/officeDocument/2006/relationships/hyperlink" Target="https://www.pulte.com/" TargetMode="External"/><Relationship Id="rId3901" Type="http://schemas.openxmlformats.org/officeDocument/2006/relationships/hyperlink" Target="https://thecoverguy.com/" TargetMode="External"/><Relationship Id="rId8065" Type="http://schemas.openxmlformats.org/officeDocument/2006/relationships/hyperlink" Target="https://www.gaf.com/en-us/roofing-contractors/residential/usa/oh/dayton/johnson-restoration-1112740" TargetMode="External"/><Relationship Id="rId9116" Type="http://schemas.openxmlformats.org/officeDocument/2006/relationships/hyperlink" Target="https://howmany-ofme.com/build-stronger-and-greener-with-digital-timber-insights-solutions/" TargetMode="External"/><Relationship Id="rId11046" Type="http://schemas.openxmlformats.org/officeDocument/2006/relationships/hyperlink" Target="https://www.pinoyeplans.com/" TargetMode="External"/><Relationship Id="rId1105" Type="http://schemas.openxmlformats.org/officeDocument/2006/relationships/hyperlink" Target="https://www.matrixbasements.com/" TargetMode="External"/><Relationship Id="rId15667" Type="http://schemas.openxmlformats.org/officeDocument/2006/relationships/hyperlink" Target="https://myinteriorpalace.com/" TargetMode="External"/><Relationship Id="rId3277" Type="http://schemas.openxmlformats.org/officeDocument/2006/relationships/hyperlink" Target="https://www.pulte.com/" TargetMode="External"/><Relationship Id="rId4675" Type="http://schemas.openxmlformats.org/officeDocument/2006/relationships/hyperlink" Target="https://www.simpleshowing.com/" TargetMode="External"/><Relationship Id="rId5726" Type="http://schemas.openxmlformats.org/officeDocument/2006/relationships/hyperlink" Target="https://www.simpleshowing.com/" TargetMode="External"/><Relationship Id="rId14269" Type="http://schemas.openxmlformats.org/officeDocument/2006/relationships/hyperlink" Target="https://myinteriorpalace.com/" TargetMode="External"/><Relationship Id="rId198" Type="http://schemas.openxmlformats.org/officeDocument/2006/relationships/hyperlink" Target="http://northernvirginiahomepro.com/" TargetMode="External"/><Relationship Id="rId4328" Type="http://schemas.openxmlformats.org/officeDocument/2006/relationships/hyperlink" Target="https://www.kapre.com/" TargetMode="External"/><Relationship Id="rId7898" Type="http://schemas.openxmlformats.org/officeDocument/2006/relationships/hyperlink" Target="https://www.pinoyeplans.com/" TargetMode="External"/><Relationship Id="rId8949" Type="http://schemas.openxmlformats.org/officeDocument/2006/relationships/hyperlink" Target="https://www.pinoyeplans.com/" TargetMode="External"/><Relationship Id="rId10879" Type="http://schemas.openxmlformats.org/officeDocument/2006/relationships/hyperlink" Target="https://www.teachengineering.org/" TargetMode="External"/><Relationship Id="rId14750" Type="http://schemas.openxmlformats.org/officeDocument/2006/relationships/hyperlink" Target="https://www.easygaragedoorrepair.com/" TargetMode="External"/><Relationship Id="rId15801" Type="http://schemas.openxmlformats.org/officeDocument/2006/relationships/hyperlink" Target="https://theceoviews.com/why-your-timber-cladding-choices-matter-for-reseller-value/" TargetMode="External"/><Relationship Id="rId13352" Type="http://schemas.openxmlformats.org/officeDocument/2006/relationships/hyperlink" Target="https://anationofmoms.com/" TargetMode="External"/><Relationship Id="rId14403" Type="http://schemas.openxmlformats.org/officeDocument/2006/relationships/hyperlink" Target="https://www.hoylesfitness.com/general/everything-you-need-to-know-about-vaping/" TargetMode="External"/><Relationship Id="rId2360" Type="http://schemas.openxmlformats.org/officeDocument/2006/relationships/hyperlink" Target="https://www.pultegroupinc.com/about/overview/default.aspx" TargetMode="External"/><Relationship Id="rId3411" Type="http://schemas.openxmlformats.org/officeDocument/2006/relationships/hyperlink" Target="https://www.simpleshowing.com/" TargetMode="External"/><Relationship Id="rId6981" Type="http://schemas.openxmlformats.org/officeDocument/2006/relationships/hyperlink" Target="https://www.myfrontpagestory.com/17-fun-december-holidays/" TargetMode="External"/><Relationship Id="rId13005" Type="http://schemas.openxmlformats.org/officeDocument/2006/relationships/hyperlink" Target="https://www.information-age.com/fcas-business-plan-flags-key-areas-focus-201718-5497/" TargetMode="External"/><Relationship Id="rId332" Type="http://schemas.openxmlformats.org/officeDocument/2006/relationships/hyperlink" Target="http://modernloftinteriors.com/" TargetMode="External"/><Relationship Id="rId2013" Type="http://schemas.openxmlformats.org/officeDocument/2006/relationships/hyperlink" Target="https://www.simpleshowing.com/" TargetMode="External"/><Relationship Id="rId5583" Type="http://schemas.openxmlformats.org/officeDocument/2006/relationships/hyperlink" Target="https://www.atozentherapies.com/post/understanding-home-care-importance-of-assessment-and-care-plans" TargetMode="External"/><Relationship Id="rId6634" Type="http://schemas.openxmlformats.org/officeDocument/2006/relationships/hyperlink" Target="https://www.simpleshowing.com/" TargetMode="External"/><Relationship Id="rId15177" Type="http://schemas.openxmlformats.org/officeDocument/2006/relationships/hyperlink" Target="https://www.bathroomcity.co.uk/blog/how-choose-right-colour-scheme-your-bathroom" TargetMode="External"/><Relationship Id="rId16228" Type="http://schemas.openxmlformats.org/officeDocument/2006/relationships/hyperlink" Target="https://myinteriorpalace.com/" TargetMode="External"/><Relationship Id="rId4185" Type="http://schemas.openxmlformats.org/officeDocument/2006/relationships/hyperlink" Target="https://pr.mo.gov/realestate-ceu-schools-detail.asp?detail=50900" TargetMode="External"/><Relationship Id="rId5236" Type="http://schemas.openxmlformats.org/officeDocument/2006/relationships/hyperlink" Target="https://www.simpleshowing.com/" TargetMode="External"/><Relationship Id="rId9857" Type="http://schemas.openxmlformats.org/officeDocument/2006/relationships/hyperlink" Target="https://tbeerc.tn.edu.tw/modules/tadnews/page.php?ncsn=11&amp;nsn=81" TargetMode="External"/><Relationship Id="rId11787" Type="http://schemas.openxmlformats.org/officeDocument/2006/relationships/hyperlink" Target="https://www.hamiltoninternationalestates.com/" TargetMode="External"/><Relationship Id="rId12838" Type="http://schemas.openxmlformats.org/officeDocument/2006/relationships/hyperlink" Target="https://propertypressonline.co.uk/" TargetMode="External"/><Relationship Id="rId1846" Type="http://schemas.openxmlformats.org/officeDocument/2006/relationships/hyperlink" Target="https://wolfriverelectric.com/" TargetMode="External"/><Relationship Id="rId8459" Type="http://schemas.openxmlformats.org/officeDocument/2006/relationships/hyperlink" Target="https://www.pinoyeplans.com/" TargetMode="External"/><Relationship Id="rId10389" Type="http://schemas.openxmlformats.org/officeDocument/2006/relationships/hyperlink" Target="https://www.pinoyeplans.com/" TargetMode="External"/><Relationship Id="rId14260" Type="http://schemas.openxmlformats.org/officeDocument/2006/relationships/hyperlink" Target="https://myinteriorpalace.com/" TargetMode="External"/><Relationship Id="rId15311" Type="http://schemas.openxmlformats.org/officeDocument/2006/relationships/hyperlink" Target="https://www.luxdeco.com/" TargetMode="External"/><Relationship Id="rId8940" Type="http://schemas.openxmlformats.org/officeDocument/2006/relationships/hyperlink" Target="https://www.pinoyeplans.com/" TargetMode="External"/><Relationship Id="rId6491" Type="http://schemas.openxmlformats.org/officeDocument/2006/relationships/hyperlink" Target="https://metropolismag.com/products/metropolis-likes-at-ny-design-week/" TargetMode="External"/><Relationship Id="rId7542" Type="http://schemas.openxmlformats.org/officeDocument/2006/relationships/hyperlink" Target="https://www.tdflorida.com/listing-stellar_sold/o6326211-aden-south-at-westview4749-yellow-elder-way-kissimmee-fl-34758craftsman/" TargetMode="External"/><Relationship Id="rId10523" Type="http://schemas.openxmlformats.org/officeDocument/2006/relationships/hyperlink" Target="https://howtofunda.com/door-alarm-or-theft-alert-alarm-working-model-for-science-exhibition/" TargetMode="External"/><Relationship Id="rId10870" Type="http://schemas.openxmlformats.org/officeDocument/2006/relationships/hyperlink" Target="https://www.teachengineering.org/" TargetMode="External"/><Relationship Id="rId11921" Type="http://schemas.openxmlformats.org/officeDocument/2006/relationships/hyperlink" Target="https://toolup.com/blogs/news/the-complete-mechanic-tool-list" TargetMode="External"/><Relationship Id="rId16085" Type="http://schemas.openxmlformats.org/officeDocument/2006/relationships/hyperlink" Target="https://www.rwdoors.com/" TargetMode="External"/><Relationship Id="rId5093" Type="http://schemas.openxmlformats.org/officeDocument/2006/relationships/hyperlink" Target="https://peoplespheres.com/what-is-net-pay-answers-employees-most-common-questions/" TargetMode="External"/><Relationship Id="rId6144" Type="http://schemas.openxmlformats.org/officeDocument/2006/relationships/hyperlink" Target="https://www.simpleshowing.com/" TargetMode="External"/><Relationship Id="rId9367" Type="http://schemas.openxmlformats.org/officeDocument/2006/relationships/hyperlink" Target="https://www.teachengineering.org/" TargetMode="External"/><Relationship Id="rId12695" Type="http://schemas.openxmlformats.org/officeDocument/2006/relationships/hyperlink" Target="https://www.shma.co.uk/" TargetMode="External"/><Relationship Id="rId13746" Type="http://schemas.openxmlformats.org/officeDocument/2006/relationships/hyperlink" Target="https://airlinesofficialsite-21.webselfsite.net/blog/category/alaska-airlines" TargetMode="External"/><Relationship Id="rId1356" Type="http://schemas.openxmlformats.org/officeDocument/2006/relationships/hyperlink" Target="https://www.simpleshowing.com/" TargetMode="External"/><Relationship Id="rId2754" Type="http://schemas.openxmlformats.org/officeDocument/2006/relationships/hyperlink" Target="https://www.simpleshowing.com/" TargetMode="External"/><Relationship Id="rId3805" Type="http://schemas.openxmlformats.org/officeDocument/2006/relationships/hyperlink" Target="https://thecoverguy.com/" TargetMode="External"/><Relationship Id="rId11297" Type="http://schemas.openxmlformats.org/officeDocument/2006/relationships/hyperlink" Target="https://www.savemax.com/" TargetMode="External"/><Relationship Id="rId12348" Type="http://schemas.openxmlformats.org/officeDocument/2006/relationships/hyperlink" Target="https://propertypressonline.co.uk/" TargetMode="External"/><Relationship Id="rId726" Type="http://schemas.openxmlformats.org/officeDocument/2006/relationships/hyperlink" Target="https://www.carolinadesigns.com/" TargetMode="External"/><Relationship Id="rId1009" Type="http://schemas.openxmlformats.org/officeDocument/2006/relationships/hyperlink" Target="https://www.matrixbasements.com/" TargetMode="External"/><Relationship Id="rId2407" Type="http://schemas.openxmlformats.org/officeDocument/2006/relationships/hyperlink" Target="https://www.pulte.com/" TargetMode="External"/><Relationship Id="rId5977" Type="http://schemas.openxmlformats.org/officeDocument/2006/relationships/hyperlink" Target="https://www.hrfuture.net/talent-management/wellness/8-things-hr-can-do-to-help-employees-who-are-struggling-with-money/" TargetMode="External"/><Relationship Id="rId62" Type="http://schemas.openxmlformats.org/officeDocument/2006/relationships/hyperlink" Target="http://celebhub.co.uk/" TargetMode="External"/><Relationship Id="rId4579" Type="http://schemas.openxmlformats.org/officeDocument/2006/relationships/hyperlink" Target="https://www.simpleshowing.com/" TargetMode="External"/><Relationship Id="rId8450" Type="http://schemas.openxmlformats.org/officeDocument/2006/relationships/hyperlink" Target="https://www.pinoyeplans.com/" TargetMode="External"/><Relationship Id="rId9501" Type="http://schemas.openxmlformats.org/officeDocument/2006/relationships/hyperlink" Target="https://www.pinoyeplans.com/" TargetMode="External"/><Relationship Id="rId10380" Type="http://schemas.openxmlformats.org/officeDocument/2006/relationships/hyperlink" Target="https://www.pinoyeplans.com/" TargetMode="External"/><Relationship Id="rId11431" Type="http://schemas.openxmlformats.org/officeDocument/2006/relationships/hyperlink" Target="https://www.al.com/news/2014/12/spartan_investors_to_partner_w.html" TargetMode="External"/><Relationship Id="rId7052" Type="http://schemas.openxmlformats.org/officeDocument/2006/relationships/hyperlink" Target="https://www.taylormorrison.com/" TargetMode="External"/><Relationship Id="rId8103" Type="http://schemas.openxmlformats.org/officeDocument/2006/relationships/hyperlink" Target="https://whiteglovemoving.us/" TargetMode="External"/><Relationship Id="rId10033" Type="http://schemas.openxmlformats.org/officeDocument/2006/relationships/hyperlink" Target="https://www.teachengineering.org/" TargetMode="External"/><Relationship Id="rId14654" Type="http://schemas.openxmlformats.org/officeDocument/2006/relationships/hyperlink" Target="https://www.easygaragedoorrepair.com/" TargetMode="External"/><Relationship Id="rId3662" Type="http://schemas.openxmlformats.org/officeDocument/2006/relationships/hyperlink" Target="https://www.overheaddoor.com/find-a-distributor/overhead-door-company-of-frederick" TargetMode="External"/><Relationship Id="rId4713" Type="http://schemas.openxmlformats.org/officeDocument/2006/relationships/hyperlink" Target="https://www.alaskasnewssource.com/2024/05/27/high-school-seniors-can-now-get-real-estate-license-free-this-state/" TargetMode="External"/><Relationship Id="rId13256" Type="http://schemas.openxmlformats.org/officeDocument/2006/relationships/hyperlink" Target="https://www.pureinvestor.co.uk/" TargetMode="External"/><Relationship Id="rId14307" Type="http://schemas.openxmlformats.org/officeDocument/2006/relationships/hyperlink" Target="http://goundash.free.fr/viewtopic.php?f=13&amp;t=1547" TargetMode="External"/><Relationship Id="rId15705" Type="http://schemas.openxmlformats.org/officeDocument/2006/relationships/hyperlink" Target="https://www.kmew.co.jp/global/australia/agency/" TargetMode="External"/><Relationship Id="rId583" Type="http://schemas.openxmlformats.org/officeDocument/2006/relationships/hyperlink" Target="https://www.swaggermagazine.com/style/add-a-luxurious-flavor-to-your-trip-to-duck-with-a-beachfront-rental/" TargetMode="External"/><Relationship Id="rId2264" Type="http://schemas.openxmlformats.org/officeDocument/2006/relationships/hyperlink" Target="https://www.southernbakedpie.com/pages/upcoming-events" TargetMode="External"/><Relationship Id="rId3315" Type="http://schemas.openxmlformats.org/officeDocument/2006/relationships/hyperlink" Target="https://www.simpleshowing.com/" TargetMode="External"/><Relationship Id="rId236" Type="http://schemas.openxmlformats.org/officeDocument/2006/relationships/hyperlink" Target="http://onlinebizbooster.net/" TargetMode="External"/><Relationship Id="rId5487" Type="http://schemas.openxmlformats.org/officeDocument/2006/relationships/hyperlink" Target="https://www.cheapism.com/retirement-financial-planning/" TargetMode="External"/><Relationship Id="rId6885" Type="http://schemas.openxmlformats.org/officeDocument/2006/relationships/hyperlink" Target="https://www.simpleshowing.com/" TargetMode="External"/><Relationship Id="rId7936" Type="http://schemas.openxmlformats.org/officeDocument/2006/relationships/hyperlink" Target="https://thelittlehouseinthecityblog.com/how-to-safely-clean-up-sewage-in-your-home/" TargetMode="External"/><Relationship Id="rId10917" Type="http://schemas.openxmlformats.org/officeDocument/2006/relationships/hyperlink" Target="https://www.pinoyeplans.com/" TargetMode="External"/><Relationship Id="rId4089" Type="http://schemas.openxmlformats.org/officeDocument/2006/relationships/hyperlink" Target="https://www.uopeople.edu/blog/how-long-does-it-take-to-become-a-real-estate-agent/" TargetMode="External"/><Relationship Id="rId6538" Type="http://schemas.openxmlformats.org/officeDocument/2006/relationships/hyperlink" Target="https://www.simpleshowing.com/" TargetMode="External"/><Relationship Id="rId9011" Type="http://schemas.openxmlformats.org/officeDocument/2006/relationships/hyperlink" Target="https://ourcodeworld.com/articles/read/2621/automated-lumber-takeoff-technology-enhancing-speed-and-precision-in-construction" TargetMode="External"/><Relationship Id="rId15562" Type="http://schemas.openxmlformats.org/officeDocument/2006/relationships/hyperlink" Target="https://myinteriorpalace.com/" TargetMode="External"/><Relationship Id="rId1000" Type="http://schemas.openxmlformats.org/officeDocument/2006/relationships/hyperlink" Target="https://www.matrixbasements.com/" TargetMode="External"/><Relationship Id="rId4570" Type="http://schemas.openxmlformats.org/officeDocument/2006/relationships/hyperlink" Target="https://www.simpleshowing.com/" TargetMode="External"/><Relationship Id="rId5621" Type="http://schemas.openxmlformats.org/officeDocument/2006/relationships/hyperlink" Target="https://www.wpfastestcache.com/blog/best-4-tips-for-how-to-remote-work/" TargetMode="External"/><Relationship Id="rId14164" Type="http://schemas.openxmlformats.org/officeDocument/2006/relationships/hyperlink" Target="https://myinteriorpalace.com/" TargetMode="External"/><Relationship Id="rId15215" Type="http://schemas.openxmlformats.org/officeDocument/2006/relationships/hyperlink" Target="https://www.luxdeco.com/" TargetMode="External"/><Relationship Id="rId3172" Type="http://schemas.openxmlformats.org/officeDocument/2006/relationships/hyperlink" Target="https://www.pulte.com/" TargetMode="External"/><Relationship Id="rId4223" Type="http://schemas.openxmlformats.org/officeDocument/2006/relationships/hyperlink" Target="https://www.kapre.com/" TargetMode="External"/><Relationship Id="rId7793" Type="http://schemas.openxmlformats.org/officeDocument/2006/relationships/hyperlink" Target="https://www.simpleshowing.com/" TargetMode="External"/><Relationship Id="rId8844" Type="http://schemas.openxmlformats.org/officeDocument/2006/relationships/hyperlink" Target="https://www.pinoyeplans.com/" TargetMode="External"/><Relationship Id="rId6395" Type="http://schemas.openxmlformats.org/officeDocument/2006/relationships/hyperlink" Target="https://ranyy.com/how-long-does-it-take-to-rebuild-a-credit-score/" TargetMode="External"/><Relationship Id="rId7446" Type="http://schemas.openxmlformats.org/officeDocument/2006/relationships/hyperlink" Target="https://www.techradar.com/news/digital-home/disney-s-new-house-of-the-future-230909" TargetMode="External"/><Relationship Id="rId10774" Type="http://schemas.openxmlformats.org/officeDocument/2006/relationships/hyperlink" Target="https://www.teachengineering.org/" TargetMode="External"/><Relationship Id="rId11825" Type="http://schemas.openxmlformats.org/officeDocument/2006/relationships/hyperlink" Target="https://www.scottishhousingnews.com/articles/cockburn-association-edinburgh-the-residential-city" TargetMode="External"/><Relationship Id="rId6048" Type="http://schemas.openxmlformats.org/officeDocument/2006/relationships/hyperlink" Target="https://www.simpleshowing.com/" TargetMode="External"/><Relationship Id="rId10427" Type="http://schemas.openxmlformats.org/officeDocument/2006/relationships/hyperlink" Target="https://www.msichicago.org/explore/whats-here/exhibits/brick-by-brick/educators/websites" TargetMode="External"/><Relationship Id="rId13997" Type="http://schemas.openxmlformats.org/officeDocument/2006/relationships/hyperlink" Target="https://keystonecustomdecksny.com/" TargetMode="External"/><Relationship Id="rId12599" Type="http://schemas.openxmlformats.org/officeDocument/2006/relationships/hyperlink" Target="https://www.shma.co.uk/" TargetMode="External"/><Relationship Id="rId977" Type="http://schemas.openxmlformats.org/officeDocument/2006/relationships/hyperlink" Target="https://www.homeadvisor.com/rated.matrixhomesolutions.133119730.html" TargetMode="External"/><Relationship Id="rId2658" Type="http://schemas.openxmlformats.org/officeDocument/2006/relationships/hyperlink" Target="https://www.simpleshowing.com/" TargetMode="External"/><Relationship Id="rId3709" Type="http://schemas.openxmlformats.org/officeDocument/2006/relationships/hyperlink" Target="https://www.overheaddoors.com/" TargetMode="External"/><Relationship Id="rId4080" Type="http://schemas.openxmlformats.org/officeDocument/2006/relationships/hyperlink" Target="https://www.simpleshowing.com/" TargetMode="External"/><Relationship Id="rId15072" Type="http://schemas.openxmlformats.org/officeDocument/2006/relationships/hyperlink" Target="https://www.lorddecor.com/blog/transform-your-space-with-timeless-luxury-interior-design-tips" TargetMode="External"/><Relationship Id="rId16123" Type="http://schemas.openxmlformats.org/officeDocument/2006/relationships/hyperlink" Target="https://myinteriorpalace.com/" TargetMode="External"/><Relationship Id="rId5131" Type="http://schemas.openxmlformats.org/officeDocument/2006/relationships/hyperlink" Target="https://getuku.com/articles/seo-geo-aeo-accounting-firms" TargetMode="External"/><Relationship Id="rId9752" Type="http://schemas.openxmlformats.org/officeDocument/2006/relationships/hyperlink" Target="https://ash.naf.org/public/learning/pathway/engineering" TargetMode="External"/><Relationship Id="rId11682" Type="http://schemas.openxmlformats.org/officeDocument/2006/relationships/hyperlink" Target="https://www.hamiltoninternationalestates.com/" TargetMode="External"/><Relationship Id="rId12733" Type="http://schemas.openxmlformats.org/officeDocument/2006/relationships/hyperlink" Target="https://propertypressonline.co.uk/" TargetMode="External"/><Relationship Id="rId1741" Type="http://schemas.openxmlformats.org/officeDocument/2006/relationships/hyperlink" Target="https://wolfriverelectric.com/" TargetMode="External"/><Relationship Id="rId8354" Type="http://schemas.openxmlformats.org/officeDocument/2006/relationships/hyperlink" Target="https://www.pinoyeplans.com/" TargetMode="External"/><Relationship Id="rId9405" Type="http://schemas.openxmlformats.org/officeDocument/2006/relationships/hyperlink" Target="https://www.pinoyeplans.com/" TargetMode="External"/><Relationship Id="rId10284" Type="http://schemas.openxmlformats.org/officeDocument/2006/relationships/hyperlink" Target="https://www.pinoyeplans.com/" TargetMode="External"/><Relationship Id="rId11335" Type="http://schemas.openxmlformats.org/officeDocument/2006/relationships/hyperlink" Target="https://www.hamiltoninternationalestates.com/" TargetMode="External"/><Relationship Id="rId8007" Type="http://schemas.openxmlformats.org/officeDocument/2006/relationships/hyperlink" Target="https://indyroofandrestoration.com/" TargetMode="External"/><Relationship Id="rId15956" Type="http://schemas.openxmlformats.org/officeDocument/2006/relationships/hyperlink" Target="https://www.rwdoors.com/" TargetMode="External"/><Relationship Id="rId3566" Type="http://schemas.openxmlformats.org/officeDocument/2006/relationships/hyperlink" Target="https://www.folkd.com/ultimate-dating-guide-for-singles-in-littleton-colorado/" TargetMode="External"/><Relationship Id="rId4964" Type="http://schemas.openxmlformats.org/officeDocument/2006/relationships/hyperlink" Target="https://www.simpleshowing.com/" TargetMode="External"/><Relationship Id="rId14558" Type="http://schemas.openxmlformats.org/officeDocument/2006/relationships/hyperlink" Target="https://www.easygaragedoorrepair.com/" TargetMode="External"/><Relationship Id="rId15609" Type="http://schemas.openxmlformats.org/officeDocument/2006/relationships/hyperlink" Target="https://pinkysirondoors.com/blogs/archives/going-for-contemporary-interior-design-these-doors-are-the-perfect-fit" TargetMode="External"/><Relationship Id="rId487" Type="http://schemas.openxmlformats.org/officeDocument/2006/relationships/hyperlink" Target="https://www.appycouple.com/wedding/samanthakristopher/travel/" TargetMode="External"/><Relationship Id="rId2168" Type="http://schemas.openxmlformats.org/officeDocument/2006/relationships/hyperlink" Target="https://www.wcr.org/profile/vontinese-johnson/" TargetMode="External"/><Relationship Id="rId3219" Type="http://schemas.openxmlformats.org/officeDocument/2006/relationships/hyperlink" Target="https://www.simpleshowing.com/" TargetMode="External"/><Relationship Id="rId4617" Type="http://schemas.openxmlformats.org/officeDocument/2006/relationships/hyperlink" Target="https://www.wbko.com/2024/05/27/high-school-seniors-can-now-get-real-estate-license-free-this-state/" TargetMode="External"/><Relationship Id="rId6789" Type="http://schemas.openxmlformats.org/officeDocument/2006/relationships/hyperlink" Target="https://www.simpleshowing.com/" TargetMode="External"/><Relationship Id="rId12590" Type="http://schemas.openxmlformats.org/officeDocument/2006/relationships/hyperlink" Target="https://www.shma.co.uk/" TargetMode="External"/><Relationship Id="rId13641" Type="http://schemas.openxmlformats.org/officeDocument/2006/relationships/hyperlink" Target="https://www.padborgvest.dk.linux35.curanetserver.dk/?p=191985311" TargetMode="External"/><Relationship Id="rId3700" Type="http://schemas.openxmlformats.org/officeDocument/2006/relationships/hyperlink" Target="https://www.overheaddoors.com/" TargetMode="External"/><Relationship Id="rId9262" Type="http://schemas.openxmlformats.org/officeDocument/2006/relationships/hyperlink" Target="https://www.teachengineering.org/" TargetMode="External"/><Relationship Id="rId11192" Type="http://schemas.openxmlformats.org/officeDocument/2006/relationships/hyperlink" Target="https://www.pinoyeplans.com/" TargetMode="External"/><Relationship Id="rId12243" Type="http://schemas.openxmlformats.org/officeDocument/2006/relationships/hyperlink" Target="https://propertypressonline.co.uk/" TargetMode="External"/><Relationship Id="rId621" Type="http://schemas.openxmlformats.org/officeDocument/2006/relationships/hyperlink" Target="https://www.carolinadesigns.com/" TargetMode="External"/><Relationship Id="rId1251" Type="http://schemas.openxmlformats.org/officeDocument/2006/relationships/hyperlink" Target="https://www.simpleshowing.com/" TargetMode="External"/><Relationship Id="rId2302" Type="http://schemas.openxmlformats.org/officeDocument/2006/relationships/hyperlink" Target="https://www.collectionforsyth.com/" TargetMode="External"/><Relationship Id="rId5872" Type="http://schemas.openxmlformats.org/officeDocument/2006/relationships/hyperlink" Target="https://www.simpleshowing.com/" TargetMode="External"/><Relationship Id="rId6923" Type="http://schemas.openxmlformats.org/officeDocument/2006/relationships/hyperlink" Target="https://www.taylormorrison.com/" TargetMode="External"/><Relationship Id="rId15466" Type="http://schemas.openxmlformats.org/officeDocument/2006/relationships/hyperlink" Target="https://myinteriorpalace.com/" TargetMode="External"/><Relationship Id="rId4474" Type="http://schemas.openxmlformats.org/officeDocument/2006/relationships/hyperlink" Target="https://www.simpleshowing.com/" TargetMode="External"/><Relationship Id="rId5525" Type="http://schemas.openxmlformats.org/officeDocument/2006/relationships/hyperlink" Target="https://www.aiscreen.io/retail/improve-customer-experience-digital-signage/" TargetMode="External"/><Relationship Id="rId14068" Type="http://schemas.openxmlformats.org/officeDocument/2006/relationships/hyperlink" Target="https://myinteriorpalace.com/" TargetMode="External"/><Relationship Id="rId15119" Type="http://schemas.openxmlformats.org/officeDocument/2006/relationships/hyperlink" Target="https://www.luxdeco.com/" TargetMode="External"/><Relationship Id="rId3076" Type="http://schemas.openxmlformats.org/officeDocument/2006/relationships/hyperlink" Target="https://www.pulte.com/" TargetMode="External"/><Relationship Id="rId4127" Type="http://schemas.openxmlformats.org/officeDocument/2006/relationships/hyperlink" Target="https://www.kapre.com/" TargetMode="External"/><Relationship Id="rId7697" Type="http://schemas.openxmlformats.org/officeDocument/2006/relationships/hyperlink" Target="https://discoverlakelanier.com/" TargetMode="External"/><Relationship Id="rId6299" Type="http://schemas.openxmlformats.org/officeDocument/2006/relationships/hyperlink" Target="https://wordstreetjournal.com/embracing-financial-wellness/" TargetMode="External"/><Relationship Id="rId8748" Type="http://schemas.openxmlformats.org/officeDocument/2006/relationships/hyperlink" Target="https://propertychecker.com/" TargetMode="External"/><Relationship Id="rId10678" Type="http://schemas.openxmlformats.org/officeDocument/2006/relationships/hyperlink" Target="https://www.teachengineering.org/" TargetMode="External"/><Relationship Id="rId11729" Type="http://schemas.openxmlformats.org/officeDocument/2006/relationships/hyperlink" Target="https://theboar.org/2019/10/coventry-university-among-the-best-for-rent-prices-and-property-availability/" TargetMode="External"/><Relationship Id="rId15600" Type="http://schemas.openxmlformats.org/officeDocument/2006/relationships/hyperlink" Target="https://nappyvalleynet.com/community/viewtopic.php?t=98383" TargetMode="External"/><Relationship Id="rId13151" Type="http://schemas.openxmlformats.org/officeDocument/2006/relationships/hyperlink" Target="https://www.shma.co.uk/" TargetMode="External"/><Relationship Id="rId14202" Type="http://schemas.openxmlformats.org/officeDocument/2006/relationships/hyperlink" Target="https://www.realcozy.co/pages/press" TargetMode="External"/><Relationship Id="rId131" Type="http://schemas.openxmlformats.org/officeDocument/2006/relationships/hyperlink" Target="https://www.beverly-hanks.com/" TargetMode="External"/><Relationship Id="rId3210" Type="http://schemas.openxmlformats.org/officeDocument/2006/relationships/hyperlink" Target="https://www.simpleshowing.com/" TargetMode="External"/><Relationship Id="rId6780" Type="http://schemas.openxmlformats.org/officeDocument/2006/relationships/hyperlink" Target="https://www.simpleshowing.com/" TargetMode="External"/><Relationship Id="rId7831" Type="http://schemas.openxmlformats.org/officeDocument/2006/relationships/hyperlink" Target="https://mommysnippets.com/kid-attractions-gainesville/" TargetMode="External"/><Relationship Id="rId5382" Type="http://schemas.openxmlformats.org/officeDocument/2006/relationships/hyperlink" Target="https://www.simpleshowing.com/" TargetMode="External"/><Relationship Id="rId6433" Type="http://schemas.openxmlformats.org/officeDocument/2006/relationships/hyperlink" Target="https://www.simpleshowing.com/" TargetMode="External"/><Relationship Id="rId10812" Type="http://schemas.openxmlformats.org/officeDocument/2006/relationships/hyperlink" Target="https://www.pinoyeplans.com/" TargetMode="External"/><Relationship Id="rId16027" Type="http://schemas.openxmlformats.org/officeDocument/2006/relationships/hyperlink" Target="https://myinteriorpalace.com/" TargetMode="External"/><Relationship Id="rId1992" Type="http://schemas.openxmlformats.org/officeDocument/2006/relationships/hyperlink" Target="https://www.simpleshowing.com/" TargetMode="External"/><Relationship Id="rId5035" Type="http://schemas.openxmlformats.org/officeDocument/2006/relationships/hyperlink" Target="https://mtstandard.com/news/" TargetMode="External"/><Relationship Id="rId9656" Type="http://schemas.openxmlformats.org/officeDocument/2006/relationships/hyperlink" Target="https://www.sciencebuddies.org/about/partners" TargetMode="External"/><Relationship Id="rId12984" Type="http://schemas.openxmlformats.org/officeDocument/2006/relationships/hyperlink" Target="https://lix-it.com/organisations/gl-law-part-of-shakespeare-martineau" TargetMode="External"/><Relationship Id="rId1645" Type="http://schemas.openxmlformats.org/officeDocument/2006/relationships/hyperlink" Target="https://wolfriverelectric.com/" TargetMode="External"/><Relationship Id="rId8258" Type="http://schemas.openxmlformats.org/officeDocument/2006/relationships/hyperlink" Target="https://www.pinoyeplans.com/" TargetMode="External"/><Relationship Id="rId9309" Type="http://schemas.openxmlformats.org/officeDocument/2006/relationships/hyperlink" Target="https://www.pinoyeplans.com/" TargetMode="External"/><Relationship Id="rId10188" Type="http://schemas.openxmlformats.org/officeDocument/2006/relationships/hyperlink" Target="https://www.pinoyeplans.com/" TargetMode="External"/><Relationship Id="rId11239" Type="http://schemas.openxmlformats.org/officeDocument/2006/relationships/hyperlink" Target="https://stageandcinema.com/2024/05/20/floodlight-fiasco-handling-water-damaged-stage-equipment/" TargetMode="External"/><Relationship Id="rId11586" Type="http://schemas.openxmlformats.org/officeDocument/2006/relationships/hyperlink" Target="https://www.hamiltoninternationalestates.com/" TargetMode="External"/><Relationship Id="rId12637" Type="http://schemas.openxmlformats.org/officeDocument/2006/relationships/hyperlink" Target="https://propertypressonline.co.uk/" TargetMode="External"/><Relationship Id="rId15110" Type="http://schemas.openxmlformats.org/officeDocument/2006/relationships/hyperlink" Target="https://www.luxdeco.com/" TargetMode="External"/><Relationship Id="rId4868" Type="http://schemas.openxmlformats.org/officeDocument/2006/relationships/hyperlink" Target="https://www.simpleshowing.com/" TargetMode="External"/><Relationship Id="rId5919" Type="http://schemas.openxmlformats.org/officeDocument/2006/relationships/hyperlink" Target="https://localnews8.com/news/2025/06/23/does-unemployment-affect-your-credit-score/" TargetMode="External"/><Relationship Id="rId6290" Type="http://schemas.openxmlformats.org/officeDocument/2006/relationships/hyperlink" Target="https://www.simpleshowing.com/" TargetMode="External"/><Relationship Id="rId11720" Type="http://schemas.openxmlformats.org/officeDocument/2006/relationships/hyperlink" Target="https://rdg.today/reading-ranks-6th-in-graffiti-hotspots-new-research-shows/" TargetMode="External"/><Relationship Id="rId7341" Type="http://schemas.openxmlformats.org/officeDocument/2006/relationships/hyperlink" Target="https://www.taylormorrison.com/" TargetMode="External"/><Relationship Id="rId10322" Type="http://schemas.openxmlformats.org/officeDocument/2006/relationships/hyperlink" Target="http://chs.camas.wednet.edu/robotics/robotics-1/unit-6-gears-dragsters/" TargetMode="External"/><Relationship Id="rId13892" Type="http://schemas.openxmlformats.org/officeDocument/2006/relationships/hyperlink" Target="https://embeltonflooring.com/" TargetMode="External"/><Relationship Id="rId14943" Type="http://schemas.openxmlformats.org/officeDocument/2006/relationships/hyperlink" Target="https://thehometrotters.com/diy-plumbing-in-newcastle-when-to-tackle-it-yourself-and-when-to-call-a-professional/" TargetMode="External"/><Relationship Id="rId3951" Type="http://schemas.openxmlformats.org/officeDocument/2006/relationships/hyperlink" Target="https://www.simpleshowing.com/" TargetMode="External"/><Relationship Id="rId12494" Type="http://schemas.openxmlformats.org/officeDocument/2006/relationships/hyperlink" Target="https://durham.onboard.unioncloud.org/articles/dan-lonsdale-university-accommodation-and-support-for-freshers" TargetMode="External"/><Relationship Id="rId13545" Type="http://schemas.openxmlformats.org/officeDocument/2006/relationships/hyperlink" Target="https://tamaracamerablog.com/brdge-meal-kit/" TargetMode="External"/><Relationship Id="rId872" Type="http://schemas.openxmlformats.org/officeDocument/2006/relationships/hyperlink" Target="https://www.cience.com/company/absolute-pest-management/1198886304553703786" TargetMode="External"/><Relationship Id="rId2553" Type="http://schemas.openxmlformats.org/officeDocument/2006/relationships/hyperlink" Target="https://www.simpleshowing.com/" TargetMode="External"/><Relationship Id="rId3604" Type="http://schemas.openxmlformats.org/officeDocument/2006/relationships/hyperlink" Target="https://www.pulte.com/" TargetMode="External"/><Relationship Id="rId9166" Type="http://schemas.openxmlformats.org/officeDocument/2006/relationships/hyperlink" Target="https://nycestimating.us/" TargetMode="External"/><Relationship Id="rId11096" Type="http://schemas.openxmlformats.org/officeDocument/2006/relationships/hyperlink" Target="https://www.caeducatorstogether.org/resources/153862/problem-solving-lesson" TargetMode="External"/><Relationship Id="rId12147" Type="http://schemas.openxmlformats.org/officeDocument/2006/relationships/hyperlink" Target="https://www.hamiltoninternationalestates.com/" TargetMode="External"/><Relationship Id="rId525" Type="http://schemas.openxmlformats.org/officeDocument/2006/relationships/hyperlink" Target="https://www.carolinadesigns.com/" TargetMode="External"/><Relationship Id="rId1155" Type="http://schemas.openxmlformats.org/officeDocument/2006/relationships/hyperlink" Target="https://www.simpleshowing.com/" TargetMode="External"/><Relationship Id="rId2206" Type="http://schemas.openxmlformats.org/officeDocument/2006/relationships/hyperlink" Target="https://markspain.com/" TargetMode="External"/><Relationship Id="rId5776" Type="http://schemas.openxmlformats.org/officeDocument/2006/relationships/hyperlink" Target="https://www.simpleshowing.com/" TargetMode="External"/><Relationship Id="rId4378" Type="http://schemas.openxmlformats.org/officeDocument/2006/relationships/hyperlink" Target="https://www.simpleshowing.com/" TargetMode="External"/><Relationship Id="rId5429" Type="http://schemas.openxmlformats.org/officeDocument/2006/relationships/hyperlink" Target="https://www.fitnessmentors.com/personal-trainers-ready-to-open-a-gym/" TargetMode="External"/><Relationship Id="rId6827" Type="http://schemas.openxmlformats.org/officeDocument/2006/relationships/hyperlink" Target="https://nathanbendersonpark.org/event-information/" TargetMode="External"/><Relationship Id="rId9300" Type="http://schemas.openxmlformats.org/officeDocument/2006/relationships/hyperlink" Target="https://www.pinoyeplans.com/" TargetMode="External"/><Relationship Id="rId8999" Type="http://schemas.openxmlformats.org/officeDocument/2006/relationships/hyperlink" Target="https://rapidmagazine.co.uk/why-procurement-strategy-and-cad-drafting-matter-in-competitive-bidding/" TargetMode="External"/><Relationship Id="rId11230" Type="http://schemas.openxmlformats.org/officeDocument/2006/relationships/hyperlink" Target="https://www.waterdamagespecialist.com.au/" TargetMode="External"/><Relationship Id="rId15851" Type="http://schemas.openxmlformats.org/officeDocument/2006/relationships/hyperlink" Target="https://www.modinex.com.au/" TargetMode="External"/><Relationship Id="rId5910" Type="http://schemas.openxmlformats.org/officeDocument/2006/relationships/hyperlink" Target="https://www.simpleshowing.com/" TargetMode="External"/><Relationship Id="rId14453" Type="http://schemas.openxmlformats.org/officeDocument/2006/relationships/hyperlink" Target="https://raynordoor.com/" TargetMode="External"/><Relationship Id="rId15504" Type="http://schemas.openxmlformats.org/officeDocument/2006/relationships/hyperlink" Target="https://luxurylifestyle.com/headlines/little-touches-that-add-luxury-to-any-space.html" TargetMode="External"/><Relationship Id="rId3461" Type="http://schemas.openxmlformats.org/officeDocument/2006/relationships/hyperlink" Target="https://www.gpb.org/blogs/georgia-works/2013/05/31/major-homebuilder-moving-hq-atlanta" TargetMode="External"/><Relationship Id="rId4512" Type="http://schemas.openxmlformats.org/officeDocument/2006/relationships/hyperlink" Target="https://www.kold.com/2024/05/27/high-school-seniors-can-now-get-real-estate-license-free-this-state/" TargetMode="External"/><Relationship Id="rId13055" Type="http://schemas.openxmlformats.org/officeDocument/2006/relationships/hyperlink" Target="https://www.shma.co.uk/" TargetMode="External"/><Relationship Id="rId14106" Type="http://schemas.openxmlformats.org/officeDocument/2006/relationships/hyperlink" Target="https://kahawatungu.com/how-to-transform-your-backyard-into-a-stunning-and-functional-outdoor-oasis/" TargetMode="External"/><Relationship Id="rId382" Type="http://schemas.openxmlformats.org/officeDocument/2006/relationships/hyperlink" Target="http://northernvirginiahomepro.com/" TargetMode="External"/><Relationship Id="rId2063" Type="http://schemas.openxmlformats.org/officeDocument/2006/relationships/hyperlink" Target="https://truv.com/verifications/mark-spain-team-employment-verification" TargetMode="External"/><Relationship Id="rId3114" Type="http://schemas.openxmlformats.org/officeDocument/2006/relationships/hyperlink" Target="https://www.simpleshowing.com/" TargetMode="External"/><Relationship Id="rId6684" Type="http://schemas.openxmlformats.org/officeDocument/2006/relationships/hyperlink" Target="https://www.goodshop.com/coupons/eplanters.com" TargetMode="External"/><Relationship Id="rId7735" Type="http://schemas.openxmlformats.org/officeDocument/2006/relationships/hyperlink" Target="https://www.simpleshowing.com/" TargetMode="External"/><Relationship Id="rId5286" Type="http://schemas.openxmlformats.org/officeDocument/2006/relationships/hyperlink" Target="https://www.simpleshowing.com/" TargetMode="External"/><Relationship Id="rId6337" Type="http://schemas.openxmlformats.org/officeDocument/2006/relationships/hyperlink" Target="https://bismarcktribune.com/news/nation-world/business/personal-finance/article_7cc3ca9a-94dc-58e9-b10b-6f8e1ce2f754.html" TargetMode="External"/><Relationship Id="rId10716" Type="http://schemas.openxmlformats.org/officeDocument/2006/relationships/hyperlink" Target="https://www.pinoyeplans.com/" TargetMode="External"/><Relationship Id="rId12888" Type="http://schemas.openxmlformats.org/officeDocument/2006/relationships/hyperlink" Target="https://www.retailgazette.co.uk/blog/2022/06/whats-next-for-missguided-under-frasers-group/" TargetMode="External"/><Relationship Id="rId13939" Type="http://schemas.openxmlformats.org/officeDocument/2006/relationships/hyperlink" Target="https://myinteriorpalace.com/" TargetMode="External"/><Relationship Id="rId1896" Type="http://schemas.openxmlformats.org/officeDocument/2006/relationships/hyperlink" Target="https://www.simpleshowing.com/" TargetMode="External"/><Relationship Id="rId2947" Type="http://schemas.openxmlformats.org/officeDocument/2006/relationships/hyperlink" Target="https://www.pulte.com/" TargetMode="External"/><Relationship Id="rId15361" Type="http://schemas.openxmlformats.org/officeDocument/2006/relationships/hyperlink" Target="https://myinteriorpalace.com/" TargetMode="External"/><Relationship Id="rId919" Type="http://schemas.openxmlformats.org/officeDocument/2006/relationships/hyperlink" Target="https://www.matrixbasements.com/" TargetMode="External"/><Relationship Id="rId1549" Type="http://schemas.openxmlformats.org/officeDocument/2006/relationships/hyperlink" Target="https://wolfriverelectric.com/" TargetMode="External"/><Relationship Id="rId4022" Type="http://schemas.openxmlformats.org/officeDocument/2006/relationships/hyperlink" Target="https://bestplumbers.com/maryland/westminster/plumbing-services/apple-plumbing" TargetMode="External"/><Relationship Id="rId5420" Type="http://schemas.openxmlformats.org/officeDocument/2006/relationships/hyperlink" Target="https://www.simpleshowing.com/" TargetMode="External"/><Relationship Id="rId8990" Type="http://schemas.openxmlformats.org/officeDocument/2006/relationships/hyperlink" Target="https://www.tribune.co.com/smart-timber-resource-control-for-sustainable-construction-growth/" TargetMode="External"/><Relationship Id="rId11971" Type="http://schemas.openxmlformats.org/officeDocument/2006/relationships/hyperlink" Target="https://www.bobvila.com/" TargetMode="External"/><Relationship Id="rId15014" Type="http://schemas.openxmlformats.org/officeDocument/2006/relationships/hyperlink" Target="https://www.luxdeco.com/" TargetMode="External"/><Relationship Id="rId7592" Type="http://schemas.openxmlformats.org/officeDocument/2006/relationships/hyperlink" Target="https://www.taylormorrison.com/" TargetMode="External"/><Relationship Id="rId8643" Type="http://schemas.openxmlformats.org/officeDocument/2006/relationships/hyperlink" Target="https://perlelectrical.co.nz/" TargetMode="External"/><Relationship Id="rId10573" Type="http://schemas.openxmlformats.org/officeDocument/2006/relationships/hyperlink" Target="https://www.teachengineering.org/" TargetMode="External"/><Relationship Id="rId11624" Type="http://schemas.openxmlformats.org/officeDocument/2006/relationships/hyperlink" Target="https://www.romaniajournal.ro/travel/dracula-castle-among-the-most-popular-fictional-homes-for-lockdown/" TargetMode="External"/><Relationship Id="rId6194" Type="http://schemas.openxmlformats.org/officeDocument/2006/relationships/hyperlink" Target="https://www.simpleshowing.com/" TargetMode="External"/><Relationship Id="rId7245" Type="http://schemas.openxmlformats.org/officeDocument/2006/relationships/hyperlink" Target="https://www.simpleshowing.com/" TargetMode="External"/><Relationship Id="rId10226" Type="http://schemas.openxmlformats.org/officeDocument/2006/relationships/hyperlink" Target="https://scoutsvictoria.com.au/activities-events/activity-teams/air-activities/stem/" TargetMode="External"/><Relationship Id="rId13796" Type="http://schemas.openxmlformats.org/officeDocument/2006/relationships/hyperlink" Target="https://anationofmoms.com/" TargetMode="External"/><Relationship Id="rId3855" Type="http://schemas.openxmlformats.org/officeDocument/2006/relationships/hyperlink" Target="https://www.simpleshowing.com/" TargetMode="External"/><Relationship Id="rId12398" Type="http://schemas.openxmlformats.org/officeDocument/2006/relationships/hyperlink" Target="https://www.yorkvision.co.uk/news/fairer-housing-i-hardly-know-her/17/11/2025" TargetMode="External"/><Relationship Id="rId13449" Type="http://schemas.openxmlformats.org/officeDocument/2006/relationships/hyperlink" Target="https://blog.iglcoatings.com/ceramic-coating-vs-paint-protection-film/" TargetMode="External"/><Relationship Id="rId14847" Type="http://schemas.openxmlformats.org/officeDocument/2006/relationships/hyperlink" Target="https://www.mothersalwaysright.com/ultimate-guide-to-what-to-ask-before-purchasing-a-water-filter-system/" TargetMode="External"/><Relationship Id="rId776" Type="http://schemas.openxmlformats.org/officeDocument/2006/relationships/hyperlink" Target="https://www.simpleshowing.com/" TargetMode="External"/><Relationship Id="rId2457" Type="http://schemas.openxmlformats.org/officeDocument/2006/relationships/hyperlink" Target="https://www.simpleshowing.com/" TargetMode="External"/><Relationship Id="rId3508" Type="http://schemas.openxmlformats.org/officeDocument/2006/relationships/hyperlink" Target="https://www.pulte.com/" TargetMode="External"/><Relationship Id="rId4906" Type="http://schemas.openxmlformats.org/officeDocument/2006/relationships/hyperlink" Target="https://www.simpleshowing.com/" TargetMode="External"/><Relationship Id="rId429" Type="http://schemas.openxmlformats.org/officeDocument/2006/relationships/hyperlink" Target="https://www.carolinadesigns.com/" TargetMode="External"/><Relationship Id="rId1059" Type="http://schemas.openxmlformats.org/officeDocument/2006/relationships/hyperlink" Target="https://www.simpleshowing.com/" TargetMode="External"/><Relationship Id="rId13930" Type="http://schemas.openxmlformats.org/officeDocument/2006/relationships/hyperlink" Target="https://myinteriorpalace.com/" TargetMode="External"/><Relationship Id="rId8153" Type="http://schemas.openxmlformats.org/officeDocument/2006/relationships/hyperlink" Target="https://www.pinoyeplans.com/" TargetMode="External"/><Relationship Id="rId9551" Type="http://schemas.openxmlformats.org/officeDocument/2006/relationships/hyperlink" Target="https://gosciencegirls.com/7-9years/" TargetMode="External"/><Relationship Id="rId11481" Type="http://schemas.openxmlformats.org/officeDocument/2006/relationships/hyperlink" Target="https://sellhousefast.uk/" TargetMode="External"/><Relationship Id="rId12532" Type="http://schemas.openxmlformats.org/officeDocument/2006/relationships/hyperlink" Target="https://propertypressonline.co.uk/" TargetMode="External"/><Relationship Id="rId910" Type="http://schemas.openxmlformats.org/officeDocument/2006/relationships/hyperlink" Target="https://www.matrixbasements.com/" TargetMode="External"/><Relationship Id="rId1540" Type="http://schemas.openxmlformats.org/officeDocument/2006/relationships/hyperlink" Target="https://wolfriverelectric.com/" TargetMode="External"/><Relationship Id="rId9204" Type="http://schemas.openxmlformats.org/officeDocument/2006/relationships/hyperlink" Target="https://www.pinoyeplans.com/" TargetMode="External"/><Relationship Id="rId10083" Type="http://schemas.openxmlformats.org/officeDocument/2006/relationships/hyperlink" Target="https://www.pinoyeplans.com/" TargetMode="External"/><Relationship Id="rId11134" Type="http://schemas.openxmlformats.org/officeDocument/2006/relationships/hyperlink" Target="https://www.lagradaonline.com/us/damages-empty-bank-winter/" TargetMode="External"/><Relationship Id="rId15755" Type="http://schemas.openxmlformats.org/officeDocument/2006/relationships/hyperlink" Target="https://www.modinex.com.au/" TargetMode="External"/><Relationship Id="rId4763" Type="http://schemas.openxmlformats.org/officeDocument/2006/relationships/hyperlink" Target="https://www.kapre.com/" TargetMode="External"/><Relationship Id="rId5814" Type="http://schemas.openxmlformats.org/officeDocument/2006/relationships/hyperlink" Target="https://www.simpleshowing.com/" TargetMode="External"/><Relationship Id="rId14357" Type="http://schemas.openxmlformats.org/officeDocument/2006/relationships/hyperlink" Target="https://luxurylifestyle.com/" TargetMode="External"/><Relationship Id="rId15408" Type="http://schemas.openxmlformats.org/officeDocument/2006/relationships/hyperlink" Target="https://pepalondon.com/en-us/blogs/news/luxury-mothers-day-gift-ideas-for-2021" TargetMode="External"/><Relationship Id="rId3365" Type="http://schemas.openxmlformats.org/officeDocument/2006/relationships/hyperlink" Target="https://jbrec.com/insights/smart-home-clarity-for-home-builders/" TargetMode="External"/><Relationship Id="rId4416" Type="http://schemas.openxmlformats.org/officeDocument/2006/relationships/hyperlink" Target="https://simplehomebuyers.hatenablog.com/" TargetMode="External"/><Relationship Id="rId7986" Type="http://schemas.openxmlformats.org/officeDocument/2006/relationships/hyperlink" Target="https://distinctiveroofing.net/" TargetMode="External"/><Relationship Id="rId286" Type="http://schemas.openxmlformats.org/officeDocument/2006/relationships/hyperlink" Target="https://www.legalreader.com/property-surveillance-law-know-your-rights/" TargetMode="External"/><Relationship Id="rId3018" Type="http://schemas.openxmlformats.org/officeDocument/2006/relationships/hyperlink" Target="https://www.simpleshowing.com/" TargetMode="External"/><Relationship Id="rId6588" Type="http://schemas.openxmlformats.org/officeDocument/2006/relationships/hyperlink" Target="https://www.thermasol.com/" TargetMode="External"/><Relationship Id="rId7639" Type="http://schemas.openxmlformats.org/officeDocument/2006/relationships/hyperlink" Target="https://www.simpleshowing.com/" TargetMode="External"/><Relationship Id="rId10967" Type="http://schemas.openxmlformats.org/officeDocument/2006/relationships/hyperlink" Target="https://www.eeworldonline.com/2159-2/" TargetMode="External"/><Relationship Id="rId9061" Type="http://schemas.openxmlformats.org/officeDocument/2006/relationships/hyperlink" Target="https://nycestimating.us/" TargetMode="External"/><Relationship Id="rId13440" Type="http://schemas.openxmlformats.org/officeDocument/2006/relationships/hyperlink" Target="https://s3.us-east-1.wasabisys.com/plumber-melbourne/drain-relining-melbourne/melbourne-drain-relining.html" TargetMode="External"/><Relationship Id="rId420" Type="http://schemas.openxmlformats.org/officeDocument/2006/relationships/hyperlink" Target="https://www.carolinadesigns.com/" TargetMode="External"/><Relationship Id="rId1050" Type="http://schemas.openxmlformats.org/officeDocument/2006/relationships/hyperlink" Target="https://www.simpleshowing.com/" TargetMode="External"/><Relationship Id="rId2101" Type="http://schemas.openxmlformats.org/officeDocument/2006/relationships/hyperlink" Target="https://markspain.com/" TargetMode="External"/><Relationship Id="rId12042" Type="http://schemas.openxmlformats.org/officeDocument/2006/relationships/hyperlink" Target="https://www.hamiltoninternationalestates.com/" TargetMode="External"/><Relationship Id="rId5671" Type="http://schemas.openxmlformats.org/officeDocument/2006/relationships/hyperlink" Target="https://www.fratantoniluxuryestates.com/blog/the-roi-of-building-a-luxury-custom-home-a-smart-investment-in-elegance-value" TargetMode="External"/><Relationship Id="rId6722" Type="http://schemas.openxmlformats.org/officeDocument/2006/relationships/hyperlink" Target="https://www.flexoffers.com/affiliate-programs/eplanters-com-affiliate-program/" TargetMode="External"/><Relationship Id="rId15265" Type="http://schemas.openxmlformats.org/officeDocument/2006/relationships/hyperlink" Target="https://myinteriorpalace.com/" TargetMode="External"/><Relationship Id="rId4273" Type="http://schemas.openxmlformats.org/officeDocument/2006/relationships/hyperlink" Target="https://www.simpleshowing.com/" TargetMode="External"/><Relationship Id="rId5324" Type="http://schemas.openxmlformats.org/officeDocument/2006/relationships/hyperlink" Target="https://www.simpleshowing.com/" TargetMode="External"/><Relationship Id="rId8894" Type="http://schemas.openxmlformats.org/officeDocument/2006/relationships/hyperlink" Target="https://pruittijaqtkyaht.page.tl/cleaning-apartment-Secrets.htm" TargetMode="External"/><Relationship Id="rId9945" Type="http://schemas.openxmlformats.org/officeDocument/2006/relationships/hyperlink" Target="https://www.pinoyeplans.com/" TargetMode="External"/><Relationship Id="rId1934" Type="http://schemas.openxmlformats.org/officeDocument/2006/relationships/hyperlink" Target="https://nameswillow.com/how-home-identity-influences-buyer-perception/" TargetMode="External"/><Relationship Id="rId7496" Type="http://schemas.openxmlformats.org/officeDocument/2006/relationships/hyperlink" Target="https://www.taylormorrison.com/" TargetMode="External"/><Relationship Id="rId8547" Type="http://schemas.openxmlformats.org/officeDocument/2006/relationships/hyperlink" Target="https://www.cylind.com/" TargetMode="External"/><Relationship Id="rId10477" Type="http://schemas.openxmlformats.org/officeDocument/2006/relationships/hyperlink" Target="https://www.teachengineering.org/" TargetMode="External"/><Relationship Id="rId11528" Type="http://schemas.openxmlformats.org/officeDocument/2006/relationships/hyperlink" Target="https://www.hamiltoninternationalestates.com/" TargetMode="External"/><Relationship Id="rId11875" Type="http://schemas.openxmlformats.org/officeDocument/2006/relationships/hyperlink" Target="https://www.buymortgage.com/" TargetMode="External"/><Relationship Id="rId12926" Type="http://schemas.openxmlformats.org/officeDocument/2006/relationships/hyperlink" Target="https://www.shma.co.uk/" TargetMode="External"/><Relationship Id="rId6098" Type="http://schemas.openxmlformats.org/officeDocument/2006/relationships/hyperlink" Target="https://www.simpleshowing.com/" TargetMode="External"/><Relationship Id="rId7149" Type="http://schemas.openxmlformats.org/officeDocument/2006/relationships/hyperlink" Target="https://www.newsfilecorp.com/release/40500/Taylor-Morrison-Foundation-and-HomeAid-Partner-to-Rebuild-Lives-for-Homeless" TargetMode="External"/><Relationship Id="rId14001" Type="http://schemas.openxmlformats.org/officeDocument/2006/relationships/hyperlink" Target="https://dsnews.co.uk/transform-your-backyard-into-a-serene-retreat-creative-ideas-for-an-enchanting-outdoor-space/" TargetMode="External"/><Relationship Id="rId3759" Type="http://schemas.openxmlformats.org/officeDocument/2006/relationships/hyperlink" Target="https://www.simpleshowing.com/" TargetMode="External"/><Relationship Id="rId5181" Type="http://schemas.openxmlformats.org/officeDocument/2006/relationships/hyperlink" Target="https://www.superjoin.ai/blog/10-ways-to-choose-a-sales-commission-structure-free-calculator-included" TargetMode="External"/><Relationship Id="rId6232" Type="http://schemas.openxmlformats.org/officeDocument/2006/relationships/hyperlink" Target="https://www.simpleshowing.com/" TargetMode="External"/><Relationship Id="rId7630" Type="http://schemas.openxmlformats.org/officeDocument/2006/relationships/hyperlink" Target="https://www.simpleshowing.com/" TargetMode="External"/><Relationship Id="rId10611" Type="http://schemas.openxmlformats.org/officeDocument/2006/relationships/hyperlink" Target="https://www.pinoyeplans.com/" TargetMode="External"/><Relationship Id="rId16173" Type="http://schemas.openxmlformats.org/officeDocument/2006/relationships/hyperlink" Target="https://myinteriorpalace.com/3-flooring-options-for-home/" TargetMode="External"/><Relationship Id="rId12783" Type="http://schemas.openxmlformats.org/officeDocument/2006/relationships/hyperlink" Target="https://startupsmagazine.co.uk/article-guide-getting-investment-ready" TargetMode="External"/><Relationship Id="rId13834" Type="http://schemas.openxmlformats.org/officeDocument/2006/relationships/hyperlink" Target="https://myinteriorpalace.com/" TargetMode="External"/><Relationship Id="rId1791" Type="http://schemas.openxmlformats.org/officeDocument/2006/relationships/hyperlink" Target="https://www.simpleshowing.com/" TargetMode="External"/><Relationship Id="rId2842" Type="http://schemas.openxmlformats.org/officeDocument/2006/relationships/hyperlink" Target="https://www.pulte.com/" TargetMode="External"/><Relationship Id="rId9455" Type="http://schemas.openxmlformats.org/officeDocument/2006/relationships/hyperlink" Target="https://willygoat.com/blogs/resource-center/shade-structures-for-schools-and-public-spaces" TargetMode="External"/><Relationship Id="rId11385" Type="http://schemas.openxmlformats.org/officeDocument/2006/relationships/hyperlink" Target="http://webuyhouses.com/" TargetMode="External"/><Relationship Id="rId12436" Type="http://schemas.openxmlformats.org/officeDocument/2006/relationships/hyperlink" Target="https://sturents.com/" TargetMode="External"/><Relationship Id="rId814" Type="http://schemas.openxmlformats.org/officeDocument/2006/relationships/hyperlink" Target="https://healthstartsinthekitchen.com/the-best-homemade-natural-non-toxic-weed-killer/" TargetMode="External"/><Relationship Id="rId1444" Type="http://schemas.openxmlformats.org/officeDocument/2006/relationships/hyperlink" Target="https://ritewindow.com/blog/3-indicators-its-time-to-upgrade-your-shower-or-bath/" TargetMode="External"/><Relationship Id="rId8057" Type="http://schemas.openxmlformats.org/officeDocument/2006/relationships/hyperlink" Target="https://indyroofandrestoration.com/" TargetMode="External"/><Relationship Id="rId9108" Type="http://schemas.openxmlformats.org/officeDocument/2006/relationships/hyperlink" Target="https://www.pinoyeplans.com/" TargetMode="External"/><Relationship Id="rId11038" Type="http://schemas.openxmlformats.org/officeDocument/2006/relationships/hyperlink" Target="https://www.teachengineering.org/" TargetMode="External"/><Relationship Id="rId15659" Type="http://schemas.openxmlformats.org/officeDocument/2006/relationships/hyperlink" Target="https://www.luxdeco.com/" TargetMode="External"/><Relationship Id="rId4667" Type="http://schemas.openxmlformats.org/officeDocument/2006/relationships/hyperlink" Target="https://www.kapre.com/" TargetMode="External"/><Relationship Id="rId5718" Type="http://schemas.openxmlformats.org/officeDocument/2006/relationships/hyperlink" Target="https://www.simpleshowing.com/" TargetMode="External"/><Relationship Id="rId3269" Type="http://schemas.openxmlformats.org/officeDocument/2006/relationships/hyperlink" Target="https://www.localbiznetwork.com/united-states/ocean-view-1/pulte-homes" TargetMode="External"/><Relationship Id="rId7140" Type="http://schemas.openxmlformats.org/officeDocument/2006/relationships/hyperlink" Target="https://www.taylormorrison.com/" TargetMode="External"/><Relationship Id="rId10121" Type="http://schemas.openxmlformats.org/officeDocument/2006/relationships/hyperlink" Target="https://science.adventisteducation.org/resources/" TargetMode="External"/><Relationship Id="rId13691" Type="http://schemas.openxmlformats.org/officeDocument/2006/relationships/hyperlink" Target="https://anationofmoms.com/" TargetMode="External"/><Relationship Id="rId14742" Type="http://schemas.openxmlformats.org/officeDocument/2006/relationships/hyperlink" Target="https://kevinfrancisdesign.com/blogs/design-ideas/top-6-garage-door-repair-services-with-fast-response-in-houston" TargetMode="External"/><Relationship Id="rId3750" Type="http://schemas.openxmlformats.org/officeDocument/2006/relationships/hyperlink" Target="https://www.simpleshowing.com/" TargetMode="External"/><Relationship Id="rId4801" Type="http://schemas.openxmlformats.org/officeDocument/2006/relationships/hyperlink" Target="https://www.simpleshowing.com/" TargetMode="External"/><Relationship Id="rId12293" Type="http://schemas.openxmlformats.org/officeDocument/2006/relationships/hyperlink" Target="https://speedtest.fastbase.com/Addreviews.aspx?cid=233627" TargetMode="External"/><Relationship Id="rId13344" Type="http://schemas.openxmlformats.org/officeDocument/2006/relationships/hyperlink" Target="https://apexchamber.preview.gochambermaster.com/list/member/a1-floors-llc-7214" TargetMode="External"/><Relationship Id="rId671" Type="http://schemas.openxmlformats.org/officeDocument/2006/relationships/hyperlink" Target="https://www.simpleshowing.com/" TargetMode="External"/><Relationship Id="rId2352" Type="http://schemas.openxmlformats.org/officeDocument/2006/relationships/hyperlink" Target="https://www.simpleshowing.com/" TargetMode="External"/><Relationship Id="rId3403" Type="http://schemas.openxmlformats.org/officeDocument/2006/relationships/hyperlink" Target="https://www.pulte.com/" TargetMode="External"/><Relationship Id="rId6973" Type="http://schemas.openxmlformats.org/officeDocument/2006/relationships/hyperlink" Target="https://www.simpleshowing.com/" TargetMode="External"/><Relationship Id="rId324" Type="http://schemas.openxmlformats.org/officeDocument/2006/relationships/hyperlink" Target="http://northernvirginiahomepro.com/" TargetMode="External"/><Relationship Id="rId2005" Type="http://schemas.openxmlformats.org/officeDocument/2006/relationships/hyperlink" Target="https://markspain.com/" TargetMode="External"/><Relationship Id="rId5575" Type="http://schemas.openxmlformats.org/officeDocument/2006/relationships/hyperlink" Target="https://www.inventorysource.com/managing-cash-flow-as-a-dropshipper/" TargetMode="External"/><Relationship Id="rId6626" Type="http://schemas.openxmlformats.org/officeDocument/2006/relationships/hyperlink" Target="https://www.thermasol.com/" TargetMode="External"/><Relationship Id="rId15169" Type="http://schemas.openxmlformats.org/officeDocument/2006/relationships/hyperlink" Target="https://myinteriorpalace.com/" TargetMode="External"/><Relationship Id="rId4177" Type="http://schemas.openxmlformats.org/officeDocument/2006/relationships/hyperlink" Target="https://www.simpleshowing.com/" TargetMode="External"/><Relationship Id="rId5228" Type="http://schemas.openxmlformats.org/officeDocument/2006/relationships/hyperlink" Target="https://www.simpleshowing.com/" TargetMode="External"/><Relationship Id="rId8798" Type="http://schemas.openxmlformats.org/officeDocument/2006/relationships/hyperlink" Target="mailto:sam@financialsamurai.com" TargetMode="External"/><Relationship Id="rId9849" Type="http://schemas.openxmlformats.org/officeDocument/2006/relationships/hyperlink" Target="https://www.pinoyeplans.com/" TargetMode="External"/><Relationship Id="rId11779" Type="http://schemas.openxmlformats.org/officeDocument/2006/relationships/hyperlink" Target="https://sellhousefast.uk/" TargetMode="External"/><Relationship Id="rId15650" Type="http://schemas.openxmlformats.org/officeDocument/2006/relationships/hyperlink" Target="https://www.luxdeco.com/" TargetMode="External"/><Relationship Id="rId1838" Type="http://schemas.openxmlformats.org/officeDocument/2006/relationships/hyperlink" Target="https://kffm.com/ixp/137/p/washington-energy-efficiency/" TargetMode="External"/><Relationship Id="rId3260" Type="http://schemas.openxmlformats.org/officeDocument/2006/relationships/hyperlink" Target="https://www.golfcourseindustry.com/news/ob-sports-will-manage-conestoga-golf-club-at-anthem-mesquite/" TargetMode="External"/><Relationship Id="rId4311" Type="http://schemas.openxmlformats.org/officeDocument/2006/relationships/hyperlink" Target="https://thrivabilitymatters.org/eco-building-concrete-ways-to-cement-net-zero-goals/" TargetMode="External"/><Relationship Id="rId14252" Type="http://schemas.openxmlformats.org/officeDocument/2006/relationships/hyperlink" Target="https://luxurylifestyle.com/" TargetMode="External"/><Relationship Id="rId15303" Type="http://schemas.openxmlformats.org/officeDocument/2006/relationships/hyperlink" Target="https://www.brittany.com.ph/blogs/incorporating-texture-interior-design/" TargetMode="External"/><Relationship Id="rId181" Type="http://schemas.openxmlformats.org/officeDocument/2006/relationships/hyperlink" Target="https://www.jpfco.com/" TargetMode="External"/><Relationship Id="rId7881" Type="http://schemas.openxmlformats.org/officeDocument/2006/relationships/hyperlink" Target="https://trustroofing.com/" TargetMode="External"/><Relationship Id="rId8932" Type="http://schemas.openxmlformats.org/officeDocument/2006/relationships/hyperlink" Target="https://nycestimating.us/" TargetMode="External"/><Relationship Id="rId10862" Type="http://schemas.openxmlformats.org/officeDocument/2006/relationships/hyperlink" Target="https://schoolweb.tdsb.on.ca/soes/Programs/By-Theme/Biodiversity-and-Human-Impact/Bat-Chat" TargetMode="External"/><Relationship Id="rId11913" Type="http://schemas.openxmlformats.org/officeDocument/2006/relationships/hyperlink" Target="https://www.hamiltoninternationalestates.com/" TargetMode="External"/><Relationship Id="rId5085" Type="http://schemas.openxmlformats.org/officeDocument/2006/relationships/hyperlink" Target="https://nativeteams.com/blog/financial-tips" TargetMode="External"/><Relationship Id="rId6483" Type="http://schemas.openxmlformats.org/officeDocument/2006/relationships/hyperlink" Target="https://www.simpleshowing.com/" TargetMode="External"/><Relationship Id="rId7534" Type="http://schemas.openxmlformats.org/officeDocument/2006/relationships/hyperlink" Target="https://www.simpleshowing.com/" TargetMode="External"/><Relationship Id="rId10515" Type="http://schemas.openxmlformats.org/officeDocument/2006/relationships/hyperlink" Target="https://www.pinoyeplans.com/" TargetMode="External"/><Relationship Id="rId16077" Type="http://schemas.openxmlformats.org/officeDocument/2006/relationships/hyperlink" Target="https://careers.sdstate.edu/blog/2025/04/07/15-tips-for-environmental-studies-majors-who-are-mapping-their-careers/" TargetMode="External"/><Relationship Id="rId6136" Type="http://schemas.openxmlformats.org/officeDocument/2006/relationships/hyperlink" Target="https://www.simpleshowing.com/" TargetMode="External"/><Relationship Id="rId12687" Type="http://schemas.openxmlformats.org/officeDocument/2006/relationships/hyperlink" Target="https://www.entertainmentdaily.com/soaps/exclusive-becky-swain-back-dead-coronation-street-is-lisa-married-legal-expert-gives-answers/" TargetMode="External"/><Relationship Id="rId13738" Type="http://schemas.openxmlformats.org/officeDocument/2006/relationships/hyperlink" Target="https://myinteriorpalace.com/" TargetMode="External"/><Relationship Id="rId1695" Type="http://schemas.openxmlformats.org/officeDocument/2006/relationships/hyperlink" Target="https://www.simpleshowing.com/" TargetMode="External"/><Relationship Id="rId2746" Type="http://schemas.openxmlformats.org/officeDocument/2006/relationships/hyperlink" Target="https://www.pulte.com/" TargetMode="External"/><Relationship Id="rId9359" Type="http://schemas.openxmlformats.org/officeDocument/2006/relationships/hyperlink" Target="https://artsintegration.com/2020/10/19/higher-order-thinking-questions/" TargetMode="External"/><Relationship Id="rId11289" Type="http://schemas.openxmlformats.org/officeDocument/2006/relationships/hyperlink" Target="https://gemmalouise.co.uk/2024/11/safeguarding-jewellery-from-potential-water-damage.html" TargetMode="External"/><Relationship Id="rId15160" Type="http://schemas.openxmlformats.org/officeDocument/2006/relationships/hyperlink" Target="https://myinteriorpalace.com/" TargetMode="External"/><Relationship Id="rId16211" Type="http://schemas.openxmlformats.org/officeDocument/2006/relationships/hyperlink" Target="https://www.unitedcarpetsandbeds.com/" TargetMode="External"/><Relationship Id="rId718" Type="http://schemas.openxmlformats.org/officeDocument/2006/relationships/hyperlink" Target="https://www.opencart.com/blog/20-types-of-website-ctas-that-drive-clicks-leads-and-sales?filter_search=website" TargetMode="External"/><Relationship Id="rId1348" Type="http://schemas.openxmlformats.org/officeDocument/2006/relationships/hyperlink" Target="https://darscover.com/" TargetMode="External"/><Relationship Id="rId5969" Type="http://schemas.openxmlformats.org/officeDocument/2006/relationships/hyperlink" Target="https://en.as.com/latest_news/what-are-credit-card-debt-forgiveness-programs-how-long-do-they-take-n/" TargetMode="External"/><Relationship Id="rId7391" Type="http://schemas.openxmlformats.org/officeDocument/2006/relationships/hyperlink" Target="https://www.simpleshowing.com/" TargetMode="External"/><Relationship Id="rId8442" Type="http://schemas.openxmlformats.org/officeDocument/2006/relationships/hyperlink" Target="https://www.cylind.com/" TargetMode="External"/><Relationship Id="rId9840" Type="http://schemas.openxmlformats.org/officeDocument/2006/relationships/hyperlink" Target="https://www.pinoyeplans.com/" TargetMode="External"/><Relationship Id="rId11770" Type="http://schemas.openxmlformats.org/officeDocument/2006/relationships/hyperlink" Target="https://sellhousefast.uk/" TargetMode="External"/><Relationship Id="rId12821" Type="http://schemas.openxmlformats.org/officeDocument/2006/relationships/hyperlink" Target="https://www.shma.co.uk/" TargetMode="External"/><Relationship Id="rId54" Type="http://schemas.openxmlformats.org/officeDocument/2006/relationships/hyperlink" Target="http://modularchetecture.com/" TargetMode="External"/><Relationship Id="rId7044" Type="http://schemas.openxmlformats.org/officeDocument/2006/relationships/hyperlink" Target="https://www.roic.ai/quote/TMHC" TargetMode="External"/><Relationship Id="rId10372" Type="http://schemas.openxmlformats.org/officeDocument/2006/relationships/hyperlink" Target="https://www.teachengineering.org/" TargetMode="External"/><Relationship Id="rId11423" Type="http://schemas.openxmlformats.org/officeDocument/2006/relationships/hyperlink" Target="https://www.hamiltoninternationalestates.com/" TargetMode="External"/><Relationship Id="rId14993" Type="http://schemas.openxmlformats.org/officeDocument/2006/relationships/hyperlink" Target="https://www.luxdeco.com/" TargetMode="External"/><Relationship Id="rId10025" Type="http://schemas.openxmlformats.org/officeDocument/2006/relationships/hyperlink" Target="https://goodnoees.crsd.org/staff/steam-mrs-molishus-mr-schmoyer/district-steam-information" TargetMode="External"/><Relationship Id="rId13595" Type="http://schemas.openxmlformats.org/officeDocument/2006/relationships/hyperlink" Target="https://anationofmoms.com/" TargetMode="External"/><Relationship Id="rId14646" Type="http://schemas.openxmlformats.org/officeDocument/2006/relationships/hyperlink" Target="https://www.unifiedhomeremodeling.com/garage-door-essentials-tips-and-tricks-for-installation-and-repair/" TargetMode="External"/><Relationship Id="rId3654" Type="http://schemas.openxmlformats.org/officeDocument/2006/relationships/hyperlink" Target="https://www.simpleshowing.com/" TargetMode="External"/><Relationship Id="rId4705" Type="http://schemas.openxmlformats.org/officeDocument/2006/relationships/hyperlink" Target="https://www.simpleshowing.com/" TargetMode="External"/><Relationship Id="rId12197" Type="http://schemas.openxmlformats.org/officeDocument/2006/relationships/hyperlink" Target="https://www.championwindow.com/window-buyers-guide/what-is-a-tilt-and-turn-window/" TargetMode="External"/><Relationship Id="rId13248" Type="http://schemas.openxmlformats.org/officeDocument/2006/relationships/hyperlink" Target="https://www.rocketlawyer.com/gb/en/property/property-insights/legal-guide/consumer-law-apply-landlords" TargetMode="External"/><Relationship Id="rId575" Type="http://schemas.openxmlformats.org/officeDocument/2006/relationships/hyperlink" Target="https://www.simpleshowing.com/" TargetMode="External"/><Relationship Id="rId2256" Type="http://schemas.openxmlformats.org/officeDocument/2006/relationships/hyperlink" Target="https://www.simpleshowing.com/" TargetMode="External"/><Relationship Id="rId3307" Type="http://schemas.openxmlformats.org/officeDocument/2006/relationships/hyperlink" Target="https://www.pulte.com/" TargetMode="External"/><Relationship Id="rId6877" Type="http://schemas.openxmlformats.org/officeDocument/2006/relationships/hyperlink" Target="https://www.taylormorrison.com/" TargetMode="External"/><Relationship Id="rId7928" Type="http://schemas.openxmlformats.org/officeDocument/2006/relationships/hyperlink" Target="https://www.pinoyeplans.com/" TargetMode="External"/><Relationship Id="rId228" Type="http://schemas.openxmlformats.org/officeDocument/2006/relationships/hyperlink" Target="http://northernvirginiahomepro.com/" TargetMode="External"/><Relationship Id="rId5479" Type="http://schemas.openxmlformats.org/officeDocument/2006/relationships/hyperlink" Target="https://convin.ai/blog/debt-recovery-tips" TargetMode="External"/><Relationship Id="rId9350" Type="http://schemas.openxmlformats.org/officeDocument/2006/relationships/hyperlink" Target="https://www.create-learn.us/blog/engineering-for-kids/" TargetMode="External"/><Relationship Id="rId10909" Type="http://schemas.openxmlformats.org/officeDocument/2006/relationships/hyperlink" Target="https://www.teachengineering.org/" TargetMode="External"/><Relationship Id="rId11280" Type="http://schemas.openxmlformats.org/officeDocument/2006/relationships/hyperlink" Target="https://scope.bccampus.ca/tag/index.php?tc=1&amp;tag=what-are-acceptable-moisture-levels" TargetMode="External"/><Relationship Id="rId9003" Type="http://schemas.openxmlformats.org/officeDocument/2006/relationships/hyperlink" Target="https://www.pinoyeplans.com/" TargetMode="External"/><Relationship Id="rId12331" Type="http://schemas.openxmlformats.org/officeDocument/2006/relationships/hyperlink" Target="https://sturents.com/" TargetMode="External"/><Relationship Id="rId5960" Type="http://schemas.openxmlformats.org/officeDocument/2006/relationships/hyperlink" Target="https://www.simpleshowing.com/" TargetMode="External"/><Relationship Id="rId15554" Type="http://schemas.openxmlformats.org/officeDocument/2006/relationships/hyperlink" Target="https://www.luxdeco.com/" TargetMode="External"/><Relationship Id="rId3164" Type="http://schemas.openxmlformats.org/officeDocument/2006/relationships/hyperlink" Target="https://www.angelfire.com/nv/snjb/SNJB%20sponsors.htm" TargetMode="External"/><Relationship Id="rId4562" Type="http://schemas.openxmlformats.org/officeDocument/2006/relationships/hyperlink" Target="https://www.kapre.com/" TargetMode="External"/><Relationship Id="rId5613" Type="http://schemas.openxmlformats.org/officeDocument/2006/relationships/hyperlink" Target="https://www.sfexaminer.com/marketplace/is-freedom-debt-relief-legit-smarter-ways-to-vet-debt-help/article_25ae73ef-f4ce-43f0-bfe2-1622ffe25bbf.html" TargetMode="External"/><Relationship Id="rId14156" Type="http://schemas.openxmlformats.org/officeDocument/2006/relationships/hyperlink" Target="https://luxurylifestyle.com/" TargetMode="External"/><Relationship Id="rId15207" Type="http://schemas.openxmlformats.org/officeDocument/2006/relationships/hyperlink" Target="https://www.bidnamic.com/en-us/case-studies/luxdeco" TargetMode="External"/><Relationship Id="rId4215" Type="http://schemas.openxmlformats.org/officeDocument/2006/relationships/hyperlink" Target="https://www.craryrealestate.com/agents/becoming-an-agent/" TargetMode="External"/><Relationship Id="rId7785" Type="http://schemas.openxmlformats.org/officeDocument/2006/relationships/hyperlink" Target="https://discoverlakelanier.com/" TargetMode="External"/><Relationship Id="rId8836" Type="http://schemas.openxmlformats.org/officeDocument/2006/relationships/hyperlink" Target="https://www.trianglepest.com/" TargetMode="External"/><Relationship Id="rId10766" Type="http://schemas.openxmlformats.org/officeDocument/2006/relationships/hyperlink" Target="https://www.tnstate.edu/murep/otherresources.aspx" TargetMode="External"/><Relationship Id="rId11817" Type="http://schemas.openxmlformats.org/officeDocument/2006/relationships/hyperlink" Target="https://www.hamiltoninternationalestates.com/" TargetMode="External"/><Relationship Id="rId6387" Type="http://schemas.openxmlformats.org/officeDocument/2006/relationships/hyperlink" Target="https://www.tubetorial.com/setting-financial-boundaries-with-family-and-friends/" TargetMode="External"/><Relationship Id="rId7438" Type="http://schemas.openxmlformats.org/officeDocument/2006/relationships/hyperlink" Target="https://www.simpleshowing.com/" TargetMode="External"/><Relationship Id="rId10419" Type="http://schemas.openxmlformats.org/officeDocument/2006/relationships/hyperlink" Target="https://www.pinoyeplans.com/" TargetMode="External"/><Relationship Id="rId2997" Type="http://schemas.openxmlformats.org/officeDocument/2006/relationships/hyperlink" Target="https://www.simpleshowing.com/" TargetMode="External"/><Relationship Id="rId13989" Type="http://schemas.openxmlformats.org/officeDocument/2006/relationships/hyperlink" Target="https://www.aftconstruction.com/blog/advantages-of-silicone-roofing" TargetMode="External"/><Relationship Id="rId969" Type="http://schemas.openxmlformats.org/officeDocument/2006/relationships/hyperlink" Target="https://www.simpleshowing.com/" TargetMode="External"/><Relationship Id="rId1599" Type="http://schemas.openxmlformats.org/officeDocument/2006/relationships/hyperlink" Target="https://www.simpleshowing.com/" TargetMode="External"/><Relationship Id="rId5470" Type="http://schemas.openxmlformats.org/officeDocument/2006/relationships/hyperlink" Target="https://www.simpleshowing.com/" TargetMode="External"/><Relationship Id="rId6521" Type="http://schemas.openxmlformats.org/officeDocument/2006/relationships/hyperlink" Target="https://www.simpleshowing.com/" TargetMode="External"/><Relationship Id="rId10900" Type="http://schemas.openxmlformats.org/officeDocument/2006/relationships/hyperlink" Target="https://www.teachengineering.org/" TargetMode="External"/><Relationship Id="rId15064" Type="http://schemas.openxmlformats.org/officeDocument/2006/relationships/hyperlink" Target="https://myinteriorpalace.com/" TargetMode="External"/><Relationship Id="rId16115" Type="http://schemas.openxmlformats.org/officeDocument/2006/relationships/hyperlink" Target="https://www.rwdoors.com/" TargetMode="External"/><Relationship Id="rId4072" Type="http://schemas.openxmlformats.org/officeDocument/2006/relationships/hyperlink" Target="https://contractortrainingcenter.com/blogs/news/how-to-apply-for-a-subcontractor-license-a-basic-guide" TargetMode="External"/><Relationship Id="rId5123" Type="http://schemas.openxmlformats.org/officeDocument/2006/relationships/hyperlink" Target="https://www.creator-hero.com/blog/most-profitable-youtube-niches" TargetMode="External"/><Relationship Id="rId7295" Type="http://schemas.openxmlformats.org/officeDocument/2006/relationships/hyperlink" Target="https://www.taylormorrison.com/" TargetMode="External"/><Relationship Id="rId8693" Type="http://schemas.openxmlformats.org/officeDocument/2006/relationships/hyperlink" Target="https://www.pinoyeplans.com/" TargetMode="External"/><Relationship Id="rId9744" Type="http://schemas.openxmlformats.org/officeDocument/2006/relationships/hyperlink" Target="https://www.pinoyeplans.com/" TargetMode="External"/><Relationship Id="rId11674" Type="http://schemas.openxmlformats.org/officeDocument/2006/relationships/hyperlink" Target="https://sellhousefast.uk/" TargetMode="External"/><Relationship Id="rId12725" Type="http://schemas.openxmlformats.org/officeDocument/2006/relationships/hyperlink" Target="https://www.shma.co.uk/" TargetMode="External"/><Relationship Id="rId1733" Type="http://schemas.openxmlformats.org/officeDocument/2006/relationships/hyperlink" Target="https://mykisscountry937.com/ixp/180/p/louisiana-outage-risk-high/" TargetMode="External"/><Relationship Id="rId8346" Type="http://schemas.openxmlformats.org/officeDocument/2006/relationships/hyperlink" Target="https://australiansecurecapital.com.au/" TargetMode="External"/><Relationship Id="rId10276" Type="http://schemas.openxmlformats.org/officeDocument/2006/relationships/hyperlink" Target="https://www.teachengineering.org/" TargetMode="External"/><Relationship Id="rId11327" Type="http://schemas.openxmlformats.org/officeDocument/2006/relationships/hyperlink" Target="http://webuyhouses.com/" TargetMode="External"/><Relationship Id="rId14897" Type="http://schemas.openxmlformats.org/officeDocument/2006/relationships/hyperlink" Target="https://www.fluidplumbingservices.com.au/" TargetMode="External"/><Relationship Id="rId15948" Type="http://schemas.openxmlformats.org/officeDocument/2006/relationships/hyperlink" Target="https://www.thetraveler.org/jetblue-through-the-eyes-of-industry-experts/" TargetMode="External"/><Relationship Id="rId4956" Type="http://schemas.openxmlformats.org/officeDocument/2006/relationships/hyperlink" Target="https://www.simpleshowing.com/" TargetMode="External"/><Relationship Id="rId13499" Type="http://schemas.openxmlformats.org/officeDocument/2006/relationships/hyperlink" Target="https://anationofmoms.com/" TargetMode="External"/><Relationship Id="rId3558" Type="http://schemas.openxmlformats.org/officeDocument/2006/relationships/hyperlink" Target="https://www.simpleshowing.com/" TargetMode="External"/><Relationship Id="rId4609" Type="http://schemas.openxmlformats.org/officeDocument/2006/relationships/hyperlink" Target="https://www.simpleshowing.com/" TargetMode="External"/><Relationship Id="rId479" Type="http://schemas.openxmlformats.org/officeDocument/2006/relationships/hyperlink" Target="https://www.simpleshowing.com/" TargetMode="External"/><Relationship Id="rId6031" Type="http://schemas.openxmlformats.org/officeDocument/2006/relationships/hyperlink" Target="https://www.isrgrajan.com/debt-consolidation-myths.html" TargetMode="External"/><Relationship Id="rId10410" Type="http://schemas.openxmlformats.org/officeDocument/2006/relationships/hyperlink" Target="https://www.pinoyeplans.com/" TargetMode="External"/><Relationship Id="rId13980" Type="http://schemas.openxmlformats.org/officeDocument/2006/relationships/hyperlink" Target="https://www.renotalk.com/article/10-exterior-home-repairs-increase-home-value" TargetMode="External"/><Relationship Id="rId9254" Type="http://schemas.openxmlformats.org/officeDocument/2006/relationships/hyperlink" Target="https://thegreenfortune.com/green-roofing/" TargetMode="External"/><Relationship Id="rId12582" Type="http://schemas.openxmlformats.org/officeDocument/2006/relationships/hyperlink" Target="https://www.legalcheek.com/fair/the-legal-cheek-uk-virtual-law-fair-series/" TargetMode="External"/><Relationship Id="rId13633" Type="http://schemas.openxmlformats.org/officeDocument/2006/relationships/hyperlink" Target="https://myinteriorpalace.com/" TargetMode="External"/><Relationship Id="rId960" Type="http://schemas.openxmlformats.org/officeDocument/2006/relationships/hyperlink" Target="https://www.simpleshowing.com/" TargetMode="External"/><Relationship Id="rId1243" Type="http://schemas.openxmlformats.org/officeDocument/2006/relationships/hyperlink" Target="https://happy2movelondon.co.uk/r" TargetMode="External"/><Relationship Id="rId1590" Type="http://schemas.openxmlformats.org/officeDocument/2006/relationships/hyperlink" Target="https://www.simpleshowing.com/" TargetMode="External"/><Relationship Id="rId2641" Type="http://schemas.openxmlformats.org/officeDocument/2006/relationships/hyperlink" Target="https://www.pulte.com/" TargetMode="External"/><Relationship Id="rId11184" Type="http://schemas.openxmlformats.org/officeDocument/2006/relationships/hyperlink" Target="https://www.pinoyeplans.com/" TargetMode="External"/><Relationship Id="rId12235" Type="http://schemas.openxmlformats.org/officeDocument/2006/relationships/hyperlink" Target="https://marrons.co.uk/" TargetMode="External"/><Relationship Id="rId613" Type="http://schemas.openxmlformats.org/officeDocument/2006/relationships/hyperlink" Target="https://www.mondomulia.com/2020/12/30/best-places-to-visit-outer-banks-north-carolina/" TargetMode="External"/><Relationship Id="rId5864" Type="http://schemas.openxmlformats.org/officeDocument/2006/relationships/hyperlink" Target="https://www.simpleshowing.com/" TargetMode="External"/><Relationship Id="rId6915" Type="http://schemas.openxmlformats.org/officeDocument/2006/relationships/hyperlink" Target="https://www.taylormorrison.com/" TargetMode="External"/><Relationship Id="rId15458" Type="http://schemas.openxmlformats.org/officeDocument/2006/relationships/hyperlink" Target="https://www.luxdeco.com/" TargetMode="External"/><Relationship Id="rId4466" Type="http://schemas.openxmlformats.org/officeDocument/2006/relationships/hyperlink" Target="https://www.kapre.com/" TargetMode="External"/><Relationship Id="rId5517" Type="http://schemas.openxmlformats.org/officeDocument/2006/relationships/hyperlink" Target="https://careers.wgu.edu/blog/2025/10/10/a-job-search-playbook-five-weekly-habits-that-deliver-results/" TargetMode="External"/><Relationship Id="rId3068" Type="http://schemas.openxmlformats.org/officeDocument/2006/relationships/hyperlink" Target="https://www.ajc.com/lifestyles/home--garden/atlanta-first-smart-neighborhood-opens-city-westside/78FXr7gAJq3WRTUkdENaHJ/" TargetMode="External"/><Relationship Id="rId4119" Type="http://schemas.openxmlformats.org/officeDocument/2006/relationships/hyperlink" Target="https://www.simpleshowing.com/" TargetMode="External"/><Relationship Id="rId7689" Type="http://schemas.openxmlformats.org/officeDocument/2006/relationships/hyperlink" Target="https://www.davidsonhomes.com/states/georgia/atlanta-market-area/buford/" TargetMode="External"/><Relationship Id="rId13490" Type="http://schemas.openxmlformats.org/officeDocument/2006/relationships/hyperlink" Target="https://anationofmoms.com/" TargetMode="External"/><Relationship Id="rId4600" Type="http://schemas.openxmlformats.org/officeDocument/2006/relationships/hyperlink" Target="https://www.simpleshowing.com/" TargetMode="External"/><Relationship Id="rId12092" Type="http://schemas.openxmlformats.org/officeDocument/2006/relationships/hyperlink" Target="https://www.paneltown.com/what-is-the-best-vinyl-floor-cleaner/" TargetMode="External"/><Relationship Id="rId13143" Type="http://schemas.openxmlformats.org/officeDocument/2006/relationships/hyperlink" Target="https://www.thomsonlocal.com/search/solicitors/milton-keynes-towcester-buckingham/shakespeare-martineau/2560904/01908696002" TargetMode="External"/><Relationship Id="rId14541" Type="http://schemas.openxmlformats.org/officeDocument/2006/relationships/hyperlink" Target="https://nerdymamma.com/garage-door-opener-lifespan/" TargetMode="External"/><Relationship Id="rId470" Type="http://schemas.openxmlformats.org/officeDocument/2006/relationships/hyperlink" Target="https://www.simpleshowing.com/" TargetMode="External"/><Relationship Id="rId2151" Type="http://schemas.openxmlformats.org/officeDocument/2006/relationships/hyperlink" Target="https://www.simpleshowing.com/" TargetMode="External"/><Relationship Id="rId3202" Type="http://schemas.openxmlformats.org/officeDocument/2006/relationships/hyperlink" Target="https://www.pulte.com/" TargetMode="External"/><Relationship Id="rId123" Type="http://schemas.openxmlformats.org/officeDocument/2006/relationships/hyperlink" Target="https://www.alamosanews.com/" TargetMode="External"/><Relationship Id="rId5374" Type="http://schemas.openxmlformats.org/officeDocument/2006/relationships/hyperlink" Target="https://www.simpleshowing.com/" TargetMode="External"/><Relationship Id="rId6772" Type="http://schemas.openxmlformats.org/officeDocument/2006/relationships/hyperlink" Target="https://theprovidencegroup.com/" TargetMode="External"/><Relationship Id="rId7823" Type="http://schemas.openxmlformats.org/officeDocument/2006/relationships/hyperlink" Target="https://www.simpleshowing.com/" TargetMode="External"/><Relationship Id="rId10804" Type="http://schemas.openxmlformats.org/officeDocument/2006/relationships/hyperlink" Target="https://www.teachengineering.org/" TargetMode="External"/><Relationship Id="rId5027" Type="http://schemas.openxmlformats.org/officeDocument/2006/relationships/hyperlink" Target="https://www.cognism.com/blog/lead-generation-for-financial-advisors" TargetMode="External"/><Relationship Id="rId6425" Type="http://schemas.openxmlformats.org/officeDocument/2006/relationships/hyperlink" Target="https://www.thermasol.com/" TargetMode="External"/><Relationship Id="rId9995" Type="http://schemas.openxmlformats.org/officeDocument/2006/relationships/hyperlink" Target="https://www.adventuretourscostarica.com/blog/packing-tips-for-manuel-antonio-costa-rica" TargetMode="External"/><Relationship Id="rId12976" Type="http://schemas.openxmlformats.org/officeDocument/2006/relationships/hyperlink" Target="https://propertypressonline.co.uk/" TargetMode="External"/><Relationship Id="rId16019" Type="http://schemas.openxmlformats.org/officeDocument/2006/relationships/hyperlink" Target="https://www.rwdoors.com/" TargetMode="External"/><Relationship Id="rId1984" Type="http://schemas.openxmlformats.org/officeDocument/2006/relationships/hyperlink" Target="https://markspain.com/" TargetMode="External"/><Relationship Id="rId8597" Type="http://schemas.openxmlformats.org/officeDocument/2006/relationships/hyperlink" Target="https://www.pinoyeplans.com/" TargetMode="External"/><Relationship Id="rId9648" Type="http://schemas.openxmlformats.org/officeDocument/2006/relationships/hyperlink" Target="https://www.pinoyeplans.com/" TargetMode="External"/><Relationship Id="rId11578" Type="http://schemas.openxmlformats.org/officeDocument/2006/relationships/hyperlink" Target="https://sellhousefast.uk/" TargetMode="External"/><Relationship Id="rId12629" Type="http://schemas.openxmlformats.org/officeDocument/2006/relationships/hyperlink" Target="https://www.shma.co.uk/" TargetMode="External"/><Relationship Id="rId1637" Type="http://schemas.openxmlformats.org/officeDocument/2006/relationships/hyperlink" Target="https://austin.culturemap.com/news/city-life/texas-power-outages-summer-2025/" TargetMode="External"/><Relationship Id="rId7199" Type="http://schemas.openxmlformats.org/officeDocument/2006/relationships/hyperlink" Target="https://www.a11yjobs.com/jobs/GUHXN-digital-accessibility-auditor-12-month-fixed-term-contract-or-internal-secondment-taylor-francis-group" TargetMode="External"/><Relationship Id="rId14051" Type="http://schemas.openxmlformats.org/officeDocument/2006/relationships/hyperlink" Target="https://keystonecustomdecksny.com/" TargetMode="External"/><Relationship Id="rId15102" Type="http://schemas.openxmlformats.org/officeDocument/2006/relationships/hyperlink" Target="https://theglossarymagazine.com/homes/poppy-delevingne-interiors-west-london-home/" TargetMode="External"/><Relationship Id="rId4110" Type="http://schemas.openxmlformats.org/officeDocument/2006/relationships/hyperlink" Target="https://iconsofrealestate.com/why-are-agents-leaving-exp/" TargetMode="External"/><Relationship Id="rId7680" Type="http://schemas.openxmlformats.org/officeDocument/2006/relationships/hyperlink" Target="https://www.meritagehomes.com/state/ga/atlanta/the-oaks-at-dawson" TargetMode="External"/><Relationship Id="rId8731" Type="http://schemas.openxmlformats.org/officeDocument/2006/relationships/hyperlink" Target="https://crystalbeach.com/blog/7-common-issues-that-often-require-professional-roofing-repairs/" TargetMode="External"/><Relationship Id="rId6282" Type="http://schemas.openxmlformats.org/officeDocument/2006/relationships/hyperlink" Target="https://www.simpleshowing.com/" TargetMode="External"/><Relationship Id="rId7333" Type="http://schemas.openxmlformats.org/officeDocument/2006/relationships/hyperlink" Target="https://www.taylormorrison.com/" TargetMode="External"/><Relationship Id="rId10661" Type="http://schemas.openxmlformats.org/officeDocument/2006/relationships/hyperlink" Target="https://sciencewithart.ijs.si/news.php?start_from=20&amp;ucat=1" TargetMode="External"/><Relationship Id="rId11712" Type="http://schemas.openxmlformats.org/officeDocument/2006/relationships/hyperlink" Target="https://www.hamiltoninternationalestates.com/" TargetMode="External"/><Relationship Id="rId10314" Type="http://schemas.openxmlformats.org/officeDocument/2006/relationships/hyperlink" Target="https://www.pinoyeplans.com/" TargetMode="External"/><Relationship Id="rId13884" Type="http://schemas.openxmlformats.org/officeDocument/2006/relationships/hyperlink" Target="https://www.accio.com/business/latest_wooden_floor_trends" TargetMode="External"/><Relationship Id="rId14935" Type="http://schemas.openxmlformats.org/officeDocument/2006/relationships/hyperlink" Target="https://myinteriorpalace.com/" TargetMode="External"/><Relationship Id="rId2892" Type="http://schemas.openxmlformats.org/officeDocument/2006/relationships/hyperlink" Target="https://www.simpleshowing.com/" TargetMode="External"/><Relationship Id="rId3943" Type="http://schemas.openxmlformats.org/officeDocument/2006/relationships/hyperlink" Target="https://amjmetalroofing.com.au/" TargetMode="External"/><Relationship Id="rId9158" Type="http://schemas.openxmlformats.org/officeDocument/2006/relationships/hyperlink" Target="https://guiformat.com/modern-wood-data-approaches-enhancing-material-accountability/" TargetMode="External"/><Relationship Id="rId12486" Type="http://schemas.openxmlformats.org/officeDocument/2006/relationships/hyperlink" Target="https://propertypressonline.co.uk/" TargetMode="External"/><Relationship Id="rId13537" Type="http://schemas.openxmlformats.org/officeDocument/2006/relationships/hyperlink" Target="https://myinteriorpalace.com/" TargetMode="External"/><Relationship Id="rId864" Type="http://schemas.openxmlformats.org/officeDocument/2006/relationships/hyperlink" Target="https://www.simpleshowing.com/" TargetMode="External"/><Relationship Id="rId1494" Type="http://schemas.openxmlformats.org/officeDocument/2006/relationships/hyperlink" Target="https://www.simpleshowing.com/" TargetMode="External"/><Relationship Id="rId2545" Type="http://schemas.openxmlformats.org/officeDocument/2006/relationships/hyperlink" Target="https://www.pulte.com/" TargetMode="External"/><Relationship Id="rId11088" Type="http://schemas.openxmlformats.org/officeDocument/2006/relationships/hyperlink" Target="https://www.pinoyeplans.com/" TargetMode="External"/><Relationship Id="rId12139" Type="http://schemas.openxmlformats.org/officeDocument/2006/relationships/hyperlink" Target="https://www.bobvila.com/" TargetMode="External"/><Relationship Id="rId16010" Type="http://schemas.openxmlformats.org/officeDocument/2006/relationships/hyperlink" Target="https://www.rwdoors.com/" TargetMode="External"/><Relationship Id="rId517" Type="http://schemas.openxmlformats.org/officeDocument/2006/relationships/hyperlink" Target="https://www.mommykatandkids.com/2022/06/things-try-buy-visit-south-carolina-souvenirs.html" TargetMode="External"/><Relationship Id="rId1147" Type="http://schemas.openxmlformats.org/officeDocument/2006/relationships/hyperlink" Target="https://www.matrixbasements.com/" TargetMode="External"/><Relationship Id="rId5768" Type="http://schemas.openxmlformats.org/officeDocument/2006/relationships/hyperlink" Target="https://www.simpleshowing.com/" TargetMode="External"/><Relationship Id="rId6819" Type="http://schemas.openxmlformats.org/officeDocument/2006/relationships/hyperlink" Target="https://www.simpleshowing.com/" TargetMode="External"/><Relationship Id="rId7190" Type="http://schemas.openxmlformats.org/officeDocument/2006/relationships/hyperlink" Target="https://www.etfchannel.com/symbol/tmhc/" TargetMode="External"/><Relationship Id="rId8241" Type="http://schemas.openxmlformats.org/officeDocument/2006/relationships/hyperlink" Target="https://smaarchviz.com/" TargetMode="External"/><Relationship Id="rId10171" Type="http://schemas.openxmlformats.org/officeDocument/2006/relationships/hyperlink" Target="https://www.teachengineering.org/" TargetMode="External"/><Relationship Id="rId11222" Type="http://schemas.openxmlformats.org/officeDocument/2006/relationships/hyperlink" Target="https://wemadethislife.com/family-friendly-tips-for-handling-home-water-damage/" TargetMode="External"/><Relationship Id="rId12620" Type="http://schemas.openxmlformats.org/officeDocument/2006/relationships/hyperlink" Target="https://www.shma.co.uk/" TargetMode="External"/><Relationship Id="rId14792" Type="http://schemas.openxmlformats.org/officeDocument/2006/relationships/hyperlink" Target="https://www.easygaragedoorrepair.com/" TargetMode="External"/><Relationship Id="rId15843" Type="http://schemas.openxmlformats.org/officeDocument/2006/relationships/hyperlink" Target="https://old.ecochoice.co.uk/news/blog/item/tropical-wood-exterior-applications" TargetMode="External"/><Relationship Id="rId3453" Type="http://schemas.openxmlformats.org/officeDocument/2006/relationships/hyperlink" Target="https://www.simpleshowing.com/" TargetMode="External"/><Relationship Id="rId4851" Type="http://schemas.openxmlformats.org/officeDocument/2006/relationships/hyperlink" Target="https://www.luxurypresence.com/blogs/real-estate-seo-buyers-guide/" TargetMode="External"/><Relationship Id="rId5902" Type="http://schemas.openxmlformats.org/officeDocument/2006/relationships/hyperlink" Target="https://www.simpleshowing.com/" TargetMode="External"/><Relationship Id="rId13394" Type="http://schemas.openxmlformats.org/officeDocument/2006/relationships/hyperlink" Target="https://anationofmoms.com/" TargetMode="External"/><Relationship Id="rId14445" Type="http://schemas.openxmlformats.org/officeDocument/2006/relationships/hyperlink" Target="https://alittledelightful.com/how-to-find-the-best-commercial-overhead-doors-or-garage-door-installation-service/" TargetMode="External"/><Relationship Id="rId374" Type="http://schemas.openxmlformats.org/officeDocument/2006/relationships/hyperlink" Target="http://northernvirginiahomepro.com/" TargetMode="External"/><Relationship Id="rId2055" Type="http://schemas.openxmlformats.org/officeDocument/2006/relationships/hyperlink" Target="https://www.simpleshowing.com/" TargetMode="External"/><Relationship Id="rId3106" Type="http://schemas.openxmlformats.org/officeDocument/2006/relationships/hyperlink" Target="https://www.pulte.com/" TargetMode="External"/><Relationship Id="rId4504" Type="http://schemas.openxmlformats.org/officeDocument/2006/relationships/hyperlink" Target="https://www.simpleshowing.com/" TargetMode="External"/><Relationship Id="rId13047" Type="http://schemas.openxmlformats.org/officeDocument/2006/relationships/hyperlink" Target="https://www.nottinghampost.com/news/uk-world-news/two-key-reasons-wilko-been-8652989" TargetMode="External"/><Relationship Id="rId6676" Type="http://schemas.openxmlformats.org/officeDocument/2006/relationships/hyperlink" Target="https://www.simpleshowing.com/" TargetMode="External"/><Relationship Id="rId7727" Type="http://schemas.openxmlformats.org/officeDocument/2006/relationships/hyperlink" Target="https://discoverlakelanier.com/" TargetMode="External"/><Relationship Id="rId10708" Type="http://schemas.openxmlformats.org/officeDocument/2006/relationships/hyperlink" Target="https://www.teachengineering.org/" TargetMode="External"/><Relationship Id="rId5278" Type="http://schemas.openxmlformats.org/officeDocument/2006/relationships/hyperlink" Target="https://www.simpleshowing.com/" TargetMode="External"/><Relationship Id="rId6329" Type="http://schemas.openxmlformats.org/officeDocument/2006/relationships/hyperlink" Target="https://www.techgropse.com/blog/money-lending-app-development-cost/" TargetMode="External"/><Relationship Id="rId9899" Type="http://schemas.openxmlformats.org/officeDocument/2006/relationships/hyperlink" Target="https://littlebinsforlittlehands.com/stem-activities-using-pencils/" TargetMode="External"/><Relationship Id="rId12130" Type="http://schemas.openxmlformats.org/officeDocument/2006/relationships/hyperlink" Target="https://www.bobvila.com/" TargetMode="External"/><Relationship Id="rId1888" Type="http://schemas.openxmlformats.org/officeDocument/2006/relationships/hyperlink" Target="https://markspain.com/" TargetMode="External"/><Relationship Id="rId2939" Type="http://schemas.openxmlformats.org/officeDocument/2006/relationships/hyperlink" Target="https://www.chamber.conroe.org/list/member/montgomery-bend-by-pulte-homes-5201280" TargetMode="External"/><Relationship Id="rId6810" Type="http://schemas.openxmlformats.org/officeDocument/2006/relationships/hyperlink" Target="https://www.simpleshowing.com/" TargetMode="External"/><Relationship Id="rId15353" Type="http://schemas.openxmlformats.org/officeDocument/2006/relationships/hyperlink" Target="https://www.luxdeco.com/" TargetMode="External"/><Relationship Id="rId4361" Type="http://schemas.openxmlformats.org/officeDocument/2006/relationships/hyperlink" Target="https://www.kapre.com/" TargetMode="External"/><Relationship Id="rId5412" Type="http://schemas.openxmlformats.org/officeDocument/2006/relationships/hyperlink" Target="https://www.simpleshowing.com/" TargetMode="External"/><Relationship Id="rId15006" Type="http://schemas.openxmlformats.org/officeDocument/2006/relationships/hyperlink" Target="https://www.thegentlemansjournal.com/article/guide-creating-ultimate-gentlemans-office/" TargetMode="External"/><Relationship Id="rId4014" Type="http://schemas.openxmlformats.org/officeDocument/2006/relationships/hyperlink" Target="https://www.simpleshowing.com/" TargetMode="External"/><Relationship Id="rId7584" Type="http://schemas.openxmlformats.org/officeDocument/2006/relationships/hyperlink" Target="https://www.chron.com/neighborhood/fortbend/news/article/Taylor-Morrison-debuts-patio-homes-collection-in-9680620.php" TargetMode="External"/><Relationship Id="rId8982" Type="http://schemas.openxmlformats.org/officeDocument/2006/relationships/hyperlink" Target="https://www.pinoyeplans.com/" TargetMode="External"/><Relationship Id="rId11963" Type="http://schemas.openxmlformats.org/officeDocument/2006/relationships/hyperlink" Target="https://www.today.com/series/how-often-should-you/how-often-you-should-clean-your-shower-curtain-right-way-t73991" TargetMode="External"/><Relationship Id="rId6186" Type="http://schemas.openxmlformats.org/officeDocument/2006/relationships/hyperlink" Target="https://www.simpleshowing.com/" TargetMode="External"/><Relationship Id="rId7237" Type="http://schemas.openxmlformats.org/officeDocument/2006/relationships/hyperlink" Target="https://www.taylormorrison.com/" TargetMode="External"/><Relationship Id="rId8635" Type="http://schemas.openxmlformats.org/officeDocument/2006/relationships/hyperlink" Target="https://aucklandpremiumpainters.us-southeast-1.linodeobjects.com/auckland-plasterer.html" TargetMode="External"/><Relationship Id="rId10565" Type="http://schemas.openxmlformats.org/officeDocument/2006/relationships/hyperlink" Target="https://it.farnell.com/en-IT/a-comprehensive-guide-to-proximity-sensors-for-industrial-applications-trc-ar" TargetMode="External"/><Relationship Id="rId11616" Type="http://schemas.openxmlformats.org/officeDocument/2006/relationships/hyperlink" Target="https://www.hamiltoninternationalestates.com/" TargetMode="External"/><Relationship Id="rId10218" Type="http://schemas.openxmlformats.org/officeDocument/2006/relationships/hyperlink" Target="https://www.pinoyeplans.com/" TargetMode="External"/><Relationship Id="rId13788" Type="http://schemas.openxmlformats.org/officeDocument/2006/relationships/hyperlink" Target="https://www.instapaper.com/p/5922266/14" TargetMode="External"/><Relationship Id="rId14839" Type="http://schemas.openxmlformats.org/officeDocument/2006/relationships/hyperlink" Target="https://myinteriorpalace.com/" TargetMode="External"/><Relationship Id="rId2796" Type="http://schemas.openxmlformats.org/officeDocument/2006/relationships/hyperlink" Target="https://www.simpleshowing.com/" TargetMode="External"/><Relationship Id="rId3847" Type="http://schemas.openxmlformats.org/officeDocument/2006/relationships/hyperlink" Target="https://thecoverguy.com/" TargetMode="External"/><Relationship Id="rId16261" Type="http://schemas.openxmlformats.org/officeDocument/2006/relationships/hyperlink" Target="https://myinteriorpalace.com/" TargetMode="External"/><Relationship Id="rId768" Type="http://schemas.openxmlformats.org/officeDocument/2006/relationships/hyperlink" Target="https://www.schaafsma.com/" TargetMode="External"/><Relationship Id="rId1398" Type="http://schemas.openxmlformats.org/officeDocument/2006/relationships/hyperlink" Target="https://www.simpleshowing.com/" TargetMode="External"/><Relationship Id="rId2449" Type="http://schemas.openxmlformats.org/officeDocument/2006/relationships/hyperlink" Target="https://www.pulte.com/" TargetMode="External"/><Relationship Id="rId6320" Type="http://schemas.openxmlformats.org/officeDocument/2006/relationships/hyperlink" Target="https://www.simpleshowing.com/" TargetMode="External"/><Relationship Id="rId9890" Type="http://schemas.openxmlformats.org/officeDocument/2006/relationships/hyperlink" Target="https://science.guhsd.net/ngss-resources/science-engineering-practices" TargetMode="External"/><Relationship Id="rId8492" Type="http://schemas.openxmlformats.org/officeDocument/2006/relationships/hyperlink" Target="https://www.pinoyeplans.com/" TargetMode="External"/><Relationship Id="rId9543" Type="http://schemas.openxmlformats.org/officeDocument/2006/relationships/hyperlink" Target="https://www.pinoyeplans.com/" TargetMode="External"/><Relationship Id="rId12871" Type="http://schemas.openxmlformats.org/officeDocument/2006/relationships/hyperlink" Target="https://propertypressonline.co.uk/" TargetMode="External"/><Relationship Id="rId13922" Type="http://schemas.openxmlformats.org/officeDocument/2006/relationships/hyperlink" Target="https://faheyroofingcontractors.com/" TargetMode="External"/><Relationship Id="rId1532" Type="http://schemas.openxmlformats.org/officeDocument/2006/relationships/hyperlink" Target="https://wgrd.com/ixp/691/p/michigan-consumers-gas-bill-increase/" TargetMode="External"/><Relationship Id="rId2930" Type="http://schemas.openxmlformats.org/officeDocument/2006/relationships/hyperlink" Target="https://www.goingconcern.com/internal-audit-jobs-sponcon-2/" TargetMode="External"/><Relationship Id="rId7094" Type="http://schemas.openxmlformats.org/officeDocument/2006/relationships/hyperlink" Target="https://www.taylormorrison.com/" TargetMode="External"/><Relationship Id="rId8145" Type="http://schemas.openxmlformats.org/officeDocument/2006/relationships/hyperlink" Target="https://integrityhomeexteriors.com/" TargetMode="External"/><Relationship Id="rId10075" Type="http://schemas.openxmlformats.org/officeDocument/2006/relationships/hyperlink" Target="https://www.teachengineering.org/" TargetMode="External"/><Relationship Id="rId11473" Type="http://schemas.openxmlformats.org/officeDocument/2006/relationships/hyperlink" Target="https://gosouthwestengland.co.uk/living-in-devon/" TargetMode="External"/><Relationship Id="rId12524" Type="http://schemas.openxmlformats.org/officeDocument/2006/relationships/hyperlink" Target="https://sturents.com/" TargetMode="External"/><Relationship Id="rId902" Type="http://schemas.openxmlformats.org/officeDocument/2006/relationships/hyperlink" Target="https://blog.callcustombuilt.com/top-finished-basement-bar-ideas" TargetMode="External"/><Relationship Id="rId11126" Type="http://schemas.openxmlformats.org/officeDocument/2006/relationships/hyperlink" Target="https://www.pinoyeplans.com/" TargetMode="External"/><Relationship Id="rId14696" Type="http://schemas.openxmlformats.org/officeDocument/2006/relationships/hyperlink" Target="https://www.easygaragedoorrepair.com/" TargetMode="External"/><Relationship Id="rId15747" Type="http://schemas.openxmlformats.org/officeDocument/2006/relationships/hyperlink" Target="https://hidrive.com.au/case-studies/modinex-ute-fleet/" TargetMode="External"/><Relationship Id="rId4755" Type="http://schemas.openxmlformats.org/officeDocument/2006/relationships/hyperlink" Target="https://www.wafb.com/2024/05/27/high-school-seniors-can-now-get-real-estate-license-free-this-state/" TargetMode="External"/><Relationship Id="rId5806" Type="http://schemas.openxmlformats.org/officeDocument/2006/relationships/hyperlink" Target="https://www.simpleshowing.com/" TargetMode="External"/><Relationship Id="rId13298" Type="http://schemas.openxmlformats.org/officeDocument/2006/relationships/hyperlink" Target="https://a1floorsnc.com/" TargetMode="External"/><Relationship Id="rId14349" Type="http://schemas.openxmlformats.org/officeDocument/2006/relationships/hyperlink" Target="https://hauteliving.com/2012/12/lladro-opens-new-boutique-on-madison-avenue/328276/" TargetMode="External"/><Relationship Id="rId278" Type="http://schemas.openxmlformats.org/officeDocument/2006/relationships/hyperlink" Target="http://toptenrealestatedeals.com/" TargetMode="External"/><Relationship Id="rId3357" Type="http://schemas.openxmlformats.org/officeDocument/2006/relationships/hyperlink" Target="https://www.simpleshowing.com/" TargetMode="External"/><Relationship Id="rId4408" Type="http://schemas.openxmlformats.org/officeDocument/2006/relationships/hyperlink" Target="https://www.simpleshowing.com/" TargetMode="External"/><Relationship Id="rId7978" Type="http://schemas.openxmlformats.org/officeDocument/2006/relationships/hyperlink" Target="https://simplyseven.net/how-to-protect-your-roof-and-extend-its-lifespan/" TargetMode="External"/><Relationship Id="rId10959" Type="http://schemas.openxmlformats.org/officeDocument/2006/relationships/hyperlink" Target="https://www.pinoyeplans.com/" TargetMode="External"/><Relationship Id="rId12381" Type="http://schemas.openxmlformats.org/officeDocument/2006/relationships/hyperlink" Target="https://propertypressonline.co.uk/" TargetMode="External"/><Relationship Id="rId13432" Type="http://schemas.openxmlformats.org/officeDocument/2006/relationships/hyperlink" Target="https://myinteriorpalace.com/" TargetMode="External"/><Relationship Id="rId14830" Type="http://schemas.openxmlformats.org/officeDocument/2006/relationships/hyperlink" Target="https://myinteriorpalace.com/" TargetMode="External"/><Relationship Id="rId2440" Type="http://schemas.openxmlformats.org/officeDocument/2006/relationships/hyperlink" Target="https://www.pulte.com/" TargetMode="External"/><Relationship Id="rId9053" Type="http://schemas.openxmlformats.org/officeDocument/2006/relationships/hyperlink" Target="https://iocmkt.com/life-style/the-future-of-construction-estimation-trends-and-innovations-to-watch" TargetMode="External"/><Relationship Id="rId12034" Type="http://schemas.openxmlformats.org/officeDocument/2006/relationships/hyperlink" Target="https://www.bobvila.com/" TargetMode="External"/><Relationship Id="rId412" Type="http://schemas.openxmlformats.org/officeDocument/2006/relationships/hyperlink" Target="https://www.outerbanks.com/corolla.html" TargetMode="External"/><Relationship Id="rId1042" Type="http://schemas.openxmlformats.org/officeDocument/2006/relationships/hyperlink" Target="https://www.matrixbasements.com/" TargetMode="External"/><Relationship Id="rId5663" Type="http://schemas.openxmlformats.org/officeDocument/2006/relationships/hyperlink" Target="https://elements.envato.com/learn/how-to-manage-freelancer-finances" TargetMode="External"/><Relationship Id="rId4265" Type="http://schemas.openxmlformats.org/officeDocument/2006/relationships/hyperlink" Target="https://www.kapre.com/" TargetMode="External"/><Relationship Id="rId5316" Type="http://schemas.openxmlformats.org/officeDocument/2006/relationships/hyperlink" Target="https://www.simpleshowing.com/" TargetMode="External"/><Relationship Id="rId6714" Type="http://schemas.openxmlformats.org/officeDocument/2006/relationships/hyperlink" Target="https://www.simpleshowing.com/" TargetMode="External"/><Relationship Id="rId15257" Type="http://schemas.openxmlformats.org/officeDocument/2006/relationships/hyperlink" Target="https://www.luxdeco.com/" TargetMode="External"/><Relationship Id="rId8886" Type="http://schemas.openxmlformats.org/officeDocument/2006/relationships/hyperlink" Target="https://www.pinoyeplans.com/" TargetMode="External"/><Relationship Id="rId9937" Type="http://schemas.openxmlformats.org/officeDocument/2006/relationships/hyperlink" Target="https://www.teachengineering.org/" TargetMode="External"/><Relationship Id="rId11867" Type="http://schemas.openxmlformats.org/officeDocument/2006/relationships/hyperlink" Target="https://embeddedcomputing.com/application/industrial/revealed-professionals-reveal-how-they-are-benefiting-from-building-information-modelling" TargetMode="External"/><Relationship Id="rId12918" Type="http://schemas.openxmlformats.org/officeDocument/2006/relationships/hyperlink" Target="https://blogs.bournemouth.ac.uk/research/2021/09/13/he-policy-update-w-e-10th-september-2021/" TargetMode="External"/><Relationship Id="rId1926" Type="http://schemas.openxmlformats.org/officeDocument/2006/relationships/hyperlink" Target="https://www.simpleshowing.com/" TargetMode="External"/><Relationship Id="rId7488" Type="http://schemas.openxmlformats.org/officeDocument/2006/relationships/hyperlink" Target="https://www.10tv.com/article/news/nation-world/taylor-morrison-files-complaint-against-home-inspector-who-posts-videos-of-inspections-on-social-media/75-fc64bf74-360c-4f54-ac08-1d79f2af1d67" TargetMode="External"/><Relationship Id="rId8539" Type="http://schemas.openxmlformats.org/officeDocument/2006/relationships/hyperlink" Target="https://toddleabout.co.uk/parenting/how-3d-exterior-visualisations-can-help-you-plan-a-child-friendly-backyard/" TargetMode="External"/><Relationship Id="rId10469" Type="http://schemas.openxmlformats.org/officeDocument/2006/relationships/hyperlink" Target="https://my.schoolcraft.edu/webliography/76" TargetMode="External"/><Relationship Id="rId14340" Type="http://schemas.openxmlformats.org/officeDocument/2006/relationships/hyperlink" Target="https://www.lotterypost.com/thread/128453" TargetMode="External"/><Relationship Id="rId3001" Type="http://schemas.openxmlformats.org/officeDocument/2006/relationships/hyperlink" Target="https://www.pulte.com/" TargetMode="External"/><Relationship Id="rId6571" Type="http://schemas.openxmlformats.org/officeDocument/2006/relationships/hyperlink" Target="https://www.simpleshowing.com/" TargetMode="External"/><Relationship Id="rId7622" Type="http://schemas.openxmlformats.org/officeDocument/2006/relationships/hyperlink" Target="https://www.taylormorrison.com/" TargetMode="External"/><Relationship Id="rId10950" Type="http://schemas.openxmlformats.org/officeDocument/2006/relationships/hyperlink" Target="https://www.pinoyeplans.com/" TargetMode="External"/><Relationship Id="rId16165" Type="http://schemas.openxmlformats.org/officeDocument/2006/relationships/hyperlink" Target="https://myinteriorpalace.com/" TargetMode="External"/><Relationship Id="rId5173" Type="http://schemas.openxmlformats.org/officeDocument/2006/relationships/hyperlink" Target="https://www.entrepreneur.com/en-in/news-and-trends/freedom-debt-relief-review-what-to-know-about/494122" TargetMode="External"/><Relationship Id="rId6224" Type="http://schemas.openxmlformats.org/officeDocument/2006/relationships/hyperlink" Target="https://www.simpleshowing.com/" TargetMode="External"/><Relationship Id="rId9794" Type="http://schemas.openxmlformats.org/officeDocument/2006/relationships/hyperlink" Target="https://www.mylearning.org/stories/inventors-and-inventions-from-yorkshire/resources" TargetMode="External"/><Relationship Id="rId10603" Type="http://schemas.openxmlformats.org/officeDocument/2006/relationships/hyperlink" Target="https://www.teachengineering.org/" TargetMode="External"/><Relationship Id="rId8396" Type="http://schemas.openxmlformats.org/officeDocument/2006/relationships/hyperlink" Target="https://www.pinoyeplans.com/" TargetMode="External"/><Relationship Id="rId9447" Type="http://schemas.openxmlformats.org/officeDocument/2006/relationships/hyperlink" Target="https://www.pinoyeplans.com/" TargetMode="External"/><Relationship Id="rId12775" Type="http://schemas.openxmlformats.org/officeDocument/2006/relationships/hyperlink" Target="https://propertypressonline.co.uk/" TargetMode="External"/><Relationship Id="rId13826" Type="http://schemas.openxmlformats.org/officeDocument/2006/relationships/hyperlink" Target="https://aqglassshowerdoorsphoenix.com/" TargetMode="External"/><Relationship Id="rId1783" Type="http://schemas.openxmlformats.org/officeDocument/2006/relationships/hyperlink" Target="https://wolfriverelectric.com/" TargetMode="External"/><Relationship Id="rId2834" Type="http://schemas.openxmlformats.org/officeDocument/2006/relationships/hyperlink" Target="https://theportager.com/aurora-extended-a-development-moratorium-in-place-since-2020/" TargetMode="External"/><Relationship Id="rId8049" Type="http://schemas.openxmlformats.org/officeDocument/2006/relationships/hyperlink" Target="https://www.startupinspire.com/blog/safety-measures-to-prevent-potential-workplace-accidents" TargetMode="External"/><Relationship Id="rId11377" Type="http://schemas.openxmlformats.org/officeDocument/2006/relationships/hyperlink" Target="https://holrmagazine.com/fast-and-easy-ways-to-sell-your-property/" TargetMode="External"/><Relationship Id="rId12428" Type="http://schemas.openxmlformats.org/officeDocument/2006/relationships/hyperlink" Target="https://audiala.com/en/united-kingdom/birmingham/edgbaston-house" TargetMode="External"/><Relationship Id="rId15998" Type="http://schemas.openxmlformats.org/officeDocument/2006/relationships/hyperlink" Target="https://www.rwdoors.com/" TargetMode="External"/><Relationship Id="rId806" Type="http://schemas.openxmlformats.org/officeDocument/2006/relationships/hyperlink" Target="https://www.simpleshowing.com/" TargetMode="External"/><Relationship Id="rId1436" Type="http://schemas.openxmlformats.org/officeDocument/2006/relationships/hyperlink" Target="https://www.sciencetimes.com/articles/50539/20240604/maximizing-shower-space-the-benefits-of-installing-floating-shelves.htm" TargetMode="External"/><Relationship Id="rId4659" Type="http://schemas.openxmlformats.org/officeDocument/2006/relationships/hyperlink" Target="http://mywebsite.flipcause.com/preview/19d6df.8dk5ngk4e824b.df1439d77a00fb10d02c9725c19d22b9/395253851807823935" TargetMode="External"/><Relationship Id="rId8530" Type="http://schemas.openxmlformats.org/officeDocument/2006/relationships/hyperlink" Target="https://soulinner.com/global-reach-local-impact-using-3d-architectural-animation-to-attract-overseas-buyers-and-investors/" TargetMode="External"/><Relationship Id="rId10460" Type="http://schemas.openxmlformats.org/officeDocument/2006/relationships/hyperlink" Target="https://wilsonlab.ku.edu/mechatronics-resources-k-12-teachers-scouting-and-4h" TargetMode="External"/><Relationship Id="rId11511" Type="http://schemas.openxmlformats.org/officeDocument/2006/relationships/hyperlink" Target="https://sellhousefast.uk/" TargetMode="External"/><Relationship Id="rId6081" Type="http://schemas.openxmlformats.org/officeDocument/2006/relationships/hyperlink" Target="https://starherald.com/shopping/article_e3ad16e5-8098-55d2-bc6d-72814ee3fee5.html" TargetMode="External"/><Relationship Id="rId7132" Type="http://schemas.openxmlformats.org/officeDocument/2006/relationships/hyperlink" Target="https://www.castlepinesconnection.com/coming-soon-new-homes-in-castle-pines-village/" TargetMode="External"/><Relationship Id="rId10113" Type="http://schemas.openxmlformats.org/officeDocument/2006/relationships/hyperlink" Target="https://www.pinoyeplans.com/" TargetMode="External"/><Relationship Id="rId2691" Type="http://schemas.openxmlformats.org/officeDocument/2006/relationships/hyperlink" Target="https://www.simpleshowing.com/" TargetMode="External"/><Relationship Id="rId3742" Type="http://schemas.openxmlformats.org/officeDocument/2006/relationships/hyperlink" Target="https://www.overheaddoors.com/" TargetMode="External"/><Relationship Id="rId12285" Type="http://schemas.openxmlformats.org/officeDocument/2006/relationships/hyperlink" Target="https://propertypressonline.co.uk/" TargetMode="External"/><Relationship Id="rId13683" Type="http://schemas.openxmlformats.org/officeDocument/2006/relationships/hyperlink" Target="https://geeksaroundglobe.com/5-ways-david-bolno-approaches-giving-back/" TargetMode="External"/><Relationship Id="rId14734" Type="http://schemas.openxmlformats.org/officeDocument/2006/relationships/hyperlink" Target="https://myinteriorpalace.com/" TargetMode="External"/><Relationship Id="rId663" Type="http://schemas.openxmlformats.org/officeDocument/2006/relationships/hyperlink" Target="https://www.carolinadesigns.com/" TargetMode="External"/><Relationship Id="rId1293" Type="http://schemas.openxmlformats.org/officeDocument/2006/relationships/hyperlink" Target="https://www.simpleshowing.com/" TargetMode="External"/><Relationship Id="rId2344" Type="http://schemas.openxmlformats.org/officeDocument/2006/relationships/hyperlink" Target="https://www.pulte.com/" TargetMode="External"/><Relationship Id="rId13336" Type="http://schemas.openxmlformats.org/officeDocument/2006/relationships/hyperlink" Target="https://myinteriorpalace.com/" TargetMode="External"/><Relationship Id="rId316" Type="http://schemas.openxmlformats.org/officeDocument/2006/relationships/hyperlink" Target="https://conestogalogcabins.com/" TargetMode="External"/><Relationship Id="rId6965" Type="http://schemas.openxmlformats.org/officeDocument/2006/relationships/hyperlink" Target="https://www.taylormorrison.com/" TargetMode="External"/><Relationship Id="rId4169" Type="http://schemas.openxmlformats.org/officeDocument/2006/relationships/hyperlink" Target="https://www.kapre.com/" TargetMode="External"/><Relationship Id="rId5567" Type="http://schemas.openxmlformats.org/officeDocument/2006/relationships/hyperlink" Target="https://career.calvin.edu/blog/2025/10/21/a-job-search-playbook-five-weekly-habits-that-deliver-results/" TargetMode="External"/><Relationship Id="rId6618" Type="http://schemas.openxmlformats.org/officeDocument/2006/relationships/hyperlink" Target="https://www.thermasol.com/" TargetMode="External"/><Relationship Id="rId8040" Type="http://schemas.openxmlformats.org/officeDocument/2006/relationships/hyperlink" Target="https://leagues.teamlinkt.com/gwgsl" TargetMode="External"/><Relationship Id="rId11021" Type="http://schemas.openxmlformats.org/officeDocument/2006/relationships/hyperlink" Target="https://avo31652.halff.com/news-insights/insights/5-days-of-do-it-yourself-stem-projects/" TargetMode="External"/><Relationship Id="rId14591" Type="http://schemas.openxmlformats.org/officeDocument/2006/relationships/hyperlink" Target="https://www.easygaragedoorrepair.com/" TargetMode="External"/><Relationship Id="rId15642" Type="http://schemas.openxmlformats.org/officeDocument/2006/relationships/hyperlink" Target="https://monkeyandmouse.co.uk/essential-home-upgrades-for-a-cosy-christmas/" TargetMode="External"/><Relationship Id="rId4650" Type="http://schemas.openxmlformats.org/officeDocument/2006/relationships/hyperlink" Target="https://www.wtoc.com/2024/05/27/high-school-seniors-can-now-get-real-estate-license-free-this-state/" TargetMode="External"/><Relationship Id="rId5701" Type="http://schemas.openxmlformats.org/officeDocument/2006/relationships/hyperlink" Target="https://www.revoyant.com/blog/ai-credit-repair-tools-improve-credit-score" TargetMode="External"/><Relationship Id="rId13193" Type="http://schemas.openxmlformats.org/officeDocument/2006/relationships/hyperlink" Target="https://www.shma.co.uk/" TargetMode="External"/><Relationship Id="rId14244" Type="http://schemas.openxmlformats.org/officeDocument/2006/relationships/hyperlink" Target="https://moneyinc.com/artya-wave-crystal-sapphire-case-watch/" TargetMode="External"/><Relationship Id="rId3252" Type="http://schemas.openxmlformats.org/officeDocument/2006/relationships/hyperlink" Target="https://www.simpleshowing.com/" TargetMode="External"/><Relationship Id="rId4303" Type="http://schemas.openxmlformats.org/officeDocument/2006/relationships/hyperlink" Target="https://www.simpleshowing.com/" TargetMode="External"/><Relationship Id="rId7873" Type="http://schemas.openxmlformats.org/officeDocument/2006/relationships/hyperlink" Target="https://veteranscontractingllc.com/blog/bad-roofing-contractors/" TargetMode="External"/><Relationship Id="rId173" Type="http://schemas.openxmlformats.org/officeDocument/2006/relationships/hyperlink" Target="https://www.thefrontsteps.com/" TargetMode="External"/><Relationship Id="rId6475" Type="http://schemas.openxmlformats.org/officeDocument/2006/relationships/hyperlink" Target="https://homerocketrealty.com/how-to-turn-your-home-into-a-peaceful-escape-from-a-busy-life/" TargetMode="External"/><Relationship Id="rId7526" Type="http://schemas.openxmlformats.org/officeDocument/2006/relationships/hyperlink" Target="https://www.taylormorrison.com/" TargetMode="External"/><Relationship Id="rId8924" Type="http://schemas.openxmlformats.org/officeDocument/2006/relationships/hyperlink" Target="https://infodailybuzz.com/the-role-of-lumber-estimation-in-cost-control-and-profitability/" TargetMode="External"/><Relationship Id="rId10854" Type="http://schemas.openxmlformats.org/officeDocument/2006/relationships/hyperlink" Target="https://www.pinoyeplans.com/" TargetMode="External"/><Relationship Id="rId11905" Type="http://schemas.openxmlformats.org/officeDocument/2006/relationships/hyperlink" Target="https://www.bobvila.com/" TargetMode="External"/><Relationship Id="rId16069" Type="http://schemas.openxmlformats.org/officeDocument/2006/relationships/hyperlink" Target="https://myinteriorpalace.com/" TargetMode="External"/><Relationship Id="rId5077" Type="http://schemas.openxmlformats.org/officeDocument/2006/relationships/hyperlink" Target="https://wacotrib.com/news/" TargetMode="External"/><Relationship Id="rId6128" Type="http://schemas.openxmlformats.org/officeDocument/2006/relationships/hyperlink" Target="https://www.simpleshowing.com/" TargetMode="External"/><Relationship Id="rId10507" Type="http://schemas.openxmlformats.org/officeDocument/2006/relationships/hyperlink" Target="https://www.teachengineering.org/" TargetMode="External"/><Relationship Id="rId9698" Type="http://schemas.openxmlformats.org/officeDocument/2006/relationships/hyperlink" Target="https://ext.vt.edu/4h-youth/stem-in-virginia-4h.html" TargetMode="External"/><Relationship Id="rId12679" Type="http://schemas.openxmlformats.org/officeDocument/2006/relationships/hyperlink" Target="https://propertypressonline.co.uk/" TargetMode="External"/><Relationship Id="rId1687" Type="http://schemas.openxmlformats.org/officeDocument/2006/relationships/hyperlink" Target="https://wolfriverelectric.com/" TargetMode="External"/><Relationship Id="rId2738" Type="http://schemas.openxmlformats.org/officeDocument/2006/relationships/hyperlink" Target="http://sabuilderstx.memberzone.com/list/member/pultegroup-pulte-homes-centex-del-webb-7595" TargetMode="External"/><Relationship Id="rId15152" Type="http://schemas.openxmlformats.org/officeDocument/2006/relationships/hyperlink" Target="https://www.luxdeco.com/" TargetMode="External"/><Relationship Id="rId16203" Type="http://schemas.openxmlformats.org/officeDocument/2006/relationships/hyperlink" Target="https://amazingarchitecture.com/articles/3-factors-to-consider-when-buying-popular-bed-types" TargetMode="External"/><Relationship Id="rId4160" Type="http://schemas.openxmlformats.org/officeDocument/2006/relationships/hyperlink" Target="https://www.kapre.com/" TargetMode="External"/><Relationship Id="rId5211" Type="http://schemas.openxmlformats.org/officeDocument/2006/relationships/hyperlink" Target="https://www.goodhousekeeping.com/holidays/tips/g733/best-holiday-shopping-tips/" TargetMode="External"/><Relationship Id="rId8781" Type="http://schemas.openxmlformats.org/officeDocument/2006/relationships/hyperlink" Target="https://propertychecker.com/" TargetMode="External"/><Relationship Id="rId9832" Type="http://schemas.openxmlformats.org/officeDocument/2006/relationships/hyperlink" Target="https://www.teachengineering.org/" TargetMode="External"/><Relationship Id="rId46" Type="http://schemas.openxmlformats.org/officeDocument/2006/relationships/hyperlink" Target="http://europeanraptors.org/" TargetMode="External"/><Relationship Id="rId1821" Type="http://schemas.openxmlformats.org/officeDocument/2006/relationships/hyperlink" Target="https://www.simpleshowing.com/" TargetMode="External"/><Relationship Id="rId7383" Type="http://schemas.openxmlformats.org/officeDocument/2006/relationships/hyperlink" Target="https://www.taylormorrison.com/" TargetMode="External"/><Relationship Id="rId8434" Type="http://schemas.openxmlformats.org/officeDocument/2006/relationships/hyperlink" Target="https://shedblog.com.au/shed-building-budget-control-how-3d-site-plan-rendering-prevents-costly-on-site-surprises/" TargetMode="External"/><Relationship Id="rId10364" Type="http://schemas.openxmlformats.org/officeDocument/2006/relationships/hyperlink" Target="https://qubeshub.org/community/groups/coursesource/publications?id=2669&amp;v=1" TargetMode="External"/><Relationship Id="rId11762" Type="http://schemas.openxmlformats.org/officeDocument/2006/relationships/hyperlink" Target="https://insurance-edge.net/2026/02/18/quick-ways-to-unlock-the-value-of-your-home/" TargetMode="External"/><Relationship Id="rId12813" Type="http://schemas.openxmlformats.org/officeDocument/2006/relationships/hyperlink" Target="https://www.maddyness.com/uk/2020/05/12/new-platform-launches-to-help-startups-recruit/" TargetMode="External"/><Relationship Id="rId7036" Type="http://schemas.openxmlformats.org/officeDocument/2006/relationships/hyperlink" Target="https://www.simpleshowing.com/" TargetMode="External"/><Relationship Id="rId10017" Type="http://schemas.openxmlformats.org/officeDocument/2006/relationships/hyperlink" Target="https://www.pinoyeplans.com/" TargetMode="External"/><Relationship Id="rId11415" Type="http://schemas.openxmlformats.org/officeDocument/2006/relationships/hyperlink" Target="http://webuyhouses.com/" TargetMode="External"/><Relationship Id="rId14985" Type="http://schemas.openxmlformats.org/officeDocument/2006/relationships/hyperlink" Target="https://ctolighting.co.uk/the-role-of-atmospheric-lighting-in-luxury-interiors/" TargetMode="External"/><Relationship Id="rId2595" Type="http://schemas.openxmlformats.org/officeDocument/2006/relationships/hyperlink" Target="https://www.simpleshowing.com/" TargetMode="External"/><Relationship Id="rId3993" Type="http://schemas.openxmlformats.org/officeDocument/2006/relationships/hyperlink" Target="https://www.simpleshowing.com/" TargetMode="External"/><Relationship Id="rId13587" Type="http://schemas.openxmlformats.org/officeDocument/2006/relationships/hyperlink" Target="https://holrmagazine.com/4-leather-briefcase-styles-every-professional-should-consider/" TargetMode="External"/><Relationship Id="rId14638" Type="http://schemas.openxmlformats.org/officeDocument/2006/relationships/hyperlink" Target="https://myinteriorpalace.com/" TargetMode="External"/><Relationship Id="rId567" Type="http://schemas.openxmlformats.org/officeDocument/2006/relationships/hyperlink" Target="https://www.carolinadesigns.com/" TargetMode="External"/><Relationship Id="rId1197" Type="http://schemas.openxmlformats.org/officeDocument/2006/relationships/hyperlink" Target="https://www.simpleshowing.com/" TargetMode="External"/><Relationship Id="rId2248" Type="http://schemas.openxmlformats.org/officeDocument/2006/relationships/hyperlink" Target="https://www.collectionforsyth.com/" TargetMode="External"/><Relationship Id="rId3646" Type="http://schemas.openxmlformats.org/officeDocument/2006/relationships/hyperlink" Target="https://www.pulte.com/" TargetMode="External"/><Relationship Id="rId12189" Type="http://schemas.openxmlformats.org/officeDocument/2006/relationships/hyperlink" Target="https://www.hamiltoninternationalestates.com/" TargetMode="External"/><Relationship Id="rId16060" Type="http://schemas.openxmlformats.org/officeDocument/2006/relationships/hyperlink" Target="https://myinteriorpalace.com/" TargetMode="External"/><Relationship Id="rId6869" Type="http://schemas.openxmlformats.org/officeDocument/2006/relationships/hyperlink" Target="https://www.fixr.com/articles/largest-construction-companies-by-state" TargetMode="External"/><Relationship Id="rId12670" Type="http://schemas.openxmlformats.org/officeDocument/2006/relationships/hyperlink" Target="https://propertypressonline.co.uk/" TargetMode="External"/><Relationship Id="rId13721" Type="http://schemas.openxmlformats.org/officeDocument/2006/relationships/hyperlink" Target="https://anationofmoms.com/" TargetMode="External"/><Relationship Id="rId8291" Type="http://schemas.openxmlformats.org/officeDocument/2006/relationships/hyperlink" Target="https://www.pinoyeplans.com/" TargetMode="External"/><Relationship Id="rId9342" Type="http://schemas.openxmlformats.org/officeDocument/2006/relationships/hyperlink" Target="https://www.pinoyeplans.com/" TargetMode="External"/><Relationship Id="rId11272" Type="http://schemas.openxmlformats.org/officeDocument/2006/relationships/hyperlink" Target="https://constrofacilitator.com/savesubscribe.php/page/629/?name" TargetMode="External"/><Relationship Id="rId12323" Type="http://schemas.openxmlformats.org/officeDocument/2006/relationships/hyperlink" Target="https://www.luxurystudenthomes.co.uk/" TargetMode="External"/><Relationship Id="rId701" Type="http://schemas.openxmlformats.org/officeDocument/2006/relationships/hyperlink" Target="https://www.simpleshowing.com/" TargetMode="External"/><Relationship Id="rId1331" Type="http://schemas.openxmlformats.org/officeDocument/2006/relationships/hyperlink" Target="https://www.webdew.com/blog/real-estate-video-marketing" TargetMode="External"/><Relationship Id="rId5952" Type="http://schemas.openxmlformats.org/officeDocument/2006/relationships/hyperlink" Target="https://www.simpleshowing.com/" TargetMode="External"/><Relationship Id="rId14495" Type="http://schemas.openxmlformats.org/officeDocument/2006/relationships/hyperlink" Target="https://raynordoor.com/" TargetMode="External"/><Relationship Id="rId15893" Type="http://schemas.openxmlformats.org/officeDocument/2006/relationships/hyperlink" Target="https://www.raynorkc.com/" TargetMode="External"/><Relationship Id="rId4554" Type="http://schemas.openxmlformats.org/officeDocument/2006/relationships/hyperlink" Target="https://www.dakotanewsnow.com/2024/05/27/high-school-seniors-can-now-get-real-estate-license-free-this-state/" TargetMode="External"/><Relationship Id="rId5605" Type="http://schemas.openxmlformats.org/officeDocument/2006/relationships/hyperlink" Target="https://www.cantorinjurylaw.com/blog/addressing-your-concerns-about-legal-representation/" TargetMode="External"/><Relationship Id="rId13097" Type="http://schemas.openxmlformats.org/officeDocument/2006/relationships/hyperlink" Target="https://www.shma.co.uk/" TargetMode="External"/><Relationship Id="rId14148" Type="http://schemas.openxmlformats.org/officeDocument/2006/relationships/hyperlink" Target="https://thegameland.net/registry/" TargetMode="External"/><Relationship Id="rId15546" Type="http://schemas.openxmlformats.org/officeDocument/2006/relationships/hyperlink" Target="https://neufutur.com/2022/07/a-guide-to-noise-reducing-furnishings-2022/" TargetMode="External"/><Relationship Id="rId3156" Type="http://schemas.openxmlformats.org/officeDocument/2006/relationships/hyperlink" Target="https://www.simpleshowing.com/" TargetMode="External"/><Relationship Id="rId4207" Type="http://schemas.openxmlformats.org/officeDocument/2006/relationships/hyperlink" Target="https://www.simpleshowing.com/" TargetMode="External"/><Relationship Id="rId6379" Type="http://schemas.openxmlformats.org/officeDocument/2006/relationships/hyperlink" Target="https://www.caledonianrecord.com/what-is-a-prepaid-debit-card-and-how-does-it-work/article_65770ce1-8d18-5962-9941-b33457225a8a.html" TargetMode="External"/><Relationship Id="rId7777" Type="http://schemas.openxmlformats.org/officeDocument/2006/relationships/hyperlink" Target="https://discoverlakelanier.com/" TargetMode="External"/><Relationship Id="rId8828" Type="http://schemas.openxmlformats.org/officeDocument/2006/relationships/hyperlink" Target="https://www.mypmp.net/blogs/" TargetMode="External"/><Relationship Id="rId10758" Type="http://schemas.openxmlformats.org/officeDocument/2006/relationships/hyperlink" Target="https://www.pinoyeplans.com/" TargetMode="External"/><Relationship Id="rId11809" Type="http://schemas.openxmlformats.org/officeDocument/2006/relationships/hyperlink" Target="https://sellhousefast.uk/" TargetMode="External"/><Relationship Id="rId12180" Type="http://schemas.openxmlformats.org/officeDocument/2006/relationships/hyperlink" Target="https://www.hamiltoninternationalestates.com/" TargetMode="External"/><Relationship Id="rId13231" Type="http://schemas.openxmlformats.org/officeDocument/2006/relationships/hyperlink" Target="https://propertypressonline.co.uk/" TargetMode="External"/><Relationship Id="rId2989" Type="http://schemas.openxmlformats.org/officeDocument/2006/relationships/hyperlink" Target="https://www.pulte.com/" TargetMode="External"/><Relationship Id="rId6860" Type="http://schemas.openxmlformats.org/officeDocument/2006/relationships/hyperlink" Target="https://globaledge.msu.edu/states/arizona/corporations" TargetMode="External"/><Relationship Id="rId7911" Type="http://schemas.openxmlformats.org/officeDocument/2006/relationships/hyperlink" Target="https://certifiedrestorationinc.com/" TargetMode="External"/><Relationship Id="rId211" Type="http://schemas.openxmlformats.org/officeDocument/2006/relationships/hyperlink" Target="https://www.financialpipeline.com/canada-housing-market-how-it-differs-from-the-u-s/" TargetMode="External"/><Relationship Id="rId5462" Type="http://schemas.openxmlformats.org/officeDocument/2006/relationships/hyperlink" Target="https://www.simpleshowing.com/" TargetMode="External"/><Relationship Id="rId6513" Type="http://schemas.openxmlformats.org/officeDocument/2006/relationships/hyperlink" Target="https://collive.com/plumbers-haven-opens-crown-heights-showroom/" TargetMode="External"/><Relationship Id="rId15056" Type="http://schemas.openxmlformats.org/officeDocument/2006/relationships/hyperlink" Target="https://www.luxdeco.com/" TargetMode="External"/><Relationship Id="rId16107" Type="http://schemas.openxmlformats.org/officeDocument/2006/relationships/hyperlink" Target="https://metapress.com/follow-garage-door-design-trends-to-enjoy-your-selection/" TargetMode="External"/><Relationship Id="rId4064" Type="http://schemas.openxmlformats.org/officeDocument/2006/relationships/hyperlink" Target="https://www.simpleshowing.com/" TargetMode="External"/><Relationship Id="rId5115" Type="http://schemas.openxmlformats.org/officeDocument/2006/relationships/hyperlink" Target="https://www.deskera.com/blog/monthly-net-income/" TargetMode="External"/><Relationship Id="rId8685" Type="http://schemas.openxmlformats.org/officeDocument/2006/relationships/hyperlink" Target="https://lubelska.co.uk/" TargetMode="External"/><Relationship Id="rId9736" Type="http://schemas.openxmlformats.org/officeDocument/2006/relationships/hyperlink" Target="https://www.teachengineering.org/" TargetMode="External"/><Relationship Id="rId7287" Type="http://schemas.openxmlformats.org/officeDocument/2006/relationships/hyperlink" Target="https://www.taylormorrison.com/" TargetMode="External"/><Relationship Id="rId8338" Type="http://schemas.openxmlformats.org/officeDocument/2006/relationships/hyperlink" Target="https://vibromedia.com/emerging-markets-identifying-lucrative-property-investment-opportunities/" TargetMode="External"/><Relationship Id="rId11666" Type="http://schemas.openxmlformats.org/officeDocument/2006/relationships/hyperlink" Target="https://rugbyobserver.co.uk/lifestyle/assessing-the-housing-situation-between-rugby-and-coventry/" TargetMode="External"/><Relationship Id="rId12717" Type="http://schemas.openxmlformats.org/officeDocument/2006/relationships/hyperlink" Target="https://www.mha.co.uk/insights/getting-consent-for-charity-changes" TargetMode="External"/><Relationship Id="rId1725" Type="http://schemas.openxmlformats.org/officeDocument/2006/relationships/hyperlink" Target="https://www.simpleshowing.com/" TargetMode="External"/><Relationship Id="rId10268" Type="http://schemas.openxmlformats.org/officeDocument/2006/relationships/hyperlink" Target="https://www.trinect.iastate.edu/resources/" TargetMode="External"/><Relationship Id="rId11319" Type="http://schemas.openxmlformats.org/officeDocument/2006/relationships/hyperlink" Target="https://bresdel.com/savemax" TargetMode="External"/><Relationship Id="rId14889" Type="http://schemas.openxmlformats.org/officeDocument/2006/relationships/hyperlink" Target="https://tangyhouse.com/whole-house-vs-under-sink-water-filters-which-one-to-choose/" TargetMode="External"/><Relationship Id="rId3897" Type="http://schemas.openxmlformats.org/officeDocument/2006/relationships/hyperlink" Target="https://www.simpleshowing.com/" TargetMode="External"/><Relationship Id="rId4948" Type="http://schemas.openxmlformats.org/officeDocument/2006/relationships/hyperlink" Target="https://www.simpleshowing.com/" TargetMode="External"/><Relationship Id="rId11800" Type="http://schemas.openxmlformats.org/officeDocument/2006/relationships/hyperlink" Target="https://sellhousefast.uk/" TargetMode="External"/><Relationship Id="rId2499" Type="http://schemas.openxmlformats.org/officeDocument/2006/relationships/hyperlink" Target="https://www.simpleshowing.com/" TargetMode="External"/><Relationship Id="rId6370" Type="http://schemas.openxmlformats.org/officeDocument/2006/relationships/hyperlink" Target="https://www.simpleshowing.com/" TargetMode="External"/><Relationship Id="rId7421" Type="http://schemas.openxmlformats.org/officeDocument/2006/relationships/hyperlink" Target="https://www.taylormorrison.com/" TargetMode="External"/><Relationship Id="rId10402" Type="http://schemas.openxmlformats.org/officeDocument/2006/relationships/hyperlink" Target="https://www.teachengineering.org/" TargetMode="External"/><Relationship Id="rId2980" Type="http://schemas.openxmlformats.org/officeDocument/2006/relationships/hyperlink" Target="https://www.pulte.com/" TargetMode="External"/><Relationship Id="rId6023" Type="http://schemas.openxmlformats.org/officeDocument/2006/relationships/hyperlink" Target="https://www.filmink.com.au/equipment-indie-film/" TargetMode="External"/><Relationship Id="rId9593" Type="http://schemas.openxmlformats.org/officeDocument/2006/relationships/hyperlink" Target="https://kidsdiscover.com/teacherresources/3-reasons-water-equals-life/" TargetMode="External"/><Relationship Id="rId12574" Type="http://schemas.openxmlformats.org/officeDocument/2006/relationships/hyperlink" Target="https://propertypressonline.co.uk/" TargetMode="External"/><Relationship Id="rId13972" Type="http://schemas.openxmlformats.org/officeDocument/2006/relationships/hyperlink" Target="https://myinteriorpalace.com/" TargetMode="External"/><Relationship Id="rId952" Type="http://schemas.openxmlformats.org/officeDocument/2006/relationships/hyperlink" Target="https://www.matrixbasements.com/" TargetMode="External"/><Relationship Id="rId1582" Type="http://schemas.openxmlformats.org/officeDocument/2006/relationships/hyperlink" Target="https://wolfriverelectric.com/" TargetMode="External"/><Relationship Id="rId2633" Type="http://schemas.openxmlformats.org/officeDocument/2006/relationships/hyperlink" Target="https://www.centerpointenergy.com/en-us/business/save-energy-money/electric-efficiency-programs/for-builders-developers?sa=ho" TargetMode="External"/><Relationship Id="rId8195" Type="http://schemas.openxmlformats.org/officeDocument/2006/relationships/hyperlink" Target="https://www.pinoyeplans.com/" TargetMode="External"/><Relationship Id="rId9246" Type="http://schemas.openxmlformats.org/officeDocument/2006/relationships/hyperlink" Target="https://www.pinoyeplans.com/" TargetMode="External"/><Relationship Id="rId11176" Type="http://schemas.openxmlformats.org/officeDocument/2006/relationships/hyperlink" Target="https://www.waterdamagespecialist.com.au/" TargetMode="External"/><Relationship Id="rId12227" Type="http://schemas.openxmlformats.org/officeDocument/2006/relationships/hyperlink" Target="https://www.wired-gov.net/wg/home.nsf/listing?readform&amp;id=WGOV-9JMGGH&amp;catid=DEVV-7UDJJU&amp;client=DNWA-CDUGQL" TargetMode="External"/><Relationship Id="rId13625" Type="http://schemas.openxmlformats.org/officeDocument/2006/relationships/hyperlink" Target="https://anationofmoms.com/" TargetMode="External"/><Relationship Id="rId605" Type="http://schemas.openxmlformats.org/officeDocument/2006/relationships/hyperlink" Target="https://www.simpleshowing.com/" TargetMode="External"/><Relationship Id="rId1235" Type="http://schemas.openxmlformats.org/officeDocument/2006/relationships/hyperlink" Target="https://nethouseprices.com/news/show/3502/moving-made-easy-how-to-plan-pack-and-settle-into-your-new-home" TargetMode="External"/><Relationship Id="rId15797" Type="http://schemas.openxmlformats.org/officeDocument/2006/relationships/hyperlink" Target="https://www.modinex.com.au/" TargetMode="External"/><Relationship Id="rId4458" Type="http://schemas.openxmlformats.org/officeDocument/2006/relationships/hyperlink" Target="https://pick-kart.com/5-common-home-inspection-errors-to-avoid-for-buyers/" TargetMode="External"/><Relationship Id="rId5856" Type="http://schemas.openxmlformats.org/officeDocument/2006/relationships/hyperlink" Target="https://www.simpleshowing.com/" TargetMode="External"/><Relationship Id="rId6907" Type="http://schemas.openxmlformats.org/officeDocument/2006/relationships/hyperlink" Target="https://citadelrs.com/homebuilders/" TargetMode="External"/><Relationship Id="rId14399" Type="http://schemas.openxmlformats.org/officeDocument/2006/relationships/hyperlink" Target="https://luxurylifestyle.com/" TargetMode="External"/><Relationship Id="rId5509" Type="http://schemas.openxmlformats.org/officeDocument/2006/relationships/hyperlink" Target="https://solidgigs.com/blog/how-to-stay-financially-resilient-when-freelance-income-is-unpredictable/" TargetMode="External"/><Relationship Id="rId11310" Type="http://schemas.openxmlformats.org/officeDocument/2006/relationships/hyperlink" Target="https://storeys.com/real-estate-agents-running-ontario-provincial-election/" TargetMode="External"/><Relationship Id="rId14880" Type="http://schemas.openxmlformats.org/officeDocument/2006/relationships/hyperlink" Target="https://www.spiritedpuddlejumper.com/safe-and-environmentally-friendly-methods-for-disposing-of-old-hot-water-systems/" TargetMode="External"/><Relationship Id="rId15931" Type="http://schemas.openxmlformats.org/officeDocument/2006/relationships/hyperlink" Target="https://myinteriorpalace.com/" TargetMode="External"/><Relationship Id="rId13482" Type="http://schemas.openxmlformats.org/officeDocument/2006/relationships/hyperlink" Target="https://farmerswiferambles.com/bacon-recipes/" TargetMode="External"/><Relationship Id="rId14533" Type="http://schemas.openxmlformats.org/officeDocument/2006/relationships/hyperlink" Target="https://myinteriorpalace.com/" TargetMode="External"/><Relationship Id="rId2490" Type="http://schemas.openxmlformats.org/officeDocument/2006/relationships/hyperlink" Target="https://www.simpleshowing.com/" TargetMode="External"/><Relationship Id="rId3541" Type="http://schemas.openxmlformats.org/officeDocument/2006/relationships/hyperlink" Target="https://www.pulte.com/" TargetMode="External"/><Relationship Id="rId12084" Type="http://schemas.openxmlformats.org/officeDocument/2006/relationships/hyperlink" Target="https://www.hamiltoninternationalestates.com/" TargetMode="External"/><Relationship Id="rId13135" Type="http://schemas.openxmlformats.org/officeDocument/2006/relationships/hyperlink" Target="https://propertypressonline.co.uk/" TargetMode="External"/><Relationship Id="rId462" Type="http://schemas.openxmlformats.org/officeDocument/2006/relationships/hyperlink" Target="https://www.carolinadesigns.com/" TargetMode="External"/><Relationship Id="rId1092" Type="http://schemas.openxmlformats.org/officeDocument/2006/relationships/hyperlink" Target="https://www.simpleshowing.com/" TargetMode="External"/><Relationship Id="rId2143" Type="http://schemas.openxmlformats.org/officeDocument/2006/relationships/hyperlink" Target="https://markspain.com/" TargetMode="External"/><Relationship Id="rId6764" Type="http://schemas.openxmlformats.org/officeDocument/2006/relationships/hyperlink" Target="https://www.ecisolutions.com/blog/residential-construction/lasso-crm/osc-of-the-month-karen-reichert/" TargetMode="External"/><Relationship Id="rId7815" Type="http://schemas.openxmlformats.org/officeDocument/2006/relationships/hyperlink" Target="https://discoverlakelanier.com/" TargetMode="External"/><Relationship Id="rId115" Type="http://schemas.openxmlformats.org/officeDocument/2006/relationships/hyperlink" Target="https://www.sportico.com/" TargetMode="External"/><Relationship Id="rId5366" Type="http://schemas.openxmlformats.org/officeDocument/2006/relationships/hyperlink" Target="https://www.simpleshowing.com/" TargetMode="External"/><Relationship Id="rId6417" Type="http://schemas.openxmlformats.org/officeDocument/2006/relationships/hyperlink" Target="https://www.dashclicks.com/blog?8bee28e1_page=8&amp;b3850b35_page=95" TargetMode="External"/><Relationship Id="rId5019" Type="http://schemas.openxmlformats.org/officeDocument/2006/relationships/hyperlink" Target="https://www.bills.com/reviews/debt/creditassociates" TargetMode="External"/><Relationship Id="rId8589" Type="http://schemas.openxmlformats.org/officeDocument/2006/relationships/hyperlink" Target="https://www.buyersadvocate.com.au/" TargetMode="External"/><Relationship Id="rId9987" Type="http://schemas.openxmlformats.org/officeDocument/2006/relationships/hyperlink" Target="https://www.pinoyeplans.com/" TargetMode="External"/><Relationship Id="rId12968" Type="http://schemas.openxmlformats.org/officeDocument/2006/relationships/hyperlink" Target="https://www.shma.co.uk/" TargetMode="External"/><Relationship Id="rId1976" Type="http://schemas.openxmlformats.org/officeDocument/2006/relationships/hyperlink" Target="https://www.carolinajournal.com/southern-sellers-worry-as-homes-sit-on-market-values-decline/" TargetMode="External"/><Relationship Id="rId14390" Type="http://schemas.openxmlformats.org/officeDocument/2006/relationships/hyperlink" Target="https://luxurylifestyle.com/" TargetMode="External"/><Relationship Id="rId15441" Type="http://schemas.openxmlformats.org/officeDocument/2006/relationships/hyperlink" Target="https://www.easternaccents.com/blog/design-edge-nashville-who-to-see" TargetMode="External"/><Relationship Id="rId1629" Type="http://schemas.openxmlformats.org/officeDocument/2006/relationships/hyperlink" Target="https://www.simpleshowing.com/" TargetMode="External"/><Relationship Id="rId5500" Type="http://schemas.openxmlformats.org/officeDocument/2006/relationships/hyperlink" Target="https://www.simpleshowing.com/" TargetMode="External"/><Relationship Id="rId14043" Type="http://schemas.openxmlformats.org/officeDocument/2006/relationships/hyperlink" Target="https://opplehouse.com/design-a-dreamy-outdoor-escape-inspiring-tips-to-elevate-your-backyard-experience/" TargetMode="External"/><Relationship Id="rId3051" Type="http://schemas.openxmlformats.org/officeDocument/2006/relationships/hyperlink" Target="https://www.simpleshowing.com/" TargetMode="External"/><Relationship Id="rId4102" Type="http://schemas.openxmlformats.org/officeDocument/2006/relationships/hyperlink" Target="https://www.simpleshowing.com/" TargetMode="External"/><Relationship Id="rId7672" Type="http://schemas.openxmlformats.org/officeDocument/2006/relationships/hyperlink" Target="https://www.simpleshowing.com/" TargetMode="External"/><Relationship Id="rId8723" Type="http://schemas.openxmlformats.org/officeDocument/2006/relationships/hyperlink" Target="https://www.pinoyeplans.com/" TargetMode="External"/><Relationship Id="rId10653" Type="http://schemas.openxmlformats.org/officeDocument/2006/relationships/hyperlink" Target="https://www.pinoyeplans.com/" TargetMode="External"/><Relationship Id="rId6274" Type="http://schemas.openxmlformats.org/officeDocument/2006/relationships/hyperlink" Target="https://www.simpleshowing.com/" TargetMode="External"/><Relationship Id="rId7325" Type="http://schemas.openxmlformats.org/officeDocument/2006/relationships/hyperlink" Target="https://www.waterfront-properties.com/listing/f10479723-11834-sw-macelli-way-port-st-lucie-fl-34987/" TargetMode="External"/><Relationship Id="rId10306" Type="http://schemas.openxmlformats.org/officeDocument/2006/relationships/hyperlink" Target="https://www.teachengineering.org/" TargetMode="External"/><Relationship Id="rId11704" Type="http://schemas.openxmlformats.org/officeDocument/2006/relationships/hyperlink" Target="https://sellhousefast.uk/" TargetMode="External"/><Relationship Id="rId2884" Type="http://schemas.openxmlformats.org/officeDocument/2006/relationships/hyperlink" Target="https://www.pulte.com/" TargetMode="External"/><Relationship Id="rId9497" Type="http://schemas.openxmlformats.org/officeDocument/2006/relationships/hyperlink" Target="https://carinterior.alibaba.com/question/wheel-and-axle-examples-explained" TargetMode="External"/><Relationship Id="rId13876" Type="http://schemas.openxmlformats.org/officeDocument/2006/relationships/hyperlink" Target="https://myinteriorpalace.com/" TargetMode="External"/><Relationship Id="rId14927" Type="http://schemas.openxmlformats.org/officeDocument/2006/relationships/hyperlink" Target="https://www.fluidplumbingservices.com.au/" TargetMode="External"/><Relationship Id="rId856" Type="http://schemas.openxmlformats.org/officeDocument/2006/relationships/hyperlink" Target="https://www.absolutepestmgmt.com/" TargetMode="External"/><Relationship Id="rId1486" Type="http://schemas.openxmlformats.org/officeDocument/2006/relationships/hyperlink" Target="https://ritewindow.com/blog/3-indicators-its-time-to-upgrade-your-shower-or-bath/" TargetMode="External"/><Relationship Id="rId2537" Type="http://schemas.openxmlformats.org/officeDocument/2006/relationships/hyperlink" Target="https://southfloridaagentmagazine.com/2025/12/08/pulte-homes-the-domaine-at-soso-2025/" TargetMode="External"/><Relationship Id="rId3935" Type="http://schemas.openxmlformats.org/officeDocument/2006/relationships/hyperlink" Target="https://www.brisbane-australia.com/directory/building-construction/roofing/amj-metal-roofing-brisbane" TargetMode="External"/><Relationship Id="rId8099" Type="http://schemas.openxmlformats.org/officeDocument/2006/relationships/hyperlink" Target="https://www.pinoyeplans.com/" TargetMode="External"/><Relationship Id="rId12478" Type="http://schemas.openxmlformats.org/officeDocument/2006/relationships/hyperlink" Target="https://sturents.com/" TargetMode="External"/><Relationship Id="rId13529" Type="http://schemas.openxmlformats.org/officeDocument/2006/relationships/hyperlink" Target="https://anationofmoms.com/" TargetMode="External"/><Relationship Id="rId509" Type="http://schemas.openxmlformats.org/officeDocument/2006/relationships/hyperlink" Target="https://www.simpleshowing.com/" TargetMode="External"/><Relationship Id="rId1139" Type="http://schemas.openxmlformats.org/officeDocument/2006/relationships/hyperlink" Target="https://livepositively.com/3-ways-to-refresh-your-life-and-feel-rejuvenated/" TargetMode="External"/><Relationship Id="rId5010" Type="http://schemas.openxmlformats.org/officeDocument/2006/relationships/hyperlink" Target="https://www.simpleshowing.com/" TargetMode="External"/><Relationship Id="rId16002" Type="http://schemas.openxmlformats.org/officeDocument/2006/relationships/hyperlink" Target="https://artdaily.cc/news/181452/Selecting-Overhead-Doors-for-Industrial-or-Commercial-Purposes--An-Insight" TargetMode="External"/><Relationship Id="rId8580" Type="http://schemas.openxmlformats.org/officeDocument/2006/relationships/hyperlink" Target="https://www.buyersadvocate.com.au/" TargetMode="External"/><Relationship Id="rId9631" Type="http://schemas.openxmlformats.org/officeDocument/2006/relationships/hyperlink" Target="https://www.teachengineering.org/" TargetMode="External"/><Relationship Id="rId11561" Type="http://schemas.openxmlformats.org/officeDocument/2006/relationships/hyperlink" Target="https://thenegotiator.co.uk/news/agencies-people-news/former-foxtons-agent-sets-up-quick-buying-property-agency/" TargetMode="External"/><Relationship Id="rId12612" Type="http://schemas.openxmlformats.org/officeDocument/2006/relationships/hyperlink" Target="https://www.nfuonline.com/nfu-professional-services/nfu-legal-panel/" TargetMode="External"/><Relationship Id="rId1620" Type="http://schemas.openxmlformats.org/officeDocument/2006/relationships/hyperlink" Target="https://www.simpleshowing.com/" TargetMode="External"/><Relationship Id="rId7182" Type="http://schemas.openxmlformats.org/officeDocument/2006/relationships/hyperlink" Target="https://www.constellationhb.com/blog/2015/05/taylor-morrison-is-builder-of-the-year/" TargetMode="External"/><Relationship Id="rId8233" Type="http://schemas.openxmlformats.org/officeDocument/2006/relationships/hyperlink" Target="https://www.thaiticketmajor.com/10th-anniversary/chaophraya-express-boat-details.php?wid=115" TargetMode="External"/><Relationship Id="rId10163" Type="http://schemas.openxmlformats.org/officeDocument/2006/relationships/hyperlink" Target="https://communityschooling.gseis.ucla.edu/journal-issue-2-teachers/" TargetMode="External"/><Relationship Id="rId11214" Type="http://schemas.openxmlformats.org/officeDocument/2006/relationships/hyperlink" Target="https://programminginsider.com/technology-in-water-damage-restoration/" TargetMode="External"/><Relationship Id="rId14784" Type="http://schemas.openxmlformats.org/officeDocument/2006/relationships/hyperlink" Target="https://thecharmingbenchcompany.com/blogs/news/what-safety-features-should-every-garage-door-system-have" TargetMode="External"/><Relationship Id="rId3792" Type="http://schemas.openxmlformats.org/officeDocument/2006/relationships/hyperlink" Target="https://www.simpleshowing.com/" TargetMode="External"/><Relationship Id="rId4843" Type="http://schemas.openxmlformats.org/officeDocument/2006/relationships/hyperlink" Target="https://www.simpleshowing.com/" TargetMode="External"/><Relationship Id="rId13386" Type="http://schemas.openxmlformats.org/officeDocument/2006/relationships/hyperlink" Target="https://www.myregistry.com/Info/press.aspx" TargetMode="External"/><Relationship Id="rId14437" Type="http://schemas.openxmlformats.org/officeDocument/2006/relationships/hyperlink" Target="https://myinteriorpalace.com/" TargetMode="External"/><Relationship Id="rId15835" Type="http://schemas.openxmlformats.org/officeDocument/2006/relationships/hyperlink" Target="https://myinteriorpalace.com/" TargetMode="External"/><Relationship Id="rId2394" Type="http://schemas.openxmlformats.org/officeDocument/2006/relationships/hyperlink" Target="https://www.simpleshowing.com/" TargetMode="External"/><Relationship Id="rId3445" Type="http://schemas.openxmlformats.org/officeDocument/2006/relationships/hyperlink" Target="https://www.pulte.com/" TargetMode="External"/><Relationship Id="rId13039" Type="http://schemas.openxmlformats.org/officeDocument/2006/relationships/hyperlink" Target="https://propertypressonline.co.uk/" TargetMode="External"/><Relationship Id="rId366" Type="http://schemas.openxmlformats.org/officeDocument/2006/relationships/hyperlink" Target="http://northernvirginiahomepro.com/" TargetMode="External"/><Relationship Id="rId2047" Type="http://schemas.openxmlformats.org/officeDocument/2006/relationships/hyperlink" Target="https://markspain.com/" TargetMode="External"/><Relationship Id="rId6668" Type="http://schemas.openxmlformats.org/officeDocument/2006/relationships/hyperlink" Target="https://www.eplanters.com/blog/" TargetMode="External"/><Relationship Id="rId7719" Type="http://schemas.openxmlformats.org/officeDocument/2006/relationships/hyperlink" Target="https://www.kremp.com/pages/florist-flowery-branch-ga" TargetMode="External"/><Relationship Id="rId8090" Type="http://schemas.openxmlformats.org/officeDocument/2006/relationships/hyperlink" Target="https://www.pinoyeplans.com/" TargetMode="External"/><Relationship Id="rId9141" Type="http://schemas.openxmlformats.org/officeDocument/2006/relationships/hyperlink" Target="https://www.pinoyeplans.com/" TargetMode="External"/><Relationship Id="rId13520" Type="http://schemas.openxmlformats.org/officeDocument/2006/relationships/hyperlink" Target="https://anationofmoms.com/" TargetMode="External"/><Relationship Id="rId11071" Type="http://schemas.openxmlformats.org/officeDocument/2006/relationships/hyperlink" Target="https://www.teachengineering.org/" TargetMode="External"/><Relationship Id="rId12122" Type="http://schemas.openxmlformats.org/officeDocument/2006/relationships/hyperlink" Target="https://www.theaterseatstore.com/blog/how-to-measure" TargetMode="External"/><Relationship Id="rId15692" Type="http://schemas.openxmlformats.org/officeDocument/2006/relationships/hyperlink" Target="https://www.modinex.com.au/" TargetMode="External"/><Relationship Id="rId500" Type="http://schemas.openxmlformats.org/officeDocument/2006/relationships/hyperlink" Target="https://www.simpleshowing.com/" TargetMode="External"/><Relationship Id="rId1130" Type="http://schemas.openxmlformats.org/officeDocument/2006/relationships/hyperlink" Target="https://www.wisconsinmommy.com/how-to-create-the-perfect-playroom-for-your-kids/" TargetMode="External"/><Relationship Id="rId5751" Type="http://schemas.openxmlformats.org/officeDocument/2006/relationships/hyperlink" Target="https://www.hedgethink.com/spotting-tax-debt-phone-scams/" TargetMode="External"/><Relationship Id="rId6802" Type="http://schemas.openxmlformats.org/officeDocument/2006/relationships/hyperlink" Target="https://www.taylormorrison.com/" TargetMode="External"/><Relationship Id="rId14294" Type="http://schemas.openxmlformats.org/officeDocument/2006/relationships/hyperlink" Target="https://luxurylifestyle.com/" TargetMode="External"/><Relationship Id="rId15345" Type="http://schemas.openxmlformats.org/officeDocument/2006/relationships/hyperlink" Target="https://www.terristeffes.com/2021/02/12-ways-to-make-your-home-your-favorite.html" TargetMode="External"/><Relationship Id="rId4353" Type="http://schemas.openxmlformats.org/officeDocument/2006/relationships/hyperlink" Target="https://fairygodboss.com/career-topics/how-to-become-a-real-estate-agent" TargetMode="External"/><Relationship Id="rId5404" Type="http://schemas.openxmlformats.org/officeDocument/2006/relationships/hyperlink" Target="https://www.simpleshowing.com/" TargetMode="External"/><Relationship Id="rId8974" Type="http://schemas.openxmlformats.org/officeDocument/2006/relationships/hyperlink" Target="https://nycestimating.us/" TargetMode="External"/><Relationship Id="rId4006" Type="http://schemas.openxmlformats.org/officeDocument/2006/relationships/hyperlink" Target="https://appleplumbing.com/" TargetMode="External"/><Relationship Id="rId7576" Type="http://schemas.openxmlformats.org/officeDocument/2006/relationships/hyperlink" Target="https://www.simpleshowing.com/" TargetMode="External"/><Relationship Id="rId8627" Type="http://schemas.openxmlformats.org/officeDocument/2006/relationships/hyperlink" Target="https://www.pinoyeplans.com/" TargetMode="External"/><Relationship Id="rId11955" Type="http://schemas.openxmlformats.org/officeDocument/2006/relationships/hyperlink" Target="https://www.hamiltoninternationalestates.com/" TargetMode="External"/><Relationship Id="rId6178" Type="http://schemas.openxmlformats.org/officeDocument/2006/relationships/hyperlink" Target="https://www.simpleshowing.com/" TargetMode="External"/><Relationship Id="rId7229" Type="http://schemas.openxmlformats.org/officeDocument/2006/relationships/hyperlink" Target="http://faq.kavout.com/stocks/nyse-tmhc/taylor-morrison-home-corporation?page=1" TargetMode="External"/><Relationship Id="rId10557" Type="http://schemas.openxmlformats.org/officeDocument/2006/relationships/hyperlink" Target="https://www.pinoyeplans.com/" TargetMode="External"/><Relationship Id="rId11608" Type="http://schemas.openxmlformats.org/officeDocument/2006/relationships/hyperlink" Target="https://sellhousefast.uk/" TargetMode="External"/><Relationship Id="rId13030" Type="http://schemas.openxmlformats.org/officeDocument/2006/relationships/hyperlink" Target="https://propertypressonline.co.uk/" TargetMode="External"/><Relationship Id="rId2788" Type="http://schemas.openxmlformats.org/officeDocument/2006/relationships/hyperlink" Target="https://www.pulte.com/" TargetMode="External"/><Relationship Id="rId3839" Type="http://schemas.openxmlformats.org/officeDocument/2006/relationships/hyperlink" Target="https://www.sustainablejungle.com/sustainable-sofas-couches/" TargetMode="External"/><Relationship Id="rId7710" Type="http://schemas.openxmlformats.org/officeDocument/2006/relationships/hyperlink" Target="https://capitalbnews.org/historic-black-towns-survival/" TargetMode="External"/><Relationship Id="rId16253" Type="http://schemas.openxmlformats.org/officeDocument/2006/relationships/hyperlink" Target="https://www.unitedcarpetsandbeds.com/" TargetMode="External"/><Relationship Id="rId5261" Type="http://schemas.openxmlformats.org/officeDocument/2006/relationships/hyperlink" Target="https://www.hashmicro.com/blog/bad-debts/" TargetMode="External"/><Relationship Id="rId6312" Type="http://schemas.openxmlformats.org/officeDocument/2006/relationships/hyperlink" Target="https://www.simpleshowing.com/" TargetMode="External"/><Relationship Id="rId9882" Type="http://schemas.openxmlformats.org/officeDocument/2006/relationships/hyperlink" Target="https://www.pinoyeplans.com/" TargetMode="External"/><Relationship Id="rId12863" Type="http://schemas.openxmlformats.org/officeDocument/2006/relationships/hyperlink" Target="https://www.shma.co.uk/" TargetMode="External"/><Relationship Id="rId96" Type="http://schemas.openxmlformats.org/officeDocument/2006/relationships/hyperlink" Target="http://calennox.co.uk/" TargetMode="External"/><Relationship Id="rId1871" Type="http://schemas.openxmlformats.org/officeDocument/2006/relationships/hyperlink" Target="https://1043wowcountry.com/ixp/95/p/alert-wildfire-season-is-open-this-week-in-idaho/" TargetMode="External"/><Relationship Id="rId2922" Type="http://schemas.openxmlformats.org/officeDocument/2006/relationships/hyperlink" Target="https://www.simpleshowing.com/" TargetMode="External"/><Relationship Id="rId8484" Type="http://schemas.openxmlformats.org/officeDocument/2006/relationships/hyperlink" Target="https://www.cylind.com/" TargetMode="External"/><Relationship Id="rId9535" Type="http://schemas.openxmlformats.org/officeDocument/2006/relationships/hyperlink" Target="https://www.teachengineering.org/" TargetMode="External"/><Relationship Id="rId11465" Type="http://schemas.openxmlformats.org/officeDocument/2006/relationships/hyperlink" Target="https://www.hamiltoninternationalestates.com/" TargetMode="External"/><Relationship Id="rId12516" Type="http://schemas.openxmlformats.org/officeDocument/2006/relationships/hyperlink" Target="https://thepaymentsassociation.org/article/token-io-brings-open-banking-to-property/" TargetMode="External"/><Relationship Id="rId13914" Type="http://schemas.openxmlformats.org/officeDocument/2006/relationships/hyperlink" Target="https://discovermass.com/church/holy-family-ashland-ky/" TargetMode="External"/><Relationship Id="rId1524" Type="http://schemas.openxmlformats.org/officeDocument/2006/relationships/hyperlink" Target="https://www.simpleshowing.com/" TargetMode="External"/><Relationship Id="rId7086" Type="http://schemas.openxmlformats.org/officeDocument/2006/relationships/hyperlink" Target="https://decoholic.org/10-ways-bring-elegance-bedroom/" TargetMode="External"/><Relationship Id="rId8137" Type="http://schemas.openxmlformats.org/officeDocument/2006/relationships/hyperlink" Target="https://n1a.goexposoftware.com/events/rtp24/goExpo/exhibitor/viewExhibitorProfile.php?__id=235" TargetMode="External"/><Relationship Id="rId10067" Type="http://schemas.openxmlformats.org/officeDocument/2006/relationships/hyperlink" Target="https://www.nextgenscience.org/resources/middle-school-teachengineering-protect-your-body-filter-your-water" TargetMode="External"/><Relationship Id="rId11118" Type="http://schemas.openxmlformats.org/officeDocument/2006/relationships/hyperlink" Target="https://www.experienceparry.com/" TargetMode="External"/><Relationship Id="rId3696" Type="http://schemas.openxmlformats.org/officeDocument/2006/relationships/hyperlink" Target="https://www.simpleshowing.com/" TargetMode="External"/><Relationship Id="rId4747" Type="http://schemas.openxmlformats.org/officeDocument/2006/relationships/hyperlink" Target="https://www.simpleshowing.com/" TargetMode="External"/><Relationship Id="rId14688" Type="http://schemas.openxmlformats.org/officeDocument/2006/relationships/hyperlink" Target="http://enduro.horazdovice.cz/forum.php?forum=5&amp;fpage=2&amp;msg=15376&amp;topic=266" TargetMode="External"/><Relationship Id="rId15739" Type="http://schemas.openxmlformats.org/officeDocument/2006/relationships/hyperlink" Target="https://myinteriorpalace.com/" TargetMode="External"/><Relationship Id="rId2298" Type="http://schemas.openxmlformats.org/officeDocument/2006/relationships/hyperlink" Target="https://www.simpleshowing.com/" TargetMode="External"/><Relationship Id="rId3349" Type="http://schemas.openxmlformats.org/officeDocument/2006/relationships/hyperlink" Target="https://www.pulte.com/" TargetMode="External"/><Relationship Id="rId7220" Type="http://schemas.openxmlformats.org/officeDocument/2006/relationships/hyperlink" Target="https://ycharts.com/companies/TMHC" TargetMode="External"/><Relationship Id="rId9392" Type="http://schemas.openxmlformats.org/officeDocument/2006/relationships/hyperlink" Target="https://www.edutopia.org/article/guiding-students-school-success/" TargetMode="External"/><Relationship Id="rId10201" Type="http://schemas.openxmlformats.org/officeDocument/2006/relationships/hyperlink" Target="https://www.teachengineering.org/" TargetMode="External"/><Relationship Id="rId13771" Type="http://schemas.openxmlformats.org/officeDocument/2006/relationships/hyperlink" Target="https://myinteriorpalace.com/" TargetMode="External"/><Relationship Id="rId14822" Type="http://schemas.openxmlformats.org/officeDocument/2006/relationships/hyperlink" Target="https://www.easygaragedoorrepair.com/" TargetMode="External"/><Relationship Id="rId3830" Type="http://schemas.openxmlformats.org/officeDocument/2006/relationships/hyperlink" Target="https://canadianhomeleisure.ca/how-many-years-can-i-expect-to-get-out-of-my-hot-tub/" TargetMode="External"/><Relationship Id="rId9045" Type="http://schemas.openxmlformats.org/officeDocument/2006/relationships/hyperlink" Target="https://www.pinoyeplans.com/" TargetMode="External"/><Relationship Id="rId12373" Type="http://schemas.openxmlformats.org/officeDocument/2006/relationships/hyperlink" Target="https://sturents.com/" TargetMode="External"/><Relationship Id="rId13424" Type="http://schemas.openxmlformats.org/officeDocument/2006/relationships/hyperlink" Target="https://anationofmoms.com/" TargetMode="External"/><Relationship Id="rId751" Type="http://schemas.openxmlformats.org/officeDocument/2006/relationships/hyperlink" Target="https://runjumpscrap.com/2021/08/10-fun-things-to-do-on-a-rainy-vacation-day/" TargetMode="External"/><Relationship Id="rId1381" Type="http://schemas.openxmlformats.org/officeDocument/2006/relationships/hyperlink" Target="https://ritewindow.com/blog/3-indicators-its-time-to-upgrade-your-shower-or-bath/" TargetMode="External"/><Relationship Id="rId2432" Type="http://schemas.openxmlformats.org/officeDocument/2006/relationships/hyperlink" Target="https://boardroompr.com/industries/residential-real-estate/" TargetMode="External"/><Relationship Id="rId12026" Type="http://schemas.openxmlformats.org/officeDocument/2006/relationships/hyperlink" Target="https://raynordoorauthority.com/how-much-does-it-cost-to-repair-a-garage-door/" TargetMode="External"/><Relationship Id="rId15596" Type="http://schemas.openxmlformats.org/officeDocument/2006/relationships/hyperlink" Target="https://www.luxdeco.com/" TargetMode="External"/><Relationship Id="rId404" Type="http://schemas.openxmlformats.org/officeDocument/2006/relationships/hyperlink" Target="http://northernvirginiahomepro.com/" TargetMode="External"/><Relationship Id="rId1034" Type="http://schemas.openxmlformats.org/officeDocument/2006/relationships/hyperlink" Target="https://agirlworthsaving.net/easy-ways-to-add-more-living-space-without-building-an-addition/" TargetMode="External"/><Relationship Id="rId5655" Type="http://schemas.openxmlformats.org/officeDocument/2006/relationships/hyperlink" Target="https://izooto.com/blog/publishers-build-online-communities" TargetMode="External"/><Relationship Id="rId6706" Type="http://schemas.openxmlformats.org/officeDocument/2006/relationships/hyperlink" Target="https://www.eplanters.com/blog/" TargetMode="External"/><Relationship Id="rId14198" Type="http://schemas.openxmlformats.org/officeDocument/2006/relationships/hyperlink" Target="https://luxurylifestyle.com/" TargetMode="External"/><Relationship Id="rId15249" Type="http://schemas.openxmlformats.org/officeDocument/2006/relationships/hyperlink" Target="https://khushmag.com/categories/features/features/11-home-decor-elements-to-instantly-spruce-up-your-new-home-/12325" TargetMode="External"/><Relationship Id="rId4257" Type="http://schemas.openxmlformats.org/officeDocument/2006/relationships/hyperlink" Target="https://www.thepennyhoarder.com/make-money/career/how-to-become-a-real-estate-agent/" TargetMode="External"/><Relationship Id="rId5308" Type="http://schemas.openxmlformats.org/officeDocument/2006/relationships/hyperlink" Target="https://www.simpleshowing.com/" TargetMode="External"/><Relationship Id="rId8878" Type="http://schemas.openxmlformats.org/officeDocument/2006/relationships/hyperlink" Target="https://www.trianglepest.com/" TargetMode="External"/><Relationship Id="rId9929" Type="http://schemas.openxmlformats.org/officeDocument/2006/relationships/hyperlink" Target="https://montessori-academy.com/blog/fun-science-activities-for-kids/" TargetMode="External"/><Relationship Id="rId11859" Type="http://schemas.openxmlformats.org/officeDocument/2006/relationships/hyperlink" Target="https://www.hamiltoninternationalestates.com/" TargetMode="External"/><Relationship Id="rId15730" Type="http://schemas.openxmlformats.org/officeDocument/2006/relationships/hyperlink" Target="https://myinteriorpalace.com/" TargetMode="External"/><Relationship Id="rId1918" Type="http://schemas.openxmlformats.org/officeDocument/2006/relationships/hyperlink" Target="https://markspain.com/" TargetMode="External"/><Relationship Id="rId13281" Type="http://schemas.openxmlformats.org/officeDocument/2006/relationships/hyperlink" Target="https://homebusinessmag.com/businesses/real-estate/2020-year-invest-manchester-property-market/" TargetMode="External"/><Relationship Id="rId14332" Type="http://schemas.openxmlformats.org/officeDocument/2006/relationships/hyperlink" Target="https://myinteriorpalace.com/" TargetMode="External"/><Relationship Id="rId261" Type="http://schemas.openxmlformats.org/officeDocument/2006/relationships/hyperlink" Target="http://northernvirginiahomepro.com/" TargetMode="External"/><Relationship Id="rId3340" Type="http://schemas.openxmlformats.org/officeDocument/2006/relationships/hyperlink" Target="https://www.pulte.com/" TargetMode="External"/><Relationship Id="rId7961" Type="http://schemas.openxmlformats.org/officeDocument/2006/relationships/hyperlink" Target="https://www.pinoyeplans.com/" TargetMode="External"/><Relationship Id="rId10942" Type="http://schemas.openxmlformats.org/officeDocument/2006/relationships/hyperlink" Target="https://www.teachengineering.org/" TargetMode="External"/><Relationship Id="rId6563" Type="http://schemas.openxmlformats.org/officeDocument/2006/relationships/hyperlink" Target="https://www.simpleshowing.com/" TargetMode="External"/><Relationship Id="rId7614" Type="http://schemas.openxmlformats.org/officeDocument/2006/relationships/hyperlink" Target="https://local.coloradocommunitymedia.com/broomfield-co/skyestone-303-325-2444" TargetMode="External"/><Relationship Id="rId16157" Type="http://schemas.openxmlformats.org/officeDocument/2006/relationships/hyperlink" Target="https://www.unitedcarpetsandbeds.com/" TargetMode="External"/><Relationship Id="rId5165" Type="http://schemas.openxmlformats.org/officeDocument/2006/relationships/hyperlink" Target="https://resume.co/blog/jobs-with-economics-degree" TargetMode="External"/><Relationship Id="rId6216" Type="http://schemas.openxmlformats.org/officeDocument/2006/relationships/hyperlink" Target="https://www.simpleshowing.com/" TargetMode="External"/><Relationship Id="rId9786" Type="http://schemas.openxmlformats.org/officeDocument/2006/relationships/hyperlink" Target="https://www.pinoyeplans.com/" TargetMode="External"/><Relationship Id="rId1775" Type="http://schemas.openxmlformats.org/officeDocument/2006/relationships/hyperlink" Target="https://1045theteam.com/ixp/498/p/new-york-summer-outages/" TargetMode="External"/><Relationship Id="rId2826" Type="http://schemas.openxmlformats.org/officeDocument/2006/relationships/hyperlink" Target="https://www.simpleshowing.com/" TargetMode="External"/><Relationship Id="rId8388" Type="http://schemas.openxmlformats.org/officeDocument/2006/relationships/hyperlink" Target="https://24hourfloodpros.com/" TargetMode="External"/><Relationship Id="rId9439" Type="http://schemas.openxmlformats.org/officeDocument/2006/relationships/hyperlink" Target="https://www.teachengineering.org/" TargetMode="External"/><Relationship Id="rId11369" Type="http://schemas.openxmlformats.org/officeDocument/2006/relationships/hyperlink" Target="https://www.hamiltoninternationalestates.com/" TargetMode="External"/><Relationship Id="rId12767" Type="http://schemas.openxmlformats.org/officeDocument/2006/relationships/hyperlink" Target="https://www.shma.co.uk/" TargetMode="External"/><Relationship Id="rId13818" Type="http://schemas.openxmlformats.org/officeDocument/2006/relationships/hyperlink" Target="https://myinteriorpalace.com/shower-door-trends-in-phoenix-what-homeowners-are-choosing-in-2025/" TargetMode="External"/><Relationship Id="rId15240" Type="http://schemas.openxmlformats.org/officeDocument/2006/relationships/hyperlink" Target="https://hookedhome.com/how-to-add-a-sophisticated-touch-to-your-space/" TargetMode="External"/><Relationship Id="rId1428" Type="http://schemas.openxmlformats.org/officeDocument/2006/relationships/hyperlink" Target="https://www.simpleshowing.com/" TargetMode="External"/><Relationship Id="rId4998" Type="http://schemas.openxmlformats.org/officeDocument/2006/relationships/hyperlink" Target="https://www.simpleshowing.com/" TargetMode="External"/><Relationship Id="rId9920" Type="http://schemas.openxmlformats.org/officeDocument/2006/relationships/hyperlink" Target="https://www.galepages.com/ewin61586" TargetMode="External"/><Relationship Id="rId11850" Type="http://schemas.openxmlformats.org/officeDocument/2006/relationships/hyperlink" Target="https://www.hamiltoninternationalestates.com/" TargetMode="External"/><Relationship Id="rId12901" Type="http://schemas.openxmlformats.org/officeDocument/2006/relationships/hyperlink" Target="https://propertypressonline.co.uk/" TargetMode="External"/><Relationship Id="rId6073" Type="http://schemas.openxmlformats.org/officeDocument/2006/relationships/hyperlink" Target="https://www.laprogressive.com/spotlight/credit-card-debt" TargetMode="External"/><Relationship Id="rId7124" Type="http://schemas.openxmlformats.org/officeDocument/2006/relationships/hyperlink" Target="https://www.simpleshowing.com/" TargetMode="External"/><Relationship Id="rId7471" Type="http://schemas.openxmlformats.org/officeDocument/2006/relationships/hyperlink" Target="https://www.simpleshowing.com/" TargetMode="External"/><Relationship Id="rId8522" Type="http://schemas.openxmlformats.org/officeDocument/2006/relationships/hyperlink" Target="https://www.pinoyeplans.com/" TargetMode="External"/><Relationship Id="rId10452" Type="http://schemas.openxmlformats.org/officeDocument/2006/relationships/hyperlink" Target="https://www.pinoyeplans.com/" TargetMode="External"/><Relationship Id="rId11503" Type="http://schemas.openxmlformats.org/officeDocument/2006/relationships/hyperlink" Target="https://westleedsdispatch.com/horsforth-dubbed-uks-top-commuter-town/" TargetMode="External"/><Relationship Id="rId10105" Type="http://schemas.openxmlformats.org/officeDocument/2006/relationships/hyperlink" Target="https://www.teachengineering.org/" TargetMode="External"/><Relationship Id="rId13675" Type="http://schemas.openxmlformats.org/officeDocument/2006/relationships/hyperlink" Target="https://myinteriorpalace.com/" TargetMode="External"/><Relationship Id="rId14726" Type="http://schemas.openxmlformats.org/officeDocument/2006/relationships/hyperlink" Target="https://www.easygaragedoorrepair.com/" TargetMode="External"/><Relationship Id="rId2683" Type="http://schemas.openxmlformats.org/officeDocument/2006/relationships/hyperlink" Target="https://www.pulte.com/" TargetMode="External"/><Relationship Id="rId3734" Type="http://schemas.openxmlformats.org/officeDocument/2006/relationships/hyperlink" Target="https://www.alpinedoors.com/overhead-doors-professional/" TargetMode="External"/><Relationship Id="rId9296" Type="http://schemas.openxmlformats.org/officeDocument/2006/relationships/hyperlink" Target="https://www.livescience.com/49106-simple-machines.html" TargetMode="External"/><Relationship Id="rId12277" Type="http://schemas.openxmlformats.org/officeDocument/2006/relationships/hyperlink" Target="https://www.ridgefieldconsulting.co.uk/" TargetMode="External"/><Relationship Id="rId13328" Type="http://schemas.openxmlformats.org/officeDocument/2006/relationships/hyperlink" Target="https://a1floorsnc.com/" TargetMode="External"/><Relationship Id="rId655" Type="http://schemas.openxmlformats.org/officeDocument/2006/relationships/hyperlink" Target="https://nyweekly.com/lifestyle/why-the-outer-banks-might-become-your-new-favorite-summer-spot-on-the-east-coast/" TargetMode="External"/><Relationship Id="rId1285" Type="http://schemas.openxmlformats.org/officeDocument/2006/relationships/hyperlink" Target="https://darscover.com/" TargetMode="External"/><Relationship Id="rId2336" Type="http://schemas.openxmlformats.org/officeDocument/2006/relationships/hyperlink" Target="https://www.ffxnow.com/" TargetMode="External"/><Relationship Id="rId6957" Type="http://schemas.openxmlformats.org/officeDocument/2006/relationships/hyperlink" Target="https://www.christophertodd.com/press-releases/christopher-todd-communities-built-by-taylor-morrison-invests-in-the-tampa-msa/" TargetMode="External"/><Relationship Id="rId308" Type="http://schemas.openxmlformats.org/officeDocument/2006/relationships/hyperlink" Target="http://omnihomeideas.com/" TargetMode="External"/><Relationship Id="rId5559" Type="http://schemas.openxmlformats.org/officeDocument/2006/relationships/hyperlink" Target="https://jonathonspire.com/websites-for-market-research2/" TargetMode="External"/><Relationship Id="rId9430" Type="http://schemas.openxmlformats.org/officeDocument/2006/relationships/hyperlink" Target="https://www.teachengineering.org/" TargetMode="External"/><Relationship Id="rId8032" Type="http://schemas.openxmlformats.org/officeDocument/2006/relationships/hyperlink" Target="https://www.pinoyeplans.com/" TargetMode="External"/><Relationship Id="rId11360" Type="http://schemas.openxmlformats.org/officeDocument/2006/relationships/hyperlink" Target="https://www.hamiltoninternationalestates.com/" TargetMode="External"/><Relationship Id="rId12411" Type="http://schemas.openxmlformats.org/officeDocument/2006/relationships/hyperlink" Target="https://propertypressonline.co.uk/" TargetMode="External"/><Relationship Id="rId15981" Type="http://schemas.openxmlformats.org/officeDocument/2006/relationships/hyperlink" Target="https://careerconnect.uog.edu/blog/2025/03/27/15-tips-for-environmental-studies-majors-who-are-mapping-their-careers/" TargetMode="External"/><Relationship Id="rId11013" Type="http://schemas.openxmlformats.org/officeDocument/2006/relationships/hyperlink" Target="https://www.pinoyeplans.com/" TargetMode="External"/><Relationship Id="rId14583" Type="http://schemas.openxmlformats.org/officeDocument/2006/relationships/hyperlink" Target="https://hookedhome.com/what-should-you-expect-from-professional-garage-door-repair-services-7-benefits/" TargetMode="External"/><Relationship Id="rId15634" Type="http://schemas.openxmlformats.org/officeDocument/2006/relationships/hyperlink" Target="https://myinteriorpalace.com/" TargetMode="External"/><Relationship Id="rId3591" Type="http://schemas.openxmlformats.org/officeDocument/2006/relationships/hyperlink" Target="https://www.simpleshowing.com/" TargetMode="External"/><Relationship Id="rId4642" Type="http://schemas.openxmlformats.org/officeDocument/2006/relationships/hyperlink" Target="https://www.simpleshowing.com/" TargetMode="External"/><Relationship Id="rId13185" Type="http://schemas.openxmlformats.org/officeDocument/2006/relationships/hyperlink" Target="https://www.londondaily.news/confusion-reigns-after-conflicting-court-decisions/" TargetMode="External"/><Relationship Id="rId14236" Type="http://schemas.openxmlformats.org/officeDocument/2006/relationships/hyperlink" Target="https://myinteriorpalace.com/" TargetMode="External"/><Relationship Id="rId2193" Type="http://schemas.openxmlformats.org/officeDocument/2006/relationships/hyperlink" Target="https://www.simpleshowing.com/" TargetMode="External"/><Relationship Id="rId3244" Type="http://schemas.openxmlformats.org/officeDocument/2006/relationships/hyperlink" Target="https://www.pulte.com/" TargetMode="External"/><Relationship Id="rId7865" Type="http://schemas.openxmlformats.org/officeDocument/2006/relationships/hyperlink" Target="https://www.pinoyeplans.com/" TargetMode="External"/><Relationship Id="rId8916" Type="http://schemas.openxmlformats.org/officeDocument/2006/relationships/hyperlink" Target="https://www.pinoyeplans.com/" TargetMode="External"/><Relationship Id="rId165" Type="http://schemas.openxmlformats.org/officeDocument/2006/relationships/hyperlink" Target="https://www.houstonagentmagazine.com/" TargetMode="External"/><Relationship Id="rId6467" Type="http://schemas.openxmlformats.org/officeDocument/2006/relationships/hyperlink" Target="https://gushorten47.angelfire.com/setting-the-tone-of-your-own-bathroom-using-the-correct-steamshower-parts.html" TargetMode="External"/><Relationship Id="rId7518" Type="http://schemas.openxmlformats.org/officeDocument/2006/relationships/hyperlink" Target="https://thefreebieguy.com/sweepstakes/taylor-morrison-wm-phoenix-open-prize-giveaway/" TargetMode="External"/><Relationship Id="rId10846" Type="http://schemas.openxmlformats.org/officeDocument/2006/relationships/hyperlink" Target="https://www.teachengineering.org/" TargetMode="External"/><Relationship Id="rId5069" Type="http://schemas.openxmlformats.org/officeDocument/2006/relationships/hyperlink" Target="https://safetyculture.com/topics/risk-management/key-risk-indicators" TargetMode="External"/><Relationship Id="rId1679" Type="http://schemas.openxmlformats.org/officeDocument/2006/relationships/hyperlink" Target="https://thedesigntourist.com/green-tech-that-does-more-for-your-home-than-you-think/" TargetMode="External"/><Relationship Id="rId14093" Type="http://schemas.openxmlformats.org/officeDocument/2006/relationships/hyperlink" Target="https://keystonecustomdecksny.com/" TargetMode="External"/><Relationship Id="rId15491" Type="http://schemas.openxmlformats.org/officeDocument/2006/relationships/hyperlink" Target="https://www.luxdeco.com/" TargetMode="External"/><Relationship Id="rId4152" Type="http://schemas.openxmlformats.org/officeDocument/2006/relationships/hyperlink" Target="https://www.simpleshowing.com/" TargetMode="External"/><Relationship Id="rId5203" Type="http://schemas.openxmlformats.org/officeDocument/2006/relationships/hyperlink" Target="https://www.sprintzeal.com/blog/financial-risk-and-types" TargetMode="External"/><Relationship Id="rId5550" Type="http://schemas.openxmlformats.org/officeDocument/2006/relationships/hyperlink" Target="https://www.simpleshowing.com/" TargetMode="External"/><Relationship Id="rId6601" Type="http://schemas.openxmlformats.org/officeDocument/2006/relationships/hyperlink" Target="https://galeriemagazine.com/new-year-new-goals-put-health-first-with-these-wellness-items/" TargetMode="External"/><Relationship Id="rId15144" Type="http://schemas.openxmlformats.org/officeDocument/2006/relationships/hyperlink" Target="https://www.praytellagency.com/blog/praytell-predictions-top-digital-marketing-trends-to-watch-in-2025" TargetMode="External"/><Relationship Id="rId8773" Type="http://schemas.openxmlformats.org/officeDocument/2006/relationships/hyperlink" Target="https://travlfi.com/blog/the-new-american-dream%20/95" TargetMode="External"/><Relationship Id="rId9824" Type="http://schemas.openxmlformats.org/officeDocument/2006/relationships/hyperlink" Target="https://cstem.charlotte.edu/resources/helpful-links/" TargetMode="External"/><Relationship Id="rId11754" Type="http://schemas.openxmlformats.org/officeDocument/2006/relationships/hyperlink" Target="https://www.hamiltoninternationalestates.com/" TargetMode="External"/><Relationship Id="rId12805" Type="http://schemas.openxmlformats.org/officeDocument/2006/relationships/hyperlink" Target="https://propertypressonline.co.uk/" TargetMode="External"/><Relationship Id="rId38" Type="http://schemas.openxmlformats.org/officeDocument/2006/relationships/hyperlink" Target="http://flyarchitecture.net/" TargetMode="External"/><Relationship Id="rId1813" Type="http://schemas.openxmlformats.org/officeDocument/2006/relationships/hyperlink" Target="https://wolfriverelectric.com/" TargetMode="External"/><Relationship Id="rId7375" Type="http://schemas.openxmlformats.org/officeDocument/2006/relationships/hyperlink" Target="https://www.hines.com/news/hines-celebrates-the-grand-opening-of-the-lakes-of-las-colinas" TargetMode="External"/><Relationship Id="rId8426" Type="http://schemas.openxmlformats.org/officeDocument/2006/relationships/hyperlink" Target="https://www.pinoyeplans.com/" TargetMode="External"/><Relationship Id="rId10356" Type="http://schemas.openxmlformats.org/officeDocument/2006/relationships/hyperlink" Target="https://www.pinoyeplans.com/" TargetMode="External"/><Relationship Id="rId11407" Type="http://schemas.openxmlformats.org/officeDocument/2006/relationships/hyperlink" Target="https://ourfamilylifestyle.com/tips-for-selling-your-home-faster/" TargetMode="External"/><Relationship Id="rId3985" Type="http://schemas.openxmlformats.org/officeDocument/2006/relationships/hyperlink" Target="https://www.smartsolarenergyco.com/" TargetMode="External"/><Relationship Id="rId7028" Type="http://schemas.openxmlformats.org/officeDocument/2006/relationships/hyperlink" Target="https://www.taylormorrison.com/" TargetMode="External"/><Relationship Id="rId10009" Type="http://schemas.openxmlformats.org/officeDocument/2006/relationships/hyperlink" Target="https://www.teachengineering.org/" TargetMode="External"/><Relationship Id="rId13579" Type="http://schemas.openxmlformats.org/officeDocument/2006/relationships/hyperlink" Target="https://myinteriorpalace.com/" TargetMode="External"/><Relationship Id="rId14977" Type="http://schemas.openxmlformats.org/officeDocument/2006/relationships/hyperlink" Target="https://myinteriorpalace.com/" TargetMode="External"/><Relationship Id="rId2587" Type="http://schemas.openxmlformats.org/officeDocument/2006/relationships/hyperlink" Target="https://www.pulte.com/" TargetMode="External"/><Relationship Id="rId3638" Type="http://schemas.openxmlformats.org/officeDocument/2006/relationships/hyperlink" Target="https://www.jeromevillage.com/news/2020/07/14/3-reasons-to-buy-a-home-right-now/" TargetMode="External"/><Relationship Id="rId16052" Type="http://schemas.openxmlformats.org/officeDocument/2006/relationships/hyperlink" Target="https://www.rwdoors.com/" TargetMode="External"/><Relationship Id="rId559" Type="http://schemas.openxmlformats.org/officeDocument/2006/relationships/hyperlink" Target="https://foodfuntravel.com/8-things-you-should-know-before-booking-an-obx-vacation-rental-online/" TargetMode="External"/><Relationship Id="rId1189" Type="http://schemas.openxmlformats.org/officeDocument/2006/relationships/hyperlink" Target="https://happy2movelondon.co.uk/r" TargetMode="External"/><Relationship Id="rId5060" Type="http://schemas.openxmlformats.org/officeDocument/2006/relationships/hyperlink" Target="https://www.simpleshowing.com/" TargetMode="External"/><Relationship Id="rId6111" Type="http://schemas.openxmlformats.org/officeDocument/2006/relationships/hyperlink" Target="https://eventflare.io/journal/how-to-budget-your-event-like-a-pro-a-step-by-step-guide" TargetMode="External"/><Relationship Id="rId9681" Type="http://schemas.openxmlformats.org/officeDocument/2006/relationships/hyperlink" Target="https://www.pinoyeplans.com/" TargetMode="External"/><Relationship Id="rId8283" Type="http://schemas.openxmlformats.org/officeDocument/2006/relationships/hyperlink" Target="https://www.zestlighting.com.au/" TargetMode="External"/><Relationship Id="rId9334" Type="http://schemas.openxmlformats.org/officeDocument/2006/relationships/hyperlink" Target="https://www.teachengineering.org/" TargetMode="External"/><Relationship Id="rId12662" Type="http://schemas.openxmlformats.org/officeDocument/2006/relationships/hyperlink" Target="https://www.shma.co.uk/" TargetMode="External"/><Relationship Id="rId13713" Type="http://schemas.openxmlformats.org/officeDocument/2006/relationships/hyperlink" Target="https://radiologykey.com/order-bulk-kratom-capsules-online-from-bkb-usa-reasons-how/" TargetMode="External"/><Relationship Id="rId1670" Type="http://schemas.openxmlformats.org/officeDocument/2006/relationships/hyperlink" Target="https://www.notsalmon.com/2025/06/11/what-modern-clients-expect-from-forward-thinking-companies/" TargetMode="External"/><Relationship Id="rId2721" Type="http://schemas.openxmlformats.org/officeDocument/2006/relationships/hyperlink" Target="https://www.simpleshowing.com/" TargetMode="External"/><Relationship Id="rId11264" Type="http://schemas.openxmlformats.org/officeDocument/2006/relationships/hyperlink" Target="https://www.waterdamagespecialist.com.au/" TargetMode="External"/><Relationship Id="rId12315" Type="http://schemas.openxmlformats.org/officeDocument/2006/relationships/hyperlink" Target="https://propertypressonline.co.uk/" TargetMode="External"/><Relationship Id="rId15885" Type="http://schemas.openxmlformats.org/officeDocument/2006/relationships/hyperlink" Target="https://northpennnow.com/news/2025/sep/15/top-reasons-to-get-your-garage-door-fixed-before-its-too-late/" TargetMode="External"/><Relationship Id="rId1323" Type="http://schemas.openxmlformats.org/officeDocument/2006/relationships/hyperlink" Target="https://www.simpleshowing.com/" TargetMode="External"/><Relationship Id="rId4893" Type="http://schemas.openxmlformats.org/officeDocument/2006/relationships/hyperlink" Target="https://www.feedough.com/real-estate-marketing/" TargetMode="External"/><Relationship Id="rId5944" Type="http://schemas.openxmlformats.org/officeDocument/2006/relationships/hyperlink" Target="https://www.simpleshowing.com/" TargetMode="External"/><Relationship Id="rId14487" Type="http://schemas.openxmlformats.org/officeDocument/2006/relationships/hyperlink" Target="https://network.procore.com/p/raynor-door-company-northfield" TargetMode="External"/><Relationship Id="rId15538" Type="http://schemas.openxmlformats.org/officeDocument/2006/relationships/hyperlink" Target="https://myinteriorpalace.com/" TargetMode="External"/><Relationship Id="rId3495" Type="http://schemas.openxmlformats.org/officeDocument/2006/relationships/hyperlink" Target="https://www.simpleshowing.com/" TargetMode="External"/><Relationship Id="rId4546" Type="http://schemas.openxmlformats.org/officeDocument/2006/relationships/hyperlink" Target="https://www.simpleshowing.com/" TargetMode="External"/><Relationship Id="rId13089" Type="http://schemas.openxmlformats.org/officeDocument/2006/relationships/hyperlink" Target="https://fbtgibbons.com/data-privacy-detective-podcast-episode-67-data-flows-after-brexit-for-now/" TargetMode="External"/><Relationship Id="rId2097" Type="http://schemas.openxmlformats.org/officeDocument/2006/relationships/hyperlink" Target="https://www.simpleshowing.com/" TargetMode="External"/><Relationship Id="rId3148" Type="http://schemas.openxmlformats.org/officeDocument/2006/relationships/hyperlink" Target="https://www.pulte.com/" TargetMode="External"/><Relationship Id="rId7769" Type="http://schemas.openxmlformats.org/officeDocument/2006/relationships/hyperlink" Target="https://www.mensjournal.com/travel/best-places-visit-2022" TargetMode="External"/><Relationship Id="rId10000" Type="http://schemas.openxmlformats.org/officeDocument/2006/relationships/hyperlink" Target="https://www.teachengineering.org/" TargetMode="External"/><Relationship Id="rId9191" Type="http://schemas.openxmlformats.org/officeDocument/2006/relationships/hyperlink" Target="https://englishilm.com/stepwise-guide-to-speed-up-the-manual-lumber-takeoff-process/" TargetMode="External"/><Relationship Id="rId12172" Type="http://schemas.openxmlformats.org/officeDocument/2006/relationships/hyperlink" Target="https://www.bobvila.com/" TargetMode="External"/><Relationship Id="rId13570" Type="http://schemas.openxmlformats.org/officeDocument/2006/relationships/hyperlink" Target="https://myinteriorpalace.com/" TargetMode="External"/><Relationship Id="rId14621" Type="http://schemas.openxmlformats.org/officeDocument/2006/relationships/hyperlink" Target="https://www.easygaragedoorrepair.com/" TargetMode="External"/><Relationship Id="rId550" Type="http://schemas.openxmlformats.org/officeDocument/2006/relationships/hyperlink" Target="https://ourculturemag.com/2023/07/04/calm-beaches-on-the-outer-banks-perfect-for-a-solo-trip/" TargetMode="External"/><Relationship Id="rId1180" Type="http://schemas.openxmlformats.org/officeDocument/2006/relationships/hyperlink" Target="https://happy2movelondon.co.uk/r" TargetMode="External"/><Relationship Id="rId2231" Type="http://schemas.openxmlformats.org/officeDocument/2006/relationships/hyperlink" Target="https://nexthome.ca/news/smart-plumbing-in-the-digital-age-transforming-home-systems/65792" TargetMode="External"/><Relationship Id="rId13223" Type="http://schemas.openxmlformats.org/officeDocument/2006/relationships/hyperlink" Target="https://www.pureinvestor.co.uk/" TargetMode="External"/><Relationship Id="rId203" Type="http://schemas.openxmlformats.org/officeDocument/2006/relationships/hyperlink" Target="http://hillcrestmgmt.com/" TargetMode="External"/><Relationship Id="rId6852" Type="http://schemas.openxmlformats.org/officeDocument/2006/relationships/hyperlink" Target="https://www.simpleshowing.com/" TargetMode="External"/><Relationship Id="rId7903" Type="http://schemas.openxmlformats.org/officeDocument/2006/relationships/hyperlink" Target="https://cacm.org/events/fall-educational-forums-2025/" TargetMode="External"/><Relationship Id="rId15395" Type="http://schemas.openxmlformats.org/officeDocument/2006/relationships/hyperlink" Target="https://www.luxdeco.com/" TargetMode="External"/><Relationship Id="rId4056" Type="http://schemas.openxmlformats.org/officeDocument/2006/relationships/hyperlink" Target="mailto:davidtullly@gmail.com" TargetMode="External"/><Relationship Id="rId5454" Type="http://schemas.openxmlformats.org/officeDocument/2006/relationships/hyperlink" Target="https://www.simpleshowing.com/" TargetMode="External"/><Relationship Id="rId6505" Type="http://schemas.openxmlformats.org/officeDocument/2006/relationships/hyperlink" Target="https://www.sheret.com/account/catalog/product/1356165" TargetMode="External"/><Relationship Id="rId15048" Type="http://schemas.openxmlformats.org/officeDocument/2006/relationships/hyperlink" Target="https://www.kovifabrics.com/blog/chinese-interior-design-your-way-to-a-whole-new-vibe/" TargetMode="External"/><Relationship Id="rId5107" Type="http://schemas.openxmlformats.org/officeDocument/2006/relationships/hyperlink" Target="https://www.corbado.com/blog/digital-identity-guide" TargetMode="External"/><Relationship Id="rId8677" Type="http://schemas.openxmlformats.org/officeDocument/2006/relationships/hyperlink" Target="https://www.construction.co.uk/c/538491/classic-finishes" TargetMode="External"/><Relationship Id="rId9728" Type="http://schemas.openxmlformats.org/officeDocument/2006/relationships/hyperlink" Target="https://www.echovermont.org/events-programs/echo-learning-toolbox/" TargetMode="External"/><Relationship Id="rId11658" Type="http://schemas.openxmlformats.org/officeDocument/2006/relationships/hyperlink" Target="https://www.hamiltoninternationalestates.com/" TargetMode="External"/><Relationship Id="rId1717" Type="http://schemas.openxmlformats.org/officeDocument/2006/relationships/hyperlink" Target="https://wolfriverelectric.com/" TargetMode="External"/><Relationship Id="rId7279" Type="http://schemas.openxmlformats.org/officeDocument/2006/relationships/hyperlink" Target="https://www.ktnv.com/sports/golden-knights/vegas-golden-knights-fans-can-soon-live-on-golden-knights-way" TargetMode="External"/><Relationship Id="rId12709" Type="http://schemas.openxmlformats.org/officeDocument/2006/relationships/hyperlink" Target="https://propertypressonline.co.uk/" TargetMode="External"/><Relationship Id="rId13080" Type="http://schemas.openxmlformats.org/officeDocument/2006/relationships/hyperlink" Target="https://clay.earth/profile/esther-nip" TargetMode="External"/><Relationship Id="rId14131" Type="http://schemas.openxmlformats.org/officeDocument/2006/relationships/hyperlink" Target="https://myinteriorpalace.com/" TargetMode="External"/><Relationship Id="rId3889" Type="http://schemas.openxmlformats.org/officeDocument/2006/relationships/hyperlink" Target="https://thecoverguy.com/" TargetMode="External"/><Relationship Id="rId6362" Type="http://schemas.openxmlformats.org/officeDocument/2006/relationships/hyperlink" Target="https://www.simpleshowing.com/" TargetMode="External"/><Relationship Id="rId7413" Type="http://schemas.openxmlformats.org/officeDocument/2006/relationships/hyperlink" Target="https://www.taylormorrison.com/" TargetMode="External"/><Relationship Id="rId7760" Type="http://schemas.openxmlformats.org/officeDocument/2006/relationships/hyperlink" Target="https://styleblueprint.com/everyday/great-lakes-fun-southern-lakes-for-a-fabulous-family-getaway/" TargetMode="External"/><Relationship Id="rId8811" Type="http://schemas.openxmlformats.org/officeDocument/2006/relationships/hyperlink" Target="https://www.pinoyeplans.com/" TargetMode="External"/><Relationship Id="rId10741" Type="http://schemas.openxmlformats.org/officeDocument/2006/relationships/hyperlink" Target="https://www.teachengineering.org/" TargetMode="External"/><Relationship Id="rId6015" Type="http://schemas.openxmlformats.org/officeDocument/2006/relationships/hyperlink" Target="https://www.harlemworldmagazine.com/taking-control-of-your-financial-future/" TargetMode="External"/><Relationship Id="rId13964" Type="http://schemas.openxmlformats.org/officeDocument/2006/relationships/hyperlink" Target="https://faheyroofingcontractors.com/" TargetMode="External"/><Relationship Id="rId2972" Type="http://schemas.openxmlformats.org/officeDocument/2006/relationships/hyperlink" Target="https://www.elyson.com/blog/posts-by-date/2019/april/pulte-introduces-new-plans-from-high-200-000s-in-elyson/" TargetMode="External"/><Relationship Id="rId8187" Type="http://schemas.openxmlformats.org/officeDocument/2006/relationships/hyperlink" Target="https://smaarchviz.com/" TargetMode="External"/><Relationship Id="rId9585" Type="http://schemas.openxmlformats.org/officeDocument/2006/relationships/hyperlink" Target="https://www.pinoyeplans.com/" TargetMode="External"/><Relationship Id="rId12566" Type="http://schemas.openxmlformats.org/officeDocument/2006/relationships/hyperlink" Target="https://www.shma.co.uk/" TargetMode="External"/><Relationship Id="rId13617" Type="http://schemas.openxmlformats.org/officeDocument/2006/relationships/hyperlink" Target="https://skinnedcartree.com/how-a-mobility-scooter-can-fit-into-your-active-lifestyle.html" TargetMode="External"/><Relationship Id="rId944" Type="http://schemas.openxmlformats.org/officeDocument/2006/relationships/hyperlink" Target="https://www.seasonsincolour.com/post/upgrading-your-home-key-maintenance-practices-for-long-term-success" TargetMode="External"/><Relationship Id="rId1574" Type="http://schemas.openxmlformats.org/officeDocument/2006/relationships/hyperlink" Target="https://www.thefranchiseking.com/thriving-franchise-business" TargetMode="External"/><Relationship Id="rId2625" Type="http://schemas.openxmlformats.org/officeDocument/2006/relationships/hyperlink" Target="https://www.simpleshowing.com/" TargetMode="External"/><Relationship Id="rId9238" Type="http://schemas.openxmlformats.org/officeDocument/2006/relationships/hyperlink" Target="https://capitolductcleaning.com/" TargetMode="External"/><Relationship Id="rId11168" Type="http://schemas.openxmlformats.org/officeDocument/2006/relationships/hyperlink" Target="https://www.wearebrighton.com/newsopinion/ensuring-longevity-of-sports-memorabilia-against-water-damage/" TargetMode="External"/><Relationship Id="rId12219" Type="http://schemas.openxmlformats.org/officeDocument/2006/relationships/hyperlink" Target="https://propertypressonline.co.uk/" TargetMode="External"/><Relationship Id="rId15789" Type="http://schemas.openxmlformats.org/officeDocument/2006/relationships/hyperlink" Target="https://thehowtohome.com/the-biggest-home-design-trends-in-australia-right-now/" TargetMode="External"/><Relationship Id="rId1227" Type="http://schemas.openxmlformats.org/officeDocument/2006/relationships/hyperlink" Target="https://www.simpleshowing.com/" TargetMode="External"/><Relationship Id="rId4797" Type="http://schemas.openxmlformats.org/officeDocument/2006/relationships/hyperlink" Target="https://www.kwqc.com/2024/05/27/high-school-seniors-can-now-get-real-estate-license-free-this-state/" TargetMode="External"/><Relationship Id="rId5848" Type="http://schemas.openxmlformats.org/officeDocument/2006/relationships/hyperlink" Target="https://www.simpleshowing.com/" TargetMode="External"/><Relationship Id="rId3399" Type="http://schemas.openxmlformats.org/officeDocument/2006/relationships/hyperlink" Target="https://www.simpleshowing.com/" TargetMode="External"/><Relationship Id="rId7270" Type="http://schemas.openxmlformats.org/officeDocument/2006/relationships/hyperlink" Target="https://collider.com/extreme-makeover-home-edition-abc/" TargetMode="External"/><Relationship Id="rId8321" Type="http://schemas.openxmlformats.org/officeDocument/2006/relationships/hyperlink" Target="https://www.pinoyeplans.com/" TargetMode="External"/><Relationship Id="rId10251" Type="http://schemas.openxmlformats.org/officeDocument/2006/relationships/hyperlink" Target="https://www.pinoyeplans.com/" TargetMode="External"/><Relationship Id="rId12700" Type="http://schemas.openxmlformats.org/officeDocument/2006/relationships/hyperlink" Target="https://propertypressonline.co.uk/" TargetMode="External"/><Relationship Id="rId11302" Type="http://schemas.openxmlformats.org/officeDocument/2006/relationships/hyperlink" Target="https://www.hamiltoninternationalestates.com/" TargetMode="External"/><Relationship Id="rId14872" Type="http://schemas.openxmlformats.org/officeDocument/2006/relationships/hyperlink" Target="https://myinteriorpalace.com/" TargetMode="External"/><Relationship Id="rId15923" Type="http://schemas.openxmlformats.org/officeDocument/2006/relationships/hyperlink" Target="https://www.raynorkc.com/" TargetMode="External"/><Relationship Id="rId3880" Type="http://schemas.openxmlformats.org/officeDocument/2006/relationships/hyperlink" Target="https://thecoverguy.com/" TargetMode="External"/><Relationship Id="rId4931" Type="http://schemas.openxmlformats.org/officeDocument/2006/relationships/hyperlink" Target="https://vistasocial.com/insights/20-engaging-real-estate-post-ideas-to-attract-clients/" TargetMode="External"/><Relationship Id="rId9095" Type="http://schemas.openxmlformats.org/officeDocument/2006/relationships/hyperlink" Target="https://appkod.com/real-estate/the-importance-of-contingency-planning-in-construction-estimation/" TargetMode="External"/><Relationship Id="rId13474" Type="http://schemas.openxmlformats.org/officeDocument/2006/relationships/hyperlink" Target="https://myinteriorpalace.com/" TargetMode="External"/><Relationship Id="rId14525" Type="http://schemas.openxmlformats.org/officeDocument/2006/relationships/hyperlink" Target="https://www.easygaragedoorrepair.com/" TargetMode="External"/><Relationship Id="rId1084" Type="http://schemas.openxmlformats.org/officeDocument/2006/relationships/hyperlink" Target="https://www.matrixbasements.com/" TargetMode="External"/><Relationship Id="rId2482" Type="http://schemas.openxmlformats.org/officeDocument/2006/relationships/hyperlink" Target="https://www.pulte.com/" TargetMode="External"/><Relationship Id="rId3533" Type="http://schemas.openxmlformats.org/officeDocument/2006/relationships/hyperlink" Target="https://seniorcarefinder.com/providers/81508/fl/stuart/highpointe" TargetMode="External"/><Relationship Id="rId12076" Type="http://schemas.openxmlformats.org/officeDocument/2006/relationships/hyperlink" Target="https://www.bobvila.com/" TargetMode="External"/><Relationship Id="rId13127" Type="http://schemas.openxmlformats.org/officeDocument/2006/relationships/hyperlink" Target="https://www.shma.co.uk/" TargetMode="External"/><Relationship Id="rId107" Type="http://schemas.openxmlformats.org/officeDocument/2006/relationships/hyperlink" Target="https://www.businessnewstips.com/" TargetMode="External"/><Relationship Id="rId454" Type="http://schemas.openxmlformats.org/officeDocument/2006/relationships/hyperlink" Target="https://www.outerbanks.org/blog/post/a-guide-to-remote-working-in-the-outer-banks/" TargetMode="External"/><Relationship Id="rId2135" Type="http://schemas.openxmlformats.org/officeDocument/2006/relationships/hyperlink" Target="https://blog.rteetech.com/ai-and-automation-in-the-real-estate-world-what-sellers-need-to-know/" TargetMode="External"/><Relationship Id="rId6756" Type="http://schemas.openxmlformats.org/officeDocument/2006/relationships/hyperlink" Target="https://www.simpleshowing.com/" TargetMode="External"/><Relationship Id="rId7807" Type="http://schemas.openxmlformats.org/officeDocument/2006/relationships/hyperlink" Target="https://escapecampervans.com/blog/fun-atlanta-road-trip-ideas/" TargetMode="External"/><Relationship Id="rId15299" Type="http://schemas.openxmlformats.org/officeDocument/2006/relationships/hyperlink" Target="https://www.luxdeco.com/" TargetMode="External"/><Relationship Id="rId5358" Type="http://schemas.openxmlformats.org/officeDocument/2006/relationships/hyperlink" Target="https://www.simpleshowing.com/" TargetMode="External"/><Relationship Id="rId6409" Type="http://schemas.openxmlformats.org/officeDocument/2006/relationships/hyperlink" Target="https://swvatoday.com/news/nation-world/business/personal-finance/article_15294e7c-9657-52df-bb53-39216d4f59c4.html" TargetMode="External"/><Relationship Id="rId9979" Type="http://schemas.openxmlformats.org/officeDocument/2006/relationships/hyperlink" Target="https://www.teachengineering.org/" TargetMode="External"/><Relationship Id="rId12210" Type="http://schemas.openxmlformats.org/officeDocument/2006/relationships/hyperlink" Target="https://www.hamiltoninternationalestates.com/" TargetMode="External"/><Relationship Id="rId1968" Type="http://schemas.openxmlformats.org/officeDocument/2006/relationships/hyperlink" Target="https://www.simpleshowing.com/" TargetMode="External"/><Relationship Id="rId14382" Type="http://schemas.openxmlformats.org/officeDocument/2006/relationships/hyperlink" Target="https://www.terristeffes.com/2024/08/5-tips-for-building-commercial-property.html" TargetMode="External"/><Relationship Id="rId15780" Type="http://schemas.openxmlformats.org/officeDocument/2006/relationships/hyperlink" Target="https://archipro.com.au/project/charlton-house-lou-projects" TargetMode="External"/><Relationship Id="rId3390" Type="http://schemas.openxmlformats.org/officeDocument/2006/relationships/hyperlink" Target="https://www.simpleshowing.com/" TargetMode="External"/><Relationship Id="rId4441" Type="http://schemas.openxmlformats.org/officeDocument/2006/relationships/hyperlink" Target="https://www.simpleshowing.com/" TargetMode="External"/><Relationship Id="rId14035" Type="http://schemas.openxmlformats.org/officeDocument/2006/relationships/hyperlink" Target="https://myinteriorpalace.com/" TargetMode="External"/><Relationship Id="rId15433" Type="http://schemas.openxmlformats.org/officeDocument/2006/relationships/hyperlink" Target="https://myinteriorpalace.com/" TargetMode="External"/><Relationship Id="rId3043" Type="http://schemas.openxmlformats.org/officeDocument/2006/relationships/hyperlink" Target="https://www.pulte.com/" TargetMode="External"/><Relationship Id="rId10992" Type="http://schemas.openxmlformats.org/officeDocument/2006/relationships/hyperlink" Target="https://www.pinoyeplans.com/" TargetMode="External"/><Relationship Id="rId6266" Type="http://schemas.openxmlformats.org/officeDocument/2006/relationships/hyperlink" Target="https://www.simpleshowing.com/" TargetMode="External"/><Relationship Id="rId7664" Type="http://schemas.openxmlformats.org/officeDocument/2006/relationships/hyperlink" Target="https://www.taylormorrison.com/" TargetMode="External"/><Relationship Id="rId8715" Type="http://schemas.openxmlformats.org/officeDocument/2006/relationships/hyperlink" Target="https://lubelska.co.uk/" TargetMode="External"/><Relationship Id="rId10645" Type="http://schemas.openxmlformats.org/officeDocument/2006/relationships/hyperlink" Target="https://www.teachengineering.org/" TargetMode="External"/><Relationship Id="rId7317" Type="http://schemas.openxmlformats.org/officeDocument/2006/relationships/hyperlink" Target="https://www.simpleshowing.com/" TargetMode="External"/><Relationship Id="rId13868" Type="http://schemas.openxmlformats.org/officeDocument/2006/relationships/hyperlink" Target="https://embeltonflooring.com/" TargetMode="External"/><Relationship Id="rId14919" Type="http://schemas.openxmlformats.org/officeDocument/2006/relationships/hyperlink" Target="https://www.top4.com.au/article/detail/understanding-the-warning-signs-of-a-failing-hot-water-system" TargetMode="External"/><Relationship Id="rId2876" Type="http://schemas.openxmlformats.org/officeDocument/2006/relationships/hyperlink" Target="https://members.unioncountycoc.com/list/ql/home-garden-12" TargetMode="External"/><Relationship Id="rId3927" Type="http://schemas.openxmlformats.org/officeDocument/2006/relationships/hyperlink" Target="https://www.simpleshowing.com/" TargetMode="External"/><Relationship Id="rId9489" Type="http://schemas.openxmlformats.org/officeDocument/2006/relationships/hyperlink" Target="https://www.pinoyeplans.com/" TargetMode="External"/><Relationship Id="rId15290" Type="http://schemas.openxmlformats.org/officeDocument/2006/relationships/hyperlink" Target="https://www.luxdeco.com/" TargetMode="External"/><Relationship Id="rId848" Type="http://schemas.openxmlformats.org/officeDocument/2006/relationships/hyperlink" Target="https://woombie.com/blog/post/a-practical-guide-to-maintaining-and-repairing-your-home" TargetMode="External"/><Relationship Id="rId1478" Type="http://schemas.openxmlformats.org/officeDocument/2006/relationships/hyperlink" Target="https://www.housedigest.com/924843/the-best-roof-color-if-you-have-a-white-house/" TargetMode="External"/><Relationship Id="rId2529" Type="http://schemas.openxmlformats.org/officeDocument/2006/relationships/hyperlink" Target="https://www.simpleshowing.com/" TargetMode="External"/><Relationship Id="rId6400" Type="http://schemas.openxmlformats.org/officeDocument/2006/relationships/hyperlink" Target="https://www.simpleshowing.com/" TargetMode="External"/><Relationship Id="rId9970" Type="http://schemas.openxmlformats.org/officeDocument/2006/relationships/hyperlink" Target="https://www.teachengineering.org/" TargetMode="External"/><Relationship Id="rId5002" Type="http://schemas.openxmlformats.org/officeDocument/2006/relationships/hyperlink" Target="https://www.simpleshowing.com/" TargetMode="External"/><Relationship Id="rId8572" Type="http://schemas.openxmlformats.org/officeDocument/2006/relationships/hyperlink" Target="https://supremarine.com/post/kambanes-house/" TargetMode="External"/><Relationship Id="rId9623" Type="http://schemas.openxmlformats.org/officeDocument/2006/relationships/hyperlink" Target="https://clearinghouse.starnetlibraries.org/engineering/163-windy-city-tower.html" TargetMode="External"/><Relationship Id="rId12951" Type="http://schemas.openxmlformats.org/officeDocument/2006/relationships/hyperlink" Target="https://manufacturingdigital.com/lean-manufacturing/how-supply-chain-security-driving-deal-market-activity-advanced-manufacturing-sector" TargetMode="External"/><Relationship Id="rId7174" Type="http://schemas.openxmlformats.org/officeDocument/2006/relationships/hyperlink" Target="https://www.simpleshowing.com/" TargetMode="External"/><Relationship Id="rId8225" Type="http://schemas.openxmlformats.org/officeDocument/2006/relationships/hyperlink" Target="https://www.pinoyeplans.com/" TargetMode="External"/><Relationship Id="rId11553" Type="http://schemas.openxmlformats.org/officeDocument/2006/relationships/hyperlink" Target="https://www.hamiltoninternationalestates.com/" TargetMode="External"/><Relationship Id="rId12604" Type="http://schemas.openxmlformats.org/officeDocument/2006/relationships/hyperlink" Target="https://propertypressonline.co.uk/" TargetMode="External"/><Relationship Id="rId1612" Type="http://schemas.openxmlformats.org/officeDocument/2006/relationships/hyperlink" Target="https://wolfriverelectric.com/" TargetMode="External"/><Relationship Id="rId10155" Type="http://schemas.openxmlformats.org/officeDocument/2006/relationships/hyperlink" Target="https://www.pinoyeplans.com/" TargetMode="External"/><Relationship Id="rId11206" Type="http://schemas.openxmlformats.org/officeDocument/2006/relationships/hyperlink" Target="https://thursd.com/articles/floral-enthusiasts-guide-to-preventing-home-water-damage" TargetMode="External"/><Relationship Id="rId14776" Type="http://schemas.openxmlformats.org/officeDocument/2006/relationships/hyperlink" Target="https://myinteriorpalace.com/" TargetMode="External"/><Relationship Id="rId15827" Type="http://schemas.openxmlformats.org/officeDocument/2006/relationships/hyperlink" Target="https://www.modinex.com.au/" TargetMode="External"/><Relationship Id="rId3784" Type="http://schemas.openxmlformats.org/officeDocument/2006/relationships/hyperlink" Target="https://thecoverguy.com/" TargetMode="External"/><Relationship Id="rId4835" Type="http://schemas.openxmlformats.org/officeDocument/2006/relationships/hyperlink" Target="https://www.kapre.com/" TargetMode="External"/><Relationship Id="rId13378" Type="http://schemas.openxmlformats.org/officeDocument/2006/relationships/hyperlink" Target="https://myinteriorpalace.com/" TargetMode="External"/><Relationship Id="rId14429" Type="http://schemas.openxmlformats.org/officeDocument/2006/relationships/hyperlink" Target="https://milehighhottub.com/" TargetMode="External"/><Relationship Id="rId2386" Type="http://schemas.openxmlformats.org/officeDocument/2006/relationships/hyperlink" Target="https://www.pulte.com/" TargetMode="External"/><Relationship Id="rId3437" Type="http://schemas.openxmlformats.org/officeDocument/2006/relationships/hyperlink" Target="https://blogs.sas.com/content/customeranalytics/2011/10/14/1092/" TargetMode="External"/><Relationship Id="rId358" Type="http://schemas.openxmlformats.org/officeDocument/2006/relationships/hyperlink" Target="http://northernvirginiahomepro.com/" TargetMode="External"/><Relationship Id="rId2039" Type="http://schemas.openxmlformats.org/officeDocument/2006/relationships/hyperlink" Target="https://dgmnews.com/posts/key-real-estate-trends-every-homeowner-should-watch/" TargetMode="External"/><Relationship Id="rId9480" Type="http://schemas.openxmlformats.org/officeDocument/2006/relationships/hyperlink" Target="https://www.pinoyeplans.com/" TargetMode="External"/><Relationship Id="rId12461" Type="http://schemas.openxmlformats.org/officeDocument/2006/relationships/hyperlink" Target="https://www.mydeposits.co.uk/content-hub/student-move-ins-what-has-or-hasnt-changed/" TargetMode="External"/><Relationship Id="rId14910" Type="http://schemas.openxmlformats.org/officeDocument/2006/relationships/hyperlink" Target="https://livingpristine.com/how-to-select-the-ideal-hot-water-system-for-your-residence/" TargetMode="External"/><Relationship Id="rId2520" Type="http://schemas.openxmlformats.org/officeDocument/2006/relationships/hyperlink" Target="https://www.simpleshowing.com/" TargetMode="External"/><Relationship Id="rId8082" Type="http://schemas.openxmlformats.org/officeDocument/2006/relationships/hyperlink" Target="https://whiteglovemoving.us/" TargetMode="External"/><Relationship Id="rId9133" Type="http://schemas.openxmlformats.org/officeDocument/2006/relationships/hyperlink" Target="https://nycestimating.us/" TargetMode="External"/><Relationship Id="rId11063" Type="http://schemas.openxmlformats.org/officeDocument/2006/relationships/hyperlink" Target="https://www.belolaw.com/faq-pages/types-of-professionals-license-defense-lawyers-represent/" TargetMode="External"/><Relationship Id="rId12114" Type="http://schemas.openxmlformats.org/officeDocument/2006/relationships/hyperlink" Target="https://www.hamiltoninternationalestates.com/" TargetMode="External"/><Relationship Id="rId13512" Type="http://schemas.openxmlformats.org/officeDocument/2006/relationships/hyperlink" Target="https://acultivatednest.com/dollar-store-diy-spring-wreaths/" TargetMode="External"/><Relationship Id="rId1122" Type="http://schemas.openxmlformats.org/officeDocument/2006/relationships/hyperlink" Target="https://www.simpleshowing.com/" TargetMode="External"/><Relationship Id="rId15684" Type="http://schemas.openxmlformats.org/officeDocument/2006/relationships/hyperlink" Target="https://www.theceo.in/blogs/sandeep-maheshwari-complete-biography-and-life-journey" TargetMode="External"/><Relationship Id="rId3294" Type="http://schemas.openxmlformats.org/officeDocument/2006/relationships/hyperlink" Target="https://www.simpleshowing.com/" TargetMode="External"/><Relationship Id="rId4345" Type="http://schemas.openxmlformats.org/officeDocument/2006/relationships/hyperlink" Target="https://www.simpleshowing.com/" TargetMode="External"/><Relationship Id="rId4692" Type="http://schemas.openxmlformats.org/officeDocument/2006/relationships/hyperlink" Target="https://www.wilx.com/2024/05/27/high-school-seniors-can-now-get-real-estate-license-free-this-state/" TargetMode="External"/><Relationship Id="rId5743" Type="http://schemas.openxmlformats.org/officeDocument/2006/relationships/hyperlink" Target="https://bestcompany.com/blog/loans/millennials-and-credit-card-debt" TargetMode="External"/><Relationship Id="rId14286" Type="http://schemas.openxmlformats.org/officeDocument/2006/relationships/hyperlink" Target="https://livingpristine.com/pristine-home-renovations-keeping-your-project-clean-and-organized/" TargetMode="External"/><Relationship Id="rId15337" Type="http://schemas.openxmlformats.org/officeDocument/2006/relationships/hyperlink" Target="https://myinteriorpalace.com/" TargetMode="External"/><Relationship Id="rId8966" Type="http://schemas.openxmlformats.org/officeDocument/2006/relationships/hyperlink" Target="https://themomentsmag.com/next-level-timber-evaluation-enhancing-contractor-decision-making/" TargetMode="External"/><Relationship Id="rId10896" Type="http://schemas.openxmlformats.org/officeDocument/2006/relationships/hyperlink" Target="https://www.pinoyeplans.com/" TargetMode="External"/><Relationship Id="rId11947" Type="http://schemas.openxmlformats.org/officeDocument/2006/relationships/hyperlink" Target="https://www.bobvila.com/" TargetMode="External"/><Relationship Id="rId7568" Type="http://schemas.openxmlformats.org/officeDocument/2006/relationships/hyperlink" Target="https://www.taylormorrison.com/" TargetMode="External"/><Relationship Id="rId8619" Type="http://schemas.openxmlformats.org/officeDocument/2006/relationships/hyperlink" Target="https://aucklandpremiumpainters.co.nz/" TargetMode="External"/><Relationship Id="rId10549" Type="http://schemas.openxmlformats.org/officeDocument/2006/relationships/hyperlink" Target="https://www.teachengineering.org/" TargetMode="External"/><Relationship Id="rId14420" Type="http://schemas.openxmlformats.org/officeDocument/2006/relationships/hyperlink" Target="https://milehighhottub.com/" TargetMode="External"/><Relationship Id="rId13022" Type="http://schemas.openxmlformats.org/officeDocument/2006/relationships/hyperlink" Target="https://www.shma.co.uk/" TargetMode="External"/><Relationship Id="rId2030" Type="http://schemas.openxmlformats.org/officeDocument/2006/relationships/hyperlink" Target="https://futurestartup.com/2025/03/20/the-intersection-of-real-estate-and-entrepreneurship/" TargetMode="External"/><Relationship Id="rId6651" Type="http://schemas.openxmlformats.org/officeDocument/2006/relationships/hyperlink" Target="https://www.miamirealestate.com/how-to-get-the-spa-experience-in-your-luxury-home/" TargetMode="External"/><Relationship Id="rId7702" Type="http://schemas.openxmlformats.org/officeDocument/2006/relationships/hyperlink" Target="https://www.simpleshowing.com/" TargetMode="External"/><Relationship Id="rId15194" Type="http://schemas.openxmlformats.org/officeDocument/2006/relationships/hyperlink" Target="https://www.luxdeco.com/" TargetMode="External"/><Relationship Id="rId16245" Type="http://schemas.openxmlformats.org/officeDocument/2006/relationships/hyperlink" Target="https://guiseleyafc.co.uk/focus-turns-to-altrincham-visit/" TargetMode="External"/><Relationship Id="rId5253" Type="http://schemas.openxmlformats.org/officeDocument/2006/relationships/hyperlink" Target="https://www.blackenterprise.com/wage-garnishment-for-student-loan-debt/" TargetMode="External"/><Relationship Id="rId6304" Type="http://schemas.openxmlformats.org/officeDocument/2006/relationships/hyperlink" Target="https://www.simpleshowing.com/" TargetMode="External"/><Relationship Id="rId8476" Type="http://schemas.openxmlformats.org/officeDocument/2006/relationships/hyperlink" Target="https://ordnur.com/others/california-architecture-meets-innovation/" TargetMode="External"/><Relationship Id="rId9874" Type="http://schemas.openxmlformats.org/officeDocument/2006/relationships/hyperlink" Target="https://www.teachengineering.org/" TargetMode="External"/><Relationship Id="rId12855" Type="http://schemas.openxmlformats.org/officeDocument/2006/relationships/hyperlink" Target="https://bsky.app/profile/profstevenjones.bsky.social" TargetMode="External"/><Relationship Id="rId13906" Type="http://schemas.openxmlformats.org/officeDocument/2006/relationships/hyperlink" Target="https://myinteriorpalace.com/" TargetMode="External"/><Relationship Id="rId88" Type="http://schemas.openxmlformats.org/officeDocument/2006/relationships/hyperlink" Target="http://howgem.com/" TargetMode="External"/><Relationship Id="rId1863" Type="http://schemas.openxmlformats.org/officeDocument/2006/relationships/hyperlink" Target="https://www.simpleshowing.com/" TargetMode="External"/><Relationship Id="rId2914" Type="http://schemas.openxmlformats.org/officeDocument/2006/relationships/hyperlink" Target="https://www.pulte.com/" TargetMode="External"/><Relationship Id="rId7078" Type="http://schemas.openxmlformats.org/officeDocument/2006/relationships/hyperlink" Target="https://www.simpleshowing.com/" TargetMode="External"/><Relationship Id="rId8129" Type="http://schemas.openxmlformats.org/officeDocument/2006/relationships/hyperlink" Target="https://www.pinoyeplans.com/" TargetMode="External"/><Relationship Id="rId9527" Type="http://schemas.openxmlformats.org/officeDocument/2006/relationships/hyperlink" Target="https://frugalfun4boys.com/simple-machines-kids-lego-pulleys-stem-building-challenge/" TargetMode="External"/><Relationship Id="rId11457" Type="http://schemas.openxmlformats.org/officeDocument/2006/relationships/hyperlink" Target="https://sellhousefast.uk/" TargetMode="External"/><Relationship Id="rId12508" Type="http://schemas.openxmlformats.org/officeDocument/2006/relationships/hyperlink" Target="https://propertypressonline.co.uk/" TargetMode="External"/><Relationship Id="rId1516" Type="http://schemas.openxmlformats.org/officeDocument/2006/relationships/hyperlink" Target="https://wolfriverelectric.com/" TargetMode="External"/><Relationship Id="rId10059" Type="http://schemas.openxmlformats.org/officeDocument/2006/relationships/hyperlink" Target="https://www.pinoyeplans.com/" TargetMode="External"/><Relationship Id="rId3688" Type="http://schemas.openxmlformats.org/officeDocument/2006/relationships/hyperlink" Target="https://www.overheaddoors.com/" TargetMode="External"/><Relationship Id="rId4739" Type="http://schemas.openxmlformats.org/officeDocument/2006/relationships/hyperlink" Target="https://www.kapre.com/" TargetMode="External"/><Relationship Id="rId8610" Type="http://schemas.openxmlformats.org/officeDocument/2006/relationships/hyperlink" Target="https://www.buyersadvocate.com.au/" TargetMode="External"/><Relationship Id="rId10540" Type="http://schemas.openxmlformats.org/officeDocument/2006/relationships/hyperlink" Target="https://www.teachengineering.org/" TargetMode="External"/><Relationship Id="rId6161" Type="http://schemas.openxmlformats.org/officeDocument/2006/relationships/hyperlink" Target="https://deliveredsocial.com/7-things-to-ask-your-digital-marketing-junior-job-applicants/" TargetMode="External"/><Relationship Id="rId7212" Type="http://schemas.openxmlformats.org/officeDocument/2006/relationships/hyperlink" Target="https://www.simpleshowing.com/" TargetMode="External"/><Relationship Id="rId9384" Type="http://schemas.openxmlformats.org/officeDocument/2006/relationships/hyperlink" Target="https://www.pinoyeplans.com/" TargetMode="External"/><Relationship Id="rId13763" Type="http://schemas.openxmlformats.org/officeDocument/2006/relationships/hyperlink" Target="https://anationofmoms.com/" TargetMode="External"/><Relationship Id="rId14814" Type="http://schemas.openxmlformats.org/officeDocument/2006/relationships/hyperlink" Target="https://www.erienewsnow.com/story/49188806/best-garage-door-repair-in-houston-find-quality-affordable-service" TargetMode="External"/><Relationship Id="rId1373" Type="http://schemas.openxmlformats.org/officeDocument/2006/relationships/hyperlink" Target="https://whoswho.mt/en/we-re-trying-to-bring-joy-back-into-finding-a-home-how-darscover-is-transforming-malta-s-property-market" TargetMode="External"/><Relationship Id="rId2771" Type="http://schemas.openxmlformats.org/officeDocument/2006/relationships/hyperlink" Target="https://rosieonthehouse.com/blog/the-front-porch-is-key-to-neighborly-connections/" TargetMode="External"/><Relationship Id="rId3822" Type="http://schemas.openxmlformats.org/officeDocument/2006/relationships/hyperlink" Target="https://www.simpleshowing.com/" TargetMode="External"/><Relationship Id="rId9037" Type="http://schemas.openxmlformats.org/officeDocument/2006/relationships/hyperlink" Target="https://nycestimating.us/" TargetMode="External"/><Relationship Id="rId12365" Type="http://schemas.openxmlformats.org/officeDocument/2006/relationships/hyperlink" Target="https://warwick.ac.uk/students/life-at-warwick/living-off-campus/offcampuslivingadvice/choosing-off-campus-housing/" TargetMode="External"/><Relationship Id="rId13416" Type="http://schemas.openxmlformats.org/officeDocument/2006/relationships/hyperlink" Target="https://savingtalents.com/fun-and-free-crafts-and-earth-day-activities-for-kids-to-diy-this-spring/" TargetMode="External"/><Relationship Id="rId743" Type="http://schemas.openxmlformats.org/officeDocument/2006/relationships/hyperlink" Target="https://www.simpleshowing.com/" TargetMode="External"/><Relationship Id="rId1026" Type="http://schemas.openxmlformats.org/officeDocument/2006/relationships/hyperlink" Target="https://www.simpleshowing.com/" TargetMode="External"/><Relationship Id="rId2424" Type="http://schemas.openxmlformats.org/officeDocument/2006/relationships/hyperlink" Target="https://www.simpleshowing.com/" TargetMode="External"/><Relationship Id="rId5994" Type="http://schemas.openxmlformats.org/officeDocument/2006/relationships/hyperlink" Target="https://www.simpleshowing.com/" TargetMode="External"/><Relationship Id="rId12018" Type="http://schemas.openxmlformats.org/officeDocument/2006/relationships/hyperlink" Target="https://www.hamiltoninternationalestates.com/" TargetMode="External"/><Relationship Id="rId15588" Type="http://schemas.openxmlformats.org/officeDocument/2006/relationships/hyperlink" Target="https://www.thetimes.com/travel/destinations/north-america-travel/us-travel/new-york-city/save-spend-splurge-perfect-pairs-9cwqsfb7d" TargetMode="External"/><Relationship Id="rId4596" Type="http://schemas.openxmlformats.org/officeDocument/2006/relationships/hyperlink" Target="https://www.wowt.com/2024/05/27/high-school-seniors-can-now-get-real-estate-license-free-this-state/" TargetMode="External"/><Relationship Id="rId5647" Type="http://schemas.openxmlformats.org/officeDocument/2006/relationships/hyperlink" Target="https://www.rollo.com/blog/multi-carrier-shipping-software-tips/" TargetMode="External"/><Relationship Id="rId3198" Type="http://schemas.openxmlformats.org/officeDocument/2006/relationships/hyperlink" Target="https://www.simpleshowing.com/" TargetMode="External"/><Relationship Id="rId4249" Type="http://schemas.openxmlformats.org/officeDocument/2006/relationships/hyperlink" Target="https://www.simpleshowing.com/" TargetMode="External"/><Relationship Id="rId8120" Type="http://schemas.openxmlformats.org/officeDocument/2006/relationships/hyperlink" Target="https://www.pinoyeplans.com/" TargetMode="External"/><Relationship Id="rId10050" Type="http://schemas.openxmlformats.org/officeDocument/2006/relationships/hyperlink" Target="https://www.pinoyeplans.com/" TargetMode="External"/><Relationship Id="rId11101" Type="http://schemas.openxmlformats.org/officeDocument/2006/relationships/hyperlink" Target="https://www.teachengineering.org/" TargetMode="External"/><Relationship Id="rId14671" Type="http://schemas.openxmlformats.org/officeDocument/2006/relationships/hyperlink" Target="https://myinteriorpalace.com/" TargetMode="External"/><Relationship Id="rId4730" Type="http://schemas.openxmlformats.org/officeDocument/2006/relationships/hyperlink" Target="https://www.kapre.com/" TargetMode="External"/><Relationship Id="rId13273" Type="http://schemas.openxmlformats.org/officeDocument/2006/relationships/hyperlink" Target="https://propertypressonline.co.uk/" TargetMode="External"/><Relationship Id="rId14324" Type="http://schemas.openxmlformats.org/officeDocument/2006/relationships/hyperlink" Target="https://luxurylifestyle.com/" TargetMode="External"/><Relationship Id="rId15722" Type="http://schemas.openxmlformats.org/officeDocument/2006/relationships/hyperlink" Target="https://www.modinex.com.au/" TargetMode="External"/><Relationship Id="rId2281" Type="http://schemas.openxmlformats.org/officeDocument/2006/relationships/hyperlink" Target="https://www.collectionforsyth.com/" TargetMode="External"/><Relationship Id="rId3332" Type="http://schemas.openxmlformats.org/officeDocument/2006/relationships/hyperlink" Target="https://www.sbsun.com/2021/09/12/best-of-inland-empire-2021-best-new-home-builder/?amp" TargetMode="External"/><Relationship Id="rId253" Type="http://schemas.openxmlformats.org/officeDocument/2006/relationships/hyperlink" Target="https://thinksaveretire.com/ultimate-real-estate-investing-guide/" TargetMode="External"/><Relationship Id="rId6555" Type="http://schemas.openxmlformats.org/officeDocument/2006/relationships/hyperlink" Target="https://www.simpleshowing.com/" TargetMode="External"/><Relationship Id="rId7953" Type="http://schemas.openxmlformats.org/officeDocument/2006/relationships/hyperlink" Target="https://distinctiveroofing.net/" TargetMode="External"/><Relationship Id="rId10934" Type="http://schemas.openxmlformats.org/officeDocument/2006/relationships/hyperlink" Target="https://makezine.com/article/education/masstec-conference/" TargetMode="External"/><Relationship Id="rId15098" Type="http://schemas.openxmlformats.org/officeDocument/2006/relationships/hyperlink" Target="https://www.luxdeco.com/" TargetMode="External"/><Relationship Id="rId5157" Type="http://schemas.openxmlformats.org/officeDocument/2006/relationships/hyperlink" Target="https://flxpoint.com/blog/weighing-dropshipping-pros-cons-ecommerce" TargetMode="External"/><Relationship Id="rId6208" Type="http://schemas.openxmlformats.org/officeDocument/2006/relationships/hyperlink" Target="https://www.simpleshowing.com/" TargetMode="External"/><Relationship Id="rId7606" Type="http://schemas.openxmlformats.org/officeDocument/2006/relationships/hyperlink" Target="https://www.simpleshowing.com/" TargetMode="External"/><Relationship Id="rId16149" Type="http://schemas.openxmlformats.org/officeDocument/2006/relationships/hyperlink" Target="https://www.padmagazine.co.uk/home-decor/how-to-choose-between-laminate-and-vinyl-flooring-while-building-a-cosy-uk-home/32282/" TargetMode="External"/><Relationship Id="rId9778" Type="http://schemas.openxmlformats.org/officeDocument/2006/relationships/hyperlink" Target="https://www.teachengineering.org/" TargetMode="External"/><Relationship Id="rId12759" Type="http://schemas.openxmlformats.org/officeDocument/2006/relationships/hyperlink" Target="https://thetab.com/2025/07/04/cardiff-university-students-threatened-with-jail-if-protests-on-campus-continue" TargetMode="External"/><Relationship Id="rId1767" Type="http://schemas.openxmlformats.org/officeDocument/2006/relationships/hyperlink" Target="https://www.simpleshowing.com/" TargetMode="External"/><Relationship Id="rId2818" Type="http://schemas.openxmlformats.org/officeDocument/2006/relationships/hyperlink" Target="https://www.pulte.com/" TargetMode="External"/><Relationship Id="rId14181" Type="http://schemas.openxmlformats.org/officeDocument/2006/relationships/hyperlink" Target="https://www.pinterest.com/luxlifeinc/" TargetMode="External"/><Relationship Id="rId15232" Type="http://schemas.openxmlformats.org/officeDocument/2006/relationships/hyperlink" Target="https://myinteriorpalace.com/" TargetMode="External"/><Relationship Id="rId4240" Type="http://schemas.openxmlformats.org/officeDocument/2006/relationships/hyperlink" Target="https://www.simpleshowing.com/" TargetMode="External"/><Relationship Id="rId8861" Type="http://schemas.openxmlformats.org/officeDocument/2006/relationships/hyperlink" Target="https://kimmie-smith-nn7n.squarespace.com/the-latest/tag/food" TargetMode="External"/><Relationship Id="rId9912" Type="http://schemas.openxmlformats.org/officeDocument/2006/relationships/hyperlink" Target="https://www.pinoyeplans.com/" TargetMode="External"/><Relationship Id="rId7463" Type="http://schemas.openxmlformats.org/officeDocument/2006/relationships/hyperlink" Target="https://www.taylormorrison.com/" TargetMode="External"/><Relationship Id="rId8514" Type="http://schemas.openxmlformats.org/officeDocument/2006/relationships/hyperlink" Target="https://www.cylind.com/" TargetMode="External"/><Relationship Id="rId10791" Type="http://schemas.openxmlformats.org/officeDocument/2006/relationships/hyperlink" Target="https://www.pinoyeplans.com/" TargetMode="External"/><Relationship Id="rId11842" Type="http://schemas.openxmlformats.org/officeDocument/2006/relationships/hyperlink" Target="https://sellhousefast.uk/" TargetMode="External"/><Relationship Id="rId1901" Type="http://schemas.openxmlformats.org/officeDocument/2006/relationships/hyperlink" Target="https://showcaseidx.com/the-definitive-guide-to-real-estate-website-design-what-real-estate-agents-need-to-know-to-increase-gci/" TargetMode="External"/><Relationship Id="rId6065" Type="http://schemas.openxmlformats.org/officeDocument/2006/relationships/hyperlink" Target="https://s3da-design.com/what-to-look-for-when-choosing-a-lender-for-bank-statement-loans/" TargetMode="External"/><Relationship Id="rId7116" Type="http://schemas.openxmlformats.org/officeDocument/2006/relationships/hyperlink" Target="https://www.taylormorrison.com/" TargetMode="External"/><Relationship Id="rId10444" Type="http://schemas.openxmlformats.org/officeDocument/2006/relationships/hyperlink" Target="https://www.teachengineering.org/" TargetMode="External"/><Relationship Id="rId9288" Type="http://schemas.openxmlformats.org/officeDocument/2006/relationships/hyperlink" Target="https://www.pinoyeplans.com/" TargetMode="External"/><Relationship Id="rId13667" Type="http://schemas.openxmlformats.org/officeDocument/2006/relationships/hyperlink" Target="https://anationofmoms.com/" TargetMode="External"/><Relationship Id="rId14718" Type="http://schemas.openxmlformats.org/officeDocument/2006/relationships/hyperlink" Target="https://offcourse.co/users/activity/721062/" TargetMode="External"/><Relationship Id="rId994" Type="http://schemas.openxmlformats.org/officeDocument/2006/relationships/hyperlink" Target="https://www.matrixbasements.com/" TargetMode="External"/><Relationship Id="rId2675" Type="http://schemas.openxmlformats.org/officeDocument/2006/relationships/hyperlink" Target="https://pultegroup2024corp.q4web.com/investor-relations/news/news-details/2024/PulteGroup-Reports-Fourth-Quarter-2023-Financial-Results/default.aspx" TargetMode="External"/><Relationship Id="rId3726" Type="http://schemas.openxmlformats.org/officeDocument/2006/relationships/hyperlink" Target="https://www.simpleshowing.com/" TargetMode="External"/><Relationship Id="rId12269" Type="http://schemas.openxmlformats.org/officeDocument/2006/relationships/hyperlink" Target="https://fleximize.com/articles/018723/tax-deadlines-limited-company" TargetMode="External"/><Relationship Id="rId16140" Type="http://schemas.openxmlformats.org/officeDocument/2006/relationships/hyperlink" Target="https://www.insightdiy.co.uk/news/united-carpets-and-beds-opens-flagship-store-in-former-bq-unit-in-altrincham/6603.htm" TargetMode="External"/><Relationship Id="rId647" Type="http://schemas.openxmlformats.org/officeDocument/2006/relationships/hyperlink" Target="https://www.simpleshowing.com/" TargetMode="External"/><Relationship Id="rId1277" Type="http://schemas.openxmlformats.org/officeDocument/2006/relationships/hyperlink" Target="https://www.gobankingrates.com/investing/real-estate/us-cities-where-middle-class-families-are-quietly-thriving/" TargetMode="External"/><Relationship Id="rId2328" Type="http://schemas.openxmlformats.org/officeDocument/2006/relationships/hyperlink" Target="https://www.simpleshowing.com/" TargetMode="External"/><Relationship Id="rId5898" Type="http://schemas.openxmlformats.org/officeDocument/2006/relationships/hyperlink" Target="https://www.simpleshowing.com/" TargetMode="External"/><Relationship Id="rId6949" Type="http://schemas.openxmlformats.org/officeDocument/2006/relationships/hyperlink" Target="https://www.simpleshowing.com/" TargetMode="External"/><Relationship Id="rId12750" Type="http://schemas.openxmlformats.org/officeDocument/2006/relationships/hyperlink" Target="https://www.peoplemanagement.co.uk/article/1745558/limiting-email-access-boosts-wellbeing" TargetMode="External"/><Relationship Id="rId8371" Type="http://schemas.openxmlformats.org/officeDocument/2006/relationships/hyperlink" Target="https://kdarchitects.us/complete-storm-damage-cleanup-after-wind-rain-or-hail/" TargetMode="External"/><Relationship Id="rId9422" Type="http://schemas.openxmlformats.org/officeDocument/2006/relationships/hyperlink" Target="https://www.lovetoknow.com/parenting/kids/how-make-potato-battery" TargetMode="External"/><Relationship Id="rId11352" Type="http://schemas.openxmlformats.org/officeDocument/2006/relationships/hyperlink" Target="http://webuyhouses.com/" TargetMode="External"/><Relationship Id="rId12403" Type="http://schemas.openxmlformats.org/officeDocument/2006/relationships/hyperlink" Target="https://sturents.com/" TargetMode="External"/><Relationship Id="rId13801" Type="http://schemas.openxmlformats.org/officeDocument/2006/relationships/hyperlink" Target="https://myinteriorpalace.com/" TargetMode="External"/><Relationship Id="rId1411" Type="http://schemas.openxmlformats.org/officeDocument/2006/relationships/hyperlink" Target="https://ritewindow.com/blog/3-indicators-its-time-to-upgrade-your-shower-or-bath/" TargetMode="External"/><Relationship Id="rId8024" Type="http://schemas.openxmlformats.org/officeDocument/2006/relationships/hyperlink" Target="https://indyroofandrestoration.com/" TargetMode="External"/><Relationship Id="rId11005" Type="http://schemas.openxmlformats.org/officeDocument/2006/relationships/hyperlink" Target="https://www.teachengineering.org/" TargetMode="External"/><Relationship Id="rId15973" Type="http://schemas.openxmlformats.org/officeDocument/2006/relationships/hyperlink" Target="https://myinteriorpalace.com/" TargetMode="External"/><Relationship Id="rId3583" Type="http://schemas.openxmlformats.org/officeDocument/2006/relationships/hyperlink" Target="https://www.pulte.com/" TargetMode="External"/><Relationship Id="rId4981" Type="http://schemas.openxmlformats.org/officeDocument/2006/relationships/hyperlink" Target="https://toolbox.silvercreekrealty.net/14-30-step-marketing-plan-step-14/" TargetMode="External"/><Relationship Id="rId13177" Type="http://schemas.openxmlformats.org/officeDocument/2006/relationships/hyperlink" Target="https://propertypressonline.co.uk/" TargetMode="External"/><Relationship Id="rId14575" Type="http://schemas.openxmlformats.org/officeDocument/2006/relationships/hyperlink" Target="https://myinteriorpalace.com/" TargetMode="External"/><Relationship Id="rId15626" Type="http://schemas.openxmlformats.org/officeDocument/2006/relationships/hyperlink" Target="https://www.luxdeco.com/" TargetMode="External"/><Relationship Id="rId2185" Type="http://schemas.openxmlformats.org/officeDocument/2006/relationships/hyperlink" Target="https://markspain.com/" TargetMode="External"/><Relationship Id="rId3236" Type="http://schemas.openxmlformats.org/officeDocument/2006/relationships/hyperlink" Target="https://www.cepro.com/news/leviton_partners_pulte_homes_smart_lighting_controls/5924/" TargetMode="External"/><Relationship Id="rId4634" Type="http://schemas.openxmlformats.org/officeDocument/2006/relationships/hyperlink" Target="https://www.kapre.com/" TargetMode="External"/><Relationship Id="rId14228" Type="http://schemas.openxmlformats.org/officeDocument/2006/relationships/hyperlink" Target="https://luxurylifestyle.com/" TargetMode="External"/><Relationship Id="rId157" Type="http://schemas.openxmlformats.org/officeDocument/2006/relationships/hyperlink" Target="https://www.castlegarnews.com/" TargetMode="External"/><Relationship Id="rId7857" Type="http://schemas.openxmlformats.org/officeDocument/2006/relationships/hyperlink" Target="https://discoverlakelanier.com/" TargetMode="External"/><Relationship Id="rId8908" Type="http://schemas.openxmlformats.org/officeDocument/2006/relationships/hyperlink" Target="https://www.trianglepest.com/" TargetMode="External"/><Relationship Id="rId10838" Type="http://schemas.openxmlformats.org/officeDocument/2006/relationships/hyperlink" Target="https://extendedstudies.ucsd.edu/news-events/extended-studies-blog/5-at-home-stem-projects-for-kids-and-adults" TargetMode="External"/><Relationship Id="rId6459" Type="http://schemas.openxmlformats.org/officeDocument/2006/relationships/hyperlink" Target="https://www.simpleshowing.com/" TargetMode="External"/><Relationship Id="rId12260" Type="http://schemas.openxmlformats.org/officeDocument/2006/relationships/hyperlink" Target="https://www.hbf.co.uk/directory/associates/marrons/" TargetMode="External"/><Relationship Id="rId13311" Type="http://schemas.openxmlformats.org/officeDocument/2006/relationships/hyperlink" Target="https://myinteriorpalace.com/3-flooring-options-for-home/" TargetMode="External"/><Relationship Id="rId6940" Type="http://schemas.openxmlformats.org/officeDocument/2006/relationships/hyperlink" Target="https://www.simpleshowing.com/" TargetMode="External"/><Relationship Id="rId15483" Type="http://schemas.openxmlformats.org/officeDocument/2006/relationships/hyperlink" Target="https://www.id-medical.com/xmas-gifts-for-nurses/" TargetMode="External"/><Relationship Id="rId4491" Type="http://schemas.openxmlformats.org/officeDocument/2006/relationships/hyperlink" Target="https://www.29news.com/2024/05/27/high-school-seniors-can-now-get-real-estate-license-free-this-state/" TargetMode="External"/><Relationship Id="rId5542" Type="http://schemas.openxmlformats.org/officeDocument/2006/relationships/hyperlink" Target="https://www.simpleshowing.com/" TargetMode="External"/><Relationship Id="rId14085" Type="http://schemas.openxmlformats.org/officeDocument/2006/relationships/hyperlink" Target="https://www.sheenmagazine.com/5-stylish-additions-to-make-the-most-of-your-backyard/" TargetMode="External"/><Relationship Id="rId15136" Type="http://schemas.openxmlformats.org/officeDocument/2006/relationships/hyperlink" Target="https://myinteriorpalace.com/" TargetMode="External"/><Relationship Id="rId3093" Type="http://schemas.openxmlformats.org/officeDocument/2006/relationships/hyperlink" Target="https://www.simpleshowing.com/" TargetMode="External"/><Relationship Id="rId4144" Type="http://schemas.openxmlformats.org/officeDocument/2006/relationships/hyperlink" Target="https://www.kapre.com/" TargetMode="External"/><Relationship Id="rId8765" Type="http://schemas.openxmlformats.org/officeDocument/2006/relationships/hyperlink" Target="https://www.pinoyeplans.com/" TargetMode="External"/><Relationship Id="rId7367" Type="http://schemas.openxmlformats.org/officeDocument/2006/relationships/hyperlink" Target="https://www.simpleshowing.com/" TargetMode="External"/><Relationship Id="rId8418" Type="http://schemas.openxmlformats.org/officeDocument/2006/relationships/hyperlink" Target="https://www.pacificsheetmetal.net/" TargetMode="External"/><Relationship Id="rId9816" Type="http://schemas.openxmlformats.org/officeDocument/2006/relationships/hyperlink" Target="https://www.pinoyeplans.com/" TargetMode="External"/><Relationship Id="rId10695" Type="http://schemas.openxmlformats.org/officeDocument/2006/relationships/hyperlink" Target="https://www.pinoyeplans.com/" TargetMode="External"/><Relationship Id="rId11746" Type="http://schemas.openxmlformats.org/officeDocument/2006/relationships/hyperlink" Target="https://sellhousefast.uk/" TargetMode="External"/><Relationship Id="rId1805" Type="http://schemas.openxmlformats.org/officeDocument/2006/relationships/hyperlink" Target="https://nj1015.com/ixp/498/p/new-york-summer-outages/" TargetMode="External"/><Relationship Id="rId10348" Type="http://schemas.openxmlformats.org/officeDocument/2006/relationships/hyperlink" Target="https://www.teachengineering.org/" TargetMode="External"/><Relationship Id="rId14969" Type="http://schemas.openxmlformats.org/officeDocument/2006/relationships/hyperlink" Target="https://www.luxdeco.com/" TargetMode="External"/><Relationship Id="rId3977" Type="http://schemas.openxmlformats.org/officeDocument/2006/relationships/hyperlink" Target="https://www.solarfeeds.com/mag/top-10-solar-epc-companies-in-oregon/" TargetMode="External"/><Relationship Id="rId898" Type="http://schemas.openxmlformats.org/officeDocument/2006/relationships/hyperlink" Target="https://www.matrixbasements.com/" TargetMode="External"/><Relationship Id="rId2579" Type="http://schemas.openxmlformats.org/officeDocument/2006/relationships/hyperlink" Target="https://www.assistedliving.org/aging-in-place-options/" TargetMode="External"/><Relationship Id="rId6450" Type="http://schemas.openxmlformats.org/officeDocument/2006/relationships/hyperlink" Target="https://mensgear.net/thermasol-solaris/" TargetMode="External"/><Relationship Id="rId7501" Type="http://schemas.openxmlformats.org/officeDocument/2006/relationships/hyperlink" Target="https://www.simpleshowing.com/" TargetMode="External"/><Relationship Id="rId16044" Type="http://schemas.openxmlformats.org/officeDocument/2006/relationships/hyperlink" Target="https://career.mercer.edu/blog/2025/09/04/15-tips-for-environmental-studies-majors-who-are-mapping-their-careers/" TargetMode="External"/><Relationship Id="rId5052" Type="http://schemas.openxmlformats.org/officeDocument/2006/relationships/hyperlink" Target="https://www.simpleshowing.com/" TargetMode="External"/><Relationship Id="rId6103" Type="http://schemas.openxmlformats.org/officeDocument/2006/relationships/hyperlink" Target="https://neighborhoodloans.com/how-to-get-out-of-debt/" TargetMode="External"/><Relationship Id="rId9673" Type="http://schemas.openxmlformats.org/officeDocument/2006/relationships/hyperlink" Target="https://www.teachengineering.org/" TargetMode="External"/><Relationship Id="rId1662" Type="http://schemas.openxmlformats.org/officeDocument/2006/relationships/hyperlink" Target="https://www.simpleshowing.com/" TargetMode="External"/><Relationship Id="rId8275" Type="http://schemas.openxmlformats.org/officeDocument/2006/relationships/hyperlink" Target="https://sportnation.nz/article/setting-up-a-pool-table-at-home-heres-what-actually-matters" TargetMode="External"/><Relationship Id="rId9326" Type="http://schemas.openxmlformats.org/officeDocument/2006/relationships/hyperlink" Target="https://www.commonsense.org/education/articles/21-fun-activities-to-start-the-school-year" TargetMode="External"/><Relationship Id="rId11256" Type="http://schemas.openxmlformats.org/officeDocument/2006/relationships/hyperlink" Target="https://optimisticmommy.com/signs-and-solutions-of-basement-water-damage/" TargetMode="External"/><Relationship Id="rId12654" Type="http://schemas.openxmlformats.org/officeDocument/2006/relationships/hyperlink" Target="https://www.ntu.ac.uk/study-and-courses/academic-schools/nottingham-law-school/services-to-business/employers-board" TargetMode="External"/><Relationship Id="rId13705" Type="http://schemas.openxmlformats.org/officeDocument/2006/relationships/hyperlink" Target="https://myinteriorpalace.com/" TargetMode="External"/><Relationship Id="rId1315" Type="http://schemas.openxmlformats.org/officeDocument/2006/relationships/hyperlink" Target="https://darscover.com/" TargetMode="External"/><Relationship Id="rId2713" Type="http://schemas.openxmlformats.org/officeDocument/2006/relationships/hyperlink" Target="https://www.pulte.com/" TargetMode="External"/><Relationship Id="rId12307" Type="http://schemas.openxmlformats.org/officeDocument/2006/relationships/hyperlink" Target="https://www.ridgefieldconsulting.co.uk/" TargetMode="External"/><Relationship Id="rId15877" Type="http://schemas.openxmlformats.org/officeDocument/2006/relationships/hyperlink" Target="https://myinteriorpalace.com/" TargetMode="External"/><Relationship Id="rId4885" Type="http://schemas.openxmlformats.org/officeDocument/2006/relationships/hyperlink" Target="https://realestatemarket.us.com/real-estate-investment-success-guide/" TargetMode="External"/><Relationship Id="rId5936" Type="http://schemas.openxmlformats.org/officeDocument/2006/relationships/hyperlink" Target="https://www.simpleshowing.com/" TargetMode="External"/><Relationship Id="rId14479" Type="http://schemas.openxmlformats.org/officeDocument/2006/relationships/hyperlink" Target="https://myinteriorpalace.com/" TargetMode="External"/><Relationship Id="rId21" Type="http://schemas.openxmlformats.org/officeDocument/2006/relationships/hyperlink" Target="https://yourarlington.com/2020/04/corner-040220/" TargetMode="External"/><Relationship Id="rId2089" Type="http://schemas.openxmlformats.org/officeDocument/2006/relationships/hyperlink" Target="https://markspain.com/" TargetMode="External"/><Relationship Id="rId3487" Type="http://schemas.openxmlformats.org/officeDocument/2006/relationships/hyperlink" Target="https://www.pulte.com/" TargetMode="External"/><Relationship Id="rId4538" Type="http://schemas.openxmlformats.org/officeDocument/2006/relationships/hyperlink" Target="https://www.kapre.com/" TargetMode="External"/><Relationship Id="rId14960" Type="http://schemas.openxmlformats.org/officeDocument/2006/relationships/hyperlink" Target="https://www.luxdeco.com/" TargetMode="External"/><Relationship Id="rId7011" Type="http://schemas.openxmlformats.org/officeDocument/2006/relationships/hyperlink" Target="https://www.renaissancecapital.com/Profile/TMHC/Taylor-Morrison/IPO" TargetMode="External"/><Relationship Id="rId13562" Type="http://schemas.openxmlformats.org/officeDocument/2006/relationships/hyperlink" Target="https://anationofmoms.com/" TargetMode="External"/><Relationship Id="rId14613" Type="http://schemas.openxmlformats.org/officeDocument/2006/relationships/hyperlink" Target="https://www.mystayathomeadventures.com/houston-garage-door-repair-experts/" TargetMode="External"/><Relationship Id="rId2570" Type="http://schemas.openxmlformats.org/officeDocument/2006/relationships/hyperlink" Target="https://www.multihousingnews.com/pulte-homes-unveils-new-riverview-community/" TargetMode="External"/><Relationship Id="rId3621" Type="http://schemas.openxmlformats.org/officeDocument/2006/relationships/hyperlink" Target="https://www.simpleshowing.com/" TargetMode="External"/><Relationship Id="rId9183" Type="http://schemas.openxmlformats.org/officeDocument/2006/relationships/hyperlink" Target="https://www.pinoyeplans.com/" TargetMode="External"/><Relationship Id="rId12164" Type="http://schemas.openxmlformats.org/officeDocument/2006/relationships/hyperlink" Target="https://www.culinaryhill.com/best-french-fry-cutters/" TargetMode="External"/><Relationship Id="rId13215" Type="http://schemas.openxmlformats.org/officeDocument/2006/relationships/hyperlink" Target="https://bnbmanagementlondon.co.uk/hmo-investment/" TargetMode="External"/><Relationship Id="rId542" Type="http://schemas.openxmlformats.org/officeDocument/2006/relationships/hyperlink" Target="https://www.simpleshowing.com/" TargetMode="External"/><Relationship Id="rId1172" Type="http://schemas.openxmlformats.org/officeDocument/2006/relationships/hyperlink" Target="https://www.going.com/guides/london-british-capital" TargetMode="External"/><Relationship Id="rId2223" Type="http://schemas.openxmlformats.org/officeDocument/2006/relationships/hyperlink" Target="https://www.simpleshowing.com/" TargetMode="External"/><Relationship Id="rId5793" Type="http://schemas.openxmlformats.org/officeDocument/2006/relationships/hyperlink" Target="https://kidsonthecoast.com.au/living/family-finances-budgeting-like-a-pro/" TargetMode="External"/><Relationship Id="rId6844" Type="http://schemas.openxmlformats.org/officeDocument/2006/relationships/hyperlink" Target="https://www.taylormorrison.com/" TargetMode="External"/><Relationship Id="rId15387" Type="http://schemas.openxmlformats.org/officeDocument/2006/relationships/hyperlink" Target="https://www.shesweatsdiamonds.com/interior-inspiration-modern-christmas-decor/" TargetMode="External"/><Relationship Id="rId4395" Type="http://schemas.openxmlformats.org/officeDocument/2006/relationships/hyperlink" Target="https://www.upnest.com/post/selling-your-home-without-a-realtor/" TargetMode="External"/><Relationship Id="rId5446" Type="http://schemas.openxmlformats.org/officeDocument/2006/relationships/hyperlink" Target="https://www.simpleshowing.com/" TargetMode="External"/><Relationship Id="rId4048" Type="http://schemas.openxmlformats.org/officeDocument/2006/relationships/hyperlink" Target="https://www.kapre.com/" TargetMode="External"/><Relationship Id="rId11997" Type="http://schemas.openxmlformats.org/officeDocument/2006/relationships/hyperlink" Target="https://www.hamiltoninternationalestates.com/" TargetMode="External"/><Relationship Id="rId8669" Type="http://schemas.openxmlformats.org/officeDocument/2006/relationships/hyperlink" Target="https://www.pinoyeplans.com/" TargetMode="External"/><Relationship Id="rId10599" Type="http://schemas.openxmlformats.org/officeDocument/2006/relationships/hyperlink" Target="https://www.pinoyeplans.com/" TargetMode="External"/><Relationship Id="rId14470" Type="http://schemas.openxmlformats.org/officeDocument/2006/relationships/hyperlink" Target="https://myinteriorpalace.com/" TargetMode="External"/><Relationship Id="rId15521" Type="http://schemas.openxmlformats.org/officeDocument/2006/relationships/hyperlink" Target="https://www.luxdeco.com/" TargetMode="External"/><Relationship Id="rId1709" Type="http://schemas.openxmlformats.org/officeDocument/2006/relationships/hyperlink" Target="https://710keel.com/louisiana-outage-risk-high/" TargetMode="External"/><Relationship Id="rId13072" Type="http://schemas.openxmlformats.org/officeDocument/2006/relationships/hyperlink" Target="https://propertypressonline.co.uk/" TargetMode="External"/><Relationship Id="rId14123" Type="http://schemas.openxmlformats.org/officeDocument/2006/relationships/hyperlink" Target="https://keystonecustomdecksny.com/" TargetMode="External"/><Relationship Id="rId2080" Type="http://schemas.openxmlformats.org/officeDocument/2006/relationships/hyperlink" Target="https://markspain.com/" TargetMode="External"/><Relationship Id="rId3131" Type="http://schemas.openxmlformats.org/officeDocument/2006/relationships/hyperlink" Target="https://constructionphysics.substack.com/p/debunking-the-housing-variety-as" TargetMode="External"/><Relationship Id="rId7752" Type="http://schemas.openxmlformats.org/officeDocument/2006/relationships/hyperlink" Target="https://www.simpleshowing.com/" TargetMode="External"/><Relationship Id="rId8803" Type="http://schemas.openxmlformats.org/officeDocument/2006/relationships/hyperlink" Target="https://propertychecker.com/" TargetMode="External"/><Relationship Id="rId6354" Type="http://schemas.openxmlformats.org/officeDocument/2006/relationships/hyperlink" Target="https://www.simpleshowing.com/" TargetMode="External"/><Relationship Id="rId7405" Type="http://schemas.openxmlformats.org/officeDocument/2006/relationships/hyperlink" Target="https://business.edf.org/climate-corps/projects/taylor-morrison-sana-ouji-2014/" TargetMode="External"/><Relationship Id="rId10733" Type="http://schemas.openxmlformats.org/officeDocument/2006/relationships/hyperlink" Target="https://www.artnglow.com/blogs/news/phosphorescent-lesson-plan-for-teachers" TargetMode="External"/><Relationship Id="rId6007" Type="http://schemas.openxmlformats.org/officeDocument/2006/relationships/hyperlink" Target="https://www.theinvestorspodcast.com/business/what-to-do-if-your-car-loan-is-sold/" TargetMode="External"/><Relationship Id="rId9577" Type="http://schemas.openxmlformats.org/officeDocument/2006/relationships/hyperlink" Target="https://www.teachengineering.org/" TargetMode="External"/><Relationship Id="rId13956" Type="http://schemas.openxmlformats.org/officeDocument/2006/relationships/hyperlink" Target="https://b2b.getemail.io/fahey-roofing-contracting-company-15309944.html" TargetMode="External"/><Relationship Id="rId2964" Type="http://schemas.openxmlformats.org/officeDocument/2006/relationships/hyperlink" Target="https://www.simpleshowing.com/" TargetMode="External"/><Relationship Id="rId8179" Type="http://schemas.openxmlformats.org/officeDocument/2006/relationships/hyperlink" Target="https://www.smaestimating.com/types-of-construction-drawings/" TargetMode="External"/><Relationship Id="rId12558" Type="http://schemas.openxmlformats.org/officeDocument/2006/relationships/hyperlink" Target="https://blog.ipleaders.in/all-about-the-solicitors-qualifying-examination-1-sqe-1/" TargetMode="External"/><Relationship Id="rId13609" Type="http://schemas.openxmlformats.org/officeDocument/2006/relationships/hyperlink" Target="https://myinteriorpalace.com/" TargetMode="External"/><Relationship Id="rId936" Type="http://schemas.openxmlformats.org/officeDocument/2006/relationships/hyperlink" Target="https://www.simpleshowing.com/" TargetMode="External"/><Relationship Id="rId1219" Type="http://schemas.openxmlformats.org/officeDocument/2006/relationships/hyperlink" Target="https://happy2movelondon.co.uk/r" TargetMode="External"/><Relationship Id="rId1566" Type="http://schemas.openxmlformats.org/officeDocument/2006/relationships/hyperlink" Target="https://www.simpleshowing.com/" TargetMode="External"/><Relationship Id="rId2617" Type="http://schemas.openxmlformats.org/officeDocument/2006/relationships/hyperlink" Target="https://www.pulte.com/" TargetMode="External"/><Relationship Id="rId15031" Type="http://schemas.openxmlformats.org/officeDocument/2006/relationships/hyperlink" Target="https://myinteriorpalace.com/" TargetMode="External"/><Relationship Id="rId4789" Type="http://schemas.openxmlformats.org/officeDocument/2006/relationships/hyperlink" Target="https://www.simpleshowing.com/" TargetMode="External"/><Relationship Id="rId8660" Type="http://schemas.openxmlformats.org/officeDocument/2006/relationships/hyperlink" Target="https://www.pinoyeplans.com/" TargetMode="External"/><Relationship Id="rId9711" Type="http://schemas.openxmlformats.org/officeDocument/2006/relationships/hyperlink" Target="https://www.pinoyeplans.com/" TargetMode="External"/><Relationship Id="rId10590" Type="http://schemas.openxmlformats.org/officeDocument/2006/relationships/hyperlink" Target="https://www.pinoyeplans.com/" TargetMode="External"/><Relationship Id="rId11641" Type="http://schemas.openxmlformats.org/officeDocument/2006/relationships/hyperlink" Target="https://sellhousefast.uk/" TargetMode="External"/><Relationship Id="rId1700" Type="http://schemas.openxmlformats.org/officeDocument/2006/relationships/hyperlink" Target="https://www.bristolpost.co.uk/news/cost-of-living/coffee-habit-costs-you-40-10238900" TargetMode="External"/><Relationship Id="rId7262" Type="http://schemas.openxmlformats.org/officeDocument/2006/relationships/hyperlink" Target="https://www.simpleshowing.com/" TargetMode="External"/><Relationship Id="rId8313" Type="http://schemas.openxmlformats.org/officeDocument/2006/relationships/hyperlink" Target="https://www.zestlighting.com.au/" TargetMode="External"/><Relationship Id="rId10243" Type="http://schemas.openxmlformats.org/officeDocument/2006/relationships/hyperlink" Target="https://www.teachengineering.org/" TargetMode="External"/><Relationship Id="rId3872" Type="http://schemas.openxmlformats.org/officeDocument/2006/relationships/hyperlink" Target="https://www.fixya.com/support/t24902639-get_stuck_hot_tub_filter_out" TargetMode="External"/><Relationship Id="rId13466" Type="http://schemas.openxmlformats.org/officeDocument/2006/relationships/hyperlink" Target="https://anationofmoms.com/" TargetMode="External"/><Relationship Id="rId14864" Type="http://schemas.openxmlformats.org/officeDocument/2006/relationships/hyperlink" Target="https://www.fluidplumbingservices.com.au/" TargetMode="External"/><Relationship Id="rId15915" Type="http://schemas.openxmlformats.org/officeDocument/2006/relationships/hyperlink" Target="https://nerdbot.com/2025/08/11/choosing-the-right-garage-door-for-your-lees-summit-home-2025-guide/" TargetMode="External"/><Relationship Id="rId793" Type="http://schemas.openxmlformats.org/officeDocument/2006/relationships/hyperlink" Target="https://woodradio.iheart.com/content/2019-12-15-operation-storm-watch/" TargetMode="External"/><Relationship Id="rId2474" Type="http://schemas.openxmlformats.org/officeDocument/2006/relationships/hyperlink" Target="https://www.homelight.com/blog/curb-appeal-ideas-for-brick-homes/" TargetMode="External"/><Relationship Id="rId3525" Type="http://schemas.openxmlformats.org/officeDocument/2006/relationships/hyperlink" Target="https://www.simpleshowing.com/" TargetMode="External"/><Relationship Id="rId4923" Type="http://schemas.openxmlformats.org/officeDocument/2006/relationships/hyperlink" Target="https://www.denverpost.com/2016/12/20/featured-home-mountain-ranch-cordillera/" TargetMode="External"/><Relationship Id="rId9087" Type="http://schemas.openxmlformats.org/officeDocument/2006/relationships/hyperlink" Target="https://www.pinoyeplans.com/" TargetMode="External"/><Relationship Id="rId12068" Type="http://schemas.openxmlformats.org/officeDocument/2006/relationships/hyperlink" Target="https://www.tileclub.com/blogs/news/can-you-install-tile-over-tile-heres-what-the-experts-say" TargetMode="External"/><Relationship Id="rId13119" Type="http://schemas.openxmlformats.org/officeDocument/2006/relationships/hyperlink" Target="https://www.corporatevision-news.com/2019-relocation-relocation-relocation-how-landowners-can-keep-protestors-at-bay/" TargetMode="External"/><Relationship Id="rId14517" Type="http://schemas.openxmlformats.org/officeDocument/2006/relationships/hyperlink" Target="https://the-gingerbread-house.co.uk/7-common-garage-door-spring-problems-and-how-to-fix-them/" TargetMode="External"/><Relationship Id="rId446" Type="http://schemas.openxmlformats.org/officeDocument/2006/relationships/hyperlink" Target="https://www.simpleshowing.com/" TargetMode="External"/><Relationship Id="rId1076" Type="http://schemas.openxmlformats.org/officeDocument/2006/relationships/hyperlink" Target="https://ccr-mag.com/six-best-ways-to-add-more-value-to-your-property/" TargetMode="External"/><Relationship Id="rId2127" Type="http://schemas.openxmlformats.org/officeDocument/2006/relationships/hyperlink" Target="https://www.simpleshowing.com/" TargetMode="External"/><Relationship Id="rId4299" Type="http://schemas.openxmlformats.org/officeDocument/2006/relationships/hyperlink" Target="https://www.rentecdirect.com/blog/10-dos-and-donts-of-real-estate-networking-events/" TargetMode="External"/><Relationship Id="rId5697" Type="http://schemas.openxmlformats.org/officeDocument/2006/relationships/hyperlink" Target="https://www.mippin.com/disputing-a-debt-with-a-collections-agency/" TargetMode="External"/><Relationship Id="rId6748" Type="http://schemas.openxmlformats.org/officeDocument/2006/relationships/hyperlink" Target="https://theprovidencegroup.com/" TargetMode="External"/><Relationship Id="rId8170" Type="http://schemas.openxmlformats.org/officeDocument/2006/relationships/hyperlink" Target="https://www.theconsumersfeedback.com/guestpost/boost-your-portfolio-with-high-impact-3d-rendering-animation" TargetMode="External"/><Relationship Id="rId13600" Type="http://schemas.openxmlformats.org/officeDocument/2006/relationships/hyperlink" Target="https://myinteriorpalace.com/" TargetMode="External"/><Relationship Id="rId9221" Type="http://schemas.openxmlformats.org/officeDocument/2006/relationships/hyperlink" Target="https://www.whitepages.com.au/mcd-construction-10168979/east-brisbane-qld-10168978B" TargetMode="External"/><Relationship Id="rId11151" Type="http://schemas.openxmlformats.org/officeDocument/2006/relationships/hyperlink" Target="https://www.waterdamagespecialist.com.au/" TargetMode="External"/><Relationship Id="rId12202" Type="http://schemas.openxmlformats.org/officeDocument/2006/relationships/hyperlink" Target="https://www.bobvila.com/" TargetMode="External"/><Relationship Id="rId15772" Type="http://schemas.openxmlformats.org/officeDocument/2006/relationships/hyperlink" Target="https://myinteriorpalace.com/" TargetMode="External"/><Relationship Id="rId1210" Type="http://schemas.openxmlformats.org/officeDocument/2006/relationships/hyperlink" Target="https://happy2movelondon.co.uk/r" TargetMode="External"/><Relationship Id="rId4780" Type="http://schemas.openxmlformats.org/officeDocument/2006/relationships/hyperlink" Target="https://www.simpleshowing.com/" TargetMode="External"/><Relationship Id="rId5831" Type="http://schemas.openxmlformats.org/officeDocument/2006/relationships/hyperlink" Target="https://hurak.com/blog/culinary-business-management" TargetMode="External"/><Relationship Id="rId14374" Type="http://schemas.openxmlformats.org/officeDocument/2006/relationships/hyperlink" Target="https://myinteriorpalace.com/" TargetMode="External"/><Relationship Id="rId15425" Type="http://schemas.openxmlformats.org/officeDocument/2006/relationships/hyperlink" Target="https://www.luxdeco.com/" TargetMode="External"/><Relationship Id="rId3382" Type="http://schemas.openxmlformats.org/officeDocument/2006/relationships/hyperlink" Target="https://www.pulte.com/" TargetMode="External"/><Relationship Id="rId4433" Type="http://schemas.openxmlformats.org/officeDocument/2006/relationships/hyperlink" Target="https://www.kapre.com/" TargetMode="External"/><Relationship Id="rId14027" Type="http://schemas.openxmlformats.org/officeDocument/2006/relationships/hyperlink" Target="https://keystonecustomdecksny.com/" TargetMode="External"/><Relationship Id="rId3035" Type="http://schemas.openxmlformats.org/officeDocument/2006/relationships/hyperlink" Target="http://listings.homestead.com/g6028-englewood-co/c306-accounting?name=Accounting&amp;where=&amp;start=100" TargetMode="External"/><Relationship Id="rId7656" Type="http://schemas.openxmlformats.org/officeDocument/2006/relationships/hyperlink" Target="https://wswc.wa.gov/southwest-washington-girls-connect-women-building-and-manufacturing" TargetMode="External"/><Relationship Id="rId8707" Type="http://schemas.openxmlformats.org/officeDocument/2006/relationships/hyperlink" Target="https://sorry-about-the-mess.co.uk/5-benefits-of-using-reclaimed-or-antique-tiles/" TargetMode="External"/><Relationship Id="rId10984" Type="http://schemas.openxmlformats.org/officeDocument/2006/relationships/hyperlink" Target="https://www.teachengineering.org/" TargetMode="External"/><Relationship Id="rId16199" Type="http://schemas.openxmlformats.org/officeDocument/2006/relationships/hyperlink" Target="https://www.unitedcarpetsandbeds.com/" TargetMode="External"/><Relationship Id="rId6258" Type="http://schemas.openxmlformats.org/officeDocument/2006/relationships/hyperlink" Target="https://www.simpleshowing.com/" TargetMode="External"/><Relationship Id="rId7309" Type="http://schemas.openxmlformats.org/officeDocument/2006/relationships/hyperlink" Target="https://www.taylormorrison.com/" TargetMode="External"/><Relationship Id="rId10637" Type="http://schemas.openxmlformats.org/officeDocument/2006/relationships/hyperlink" Target="https://www-dev.stem.org.uk/resources/community/collection/21586/transfer-energy-pneumatic-and-hydraulic-control-systems" TargetMode="External"/><Relationship Id="rId13110" Type="http://schemas.openxmlformats.org/officeDocument/2006/relationships/hyperlink" Target="https://www.build-review.com/home-loan-scheme-homeowners-could-be-sitting-on-inheritance-tax-time-bomb-warn-lawyers/" TargetMode="External"/><Relationship Id="rId2868" Type="http://schemas.openxmlformats.org/officeDocument/2006/relationships/hyperlink" Target="https://www.simpleshowing.com/" TargetMode="External"/><Relationship Id="rId3919" Type="http://schemas.openxmlformats.org/officeDocument/2006/relationships/hyperlink" Target="https://thecoverguy.com/" TargetMode="External"/><Relationship Id="rId15282" Type="http://schemas.openxmlformats.org/officeDocument/2006/relationships/hyperlink" Target="https://www.lovehappensmag.com/blog/2021/11/13/a-luxury-christmas-gift-guide-for-design-lovers/" TargetMode="External"/><Relationship Id="rId4290" Type="http://schemas.openxmlformats.org/officeDocument/2006/relationships/hyperlink" Target="https://structuretech.com/home-inspector-training-advice/" TargetMode="External"/><Relationship Id="rId5341" Type="http://schemas.openxmlformats.org/officeDocument/2006/relationships/hyperlink" Target="https://sequencecommerce.com/amazon-ads-during-economic-uncertainty/" TargetMode="External"/><Relationship Id="rId9962" Type="http://schemas.openxmlformats.org/officeDocument/2006/relationships/hyperlink" Target="https://welcome.stevensonschool.org/middle-division/middle-division-summer-learning/" TargetMode="External"/><Relationship Id="rId11892" Type="http://schemas.openxmlformats.org/officeDocument/2006/relationships/hyperlink" Target="https://www.hamiltoninternationalestates.com/" TargetMode="External"/><Relationship Id="rId1951" Type="http://schemas.openxmlformats.org/officeDocument/2006/relationships/hyperlink" Target="https://markspain.com/" TargetMode="External"/><Relationship Id="rId8564" Type="http://schemas.openxmlformats.org/officeDocument/2006/relationships/hyperlink" Target="https://www.pinoyeplans.com/" TargetMode="External"/><Relationship Id="rId9615" Type="http://schemas.openxmlformats.org/officeDocument/2006/relationships/hyperlink" Target="https://www.pinoyeplans.com/" TargetMode="External"/><Relationship Id="rId10494" Type="http://schemas.openxmlformats.org/officeDocument/2006/relationships/hyperlink" Target="https://www.pinoyeplans.com/" TargetMode="External"/><Relationship Id="rId11545" Type="http://schemas.openxmlformats.org/officeDocument/2006/relationships/hyperlink" Target="https://www.premiercareinbathing.co.uk/blog/lifestyle/best-smart-home-devices-for-elderly/" TargetMode="External"/><Relationship Id="rId12943" Type="http://schemas.openxmlformats.org/officeDocument/2006/relationships/hyperlink" Target="https://propertypressonline.co.uk/" TargetMode="External"/><Relationship Id="rId1604" Type="http://schemas.openxmlformats.org/officeDocument/2006/relationships/hyperlink" Target="https://vizologi.com/remote-working-and-sustainability-a-perfect-match-in-the-cloud/" TargetMode="External"/><Relationship Id="rId7166" Type="http://schemas.openxmlformats.org/officeDocument/2006/relationships/hyperlink" Target="https://www.taylormorrison.com/" TargetMode="External"/><Relationship Id="rId8217" Type="http://schemas.openxmlformats.org/officeDocument/2006/relationships/hyperlink" Target="https://smaarchviz.com/" TargetMode="External"/><Relationship Id="rId10147" Type="http://schemas.openxmlformats.org/officeDocument/2006/relationships/hyperlink" Target="https://www.teachengineering.org/" TargetMode="External"/><Relationship Id="rId14768" Type="http://schemas.openxmlformats.org/officeDocument/2006/relationships/hyperlink" Target="https://www.easygaragedoorrepair.com/" TargetMode="External"/><Relationship Id="rId15819" Type="http://schemas.openxmlformats.org/officeDocument/2006/relationships/hyperlink" Target="https://www.yellowpages.com.au/vic/hallam/urbanline-architectural-15714809-listing.html" TargetMode="External"/><Relationship Id="rId16190" Type="http://schemas.openxmlformats.org/officeDocument/2006/relationships/hyperlink" Target="https://www.unitedcarpetsandbeds.com/" TargetMode="External"/><Relationship Id="rId697" Type="http://schemas.openxmlformats.org/officeDocument/2006/relationships/hyperlink" Target="https://literallydarling.com/blog/2020/07/03/outer-banks-foods/" TargetMode="External"/><Relationship Id="rId2378" Type="http://schemas.openxmlformats.org/officeDocument/2006/relationships/hyperlink" Target="https://login.pultemortgage.com/login" TargetMode="External"/><Relationship Id="rId3429" Type="http://schemas.openxmlformats.org/officeDocument/2006/relationships/hyperlink" Target="https://www.simpleshowing.com/" TargetMode="External"/><Relationship Id="rId3776" Type="http://schemas.openxmlformats.org/officeDocument/2006/relationships/hyperlink" Target="https://sites.google.com/epsb.ca/jpstudentservices/scholarships/national-scholarships" TargetMode="External"/><Relationship Id="rId4827" Type="http://schemas.openxmlformats.org/officeDocument/2006/relationships/hyperlink" Target="https://www.bigmarker.com/inman1/Activity-productivity-longevity-how-each-sets-you-up-for-success-in-real-estate" TargetMode="External"/><Relationship Id="rId6999" Type="http://schemas.openxmlformats.org/officeDocument/2006/relationships/hyperlink" Target="https://www.ainvest.com/stocks/NYSE-TMHC/" TargetMode="External"/><Relationship Id="rId7300" Type="http://schemas.openxmlformats.org/officeDocument/2006/relationships/hyperlink" Target="https://www.taylormorrison.com/" TargetMode="External"/><Relationship Id="rId13851" Type="http://schemas.openxmlformats.org/officeDocument/2006/relationships/hyperlink" Target="https://resident.com/resource-guide/2025/03/18/frameless-shower-doors-and-their-impact-on-home-value" TargetMode="External"/><Relationship Id="rId14902" Type="http://schemas.openxmlformats.org/officeDocument/2006/relationships/hyperlink" Target="https://myinteriorpalace.com/" TargetMode="External"/><Relationship Id="rId3910" Type="http://schemas.openxmlformats.org/officeDocument/2006/relationships/hyperlink" Target="https://thecoverguy.com/" TargetMode="External"/><Relationship Id="rId9472" Type="http://schemas.openxmlformats.org/officeDocument/2006/relationships/hyperlink" Target="https://www.teachengineering.org/" TargetMode="External"/><Relationship Id="rId12453" Type="http://schemas.openxmlformats.org/officeDocument/2006/relationships/hyperlink" Target="https://propertypressonline.co.uk/" TargetMode="External"/><Relationship Id="rId13504" Type="http://schemas.openxmlformats.org/officeDocument/2006/relationships/hyperlink" Target="https://myinteriorpalace.com/" TargetMode="External"/><Relationship Id="rId831" Type="http://schemas.openxmlformats.org/officeDocument/2006/relationships/hyperlink" Target="https://www.absolutepestmgmt.com/" TargetMode="External"/><Relationship Id="rId1461" Type="http://schemas.openxmlformats.org/officeDocument/2006/relationships/hyperlink" Target="https://www.simpleshowing.com/" TargetMode="External"/><Relationship Id="rId2512" Type="http://schemas.openxmlformats.org/officeDocument/2006/relationships/hyperlink" Target="https://www.pulte.com/" TargetMode="External"/><Relationship Id="rId8074" Type="http://schemas.openxmlformats.org/officeDocument/2006/relationships/hyperlink" Target="https://everafterinthewoods.com/ohio-pizza-parlors-id-pick-over-dominos-any-day/" TargetMode="External"/><Relationship Id="rId9125" Type="http://schemas.openxmlformats.org/officeDocument/2006/relationships/hyperlink" Target="https://magazineblogs.co.uk/best-practices-for-effective-construction-estimation-in-large-projects/" TargetMode="External"/><Relationship Id="rId11055" Type="http://schemas.openxmlformats.org/officeDocument/2006/relationships/hyperlink" Target="https://www.pinoyeplans.com/" TargetMode="External"/><Relationship Id="rId12106" Type="http://schemas.openxmlformats.org/officeDocument/2006/relationships/hyperlink" Target="https://www.bobvila.com/" TargetMode="External"/><Relationship Id="rId15676" Type="http://schemas.openxmlformats.org/officeDocument/2006/relationships/hyperlink" Target="https://myinteriorpalace.com/" TargetMode="External"/><Relationship Id="rId1114" Type="http://schemas.openxmlformats.org/officeDocument/2006/relationships/hyperlink" Target="https://www.matrixbasements.com/" TargetMode="External"/><Relationship Id="rId4684" Type="http://schemas.openxmlformats.org/officeDocument/2006/relationships/hyperlink" Target="https://www.simpleshowing.com/" TargetMode="External"/><Relationship Id="rId5735" Type="http://schemas.openxmlformats.org/officeDocument/2006/relationships/hyperlink" Target="https://profiletree.com/financial-wellness-nick-lawlor/" TargetMode="External"/><Relationship Id="rId14278" Type="http://schemas.openxmlformats.org/officeDocument/2006/relationships/hyperlink" Target="https://myinteriorpalace.com/" TargetMode="External"/><Relationship Id="rId15329" Type="http://schemas.openxmlformats.org/officeDocument/2006/relationships/hyperlink" Target="https://www.luxdeco.com/" TargetMode="External"/><Relationship Id="rId3286" Type="http://schemas.openxmlformats.org/officeDocument/2006/relationships/hyperlink" Target="https://www.pulte.com/" TargetMode="External"/><Relationship Id="rId4337" Type="http://schemas.openxmlformats.org/officeDocument/2006/relationships/hyperlink" Target="https://www.kapre.com/" TargetMode="External"/><Relationship Id="rId8958" Type="http://schemas.openxmlformats.org/officeDocument/2006/relationships/hyperlink" Target="https://www.pinoyeplans.com/" TargetMode="External"/><Relationship Id="rId10888" Type="http://schemas.openxmlformats.org/officeDocument/2006/relationships/hyperlink" Target="https://www.teachengineering.org/" TargetMode="External"/><Relationship Id="rId11939" Type="http://schemas.openxmlformats.org/officeDocument/2006/relationships/hyperlink" Target="https://thehoneycombhome.com/landscaping-ideas-around-tree-roots/" TargetMode="External"/><Relationship Id="rId15810" Type="http://schemas.openxmlformats.org/officeDocument/2006/relationships/hyperlink" Target="https://www.designscene.net/2024/08/feature-walls.html" TargetMode="External"/><Relationship Id="rId13361" Type="http://schemas.openxmlformats.org/officeDocument/2006/relationships/hyperlink" Target="https://anationofmoms.com/" TargetMode="External"/><Relationship Id="rId14412" Type="http://schemas.openxmlformats.org/officeDocument/2006/relationships/hyperlink" Target="https://d1cs39pa9zf28u.cloudfront.net/script/imageshop.php?f=https://telegra.ph/Esta-Visa-To-Usa-From-Uk-05-16-6" TargetMode="External"/><Relationship Id="rId3420" Type="http://schemas.openxmlformats.org/officeDocument/2006/relationships/hyperlink" Target="https://www.simpleshowing.com/" TargetMode="External"/><Relationship Id="rId6990" Type="http://schemas.openxmlformats.org/officeDocument/2006/relationships/hyperlink" Target="https://www.siennatx.com/news/2148/darling-homes-trendmaker-homes-to-bring-patio-designs-to-the-village-of-sawmill-lake" TargetMode="External"/><Relationship Id="rId13014" Type="http://schemas.openxmlformats.org/officeDocument/2006/relationships/hyperlink" Target="https://buildingtalk.com/guest-article-smash-and-grab-is-here-to-stay-the-importance-of-getting-payment-notices-right/" TargetMode="External"/><Relationship Id="rId341" Type="http://schemas.openxmlformats.org/officeDocument/2006/relationships/hyperlink" Target="https://www.spyglassrealty.com/blog/6-misconceptions-about-home-insurance.html" TargetMode="External"/><Relationship Id="rId2022" Type="http://schemas.openxmlformats.org/officeDocument/2006/relationships/hyperlink" Target="https://www.simpleshowing.com/" TargetMode="External"/><Relationship Id="rId5592" Type="http://schemas.openxmlformats.org/officeDocument/2006/relationships/hyperlink" Target="https://www.simpleshowing.com/" TargetMode="External"/><Relationship Id="rId6643" Type="http://schemas.openxmlformats.org/officeDocument/2006/relationships/hyperlink" Target="https://www.simpleshowing.com/" TargetMode="External"/><Relationship Id="rId15186" Type="http://schemas.openxmlformats.org/officeDocument/2006/relationships/hyperlink" Target="https://talesofbelle.com/2024/10/29/how-to-make-your-home-cosy-for-christmas/" TargetMode="External"/><Relationship Id="rId16237" Type="http://schemas.openxmlformats.org/officeDocument/2006/relationships/hyperlink" Target="https://myinteriorpalace.com/" TargetMode="External"/><Relationship Id="rId4194" Type="http://schemas.openxmlformats.org/officeDocument/2006/relationships/hyperlink" Target="https://teach.com/online-ed/short-courses/online-real-estate-courses/" TargetMode="External"/><Relationship Id="rId5245" Type="http://schemas.openxmlformats.org/officeDocument/2006/relationships/hyperlink" Target="https://moneyconnexion.com/teach-kids-needs-vs-wants-for-money-management.htm" TargetMode="External"/><Relationship Id="rId9866" Type="http://schemas.openxmlformats.org/officeDocument/2006/relationships/hyperlink" Target="https://joulefellows.engr.uconn.edu/category/uncategorized/" TargetMode="External"/><Relationship Id="rId8468" Type="http://schemas.openxmlformats.org/officeDocument/2006/relationships/hyperlink" Target="https://www.pinoyeplans.com/" TargetMode="External"/><Relationship Id="rId9519" Type="http://schemas.openxmlformats.org/officeDocument/2006/relationships/hyperlink" Target="https://www.pinoyeplans.com/" TargetMode="External"/><Relationship Id="rId10398" Type="http://schemas.openxmlformats.org/officeDocument/2006/relationships/hyperlink" Target="https://www.pinoyeplans.com/" TargetMode="External"/><Relationship Id="rId11796" Type="http://schemas.openxmlformats.org/officeDocument/2006/relationships/hyperlink" Target="https://www.hamiltoninternationalestates.com/" TargetMode="External"/><Relationship Id="rId12847" Type="http://schemas.openxmlformats.org/officeDocument/2006/relationships/hyperlink" Target="https://propertypressonline.co.uk/" TargetMode="External"/><Relationship Id="rId1508" Type="http://schemas.openxmlformats.org/officeDocument/2006/relationships/hyperlink" Target="https://houston.innovationmap.com/texas-power-outages-2025-2672403066.html" TargetMode="External"/><Relationship Id="rId1855" Type="http://schemas.openxmlformats.org/officeDocument/2006/relationships/hyperlink" Target="https://wolfriverelectric.com/" TargetMode="External"/><Relationship Id="rId2906" Type="http://schemas.openxmlformats.org/officeDocument/2006/relationships/hyperlink" Target="https://www.shawlocal.com/kane-county-chronicle/2025/09/01/batavia-chamber-marks-pulte-homes-new-subdivision/" TargetMode="External"/><Relationship Id="rId11449" Type="http://schemas.openxmlformats.org/officeDocument/2006/relationships/hyperlink" Target="https://www.atlasceramics.co.uk/tile-ideas/patio/" TargetMode="External"/><Relationship Id="rId15320" Type="http://schemas.openxmlformats.org/officeDocument/2006/relationships/hyperlink" Target="https://www.luxdeco.com/" TargetMode="External"/><Relationship Id="rId11930" Type="http://schemas.openxmlformats.org/officeDocument/2006/relationships/hyperlink" Target="https://www.ngwindows.com/blog/standard-door-sizes" TargetMode="External"/><Relationship Id="rId7551" Type="http://schemas.openxmlformats.org/officeDocument/2006/relationships/hyperlink" Target="https://www.phius.org/resnet-conference-2025-roundup" TargetMode="External"/><Relationship Id="rId8602" Type="http://schemas.openxmlformats.org/officeDocument/2006/relationships/hyperlink" Target="https://www.domain.com.au/living/the-great-outdoors-which-areas-of-the-home-do-buyers-care-about-most-20180321-h0xpt1/" TargetMode="External"/><Relationship Id="rId10532" Type="http://schemas.openxmlformats.org/officeDocument/2006/relationships/hyperlink" Target="https://www.osaka-gu.ac.jp/php/nakagawa/TRIZ/eTRIZ/eWTSP/eWTSP-WorldCatalog/eWTSP-WorldCatalog-TN3B-CreativeProblemSolve/Sites-TN3B.html" TargetMode="External"/><Relationship Id="rId16094" Type="http://schemas.openxmlformats.org/officeDocument/2006/relationships/hyperlink" Target="https://www.rwdoors.com/" TargetMode="External"/><Relationship Id="rId6153" Type="http://schemas.openxmlformats.org/officeDocument/2006/relationships/hyperlink" Target="https://theeagle.com/shopping/article_b2ce2071-e49f-57af-ac98-3bf750a0c7d7.html" TargetMode="External"/><Relationship Id="rId7204" Type="http://schemas.openxmlformats.org/officeDocument/2006/relationships/hyperlink" Target="https://www.taylormorrison.com/" TargetMode="External"/><Relationship Id="rId13755" Type="http://schemas.openxmlformats.org/officeDocument/2006/relationships/hyperlink" Target="https://eugene-mcintyre8209.firebaseapp.com/cowboy-birthday-party.html" TargetMode="External"/><Relationship Id="rId2763" Type="http://schemas.openxmlformats.org/officeDocument/2006/relationships/hyperlink" Target="https://www.simpleshowing.com/" TargetMode="External"/><Relationship Id="rId3814" Type="http://schemas.openxmlformats.org/officeDocument/2006/relationships/hyperlink" Target="https://thecoverguy.com/" TargetMode="External"/><Relationship Id="rId9376" Type="http://schemas.openxmlformats.org/officeDocument/2006/relationships/hyperlink" Target="https://www.teachengineering.org/" TargetMode="External"/><Relationship Id="rId12357" Type="http://schemas.openxmlformats.org/officeDocument/2006/relationships/hyperlink" Target="https://propertypressonline.co.uk/" TargetMode="External"/><Relationship Id="rId13408" Type="http://schemas.openxmlformats.org/officeDocument/2006/relationships/hyperlink" Target="https://myinteriorpalace.com/" TargetMode="External"/><Relationship Id="rId14806" Type="http://schemas.openxmlformats.org/officeDocument/2006/relationships/hyperlink" Target="https://myinteriorpalace.com/" TargetMode="External"/><Relationship Id="rId735" Type="http://schemas.openxmlformats.org/officeDocument/2006/relationships/hyperlink" Target="https://www.carolinadesigns.com/" TargetMode="External"/><Relationship Id="rId1365" Type="http://schemas.openxmlformats.org/officeDocument/2006/relationships/hyperlink" Target="https://www.simpleshowing.com/" TargetMode="External"/><Relationship Id="rId2416" Type="http://schemas.openxmlformats.org/officeDocument/2006/relationships/hyperlink" Target="https://www.pulte.com/" TargetMode="External"/><Relationship Id="rId9029" Type="http://schemas.openxmlformats.org/officeDocument/2006/relationships/hyperlink" Target="https://primejournal.co.uk/2026/01/15/how-proactive-estimating-transforms-financial-planning-in-construction-projects/" TargetMode="External"/><Relationship Id="rId1018" Type="http://schemas.openxmlformats.org/officeDocument/2006/relationships/hyperlink" Target="https://www.matrixbasements.com/" TargetMode="External"/><Relationship Id="rId4588" Type="http://schemas.openxmlformats.org/officeDocument/2006/relationships/hyperlink" Target="https://www.simpleshowing.com/" TargetMode="External"/><Relationship Id="rId5639" Type="http://schemas.openxmlformats.org/officeDocument/2006/relationships/hyperlink" Target="https://www.deskflex.com/blog/integrating-visitor-management-system-in-banks-insurance-companies-and-financial-institutions-for-a-safe-office" TargetMode="External"/><Relationship Id="rId5986" Type="http://schemas.openxmlformats.org/officeDocument/2006/relationships/hyperlink" Target="https://www.simpleshowing.com/" TargetMode="External"/><Relationship Id="rId71" Type="http://schemas.openxmlformats.org/officeDocument/2006/relationships/hyperlink" Target="http://www.corefactors.in/" TargetMode="External"/><Relationship Id="rId7061" Type="http://schemas.openxmlformats.org/officeDocument/2006/relationships/hyperlink" Target="https://www.taylormorrison.com/" TargetMode="External"/><Relationship Id="rId8112" Type="http://schemas.openxmlformats.org/officeDocument/2006/relationships/hyperlink" Target="https://whiteglovemoving.us/" TargetMode="External"/><Relationship Id="rId9510" Type="http://schemas.openxmlformats.org/officeDocument/2006/relationships/hyperlink" Target="https://www.pinoyeplans.com/" TargetMode="External"/><Relationship Id="rId11440" Type="http://schemas.openxmlformats.org/officeDocument/2006/relationships/hyperlink" Target="https://www.change.org/p/u-s-patent-trademark-office-cancel-registered-trademark-we-buy-houses" TargetMode="External"/><Relationship Id="rId10042" Type="http://schemas.openxmlformats.org/officeDocument/2006/relationships/hyperlink" Target="https://www.teachengineering.org/" TargetMode="External"/><Relationship Id="rId14663" Type="http://schemas.openxmlformats.org/officeDocument/2006/relationships/hyperlink" Target="https://www.easygaragedoorrepair.com/" TargetMode="External"/><Relationship Id="rId15714" Type="http://schemas.openxmlformats.org/officeDocument/2006/relationships/hyperlink" Target="https://citychangers.org/natural-materials-fact-file-wood/" TargetMode="External"/><Relationship Id="rId3671" Type="http://schemas.openxmlformats.org/officeDocument/2006/relationships/hyperlink" Target="https://7ten.marketing/web-design-for-electricians/" TargetMode="External"/><Relationship Id="rId4722" Type="http://schemas.openxmlformats.org/officeDocument/2006/relationships/hyperlink" Target="https://www.liveplan.com/blog/starting/real-estate-resources" TargetMode="External"/><Relationship Id="rId13265" Type="http://schemas.openxmlformats.org/officeDocument/2006/relationships/hyperlink" Target="https://www.pureinvestor.co.uk/" TargetMode="External"/><Relationship Id="rId14316" Type="http://schemas.openxmlformats.org/officeDocument/2006/relationships/hyperlink" Target="https://forum.gamequitters.com/?f=258336123" TargetMode="External"/><Relationship Id="rId592" Type="http://schemas.openxmlformats.org/officeDocument/2006/relationships/hyperlink" Target="https://lasgrutasturismo.gob.ar/?l=210270815" TargetMode="External"/><Relationship Id="rId2273" Type="http://schemas.openxmlformats.org/officeDocument/2006/relationships/hyperlink" Target="https://hotelguides.com/georgia/avenue-forsyth-ga-hotels.html" TargetMode="External"/><Relationship Id="rId3324" Type="http://schemas.openxmlformats.org/officeDocument/2006/relationships/hyperlink" Target="https://www.simpleshowing.com/" TargetMode="External"/><Relationship Id="rId6894" Type="http://schemas.openxmlformats.org/officeDocument/2006/relationships/hyperlink" Target="https://www.simpleshowing.com/" TargetMode="External"/><Relationship Id="rId7945" Type="http://schemas.openxmlformats.org/officeDocument/2006/relationships/hyperlink" Target="https://labormarketinfo.edd.ca.gov/aspdotnet/databrowsing/empDetails.aspx?menuChoice=emp&amp;empid=783151198&amp;geogArea=0604000073" TargetMode="External"/><Relationship Id="rId245" Type="http://schemas.openxmlformats.org/officeDocument/2006/relationships/hyperlink" Target="http://utopiamanagement.com/" TargetMode="External"/><Relationship Id="rId5496" Type="http://schemas.openxmlformats.org/officeDocument/2006/relationships/hyperlink" Target="https://www.simpleshowing.com/" TargetMode="External"/><Relationship Id="rId6547" Type="http://schemas.openxmlformats.org/officeDocument/2006/relationships/hyperlink" Target="https://www.simpleshowing.com/" TargetMode="External"/><Relationship Id="rId10926" Type="http://schemas.openxmlformats.org/officeDocument/2006/relationships/hyperlink" Target="https://www.pinoyeplans.com/" TargetMode="External"/><Relationship Id="rId4098" Type="http://schemas.openxmlformats.org/officeDocument/2006/relationships/hyperlink" Target="https://theclose.com/home-inspector-training-schools/" TargetMode="External"/><Relationship Id="rId5149" Type="http://schemas.openxmlformats.org/officeDocument/2006/relationships/hyperlink" Target="https://getwpfunnels.com/financial-advisor-sales-funnel/" TargetMode="External"/><Relationship Id="rId9020" Type="http://schemas.openxmlformats.org/officeDocument/2006/relationships/hyperlink" Target="https://www.beststartupstory.com/cost-estimation-matters-in-successful-construction-projects/" TargetMode="External"/><Relationship Id="rId12001" Type="http://schemas.openxmlformats.org/officeDocument/2006/relationships/hyperlink" Target="https://www.bobvila.com/" TargetMode="External"/><Relationship Id="rId15571" Type="http://schemas.openxmlformats.org/officeDocument/2006/relationships/hyperlink" Target="https://myinteriorpalace.com/" TargetMode="External"/><Relationship Id="rId1759" Type="http://schemas.openxmlformats.org/officeDocument/2006/relationships/hyperlink" Target="https://wolfriverelectric.com/" TargetMode="External"/><Relationship Id="rId3181" Type="http://schemas.openxmlformats.org/officeDocument/2006/relationships/hyperlink" Target="https://www.pulte.com/" TargetMode="External"/><Relationship Id="rId5630" Type="http://schemas.openxmlformats.org/officeDocument/2006/relationships/hyperlink" Target="https://www.simpleshowing.com/" TargetMode="External"/><Relationship Id="rId14173" Type="http://schemas.openxmlformats.org/officeDocument/2006/relationships/hyperlink" Target="https://myinteriorpalace.com/" TargetMode="External"/><Relationship Id="rId15224" Type="http://schemas.openxmlformats.org/officeDocument/2006/relationships/hyperlink" Target="https://www.luxdeco.com/" TargetMode="External"/><Relationship Id="rId4232" Type="http://schemas.openxmlformats.org/officeDocument/2006/relationships/hyperlink" Target="https://www.kapre.com/" TargetMode="External"/><Relationship Id="rId8853" Type="http://schemas.openxmlformats.org/officeDocument/2006/relationships/hyperlink" Target="https://www.pinoyeplans.com/" TargetMode="External"/><Relationship Id="rId9904" Type="http://schemas.openxmlformats.org/officeDocument/2006/relationships/hyperlink" Target="https://www.teachengineering.org/" TargetMode="External"/><Relationship Id="rId10783" Type="http://schemas.openxmlformats.org/officeDocument/2006/relationships/hyperlink" Target="https://www.teachengineering.org/" TargetMode="External"/><Relationship Id="rId11834" Type="http://schemas.openxmlformats.org/officeDocument/2006/relationships/hyperlink" Target="https://celebmix.com/how-to-give-your-home-the-a-list-look-without-breaking-the-bank/" TargetMode="External"/><Relationship Id="rId7455" Type="http://schemas.openxmlformats.org/officeDocument/2006/relationships/hyperlink" Target="https://rocklandtimes.com/2019/01/08/loyalty-rewards-system-in-the-housing-industry-will-it-work/" TargetMode="External"/><Relationship Id="rId8506" Type="http://schemas.openxmlformats.org/officeDocument/2006/relationships/hyperlink" Target="https://e-natura.unsa.edu.ar/moodle/mod/forum/discuss.php?d=17392&amp;parent=33443" TargetMode="External"/><Relationship Id="rId10436" Type="http://schemas.openxmlformats.org/officeDocument/2006/relationships/hyperlink" Target="https://www.svsu.edu/stem/k-12teachers/teachingresources/" TargetMode="External"/><Relationship Id="rId6057" Type="http://schemas.openxmlformats.org/officeDocument/2006/relationships/hyperlink" Target="https://kahawatungu.com/should-you-refinance-your-home-to-pay-off-credit-card-debt/" TargetMode="External"/><Relationship Id="rId7108" Type="http://schemas.openxmlformats.org/officeDocument/2006/relationships/hyperlink" Target="https://www.taylormorrison.com/" TargetMode="External"/><Relationship Id="rId986" Type="http://schemas.openxmlformats.org/officeDocument/2006/relationships/hyperlink" Target="https://www.gloryofthesnow.com/the-best-family-friendly-home-features-for-busy-households/" TargetMode="External"/><Relationship Id="rId2667" Type="http://schemas.openxmlformats.org/officeDocument/2006/relationships/hyperlink" Target="https://www.simpleshowing.com/" TargetMode="External"/><Relationship Id="rId3718" Type="http://schemas.openxmlformats.org/officeDocument/2006/relationships/hyperlink" Target="https://www.overheaddoors.com/" TargetMode="External"/><Relationship Id="rId13659" Type="http://schemas.openxmlformats.org/officeDocument/2006/relationships/hyperlink" Target="https://steemit.com/travelfeed/@koenau/on-an-aircraft-graveyard-bare-bones-of-planes" TargetMode="External"/><Relationship Id="rId15081" Type="http://schemas.openxmlformats.org/officeDocument/2006/relationships/hyperlink" Target="https://thimpress.com/basic-graphic-design-elements/" TargetMode="External"/><Relationship Id="rId16132" Type="http://schemas.openxmlformats.org/officeDocument/2006/relationships/hyperlink" Target="https://myinteriorpalace.com/" TargetMode="External"/><Relationship Id="rId639" Type="http://schemas.openxmlformats.org/officeDocument/2006/relationships/hyperlink" Target="https://www.carolinadesigns.com/" TargetMode="External"/><Relationship Id="rId1269" Type="http://schemas.openxmlformats.org/officeDocument/2006/relationships/hyperlink" Target="https://www.simpleshowing.com/" TargetMode="External"/><Relationship Id="rId5140" Type="http://schemas.openxmlformats.org/officeDocument/2006/relationships/hyperlink" Target="https://www.simpleshowing.com/" TargetMode="External"/><Relationship Id="rId9761" Type="http://schemas.openxmlformats.org/officeDocument/2006/relationships/hyperlink" Target="https://feedinghk.org/education/food-banked/" TargetMode="External"/><Relationship Id="rId11691" Type="http://schemas.openxmlformats.org/officeDocument/2006/relationships/hyperlink" Target="https://www.hamiltoninternationalestates.com/" TargetMode="External"/><Relationship Id="rId12742" Type="http://schemas.openxmlformats.org/officeDocument/2006/relationships/hyperlink" Target="https://propertypressonline.co.uk/" TargetMode="External"/><Relationship Id="rId1750" Type="http://schemas.openxmlformats.org/officeDocument/2006/relationships/hyperlink" Target="https://wolfriverelectric.com/" TargetMode="External"/><Relationship Id="rId2801" Type="http://schemas.openxmlformats.org/officeDocument/2006/relationships/hyperlink" Target="https://www.east-windsor.nj.us/2012-e-news-archive" TargetMode="External"/><Relationship Id="rId8016" Type="http://schemas.openxmlformats.org/officeDocument/2006/relationships/hyperlink" Target="https://indyroofandrestoration.com/" TargetMode="External"/><Relationship Id="rId8363" Type="http://schemas.openxmlformats.org/officeDocument/2006/relationships/hyperlink" Target="https://www.pinoyeplans.com/" TargetMode="External"/><Relationship Id="rId9414" Type="http://schemas.openxmlformats.org/officeDocument/2006/relationships/hyperlink" Target="https://www.pinoyeplans.com/" TargetMode="External"/><Relationship Id="rId10293" Type="http://schemas.openxmlformats.org/officeDocument/2006/relationships/hyperlink" Target="https://www.pinoyeplans.com/" TargetMode="External"/><Relationship Id="rId11344" Type="http://schemas.openxmlformats.org/officeDocument/2006/relationships/hyperlink" Target="mailto:info@homego.com" TargetMode="External"/><Relationship Id="rId15965" Type="http://schemas.openxmlformats.org/officeDocument/2006/relationships/hyperlink" Target="https://www.rwdoors.com/" TargetMode="External"/><Relationship Id="rId1403" Type="http://schemas.openxmlformats.org/officeDocument/2006/relationships/hyperlink" Target="https://michaelhelwiginteriors.com/2017-blog/2025/3/17/effortless-midcentury-modern-decor-for-a-timeless-look" TargetMode="External"/><Relationship Id="rId4973" Type="http://schemas.openxmlformats.org/officeDocument/2006/relationships/hyperlink" Target="https://agnesgaddis.journoportfolio.com/rss.xml" TargetMode="External"/><Relationship Id="rId14567" Type="http://schemas.openxmlformats.org/officeDocument/2006/relationships/hyperlink" Target="https://www.easygaragedoorrepair.com/" TargetMode="External"/><Relationship Id="rId15618" Type="http://schemas.openxmlformats.org/officeDocument/2006/relationships/hyperlink" Target="https://sanssoucie.com/blog/2018/02/6-design-trends-youll-want-try-2018/" TargetMode="External"/><Relationship Id="rId3575" Type="http://schemas.openxmlformats.org/officeDocument/2006/relationships/hyperlink" Target="https://trackshack.orlando2024trials.com/events/run-for-the-trees-jeannette-genius-mckean-memorial-5k/97/" TargetMode="External"/><Relationship Id="rId4626" Type="http://schemas.openxmlformats.org/officeDocument/2006/relationships/hyperlink" Target="https://www.entrepreneurshiplife.com/5-steps-to-take-to-get-your-dream-home/" TargetMode="External"/><Relationship Id="rId13169" Type="http://schemas.openxmlformats.org/officeDocument/2006/relationships/hyperlink" Target="https://www.shma.co.uk/" TargetMode="External"/><Relationship Id="rId496" Type="http://schemas.openxmlformats.org/officeDocument/2006/relationships/hyperlink" Target="https://www.wanderwithwonder.com/10-things-you-can-do-with-your-kids-in-the-outer-banks/" TargetMode="External"/><Relationship Id="rId2177" Type="http://schemas.openxmlformats.org/officeDocument/2006/relationships/hyperlink" Target="https://dev.waterfront-properties.com/blog/the-very-best-brokers-in-the-united-states-and-across-the-globe-stay-connected.html" TargetMode="External"/><Relationship Id="rId3228" Type="http://schemas.openxmlformats.org/officeDocument/2006/relationships/hyperlink" Target="https://www.simpleshowing.com/" TargetMode="External"/><Relationship Id="rId6798" Type="http://schemas.openxmlformats.org/officeDocument/2006/relationships/hyperlink" Target="https://www.simpleshowing.com/" TargetMode="External"/><Relationship Id="rId7849" Type="http://schemas.openxmlformats.org/officeDocument/2006/relationships/hyperlink" Target="https://cremedelacreme.com/blog/5-east-cobb-ga-day-trips-youll-love/" TargetMode="External"/><Relationship Id="rId149" Type="http://schemas.openxmlformats.org/officeDocument/2006/relationships/hyperlink" Target="https://www.realestatemagazine.ca/" TargetMode="External"/><Relationship Id="rId9271" Type="http://schemas.openxmlformats.org/officeDocument/2006/relationships/hyperlink" Target="https://www.teachengineering.org/" TargetMode="External"/><Relationship Id="rId13650" Type="http://schemas.openxmlformats.org/officeDocument/2006/relationships/hyperlink" Target="http://masterclass.infoorel.ru/otzyvy.php?id_public=4" TargetMode="External"/><Relationship Id="rId14701" Type="http://schemas.openxmlformats.org/officeDocument/2006/relationships/hyperlink" Target="https://myinteriorpalace.com/" TargetMode="External"/><Relationship Id="rId1260" Type="http://schemas.openxmlformats.org/officeDocument/2006/relationships/hyperlink" Target="https://www.simpleshowing.com/" TargetMode="External"/><Relationship Id="rId12252" Type="http://schemas.openxmlformats.org/officeDocument/2006/relationships/hyperlink" Target="https://propertypressonline.co.uk/" TargetMode="External"/><Relationship Id="rId13303" Type="http://schemas.openxmlformats.org/officeDocument/2006/relationships/hyperlink" Target="https://myinteriorpalace.com/" TargetMode="External"/><Relationship Id="rId630" Type="http://schemas.openxmlformats.org/officeDocument/2006/relationships/hyperlink" Target="https://www.carolinadesigns.com/" TargetMode="External"/><Relationship Id="rId2311" Type="http://schemas.openxmlformats.org/officeDocument/2006/relationships/hyperlink" Target="https://www.collectionforsyth.com/" TargetMode="External"/><Relationship Id="rId5881" Type="http://schemas.openxmlformats.org/officeDocument/2006/relationships/hyperlink" Target="https://archeyes.com/the-importance-of-a-business-loan-calculator-for-architects-and-small-firms/" TargetMode="External"/><Relationship Id="rId6932" Type="http://schemas.openxmlformats.org/officeDocument/2006/relationships/hyperlink" Target="https://www.taylormorrison.com/" TargetMode="External"/><Relationship Id="rId15475" Type="http://schemas.openxmlformats.org/officeDocument/2006/relationships/hyperlink" Target="https://myinteriorpalace.com/" TargetMode="External"/><Relationship Id="rId4483" Type="http://schemas.openxmlformats.org/officeDocument/2006/relationships/hyperlink" Target="https://www.simpleshowing.com/" TargetMode="External"/><Relationship Id="rId5534" Type="http://schemas.openxmlformats.org/officeDocument/2006/relationships/hyperlink" Target="https://www.simpleshowing.com/" TargetMode="External"/><Relationship Id="rId14077" Type="http://schemas.openxmlformats.org/officeDocument/2006/relationships/hyperlink" Target="https://myinteriorpalace.com/" TargetMode="External"/><Relationship Id="rId15128" Type="http://schemas.openxmlformats.org/officeDocument/2006/relationships/hyperlink" Target="https://www.luxdeco.com/" TargetMode="External"/><Relationship Id="rId3085" Type="http://schemas.openxmlformats.org/officeDocument/2006/relationships/hyperlink" Target="https://www.pulte.com/" TargetMode="External"/><Relationship Id="rId4136" Type="http://schemas.openxmlformats.org/officeDocument/2006/relationships/hyperlink" Target="https://www.simpleshowing.com/" TargetMode="External"/><Relationship Id="rId8757" Type="http://schemas.openxmlformats.org/officeDocument/2006/relationships/hyperlink" Target="https://propertychecker.com/" TargetMode="External"/><Relationship Id="rId9808" Type="http://schemas.openxmlformats.org/officeDocument/2006/relationships/hyperlink" Target="https://www.teachengineering.org/" TargetMode="External"/><Relationship Id="rId10687" Type="http://schemas.openxmlformats.org/officeDocument/2006/relationships/hyperlink" Target="https://www.teachengineering.org/" TargetMode="External"/><Relationship Id="rId7359" Type="http://schemas.openxmlformats.org/officeDocument/2006/relationships/hyperlink" Target="https://www.taylormorrison.com/" TargetMode="External"/><Relationship Id="rId11738" Type="http://schemas.openxmlformats.org/officeDocument/2006/relationships/hyperlink" Target="https://leamingtonobserver.co.uk/lifestyle/preparing-your-property-for-a-swift-sale/" TargetMode="External"/><Relationship Id="rId13160" Type="http://schemas.openxmlformats.org/officeDocument/2006/relationships/hyperlink" Target="https://www.shma.co.uk/" TargetMode="External"/><Relationship Id="rId14211" Type="http://schemas.openxmlformats.org/officeDocument/2006/relationships/hyperlink" Target="https://livepositively.com/fiera-lip-plumper-review-what-to-know-before-trying-it/" TargetMode="External"/><Relationship Id="rId140" Type="http://schemas.openxmlformats.org/officeDocument/2006/relationships/hyperlink" Target="https://www.cloverdalereporter.com/" TargetMode="External"/><Relationship Id="rId3969" Type="http://schemas.openxmlformats.org/officeDocument/2006/relationships/hyperlink" Target="https://www.simpleshowing.com/" TargetMode="External"/><Relationship Id="rId5391" Type="http://schemas.openxmlformats.org/officeDocument/2006/relationships/hyperlink" Target="https://awealthofcommonsense.com/2019/03/animal-spirits-episode-72-where-were-you-at-the-bottom/" TargetMode="External"/><Relationship Id="rId7840" Type="http://schemas.openxmlformats.org/officeDocument/2006/relationships/hyperlink" Target="https://www.regattacentral.com/v3/cms/regatta/3118/lodging?org_id=0" TargetMode="External"/><Relationship Id="rId10821" Type="http://schemas.openxmlformats.org/officeDocument/2006/relationships/hyperlink" Target="https://www.pinoyeplans.com/" TargetMode="External"/><Relationship Id="rId6" Type="http://schemas.openxmlformats.org/officeDocument/2006/relationships/hyperlink" Target="https://www.hyatus.com/mastering-house-flipping-a-comprehensive-guide-to-real-estate-success/" TargetMode="External"/><Relationship Id="rId5044" Type="http://schemas.openxmlformats.org/officeDocument/2006/relationships/hyperlink" Target="https://www.simpleshowing.com/" TargetMode="External"/><Relationship Id="rId6442" Type="http://schemas.openxmlformats.org/officeDocument/2006/relationships/hyperlink" Target="https://www.simpleshowing.com/" TargetMode="External"/><Relationship Id="rId12993" Type="http://schemas.openxmlformats.org/officeDocument/2006/relationships/hyperlink" Target="https://www.retailsector.co.uk/637717-greenwashing-vs-greenhushing-how-can-businesses-get-it-right/" TargetMode="External"/><Relationship Id="rId16036" Type="http://schemas.openxmlformats.org/officeDocument/2006/relationships/hyperlink" Target="https://myinteriorpalace.com/" TargetMode="External"/><Relationship Id="rId9665" Type="http://schemas.openxmlformats.org/officeDocument/2006/relationships/hyperlink" Target="https://ceramics.org/career-development/communicating-science/" TargetMode="External"/><Relationship Id="rId11595" Type="http://schemas.openxmlformats.org/officeDocument/2006/relationships/hyperlink" Target="https://www.hamiltoninternationalestates.com/" TargetMode="External"/><Relationship Id="rId12646" Type="http://schemas.openxmlformats.org/officeDocument/2006/relationships/hyperlink" Target="https://propertypressonline.co.uk/" TargetMode="External"/><Relationship Id="rId1654" Type="http://schemas.openxmlformats.org/officeDocument/2006/relationships/hyperlink" Target="https://wolfriverelectric.com/" TargetMode="External"/><Relationship Id="rId2705" Type="http://schemas.openxmlformats.org/officeDocument/2006/relationships/hyperlink" Target="https://www.expatden.com/usa/buy-a-house-in-florida/" TargetMode="External"/><Relationship Id="rId8267" Type="http://schemas.openxmlformats.org/officeDocument/2006/relationships/hyperlink" Target="https://www.pinoyeplans.com/" TargetMode="External"/><Relationship Id="rId9318" Type="http://schemas.openxmlformats.org/officeDocument/2006/relationships/hyperlink" Target="https://www.pinoyeplans.com/" TargetMode="External"/><Relationship Id="rId10197" Type="http://schemas.openxmlformats.org/officeDocument/2006/relationships/hyperlink" Target="https://www.pinoyeplans.com/" TargetMode="External"/><Relationship Id="rId11248" Type="http://schemas.openxmlformats.org/officeDocument/2006/relationships/hyperlink" Target="https://www.waterdamagespecialist.com.au/" TargetMode="External"/><Relationship Id="rId1307" Type="http://schemas.openxmlformats.org/officeDocument/2006/relationships/hyperlink" Target="https://www.kyleads.com/blog/how-to-generate-leads-as-a-real-estate-professional/" TargetMode="External"/><Relationship Id="rId4877" Type="http://schemas.openxmlformats.org/officeDocument/2006/relationships/hyperlink" Target="https://www.postalytics.com/blog/real-estate-direct-mail-marketing/" TargetMode="External"/><Relationship Id="rId5928" Type="http://schemas.openxmlformats.org/officeDocument/2006/relationships/hyperlink" Target="https://www.simpleshowing.com/" TargetMode="External"/><Relationship Id="rId15869" Type="http://schemas.openxmlformats.org/officeDocument/2006/relationships/hyperlink" Target="https://www.modinex.com.au/" TargetMode="External"/><Relationship Id="rId13" Type="http://schemas.openxmlformats.org/officeDocument/2006/relationships/hyperlink" Target="https://www.worldcoppersmith.com/articles/the-ultimate-sink-buyers-guide/" TargetMode="External"/><Relationship Id="rId3479" Type="http://schemas.openxmlformats.org/officeDocument/2006/relationships/hyperlink" Target="https://www.inquirer.com/philly/business/real_estate/_The_Perfect_10_Sales_Event__June_22-24th_by_Pulte_Homes.html" TargetMode="External"/><Relationship Id="rId7350" Type="http://schemas.openxmlformats.org/officeDocument/2006/relationships/hyperlink" Target="https://www.taylormorrison.com/" TargetMode="External"/><Relationship Id="rId8401" Type="http://schemas.openxmlformats.org/officeDocument/2006/relationships/hyperlink" Target="https://www.notebook.ai/users/1063670" TargetMode="External"/><Relationship Id="rId7003" Type="http://schemas.openxmlformats.org/officeDocument/2006/relationships/hyperlink" Target="https://www.simpleshowing.com/" TargetMode="External"/><Relationship Id="rId10331" Type="http://schemas.openxmlformats.org/officeDocument/2006/relationships/hyperlink" Target="https://eastbrookpto.membershiptoolkit.com/stemfair" TargetMode="External"/><Relationship Id="rId14952" Type="http://schemas.openxmlformats.org/officeDocument/2006/relationships/hyperlink" Target="https://www.fastbase.com/dataset/companies/Australia/Plumbing" TargetMode="External"/><Relationship Id="rId3960" Type="http://schemas.openxmlformats.org/officeDocument/2006/relationships/hyperlink" Target="https://www.simpleshowing.com/" TargetMode="External"/><Relationship Id="rId9175" Type="http://schemas.openxmlformats.org/officeDocument/2006/relationships/hyperlink" Target="https://nycestimating.us/" TargetMode="External"/><Relationship Id="rId13554" Type="http://schemas.openxmlformats.org/officeDocument/2006/relationships/hyperlink" Target="https://mixandmatchmama.com/2012/10/slow-cooker-love-over-at-nation-of-moms/" TargetMode="External"/><Relationship Id="rId14605" Type="http://schemas.openxmlformats.org/officeDocument/2006/relationships/hyperlink" Target="https://myinteriorpalace.com/" TargetMode="External"/><Relationship Id="rId881" Type="http://schemas.openxmlformats.org/officeDocument/2006/relationships/hyperlink" Target="https://www.smallbusinesscoach.org/5-ways-pests-can-hurt-your-business/" TargetMode="External"/><Relationship Id="rId2562" Type="http://schemas.openxmlformats.org/officeDocument/2006/relationships/hyperlink" Target="https://www.simpleshowing.com/" TargetMode="External"/><Relationship Id="rId3613" Type="http://schemas.openxmlformats.org/officeDocument/2006/relationships/hyperlink" Target="https://www.pulte.com/" TargetMode="External"/><Relationship Id="rId12156" Type="http://schemas.openxmlformats.org/officeDocument/2006/relationships/hyperlink" Target="https://www.hamiltoninternationalestates.com/" TargetMode="External"/><Relationship Id="rId13207" Type="http://schemas.openxmlformats.org/officeDocument/2006/relationships/hyperlink" Target="https://propertypressonline.co.uk/" TargetMode="External"/><Relationship Id="rId534" Type="http://schemas.openxmlformats.org/officeDocument/2006/relationships/hyperlink" Target="https://www.carolinadesigns.com/" TargetMode="External"/><Relationship Id="rId1164" Type="http://schemas.openxmlformats.org/officeDocument/2006/relationships/hyperlink" Target="https://www.simpleshowing.com/" TargetMode="External"/><Relationship Id="rId2215" Type="http://schemas.openxmlformats.org/officeDocument/2006/relationships/hyperlink" Target="https://www.tulsahomesforcash.com/" TargetMode="External"/><Relationship Id="rId5785" Type="http://schemas.openxmlformats.org/officeDocument/2006/relationships/hyperlink" Target="http://itsupplychain.com/debt-can-work-in-your-favor/" TargetMode="External"/><Relationship Id="rId6836" Type="http://schemas.openxmlformats.org/officeDocument/2006/relationships/hyperlink" Target="https://www.adweek.com/podcasts/marketing-vanguard/" TargetMode="External"/><Relationship Id="rId15379" Type="http://schemas.openxmlformats.org/officeDocument/2006/relationships/hyperlink" Target="https://myinteriorpalace.com/" TargetMode="External"/><Relationship Id="rId4387" Type="http://schemas.openxmlformats.org/officeDocument/2006/relationships/hyperlink" Target="https://www.simpleshowing.com/" TargetMode="External"/><Relationship Id="rId5438" Type="http://schemas.openxmlformats.org/officeDocument/2006/relationships/hyperlink" Target="https://www.simpleshowing.com/" TargetMode="External"/><Relationship Id="rId11989" Type="http://schemas.openxmlformats.org/officeDocument/2006/relationships/hyperlink" Target="https://www.bobvila.com/" TargetMode="External"/><Relationship Id="rId15860" Type="http://schemas.openxmlformats.org/officeDocument/2006/relationships/hyperlink" Target="https://www.modinex.com.au/" TargetMode="External"/><Relationship Id="rId3470" Type="http://schemas.openxmlformats.org/officeDocument/2006/relationships/hyperlink" Target="https://ccmcnet.com/company-news/ccmc-expands-relationship-with-pultegroup/" TargetMode="External"/><Relationship Id="rId13064" Type="http://schemas.openxmlformats.org/officeDocument/2006/relationships/hyperlink" Target="https://www.shma.co.uk/" TargetMode="External"/><Relationship Id="rId14462" Type="http://schemas.openxmlformats.org/officeDocument/2006/relationships/hyperlink" Target="https://raynordoor.com/" TargetMode="External"/><Relationship Id="rId15513" Type="http://schemas.openxmlformats.org/officeDocument/2006/relationships/hyperlink" Target="https://www.dealdrop.com/luxdeco-uk" TargetMode="External"/><Relationship Id="rId391" Type="http://schemas.openxmlformats.org/officeDocument/2006/relationships/hyperlink" Target="https://www.womenontopp.com/empowered-women-investing-in-vacation-property-for-financial-growth-and-personal-freedom/" TargetMode="External"/><Relationship Id="rId2072" Type="http://schemas.openxmlformats.org/officeDocument/2006/relationships/hyperlink" Target="https://www.997wtn.com/2019/01/02/wtn-steak-of-the-union/" TargetMode="External"/><Relationship Id="rId3123" Type="http://schemas.openxmlformats.org/officeDocument/2006/relationships/hyperlink" Target="https://www.simpleshowing.com/" TargetMode="External"/><Relationship Id="rId4521" Type="http://schemas.openxmlformats.org/officeDocument/2006/relationships/hyperlink" Target="https://www.wndu.com/2024/05/27/high-school-seniors-can-now-get-real-estate-license-free-this-state/" TargetMode="External"/><Relationship Id="rId14115" Type="http://schemas.openxmlformats.org/officeDocument/2006/relationships/hyperlink" Target="https://cloudmagazine.co.uk/transform-your-yard-into-a-welcoming-retreat-tips-for-boosting-your-homes-first-impressions/" TargetMode="External"/><Relationship Id="rId6693" Type="http://schemas.openxmlformats.org/officeDocument/2006/relationships/hyperlink" Target="https://www.simpleshowing.com/" TargetMode="External"/><Relationship Id="rId7744" Type="http://schemas.openxmlformats.org/officeDocument/2006/relationships/hyperlink" Target="https://discoverlakelanier.com/" TargetMode="External"/><Relationship Id="rId10725" Type="http://schemas.openxmlformats.org/officeDocument/2006/relationships/hyperlink" Target="https://www.pinoyeplans.com/" TargetMode="External"/><Relationship Id="rId5295" Type="http://schemas.openxmlformats.org/officeDocument/2006/relationships/hyperlink" Target="https://realwedding.co.uk/just-got-engaged-heres-what-you-need-to-do-first" TargetMode="External"/><Relationship Id="rId6346" Type="http://schemas.openxmlformats.org/officeDocument/2006/relationships/hyperlink" Target="https://www.simpleshowing.com/" TargetMode="External"/><Relationship Id="rId12897" Type="http://schemas.openxmlformats.org/officeDocument/2006/relationships/hyperlink" Target="https://frostbrowntodd.com/data-privacy-detective-podcast-episode-67-data-flows-after-brexit-for-now/" TargetMode="External"/><Relationship Id="rId2956" Type="http://schemas.openxmlformats.org/officeDocument/2006/relationships/hyperlink" Target="https://www.pulte.com/" TargetMode="External"/><Relationship Id="rId9569" Type="http://schemas.openxmlformats.org/officeDocument/2006/relationships/hyperlink" Target="https://www.middleweb.com/5003/real-world-stem-problems/" TargetMode="External"/><Relationship Id="rId11499" Type="http://schemas.openxmlformats.org/officeDocument/2006/relationships/hyperlink" Target="https://sellhousefast.uk/" TargetMode="External"/><Relationship Id="rId13948" Type="http://schemas.openxmlformats.org/officeDocument/2006/relationships/hyperlink" Target="https://myinteriorpalace.com/" TargetMode="External"/><Relationship Id="rId15370" Type="http://schemas.openxmlformats.org/officeDocument/2006/relationships/hyperlink" Target="https://myinteriorpalace.com/" TargetMode="External"/><Relationship Id="rId928" Type="http://schemas.openxmlformats.org/officeDocument/2006/relationships/hyperlink" Target="https://www.matrixbasements.com/" TargetMode="External"/><Relationship Id="rId1558" Type="http://schemas.openxmlformats.org/officeDocument/2006/relationships/hyperlink" Target="https://wolfriverelectric.com/" TargetMode="External"/><Relationship Id="rId2609" Type="http://schemas.openxmlformats.org/officeDocument/2006/relationships/hyperlink" Target="https://summitmoving.com/blog/new-construction-homes-in-akron/" TargetMode="External"/><Relationship Id="rId15023" Type="http://schemas.openxmlformats.org/officeDocument/2006/relationships/hyperlink" Target="https://www.luxdeco.com/" TargetMode="External"/><Relationship Id="rId4031" Type="http://schemas.openxmlformats.org/officeDocument/2006/relationships/hyperlink" Target="https://www.finance-monthly.com/prevent-the-payout-why-spring-maintenance-is-a-financial-decision/" TargetMode="External"/><Relationship Id="rId11980" Type="http://schemas.openxmlformats.org/officeDocument/2006/relationships/hyperlink" Target="https://www.bobvila.com/" TargetMode="External"/><Relationship Id="rId7254" Type="http://schemas.openxmlformats.org/officeDocument/2006/relationships/hyperlink" Target="https://www.taylormorrison.com/" TargetMode="External"/><Relationship Id="rId8305" Type="http://schemas.openxmlformats.org/officeDocument/2006/relationships/hyperlink" Target="https://www.nfh.ca/?n=347329828" TargetMode="External"/><Relationship Id="rId8652" Type="http://schemas.openxmlformats.org/officeDocument/2006/relationships/hyperlink" Target="https://perlelectrical.co.nz/" TargetMode="External"/><Relationship Id="rId9703" Type="http://schemas.openxmlformats.org/officeDocument/2006/relationships/hyperlink" Target="https://www.teachengineering.org/" TargetMode="External"/><Relationship Id="rId10582" Type="http://schemas.openxmlformats.org/officeDocument/2006/relationships/hyperlink" Target="https://www.teachengineering.org/" TargetMode="External"/><Relationship Id="rId11633" Type="http://schemas.openxmlformats.org/officeDocument/2006/relationships/hyperlink" Target="https://westernbusiness.co.uk/building-a-new-work-from-home-office-after-a-move/" TargetMode="External"/><Relationship Id="rId10235" Type="http://schemas.openxmlformats.org/officeDocument/2006/relationships/hyperlink" Target="https://extension.wsu.edu/sanjuan/4h/projects-and-programs-new/animal-science-stem-projects/" TargetMode="External"/><Relationship Id="rId14856" Type="http://schemas.openxmlformats.org/officeDocument/2006/relationships/hyperlink" Target="https://opplehouse.com/the-hidden-contaminants-in-your-tap-water/" TargetMode="External"/><Relationship Id="rId15907" Type="http://schemas.openxmlformats.org/officeDocument/2006/relationships/hyperlink" Target="https://myinteriorpalace.com/" TargetMode="External"/><Relationship Id="rId3864" Type="http://schemas.openxmlformats.org/officeDocument/2006/relationships/hyperlink" Target="https://www.simpleshowing.com/" TargetMode="External"/><Relationship Id="rId4915" Type="http://schemas.openxmlformats.org/officeDocument/2006/relationships/hyperlink" Target="https://shoot2sell.net/blog/virtual-open-house-blog-post/" TargetMode="External"/><Relationship Id="rId13458" Type="http://schemas.openxmlformats.org/officeDocument/2006/relationships/hyperlink" Target="https://knights-plumbing-drain.s3.us.cloud-object-storage.appdomain.cloud/index.html" TargetMode="External"/><Relationship Id="rId14509" Type="http://schemas.openxmlformats.org/officeDocument/2006/relationships/hyperlink" Target="https://myinteriorpalace.com/" TargetMode="External"/><Relationship Id="rId785" Type="http://schemas.openxmlformats.org/officeDocument/2006/relationships/hyperlink" Target="https://www.simpleshowing.com/" TargetMode="External"/><Relationship Id="rId2466" Type="http://schemas.openxmlformats.org/officeDocument/2006/relationships/hyperlink" Target="https://www.simpleshowing.com/" TargetMode="External"/><Relationship Id="rId3517" Type="http://schemas.openxmlformats.org/officeDocument/2006/relationships/hyperlink" Target="https://www.pulte.com/" TargetMode="External"/><Relationship Id="rId9079" Type="http://schemas.openxmlformats.org/officeDocument/2006/relationships/hyperlink" Target="https://nycestimating.us/" TargetMode="External"/><Relationship Id="rId438" Type="http://schemas.openxmlformats.org/officeDocument/2006/relationships/hyperlink" Target="https://www.carolinadesigns.com/" TargetMode="External"/><Relationship Id="rId1068" Type="http://schemas.openxmlformats.org/officeDocument/2006/relationships/hyperlink" Target="https://www.simpleshowing.com/" TargetMode="External"/><Relationship Id="rId2119" Type="http://schemas.openxmlformats.org/officeDocument/2006/relationships/hyperlink" Target="https://markspain.com/" TargetMode="External"/><Relationship Id="rId5689" Type="http://schemas.openxmlformats.org/officeDocument/2006/relationships/hyperlink" Target="https://upvio.com/blog/practice-management/2024-goal-setting-tips-and-worksheets-for-practitioners" TargetMode="External"/><Relationship Id="rId9560" Type="http://schemas.openxmlformats.org/officeDocument/2006/relationships/hyperlink" Target="https://www.wpi.edu/academics/stem-education-center/professional-development/teacher-resources" TargetMode="External"/><Relationship Id="rId8162" Type="http://schemas.openxmlformats.org/officeDocument/2006/relationships/hyperlink" Target="https://www.pinoyeplans.com/" TargetMode="External"/><Relationship Id="rId9213" Type="http://schemas.openxmlformats.org/officeDocument/2006/relationships/hyperlink" Target="https://www.pinoyeplans.com/" TargetMode="External"/><Relationship Id="rId10092" Type="http://schemas.openxmlformats.org/officeDocument/2006/relationships/hyperlink" Target="https://www.pinoyeplans.com/" TargetMode="External"/><Relationship Id="rId11143" Type="http://schemas.openxmlformats.org/officeDocument/2006/relationships/hyperlink" Target="https://www.waterdamagespecialist.com.au/" TargetMode="External"/><Relationship Id="rId11490" Type="http://schemas.openxmlformats.org/officeDocument/2006/relationships/hyperlink" Target="https://sellhousefast.uk/" TargetMode="External"/><Relationship Id="rId12541" Type="http://schemas.openxmlformats.org/officeDocument/2006/relationships/hyperlink" Target="https://propertypressonline.co.uk/" TargetMode="External"/><Relationship Id="rId1202" Type="http://schemas.openxmlformats.org/officeDocument/2006/relationships/hyperlink" Target="https://intheplayroom.co.uk/10-reasons-to-move-to-a-new-neighbourhood/" TargetMode="External"/><Relationship Id="rId2600" Type="http://schemas.openxmlformats.org/officeDocument/2006/relationships/hyperlink" Target="https://inloveandadventure.com/colorado-elopement/" TargetMode="External"/><Relationship Id="rId15764" Type="http://schemas.openxmlformats.org/officeDocument/2006/relationships/hyperlink" Target="https://www.modinex.com.au/" TargetMode="External"/><Relationship Id="rId4772" Type="http://schemas.openxmlformats.org/officeDocument/2006/relationships/hyperlink" Target="https://www.kapre.com/" TargetMode="External"/><Relationship Id="rId5823" Type="http://schemas.openxmlformats.org/officeDocument/2006/relationships/hyperlink" Target="https://hollywoodlife.com/2025/05/19/how-californians-are-overcoming-financial-challenges/" TargetMode="External"/><Relationship Id="rId14366" Type="http://schemas.openxmlformats.org/officeDocument/2006/relationships/hyperlink" Target="https://luxurylifestyle.com/" TargetMode="External"/><Relationship Id="rId15417" Type="http://schemas.openxmlformats.org/officeDocument/2006/relationships/hyperlink" Target="https://www.covetedition.com/news/4-hardware-shops-in-the-uk-you-need-to-visit/" TargetMode="External"/><Relationship Id="rId295" Type="http://schemas.openxmlformats.org/officeDocument/2006/relationships/hyperlink" Target="https://www.freshdesignblog.com/2022/05/revealed-top-10-cities-to-search-for-a-house/" TargetMode="External"/><Relationship Id="rId3374" Type="http://schemas.openxmlformats.org/officeDocument/2006/relationships/hyperlink" Target="https://www.chicagobusiness.com/article/20140417/CRED0701/140419783/new-homes-in-suburbs-tout-first-floor-master-bedrooms" TargetMode="External"/><Relationship Id="rId4425" Type="http://schemas.openxmlformats.org/officeDocument/2006/relationships/hyperlink" Target="https://www.floridarealtors.org/events/annual-convention/exhibitors" TargetMode="External"/><Relationship Id="rId7995" Type="http://schemas.openxmlformats.org/officeDocument/2006/relationships/hyperlink" Target="https://indyroofandrestoration.com/" TargetMode="External"/><Relationship Id="rId10976" Type="http://schemas.openxmlformats.org/officeDocument/2006/relationships/hyperlink" Target="https://app.sophia.org/tutorials/ngss-standards-5th-grade-plants-and-their-environment" TargetMode="External"/><Relationship Id="rId14019" Type="http://schemas.openxmlformats.org/officeDocument/2006/relationships/hyperlink" Target="https://designrelated.com/refresh-your-yard-and-boost-your-homes-street-style/" TargetMode="External"/><Relationship Id="rId3027" Type="http://schemas.openxmlformats.org/officeDocument/2006/relationships/hyperlink" Target="https://www.simpleshowing.com/" TargetMode="External"/><Relationship Id="rId6597" Type="http://schemas.openxmlformats.org/officeDocument/2006/relationships/hyperlink" Target="https://www.thermasol.com/" TargetMode="External"/><Relationship Id="rId7648" Type="http://schemas.openxmlformats.org/officeDocument/2006/relationships/hyperlink" Target="https://www.simpleshowing.com/" TargetMode="External"/><Relationship Id="rId10629" Type="http://schemas.openxmlformats.org/officeDocument/2006/relationships/hyperlink" Target="https://www.pinoyeplans.com/" TargetMode="External"/><Relationship Id="rId14500" Type="http://schemas.openxmlformats.org/officeDocument/2006/relationships/hyperlink" Target="https://myinteriorpalace.com/" TargetMode="External"/><Relationship Id="rId5199" Type="http://schemas.openxmlformats.org/officeDocument/2006/relationships/hyperlink" Target="https://richmond.com/news/nation-world/" TargetMode="External"/><Relationship Id="rId9070" Type="http://schemas.openxmlformats.org/officeDocument/2006/relationships/hyperlink" Target="https://nycestimating.us/" TargetMode="External"/><Relationship Id="rId12051" Type="http://schemas.openxmlformats.org/officeDocument/2006/relationships/hyperlink" Target="https://www.hamiltoninternationalestates.com/" TargetMode="External"/><Relationship Id="rId13102" Type="http://schemas.openxmlformats.org/officeDocument/2006/relationships/hyperlink" Target="https://propertypressonline.co.uk/" TargetMode="External"/><Relationship Id="rId2110" Type="http://schemas.openxmlformats.org/officeDocument/2006/relationships/hyperlink" Target="https://markspain.com/" TargetMode="External"/><Relationship Id="rId5680" Type="http://schemas.openxmlformats.org/officeDocument/2006/relationships/hyperlink" Target="https://www.simpleshowing.com/" TargetMode="External"/><Relationship Id="rId15274" Type="http://schemas.openxmlformats.org/officeDocument/2006/relationships/hyperlink" Target="https://myinteriorpalace.com/" TargetMode="External"/><Relationship Id="rId4282" Type="http://schemas.openxmlformats.org/officeDocument/2006/relationships/hyperlink" Target="https://www.simpleshowing.com/" TargetMode="External"/><Relationship Id="rId5333" Type="http://schemas.openxmlformats.org/officeDocument/2006/relationships/hyperlink" Target="https://synder.com/blog/understanding-business-credit-scores/" TargetMode="External"/><Relationship Id="rId6731" Type="http://schemas.openxmlformats.org/officeDocument/2006/relationships/hyperlink" Target="https://plantersetcetera.com/es/blogs/planter-guides/wildlife-fiberglass-planters" TargetMode="External"/><Relationship Id="rId9954" Type="http://schemas.openxmlformats.org/officeDocument/2006/relationships/hyperlink" Target="https://www.pinoyeplans.com/" TargetMode="External"/><Relationship Id="rId11884" Type="http://schemas.openxmlformats.org/officeDocument/2006/relationships/hyperlink" Target="https://www.buymortgage.com/" TargetMode="External"/><Relationship Id="rId12935" Type="http://schemas.openxmlformats.org/officeDocument/2006/relationships/hyperlink" Target="https://www.shma.co.uk/" TargetMode="External"/><Relationship Id="rId1943" Type="http://schemas.openxmlformats.org/officeDocument/2006/relationships/hyperlink" Target="https://drhomey.com/how-much-does-a-home-appraisal-really-cost-in-2025/" TargetMode="External"/><Relationship Id="rId8556" Type="http://schemas.openxmlformats.org/officeDocument/2006/relationships/hyperlink" Target="https://www.cylind.com/" TargetMode="External"/><Relationship Id="rId9607" Type="http://schemas.openxmlformats.org/officeDocument/2006/relationships/hyperlink" Target="https://www.teachengineering.org/" TargetMode="External"/><Relationship Id="rId10486" Type="http://schemas.openxmlformats.org/officeDocument/2006/relationships/hyperlink" Target="https://www.teachengineering.org/" TargetMode="External"/><Relationship Id="rId11537" Type="http://schemas.openxmlformats.org/officeDocument/2006/relationships/hyperlink" Target="https://www.hamiltoninternationalestates.com/" TargetMode="External"/><Relationship Id="rId7158" Type="http://schemas.openxmlformats.org/officeDocument/2006/relationships/hyperlink" Target="https://treasurecoastba-gzcms.preview.gochambermaster.com/members/member/taylor-morrison-homes-190" TargetMode="External"/><Relationship Id="rId8209" Type="http://schemas.openxmlformats.org/officeDocument/2006/relationships/hyperlink" Target="https://armayorista.xprostore.com/blog/xprostore-mendoza" TargetMode="External"/><Relationship Id="rId10139" Type="http://schemas.openxmlformats.org/officeDocument/2006/relationships/hyperlink" Target="https://www.calstatela.edu/cetl/repositories/create-prototype" TargetMode="External"/><Relationship Id="rId14010" Type="http://schemas.openxmlformats.org/officeDocument/2006/relationships/hyperlink" Target="https://myinteriorpalace.com/why-adding-a-deck-is-a-smart-choice-boost-your-outdoor-comfort-and-home-worth/" TargetMode="External"/><Relationship Id="rId3768" Type="http://schemas.openxmlformats.org/officeDocument/2006/relationships/hyperlink" Target="https://www.simpleshowing.com/" TargetMode="External"/><Relationship Id="rId4819" Type="http://schemas.openxmlformats.org/officeDocument/2006/relationships/hyperlink" Target="https://www.simpleshowing.com/" TargetMode="External"/><Relationship Id="rId16182" Type="http://schemas.openxmlformats.org/officeDocument/2006/relationships/hyperlink" Target="https://www.marketing-beat.co.uk/2025/05/06/united-carpets-beds-mccann/" TargetMode="External"/><Relationship Id="rId689" Type="http://schemas.openxmlformats.org/officeDocument/2006/relationships/hyperlink" Target="https://www.simpleshowing.com/" TargetMode="External"/><Relationship Id="rId5190" Type="http://schemas.openxmlformats.org/officeDocument/2006/relationships/hyperlink" Target="https://www.simpleshowing.com/" TargetMode="External"/><Relationship Id="rId6241" Type="http://schemas.openxmlformats.org/officeDocument/2006/relationships/hyperlink" Target="https://dwellect.com/how-long-do-apartment-applications-take/" TargetMode="External"/><Relationship Id="rId10620" Type="http://schemas.openxmlformats.org/officeDocument/2006/relationships/hyperlink" Target="https://www.pinoyeplans.com/" TargetMode="External"/><Relationship Id="rId9464" Type="http://schemas.openxmlformats.org/officeDocument/2006/relationships/hyperlink" Target="https://populationeducation.org/five-steam-middle-school-lessons-fostering-creativity-and-innovation/" TargetMode="External"/><Relationship Id="rId12792" Type="http://schemas.openxmlformats.org/officeDocument/2006/relationships/hyperlink" Target="https://www.resourcedm.com/resources/blog/the-unexpected-benefits-of-reducing-emissions-for-universities/" TargetMode="External"/><Relationship Id="rId13843" Type="http://schemas.openxmlformats.org/officeDocument/2006/relationships/hyperlink" Target="https://myinteriorpalace.com/" TargetMode="External"/><Relationship Id="rId2851" Type="http://schemas.openxmlformats.org/officeDocument/2006/relationships/hyperlink" Target="https://www.pulte.com/" TargetMode="External"/><Relationship Id="rId3902" Type="http://schemas.openxmlformats.org/officeDocument/2006/relationships/hyperlink" Target="http://fixit-act.cmtc.ac.th/imagesgall/thumb/ddya2d/article.php?id=freshwater-salt-system-inactive-no-circulation" TargetMode="External"/><Relationship Id="rId8066" Type="http://schemas.openxmlformats.org/officeDocument/2006/relationships/hyperlink" Target="https://www.pinoyeplans.com/" TargetMode="External"/><Relationship Id="rId9117" Type="http://schemas.openxmlformats.org/officeDocument/2006/relationships/hyperlink" Target="https://www.pinoyeplans.com/" TargetMode="External"/><Relationship Id="rId11394" Type="http://schemas.openxmlformats.org/officeDocument/2006/relationships/hyperlink" Target="http://webuyhouses.com/" TargetMode="External"/><Relationship Id="rId12445" Type="http://schemas.openxmlformats.org/officeDocument/2006/relationships/hyperlink" Target="https://sturents.com/" TargetMode="External"/><Relationship Id="rId823" Type="http://schemas.openxmlformats.org/officeDocument/2006/relationships/hyperlink" Target="https://www.expertise.com/home-improvement/pest-control/texas/round-rock" TargetMode="External"/><Relationship Id="rId1453" Type="http://schemas.openxmlformats.org/officeDocument/2006/relationships/hyperlink" Target="https://ritewindow.com/blog/3-indicators-its-time-to-upgrade-your-shower-or-bath/" TargetMode="External"/><Relationship Id="rId2504" Type="http://schemas.openxmlformats.org/officeDocument/2006/relationships/hyperlink" Target="https://www.hoodle.com/subdivisions/new-hill-nc/jordan-manors" TargetMode="External"/><Relationship Id="rId11047" Type="http://schemas.openxmlformats.org/officeDocument/2006/relationships/hyperlink" Target="https://www.teachengineering.org/" TargetMode="External"/><Relationship Id="rId15668" Type="http://schemas.openxmlformats.org/officeDocument/2006/relationships/hyperlink" Target="https://www.luxdeco.com/" TargetMode="External"/><Relationship Id="rId1106" Type="http://schemas.openxmlformats.org/officeDocument/2006/relationships/hyperlink" Target="https://www.justluxe.com/community/luxury-remodeling-ideas-that-go-beyond-the-kitchen-and-bath_a_1981799.php" TargetMode="External"/><Relationship Id="rId4676" Type="http://schemas.openxmlformats.org/officeDocument/2006/relationships/hyperlink" Target="https://www.kapre.com/" TargetMode="External"/><Relationship Id="rId5727" Type="http://schemas.openxmlformats.org/officeDocument/2006/relationships/hyperlink" Target="https://capobythesea.com/benefits-of-sobriety/" TargetMode="External"/><Relationship Id="rId3278" Type="http://schemas.openxmlformats.org/officeDocument/2006/relationships/hyperlink" Target="https://www.bellacollina.com/blog/top-orlando-area-relocation-destinations" TargetMode="External"/><Relationship Id="rId4329" Type="http://schemas.openxmlformats.org/officeDocument/2006/relationships/hyperlink" Target="https://www.a-1locksmith.com/why-a-realtor-should-have-a-good-locksmith-reference/" TargetMode="External"/><Relationship Id="rId7899" Type="http://schemas.openxmlformats.org/officeDocument/2006/relationships/hyperlink" Target="https://certifiedrestorationinc.com/" TargetMode="External"/><Relationship Id="rId8200" Type="http://schemas.openxmlformats.org/officeDocument/2006/relationships/hyperlink" Target="https://mytravaly.com/blog/blog-read/?t=What+is+the+Process+of+Converting+CAD+2D+Drawings+to+3D+Modelling%3F" TargetMode="External"/><Relationship Id="rId10130" Type="http://schemas.openxmlformats.org/officeDocument/2006/relationships/hyperlink" Target="https://www.ceoe.nesinc.com/Content/StudyGuide/OK_SG_bib_043.htm" TargetMode="External"/><Relationship Id="rId199" Type="http://schemas.openxmlformats.org/officeDocument/2006/relationships/hyperlink" Target="https://www.lethub.co/blog/how-to-write-the-best-rental-advertisement" TargetMode="External"/><Relationship Id="rId13353" Type="http://schemas.openxmlformats.org/officeDocument/2006/relationships/hyperlink" Target="https://skarinlaw.com/manhattan-beach-child-custody-lawyer/" TargetMode="External"/><Relationship Id="rId14751" Type="http://schemas.openxmlformats.org/officeDocument/2006/relationships/hyperlink" Target="https://www.sipthestyle.com/6-expert-approved-methods-for-prolonging-garage-door-lifespan" TargetMode="External"/><Relationship Id="rId15802" Type="http://schemas.openxmlformats.org/officeDocument/2006/relationships/hyperlink" Target="https://myinteriorpalace.com/" TargetMode="External"/><Relationship Id="rId680" Type="http://schemas.openxmlformats.org/officeDocument/2006/relationships/hyperlink" Target="https://www.simpleshowing.com/" TargetMode="External"/><Relationship Id="rId2361" Type="http://schemas.openxmlformats.org/officeDocument/2006/relationships/hyperlink" Target="https://www.simpleshowing.com/" TargetMode="External"/><Relationship Id="rId3412" Type="http://schemas.openxmlformats.org/officeDocument/2006/relationships/hyperlink" Target="https://www.pulte.com/" TargetMode="External"/><Relationship Id="rId4810" Type="http://schemas.openxmlformats.org/officeDocument/2006/relationships/hyperlink" Target="https://www.simpleshowing.com/" TargetMode="External"/><Relationship Id="rId13006" Type="http://schemas.openxmlformats.org/officeDocument/2006/relationships/hyperlink" Target="https://propertypressonline.co.uk/" TargetMode="External"/><Relationship Id="rId14404" Type="http://schemas.openxmlformats.org/officeDocument/2006/relationships/hyperlink" Target="https://myinteriorpalace.com/" TargetMode="External"/><Relationship Id="rId333" Type="http://schemas.openxmlformats.org/officeDocument/2006/relationships/hyperlink" Target="http://northernvirginiahomepro.com/" TargetMode="External"/><Relationship Id="rId2014" Type="http://schemas.openxmlformats.org/officeDocument/2006/relationships/hyperlink" Target="https://markspain.com/" TargetMode="External"/><Relationship Id="rId6982" Type="http://schemas.openxmlformats.org/officeDocument/2006/relationships/hyperlink" Target="https://www.simpleshowing.com/" TargetMode="External"/><Relationship Id="rId4186" Type="http://schemas.openxmlformats.org/officeDocument/2006/relationships/hyperlink" Target="https://www.simpleshowing.com/" TargetMode="External"/><Relationship Id="rId5584" Type="http://schemas.openxmlformats.org/officeDocument/2006/relationships/hyperlink" Target="https://www.simpleshowing.com/" TargetMode="External"/><Relationship Id="rId6635" Type="http://schemas.openxmlformats.org/officeDocument/2006/relationships/hyperlink" Target="https://www.thermasol.com/" TargetMode="External"/><Relationship Id="rId15178" Type="http://schemas.openxmlformats.org/officeDocument/2006/relationships/hyperlink" Target="https://myinteriorpalace.com/" TargetMode="External"/><Relationship Id="rId16229" Type="http://schemas.openxmlformats.org/officeDocument/2006/relationships/hyperlink" Target="https://www.unitedcarpetsandbeds.com/" TargetMode="External"/><Relationship Id="rId5237" Type="http://schemas.openxmlformats.org/officeDocument/2006/relationships/hyperlink" Target="https://trib.com/news/nation-world/business/" TargetMode="External"/><Relationship Id="rId9858" Type="http://schemas.openxmlformats.org/officeDocument/2006/relationships/hyperlink" Target="https://www.pinoyeplans.com/" TargetMode="External"/><Relationship Id="rId11788" Type="http://schemas.openxmlformats.org/officeDocument/2006/relationships/hyperlink" Target="https://sellhousefast.uk/" TargetMode="External"/><Relationship Id="rId12839" Type="http://schemas.openxmlformats.org/officeDocument/2006/relationships/hyperlink" Target="https://www.shma.co.uk/" TargetMode="External"/><Relationship Id="rId1847" Type="http://schemas.openxmlformats.org/officeDocument/2006/relationships/hyperlink" Target="https://www.newsletter.co.uk/community/data-reveals-driving-electric-pays-off-in-northern-ireland-5177845" TargetMode="External"/><Relationship Id="rId14261" Type="http://schemas.openxmlformats.org/officeDocument/2006/relationships/hyperlink" Target="https://luxurylifestyle.com/" TargetMode="External"/><Relationship Id="rId15312" Type="http://schemas.openxmlformats.org/officeDocument/2006/relationships/hyperlink" Target="https://www.freshdesignblog.com/2022/08/the-dark-side-can-a-rooms-design-dazzle-with-moody-hues/" TargetMode="External"/><Relationship Id="rId4320" Type="http://schemas.openxmlformats.org/officeDocument/2006/relationships/hyperlink" Target="https://www.berxi.com/resources/articles/how-to-build-a-real-estate-team/" TargetMode="External"/><Relationship Id="rId7890" Type="http://schemas.openxmlformats.org/officeDocument/2006/relationships/hyperlink" Target="https://trustroofing.com/" TargetMode="External"/><Relationship Id="rId190" Type="http://schemas.openxmlformats.org/officeDocument/2006/relationships/hyperlink" Target="https://www.revrealestateschool.com/" TargetMode="External"/><Relationship Id="rId6492" Type="http://schemas.openxmlformats.org/officeDocument/2006/relationships/hyperlink" Target="https://www.simpleshowing.com/" TargetMode="External"/><Relationship Id="rId7543" Type="http://schemas.openxmlformats.org/officeDocument/2006/relationships/hyperlink" Target="https://www.simpleshowing.com/" TargetMode="External"/><Relationship Id="rId8941" Type="http://schemas.openxmlformats.org/officeDocument/2006/relationships/hyperlink" Target="https://nycestimating.us/" TargetMode="External"/><Relationship Id="rId10871" Type="http://schemas.openxmlformats.org/officeDocument/2006/relationships/hyperlink" Target="https://dl.acm.org/doi/abs/10.1145/3706599.3720144" TargetMode="External"/><Relationship Id="rId11922" Type="http://schemas.openxmlformats.org/officeDocument/2006/relationships/hyperlink" Target="https://www.hamiltoninternationalestates.com/" TargetMode="External"/><Relationship Id="rId16086" Type="http://schemas.openxmlformats.org/officeDocument/2006/relationships/hyperlink" Target="https://tamaracamerablog.com/commercial-garage-door-repairs/" TargetMode="External"/><Relationship Id="rId5094" Type="http://schemas.openxmlformats.org/officeDocument/2006/relationships/hyperlink" Target="https://www.simpleshowing.com/" TargetMode="External"/><Relationship Id="rId6145" Type="http://schemas.openxmlformats.org/officeDocument/2006/relationships/hyperlink" Target="https://chippewa.com/shopping/article_30d7f3c1-ff88-53dd-a0be-b9623be8c8a4.html" TargetMode="External"/><Relationship Id="rId10524" Type="http://schemas.openxmlformats.org/officeDocument/2006/relationships/hyperlink" Target="https://www.pinoyeplans.com/" TargetMode="External"/><Relationship Id="rId12696" Type="http://schemas.openxmlformats.org/officeDocument/2006/relationships/hyperlink" Target="http://www.bailii.org/support/sponsors.html" TargetMode="External"/><Relationship Id="rId13747" Type="http://schemas.openxmlformats.org/officeDocument/2006/relationships/hyperlink" Target="https://myinteriorpalace.com/" TargetMode="External"/><Relationship Id="rId2755" Type="http://schemas.openxmlformats.org/officeDocument/2006/relationships/hyperlink" Target="https://www.pulte.com/" TargetMode="External"/><Relationship Id="rId3806" Type="http://schemas.openxmlformats.org/officeDocument/2006/relationships/hyperlink" Target="https://www.discover.com/student-loans/college-planning/scholarships/directory/general" TargetMode="External"/><Relationship Id="rId9368" Type="http://schemas.openxmlformats.org/officeDocument/2006/relationships/hyperlink" Target="https://www.sciencing.com/modern-uses-catapult-8597229/" TargetMode="External"/><Relationship Id="rId11298" Type="http://schemas.openxmlformats.org/officeDocument/2006/relationships/hyperlink" Target="https://www.rew.ca/agents/216199/sachin-gupta-3" TargetMode="External"/><Relationship Id="rId12349" Type="http://schemas.openxmlformats.org/officeDocument/2006/relationships/hyperlink" Target="https://sturents.com/" TargetMode="External"/><Relationship Id="rId16220" Type="http://schemas.openxmlformats.org/officeDocument/2006/relationships/hyperlink" Target="https://www.unitedcarpetsandbeds.com/" TargetMode="External"/><Relationship Id="rId727" Type="http://schemas.openxmlformats.org/officeDocument/2006/relationships/hyperlink" Target="https://humbledollar.com/2022/12/its-all-relatives/" TargetMode="External"/><Relationship Id="rId1357" Type="http://schemas.openxmlformats.org/officeDocument/2006/relationships/hyperlink" Target="https://darscover.com/" TargetMode="External"/><Relationship Id="rId2408" Type="http://schemas.openxmlformats.org/officeDocument/2006/relationships/hyperlink" Target="https://neighborhoodsinlasvegas.com/the-peaks-village/" TargetMode="External"/><Relationship Id="rId5978" Type="http://schemas.openxmlformats.org/officeDocument/2006/relationships/hyperlink" Target="https://www.simpleshowing.com/" TargetMode="External"/><Relationship Id="rId63" Type="http://schemas.openxmlformats.org/officeDocument/2006/relationships/hyperlink" Target="http://forbesnetwork.co.uk/" TargetMode="External"/><Relationship Id="rId8451" Type="http://schemas.openxmlformats.org/officeDocument/2006/relationships/hyperlink" Target="https://www.cylind.com/" TargetMode="External"/><Relationship Id="rId9502" Type="http://schemas.openxmlformats.org/officeDocument/2006/relationships/hyperlink" Target="https://www.teachengineering.org/" TargetMode="External"/><Relationship Id="rId10381" Type="http://schemas.openxmlformats.org/officeDocument/2006/relationships/hyperlink" Target="https://www.teachengineering.org/" TargetMode="External"/><Relationship Id="rId11432" Type="http://schemas.openxmlformats.org/officeDocument/2006/relationships/hyperlink" Target="https://www.hamiltoninternationalestates.com/" TargetMode="External"/><Relationship Id="rId12830" Type="http://schemas.openxmlformats.org/officeDocument/2006/relationships/hyperlink" Target="https://www.shma.co.uk/" TargetMode="External"/><Relationship Id="rId7053" Type="http://schemas.openxmlformats.org/officeDocument/2006/relationships/hyperlink" Target="https://troon.com/press-releases/new-esplanade-at-st-marys-to-introduce-esplanade-resort-experience-to" TargetMode="External"/><Relationship Id="rId8104" Type="http://schemas.openxmlformats.org/officeDocument/2006/relationships/hyperlink" Target="https://www.articlesfactory.com/articles/home-business/cleaning-disinfecting-while-moving-know-from-moving-companies-in-nj.html" TargetMode="External"/><Relationship Id="rId10034" Type="http://schemas.openxmlformats.org/officeDocument/2006/relationships/hyperlink" Target="https://vivify-stem.squarespace.com/stem-resources" TargetMode="External"/><Relationship Id="rId14655" Type="http://schemas.openxmlformats.org/officeDocument/2006/relationships/hyperlink" Target="https://www.yeahlifestyle.com/top-10-garage-door-repair-services-your-home-in-houston-needs-for-reliable-performance/" TargetMode="External"/><Relationship Id="rId15706" Type="http://schemas.openxmlformats.org/officeDocument/2006/relationships/hyperlink" Target="https://myinteriorpalace.com/" TargetMode="External"/><Relationship Id="rId584" Type="http://schemas.openxmlformats.org/officeDocument/2006/relationships/hyperlink" Target="https://www.simpleshowing.com/" TargetMode="External"/><Relationship Id="rId2265" Type="http://schemas.openxmlformats.org/officeDocument/2006/relationships/hyperlink" Target="https://www.simpleshowing.com/" TargetMode="External"/><Relationship Id="rId3663" Type="http://schemas.openxmlformats.org/officeDocument/2006/relationships/hyperlink" Target="https://www.simpleshowing.com/" TargetMode="External"/><Relationship Id="rId4714" Type="http://schemas.openxmlformats.org/officeDocument/2006/relationships/hyperlink" Target="https://www.simpleshowing.com/" TargetMode="External"/><Relationship Id="rId13257" Type="http://schemas.openxmlformats.org/officeDocument/2006/relationships/hyperlink" Target="https://www.padmagazine.co.uk/business-money-legal-jobs/a-guide-to-building-regulations-for-property-investors-and-developers/11489/" TargetMode="External"/><Relationship Id="rId14308" Type="http://schemas.openxmlformats.org/officeDocument/2006/relationships/hyperlink" Target="https://myinteriorpalace.com/" TargetMode="External"/><Relationship Id="rId237" Type="http://schemas.openxmlformats.org/officeDocument/2006/relationships/hyperlink" Target="http://northernvirginiahomepro.com/" TargetMode="External"/><Relationship Id="rId3316" Type="http://schemas.openxmlformats.org/officeDocument/2006/relationships/hyperlink" Target="https://www.pulte.com/" TargetMode="External"/><Relationship Id="rId6886" Type="http://schemas.openxmlformats.org/officeDocument/2006/relationships/hyperlink" Target="https://www.taylormorrison.com/" TargetMode="External"/><Relationship Id="rId7937" Type="http://schemas.openxmlformats.org/officeDocument/2006/relationships/hyperlink" Target="https://www.pinoyeplans.com/" TargetMode="External"/><Relationship Id="rId10918" Type="http://schemas.openxmlformats.org/officeDocument/2006/relationships/hyperlink" Target="https://www.teachengineering.org/" TargetMode="External"/><Relationship Id="rId5488" Type="http://schemas.openxmlformats.org/officeDocument/2006/relationships/hyperlink" Target="https://www.simpleshowing.com/" TargetMode="External"/><Relationship Id="rId6539" Type="http://schemas.openxmlformats.org/officeDocument/2006/relationships/hyperlink" Target="https://www.thermasol.com/" TargetMode="External"/><Relationship Id="rId12340" Type="http://schemas.openxmlformats.org/officeDocument/2006/relationships/hyperlink" Target="https://sturents.com/" TargetMode="External"/><Relationship Id="rId9012" Type="http://schemas.openxmlformats.org/officeDocument/2006/relationships/hyperlink" Target="https://www.pinoyeplans.com/" TargetMode="External"/><Relationship Id="rId15563" Type="http://schemas.openxmlformats.org/officeDocument/2006/relationships/hyperlink" Target="https://www.luxdeco.com/" TargetMode="External"/><Relationship Id="rId1001" Type="http://schemas.openxmlformats.org/officeDocument/2006/relationships/hyperlink" Target="https://www.wispwillow.com/home-improvement/bathroom-remodeling-101-how-to-get-started/" TargetMode="External"/><Relationship Id="rId4571" Type="http://schemas.openxmlformats.org/officeDocument/2006/relationships/hyperlink" Target="https://www.kapre.com/" TargetMode="External"/><Relationship Id="rId5622" Type="http://schemas.openxmlformats.org/officeDocument/2006/relationships/hyperlink" Target="https://www.simpleshowing.com/" TargetMode="External"/><Relationship Id="rId14165" Type="http://schemas.openxmlformats.org/officeDocument/2006/relationships/hyperlink" Target="https://luxurylifestyle.com/" TargetMode="External"/><Relationship Id="rId15216" Type="http://schemas.openxmlformats.org/officeDocument/2006/relationships/hyperlink" Target="https://www.apartmenttherapy.com/renovated-1850s-london-townhome-tour-37287030" TargetMode="External"/><Relationship Id="rId3173" Type="http://schemas.openxmlformats.org/officeDocument/2006/relationships/hyperlink" Target="https://www.fodmapeveryday.com/10-places-you-may-never-want-to-live-in-if-youre-a-diehard-follower-of-dave-ramsey/" TargetMode="External"/><Relationship Id="rId4224" Type="http://schemas.openxmlformats.org/officeDocument/2006/relationships/hyperlink" Target="https://www.easyresume.io/examples/real-estate-agent" TargetMode="External"/><Relationship Id="rId6396" Type="http://schemas.openxmlformats.org/officeDocument/2006/relationships/hyperlink" Target="https://www.simpleshowing.com/" TargetMode="External"/><Relationship Id="rId7794" Type="http://schemas.openxmlformats.org/officeDocument/2006/relationships/hyperlink" Target="https://discoverlakelanier.com/" TargetMode="External"/><Relationship Id="rId8845" Type="http://schemas.openxmlformats.org/officeDocument/2006/relationships/hyperlink" Target="https://www.trianglepest.com/" TargetMode="External"/><Relationship Id="rId10775" Type="http://schemas.openxmlformats.org/officeDocument/2006/relationships/hyperlink" Target="https://blog.walkingmountains.org/students-to-stewards/stem-at-home-outdoor-stem" TargetMode="External"/><Relationship Id="rId11826" Type="http://schemas.openxmlformats.org/officeDocument/2006/relationships/hyperlink" Target="https://www.hamiltoninternationalestates.com/" TargetMode="External"/><Relationship Id="rId6049" Type="http://schemas.openxmlformats.org/officeDocument/2006/relationships/hyperlink" Target="https://www.lawlegalhub.com/how-your-paycheck-works/" TargetMode="External"/><Relationship Id="rId7447" Type="http://schemas.openxmlformats.org/officeDocument/2006/relationships/hyperlink" Target="https://www.simpleshowing.com/" TargetMode="External"/><Relationship Id="rId10428" Type="http://schemas.openxmlformats.org/officeDocument/2006/relationships/hyperlink" Target="https://www.pinoyeplans.com/" TargetMode="External"/><Relationship Id="rId13998" Type="http://schemas.openxmlformats.org/officeDocument/2006/relationships/hyperlink" Target="https://fluxmagazine.co.uk/elevate-your-outdoors-transforming-your-yard-with-a-beautifully-crafted-deck/" TargetMode="External"/><Relationship Id="rId978" Type="http://schemas.openxmlformats.org/officeDocument/2006/relationships/hyperlink" Target="https://www.simpleshowing.com/" TargetMode="External"/><Relationship Id="rId2659" Type="http://schemas.openxmlformats.org/officeDocument/2006/relationships/hyperlink" Target="https://www.pulte.com/" TargetMode="External"/><Relationship Id="rId6530" Type="http://schemas.openxmlformats.org/officeDocument/2006/relationships/hyperlink" Target="https://www.thermasol.com/" TargetMode="External"/><Relationship Id="rId15073" Type="http://schemas.openxmlformats.org/officeDocument/2006/relationships/hyperlink" Target="https://myinteriorpalace.com/" TargetMode="External"/><Relationship Id="rId16124" Type="http://schemas.openxmlformats.org/officeDocument/2006/relationships/hyperlink" Target="https://www.unitedcarpetsandbeds.com/" TargetMode="External"/><Relationship Id="rId4081" Type="http://schemas.openxmlformats.org/officeDocument/2006/relationships/hyperlink" Target="https://www.kapre.com/" TargetMode="External"/><Relationship Id="rId5132" Type="http://schemas.openxmlformats.org/officeDocument/2006/relationships/hyperlink" Target="https://www.simpleshowing.com/" TargetMode="External"/><Relationship Id="rId9753" Type="http://schemas.openxmlformats.org/officeDocument/2006/relationships/hyperlink" Target="https://www.pinoyeplans.com/" TargetMode="External"/><Relationship Id="rId8355" Type="http://schemas.openxmlformats.org/officeDocument/2006/relationships/hyperlink" Target="https://australiansecurecapital.com.au/" TargetMode="External"/><Relationship Id="rId9406" Type="http://schemas.openxmlformats.org/officeDocument/2006/relationships/hyperlink" Target="https://www.teachengineering.org/" TargetMode="External"/><Relationship Id="rId11683" Type="http://schemas.openxmlformats.org/officeDocument/2006/relationships/hyperlink" Target="https://sellhousefast.uk/" TargetMode="External"/><Relationship Id="rId12734" Type="http://schemas.openxmlformats.org/officeDocument/2006/relationships/hyperlink" Target="https://www.shma.co.uk/" TargetMode="External"/><Relationship Id="rId1742" Type="http://schemas.openxmlformats.org/officeDocument/2006/relationships/hyperlink" Target="https://swanseabaynews.com/data-reveals-driving-electric-does-not-pay-off-in-wales/" TargetMode="External"/><Relationship Id="rId8008" Type="http://schemas.openxmlformats.org/officeDocument/2006/relationships/hyperlink" Target="https://www.wishtv.com/lifestyle/lifestylelive/indy-roof-restoration-community-support/" TargetMode="External"/><Relationship Id="rId10285" Type="http://schemas.openxmlformats.org/officeDocument/2006/relationships/hyperlink" Target="https://www.teachengineering.org/" TargetMode="External"/><Relationship Id="rId11336" Type="http://schemas.openxmlformats.org/officeDocument/2006/relationships/hyperlink" Target="http://webuyhouses.com/" TargetMode="External"/><Relationship Id="rId15957" Type="http://schemas.openxmlformats.org/officeDocument/2006/relationships/hyperlink" Target="https://resident.com/resource-guide/2025/11/18/quality-garage-doors-built-to-last-reliable-garage-door-solutions-for-long-term-performance" TargetMode="External"/><Relationship Id="rId4965" Type="http://schemas.openxmlformats.org/officeDocument/2006/relationships/hyperlink" Target="https://ful.io/technology/CMS/agentfire" TargetMode="External"/><Relationship Id="rId14559" Type="http://schemas.openxmlformats.org/officeDocument/2006/relationships/hyperlink" Target="https://www.seasonsincolour.com/post/8-expert-garage-door-repair-companies-serving-houston-homeowners" TargetMode="External"/><Relationship Id="rId3567" Type="http://schemas.openxmlformats.org/officeDocument/2006/relationships/hyperlink" Target="https://www.simpleshowing.com/" TargetMode="External"/><Relationship Id="rId4618" Type="http://schemas.openxmlformats.org/officeDocument/2006/relationships/hyperlink" Target="https://www.simpleshowing.com/" TargetMode="External"/><Relationship Id="rId488" Type="http://schemas.openxmlformats.org/officeDocument/2006/relationships/hyperlink" Target="https://www.simpleshowing.com/" TargetMode="External"/><Relationship Id="rId2169" Type="http://schemas.openxmlformats.org/officeDocument/2006/relationships/hyperlink" Target="https://www.simpleshowing.com/" TargetMode="External"/><Relationship Id="rId6040" Type="http://schemas.openxmlformats.org/officeDocument/2006/relationships/hyperlink" Target="https://www.simpleshowing.com/" TargetMode="External"/><Relationship Id="rId12591" Type="http://schemas.openxmlformats.org/officeDocument/2006/relationships/hyperlink" Target="https://www.personneltoday.com/hr/diversity-washing-how-to-ensure-words-translate-into-action/" TargetMode="External"/><Relationship Id="rId13642" Type="http://schemas.openxmlformats.org/officeDocument/2006/relationships/hyperlink" Target="https://myinteriorpalace.com/" TargetMode="External"/><Relationship Id="rId2650" Type="http://schemas.openxmlformats.org/officeDocument/2006/relationships/hyperlink" Target="https://www.pulte.com/" TargetMode="External"/><Relationship Id="rId3701" Type="http://schemas.openxmlformats.org/officeDocument/2006/relationships/hyperlink" Target="https://tympanus.net/codrops/2012/09/17/build-a-color-scheme-the-fundamentals/" TargetMode="External"/><Relationship Id="rId9263" Type="http://schemas.openxmlformats.org/officeDocument/2006/relationships/hyperlink" Target="https://www.weareteachers.com/egg-drop-ideas/" TargetMode="External"/><Relationship Id="rId11193" Type="http://schemas.openxmlformats.org/officeDocument/2006/relationships/hyperlink" Target="https://www.waterdamagespecialist.com.au/" TargetMode="External"/><Relationship Id="rId12244" Type="http://schemas.openxmlformats.org/officeDocument/2006/relationships/hyperlink" Target="https://marrons.co.uk/" TargetMode="External"/><Relationship Id="rId622" Type="http://schemas.openxmlformats.org/officeDocument/2006/relationships/hyperlink" Target="https://accidentalhipstermum.com/be-smart-and-use-these-8-ways-to-save-on-your-next-road-trip/" TargetMode="External"/><Relationship Id="rId1252" Type="http://schemas.openxmlformats.org/officeDocument/2006/relationships/hyperlink" Target="https://happy2movelondon.co.uk/r" TargetMode="External"/><Relationship Id="rId2303" Type="http://schemas.openxmlformats.org/officeDocument/2006/relationships/hyperlink" Target="https://accesswdun.com/article/2019/11/854052/attention-shoppers-black-friday-hours-for-malls-some-major-retail-stores" TargetMode="External"/><Relationship Id="rId4475" Type="http://schemas.openxmlformats.org/officeDocument/2006/relationships/hyperlink" Target="https://www.kapre.com/" TargetMode="External"/><Relationship Id="rId5873" Type="http://schemas.openxmlformats.org/officeDocument/2006/relationships/hyperlink" Target="https://www.hiringpeople.co.uk/blog/hiring-people-january-update-a-fresh-perspective-on-the-recruitment-landscape/" TargetMode="External"/><Relationship Id="rId6924" Type="http://schemas.openxmlformats.org/officeDocument/2006/relationships/hyperlink" Target="https://www.coloradohomesmag.com/the-2021-mamecare-award-winners/" TargetMode="External"/><Relationship Id="rId14069" Type="http://schemas.openxmlformats.org/officeDocument/2006/relationships/hyperlink" Target="https://keystonecustomdecksny.com/" TargetMode="External"/><Relationship Id="rId15467" Type="http://schemas.openxmlformats.org/officeDocument/2006/relationships/hyperlink" Target="https://www.luxdeco.com/" TargetMode="External"/><Relationship Id="rId3077" Type="http://schemas.openxmlformats.org/officeDocument/2006/relationships/hyperlink" Target="https://www.nashvillesmls.com/listing-realtracs-vow/2650841-3811-lantern-lane-columbia-tn-38401/?inquire" TargetMode="External"/><Relationship Id="rId4128" Type="http://schemas.openxmlformats.org/officeDocument/2006/relationships/hyperlink" Target="https://www.aceableagent.com/reviews/texas/best-online-real-estate-school/" TargetMode="External"/><Relationship Id="rId5526" Type="http://schemas.openxmlformats.org/officeDocument/2006/relationships/hyperlink" Target="https://www.simpleshowing.com/" TargetMode="External"/><Relationship Id="rId7698" Type="http://schemas.openxmlformats.org/officeDocument/2006/relationships/hyperlink" Target="https://www.beavertoyotacumming.com/hours-directions-toyota-dealership-cumming/" TargetMode="External"/><Relationship Id="rId8749" Type="http://schemas.openxmlformats.org/officeDocument/2006/relationships/hyperlink" Target="https://thehometrotters.com/how-rent-management-software-can-transform-your-property-business/" TargetMode="External"/><Relationship Id="rId10679" Type="http://schemas.openxmlformats.org/officeDocument/2006/relationships/hyperlink" Target="https://www.ascd.org/el/articles/stem-on-the-cheap" TargetMode="External"/><Relationship Id="rId14550" Type="http://schemas.openxmlformats.org/officeDocument/2006/relationships/hyperlink" Target="https://thestay-at-home-momsurvivalguide.com/5-steps-to-take-if-garage-door-is-not-opening/" TargetMode="External"/><Relationship Id="rId15601" Type="http://schemas.openxmlformats.org/officeDocument/2006/relationships/hyperlink" Target="https://myinteriorpalace.com/" TargetMode="External"/><Relationship Id="rId13152" Type="http://schemas.openxmlformats.org/officeDocument/2006/relationships/hyperlink" Target="https://thehubamplius.uk.engagementhq.com/tell-us-your-views-on-energy-saving-technology-in-the-home/news_feed/findings" TargetMode="External"/><Relationship Id="rId14203" Type="http://schemas.openxmlformats.org/officeDocument/2006/relationships/hyperlink" Target="https://myinteriorpalace.com/" TargetMode="External"/><Relationship Id="rId2160" Type="http://schemas.openxmlformats.org/officeDocument/2006/relationships/hyperlink" Target="https://www.simpleshowing.com/" TargetMode="External"/><Relationship Id="rId3211" Type="http://schemas.openxmlformats.org/officeDocument/2006/relationships/hyperlink" Target="https://www.pulte.com/" TargetMode="External"/><Relationship Id="rId6781" Type="http://schemas.openxmlformats.org/officeDocument/2006/relationships/hyperlink" Target="https://theprovidencegroup.com/" TargetMode="External"/><Relationship Id="rId7832" Type="http://schemas.openxmlformats.org/officeDocument/2006/relationships/hyperlink" Target="https://www.simpleshowing.com/" TargetMode="External"/><Relationship Id="rId132" Type="http://schemas.openxmlformats.org/officeDocument/2006/relationships/hyperlink" Target="https://www.hobokengirl.com/" TargetMode="External"/><Relationship Id="rId5383" Type="http://schemas.openxmlformats.org/officeDocument/2006/relationships/hyperlink" Target="https://money6x.com/how-does-debt-relief-work-your-step-by-step-path-to-zero-debt/" TargetMode="External"/><Relationship Id="rId6434" Type="http://schemas.openxmlformats.org/officeDocument/2006/relationships/hyperlink" Target="https://www.thermasol.com/" TargetMode="External"/><Relationship Id="rId10813" Type="http://schemas.openxmlformats.org/officeDocument/2006/relationships/hyperlink" Target="https://www.teachengineering.org/" TargetMode="External"/><Relationship Id="rId16028" Type="http://schemas.openxmlformats.org/officeDocument/2006/relationships/hyperlink" Target="https://www.rwdoors.com/" TargetMode="External"/><Relationship Id="rId5036" Type="http://schemas.openxmlformats.org/officeDocument/2006/relationships/hyperlink" Target="https://www.simpleshowing.com/" TargetMode="External"/><Relationship Id="rId12985" Type="http://schemas.openxmlformats.org/officeDocument/2006/relationships/hyperlink" Target="https://propertypressonline.co.uk/" TargetMode="External"/><Relationship Id="rId1993" Type="http://schemas.openxmlformats.org/officeDocument/2006/relationships/hyperlink" Target="https://markspain.com/" TargetMode="External"/><Relationship Id="rId8259" Type="http://schemas.openxmlformats.org/officeDocument/2006/relationships/hyperlink" Target="https://www.zestlighting.com.au/" TargetMode="External"/><Relationship Id="rId9657" Type="http://schemas.openxmlformats.org/officeDocument/2006/relationships/hyperlink" Target="https://www.pinoyeplans.com/" TargetMode="External"/><Relationship Id="rId11587" Type="http://schemas.openxmlformats.org/officeDocument/2006/relationships/hyperlink" Target="https://sellhousefast.uk/" TargetMode="External"/><Relationship Id="rId12638" Type="http://schemas.openxmlformats.org/officeDocument/2006/relationships/hyperlink" Target="https://www.shma.co.uk/" TargetMode="External"/><Relationship Id="rId1646" Type="http://schemas.openxmlformats.org/officeDocument/2006/relationships/hyperlink" Target="https://wcrz.com/ixp/691/p/michigan-consumers-gas-bill-increase/" TargetMode="External"/><Relationship Id="rId10189" Type="http://schemas.openxmlformats.org/officeDocument/2006/relationships/hyperlink" Target="https://www.teachengineering.org/" TargetMode="External"/><Relationship Id="rId14060" Type="http://schemas.openxmlformats.org/officeDocument/2006/relationships/hyperlink" Target="https://keystonecustomdecksny.com/" TargetMode="External"/><Relationship Id="rId15111" Type="http://schemas.openxmlformats.org/officeDocument/2006/relationships/hyperlink" Target="https://www.standard.co.uk/shopping/esbest/home-garden/home-accessories/best-silk-bedding-sets-sheets-pillowcases-b1056463.html" TargetMode="External"/><Relationship Id="rId4869" Type="http://schemas.openxmlformats.org/officeDocument/2006/relationships/hyperlink" Target="https://www.softkraft.co/real-estate-website-builders/" TargetMode="External"/><Relationship Id="rId8740" Type="http://schemas.openxmlformats.org/officeDocument/2006/relationships/hyperlink" Target="https://www.mindbodydad.com/body/maintaining-a-metal-roof-for-long-term-performance" TargetMode="External"/><Relationship Id="rId10670" Type="http://schemas.openxmlformats.org/officeDocument/2006/relationships/hyperlink" Target="https://www.genspark.ai/spark/%E3%81%9B%E3%82%93%E6%96%AD%E5%A4%89%E5%BD%A2%E3%81%AE%E6%80%A7%E8%B3%AA%E3%81%A8%E3%81%9B%E3%82%93%E6%96%AD%E3%81%B2%E3%81%9A%E3%81%BF%E3%81%AE%E5%AE%9A%E7%BE%A9/1da0519d-7ba2-498e-9810-c79606874415" TargetMode="External"/><Relationship Id="rId11721" Type="http://schemas.openxmlformats.org/officeDocument/2006/relationships/hyperlink" Target="https://www.hamiltoninternationalestates.com/" TargetMode="External"/><Relationship Id="rId6291" Type="http://schemas.openxmlformats.org/officeDocument/2006/relationships/hyperlink" Target="https://www.apiture.com/driving-financial-wellness-in-the-digital-age/" TargetMode="External"/><Relationship Id="rId7342" Type="http://schemas.openxmlformats.org/officeDocument/2006/relationships/hyperlink" Target="https://discountingcashflows.com/company/TMHC/overview/" TargetMode="External"/><Relationship Id="rId10323" Type="http://schemas.openxmlformats.org/officeDocument/2006/relationships/hyperlink" Target="https://www.pinoyeplans.com/" TargetMode="External"/><Relationship Id="rId12495" Type="http://schemas.openxmlformats.org/officeDocument/2006/relationships/hyperlink" Target="https://propertypressonline.co.uk/" TargetMode="External"/><Relationship Id="rId13893" Type="http://schemas.openxmlformats.org/officeDocument/2006/relationships/hyperlink" Target="https://ohhappyhome.com.au/blogs/blog/natural-living-room-rugs" TargetMode="External"/><Relationship Id="rId14944" Type="http://schemas.openxmlformats.org/officeDocument/2006/relationships/hyperlink" Target="https://myinteriorpalace.com/" TargetMode="External"/><Relationship Id="rId873" Type="http://schemas.openxmlformats.org/officeDocument/2006/relationships/hyperlink" Target="https://www.simpleshowing.com/" TargetMode="External"/><Relationship Id="rId2554" Type="http://schemas.openxmlformats.org/officeDocument/2006/relationships/hyperlink" Target="https://www.pulte.com/" TargetMode="External"/><Relationship Id="rId3952" Type="http://schemas.openxmlformats.org/officeDocument/2006/relationships/hyperlink" Target="https://www.smartsolarenergyco.com/" TargetMode="External"/><Relationship Id="rId9167" Type="http://schemas.openxmlformats.org/officeDocument/2006/relationships/hyperlink" Target="http://stocks.observer-reporter.com/observerreporter/article/worldnewswire-2025-11-8-smart-building-systems-for-future-ready-construction-teams" TargetMode="External"/><Relationship Id="rId11097" Type="http://schemas.openxmlformats.org/officeDocument/2006/relationships/hyperlink" Target="https://www.pinoyeplans.com/" TargetMode="External"/><Relationship Id="rId12148" Type="http://schemas.openxmlformats.org/officeDocument/2006/relationships/hyperlink" Target="https://www.bobvila.com/" TargetMode="External"/><Relationship Id="rId13546" Type="http://schemas.openxmlformats.org/officeDocument/2006/relationships/hyperlink" Target="https://myinteriorpalace.com/" TargetMode="External"/><Relationship Id="rId526" Type="http://schemas.openxmlformats.org/officeDocument/2006/relationships/hyperlink" Target="https://columbus.momcollective.com/travel/outer-banks-vacation-guide/" TargetMode="External"/><Relationship Id="rId1156" Type="http://schemas.openxmlformats.org/officeDocument/2006/relationships/hyperlink" Target="https://www.matrixbasements.com/" TargetMode="External"/><Relationship Id="rId2207" Type="http://schemas.openxmlformats.org/officeDocument/2006/relationships/hyperlink" Target="https://bvent.biomedia.net/abstracts/x5ngm/article.php?id=mark-spain-guaranteed-offer" TargetMode="External"/><Relationship Id="rId3605" Type="http://schemas.openxmlformats.org/officeDocument/2006/relationships/hyperlink" Target="https://www.woodlandsnewhomes.com/listing/39849663-14594-clementine-hall-drive-conroe-tx-77378/" TargetMode="External"/><Relationship Id="rId5777" Type="http://schemas.openxmlformats.org/officeDocument/2006/relationships/hyperlink" Target="https://saas-space.com/building-an-efficient-collaborative-remote-team-from-the-ground-up/" TargetMode="External"/><Relationship Id="rId6828" Type="http://schemas.openxmlformats.org/officeDocument/2006/relationships/hyperlink" Target="https://www.simpleshowing.com/" TargetMode="External"/><Relationship Id="rId4379" Type="http://schemas.openxmlformats.org/officeDocument/2006/relationships/hyperlink" Target="https://www.kapre.com/" TargetMode="External"/><Relationship Id="rId8250" Type="http://schemas.openxmlformats.org/officeDocument/2006/relationships/hyperlink" Target="https://smaarchviz.com/" TargetMode="External"/><Relationship Id="rId9301" Type="http://schemas.openxmlformats.org/officeDocument/2006/relationships/hyperlink" Target="https://www.teachengineering.org/" TargetMode="External"/><Relationship Id="rId10180" Type="http://schemas.openxmlformats.org/officeDocument/2006/relationships/hyperlink" Target="https://www.teachengineering.org/" TargetMode="External"/><Relationship Id="rId11231" Type="http://schemas.openxmlformats.org/officeDocument/2006/relationships/hyperlink" Target="https://ccr-mag.com/reviving-commercial-buildings-navigating-water-damage-restoration/" TargetMode="External"/><Relationship Id="rId15852" Type="http://schemas.openxmlformats.org/officeDocument/2006/relationships/hyperlink" Target="https://hometriangle.com/blogs/the-beauty-of-feature-walls/" TargetMode="External"/><Relationship Id="rId4860" Type="http://schemas.openxmlformats.org/officeDocument/2006/relationships/hyperlink" Target="https://www.simpleshowing.com/" TargetMode="External"/><Relationship Id="rId5911" Type="http://schemas.openxmlformats.org/officeDocument/2006/relationships/hyperlink" Target="https://www.creditstrong.com/how-long-does-it-take-to-rebuild-credit-after-debt-settlement/" TargetMode="External"/><Relationship Id="rId14454" Type="http://schemas.openxmlformats.org/officeDocument/2006/relationships/hyperlink" Target="https://resident.com/resource-guide/2025/11/15/expert-tips-from-a-garage-door-company-on-how-to-install-a-new-garage-door-safely" TargetMode="External"/><Relationship Id="rId15505" Type="http://schemas.openxmlformats.org/officeDocument/2006/relationships/hyperlink" Target="https://myinteriorpalace.com/" TargetMode="External"/><Relationship Id="rId3462" Type="http://schemas.openxmlformats.org/officeDocument/2006/relationships/hyperlink" Target="https://www.simpleshowing.com/" TargetMode="External"/><Relationship Id="rId4513" Type="http://schemas.openxmlformats.org/officeDocument/2006/relationships/hyperlink" Target="https://www.simpleshowing.com/" TargetMode="External"/><Relationship Id="rId13056" Type="http://schemas.openxmlformats.org/officeDocument/2006/relationships/hyperlink" Target="https://reviews.birdeye.com/shakespeare-martineau-llp-171191462601570" TargetMode="External"/><Relationship Id="rId14107" Type="http://schemas.openxmlformats.org/officeDocument/2006/relationships/hyperlink" Target="https://myinteriorpalace.com/" TargetMode="External"/><Relationship Id="rId383" Type="http://schemas.openxmlformats.org/officeDocument/2006/relationships/hyperlink" Target="https://www.tidalloans.com/insights-into-the-northern-virginia-housing-market/" TargetMode="External"/><Relationship Id="rId2064" Type="http://schemas.openxmlformats.org/officeDocument/2006/relationships/hyperlink" Target="https://www.simpleshowing.com/" TargetMode="External"/><Relationship Id="rId3115" Type="http://schemas.openxmlformats.org/officeDocument/2006/relationships/hyperlink" Target="https://www.pulte.com/" TargetMode="External"/><Relationship Id="rId6685" Type="http://schemas.openxmlformats.org/officeDocument/2006/relationships/hyperlink" Target="https://www.simpleshowing.com/" TargetMode="External"/><Relationship Id="rId5287" Type="http://schemas.openxmlformats.org/officeDocument/2006/relationships/hyperlink" Target="https://surecart.com/resources/passive-income-ideas-to-make-extra-money/" TargetMode="External"/><Relationship Id="rId6338" Type="http://schemas.openxmlformats.org/officeDocument/2006/relationships/hyperlink" Target="https://www.simpleshowing.com/" TargetMode="External"/><Relationship Id="rId7736" Type="http://schemas.openxmlformats.org/officeDocument/2006/relationships/hyperlink" Target="https://discoverlakelanier.com/" TargetMode="External"/><Relationship Id="rId10717" Type="http://schemas.openxmlformats.org/officeDocument/2006/relationships/hyperlink" Target="https://www.teachengineering.org/" TargetMode="External"/><Relationship Id="rId12889" Type="http://schemas.openxmlformats.org/officeDocument/2006/relationships/hyperlink" Target="https://propertypressonline.co.uk/" TargetMode="External"/><Relationship Id="rId1897" Type="http://schemas.openxmlformats.org/officeDocument/2006/relationships/hyperlink" Target="https://markspain.com/" TargetMode="External"/><Relationship Id="rId2948" Type="http://schemas.openxmlformats.org/officeDocument/2006/relationships/hyperlink" Target="https://sentriforce.com/siteincontrol/" TargetMode="External"/><Relationship Id="rId15362" Type="http://schemas.openxmlformats.org/officeDocument/2006/relationships/hyperlink" Target="https://www.luxdeco.com/" TargetMode="External"/><Relationship Id="rId4370" Type="http://schemas.openxmlformats.org/officeDocument/2006/relationships/hyperlink" Target="https://www.kapre.com/" TargetMode="External"/><Relationship Id="rId5421" Type="http://schemas.openxmlformats.org/officeDocument/2006/relationships/hyperlink" Target="https://billingsgazette.com/shopping/article_88fba787-92f3-57b9-8cb4-bec66a4947e4.html" TargetMode="External"/><Relationship Id="rId8991" Type="http://schemas.openxmlformats.org/officeDocument/2006/relationships/hyperlink" Target="https://www.pinoyeplans.com/" TargetMode="External"/><Relationship Id="rId15015" Type="http://schemas.openxmlformats.org/officeDocument/2006/relationships/hyperlink" Target="https://www.re-thinkingthefuture.com/interior-design/a2996-20-ways-to-introduce-luxury-in-your-interiors-project/" TargetMode="External"/><Relationship Id="rId4023" Type="http://schemas.openxmlformats.org/officeDocument/2006/relationships/hyperlink" Target="https://www.simpleshowing.com/" TargetMode="External"/><Relationship Id="rId7593" Type="http://schemas.openxmlformats.org/officeDocument/2006/relationships/hyperlink" Target="https://www.sspca.org/taylormorrison" TargetMode="External"/><Relationship Id="rId8644" Type="http://schemas.openxmlformats.org/officeDocument/2006/relationships/hyperlink" Target="https://supergold.govt.nz/offers/16033?menu%5Bdistrict%5D=&amp;menu%5Bregion%5D=Canterbury" TargetMode="External"/><Relationship Id="rId11972" Type="http://schemas.openxmlformats.org/officeDocument/2006/relationships/hyperlink" Target="https://www.stickpretty.com/product-category/tile-decals/" TargetMode="External"/><Relationship Id="rId6195" Type="http://schemas.openxmlformats.org/officeDocument/2006/relationships/hyperlink" Target="https://antiguanewsroom.com/how-to-lower-your-credit-card-interest-rate/" TargetMode="External"/><Relationship Id="rId7246" Type="http://schemas.openxmlformats.org/officeDocument/2006/relationships/hyperlink" Target="https://www.taylormorrison.com/" TargetMode="External"/><Relationship Id="rId10227" Type="http://schemas.openxmlformats.org/officeDocument/2006/relationships/hyperlink" Target="https://www.pinoyeplans.com/" TargetMode="External"/><Relationship Id="rId10574" Type="http://schemas.openxmlformats.org/officeDocument/2006/relationships/hyperlink" Target="https://ozobot.com/art-vs-stem-teachers-parents-put-steam/" TargetMode="External"/><Relationship Id="rId11625" Type="http://schemas.openxmlformats.org/officeDocument/2006/relationships/hyperlink" Target="https://www.hamiltoninternationalestates.com/" TargetMode="External"/><Relationship Id="rId13797" Type="http://schemas.openxmlformats.org/officeDocument/2006/relationships/hyperlink" Target="https://www.naturehike.com/fr-fr/blogs/blog/naturehike-mongar-tent-review" TargetMode="External"/><Relationship Id="rId14848" Type="http://schemas.openxmlformats.org/officeDocument/2006/relationships/hyperlink" Target="https://myinteriorpalace.com/" TargetMode="External"/><Relationship Id="rId3856" Type="http://schemas.openxmlformats.org/officeDocument/2006/relationships/hyperlink" Target="https://thecoverguy.com/" TargetMode="External"/><Relationship Id="rId4907" Type="http://schemas.openxmlformats.org/officeDocument/2006/relationships/hyperlink" Target="https://carrot.com/blog/best-real-estate-blogs/" TargetMode="External"/><Relationship Id="rId12399" Type="http://schemas.openxmlformats.org/officeDocument/2006/relationships/hyperlink" Target="https://propertypressonline.co.uk/" TargetMode="External"/><Relationship Id="rId16270" Type="http://schemas.openxmlformats.org/officeDocument/2006/relationships/drawing" Target="../drawings/drawing1.xml"/><Relationship Id="rId777" Type="http://schemas.openxmlformats.org/officeDocument/2006/relationships/hyperlink" Target="https://www.schaafsma.com/" TargetMode="External"/><Relationship Id="rId2458" Type="http://schemas.openxmlformats.org/officeDocument/2006/relationships/hyperlink" Target="https://www.pulte.com/" TargetMode="External"/><Relationship Id="rId3509" Type="http://schemas.openxmlformats.org/officeDocument/2006/relationships/hyperlink" Target="https://subdomainfinder.c99.nl/scans/2024-01-07/pulte.com" TargetMode="External"/><Relationship Id="rId12880" Type="http://schemas.openxmlformats.org/officeDocument/2006/relationships/hyperlink" Target="https://propertypressonline.co.uk/" TargetMode="External"/><Relationship Id="rId13931" Type="http://schemas.openxmlformats.org/officeDocument/2006/relationships/hyperlink" Target="https://faheyroofingcontractors.com/" TargetMode="External"/><Relationship Id="rId9552" Type="http://schemas.openxmlformats.org/officeDocument/2006/relationships/hyperlink" Target="https://www.pinoyeplans.com/" TargetMode="External"/><Relationship Id="rId11482" Type="http://schemas.openxmlformats.org/officeDocument/2006/relationships/hyperlink" Target="https://www.the-sun.com/lifestyle/11752898/expert-paint-fence-colours-make-garden-bigger-shades-avoid/" TargetMode="External"/><Relationship Id="rId12533" Type="http://schemas.openxmlformats.org/officeDocument/2006/relationships/hyperlink" Target="https://www.ridgefieldconsulting.co.uk/" TargetMode="External"/><Relationship Id="rId911" Type="http://schemas.openxmlformats.org/officeDocument/2006/relationships/hyperlink" Target="https://novihomeshow.com/fall/exhibitor-list/" TargetMode="External"/><Relationship Id="rId1541" Type="http://schemas.openxmlformats.org/officeDocument/2006/relationships/hyperlink" Target="https://fatjoe.com/blog/fatjoe-x-wolf-river-electric/" TargetMode="External"/><Relationship Id="rId8154" Type="http://schemas.openxmlformats.org/officeDocument/2006/relationships/hyperlink" Target="https://integrityhomeexteriors.com/" TargetMode="External"/><Relationship Id="rId9205" Type="http://schemas.openxmlformats.org/officeDocument/2006/relationships/hyperlink" Target="https://oversonroofing.com/" TargetMode="External"/><Relationship Id="rId10084" Type="http://schemas.openxmlformats.org/officeDocument/2006/relationships/hyperlink" Target="https://www.teachengineering.org/" TargetMode="External"/><Relationship Id="rId11135" Type="http://schemas.openxmlformats.org/officeDocument/2006/relationships/hyperlink" Target="https://www.pinoyeplans.com/" TargetMode="External"/><Relationship Id="rId4764" Type="http://schemas.openxmlformats.org/officeDocument/2006/relationships/hyperlink" Target="https://www.kalb.com/2024/05/27/high-school-seniors-can-now-get-real-estate-license-free-this-state/" TargetMode="External"/><Relationship Id="rId14358" Type="http://schemas.openxmlformats.org/officeDocument/2006/relationships/hyperlink" Target="https://namayush.gov.in/content/whats-new-announcements?page=18135" TargetMode="External"/><Relationship Id="rId15756" Type="http://schemas.openxmlformats.org/officeDocument/2006/relationships/hyperlink" Target="https://perryhomes.com.au/new-home-builder-opens-display-home-in-tweed/" TargetMode="External"/><Relationship Id="rId3366" Type="http://schemas.openxmlformats.org/officeDocument/2006/relationships/hyperlink" Target="https://www.simpleshowing.com/" TargetMode="External"/><Relationship Id="rId4417" Type="http://schemas.openxmlformats.org/officeDocument/2006/relationships/hyperlink" Target="https://www.simpleshowing.com/" TargetMode="External"/><Relationship Id="rId5815" Type="http://schemas.openxmlformats.org/officeDocument/2006/relationships/hyperlink" Target="https://blog.designcrowd.es/article/2232/how-to-visually-capture-customers-in-new-traffic-channels-2025" TargetMode="External"/><Relationship Id="rId15409" Type="http://schemas.openxmlformats.org/officeDocument/2006/relationships/hyperlink" Target="https://myinteriorpalace.com/" TargetMode="External"/><Relationship Id="rId287" Type="http://schemas.openxmlformats.org/officeDocument/2006/relationships/hyperlink" Target="http://legalreader.com/" TargetMode="External"/><Relationship Id="rId3019" Type="http://schemas.openxmlformats.org/officeDocument/2006/relationships/hyperlink" Target="https://www.pulte.com/" TargetMode="External"/><Relationship Id="rId7987" Type="http://schemas.openxmlformats.org/officeDocument/2006/relationships/hyperlink" Target="https://constructiononline.com/profile/distinctiveroofingfl" TargetMode="External"/><Relationship Id="rId10968" Type="http://schemas.openxmlformats.org/officeDocument/2006/relationships/hyperlink" Target="https://www.pinoyeplans.com/" TargetMode="External"/><Relationship Id="rId6589" Type="http://schemas.openxmlformats.org/officeDocument/2006/relationships/hyperlink" Target="https://hydrosystem.com/2024/06/08/an-ounce-of-prevention-creative-ways-to-take-charge-of-wellness-at-home/" TargetMode="External"/><Relationship Id="rId9062" Type="http://schemas.openxmlformats.org/officeDocument/2006/relationships/hyperlink" Target="https://technivorz.com/from-plans-to-profits-how-construction-estimators-shape-project-success/" TargetMode="External"/><Relationship Id="rId12390" Type="http://schemas.openxmlformats.org/officeDocument/2006/relationships/hyperlink" Target="https://propertypressonline.co.uk/" TargetMode="External"/><Relationship Id="rId13441" Type="http://schemas.openxmlformats.org/officeDocument/2006/relationships/hyperlink" Target="https://myinteriorpalace.com/" TargetMode="External"/><Relationship Id="rId3500" Type="http://schemas.openxmlformats.org/officeDocument/2006/relationships/hyperlink" Target="https://newsroom.ocfl.net/2019/02/orange-county-government-division-of-building-safety-supports-habitat-for-humanity-orlando-osceola-countys-2019-builders-blitz/" TargetMode="External"/><Relationship Id="rId12043" Type="http://schemas.openxmlformats.org/officeDocument/2006/relationships/hyperlink" Target="https://www.bobvila.com/" TargetMode="External"/><Relationship Id="rId421" Type="http://schemas.openxmlformats.org/officeDocument/2006/relationships/hyperlink" Target="https://obxguides.com/vacation-rentals" TargetMode="External"/><Relationship Id="rId1051" Type="http://schemas.openxmlformats.org/officeDocument/2006/relationships/hyperlink" Target="https://www.matrixbasements.com/" TargetMode="External"/><Relationship Id="rId2102" Type="http://schemas.openxmlformats.org/officeDocument/2006/relationships/hyperlink" Target="https://lookwhatmomfound.org/increase-your-homes-value-with-these-budget-kitchen-updates/" TargetMode="External"/><Relationship Id="rId5672" Type="http://schemas.openxmlformats.org/officeDocument/2006/relationships/hyperlink" Target="https://www.simpleshowing.com/" TargetMode="External"/><Relationship Id="rId6723" Type="http://schemas.openxmlformats.org/officeDocument/2006/relationships/hyperlink" Target="https://www.simpleshowing.com/" TargetMode="External"/><Relationship Id="rId15266" Type="http://schemas.openxmlformats.org/officeDocument/2006/relationships/hyperlink" Target="https://www.luxdeco.com/" TargetMode="External"/><Relationship Id="rId4274" Type="http://schemas.openxmlformats.org/officeDocument/2006/relationships/hyperlink" Target="https://www.kapre.com/" TargetMode="External"/><Relationship Id="rId5325" Type="http://schemas.openxmlformats.org/officeDocument/2006/relationships/hyperlink" Target="https://www.bigblue.co/es/blog/split-testing-shipping-offers-free-fast-or-tracked---what-converts-best" TargetMode="External"/><Relationship Id="rId8895" Type="http://schemas.openxmlformats.org/officeDocument/2006/relationships/hyperlink" Target="https://www.pinoyeplans.com/" TargetMode="External"/><Relationship Id="rId7497" Type="http://schemas.openxmlformats.org/officeDocument/2006/relationships/hyperlink" Target="https://www.thv11.com/article/syndication/spanish/inspector-de-viviendas-en-el-valle-se-hace-viral-en-redes-y-ahora-no-quieren-permitirselo/75-36c5a7b6-76e9-485c-ac6b-af1723c44a44" TargetMode="External"/><Relationship Id="rId8548" Type="http://schemas.openxmlformats.org/officeDocument/2006/relationships/hyperlink" Target="https://www.fusioncash.net/forum.php?topic=97794.0" TargetMode="External"/><Relationship Id="rId9946" Type="http://schemas.openxmlformats.org/officeDocument/2006/relationships/hyperlink" Target="https://www.teachengineering.org/" TargetMode="External"/><Relationship Id="rId11876" Type="http://schemas.openxmlformats.org/officeDocument/2006/relationships/hyperlink" Target="https://blog.backlinker.ai/20-lessons-learned-from-pivoting-your-product-roadmap/" TargetMode="External"/><Relationship Id="rId12927" Type="http://schemas.openxmlformats.org/officeDocument/2006/relationships/hyperlink" Target="https://www.walesonline.co.uk/news/uk-news/schools-work-places-close-gets-24462790" TargetMode="External"/><Relationship Id="rId1935" Type="http://schemas.openxmlformats.org/officeDocument/2006/relationships/hyperlink" Target="https://www.simpleshowing.com/" TargetMode="External"/><Relationship Id="rId6099" Type="http://schemas.openxmlformats.org/officeDocument/2006/relationships/hyperlink" Target="https://info.memorialplanning.com/finances-and-planning/debt-free-living-in-retirement-strategies-and-tips" TargetMode="External"/><Relationship Id="rId10478" Type="http://schemas.openxmlformats.org/officeDocument/2006/relationships/hyperlink" Target="https://www.grunge.com/794804/the-incredible-story-of-the-worlds-best-blind-mountain-biker/" TargetMode="External"/><Relationship Id="rId11529" Type="http://schemas.openxmlformats.org/officeDocument/2006/relationships/hyperlink" Target="https://sellhousefast.uk/" TargetMode="External"/><Relationship Id="rId15400" Type="http://schemas.openxmlformats.org/officeDocument/2006/relationships/hyperlink" Target="https://myinteriorpalace.com/" TargetMode="External"/><Relationship Id="rId3010" Type="http://schemas.openxmlformats.org/officeDocument/2006/relationships/hyperlink" Target="https://www.pulte.com/" TargetMode="External"/><Relationship Id="rId14002" Type="http://schemas.openxmlformats.org/officeDocument/2006/relationships/hyperlink" Target="https://myinteriorpalace.com/" TargetMode="External"/><Relationship Id="rId6580" Type="http://schemas.openxmlformats.org/officeDocument/2006/relationships/hyperlink" Target="https://www.thermasol.com/" TargetMode="External"/><Relationship Id="rId7631" Type="http://schemas.openxmlformats.org/officeDocument/2006/relationships/hyperlink" Target="https://www.taylormorrison.com/" TargetMode="External"/><Relationship Id="rId10612" Type="http://schemas.openxmlformats.org/officeDocument/2006/relationships/hyperlink" Target="https://www.teachengineering.org/" TargetMode="External"/><Relationship Id="rId16174" Type="http://schemas.openxmlformats.org/officeDocument/2006/relationships/hyperlink" Target="https://myinteriorpalace.com/" TargetMode="External"/><Relationship Id="rId5182" Type="http://schemas.openxmlformats.org/officeDocument/2006/relationships/hyperlink" Target="https://www.simpleshowing.com/" TargetMode="External"/><Relationship Id="rId6233" Type="http://schemas.openxmlformats.org/officeDocument/2006/relationships/hyperlink" Target="https://www.genniferrose.com/blog/epic-upgrades-to-your-home-in-auckland-transform-your-space-with-style" TargetMode="External"/><Relationship Id="rId1792" Type="http://schemas.openxmlformats.org/officeDocument/2006/relationships/hyperlink" Target="https://wolfriverelectric.com/" TargetMode="External"/><Relationship Id="rId2843" Type="http://schemas.openxmlformats.org/officeDocument/2006/relationships/hyperlink" Target="https://www.gayrealestate.com/blog/2013/11/gay-realtor-chandler-az-gay-lifestyle-in-a-safe-clean-golfing-community/" TargetMode="External"/><Relationship Id="rId9456" Type="http://schemas.openxmlformats.org/officeDocument/2006/relationships/hyperlink" Target="https://www.pinoyeplans.com/" TargetMode="External"/><Relationship Id="rId11386" Type="http://schemas.openxmlformats.org/officeDocument/2006/relationships/hyperlink" Target="https://kreafolk.com/blogs/news/why-selling-your-philadelphia-home-to-we-buy-houses-philadelphia-is-the-smart-choice" TargetMode="External"/><Relationship Id="rId12437" Type="http://schemas.openxmlformats.org/officeDocument/2006/relationships/hyperlink" Target="https://www.citymonitor.ai/analysis/british-cities-are-moving-reduce-impact-studentification-3659/" TargetMode="External"/><Relationship Id="rId12784" Type="http://schemas.openxmlformats.org/officeDocument/2006/relationships/hyperlink" Target="https://propertypressonline.co.uk/" TargetMode="External"/><Relationship Id="rId13835" Type="http://schemas.openxmlformats.org/officeDocument/2006/relationships/hyperlink" Target="https://aqglassshowerdoorsphoenix.com/" TargetMode="External"/><Relationship Id="rId815" Type="http://schemas.openxmlformats.org/officeDocument/2006/relationships/hyperlink" Target="https://www.simpleshowing.com/" TargetMode="External"/><Relationship Id="rId1445" Type="http://schemas.openxmlformats.org/officeDocument/2006/relationships/hyperlink" Target="https://www.webfx.com/industries/home-repair/window-door-companies/web-design/" TargetMode="External"/><Relationship Id="rId8058" Type="http://schemas.openxmlformats.org/officeDocument/2006/relationships/hyperlink" Target="https://wibc.com/132779/smile-these-are-indianapolis-top-7-most-photogenic-areas/" TargetMode="External"/><Relationship Id="rId9109" Type="http://schemas.openxmlformats.org/officeDocument/2006/relationships/hyperlink" Target="https://nycestimating.us/" TargetMode="External"/><Relationship Id="rId11039" Type="http://schemas.openxmlformats.org/officeDocument/2006/relationships/hyperlink" Target="https://read.bookcreator.com/Cfm7kRgnZSR4KJzYXXnUJezaQeo1/s4vjjaQSRDKiNnl7bxE5Ew/hjfQ57RXS7O6YlJFIR1Xag" TargetMode="External"/><Relationship Id="rId4668" Type="http://schemas.openxmlformats.org/officeDocument/2006/relationships/hyperlink" Target="https://www.wgem.com/2024/05/27/high-school-seniors-can-now-get-real-estate-license-free-this-state/" TargetMode="External"/><Relationship Id="rId5719" Type="http://schemas.openxmlformats.org/officeDocument/2006/relationships/hyperlink" Target="https://www.bacancytechnology.com/blog/ai-in-debt-collection" TargetMode="External"/><Relationship Id="rId6090" Type="http://schemas.openxmlformats.org/officeDocument/2006/relationships/hyperlink" Target="https://www.simpleshowing.com/" TargetMode="External"/><Relationship Id="rId7141" Type="http://schemas.openxmlformats.org/officeDocument/2006/relationships/hyperlink" Target="https://www.abladvisor.com/news/32647/taylor-morrison-and-varde-partners-agree-to-land-banking-facility-and-joint-ventu" TargetMode="External"/><Relationship Id="rId11520" Type="http://schemas.openxmlformats.org/officeDocument/2006/relationships/hyperlink" Target="https://sellhousefast.uk/" TargetMode="External"/><Relationship Id="rId10122" Type="http://schemas.openxmlformats.org/officeDocument/2006/relationships/hyperlink" Target="https://www.pinoyeplans.com/" TargetMode="External"/><Relationship Id="rId13692" Type="http://schemas.openxmlformats.org/officeDocument/2006/relationships/hyperlink" Target="https://freshsends.com/blogs/fresh-sends/uplifting-get-well-flowers" TargetMode="External"/><Relationship Id="rId14743" Type="http://schemas.openxmlformats.org/officeDocument/2006/relationships/hyperlink" Target="https://myinteriorpalace.com/" TargetMode="External"/><Relationship Id="rId3751" Type="http://schemas.openxmlformats.org/officeDocument/2006/relationships/hyperlink" Target="https://www.overheaddoors.com/" TargetMode="External"/><Relationship Id="rId4802" Type="http://schemas.openxmlformats.org/officeDocument/2006/relationships/hyperlink" Target="https://www.kapre.com/" TargetMode="External"/><Relationship Id="rId12294" Type="http://schemas.openxmlformats.org/officeDocument/2006/relationships/hyperlink" Target="https://propertypressonline.co.uk/" TargetMode="External"/><Relationship Id="rId13345" Type="http://schemas.openxmlformats.org/officeDocument/2006/relationships/hyperlink" Target="https://myinteriorpalace.com/" TargetMode="External"/><Relationship Id="rId672" Type="http://schemas.openxmlformats.org/officeDocument/2006/relationships/hyperlink" Target="https://www.carolinadesigns.com/" TargetMode="External"/><Relationship Id="rId2353" Type="http://schemas.openxmlformats.org/officeDocument/2006/relationships/hyperlink" Target="https://www.pulte.com/" TargetMode="External"/><Relationship Id="rId3404" Type="http://schemas.openxmlformats.org/officeDocument/2006/relationships/hyperlink" Target="https://hartfordbusiness.com/article/layoff-insurance-latest-carrot-for-homebuyers/" TargetMode="External"/><Relationship Id="rId6974" Type="http://schemas.openxmlformats.org/officeDocument/2006/relationships/hyperlink" Target="https://www.taylormorrison.com/" TargetMode="External"/><Relationship Id="rId325" Type="http://schemas.openxmlformats.org/officeDocument/2006/relationships/hyperlink" Target="https://junehomes.com/blog/2024/02/13/6-ways-to-use-ai-in-real-estate-as-a-homeowner/" TargetMode="External"/><Relationship Id="rId2006" Type="http://schemas.openxmlformats.org/officeDocument/2006/relationships/hyperlink" Target="https://activepropertycare.com/why-bi-level-homes-are-making-a-comeback-and-how-to-market-yours/" TargetMode="External"/><Relationship Id="rId5576" Type="http://schemas.openxmlformats.org/officeDocument/2006/relationships/hyperlink" Target="https://www.simpleshowing.com/" TargetMode="External"/><Relationship Id="rId6627" Type="http://schemas.openxmlformats.org/officeDocument/2006/relationships/hyperlink" Target="https://inspiredhomes.uk.com/relaxing-atmosphere-of-spa-to-your-home/" TargetMode="External"/><Relationship Id="rId4178" Type="http://schemas.openxmlformats.org/officeDocument/2006/relationships/hyperlink" Target="https://www.kapre.com/" TargetMode="External"/><Relationship Id="rId5229" Type="http://schemas.openxmlformats.org/officeDocument/2006/relationships/hyperlink" Target="https://sqmagazine.co.uk/business-loans-vs-personal-loans-statistics/" TargetMode="External"/><Relationship Id="rId9100" Type="http://schemas.openxmlformats.org/officeDocument/2006/relationships/hyperlink" Target="https://nycestimating.us/" TargetMode="External"/><Relationship Id="rId8799" Type="http://schemas.openxmlformats.org/officeDocument/2006/relationships/hyperlink" Target="https://www.pinoyeplans.com/" TargetMode="External"/><Relationship Id="rId11030" Type="http://schemas.openxmlformats.org/officeDocument/2006/relationships/hyperlink" Target="https://atecentral.net/r31021/success" TargetMode="External"/><Relationship Id="rId15651" Type="http://schemas.openxmlformats.org/officeDocument/2006/relationships/hyperlink" Target="https://pressreleases.responsesource.com/news/99352/luxdeco-launches-think-big-shop-small-campaign-to-support-small/" TargetMode="External"/><Relationship Id="rId1839" Type="http://schemas.openxmlformats.org/officeDocument/2006/relationships/hyperlink" Target="https://www.simpleshowing.com/" TargetMode="External"/><Relationship Id="rId5710" Type="http://schemas.openxmlformats.org/officeDocument/2006/relationships/hyperlink" Target="https://www.simpleshowing.com/" TargetMode="External"/><Relationship Id="rId14253" Type="http://schemas.openxmlformats.org/officeDocument/2006/relationships/hyperlink" Target="https://www.e-architect.com/articles/laminate-flooring-gives-hardwood-look" TargetMode="External"/><Relationship Id="rId15304" Type="http://schemas.openxmlformats.org/officeDocument/2006/relationships/hyperlink" Target="https://myinteriorpalace.com/" TargetMode="External"/><Relationship Id="rId182" Type="http://schemas.openxmlformats.org/officeDocument/2006/relationships/hyperlink" Target="https://www.workwithfocus.com/" TargetMode="External"/><Relationship Id="rId3261" Type="http://schemas.openxmlformats.org/officeDocument/2006/relationships/hyperlink" Target="https://www.simpleshowing.com/" TargetMode="External"/><Relationship Id="rId4312" Type="http://schemas.openxmlformats.org/officeDocument/2006/relationships/hyperlink" Target="https://www.simpleshowing.com/" TargetMode="External"/><Relationship Id="rId7882" Type="http://schemas.openxmlformats.org/officeDocument/2006/relationships/hyperlink" Target="https://marketspread.com/vendor/151706/trust-roofing/" TargetMode="External"/><Relationship Id="rId8933" Type="http://schemas.openxmlformats.org/officeDocument/2006/relationships/hyperlink" Target="https://doopermagazine.co.uk/the-complete-guide-to-working-with-trusted-steel-stockholders/" TargetMode="External"/><Relationship Id="rId6484" Type="http://schemas.openxmlformats.org/officeDocument/2006/relationships/hyperlink" Target="https://www.thermasol.com/" TargetMode="External"/><Relationship Id="rId7535" Type="http://schemas.openxmlformats.org/officeDocument/2006/relationships/hyperlink" Target="https://www.taylormorrison.com/" TargetMode="External"/><Relationship Id="rId10516" Type="http://schemas.openxmlformats.org/officeDocument/2006/relationships/hyperlink" Target="https://www.teachengineering.org/" TargetMode="External"/><Relationship Id="rId10863" Type="http://schemas.openxmlformats.org/officeDocument/2006/relationships/hyperlink" Target="https://www.pinoyeplans.com/" TargetMode="External"/><Relationship Id="rId11914" Type="http://schemas.openxmlformats.org/officeDocument/2006/relationships/hyperlink" Target="https://www.bobvila.com/" TargetMode="External"/><Relationship Id="rId16078" Type="http://schemas.openxmlformats.org/officeDocument/2006/relationships/hyperlink" Target="https://myinteriorpalace.com/" TargetMode="External"/><Relationship Id="rId5086" Type="http://schemas.openxmlformats.org/officeDocument/2006/relationships/hyperlink" Target="https://www.simpleshowing.com/" TargetMode="External"/><Relationship Id="rId6137" Type="http://schemas.openxmlformats.org/officeDocument/2006/relationships/hyperlink" Target="https://www.cience.com/company/freedom-debt-relief/6565779458324643298" TargetMode="External"/><Relationship Id="rId1696" Type="http://schemas.openxmlformats.org/officeDocument/2006/relationships/hyperlink" Target="https://wolfriverelectric.com/" TargetMode="External"/><Relationship Id="rId12688" Type="http://schemas.openxmlformats.org/officeDocument/2006/relationships/hyperlink" Target="https://propertypressonline.co.uk/" TargetMode="External"/><Relationship Id="rId13739" Type="http://schemas.openxmlformats.org/officeDocument/2006/relationships/hyperlink" Target="https://anationofmoms.com/" TargetMode="External"/><Relationship Id="rId1349" Type="http://schemas.openxmlformats.org/officeDocument/2006/relationships/hyperlink" Target="https://www.mysanantonio.com/realestate/article/how-a-national-housing-emergency-could-open-more-21041521.php" TargetMode="External"/><Relationship Id="rId2747" Type="http://schemas.openxmlformats.org/officeDocument/2006/relationships/hyperlink" Target="https://www.wonkette.com/p/give-us-gas-stoves-or-give-us-death-maybe-even-both" TargetMode="External"/><Relationship Id="rId5220" Type="http://schemas.openxmlformats.org/officeDocument/2006/relationships/hyperlink" Target="https://www.simpleshowing.com/" TargetMode="External"/><Relationship Id="rId15161" Type="http://schemas.openxmlformats.org/officeDocument/2006/relationships/hyperlink" Target="https://www.luxdeco.com/" TargetMode="External"/><Relationship Id="rId16212" Type="http://schemas.openxmlformats.org/officeDocument/2006/relationships/hyperlink" Target="https://inthewash.co.uk/cleaning/get-fake-tan-out-of-carpet/" TargetMode="External"/><Relationship Id="rId719" Type="http://schemas.openxmlformats.org/officeDocument/2006/relationships/hyperlink" Target="https://www.simpleshowing.com/" TargetMode="External"/><Relationship Id="rId8790" Type="http://schemas.openxmlformats.org/officeDocument/2006/relationships/hyperlink" Target="https://propertychecker.com/" TargetMode="External"/><Relationship Id="rId9841" Type="http://schemas.openxmlformats.org/officeDocument/2006/relationships/hyperlink" Target="https://www.teachengineering.org/" TargetMode="External"/><Relationship Id="rId11771" Type="http://schemas.openxmlformats.org/officeDocument/2006/relationships/hyperlink" Target="https://alldamp.co.uk/where-is-your-property-losing-the-most-value/" TargetMode="External"/><Relationship Id="rId12822" Type="http://schemas.openxmlformats.org/officeDocument/2006/relationships/hyperlink" Target="https://www.bristolworld.com/community/revealed-six-times-as-many-bristol-homes-could-be-burdened-by-inheritance-tax-freeze-5109403" TargetMode="External"/><Relationship Id="rId55" Type="http://schemas.openxmlformats.org/officeDocument/2006/relationships/hyperlink" Target="http://globelivemedia.com/" TargetMode="External"/><Relationship Id="rId1830" Type="http://schemas.openxmlformats.org/officeDocument/2006/relationships/hyperlink" Target="https://www.simpleshowing.com/" TargetMode="External"/><Relationship Id="rId7392" Type="http://schemas.openxmlformats.org/officeDocument/2006/relationships/hyperlink" Target="https://www.taylormorrison.com/" TargetMode="External"/><Relationship Id="rId8443" Type="http://schemas.openxmlformats.org/officeDocument/2006/relationships/hyperlink" Target="https://www.saudi-expatriates.com/2025/07/from-concept-to-reality-how-3d-rendering-shapes-regtail-comercial-spaces-for-expats-in-ksa.html" TargetMode="External"/><Relationship Id="rId10373" Type="http://schemas.openxmlformats.org/officeDocument/2006/relationships/hyperlink" Target="https://www.watereducation.org/publication/california-project-wet-gazette-4" TargetMode="External"/><Relationship Id="rId11424" Type="http://schemas.openxmlformats.org/officeDocument/2006/relationships/hyperlink" Target="http://webuyhouses.com/" TargetMode="External"/><Relationship Id="rId14994" Type="http://schemas.openxmlformats.org/officeDocument/2006/relationships/hyperlink" Target="https://www.lofficielusa.com/travel-living/french-interior-designers-to-follow-on-instagram" TargetMode="External"/><Relationship Id="rId7045" Type="http://schemas.openxmlformats.org/officeDocument/2006/relationships/hyperlink" Target="https://www.simpleshowing.com/" TargetMode="External"/><Relationship Id="rId10026" Type="http://schemas.openxmlformats.org/officeDocument/2006/relationships/hyperlink" Target="https://www.pinoyeplans.com/" TargetMode="External"/><Relationship Id="rId13596" Type="http://schemas.openxmlformats.org/officeDocument/2006/relationships/hyperlink" Target="https://livingmontessorinow.com/embracing-extended-family/" TargetMode="External"/><Relationship Id="rId14647" Type="http://schemas.openxmlformats.org/officeDocument/2006/relationships/hyperlink" Target="https://myinteriorpalace.com/" TargetMode="External"/><Relationship Id="rId3655" Type="http://schemas.openxmlformats.org/officeDocument/2006/relationships/hyperlink" Target="https://www.pulte.com/" TargetMode="External"/><Relationship Id="rId4706" Type="http://schemas.openxmlformats.org/officeDocument/2006/relationships/hyperlink" Target="https://www.kapre.com/" TargetMode="External"/><Relationship Id="rId12198" Type="http://schemas.openxmlformats.org/officeDocument/2006/relationships/hyperlink" Target="https://www.hamiltoninternationalestates.com/" TargetMode="External"/><Relationship Id="rId13249" Type="http://schemas.openxmlformats.org/officeDocument/2006/relationships/hyperlink" Target="https://propertypressonline.co.uk/" TargetMode="External"/><Relationship Id="rId576" Type="http://schemas.openxmlformats.org/officeDocument/2006/relationships/hyperlink" Target="https://www.carolinadesigns.com/" TargetMode="External"/><Relationship Id="rId2257" Type="http://schemas.openxmlformats.org/officeDocument/2006/relationships/hyperlink" Target="https://www.collectionforsyth.com/" TargetMode="External"/><Relationship Id="rId3308" Type="http://schemas.openxmlformats.org/officeDocument/2006/relationships/hyperlink" Target="https://vestapropertyservices.com/the-boca-raton-office-is-on-a-roll-with-another-win-for-vesta/" TargetMode="External"/><Relationship Id="rId229" Type="http://schemas.openxmlformats.org/officeDocument/2006/relationships/hyperlink" Target="https://moneywise.com/real-estate/3-steps-to-get-started" TargetMode="External"/><Relationship Id="rId6878" Type="http://schemas.openxmlformats.org/officeDocument/2006/relationships/hyperlink" Target="https://careerfairs.charlotte.edu/details_student.php?fair=150" TargetMode="External"/><Relationship Id="rId7929" Type="http://schemas.openxmlformats.org/officeDocument/2006/relationships/hyperlink" Target="https://certifiedrestorationinc.com/" TargetMode="External"/><Relationship Id="rId9351" Type="http://schemas.openxmlformats.org/officeDocument/2006/relationships/hyperlink" Target="https://www.pinoyeplans.com/" TargetMode="External"/><Relationship Id="rId13730" Type="http://schemas.openxmlformats.org/officeDocument/2006/relationships/hyperlink" Target="https://anationofmoms.com/" TargetMode="External"/><Relationship Id="rId9004" Type="http://schemas.openxmlformats.org/officeDocument/2006/relationships/hyperlink" Target="https://nycestimating.us/" TargetMode="External"/><Relationship Id="rId11281" Type="http://schemas.openxmlformats.org/officeDocument/2006/relationships/hyperlink" Target="https://www.waterdamagespecialist.com.au/" TargetMode="External"/><Relationship Id="rId12332" Type="http://schemas.openxmlformats.org/officeDocument/2006/relationships/hyperlink" Target="https://www.brighton.ac.uk/accommodation-and-locations/private-sector/index.aspx" TargetMode="External"/><Relationship Id="rId710" Type="http://schemas.openxmlformats.org/officeDocument/2006/relationships/hyperlink" Target="https://www.simpleshowing.com/" TargetMode="External"/><Relationship Id="rId1340" Type="http://schemas.openxmlformats.org/officeDocument/2006/relationships/hyperlink" Target="https://www.guidememalta.com/en/looking-for-a-home-in-malta-darscover-makes-finding-your-ideal-property-simple" TargetMode="External"/><Relationship Id="rId5961" Type="http://schemas.openxmlformats.org/officeDocument/2006/relationships/hyperlink" Target="https://ssojet.com/blog/safeguarding-fintech-data-and-enhancing-user-experience-with-ssojet/" TargetMode="External"/><Relationship Id="rId15555" Type="http://schemas.openxmlformats.org/officeDocument/2006/relationships/hyperlink" Target="https://www.covethouse.eu/inspirations/luxury-dark-dining-roomscreating-sophistication-and-comfort/" TargetMode="External"/><Relationship Id="rId4563" Type="http://schemas.openxmlformats.org/officeDocument/2006/relationships/hyperlink" Target="https://www.wfsb.com/2024/05/27/high-school-seniors-can-now-get-real-estate-license-free-this-state/" TargetMode="External"/><Relationship Id="rId5614" Type="http://schemas.openxmlformats.org/officeDocument/2006/relationships/hyperlink" Target="https://www.simpleshowing.com/" TargetMode="External"/><Relationship Id="rId14157" Type="http://schemas.openxmlformats.org/officeDocument/2006/relationships/hyperlink" Target="https://www.corum-watches.com/collections/heritage/coin/c082_03167-automatic-yellow-gold" TargetMode="External"/><Relationship Id="rId15208" Type="http://schemas.openxmlformats.org/officeDocument/2006/relationships/hyperlink" Target="https://myinteriorpalace.com/" TargetMode="External"/><Relationship Id="rId3165" Type="http://schemas.openxmlformats.org/officeDocument/2006/relationships/hyperlink" Target="https://www.simpleshowing.com/" TargetMode="External"/><Relationship Id="rId4216" Type="http://schemas.openxmlformats.org/officeDocument/2006/relationships/hyperlink" Target="https://www.simpleshowing.com/" TargetMode="External"/><Relationship Id="rId7786" Type="http://schemas.openxmlformats.org/officeDocument/2006/relationships/hyperlink" Target="https://www.readunwritten.com/2019/07/09/5-tales-spook-summer-bonfire/" TargetMode="External"/><Relationship Id="rId8837" Type="http://schemas.openxmlformats.org/officeDocument/2006/relationships/hyperlink" Target="https://myliberla.com/what-to-look-for-in-a-reliable-pest-control-company/" TargetMode="External"/><Relationship Id="rId6388" Type="http://schemas.openxmlformats.org/officeDocument/2006/relationships/hyperlink" Target="https://www.simpleshowing.com/" TargetMode="External"/><Relationship Id="rId7439" Type="http://schemas.openxmlformats.org/officeDocument/2006/relationships/hyperlink" Target="https://www.taylormorrison.com/" TargetMode="External"/><Relationship Id="rId10767" Type="http://schemas.openxmlformats.org/officeDocument/2006/relationships/hyperlink" Target="https://www.pinoyeplans.com/" TargetMode="External"/><Relationship Id="rId11818" Type="http://schemas.openxmlformats.org/officeDocument/2006/relationships/hyperlink" Target="https://sellhousefast.uk/" TargetMode="External"/><Relationship Id="rId13240" Type="http://schemas.openxmlformats.org/officeDocument/2006/relationships/hyperlink" Target="https://propertypressonline.co.uk/" TargetMode="External"/><Relationship Id="rId220" Type="http://schemas.openxmlformats.org/officeDocument/2006/relationships/hyperlink" Target="https://www.nyrentownsell.com/blog/cheapest-places-to-live-in-the-us" TargetMode="External"/><Relationship Id="rId2998" Type="http://schemas.openxmlformats.org/officeDocument/2006/relationships/hyperlink" Target="https://www.pulte.com/" TargetMode="External"/><Relationship Id="rId7920" Type="http://schemas.openxmlformats.org/officeDocument/2006/relationships/hyperlink" Target="https://certifiedrestorationinc.com/" TargetMode="External"/><Relationship Id="rId10901" Type="http://schemas.openxmlformats.org/officeDocument/2006/relationships/hyperlink" Target="https://www.soils4teachers.org/lessons-and-activities/lesson/64" TargetMode="External"/><Relationship Id="rId4073" Type="http://schemas.openxmlformats.org/officeDocument/2006/relationships/hyperlink" Target="mailto:davidtullly@gmail.com" TargetMode="External"/><Relationship Id="rId5471" Type="http://schemas.openxmlformats.org/officeDocument/2006/relationships/hyperlink" Target="https://www.ecosmob.com/ai-in-finance-industry/" TargetMode="External"/><Relationship Id="rId6522" Type="http://schemas.openxmlformats.org/officeDocument/2006/relationships/hyperlink" Target="https://www.thermasol.com/" TargetMode="External"/><Relationship Id="rId15065" Type="http://schemas.openxmlformats.org/officeDocument/2006/relationships/hyperlink" Target="https://www.luxdeco.com/" TargetMode="External"/><Relationship Id="rId16116" Type="http://schemas.openxmlformats.org/officeDocument/2006/relationships/hyperlink" Target="https://wiza.co/d/richards-wilcox-canada/049e/quentin-pittman" TargetMode="External"/><Relationship Id="rId5124" Type="http://schemas.openxmlformats.org/officeDocument/2006/relationships/hyperlink" Target="https://www.simpleshowing.com/" TargetMode="External"/><Relationship Id="rId8694" Type="http://schemas.openxmlformats.org/officeDocument/2006/relationships/hyperlink" Target="https://lubelska.co.uk/" TargetMode="External"/><Relationship Id="rId9745" Type="http://schemas.openxmlformats.org/officeDocument/2006/relationships/hyperlink" Target="https://www.teachengineering.org/" TargetMode="External"/><Relationship Id="rId11675" Type="http://schemas.openxmlformats.org/officeDocument/2006/relationships/hyperlink" Target="https://www.deadlinenews.co.uk/2019/11/05/two-scottish-universities-placed-at-bottom-half-of-student-rent-table-in-the-country/" TargetMode="External"/><Relationship Id="rId12726" Type="http://schemas.openxmlformats.org/officeDocument/2006/relationships/hyperlink" Target="https://www.breakroom.cc/en-gb/employers/shakespeare-martineau" TargetMode="External"/><Relationship Id="rId1734" Type="http://schemas.openxmlformats.org/officeDocument/2006/relationships/hyperlink" Target="https://www.simpleshowing.com/" TargetMode="External"/><Relationship Id="rId7296" Type="http://schemas.openxmlformats.org/officeDocument/2006/relationships/hyperlink" Target="https://aimagazine.com/company/taylor-morrison" TargetMode="External"/><Relationship Id="rId8347" Type="http://schemas.openxmlformats.org/officeDocument/2006/relationships/hyperlink" Target="https://theenterpriseworld.com/mortgage-investment-funds-enrich-your-real/" TargetMode="External"/><Relationship Id="rId10277" Type="http://schemas.openxmlformats.org/officeDocument/2006/relationships/hyperlink" Target="https://psrc.aapt.org/items/detail.cfm?ID=8228" TargetMode="External"/><Relationship Id="rId11328" Type="http://schemas.openxmlformats.org/officeDocument/2006/relationships/hyperlink" Target="https://councils.forbes.com/profile/Jeremy-Brandt-Founder-CEO-WeBuyHouses-com/24c337ca-d982-4fa3-89c6-a6b68d2cde17" TargetMode="External"/><Relationship Id="rId14898" Type="http://schemas.openxmlformats.org/officeDocument/2006/relationships/hyperlink" Target="https://ccr-mag.com/understanding-the-importance-of-regular-plumbing-inspections/" TargetMode="External"/><Relationship Id="rId15949" Type="http://schemas.openxmlformats.org/officeDocument/2006/relationships/hyperlink" Target="https://myinteriorpalace.com/" TargetMode="External"/><Relationship Id="rId3559" Type="http://schemas.openxmlformats.org/officeDocument/2006/relationships/hyperlink" Target="https://www.pulte.com/" TargetMode="External"/><Relationship Id="rId4957" Type="http://schemas.openxmlformats.org/officeDocument/2006/relationships/hyperlink" Target="https://www.bestversionmedia.com/hyper-local-marketing-tactics-for-real-estate-agents-to-stand-out/" TargetMode="External"/><Relationship Id="rId7430" Type="http://schemas.openxmlformats.org/officeDocument/2006/relationships/hyperlink" Target="https://www.taylormorrison.com/" TargetMode="External"/><Relationship Id="rId6032" Type="http://schemas.openxmlformats.org/officeDocument/2006/relationships/hyperlink" Target="https://www.simpleshowing.com/" TargetMode="External"/><Relationship Id="rId10411" Type="http://schemas.openxmlformats.org/officeDocument/2006/relationships/hyperlink" Target="https://www.teachengineering.org/" TargetMode="External"/><Relationship Id="rId13981" Type="http://schemas.openxmlformats.org/officeDocument/2006/relationships/hyperlink" Target="https://myinteriorpalace.com/" TargetMode="External"/><Relationship Id="rId12583" Type="http://schemas.openxmlformats.org/officeDocument/2006/relationships/hyperlink" Target="https://propertypressonline.co.uk/" TargetMode="External"/><Relationship Id="rId13634" Type="http://schemas.openxmlformats.org/officeDocument/2006/relationships/hyperlink" Target="https://anationofmoms.com/" TargetMode="External"/><Relationship Id="rId961" Type="http://schemas.openxmlformats.org/officeDocument/2006/relationships/hyperlink" Target="https://www.matrixbasements.com/" TargetMode="External"/><Relationship Id="rId1591" Type="http://schemas.openxmlformats.org/officeDocument/2006/relationships/hyperlink" Target="https://wolfriverelectric.com/" TargetMode="External"/><Relationship Id="rId2642" Type="http://schemas.openxmlformats.org/officeDocument/2006/relationships/hyperlink" Target="https://www.isoldmyhouse.com/moving-to-orlando-florida/" TargetMode="External"/><Relationship Id="rId9255" Type="http://schemas.openxmlformats.org/officeDocument/2006/relationships/hyperlink" Target="https://www.pinoyeplans.com/" TargetMode="External"/><Relationship Id="rId11185" Type="http://schemas.openxmlformats.org/officeDocument/2006/relationships/hyperlink" Target="https://www.waterdamagespecialist.com.au/" TargetMode="External"/><Relationship Id="rId12236" Type="http://schemas.openxmlformats.org/officeDocument/2006/relationships/hyperlink" Target="https://www.bbc.co.uk/news/articles/cyxznkp15nzo" TargetMode="External"/><Relationship Id="rId614" Type="http://schemas.openxmlformats.org/officeDocument/2006/relationships/hyperlink" Target="https://www.simpleshowing.com/" TargetMode="External"/><Relationship Id="rId1244" Type="http://schemas.openxmlformats.org/officeDocument/2006/relationships/hyperlink" Target="https://londonlovesbusiness.com/strategic-considerations-before-moving-your-business/" TargetMode="External"/><Relationship Id="rId5865" Type="http://schemas.openxmlformats.org/officeDocument/2006/relationships/hyperlink" Target="https://solosuit-staging.herokuapp.com/posts/best-debt-reduction-services-2022" TargetMode="External"/><Relationship Id="rId6916" Type="http://schemas.openxmlformats.org/officeDocument/2006/relationships/hyperlink" Target="https://taylormorrison2020ir.q4web.com/investor-relations/default.aspx" TargetMode="External"/><Relationship Id="rId15459" Type="http://schemas.openxmlformats.org/officeDocument/2006/relationships/hyperlink" Target="https://archipro.com.au/article/a-walk-down-memory-lane-gilmore-interior-design" TargetMode="External"/><Relationship Id="rId4467" Type="http://schemas.openxmlformats.org/officeDocument/2006/relationships/hyperlink" Target="https://www.cleveland19.com/2024/05/27/high-school-seniors-can-now-get-real-estate-license-free-this-state/" TargetMode="External"/><Relationship Id="rId5518" Type="http://schemas.openxmlformats.org/officeDocument/2006/relationships/hyperlink" Target="https://www.simpleshowing.com/" TargetMode="External"/><Relationship Id="rId3069" Type="http://schemas.openxmlformats.org/officeDocument/2006/relationships/hyperlink" Target="https://www.simpleshowing.com/" TargetMode="External"/><Relationship Id="rId15940" Type="http://schemas.openxmlformats.org/officeDocument/2006/relationships/hyperlink" Target="https://myinteriorpalace.com/" TargetMode="External"/><Relationship Id="rId13491" Type="http://schemas.openxmlformats.org/officeDocument/2006/relationships/hyperlink" Target="https://myinteriorpalace.com/smart-kitchen-appliance-integration-how-expert-repair-services-keep-your-connected-home-running/" TargetMode="External"/><Relationship Id="rId14542" Type="http://schemas.openxmlformats.org/officeDocument/2006/relationships/hyperlink" Target="https://myinteriorpalace.com/" TargetMode="External"/><Relationship Id="rId471" Type="http://schemas.openxmlformats.org/officeDocument/2006/relationships/hyperlink" Target="https://www.carolinadesigns.com/" TargetMode="External"/><Relationship Id="rId2152" Type="http://schemas.openxmlformats.org/officeDocument/2006/relationships/hyperlink" Target="https://markspain.com/" TargetMode="External"/><Relationship Id="rId3550" Type="http://schemas.openxmlformats.org/officeDocument/2006/relationships/hyperlink" Target="https://www.pulte.com/" TargetMode="External"/><Relationship Id="rId4601" Type="http://schemas.openxmlformats.org/officeDocument/2006/relationships/hyperlink" Target="https://www.kapre.com/" TargetMode="External"/><Relationship Id="rId12093" Type="http://schemas.openxmlformats.org/officeDocument/2006/relationships/hyperlink" Target="https://www.hamiltoninternationalestates.com/" TargetMode="External"/><Relationship Id="rId13144" Type="http://schemas.openxmlformats.org/officeDocument/2006/relationships/hyperlink" Target="https://propertypressonline.co.uk/" TargetMode="External"/><Relationship Id="rId124" Type="http://schemas.openxmlformats.org/officeDocument/2006/relationships/hyperlink" Target="https://www.irem.org/" TargetMode="External"/><Relationship Id="rId3203" Type="http://schemas.openxmlformats.org/officeDocument/2006/relationships/hyperlink" Target="https://www.lauriereader.com/blog/most-popular-home-builders-fort-lauderdale/" TargetMode="External"/><Relationship Id="rId6773" Type="http://schemas.openxmlformats.org/officeDocument/2006/relationships/hyperlink" Target="https://atlantadailyworld.com/2015/08/26/providence-group-of-georgia-named-builder-of-the-quarter/" TargetMode="External"/><Relationship Id="rId7824" Type="http://schemas.openxmlformats.org/officeDocument/2006/relationships/hyperlink" Target="https://discoverlakelanier.com/" TargetMode="External"/><Relationship Id="rId10805" Type="http://schemas.openxmlformats.org/officeDocument/2006/relationships/hyperlink" Target="https://www.uts.edu.au/news/2023/07/engineering-evolution-and-exploration" TargetMode="External"/><Relationship Id="rId5375" Type="http://schemas.openxmlformats.org/officeDocument/2006/relationships/hyperlink" Target="https://blog.designcrowd.com/article/2232/how-to-visually-capture-customers-in-new-traffic-channels-2025" TargetMode="External"/><Relationship Id="rId6426" Type="http://schemas.openxmlformats.org/officeDocument/2006/relationships/hyperlink" Target="https://www.nytimes.com/2025/08/27/style/bathing-culture-trend.html" TargetMode="External"/><Relationship Id="rId9996" Type="http://schemas.openxmlformats.org/officeDocument/2006/relationships/hyperlink" Target="https://www.pinoyeplans.com/" TargetMode="External"/><Relationship Id="rId1985" Type="http://schemas.openxmlformats.org/officeDocument/2006/relationships/hyperlink" Target="https://baronton.com/fort-worths-historic-homes-turning-classic-charm-into-market-value/" TargetMode="External"/><Relationship Id="rId5028" Type="http://schemas.openxmlformats.org/officeDocument/2006/relationships/hyperlink" Target="https://www.simpleshowing.com/" TargetMode="External"/><Relationship Id="rId8598" Type="http://schemas.openxmlformats.org/officeDocument/2006/relationships/hyperlink" Target="https://www.buyersadvocate.com.au/" TargetMode="External"/><Relationship Id="rId9649" Type="http://schemas.openxmlformats.org/officeDocument/2006/relationships/hyperlink" Target="https://www.teachengineering.org/" TargetMode="External"/><Relationship Id="rId11579" Type="http://schemas.openxmlformats.org/officeDocument/2006/relationships/hyperlink" Target="https://www.jbkind.com/blog/should-you-renovate-the-kitchen-before-selling" TargetMode="External"/><Relationship Id="rId12977" Type="http://schemas.openxmlformats.org/officeDocument/2006/relationships/hyperlink" Target="https://www.shma.co.uk/" TargetMode="External"/><Relationship Id="rId1638" Type="http://schemas.openxmlformats.org/officeDocument/2006/relationships/hyperlink" Target="https://www.simpleshowing.com/" TargetMode="External"/><Relationship Id="rId14052" Type="http://schemas.openxmlformats.org/officeDocument/2006/relationships/hyperlink" Target="https://www.smartbusinessdaily.com/best-outdoor-backyard-ideas" TargetMode="External"/><Relationship Id="rId15103" Type="http://schemas.openxmlformats.org/officeDocument/2006/relationships/hyperlink" Target="https://myinteriorpalace.com/" TargetMode="External"/><Relationship Id="rId15450" Type="http://schemas.openxmlformats.org/officeDocument/2006/relationships/hyperlink" Target="http://diginest.macmillaneducation.in/mki/300zx-ac-compressor-replacement" TargetMode="External"/><Relationship Id="rId3060" Type="http://schemas.openxmlformats.org/officeDocument/2006/relationships/hyperlink" Target="https://www.simpleshowing.com/" TargetMode="External"/><Relationship Id="rId4111" Type="http://schemas.openxmlformats.org/officeDocument/2006/relationships/hyperlink" Target="mailto:davidtullly@gmail.com" TargetMode="External"/><Relationship Id="rId6283" Type="http://schemas.openxmlformats.org/officeDocument/2006/relationships/hyperlink" Target="https://cdo.som.yale.edu/blog/2025/12/19/strategic-visibility-the-skill-that-separates-managers-from-game-changing-leaders/" TargetMode="External"/><Relationship Id="rId7681" Type="http://schemas.openxmlformats.org/officeDocument/2006/relationships/hyperlink" Target="https://www.simpleshowing.com/" TargetMode="External"/><Relationship Id="rId8732" Type="http://schemas.openxmlformats.org/officeDocument/2006/relationships/hyperlink" Target="https://www.pinoyeplans.com/" TargetMode="External"/><Relationship Id="rId10662" Type="http://schemas.openxmlformats.org/officeDocument/2006/relationships/hyperlink" Target="https://www.pinoyeplans.com/" TargetMode="External"/><Relationship Id="rId11713" Type="http://schemas.openxmlformats.org/officeDocument/2006/relationships/hyperlink" Target="https://sellhousefast.uk/" TargetMode="External"/><Relationship Id="rId7334" Type="http://schemas.openxmlformats.org/officeDocument/2006/relationships/hyperlink" Target="https://trust.bizjournals.com/profile/Alaina-Robertson-Division-President-Taylor-Morrison/59f02474-3509-4442-9a95-1fbe23c473b8" TargetMode="External"/><Relationship Id="rId10315" Type="http://schemas.openxmlformats.org/officeDocument/2006/relationships/hyperlink" Target="https://www.teachengineering.org/" TargetMode="External"/><Relationship Id="rId13885" Type="http://schemas.openxmlformats.org/officeDocument/2006/relationships/hyperlink" Target="https://myinteriorpalace.com/" TargetMode="External"/><Relationship Id="rId14936" Type="http://schemas.openxmlformats.org/officeDocument/2006/relationships/hyperlink" Target="https://www.fluidplumbingservices.com.au/" TargetMode="External"/><Relationship Id="rId2893" Type="http://schemas.openxmlformats.org/officeDocument/2006/relationships/hyperlink" Target="https://www.pulte.com/" TargetMode="External"/><Relationship Id="rId3944" Type="http://schemas.openxmlformats.org/officeDocument/2006/relationships/hyperlink" Target="https://www.batemansbaypost.com.au/story/9010643/what-are-the-benefits-of-colorbond-roofing/" TargetMode="External"/><Relationship Id="rId12487" Type="http://schemas.openxmlformats.org/officeDocument/2006/relationships/hyperlink" Target="https://sturents.com/" TargetMode="External"/><Relationship Id="rId13538" Type="http://schemas.openxmlformats.org/officeDocument/2006/relationships/hyperlink" Target="https://anationofmoms.com/" TargetMode="External"/><Relationship Id="rId865" Type="http://schemas.openxmlformats.org/officeDocument/2006/relationships/hyperlink" Target="https://www.absolutepestmgmt.com/" TargetMode="External"/><Relationship Id="rId1495" Type="http://schemas.openxmlformats.org/officeDocument/2006/relationships/hyperlink" Target="https://wolfriverelectric.com/" TargetMode="External"/><Relationship Id="rId2546" Type="http://schemas.openxmlformats.org/officeDocument/2006/relationships/hyperlink" Target="https://atlanta.urbanize.city/post/inside-latest-development-atlantas-upper-westside" TargetMode="External"/><Relationship Id="rId9159" Type="http://schemas.openxmlformats.org/officeDocument/2006/relationships/hyperlink" Target="https://www.pinoyeplans.com/" TargetMode="External"/><Relationship Id="rId11089" Type="http://schemas.openxmlformats.org/officeDocument/2006/relationships/hyperlink" Target="https://www.teachengineering.org/" TargetMode="External"/><Relationship Id="rId16011" Type="http://schemas.openxmlformats.org/officeDocument/2006/relationships/hyperlink" Target="https://careers.uw.edu/blog/2025/06/18/15-tips-for-environmental-studies-majors-who-are-mapping-their-careers/" TargetMode="External"/><Relationship Id="rId518" Type="http://schemas.openxmlformats.org/officeDocument/2006/relationships/hyperlink" Target="https://www.simpleshowing.com/" TargetMode="External"/><Relationship Id="rId1148" Type="http://schemas.openxmlformats.org/officeDocument/2006/relationships/hyperlink" Target="https://thebossmagazine.com/top-home-renovation-ideas-make-big-impact/" TargetMode="External"/><Relationship Id="rId5769" Type="http://schemas.openxmlformats.org/officeDocument/2006/relationships/hyperlink" Target="https://wealthandfinance.digital/how-debt-settlement-works/" TargetMode="External"/><Relationship Id="rId9640" Type="http://schemas.openxmlformats.org/officeDocument/2006/relationships/hyperlink" Target="https://www.teachengineering.org/" TargetMode="External"/><Relationship Id="rId7191" Type="http://schemas.openxmlformats.org/officeDocument/2006/relationships/hyperlink" Target="https://www.simpleshowing.com/" TargetMode="External"/><Relationship Id="rId8242" Type="http://schemas.openxmlformats.org/officeDocument/2006/relationships/hyperlink" Target="https://velog.io/@yoon_aspyn/JavaScript-Building-Blocks-Mini-Apps-Java-Script" TargetMode="External"/><Relationship Id="rId11570" Type="http://schemas.openxmlformats.org/officeDocument/2006/relationships/hyperlink" Target="https://www.themarblestore.co.uk/blog/the-benefits-of-upgrading-your-kitchen-with-a-new-worktop/" TargetMode="External"/><Relationship Id="rId12621" Type="http://schemas.openxmlformats.org/officeDocument/2006/relationships/hyperlink" Target="https://www.techvertu.co.uk/who-we-serve" TargetMode="External"/><Relationship Id="rId10172" Type="http://schemas.openxmlformats.org/officeDocument/2006/relationships/hyperlink" Target="https://curriculum.eleducation.org/content/remote-learning-support-families" TargetMode="External"/><Relationship Id="rId11223" Type="http://schemas.openxmlformats.org/officeDocument/2006/relationships/hyperlink" Target="https://www.waterdamagespecialist.com.au/" TargetMode="External"/><Relationship Id="rId14793" Type="http://schemas.openxmlformats.org/officeDocument/2006/relationships/hyperlink" Target="https://whatutalkingboutfamily.com/how-can-you-find-emergency-garage-door-repairs-in-houston-after-hours-reliable-solutions-for-urgent-needs/" TargetMode="External"/><Relationship Id="rId15844" Type="http://schemas.openxmlformats.org/officeDocument/2006/relationships/hyperlink" Target="https://myinteriorpalace.com/" TargetMode="External"/><Relationship Id="rId4852" Type="http://schemas.openxmlformats.org/officeDocument/2006/relationships/hyperlink" Target="https://www.simpleshowing.com/" TargetMode="External"/><Relationship Id="rId5903" Type="http://schemas.openxmlformats.org/officeDocument/2006/relationships/hyperlink" Target="https://roanoke.com/news/nation-world/business/personal-finance/article_369924ad-917f-58a4-9d49-a884abb3eafe.html" TargetMode="External"/><Relationship Id="rId13395" Type="http://schemas.openxmlformats.org/officeDocument/2006/relationships/hyperlink" Target="https://www.armsreach.com/pages/in-the-news" TargetMode="External"/><Relationship Id="rId14446" Type="http://schemas.openxmlformats.org/officeDocument/2006/relationships/hyperlink" Target="https://myinteriorpalace.com/" TargetMode="External"/><Relationship Id="rId3454" Type="http://schemas.openxmlformats.org/officeDocument/2006/relationships/hyperlink" Target="https://www.pulte.com/" TargetMode="External"/><Relationship Id="rId4505" Type="http://schemas.openxmlformats.org/officeDocument/2006/relationships/hyperlink" Target="https://www.kapre.com/" TargetMode="External"/><Relationship Id="rId13048" Type="http://schemas.openxmlformats.org/officeDocument/2006/relationships/hyperlink" Target="https://propertypressonline.co.uk/" TargetMode="External"/><Relationship Id="rId375" Type="http://schemas.openxmlformats.org/officeDocument/2006/relationships/hyperlink" Target="https://dwellect.com/why-timing-matters-when-planning-your-move-to-a-new-home/" TargetMode="External"/><Relationship Id="rId2056" Type="http://schemas.openxmlformats.org/officeDocument/2006/relationships/hyperlink" Target="https://markspain.com/" TargetMode="External"/><Relationship Id="rId3107" Type="http://schemas.openxmlformats.org/officeDocument/2006/relationships/hyperlink" Target="https://philanthropynewsdigest.org/news/msu-receives-4.5-million-for-entrepreneurship-institute" TargetMode="External"/><Relationship Id="rId6677" Type="http://schemas.openxmlformats.org/officeDocument/2006/relationships/hyperlink" Target="https://www.eplanters.com/blog/" TargetMode="External"/><Relationship Id="rId7728" Type="http://schemas.openxmlformats.org/officeDocument/2006/relationships/hyperlink" Target="https://state.1keydata.com/georgia.php" TargetMode="External"/><Relationship Id="rId5279" Type="http://schemas.openxmlformats.org/officeDocument/2006/relationships/hyperlink" Target="https://tripfrogapp.com/10-essential-tips-for-planning-a-luxury-south-america-adventure/" TargetMode="External"/><Relationship Id="rId9150" Type="http://schemas.openxmlformats.org/officeDocument/2006/relationships/hyperlink" Target="https://www.pinoyeplans.com/" TargetMode="External"/><Relationship Id="rId10709" Type="http://schemas.openxmlformats.org/officeDocument/2006/relationships/hyperlink" Target="https://freereadingprogram.com/uploads/miq8fyme/ball-rolling-down-a-ramp-simulation" TargetMode="External"/><Relationship Id="rId11080" Type="http://schemas.openxmlformats.org/officeDocument/2006/relationships/hyperlink" Target="https://www.teachengineering.org/" TargetMode="External"/><Relationship Id="rId12131" Type="http://schemas.openxmlformats.org/officeDocument/2006/relationships/hyperlink" Target="https://www.thezebra.com/resources/home/how-to-put-out-a-fire-pit/" TargetMode="External"/><Relationship Id="rId1889" Type="http://schemas.openxmlformats.org/officeDocument/2006/relationships/hyperlink" Target="https://www.housingwire.com/articles/realtrends-verified-agent-and-team-rankings-2024/" TargetMode="External"/><Relationship Id="rId4362" Type="http://schemas.openxmlformats.org/officeDocument/2006/relationships/hyperlink" Target="https://www.rentspree.com/blog/seniors-guide-to-becoming-a-real-estate-agent" TargetMode="External"/><Relationship Id="rId5760" Type="http://schemas.openxmlformats.org/officeDocument/2006/relationships/hyperlink" Target="https://www.simpleshowing.com/" TargetMode="External"/><Relationship Id="rId6811" Type="http://schemas.openxmlformats.org/officeDocument/2006/relationships/hyperlink" Target="https://www.taylormorrison.com/" TargetMode="External"/><Relationship Id="rId15354" Type="http://schemas.openxmlformats.org/officeDocument/2006/relationships/hyperlink" Target="https://novaofcalifornia.com/guide-to-scandinavian-style/" TargetMode="External"/><Relationship Id="rId4015" Type="http://schemas.openxmlformats.org/officeDocument/2006/relationships/hyperlink" Target="https://appleplumbing.com/" TargetMode="External"/><Relationship Id="rId5413" Type="http://schemas.openxmlformats.org/officeDocument/2006/relationships/hyperlink" Target="https://amzprep.com/asos-3pl/" TargetMode="External"/><Relationship Id="rId8983" Type="http://schemas.openxmlformats.org/officeDocument/2006/relationships/hyperlink" Target="https://nycestimating.us/" TargetMode="External"/><Relationship Id="rId11964" Type="http://schemas.openxmlformats.org/officeDocument/2006/relationships/hyperlink" Target="https://www.hamiltoninternationalestates.com/" TargetMode="External"/><Relationship Id="rId15007" Type="http://schemas.openxmlformats.org/officeDocument/2006/relationships/hyperlink" Target="https://myinteriorpalace.com/" TargetMode="External"/><Relationship Id="rId7585" Type="http://schemas.openxmlformats.org/officeDocument/2006/relationships/hyperlink" Target="https://www.simpleshowing.com/" TargetMode="External"/><Relationship Id="rId8636" Type="http://schemas.openxmlformats.org/officeDocument/2006/relationships/hyperlink" Target="https://www.pinoyeplans.com/" TargetMode="External"/><Relationship Id="rId10566" Type="http://schemas.openxmlformats.org/officeDocument/2006/relationships/hyperlink" Target="https://www.pinoyeplans.com/" TargetMode="External"/><Relationship Id="rId11617" Type="http://schemas.openxmlformats.org/officeDocument/2006/relationships/hyperlink" Target="https://sellhousefast.uk/" TargetMode="External"/><Relationship Id="rId6187" Type="http://schemas.openxmlformats.org/officeDocument/2006/relationships/hyperlink" Target="https://www.globalbankingandfinance.com/what-is-credit-card-consolidation" TargetMode="External"/><Relationship Id="rId7238" Type="http://schemas.openxmlformats.org/officeDocument/2006/relationships/hyperlink" Target="https://www.jchs.harvard.edu/about/policy-advisory-board" TargetMode="External"/><Relationship Id="rId10219" Type="http://schemas.openxmlformats.org/officeDocument/2006/relationships/hyperlink" Target="https://www.teachengineering.org/" TargetMode="External"/><Relationship Id="rId13789" Type="http://schemas.openxmlformats.org/officeDocument/2006/relationships/hyperlink" Target="https://myinteriorpalace.com/" TargetMode="External"/><Relationship Id="rId2797" Type="http://schemas.openxmlformats.org/officeDocument/2006/relationships/hyperlink" Target="https://www.pulte.com/" TargetMode="External"/><Relationship Id="rId3848" Type="http://schemas.openxmlformats.org/officeDocument/2006/relationships/hyperlink" Target="https://collegesofdistinction.com/advice/scholarships-for-creative-high-school-students-aspiring-to-attend-college/" TargetMode="External"/><Relationship Id="rId16262" Type="http://schemas.openxmlformats.org/officeDocument/2006/relationships/hyperlink" Target="https://www.unitedcarpetsandbeds.com/" TargetMode="External"/><Relationship Id="rId769" Type="http://schemas.openxmlformats.org/officeDocument/2006/relationships/hyperlink" Target="https://www.achrnews.com/articles/132663-nci-connects-the-dots-for-home-performance-contractors" TargetMode="External"/><Relationship Id="rId1399" Type="http://schemas.openxmlformats.org/officeDocument/2006/relationships/hyperlink" Target="https://ritewindow.com/blog/3-indicators-its-time-to-upgrade-your-shower-or-bath/" TargetMode="External"/><Relationship Id="rId5270" Type="http://schemas.openxmlformats.org/officeDocument/2006/relationships/hyperlink" Target="https://www.simpleshowing.com/" TargetMode="External"/><Relationship Id="rId6321" Type="http://schemas.openxmlformats.org/officeDocument/2006/relationships/hyperlink" Target="https://www.hirewithnear.com/blog/outsource-accounts-receivable-services-for-energy-and-utilities" TargetMode="External"/><Relationship Id="rId10700" Type="http://schemas.openxmlformats.org/officeDocument/2006/relationships/hyperlink" Target="https://allycestegmansciencemisconception.weebly.com/magnets.html" TargetMode="External"/><Relationship Id="rId8493" Type="http://schemas.openxmlformats.org/officeDocument/2006/relationships/hyperlink" Target="https://www.cylind.com/" TargetMode="External"/><Relationship Id="rId9891" Type="http://schemas.openxmlformats.org/officeDocument/2006/relationships/hyperlink" Target="https://www.pinoyeplans.com/" TargetMode="External"/><Relationship Id="rId12872" Type="http://schemas.openxmlformats.org/officeDocument/2006/relationships/hyperlink" Target="https://www.shma.co.uk/" TargetMode="External"/><Relationship Id="rId13923" Type="http://schemas.openxmlformats.org/officeDocument/2006/relationships/hyperlink" Target="https://muffingroup.com/blog/roofing-websites/" TargetMode="External"/><Relationship Id="rId1880" Type="http://schemas.openxmlformats.org/officeDocument/2006/relationships/hyperlink" Target="https://www.realtrends.com/blog/2023/06/09/2023-the-thousand-real-estate-rankings-show-shining-stars/" TargetMode="External"/><Relationship Id="rId2931" Type="http://schemas.openxmlformats.org/officeDocument/2006/relationships/hyperlink" Target="https://www.simpleshowing.com/" TargetMode="External"/><Relationship Id="rId7095" Type="http://schemas.openxmlformats.org/officeDocument/2006/relationships/hyperlink" Target="https://gocodes.com/resources/managing-construction-risks-benefits/" TargetMode="External"/><Relationship Id="rId8146" Type="http://schemas.openxmlformats.org/officeDocument/2006/relationships/hyperlink" Target="https://www.civillead.com/roof-replacement/" TargetMode="External"/><Relationship Id="rId9544" Type="http://schemas.openxmlformats.org/officeDocument/2006/relationships/hyperlink" Target="https://www.teachengineering.org/" TargetMode="External"/><Relationship Id="rId11474" Type="http://schemas.openxmlformats.org/officeDocument/2006/relationships/hyperlink" Target="https://www.hamiltoninternationalestates.com/" TargetMode="External"/><Relationship Id="rId12525" Type="http://schemas.openxmlformats.org/officeDocument/2006/relationships/hyperlink" Target="https://www.google.co.uk/travel/hotels/entity/ChkQg9ucoOuj6f5GGg0vZy8xMXhkbjRzeGtxEAI" TargetMode="External"/><Relationship Id="rId903" Type="http://schemas.openxmlformats.org/officeDocument/2006/relationships/hyperlink" Target="https://www.simpleshowing.com/" TargetMode="External"/><Relationship Id="rId1533" Type="http://schemas.openxmlformats.org/officeDocument/2006/relationships/hyperlink" Target="https://www.simpleshowing.com/" TargetMode="External"/><Relationship Id="rId10076" Type="http://schemas.openxmlformats.org/officeDocument/2006/relationships/hyperlink" Target="https://coss.egr.uh.edu/ret-cot/" TargetMode="External"/><Relationship Id="rId11127" Type="http://schemas.openxmlformats.org/officeDocument/2006/relationships/hyperlink" Target="https://www.waterdamagespecialist.com.au/" TargetMode="External"/><Relationship Id="rId14697" Type="http://schemas.openxmlformats.org/officeDocument/2006/relationships/hyperlink" Target="https://www.elevatedmagazines.com/single-post/how-to-find-trusted-garage-door-repair-companies-in-houston" TargetMode="External"/><Relationship Id="rId15748" Type="http://schemas.openxmlformats.org/officeDocument/2006/relationships/hyperlink" Target="https://myinteriorpalace.com/" TargetMode="External"/><Relationship Id="rId4756" Type="http://schemas.openxmlformats.org/officeDocument/2006/relationships/hyperlink" Target="https://www.simpleshowing.com/" TargetMode="External"/><Relationship Id="rId5807" Type="http://schemas.openxmlformats.org/officeDocument/2006/relationships/hyperlink" Target="https://responsiblepetbreeders.com.au/how-to-prepare-for-a-litter-of-kittens/" TargetMode="External"/><Relationship Id="rId13299" Type="http://schemas.openxmlformats.org/officeDocument/2006/relationships/hyperlink" Target="https://threebestrated.com/flooring-stores-in-raleigh-nc" TargetMode="External"/><Relationship Id="rId3358" Type="http://schemas.openxmlformats.org/officeDocument/2006/relationships/hyperlink" Target="https://www.pulte.com/" TargetMode="External"/><Relationship Id="rId4409" Type="http://schemas.openxmlformats.org/officeDocument/2006/relationships/hyperlink" Target="https://www.kapre.com/" TargetMode="External"/><Relationship Id="rId7979" Type="http://schemas.openxmlformats.org/officeDocument/2006/relationships/hyperlink" Target="https://www.pinoyeplans.com/" TargetMode="External"/><Relationship Id="rId10210" Type="http://schemas.openxmlformats.org/officeDocument/2006/relationships/hyperlink" Target="https://www.teachengineering.org/" TargetMode="External"/><Relationship Id="rId279" Type="http://schemas.openxmlformats.org/officeDocument/2006/relationships/hyperlink" Target="http://northernvirginiahomepro.com/" TargetMode="External"/><Relationship Id="rId13780" Type="http://schemas.openxmlformats.org/officeDocument/2006/relationships/hyperlink" Target="https://myinteriorpalace.com/" TargetMode="External"/><Relationship Id="rId14831" Type="http://schemas.openxmlformats.org/officeDocument/2006/relationships/hyperlink" Target="https://www.fluidplumbingservices.com.au/" TargetMode="External"/><Relationship Id="rId760" Type="http://schemas.openxmlformats.org/officeDocument/2006/relationships/hyperlink" Target="https://www.rannkly.com/company/reviews/summit-hotels-resorts-reviews-ratings" TargetMode="External"/><Relationship Id="rId1390" Type="http://schemas.openxmlformats.org/officeDocument/2006/relationships/hyperlink" Target="https://ritewindow.com/blog/3-indicators-its-time-to-upgrade-your-shower-or-bath/" TargetMode="External"/><Relationship Id="rId2441" Type="http://schemas.openxmlformats.org/officeDocument/2006/relationships/hyperlink" Target="https://www.pecansquarebyhillwood.com/builders/pulte-homes/" TargetMode="External"/><Relationship Id="rId9054" Type="http://schemas.openxmlformats.org/officeDocument/2006/relationships/hyperlink" Target="https://www.pinoyeplans.com/" TargetMode="External"/><Relationship Id="rId12382" Type="http://schemas.openxmlformats.org/officeDocument/2006/relationships/hyperlink" Target="https://sturents.com/" TargetMode="External"/><Relationship Id="rId13433" Type="http://schemas.openxmlformats.org/officeDocument/2006/relationships/hyperlink" Target="https://anationofmoms.com/" TargetMode="External"/><Relationship Id="rId413" Type="http://schemas.openxmlformats.org/officeDocument/2006/relationships/hyperlink" Target="https://www.simpleshowing.com/" TargetMode="External"/><Relationship Id="rId1043" Type="http://schemas.openxmlformats.org/officeDocument/2006/relationships/hyperlink" Target="https://mossandfog.com/storage-to-sanctuary-a-homeowners-guide-to-basement-makeovers/" TargetMode="External"/><Relationship Id="rId12035" Type="http://schemas.openxmlformats.org/officeDocument/2006/relationships/hyperlink" Target="https://www.thewcsupply.com/blogs/learn/how-deep-are-kitchen-cabinets" TargetMode="External"/><Relationship Id="rId5664" Type="http://schemas.openxmlformats.org/officeDocument/2006/relationships/hyperlink" Target="https://www.simpleshowing.com/" TargetMode="External"/><Relationship Id="rId6715" Type="http://schemas.openxmlformats.org/officeDocument/2006/relationships/hyperlink" Target="https://www.eplanters.com/blog/" TargetMode="External"/><Relationship Id="rId15258" Type="http://schemas.openxmlformats.org/officeDocument/2006/relationships/hyperlink" Target="https://decormatters.com/blog/the-ultimate-summer-guide-for-textures-boucle-silk-and-stone" TargetMode="External"/><Relationship Id="rId4266" Type="http://schemas.openxmlformats.org/officeDocument/2006/relationships/hyperlink" Target="https://www.brittany.com.ph/blogs/what-homebuyers-value-in-a-real-estate-sales-professional/" TargetMode="External"/><Relationship Id="rId5317" Type="http://schemas.openxmlformats.org/officeDocument/2006/relationships/hyperlink" Target="https://www.writecream.com/how-to-keep-ai-from-repeating-the-same-tired-analogies/" TargetMode="External"/><Relationship Id="rId8887" Type="http://schemas.openxmlformats.org/officeDocument/2006/relationships/hyperlink" Target="https://www.trianglepest.com/" TargetMode="External"/><Relationship Id="rId9938" Type="http://schemas.openxmlformats.org/officeDocument/2006/relationships/hyperlink" Target="https://ehrhardt.egusd.net/StudentsFamilies/Resources-by-Grade/5th-Grade-Links/index.html" TargetMode="External"/><Relationship Id="rId11868" Type="http://schemas.openxmlformats.org/officeDocument/2006/relationships/hyperlink" Target="https://www.hamiltoninternationalestates.com/" TargetMode="External"/><Relationship Id="rId1927" Type="http://schemas.openxmlformats.org/officeDocument/2006/relationships/hyperlink" Target="https://markspain.com/" TargetMode="External"/><Relationship Id="rId7489" Type="http://schemas.openxmlformats.org/officeDocument/2006/relationships/hyperlink" Target="https://www.simpleshowing.com/" TargetMode="External"/><Relationship Id="rId12919" Type="http://schemas.openxmlformats.org/officeDocument/2006/relationships/hyperlink" Target="https://propertypressonline.co.uk/" TargetMode="External"/><Relationship Id="rId13290" Type="http://schemas.openxmlformats.org/officeDocument/2006/relationships/hyperlink" Target="https://www.professionalsuk.co.uk/article/property/44615/manchesters-top-investment-hotspots-where-to-buy-in-2024" TargetMode="External"/><Relationship Id="rId14341" Type="http://schemas.openxmlformats.org/officeDocument/2006/relationships/hyperlink" Target="https://myinteriorpalace.com/" TargetMode="External"/><Relationship Id="rId4400" Type="http://schemas.openxmlformats.org/officeDocument/2006/relationships/hyperlink" Target="https://www.kapre.com/" TargetMode="External"/><Relationship Id="rId270" Type="http://schemas.openxmlformats.org/officeDocument/2006/relationships/hyperlink" Target="http://northernvirginiahomepro.com/" TargetMode="External"/><Relationship Id="rId3002" Type="http://schemas.openxmlformats.org/officeDocument/2006/relationships/hyperlink" Target="https://nevadabusiness.com/2015/01/red-report-january-2015/" TargetMode="External"/><Relationship Id="rId6572" Type="http://schemas.openxmlformats.org/officeDocument/2006/relationships/hyperlink" Target="https://www.thermasol.com/" TargetMode="External"/><Relationship Id="rId7970" Type="http://schemas.openxmlformats.org/officeDocument/2006/relationships/hyperlink" Target="https://www.pinoyeplans.com/" TargetMode="External"/><Relationship Id="rId10951" Type="http://schemas.openxmlformats.org/officeDocument/2006/relationships/hyperlink" Target="https://www.teachengineering.org/" TargetMode="External"/><Relationship Id="rId16166" Type="http://schemas.openxmlformats.org/officeDocument/2006/relationships/hyperlink" Target="https://www.unitedcarpetsandbeds.com/" TargetMode="External"/><Relationship Id="rId5174" Type="http://schemas.openxmlformats.org/officeDocument/2006/relationships/hyperlink" Target="https://www.simpleshowing.com/" TargetMode="External"/><Relationship Id="rId6225" Type="http://schemas.openxmlformats.org/officeDocument/2006/relationships/hyperlink" Target="https://www.mklibrary.com/the-link-between-debt-and-mental-health/" TargetMode="External"/><Relationship Id="rId7623" Type="http://schemas.openxmlformats.org/officeDocument/2006/relationships/hyperlink" Target="https://www.talentify.io/taylor-morrison" TargetMode="External"/><Relationship Id="rId10604" Type="http://schemas.openxmlformats.org/officeDocument/2006/relationships/hyperlink" Target="https://groups.diigo.com/group/montessori-stem?view=recent&amp;type=bookmark" TargetMode="External"/><Relationship Id="rId9795" Type="http://schemas.openxmlformats.org/officeDocument/2006/relationships/hyperlink" Target="https://www.pinoyeplans.com/" TargetMode="External"/><Relationship Id="rId12776" Type="http://schemas.openxmlformats.org/officeDocument/2006/relationships/hyperlink" Target="https://www.shma.co.uk/" TargetMode="External"/><Relationship Id="rId13827" Type="http://schemas.openxmlformats.org/officeDocument/2006/relationships/hyperlink" Target="https://opplehouse.com/why-custom-shower-doors-are-a-perfect-fit-for-your-phoenix-bathroom/" TargetMode="External"/><Relationship Id="rId1784" Type="http://schemas.openxmlformats.org/officeDocument/2006/relationships/hyperlink" Target="https://lonestar995fm.com/ixp/513/p/central-texas-power-project/" TargetMode="External"/><Relationship Id="rId2835" Type="http://schemas.openxmlformats.org/officeDocument/2006/relationships/hyperlink" Target="https://www.simpleshowing.com/" TargetMode="External"/><Relationship Id="rId8397" Type="http://schemas.openxmlformats.org/officeDocument/2006/relationships/hyperlink" Target="https://24hourfloodpros.com/" TargetMode="External"/><Relationship Id="rId9448" Type="http://schemas.openxmlformats.org/officeDocument/2006/relationships/hyperlink" Target="https://www.teachengineering.org/" TargetMode="External"/><Relationship Id="rId11378" Type="http://schemas.openxmlformats.org/officeDocument/2006/relationships/hyperlink" Target="https://www.hamiltoninternationalestates.com/" TargetMode="External"/><Relationship Id="rId12429" Type="http://schemas.openxmlformats.org/officeDocument/2006/relationships/hyperlink" Target="https://propertypressonline.co.uk/" TargetMode="External"/><Relationship Id="rId15999" Type="http://schemas.openxmlformats.org/officeDocument/2006/relationships/hyperlink" Target="https://career.uml.edu/blog/2025/09/19/15-tips-for-environmental-studies-majors-who-are-mapping-their-careers/" TargetMode="External"/><Relationship Id="rId807" Type="http://schemas.openxmlformats.org/officeDocument/2006/relationships/hyperlink" Target="https://www.schaafsma.com/" TargetMode="External"/><Relationship Id="rId1437" Type="http://schemas.openxmlformats.org/officeDocument/2006/relationships/hyperlink" Target="https://www.simpleshowing.com/" TargetMode="External"/><Relationship Id="rId7480" Type="http://schemas.openxmlformats.org/officeDocument/2006/relationships/hyperlink" Target="https://www.simpleshowing.com/" TargetMode="External"/><Relationship Id="rId8531" Type="http://schemas.openxmlformats.org/officeDocument/2006/relationships/hyperlink" Target="https://www.pinoyeplans.com/" TargetMode="External"/><Relationship Id="rId12910" Type="http://schemas.openxmlformats.org/officeDocument/2006/relationships/hyperlink" Target="https://propertypressonline.co.uk/" TargetMode="External"/><Relationship Id="rId6082" Type="http://schemas.openxmlformats.org/officeDocument/2006/relationships/hyperlink" Target="https://www.simpleshowing.com/" TargetMode="External"/><Relationship Id="rId7133" Type="http://schemas.openxmlformats.org/officeDocument/2006/relationships/hyperlink" Target="https://www.simpleshowing.com/" TargetMode="External"/><Relationship Id="rId10461" Type="http://schemas.openxmlformats.org/officeDocument/2006/relationships/hyperlink" Target="https://www.pinoyeplans.com/" TargetMode="External"/><Relationship Id="rId11512" Type="http://schemas.openxmlformats.org/officeDocument/2006/relationships/hyperlink" Target="https://www.guildford.org.uk/what-features-make-homes-in-surrey-sell-more-easily/" TargetMode="External"/><Relationship Id="rId10114" Type="http://schemas.openxmlformats.org/officeDocument/2006/relationships/hyperlink" Target="https://www.teachengineering.org/" TargetMode="External"/><Relationship Id="rId13684" Type="http://schemas.openxmlformats.org/officeDocument/2006/relationships/hyperlink" Target="https://myinteriorpalace.com/" TargetMode="External"/><Relationship Id="rId14735" Type="http://schemas.openxmlformats.org/officeDocument/2006/relationships/hyperlink" Target="https://www.easygaragedoorrepair.com/" TargetMode="External"/><Relationship Id="rId1294" Type="http://schemas.openxmlformats.org/officeDocument/2006/relationships/hyperlink" Target="https://darscover.com/" TargetMode="External"/><Relationship Id="rId2692" Type="http://schemas.openxmlformats.org/officeDocument/2006/relationships/hyperlink" Target="https://www.pulte.com/" TargetMode="External"/><Relationship Id="rId3743" Type="http://schemas.openxmlformats.org/officeDocument/2006/relationships/hyperlink" Target="https://botw.org/listing/overhead-door-1/" TargetMode="External"/><Relationship Id="rId12286" Type="http://schemas.openxmlformats.org/officeDocument/2006/relationships/hyperlink" Target="https://www.ridgefieldconsulting.co.uk/" TargetMode="External"/><Relationship Id="rId13337" Type="http://schemas.openxmlformats.org/officeDocument/2006/relationships/hyperlink" Target="https://a1floorsnc.com/" TargetMode="External"/><Relationship Id="rId664" Type="http://schemas.openxmlformats.org/officeDocument/2006/relationships/hyperlink" Target="https://www.pommietravels.com/why-the-outer-banks-is-perfect-for-your-next-vacation/" TargetMode="External"/><Relationship Id="rId2345" Type="http://schemas.openxmlformats.org/officeDocument/2006/relationships/hyperlink" Target="https://www.thelvballpark.com/" TargetMode="External"/><Relationship Id="rId6966" Type="http://schemas.openxmlformats.org/officeDocument/2006/relationships/hyperlink" Target="http://pcbafl.memberzone.com/list/member/taylor-morrison-3821" TargetMode="External"/><Relationship Id="rId317" Type="http://schemas.openxmlformats.org/officeDocument/2006/relationships/hyperlink" Target="http://conestogalogcabins.com/" TargetMode="External"/><Relationship Id="rId5568" Type="http://schemas.openxmlformats.org/officeDocument/2006/relationships/hyperlink" Target="https://www.simpleshowing.com/" TargetMode="External"/><Relationship Id="rId6619" Type="http://schemas.openxmlformats.org/officeDocument/2006/relationships/hyperlink" Target="https://dnyuz.com/2025/08/27/the-smoking-hot-return-of-bathing-culture/" TargetMode="External"/><Relationship Id="rId12420" Type="http://schemas.openxmlformats.org/officeDocument/2006/relationships/hyperlink" Target="https://propertypressonline.co.uk/" TargetMode="External"/><Relationship Id="rId8041" Type="http://schemas.openxmlformats.org/officeDocument/2006/relationships/hyperlink" Target="https://www.pinoyeplans.com/" TargetMode="External"/><Relationship Id="rId11022" Type="http://schemas.openxmlformats.org/officeDocument/2006/relationships/hyperlink" Target="https://www.pinoyeplans.com/" TargetMode="External"/><Relationship Id="rId15990" Type="http://schemas.openxmlformats.org/officeDocument/2006/relationships/hyperlink" Target="https://thearchitectsdiary.com/how-future-ready-garage-doors-are-redefining-modern-home-security/" TargetMode="External"/><Relationship Id="rId4651" Type="http://schemas.openxmlformats.org/officeDocument/2006/relationships/hyperlink" Target="https://www.simpleshowing.com/" TargetMode="External"/><Relationship Id="rId13194" Type="http://schemas.openxmlformats.org/officeDocument/2006/relationships/hyperlink" Target="https://hrzone.com/bridging-the-gap-supporting-menopausal-women-in-the-workplace/" TargetMode="External"/><Relationship Id="rId14592" Type="http://schemas.openxmlformats.org/officeDocument/2006/relationships/hyperlink" Target="https://thedesigninspiration.com/news/home/how-can-a-new-garage-door-increase-your-houston-homes-curb-appeal-top-reasons-to-upgrade/" TargetMode="External"/><Relationship Id="rId15643" Type="http://schemas.openxmlformats.org/officeDocument/2006/relationships/hyperlink" Target="https://myinteriorpalace.com/" TargetMode="External"/><Relationship Id="rId3253" Type="http://schemas.openxmlformats.org/officeDocument/2006/relationships/hyperlink" Target="https://www.pulte.com/" TargetMode="External"/><Relationship Id="rId4304" Type="http://schemas.openxmlformats.org/officeDocument/2006/relationships/hyperlink" Target="https://www.kapre.com/" TargetMode="External"/><Relationship Id="rId5702" Type="http://schemas.openxmlformats.org/officeDocument/2006/relationships/hyperlink" Target="https://www.simpleshowing.com/" TargetMode="External"/><Relationship Id="rId14245" Type="http://schemas.openxmlformats.org/officeDocument/2006/relationships/hyperlink" Target="https://myinteriorpalace.com/" TargetMode="External"/><Relationship Id="rId174" Type="http://schemas.openxmlformats.org/officeDocument/2006/relationships/hyperlink" Target="https://www.picor.com/" TargetMode="External"/><Relationship Id="rId7874" Type="http://schemas.openxmlformats.org/officeDocument/2006/relationships/hyperlink" Target="https://www.pinoyeplans.com/" TargetMode="External"/><Relationship Id="rId8925" Type="http://schemas.openxmlformats.org/officeDocument/2006/relationships/hyperlink" Target="https://www.pinoyeplans.com/" TargetMode="External"/><Relationship Id="rId10855" Type="http://schemas.openxmlformats.org/officeDocument/2006/relationships/hyperlink" Target="https://www.teachengineering.org/" TargetMode="External"/><Relationship Id="rId11906" Type="http://schemas.openxmlformats.org/officeDocument/2006/relationships/hyperlink" Target="https://zlinekitchen.com/" TargetMode="External"/><Relationship Id="rId5078" Type="http://schemas.openxmlformats.org/officeDocument/2006/relationships/hyperlink" Target="https://www.simpleshowing.com/" TargetMode="External"/><Relationship Id="rId6476" Type="http://schemas.openxmlformats.org/officeDocument/2006/relationships/hyperlink" Target="https://www.simpleshowing.com/" TargetMode="External"/><Relationship Id="rId7527" Type="http://schemas.openxmlformats.org/officeDocument/2006/relationships/hyperlink" Target="https://www.databahn.com/products/taylor-morrison-home-org-chart-and-sales-intelligence-report" TargetMode="External"/><Relationship Id="rId10508" Type="http://schemas.openxmlformats.org/officeDocument/2006/relationships/hyperlink" Target="https://teachersfirst.org/subjects/earth-science-geology/single.cfm?id=20108/recent/37/" TargetMode="External"/><Relationship Id="rId6129" Type="http://schemas.openxmlformats.org/officeDocument/2006/relationships/hyperlink" Target="https://morganton.com/shopping/article_7c91945d-c99d-5ba5-8e0d-1e86912368b4.html" TargetMode="External"/><Relationship Id="rId9699" Type="http://schemas.openxmlformats.org/officeDocument/2006/relationships/hyperlink" Target="https://www.pinoyeplans.com/" TargetMode="External"/><Relationship Id="rId1688" Type="http://schemas.openxmlformats.org/officeDocument/2006/relationships/hyperlink" Target="https://icytales.com/5-ways-to-reduce-your-businesss-environmental-impact-in-2025/" TargetMode="External"/><Relationship Id="rId2739" Type="http://schemas.openxmlformats.org/officeDocument/2006/relationships/hyperlink" Target="https://www.simpleshowing.com/" TargetMode="External"/><Relationship Id="rId6610" Type="http://schemas.openxmlformats.org/officeDocument/2006/relationships/hyperlink" Target="https://www.architecturalrecord.com/articles/14247-new-systems-for-managing-indoor-environments" TargetMode="External"/><Relationship Id="rId15153" Type="http://schemas.openxmlformats.org/officeDocument/2006/relationships/hyperlink" Target="https://www.accio.com/business/boucle-furniture-trend" TargetMode="External"/><Relationship Id="rId16204" Type="http://schemas.openxmlformats.org/officeDocument/2006/relationships/hyperlink" Target="https://myinteriorpalace.com/" TargetMode="External"/><Relationship Id="rId4161" Type="http://schemas.openxmlformats.org/officeDocument/2006/relationships/hyperlink" Target="https://www.homegauge.com/learning/single-or-multi-inspector-company/" TargetMode="External"/><Relationship Id="rId5212" Type="http://schemas.openxmlformats.org/officeDocument/2006/relationships/hyperlink" Target="https://www.simpleshowing.com/" TargetMode="External"/><Relationship Id="rId8782" Type="http://schemas.openxmlformats.org/officeDocument/2006/relationships/hyperlink" Target="https://aihomedesign.com/blog/ai-in-real-estate/ai-in-property-search/" TargetMode="External"/><Relationship Id="rId7384" Type="http://schemas.openxmlformats.org/officeDocument/2006/relationships/hyperlink" Target="https://baynews9.com/fl/tampa/news/2024/07/29/construction-internship-program-preps-new-talent-amid-workforce-shortage" TargetMode="External"/><Relationship Id="rId8435" Type="http://schemas.openxmlformats.org/officeDocument/2006/relationships/hyperlink" Target="https://www.pinoyeplans.com/" TargetMode="External"/><Relationship Id="rId9833" Type="http://schemas.openxmlformats.org/officeDocument/2006/relationships/hyperlink" Target="https://leftbraincraftbrain.com/pencil-stem-activities-for-kids-back-to-school/" TargetMode="External"/><Relationship Id="rId11763" Type="http://schemas.openxmlformats.org/officeDocument/2006/relationships/hyperlink" Target="https://www.hamiltoninternationalestates.com/" TargetMode="External"/><Relationship Id="rId12814" Type="http://schemas.openxmlformats.org/officeDocument/2006/relationships/hyperlink" Target="https://propertypressonline.co.uk/" TargetMode="External"/><Relationship Id="rId47" Type="http://schemas.openxmlformats.org/officeDocument/2006/relationships/hyperlink" Target="http://betterthisworld.com/" TargetMode="External"/><Relationship Id="rId1822" Type="http://schemas.openxmlformats.org/officeDocument/2006/relationships/hyperlink" Target="https://wolfriverelectric.com/" TargetMode="External"/><Relationship Id="rId7037" Type="http://schemas.openxmlformats.org/officeDocument/2006/relationships/hyperlink" Target="https://www.taylormorrison.com/" TargetMode="External"/><Relationship Id="rId10365" Type="http://schemas.openxmlformats.org/officeDocument/2006/relationships/hyperlink" Target="https://www.pinoyeplans.com/" TargetMode="External"/><Relationship Id="rId11416" Type="http://schemas.openxmlformats.org/officeDocument/2006/relationships/hyperlink" Target="https://help.carrot.com/tutorial/integrations-create-new-opportunities-from-emails/" TargetMode="External"/><Relationship Id="rId14986" Type="http://schemas.openxmlformats.org/officeDocument/2006/relationships/hyperlink" Target="https://myinteriorpalace.com/" TargetMode="External"/><Relationship Id="rId3994" Type="http://schemas.openxmlformats.org/officeDocument/2006/relationships/hyperlink" Target="https://www.smartsolarenergyco.com/" TargetMode="External"/><Relationship Id="rId10018" Type="http://schemas.openxmlformats.org/officeDocument/2006/relationships/hyperlink" Target="https://www.teachengineering.org/" TargetMode="External"/><Relationship Id="rId13588" Type="http://schemas.openxmlformats.org/officeDocument/2006/relationships/hyperlink" Target="https://myinteriorpalace.com/" TargetMode="External"/><Relationship Id="rId14639" Type="http://schemas.openxmlformats.org/officeDocument/2006/relationships/hyperlink" Target="https://www.easygaragedoorrepair.com/" TargetMode="External"/><Relationship Id="rId2596" Type="http://schemas.openxmlformats.org/officeDocument/2006/relationships/hyperlink" Target="https://www.pulte.com/" TargetMode="External"/><Relationship Id="rId3647" Type="http://schemas.openxmlformats.org/officeDocument/2006/relationships/hyperlink" Target="https://realestatedaily-news.com/tag/sharpe-associates/page/2/?print=print-search" TargetMode="External"/><Relationship Id="rId16061" Type="http://schemas.openxmlformats.org/officeDocument/2006/relationships/hyperlink" Target="https://www.rwdoors.com/" TargetMode="External"/><Relationship Id="rId568" Type="http://schemas.openxmlformats.org/officeDocument/2006/relationships/hyperlink" Target="https://growingupbilingual.com/9-easy-ways-to-stay-healthy-on-your-upcoming-vacation/" TargetMode="External"/><Relationship Id="rId1198" Type="http://schemas.openxmlformats.org/officeDocument/2006/relationships/hyperlink" Target="https://happy2movelondon.co.uk/r" TargetMode="External"/><Relationship Id="rId2249" Type="http://schemas.openxmlformats.org/officeDocument/2006/relationships/hyperlink" Target="https://alpharetta.com/the-collection-forsyth/" TargetMode="External"/><Relationship Id="rId6120" Type="http://schemas.openxmlformats.org/officeDocument/2006/relationships/hyperlink" Target="https://www.simpleshowing.com/" TargetMode="External"/><Relationship Id="rId9690" Type="http://schemas.openxmlformats.org/officeDocument/2006/relationships/hyperlink" Target="https://www.pinoyeplans.com/" TargetMode="External"/><Relationship Id="rId2730" Type="http://schemas.openxmlformats.org/officeDocument/2006/relationships/hyperlink" Target="https://www.simpleshowing.com/" TargetMode="External"/><Relationship Id="rId8292" Type="http://schemas.openxmlformats.org/officeDocument/2006/relationships/hyperlink" Target="https://www.zestlighting.com.au/" TargetMode="External"/><Relationship Id="rId9343" Type="http://schemas.openxmlformats.org/officeDocument/2006/relationships/hyperlink" Target="https://www.teachengineering.org/" TargetMode="External"/><Relationship Id="rId11273" Type="http://schemas.openxmlformats.org/officeDocument/2006/relationships/hyperlink" Target="https://www.pinoyeplans.com/" TargetMode="External"/><Relationship Id="rId12671" Type="http://schemas.openxmlformats.org/officeDocument/2006/relationships/hyperlink" Target="https://www.shma.co.uk/" TargetMode="External"/><Relationship Id="rId13722" Type="http://schemas.openxmlformats.org/officeDocument/2006/relationships/hyperlink" Target="https://carinsuranseau.web.app/bubblebum-booster.html" TargetMode="External"/><Relationship Id="rId702" Type="http://schemas.openxmlformats.org/officeDocument/2006/relationships/hyperlink" Target="https://www.carolinadesigns.com/" TargetMode="External"/><Relationship Id="rId1332" Type="http://schemas.openxmlformats.org/officeDocument/2006/relationships/hyperlink" Target="https://www.simpleshowing.com/" TargetMode="External"/><Relationship Id="rId12324" Type="http://schemas.openxmlformats.org/officeDocument/2006/relationships/hyperlink" Target="https://propertypressonline.co.uk/" TargetMode="External"/><Relationship Id="rId15894" Type="http://schemas.openxmlformats.org/officeDocument/2006/relationships/hyperlink" Target="http://business.starkvilledailynews.com/starkvilledailynews/article/getfeatured-2025-8-13-raynor-garage-doors-of-kansas-city-expands-with-new-location-in-lees-summit-mo" TargetMode="External"/><Relationship Id="rId5953" Type="http://schemas.openxmlformats.org/officeDocument/2006/relationships/hyperlink" Target="https://www.realtytimes.com/consumeradvice/ask-the-expert/item/1046097-consumer-s-guide-to-eliminating-debt" TargetMode="External"/><Relationship Id="rId14496" Type="http://schemas.openxmlformats.org/officeDocument/2006/relationships/hyperlink" Target="https://www.gayrealestate.com/blog/2018/07/boost-your-homes-curb-appeal-this-summer-with-simple-upgrades/" TargetMode="External"/><Relationship Id="rId15547" Type="http://schemas.openxmlformats.org/officeDocument/2006/relationships/hyperlink" Target="https://myinteriorpalace.com/" TargetMode="External"/><Relationship Id="rId3157" Type="http://schemas.openxmlformats.org/officeDocument/2006/relationships/hyperlink" Target="https://www.pulte.com/" TargetMode="External"/><Relationship Id="rId4555" Type="http://schemas.openxmlformats.org/officeDocument/2006/relationships/hyperlink" Target="https://www.simpleshowing.com/" TargetMode="External"/><Relationship Id="rId5606" Type="http://schemas.openxmlformats.org/officeDocument/2006/relationships/hyperlink" Target="https://www.simpleshowing.com/" TargetMode="External"/><Relationship Id="rId13098" Type="http://schemas.openxmlformats.org/officeDocument/2006/relationships/hyperlink" Target="https://www.restaurantonline.co.uk/Article/2021/06/29/Business-after-Brexit-how-can-hospitality-close-the-labour-gap/" TargetMode="External"/><Relationship Id="rId14149" Type="http://schemas.openxmlformats.org/officeDocument/2006/relationships/hyperlink" Target="https://myinteriorpalace.com/" TargetMode="External"/><Relationship Id="rId4208" Type="http://schemas.openxmlformats.org/officeDocument/2006/relationships/hyperlink" Target="https://www.kapre.com/" TargetMode="External"/><Relationship Id="rId7778" Type="http://schemas.openxmlformats.org/officeDocument/2006/relationships/hyperlink" Target="https://suwaneemagazine.com/25-days-of-christmas/" TargetMode="External"/><Relationship Id="rId8829" Type="http://schemas.openxmlformats.org/officeDocument/2006/relationships/hyperlink" Target="https://www.pinoyeplans.com/" TargetMode="External"/><Relationship Id="rId10759" Type="http://schemas.openxmlformats.org/officeDocument/2006/relationships/hyperlink" Target="https://www.teachengineering.org/" TargetMode="External"/><Relationship Id="rId14630" Type="http://schemas.openxmlformats.org/officeDocument/2006/relationships/hyperlink" Target="https://www.easygaragedoorrepair.com/" TargetMode="External"/><Relationship Id="rId12181" Type="http://schemas.openxmlformats.org/officeDocument/2006/relationships/hyperlink" Target="https://www.bobvila.com/" TargetMode="External"/><Relationship Id="rId13232" Type="http://schemas.openxmlformats.org/officeDocument/2006/relationships/hyperlink" Target="https://www.pureinvestor.co.uk/" TargetMode="External"/><Relationship Id="rId2240" Type="http://schemas.openxmlformats.org/officeDocument/2006/relationships/hyperlink" Target="https://www.torontomike.com/2021/07/the-most-common-plumbing-problems-in-a-kitchen-causes-diagnosing-and-fixing/" TargetMode="External"/><Relationship Id="rId6861" Type="http://schemas.openxmlformats.org/officeDocument/2006/relationships/hyperlink" Target="https://www.simpleshowing.com/" TargetMode="External"/><Relationship Id="rId212" Type="http://schemas.openxmlformats.org/officeDocument/2006/relationships/hyperlink" Target="http://financialpipeline.com/" TargetMode="External"/><Relationship Id="rId5463" Type="http://schemas.openxmlformats.org/officeDocument/2006/relationships/hyperlink" Target="https://blog.powr.io/how-to-use-ai-agents-for-marketing/" TargetMode="External"/><Relationship Id="rId6514" Type="http://schemas.openxmlformats.org/officeDocument/2006/relationships/hyperlink" Target="https://www.simpleshowing.com/" TargetMode="External"/><Relationship Id="rId7912" Type="http://schemas.openxmlformats.org/officeDocument/2006/relationships/hyperlink" Target="https://www.boredmom.com/creative-home/health-hazards-linked-to-sewage-exposure-in-the-home" TargetMode="External"/><Relationship Id="rId15057" Type="http://schemas.openxmlformats.org/officeDocument/2006/relationships/hyperlink" Target="https://buildingandinteriors.com/designer-beds-styles/" TargetMode="External"/><Relationship Id="rId16108" Type="http://schemas.openxmlformats.org/officeDocument/2006/relationships/hyperlink" Target="https://myinteriorpalace.com/" TargetMode="External"/><Relationship Id="rId4065" Type="http://schemas.openxmlformats.org/officeDocument/2006/relationships/hyperlink" Target="https://www.kapre.com/" TargetMode="External"/><Relationship Id="rId5116" Type="http://schemas.openxmlformats.org/officeDocument/2006/relationships/hyperlink" Target="https://www.simpleshowing.com/" TargetMode="External"/><Relationship Id="rId7288" Type="http://schemas.openxmlformats.org/officeDocument/2006/relationships/hyperlink" Target="https://www.wfaa.com/article/money/consumer/taylor-morrison-files-complaint-against-home-inspector-who-posts-videos-of-inspections-on-social-media/75-fc64bf74-360c-4f54-ac08-1d79f2af1d67" TargetMode="External"/><Relationship Id="rId8686" Type="http://schemas.openxmlformats.org/officeDocument/2006/relationships/hyperlink" Target="https://www.livingetc.com/features/its-a-game-changer-this-kitchens-uniquely-shaped-island-completely-shifts-the-spaces-layout-for-the-better" TargetMode="External"/><Relationship Id="rId9737" Type="http://schemas.openxmlformats.org/officeDocument/2006/relationships/hyperlink" Target="https://cemb.upenn.edu/resources/classroom-resources/" TargetMode="External"/><Relationship Id="rId11667" Type="http://schemas.openxmlformats.org/officeDocument/2006/relationships/hyperlink" Target="https://www.hamiltoninternationalestates.com/" TargetMode="External"/><Relationship Id="rId12718" Type="http://schemas.openxmlformats.org/officeDocument/2006/relationships/hyperlink" Target="https://propertypressonline.co.uk/" TargetMode="External"/><Relationship Id="rId1726" Type="http://schemas.openxmlformats.org/officeDocument/2006/relationships/hyperlink" Target="https://wolfriverelectric.com/" TargetMode="External"/><Relationship Id="rId8339" Type="http://schemas.openxmlformats.org/officeDocument/2006/relationships/hyperlink" Target="https://www.pinoyeplans.com/" TargetMode="External"/><Relationship Id="rId10269" Type="http://schemas.openxmlformats.org/officeDocument/2006/relationships/hyperlink" Target="https://www.pinoyeplans.com/" TargetMode="External"/><Relationship Id="rId14140" Type="http://schemas.openxmlformats.org/officeDocument/2006/relationships/hyperlink" Target="https://myinteriorpalace.com/" TargetMode="External"/><Relationship Id="rId3898" Type="http://schemas.openxmlformats.org/officeDocument/2006/relationships/hyperlink" Target="https://thecoverguy.com/" TargetMode="External"/><Relationship Id="rId4949" Type="http://schemas.openxmlformats.org/officeDocument/2006/relationships/hyperlink" Target="https://us.fitgap.com/products/024396/agentfire" TargetMode="External"/><Relationship Id="rId8820" Type="http://schemas.openxmlformats.org/officeDocument/2006/relationships/hyperlink" Target="https://www.pinoyeplans.com/" TargetMode="External"/><Relationship Id="rId6371" Type="http://schemas.openxmlformats.org/officeDocument/2006/relationships/hyperlink" Target="https://www.tahlequahdailypress.com/news/does-unemployment-affect-your-credit-score/collection_d6b39cdc-7f78-5618-9255-ce9520f55eee.html" TargetMode="External"/><Relationship Id="rId7422" Type="http://schemas.openxmlformats.org/officeDocument/2006/relationships/hyperlink" Target="https://www.appsruntheworld.com/customers-database/customers/view/darling-homes-united-states" TargetMode="External"/><Relationship Id="rId10750" Type="http://schemas.openxmlformats.org/officeDocument/2006/relationships/hyperlink" Target="https://www.teachengineering.org/" TargetMode="External"/><Relationship Id="rId11801" Type="http://schemas.openxmlformats.org/officeDocument/2006/relationships/hyperlink" Target="https://thelaptopadviser.com/resource-center/" TargetMode="External"/><Relationship Id="rId6024" Type="http://schemas.openxmlformats.org/officeDocument/2006/relationships/hyperlink" Target="https://www.simpleshowing.com/" TargetMode="External"/><Relationship Id="rId9594" Type="http://schemas.openxmlformats.org/officeDocument/2006/relationships/hyperlink" Target="https://www.pinoyeplans.com/" TargetMode="External"/><Relationship Id="rId10403" Type="http://schemas.openxmlformats.org/officeDocument/2006/relationships/hyperlink" Target="https://scied.ucar.edu/activity/mountain-rescue" TargetMode="External"/><Relationship Id="rId13973" Type="http://schemas.openxmlformats.org/officeDocument/2006/relationships/hyperlink" Target="https://faheyroofingcontractors.com/" TargetMode="External"/><Relationship Id="rId1583" Type="http://schemas.openxmlformats.org/officeDocument/2006/relationships/hyperlink" Target="https://witl.com/ixp/691/p/michigan-consumers-gas-bill-increase/" TargetMode="External"/><Relationship Id="rId2981" Type="http://schemas.openxmlformats.org/officeDocument/2006/relationships/hyperlink" Target="https://www.theatlantic.com/technology/archive/2018/06/a-defense-of-the-suburbs/562136/" TargetMode="External"/><Relationship Id="rId8196" Type="http://schemas.openxmlformats.org/officeDocument/2006/relationships/hyperlink" Target="https://smaarchviz.com/" TargetMode="External"/><Relationship Id="rId9247" Type="http://schemas.openxmlformats.org/officeDocument/2006/relationships/hyperlink" Target="https://scgmn.com/" TargetMode="External"/><Relationship Id="rId12575" Type="http://schemas.openxmlformats.org/officeDocument/2006/relationships/hyperlink" Target="https://www.shma.co.uk/" TargetMode="External"/><Relationship Id="rId13626" Type="http://schemas.openxmlformats.org/officeDocument/2006/relationships/hyperlink" Target="https://sumo.app/forum/community/windows-activators" TargetMode="External"/><Relationship Id="rId953" Type="http://schemas.openxmlformats.org/officeDocument/2006/relationships/hyperlink" Target="https://www.hipmamasplace.com/lifestyle-driven-renovation-ideas-for-a-more-functional-home/" TargetMode="External"/><Relationship Id="rId1236" Type="http://schemas.openxmlformats.org/officeDocument/2006/relationships/hyperlink" Target="https://www.simpleshowing.com/" TargetMode="External"/><Relationship Id="rId2634" Type="http://schemas.openxmlformats.org/officeDocument/2006/relationships/hyperlink" Target="https://www.simpleshowing.com/" TargetMode="External"/><Relationship Id="rId11177" Type="http://schemas.openxmlformats.org/officeDocument/2006/relationships/hyperlink" Target="https://www.wikitechy.com/technology/harnessing-tech-to-combat-residential-water-damage/" TargetMode="External"/><Relationship Id="rId12228" Type="http://schemas.openxmlformats.org/officeDocument/2006/relationships/hyperlink" Target="https://propertypressonline.co.uk/" TargetMode="External"/><Relationship Id="rId15798" Type="http://schemas.openxmlformats.org/officeDocument/2006/relationships/hyperlink" Target="https://alittledelightful.com/how-to-use-wall-cladding-to-add-texture-and-warmth-to-interiors/" TargetMode="External"/><Relationship Id="rId606" Type="http://schemas.openxmlformats.org/officeDocument/2006/relationships/hyperlink" Target="https://www.carolinadesigns.com/" TargetMode="External"/><Relationship Id="rId5857" Type="http://schemas.openxmlformats.org/officeDocument/2006/relationships/hyperlink" Target="https://claimsbible.com/blog/general-claim-information/what-happens-if-you-lose-in-small-claims-court-uk/" TargetMode="External"/><Relationship Id="rId6908" Type="http://schemas.openxmlformats.org/officeDocument/2006/relationships/hyperlink" Target="https://www.simpleshowing.com/" TargetMode="External"/><Relationship Id="rId4459" Type="http://schemas.openxmlformats.org/officeDocument/2006/relationships/hyperlink" Target="https://www.simpleshowing.com/" TargetMode="External"/><Relationship Id="rId8330" Type="http://schemas.openxmlformats.org/officeDocument/2006/relationships/hyperlink" Target="https://www.pinoyeplans.com/" TargetMode="External"/><Relationship Id="rId10260" Type="http://schemas.openxmlformats.org/officeDocument/2006/relationships/hyperlink" Target="https://www.pinoyeplans.com/" TargetMode="External"/><Relationship Id="rId11311" Type="http://schemas.openxmlformats.org/officeDocument/2006/relationships/hyperlink" Target="https://www.hamiltoninternationalestates.com/" TargetMode="External"/><Relationship Id="rId4940" Type="http://schemas.openxmlformats.org/officeDocument/2006/relationships/hyperlink" Target="https://www.simpleshowing.com/" TargetMode="External"/><Relationship Id="rId13483" Type="http://schemas.openxmlformats.org/officeDocument/2006/relationships/hyperlink" Target="https://myinteriorpalace.com/" TargetMode="External"/><Relationship Id="rId14881" Type="http://schemas.openxmlformats.org/officeDocument/2006/relationships/hyperlink" Target="https://myinteriorpalace.com/" TargetMode="External"/><Relationship Id="rId15932" Type="http://schemas.openxmlformats.org/officeDocument/2006/relationships/hyperlink" Target="https://www.rwdoors.com/" TargetMode="External"/><Relationship Id="rId2491" Type="http://schemas.openxmlformats.org/officeDocument/2006/relationships/hyperlink" Target="https://www.pulte.com/" TargetMode="External"/><Relationship Id="rId3542" Type="http://schemas.openxmlformats.org/officeDocument/2006/relationships/hyperlink" Target="https://www.phyllisbrowning.com/property/1253-woodflower-drive-katy-tx-77493/51598283/" TargetMode="External"/><Relationship Id="rId12085" Type="http://schemas.openxmlformats.org/officeDocument/2006/relationships/hyperlink" Target="https://www.bobvila.com/" TargetMode="External"/><Relationship Id="rId13136" Type="http://schemas.openxmlformats.org/officeDocument/2006/relationships/hyperlink" Target="https://www.shma.co.uk/" TargetMode="External"/><Relationship Id="rId14534" Type="http://schemas.openxmlformats.org/officeDocument/2006/relationships/hyperlink" Target="https://www.easygaragedoorrepair.com/" TargetMode="External"/><Relationship Id="rId463" Type="http://schemas.openxmlformats.org/officeDocument/2006/relationships/hyperlink" Target="https://www.simpleshowing.com/blog/5-tips-for-boosting-your-rental-house-business" TargetMode="External"/><Relationship Id="rId1093" Type="http://schemas.openxmlformats.org/officeDocument/2006/relationships/hyperlink" Target="https://www.matrixbasements.com/" TargetMode="External"/><Relationship Id="rId2144" Type="http://schemas.openxmlformats.org/officeDocument/2006/relationships/hyperlink" Target="https://ccar.growthzoneapp.com/realtor-office/Details/epique-realty-llc-3293224" TargetMode="External"/><Relationship Id="rId116" Type="http://schemas.openxmlformats.org/officeDocument/2006/relationships/hyperlink" Target="https://www.thetomkatstudio.com/" TargetMode="External"/><Relationship Id="rId5367" Type="http://schemas.openxmlformats.org/officeDocument/2006/relationships/hyperlink" Target="https://mysignature.io/blog/real-estate-marketing-plan/" TargetMode="External"/><Relationship Id="rId6765" Type="http://schemas.openxmlformats.org/officeDocument/2006/relationships/hyperlink" Target="https://www.simpleshowing.com/" TargetMode="External"/><Relationship Id="rId7816" Type="http://schemas.openxmlformats.org/officeDocument/2006/relationships/hyperlink" Target="https://www.howellford.com/blogs/2529/local-parks-worth-visiting-near-cumming/" TargetMode="External"/><Relationship Id="rId6418" Type="http://schemas.openxmlformats.org/officeDocument/2006/relationships/hyperlink" Target="https://www.simpleshowing.com/" TargetMode="External"/><Relationship Id="rId9988" Type="http://schemas.openxmlformats.org/officeDocument/2006/relationships/hyperlink" Target="https://www.teachengineering.org/" TargetMode="External"/><Relationship Id="rId12969" Type="http://schemas.openxmlformats.org/officeDocument/2006/relationships/hyperlink" Target="https://jobs.privateequitylist.com/company/shakespeare-martineau" TargetMode="External"/><Relationship Id="rId1977" Type="http://schemas.openxmlformats.org/officeDocument/2006/relationships/hyperlink" Target="https://www.simpleshowing.com/" TargetMode="External"/><Relationship Id="rId14391" Type="http://schemas.openxmlformats.org/officeDocument/2006/relationships/hyperlink" Target="https://nextluxury.com/food-travel/kratom-gummies-vs-other-edibles/" TargetMode="External"/><Relationship Id="rId15442" Type="http://schemas.openxmlformats.org/officeDocument/2006/relationships/hyperlink" Target="https://myinteriorpalace.com/" TargetMode="External"/><Relationship Id="rId4450" Type="http://schemas.openxmlformats.org/officeDocument/2006/relationships/hyperlink" Target="https://www.simpleshowing.com/" TargetMode="External"/><Relationship Id="rId5501" Type="http://schemas.openxmlformats.org/officeDocument/2006/relationships/hyperlink" Target="https://ghthanks.com/building-credit-and-financial-literacy/" TargetMode="External"/><Relationship Id="rId14044" Type="http://schemas.openxmlformats.org/officeDocument/2006/relationships/hyperlink" Target="https://myinteriorpalace.com/" TargetMode="External"/><Relationship Id="rId3052" Type="http://schemas.openxmlformats.org/officeDocument/2006/relationships/hyperlink" Target="https://www.pulte.com/" TargetMode="External"/><Relationship Id="rId4103" Type="http://schemas.openxmlformats.org/officeDocument/2006/relationships/hyperlink" Target="https://www.kapre.com/" TargetMode="External"/><Relationship Id="rId7673" Type="http://schemas.openxmlformats.org/officeDocument/2006/relationships/hyperlink" Target="https://www.taylormorrison.com/" TargetMode="External"/><Relationship Id="rId8724" Type="http://schemas.openxmlformats.org/officeDocument/2006/relationships/hyperlink" Target="https://roof-troopers.com/" TargetMode="External"/><Relationship Id="rId6275" Type="http://schemas.openxmlformats.org/officeDocument/2006/relationships/hyperlink" Target="https://oddculture.com/effective-debt-payoff-tools-and-apps/" TargetMode="External"/><Relationship Id="rId7326" Type="http://schemas.openxmlformats.org/officeDocument/2006/relationships/hyperlink" Target="https://www.simpleshowing.com/" TargetMode="External"/><Relationship Id="rId10654" Type="http://schemas.openxmlformats.org/officeDocument/2006/relationships/hyperlink" Target="https://www.teachengineering.org/" TargetMode="External"/><Relationship Id="rId11705" Type="http://schemas.openxmlformats.org/officeDocument/2006/relationships/hyperlink" Target="https://www.walesonline.co.uk/news/wales-news/welsh-cities-more-species-spiders-19108180" TargetMode="External"/><Relationship Id="rId9498" Type="http://schemas.openxmlformats.org/officeDocument/2006/relationships/hyperlink" Target="https://www.pinoyeplans.com/" TargetMode="External"/><Relationship Id="rId10307" Type="http://schemas.openxmlformats.org/officeDocument/2006/relationships/hyperlink" Target="https://tbep-tech.github.io/tbep-refs/eduindex" TargetMode="External"/><Relationship Id="rId13877" Type="http://schemas.openxmlformats.org/officeDocument/2006/relationships/hyperlink" Target="https://embeltonflooring.com/" TargetMode="External"/><Relationship Id="rId14928" Type="http://schemas.openxmlformats.org/officeDocument/2006/relationships/hyperlink" Target="https://www.bloglovin.com/blogs/a-house-in-hills-12110977/guide-to-choosing-best-water-saving-appliances-8724977420" TargetMode="External"/><Relationship Id="rId2885" Type="http://schemas.openxmlformats.org/officeDocument/2006/relationships/hyperlink" Target="https://www.themuse.com/jobs/pultemortgage/mortgage-branch-coordinator-pulte-mortgage-cbdec4" TargetMode="External"/><Relationship Id="rId3936" Type="http://schemas.openxmlformats.org/officeDocument/2006/relationships/hyperlink" Target="https://www.simpleshowing.com/" TargetMode="External"/><Relationship Id="rId12479" Type="http://schemas.openxmlformats.org/officeDocument/2006/relationships/hyperlink" Target="https://prelive.instantoffices.com/blog/business-growth/growing-your-business-in-2015/" TargetMode="External"/><Relationship Id="rId857" Type="http://schemas.openxmlformats.org/officeDocument/2006/relationships/hyperlink" Target="https://focusingonwildlife.com/news/what-to-do-if-you-find-a-wasp-nest/" TargetMode="External"/><Relationship Id="rId1487" Type="http://schemas.openxmlformats.org/officeDocument/2006/relationships/hyperlink" Target="https://handymanconnection.com/blueash/articles/extend-the-life-of-your-windows-with-these-simple-habits/" TargetMode="External"/><Relationship Id="rId2538" Type="http://schemas.openxmlformats.org/officeDocument/2006/relationships/hyperlink" Target="https://www.simpleshowing.com/" TargetMode="External"/><Relationship Id="rId16003" Type="http://schemas.openxmlformats.org/officeDocument/2006/relationships/hyperlink" Target="https://myinteriorpalace.com/" TargetMode="External"/><Relationship Id="rId5011" Type="http://schemas.openxmlformats.org/officeDocument/2006/relationships/hyperlink" Target="https://www.identityguard.com/news/what-is-credit-protection" TargetMode="External"/><Relationship Id="rId8581" Type="http://schemas.openxmlformats.org/officeDocument/2006/relationships/hyperlink" Target="https://northremovals.com.au/cost-of-living-in-australia/" TargetMode="External"/><Relationship Id="rId9632" Type="http://schemas.openxmlformats.org/officeDocument/2006/relationships/hyperlink" Target="https://www.snexplores.org/article/lets-learn-about-the-future-of-smart-clothing" TargetMode="External"/><Relationship Id="rId11562" Type="http://schemas.openxmlformats.org/officeDocument/2006/relationships/hyperlink" Target="https://www.hamiltoninternationalestates.com/" TargetMode="External"/><Relationship Id="rId12960" Type="http://schemas.openxmlformats.org/officeDocument/2006/relationships/hyperlink" Target="https://waterwise.org.uk/sustainable-finance-water-scarcity-roundtable/" TargetMode="External"/><Relationship Id="rId1621" Type="http://schemas.openxmlformats.org/officeDocument/2006/relationships/hyperlink" Target="https://wolfriverelectric.com/" TargetMode="External"/><Relationship Id="rId7183" Type="http://schemas.openxmlformats.org/officeDocument/2006/relationships/hyperlink" Target="https://www.simpleshowing.com/" TargetMode="External"/><Relationship Id="rId8234" Type="http://schemas.openxmlformats.org/officeDocument/2006/relationships/hyperlink" Target="https://www.pinoyeplans.com/" TargetMode="External"/><Relationship Id="rId10164" Type="http://schemas.openxmlformats.org/officeDocument/2006/relationships/hyperlink" Target="https://www.pinoyeplans.com/" TargetMode="External"/><Relationship Id="rId11215" Type="http://schemas.openxmlformats.org/officeDocument/2006/relationships/hyperlink" Target="https://www.waterdamagespecialist.com.au/" TargetMode="External"/><Relationship Id="rId12613" Type="http://schemas.openxmlformats.org/officeDocument/2006/relationships/hyperlink" Target="https://propertypressonline.co.uk/" TargetMode="External"/><Relationship Id="rId3793" Type="http://schemas.openxmlformats.org/officeDocument/2006/relationships/hyperlink" Target="https://thecoverguy.com/" TargetMode="External"/><Relationship Id="rId14785" Type="http://schemas.openxmlformats.org/officeDocument/2006/relationships/hyperlink" Target="https://myinteriorpalace.com/" TargetMode="External"/><Relationship Id="rId15836" Type="http://schemas.openxmlformats.org/officeDocument/2006/relationships/hyperlink" Target="https://www.modinex.com.au/" TargetMode="External"/><Relationship Id="rId2395" Type="http://schemas.openxmlformats.org/officeDocument/2006/relationships/hyperlink" Target="https://www.pulte.com/" TargetMode="External"/><Relationship Id="rId3446" Type="http://schemas.openxmlformats.org/officeDocument/2006/relationships/hyperlink" Target="https://nhc.org/policy-guide/zoning-and-affordable-housing/program-profiles-zoning/" TargetMode="External"/><Relationship Id="rId4844" Type="http://schemas.openxmlformats.org/officeDocument/2006/relationships/hyperlink" Target="https://www.kapre.com/" TargetMode="External"/><Relationship Id="rId13387" Type="http://schemas.openxmlformats.org/officeDocument/2006/relationships/hyperlink" Target="https://myinteriorpalace.com/" TargetMode="External"/><Relationship Id="rId14438" Type="http://schemas.openxmlformats.org/officeDocument/2006/relationships/hyperlink" Target="https://raynordoor.com/" TargetMode="External"/><Relationship Id="rId367" Type="http://schemas.openxmlformats.org/officeDocument/2006/relationships/hyperlink" Target="https://www.workast.com/blog/coordinating-open-houses-and-property-showings-with-project-management/" TargetMode="External"/><Relationship Id="rId2048" Type="http://schemas.openxmlformats.org/officeDocument/2006/relationships/hyperlink" Target="https://livingpristine.com/atlanta-winter-warmth-timeless-holiday-decor-with-vintage-flair/" TargetMode="External"/><Relationship Id="rId6669" Type="http://schemas.openxmlformats.org/officeDocument/2006/relationships/hyperlink" Target="https://jayscotts.com/retail/" TargetMode="External"/><Relationship Id="rId8091" Type="http://schemas.openxmlformats.org/officeDocument/2006/relationships/hyperlink" Target="https://whiteglovemoving.us/" TargetMode="External"/><Relationship Id="rId12470" Type="http://schemas.openxmlformats.org/officeDocument/2006/relationships/hyperlink" Target="https://www.lancaster.ac.uk/subtext/archive/issue129.htm" TargetMode="External"/><Relationship Id="rId13521" Type="http://schemas.openxmlformats.org/officeDocument/2006/relationships/hyperlink" Target="https://otasteandseeblog.com/sharing-a-cup-and-a-story-with-my-favorite-veteran/" TargetMode="External"/><Relationship Id="rId9142" Type="http://schemas.openxmlformats.org/officeDocument/2006/relationships/hyperlink" Target="https://nycestimating.us/" TargetMode="External"/><Relationship Id="rId11072" Type="http://schemas.openxmlformats.org/officeDocument/2006/relationships/hyperlink" Target="https://www.nu.edu/pk-12-resources/open-ed-resources/" TargetMode="External"/><Relationship Id="rId12123" Type="http://schemas.openxmlformats.org/officeDocument/2006/relationships/hyperlink" Target="https://www.hamiltoninternationalestates.com/" TargetMode="External"/><Relationship Id="rId15693" Type="http://schemas.openxmlformats.org/officeDocument/2006/relationships/hyperlink" Target="https://clennettsmitre10.com.au/products/trade/cladding/feature-timber-cladding/cedar-cladding-panelling/" TargetMode="External"/><Relationship Id="rId501" Type="http://schemas.openxmlformats.org/officeDocument/2006/relationships/hyperlink" Target="https://www.carolinadesigns.com/" TargetMode="External"/><Relationship Id="rId1131" Type="http://schemas.openxmlformats.org/officeDocument/2006/relationships/hyperlink" Target="https://www.simpleshowing.com/" TargetMode="External"/><Relationship Id="rId5752" Type="http://schemas.openxmlformats.org/officeDocument/2006/relationships/hyperlink" Target="https://www.simpleshowing.com/" TargetMode="External"/><Relationship Id="rId6803" Type="http://schemas.openxmlformats.org/officeDocument/2006/relationships/hyperlink" Target="https://www.crosscreektexas.com/bonterra" TargetMode="External"/><Relationship Id="rId14295" Type="http://schemas.openxmlformats.org/officeDocument/2006/relationships/hyperlink" Target="https://havokjournal.com/culture/family/life-family/covid-19-and-the-luxury-world-a-minimalists-point-of-view/" TargetMode="External"/><Relationship Id="rId15346" Type="http://schemas.openxmlformats.org/officeDocument/2006/relationships/hyperlink" Target="https://myinteriorpalace.com/" TargetMode="External"/><Relationship Id="rId4354" Type="http://schemas.openxmlformats.org/officeDocument/2006/relationships/hyperlink" Target="https://www.simpleshowing.com/" TargetMode="External"/><Relationship Id="rId5405" Type="http://schemas.openxmlformats.org/officeDocument/2006/relationships/hyperlink" Target="https://niftypm.com/blog/stretch-goals/" TargetMode="External"/><Relationship Id="rId4007" Type="http://schemas.openxmlformats.org/officeDocument/2006/relationships/hyperlink" Target="https://wgsmartsavings.com/network/home/find" TargetMode="External"/><Relationship Id="rId7577" Type="http://schemas.openxmlformats.org/officeDocument/2006/relationships/hyperlink" Target="https://www.taylormorrison.com/" TargetMode="External"/><Relationship Id="rId8975" Type="http://schemas.openxmlformats.org/officeDocument/2006/relationships/hyperlink" Target="https://grammarpaths.com/modern-wood-measurement-intelligence-for-performance-driven-builds/" TargetMode="External"/><Relationship Id="rId11956" Type="http://schemas.openxmlformats.org/officeDocument/2006/relationships/hyperlink" Target="https://www.bobvila.com/" TargetMode="External"/><Relationship Id="rId6179" Type="http://schemas.openxmlformats.org/officeDocument/2006/relationships/hyperlink" Target="https://dailyprogress.com/shopping/article_6e88aa9c-7cd8-5a0e-bb1d-bb54237c9f6d.html" TargetMode="External"/><Relationship Id="rId8628" Type="http://schemas.openxmlformats.org/officeDocument/2006/relationships/hyperlink" Target="https://aucklandpremiumpainters.co.nz/" TargetMode="External"/><Relationship Id="rId10558" Type="http://schemas.openxmlformats.org/officeDocument/2006/relationships/hyperlink" Target="https://www.teachengineering.org/" TargetMode="External"/><Relationship Id="rId11609" Type="http://schemas.openxmlformats.org/officeDocument/2006/relationships/hyperlink" Target="https://www.screamingfrog.co.uk/blog/turn-data-into-content-marketing-campaign/" TargetMode="External"/><Relationship Id="rId13031" Type="http://schemas.openxmlformats.org/officeDocument/2006/relationships/hyperlink" Target="https://www.shma.co.uk/" TargetMode="External"/><Relationship Id="rId2789" Type="http://schemas.openxmlformats.org/officeDocument/2006/relationships/hyperlink" Target="https://www.bounce.game/court/reverence-pickleball-courts-las-vegas-nevada-us" TargetMode="External"/><Relationship Id="rId6660" Type="http://schemas.openxmlformats.org/officeDocument/2006/relationships/hyperlink" Target="https://www.odinlake.com/blogs/workspace/decorate-your-office-space-with-plants" TargetMode="External"/><Relationship Id="rId7711" Type="http://schemas.openxmlformats.org/officeDocument/2006/relationships/hyperlink" Target="https://www.simpleshowing.com/" TargetMode="External"/><Relationship Id="rId16254" Type="http://schemas.openxmlformats.org/officeDocument/2006/relationships/hyperlink" Target="https://amumreviews.co.uk/best-flooring-types-for-kitchens/" TargetMode="External"/><Relationship Id="rId5262" Type="http://schemas.openxmlformats.org/officeDocument/2006/relationships/hyperlink" Target="https://www.simpleshowing.com/" TargetMode="External"/><Relationship Id="rId6313" Type="http://schemas.openxmlformats.org/officeDocument/2006/relationships/hyperlink" Target="https://www.workandmoney.com/s/retirement-financial-flubs-97fb15d5ecbb4b7c" TargetMode="External"/><Relationship Id="rId9883" Type="http://schemas.openxmlformats.org/officeDocument/2006/relationships/hyperlink" Target="https://www.teachengineering.org/" TargetMode="External"/><Relationship Id="rId97" Type="http://schemas.openxmlformats.org/officeDocument/2006/relationships/hyperlink" Target="http://thegeneralnews.co.uk/" TargetMode="External"/><Relationship Id="rId1872" Type="http://schemas.openxmlformats.org/officeDocument/2006/relationships/hyperlink" Target="https://www.simpleshowing.com/" TargetMode="External"/><Relationship Id="rId8485" Type="http://schemas.openxmlformats.org/officeDocument/2006/relationships/hyperlink" Target="https://www.designer.tips/blog/photorealism-in-architectural-visualization" TargetMode="External"/><Relationship Id="rId9536" Type="http://schemas.openxmlformats.org/officeDocument/2006/relationships/hyperlink" Target="https://indyschild.com/17-fun-snow-activities-you-can-do-with-kids/" TargetMode="External"/><Relationship Id="rId12864" Type="http://schemas.openxmlformats.org/officeDocument/2006/relationships/hyperlink" Target="https://www.serlecourt.co.uk/events/details/welcome-to-the-jungle-civil-procedure-rules-and-guerilla-duels" TargetMode="External"/><Relationship Id="rId13915" Type="http://schemas.openxmlformats.org/officeDocument/2006/relationships/hyperlink" Target="https://myinteriorpalace.com/" TargetMode="External"/><Relationship Id="rId1525" Type="http://schemas.openxmlformats.org/officeDocument/2006/relationships/hyperlink" Target="https://wolfriverelectric.com/" TargetMode="External"/><Relationship Id="rId2923" Type="http://schemas.openxmlformats.org/officeDocument/2006/relationships/hyperlink" Target="https://www.pulte.com/" TargetMode="External"/><Relationship Id="rId7087" Type="http://schemas.openxmlformats.org/officeDocument/2006/relationships/hyperlink" Target="https://www.simpleshowing.com/" TargetMode="External"/><Relationship Id="rId8138" Type="http://schemas.openxmlformats.org/officeDocument/2006/relationships/hyperlink" Target="https://www.pinoyeplans.com/" TargetMode="External"/><Relationship Id="rId10068" Type="http://schemas.openxmlformats.org/officeDocument/2006/relationships/hyperlink" Target="https://www.pinoyeplans.com/" TargetMode="External"/><Relationship Id="rId11466" Type="http://schemas.openxmlformats.org/officeDocument/2006/relationships/hyperlink" Target="https://sellhousefast.uk/" TargetMode="External"/><Relationship Id="rId12517" Type="http://schemas.openxmlformats.org/officeDocument/2006/relationships/hyperlink" Target="https://propertypressonline.co.uk/" TargetMode="External"/><Relationship Id="rId11119" Type="http://schemas.openxmlformats.org/officeDocument/2006/relationships/hyperlink" Target="https://community.triblive.com/n%20huntingdon-pa/parry-custom-homes-724-863-0199" TargetMode="External"/><Relationship Id="rId14689" Type="http://schemas.openxmlformats.org/officeDocument/2006/relationships/hyperlink" Target="https://myinteriorpalace.com/" TargetMode="External"/><Relationship Id="rId2299" Type="http://schemas.openxmlformats.org/officeDocument/2006/relationships/hyperlink" Target="https://www.collectionforsyth.com/" TargetMode="External"/><Relationship Id="rId3697" Type="http://schemas.openxmlformats.org/officeDocument/2006/relationships/hyperlink" Target="https://www.overheaddoors.com/" TargetMode="External"/><Relationship Id="rId4748" Type="http://schemas.openxmlformats.org/officeDocument/2006/relationships/hyperlink" Target="https://www.kapre.com/" TargetMode="External"/><Relationship Id="rId11600" Type="http://schemas.openxmlformats.org/officeDocument/2006/relationships/hyperlink" Target="https://katzenworld.co.uk/2019/10/13/london-most-and-least-pet-friendly-boroughs-revealed/" TargetMode="External"/><Relationship Id="rId6170" Type="http://schemas.openxmlformats.org/officeDocument/2006/relationships/hyperlink" Target="https://www.simpleshowing.com/" TargetMode="External"/><Relationship Id="rId7221" Type="http://schemas.openxmlformats.org/officeDocument/2006/relationships/hyperlink" Target="https://www.simpleshowing.com/" TargetMode="External"/><Relationship Id="rId10202" Type="http://schemas.openxmlformats.org/officeDocument/2006/relationships/hyperlink" Target="https://gctlc.org/animal-adaptations-engineering-design-lesson-04-building-biomimicry" TargetMode="External"/><Relationship Id="rId13772" Type="http://schemas.openxmlformats.org/officeDocument/2006/relationships/hyperlink" Target="https://anationofmoms.com/" TargetMode="External"/><Relationship Id="rId2780" Type="http://schemas.openxmlformats.org/officeDocument/2006/relationships/hyperlink" Target="https://www.byowner.com/townhouse/oviedo/436-magnolia-chase-court-fl-32765-mfro6333975" TargetMode="External"/><Relationship Id="rId3831" Type="http://schemas.openxmlformats.org/officeDocument/2006/relationships/hyperlink" Target="https://www.simpleshowing.com/" TargetMode="External"/><Relationship Id="rId9393" Type="http://schemas.openxmlformats.org/officeDocument/2006/relationships/hyperlink" Target="https://www.pinoyeplans.com/" TargetMode="External"/><Relationship Id="rId12374" Type="http://schemas.openxmlformats.org/officeDocument/2006/relationships/hyperlink" Target="https://www.heyuguys.com/paranormal-activity-4-review/" TargetMode="External"/><Relationship Id="rId13425" Type="http://schemas.openxmlformats.org/officeDocument/2006/relationships/hyperlink" Target="https://www2.archivists.org/groups/reference-access-and-outreach-section/2023-rao-section-meeting-and-marketplace-of-ideas-registration" TargetMode="External"/><Relationship Id="rId14823" Type="http://schemas.openxmlformats.org/officeDocument/2006/relationships/hyperlink" Target="https://www.burlapandblue.com/what-are-the-latest-technologies-garage-door-services-are-using-in-houston-top-6-innovations-to-know/" TargetMode="External"/><Relationship Id="rId752" Type="http://schemas.openxmlformats.org/officeDocument/2006/relationships/hyperlink" Target="https://www.simpleshowing.com/" TargetMode="External"/><Relationship Id="rId1382" Type="http://schemas.openxmlformats.org/officeDocument/2006/relationships/hyperlink" Target="https://www.homeworksenergy.com/signs-your-older-windows-are-affecting-your-energy-bill/" TargetMode="External"/><Relationship Id="rId2433" Type="http://schemas.openxmlformats.org/officeDocument/2006/relationships/hyperlink" Target="https://www.simpleshowing.com/" TargetMode="External"/><Relationship Id="rId9046" Type="http://schemas.openxmlformats.org/officeDocument/2006/relationships/hyperlink" Target="https://nycestimating.us/" TargetMode="External"/><Relationship Id="rId12027" Type="http://schemas.openxmlformats.org/officeDocument/2006/relationships/hyperlink" Target="https://www.hamiltoninternationalestates.com/" TargetMode="External"/><Relationship Id="rId405" Type="http://schemas.openxmlformats.org/officeDocument/2006/relationships/hyperlink" Target="https://enrichest.com/en/blog/selling-home-heres-what-you-need-to-know-about-capital-gains-tax" TargetMode="External"/><Relationship Id="rId1035" Type="http://schemas.openxmlformats.org/officeDocument/2006/relationships/hyperlink" Target="https://www.simpleshowing.com/" TargetMode="External"/><Relationship Id="rId5656" Type="http://schemas.openxmlformats.org/officeDocument/2006/relationships/hyperlink" Target="https://www.simpleshowing.com/" TargetMode="External"/><Relationship Id="rId14199" Type="http://schemas.openxmlformats.org/officeDocument/2006/relationships/hyperlink" Target="https://expertwinestorage.co.uk/pages/about-us" TargetMode="External"/><Relationship Id="rId15597" Type="http://schemas.openxmlformats.org/officeDocument/2006/relationships/hyperlink" Target="https://www.welshmum.co.uk/3-easy-ways-to-make-your-living-room-look-nicer/" TargetMode="External"/><Relationship Id="rId4258" Type="http://schemas.openxmlformats.org/officeDocument/2006/relationships/hyperlink" Target="https://www.simpleshowing.com/" TargetMode="External"/><Relationship Id="rId5309" Type="http://schemas.openxmlformats.org/officeDocument/2006/relationships/hyperlink" Target="https://redstaglabs.com/blog/ai-models-basics-and-applications" TargetMode="External"/><Relationship Id="rId6707" Type="http://schemas.openxmlformats.org/officeDocument/2006/relationships/hyperlink" Target="https://www.dealdrop.com/eplanters" TargetMode="External"/><Relationship Id="rId8879" Type="http://schemas.openxmlformats.org/officeDocument/2006/relationships/hyperlink" Target="https://bobgunn.com.au/7-ways-to-prevent-ants-from-taking-over-your-kitchen/" TargetMode="External"/><Relationship Id="rId11110" Type="http://schemas.openxmlformats.org/officeDocument/2006/relationships/hyperlink" Target="https://imagepainting.com/" TargetMode="External"/><Relationship Id="rId14680" Type="http://schemas.openxmlformats.org/officeDocument/2006/relationships/hyperlink" Target="https://myinteriorpalace.com/" TargetMode="External"/><Relationship Id="rId15731" Type="http://schemas.openxmlformats.org/officeDocument/2006/relationships/hyperlink" Target="https://www.modinex.com.au/" TargetMode="External"/><Relationship Id="rId1919" Type="http://schemas.openxmlformats.org/officeDocument/2006/relationships/hyperlink" Target="https://www.businessmediagroup.co.uk/what-rising-interest-rates-mean-for-texas-homeowners-looking-to-sell-quickly/" TargetMode="External"/><Relationship Id="rId13282" Type="http://schemas.openxmlformats.org/officeDocument/2006/relationships/hyperlink" Target="https://propertypressonline.co.uk/" TargetMode="External"/><Relationship Id="rId14333" Type="http://schemas.openxmlformats.org/officeDocument/2006/relationships/hyperlink" Target="https://luxurylifestyle.com/" TargetMode="External"/><Relationship Id="rId2290" Type="http://schemas.openxmlformats.org/officeDocument/2006/relationships/hyperlink" Target="https://www.collectionforsyth.com/" TargetMode="External"/><Relationship Id="rId3341" Type="http://schemas.openxmlformats.org/officeDocument/2006/relationships/hyperlink" Target="https://mentorsmoving.com/blog/los-angeles-to-tucson-movers/" TargetMode="External"/><Relationship Id="rId7962" Type="http://schemas.openxmlformats.org/officeDocument/2006/relationships/hyperlink" Target="https://distinctiveroofing.net/" TargetMode="External"/><Relationship Id="rId262" Type="http://schemas.openxmlformats.org/officeDocument/2006/relationships/hyperlink" Target="https://knockoffdecor.com/10-amazing-backyard-kitchens/" TargetMode="External"/><Relationship Id="rId6564" Type="http://schemas.openxmlformats.org/officeDocument/2006/relationships/hyperlink" Target="https://www.thermasol.com/" TargetMode="External"/><Relationship Id="rId7615" Type="http://schemas.openxmlformats.org/officeDocument/2006/relationships/hyperlink" Target="https://www.simpleshowing.com/" TargetMode="External"/><Relationship Id="rId10943" Type="http://schemas.openxmlformats.org/officeDocument/2006/relationships/hyperlink" Target="https://www.inverse.com/article/12187-in-the-future-you-ll-be-a-superhero-and-here-s-how-you-ll-get-your-superpowers" TargetMode="External"/><Relationship Id="rId16158" Type="http://schemas.openxmlformats.org/officeDocument/2006/relationships/hyperlink" Target="https://www.nottingham.co.uk/listing/353118-United-Carpets-Woodfloor-Beds/" TargetMode="External"/><Relationship Id="rId5166" Type="http://schemas.openxmlformats.org/officeDocument/2006/relationships/hyperlink" Target="https://www.simpleshowing.com/" TargetMode="External"/><Relationship Id="rId6217" Type="http://schemas.openxmlformats.org/officeDocument/2006/relationships/hyperlink" Target="https://financialpanther.com/how-to-navigate-irs-debt-relief-a-comprehensive-guide-to-the-fresh-start-program/" TargetMode="External"/><Relationship Id="rId9787" Type="http://schemas.openxmlformats.org/officeDocument/2006/relationships/hyperlink" Target="https://www.teachengineering.org/" TargetMode="External"/><Relationship Id="rId8389" Type="http://schemas.openxmlformats.org/officeDocument/2006/relationships/hyperlink" Target="https://linkbio.co/7031414OoWkqp" TargetMode="External"/><Relationship Id="rId12768" Type="http://schemas.openxmlformats.org/officeDocument/2006/relationships/hyperlink" Target="https://www.retirementvillages.co.uk/thrive-life/business-updates-developments/later-living/how-retirement-communities-can-relieve-the-housing-market-crisis/" TargetMode="External"/><Relationship Id="rId13819" Type="http://schemas.openxmlformats.org/officeDocument/2006/relationships/hyperlink" Target="https://myinteriorpalace.com/" TargetMode="External"/><Relationship Id="rId1776" Type="http://schemas.openxmlformats.org/officeDocument/2006/relationships/hyperlink" Target="https://www.simpleshowing.com/" TargetMode="External"/><Relationship Id="rId2827" Type="http://schemas.openxmlformats.org/officeDocument/2006/relationships/hyperlink" Target="https://www.pulte.com/" TargetMode="External"/><Relationship Id="rId14190" Type="http://schemas.openxmlformats.org/officeDocument/2006/relationships/hyperlink" Target="https://www.opalsdownunder.com.au/links-resources/" TargetMode="External"/><Relationship Id="rId15241" Type="http://schemas.openxmlformats.org/officeDocument/2006/relationships/hyperlink" Target="https://myinteriorpalace.com/" TargetMode="External"/><Relationship Id="rId1429" Type="http://schemas.openxmlformats.org/officeDocument/2006/relationships/hyperlink" Target="https://ritewindow.com/blog/3-indicators-its-time-to-upgrade-your-shower-or-bath/" TargetMode="External"/><Relationship Id="rId4999" Type="http://schemas.openxmlformats.org/officeDocument/2006/relationships/hyperlink" Target="https://lendedu.com/blog/pds-debt-review/" TargetMode="External"/><Relationship Id="rId5300" Type="http://schemas.openxmlformats.org/officeDocument/2006/relationships/hyperlink" Target="https://www.simpleshowing.com/" TargetMode="External"/><Relationship Id="rId8870" Type="http://schemas.openxmlformats.org/officeDocument/2006/relationships/hyperlink" Target="https://worldwidesciencestories.com/how-to-quickly-find-a-trusted-exterminator-near-you/" TargetMode="External"/><Relationship Id="rId9921" Type="http://schemas.openxmlformats.org/officeDocument/2006/relationships/hyperlink" Target="https://www.pinoyeplans.com/" TargetMode="External"/><Relationship Id="rId11851" Type="http://schemas.openxmlformats.org/officeDocument/2006/relationships/hyperlink" Target="https://sellhousefast.uk/" TargetMode="External"/><Relationship Id="rId1910" Type="http://schemas.openxmlformats.org/officeDocument/2006/relationships/hyperlink" Target="https://conversationswithbianca.com/mindfulness-spaces-for-moms-and-kids-orlandos-guide-to-creating-a-calm-corner/" TargetMode="External"/><Relationship Id="rId7472" Type="http://schemas.openxmlformats.org/officeDocument/2006/relationships/hyperlink" Target="https://www.taylormorrison.com/" TargetMode="External"/><Relationship Id="rId8523" Type="http://schemas.openxmlformats.org/officeDocument/2006/relationships/hyperlink" Target="https://www.cylind.com/" TargetMode="External"/><Relationship Id="rId10453" Type="http://schemas.openxmlformats.org/officeDocument/2006/relationships/hyperlink" Target="https://www.teachengineering.org/" TargetMode="External"/><Relationship Id="rId11504" Type="http://schemas.openxmlformats.org/officeDocument/2006/relationships/hyperlink" Target="https://www.hamiltoninternationalestates.com/" TargetMode="External"/><Relationship Id="rId12902" Type="http://schemas.openxmlformats.org/officeDocument/2006/relationships/hyperlink" Target="https://www.shma.co.uk/" TargetMode="External"/><Relationship Id="rId6074" Type="http://schemas.openxmlformats.org/officeDocument/2006/relationships/hyperlink" Target="https://www.simpleshowing.com/" TargetMode="External"/><Relationship Id="rId7125" Type="http://schemas.openxmlformats.org/officeDocument/2006/relationships/hyperlink" Target="https://www.taylormorrison.com/" TargetMode="External"/><Relationship Id="rId10106" Type="http://schemas.openxmlformats.org/officeDocument/2006/relationships/hyperlink" Target="https://www.dealnews.com/pages/articles/online-guide-pinhole-photography/" TargetMode="External"/><Relationship Id="rId2684" Type="http://schemas.openxmlformats.org/officeDocument/2006/relationships/hyperlink" Target="https://www.swamprabbitmoving.com/blog/new-construction-homes-in-greenville-sc/" TargetMode="External"/><Relationship Id="rId3735" Type="http://schemas.openxmlformats.org/officeDocument/2006/relationships/hyperlink" Target="https://www.simpleshowing.com/" TargetMode="External"/><Relationship Id="rId9297" Type="http://schemas.openxmlformats.org/officeDocument/2006/relationships/hyperlink" Target="https://www.pinoyeplans.com/" TargetMode="External"/><Relationship Id="rId12278" Type="http://schemas.openxmlformats.org/officeDocument/2006/relationships/hyperlink" Target="https://business.clickdo.co.uk/rising-tax-pressures-push-directors-to-rethink-income-strategies-for-new-tax-year/" TargetMode="External"/><Relationship Id="rId13329" Type="http://schemas.openxmlformats.org/officeDocument/2006/relationships/hyperlink" Target="https://fly-architecture.net/hardwood-flooring-timeless-beauty/" TargetMode="External"/><Relationship Id="rId13676" Type="http://schemas.openxmlformats.org/officeDocument/2006/relationships/hyperlink" Target="https://anationofmoms.com/" TargetMode="External"/><Relationship Id="rId14727" Type="http://schemas.openxmlformats.org/officeDocument/2006/relationships/hyperlink" Target="https://www.delightfullynotedblog.com/6-key-signs-a-garage-door-system-requires-professional-attention/" TargetMode="External"/><Relationship Id="rId656" Type="http://schemas.openxmlformats.org/officeDocument/2006/relationships/hyperlink" Target="https://www.simpleshowing.com/" TargetMode="External"/><Relationship Id="rId1286" Type="http://schemas.openxmlformats.org/officeDocument/2006/relationships/hyperlink" Target="https://www.apollotechnical.com/2025-market-moves-innovations-and-trends-reshaping-real-estate/" TargetMode="External"/><Relationship Id="rId2337" Type="http://schemas.openxmlformats.org/officeDocument/2006/relationships/hyperlink" Target="https://www.simpleshowing.com/" TargetMode="External"/><Relationship Id="rId309" Type="http://schemas.openxmlformats.org/officeDocument/2006/relationships/hyperlink" Target="http://northernvirginiahomepro.com/" TargetMode="External"/><Relationship Id="rId6958" Type="http://schemas.openxmlformats.org/officeDocument/2006/relationships/hyperlink" Target="https://www.simpleshowing.com/" TargetMode="External"/><Relationship Id="rId8380" Type="http://schemas.openxmlformats.org/officeDocument/2006/relationships/hyperlink" Target="https://www.zerohedge.com/user/5uAjxA7XKKVNBf7nrc7UB7OJU6x2" TargetMode="External"/><Relationship Id="rId13810" Type="http://schemas.openxmlformats.org/officeDocument/2006/relationships/hyperlink" Target="https://myinteriorpalace.com/" TargetMode="External"/><Relationship Id="rId8033" Type="http://schemas.openxmlformats.org/officeDocument/2006/relationships/hyperlink" Target="https://indyroofandrestoration.com/" TargetMode="External"/><Relationship Id="rId9431" Type="http://schemas.openxmlformats.org/officeDocument/2006/relationships/hyperlink" Target="https://www.coolscience.org/cool-chemistry/category/bubbles" TargetMode="External"/><Relationship Id="rId11361" Type="http://schemas.openxmlformats.org/officeDocument/2006/relationships/hyperlink" Target="http://webuyhouses.com/" TargetMode="External"/><Relationship Id="rId12412" Type="http://schemas.openxmlformats.org/officeDocument/2006/relationships/hyperlink" Target="https://sturents.com/" TargetMode="External"/><Relationship Id="rId15982" Type="http://schemas.openxmlformats.org/officeDocument/2006/relationships/hyperlink" Target="https://myinteriorpalace.com/" TargetMode="External"/><Relationship Id="rId1420" Type="http://schemas.openxmlformats.org/officeDocument/2006/relationships/hyperlink" Target="https://ritewindow.com/blog/3-indicators-its-time-to-upgrade-your-shower-or-bath/" TargetMode="External"/><Relationship Id="rId4990" Type="http://schemas.openxmlformats.org/officeDocument/2006/relationships/hyperlink" Target="https://www.simpleshowing.com/" TargetMode="External"/><Relationship Id="rId11014" Type="http://schemas.openxmlformats.org/officeDocument/2006/relationships/hyperlink" Target="https://www.teachengineering.org/" TargetMode="External"/><Relationship Id="rId14584" Type="http://schemas.openxmlformats.org/officeDocument/2006/relationships/hyperlink" Target="https://myinteriorpalace.com/" TargetMode="External"/><Relationship Id="rId15635" Type="http://schemas.openxmlformats.org/officeDocument/2006/relationships/hyperlink" Target="https://www.luxdeco.com/" TargetMode="External"/><Relationship Id="rId3592" Type="http://schemas.openxmlformats.org/officeDocument/2006/relationships/hyperlink" Target="https://www.pulte.com/" TargetMode="External"/><Relationship Id="rId4643" Type="http://schemas.openxmlformats.org/officeDocument/2006/relationships/hyperlink" Target="https://www.kapre.com/" TargetMode="External"/><Relationship Id="rId13186" Type="http://schemas.openxmlformats.org/officeDocument/2006/relationships/hyperlink" Target="https://propertypressonline.co.uk/" TargetMode="External"/><Relationship Id="rId14237" Type="http://schemas.openxmlformats.org/officeDocument/2006/relationships/hyperlink" Target="https://luxurylifestyle.com/" TargetMode="External"/><Relationship Id="rId2194" Type="http://schemas.openxmlformats.org/officeDocument/2006/relationships/hyperlink" Target="https://markspain.com/" TargetMode="External"/><Relationship Id="rId3245" Type="http://schemas.openxmlformats.org/officeDocument/2006/relationships/hyperlink" Target="https://www.georgiatrend.com/2024/04/24/georgia-trend-daily-april-24-2024/" TargetMode="External"/><Relationship Id="rId7866" Type="http://schemas.openxmlformats.org/officeDocument/2006/relationships/hyperlink" Target="https://trustroofing.com/" TargetMode="External"/><Relationship Id="rId166" Type="http://schemas.openxmlformats.org/officeDocument/2006/relationships/hyperlink" Target="https://www.specializedreg.com/" TargetMode="External"/><Relationship Id="rId6468" Type="http://schemas.openxmlformats.org/officeDocument/2006/relationships/hyperlink" Target="https://www.simpleshowing.com/" TargetMode="External"/><Relationship Id="rId7519" Type="http://schemas.openxmlformats.org/officeDocument/2006/relationships/hyperlink" Target="https://www.simpleshowing.com/" TargetMode="External"/><Relationship Id="rId8917" Type="http://schemas.openxmlformats.org/officeDocument/2006/relationships/hyperlink" Target="https://nycestimating.us/" TargetMode="External"/><Relationship Id="rId10847" Type="http://schemas.openxmlformats.org/officeDocument/2006/relationships/hyperlink" Target="https://www.charlotteparent.com/e-learning-resources-to-supplement-your-homeschool-curriculum/" TargetMode="External"/><Relationship Id="rId13320" Type="http://schemas.openxmlformats.org/officeDocument/2006/relationships/hyperlink" Target="https://www.janubaba.com/c/forum/topic/156217/pg_0/JB_IT_Solutions/Support_at_accountlivecompasswordresetmicrosoft_password_reset" TargetMode="External"/><Relationship Id="rId300" Type="http://schemas.openxmlformats.org/officeDocument/2006/relationships/hyperlink" Target="http://northernvirginiahomepro.com/" TargetMode="External"/><Relationship Id="rId15492" Type="http://schemas.openxmlformats.org/officeDocument/2006/relationships/hyperlink" Target="https://app.assembo.ai/blogs/light-grey-background" TargetMode="External"/><Relationship Id="rId5551" Type="http://schemas.openxmlformats.org/officeDocument/2006/relationships/hyperlink" Target="https://helpsquad.com/6-out-of-the-box-ideas-for-small-business-reopening/" TargetMode="External"/><Relationship Id="rId6602" Type="http://schemas.openxmlformats.org/officeDocument/2006/relationships/hyperlink" Target="https://www.simpleshowing.com/" TargetMode="External"/><Relationship Id="rId14094" Type="http://schemas.openxmlformats.org/officeDocument/2006/relationships/hyperlink" Target="https://www.soup.io/why-a-deck-is-the-ultimate-home-upgrade-boost-comfort-style-and-property-appeal-outdoors" TargetMode="External"/><Relationship Id="rId15145" Type="http://schemas.openxmlformats.org/officeDocument/2006/relationships/hyperlink" Target="https://myinteriorpalace.com/" TargetMode="External"/><Relationship Id="rId4153" Type="http://schemas.openxmlformats.org/officeDocument/2006/relationships/hyperlink" Target="https://www.kapre.com/" TargetMode="External"/><Relationship Id="rId5204" Type="http://schemas.openxmlformats.org/officeDocument/2006/relationships/hyperlink" Target="https://www.simpleshowing.com/" TargetMode="External"/><Relationship Id="rId8774" Type="http://schemas.openxmlformats.org/officeDocument/2006/relationships/hyperlink" Target="https://www.pinoyeplans.com/" TargetMode="External"/><Relationship Id="rId9825" Type="http://schemas.openxmlformats.org/officeDocument/2006/relationships/hyperlink" Target="https://www.pinoyeplans.com/" TargetMode="External"/><Relationship Id="rId39" Type="http://schemas.openxmlformats.org/officeDocument/2006/relationships/hyperlink" Target="http://middleclasshomes.net/" TargetMode="External"/><Relationship Id="rId1814" Type="http://schemas.openxmlformats.org/officeDocument/2006/relationships/hyperlink" Target="https://thecinnamonhollow.com/prepare-your-household-for-a-power-cut/" TargetMode="External"/><Relationship Id="rId7376" Type="http://schemas.openxmlformats.org/officeDocument/2006/relationships/hyperlink" Target="https://www.simpleshowing.com/" TargetMode="External"/><Relationship Id="rId8427" Type="http://schemas.openxmlformats.org/officeDocument/2006/relationships/hyperlink" Target="https://www.pacificsheetmetal.net/" TargetMode="External"/><Relationship Id="rId10357" Type="http://schemas.openxmlformats.org/officeDocument/2006/relationships/hyperlink" Target="https://www.teachengineering.org/" TargetMode="External"/><Relationship Id="rId11755" Type="http://schemas.openxmlformats.org/officeDocument/2006/relationships/hyperlink" Target="https://sellhousefast.uk/" TargetMode="External"/><Relationship Id="rId12806" Type="http://schemas.openxmlformats.org/officeDocument/2006/relationships/hyperlink" Target="https://www.shma.co.uk/" TargetMode="External"/><Relationship Id="rId7029" Type="http://schemas.openxmlformats.org/officeDocument/2006/relationships/hyperlink" Target="https://www.lifestoryresearch.com/insight-ideas/advocates-or-antagonists" TargetMode="External"/><Relationship Id="rId11408" Type="http://schemas.openxmlformats.org/officeDocument/2006/relationships/hyperlink" Target="https://www.hamiltoninternationalestates.com/" TargetMode="External"/><Relationship Id="rId14978" Type="http://schemas.openxmlformats.org/officeDocument/2006/relationships/hyperlink" Target="https://www.luxdeco.com/" TargetMode="External"/><Relationship Id="rId2588" Type="http://schemas.openxmlformats.org/officeDocument/2006/relationships/hyperlink" Target="http://business.westervillechamber.com/list/category/real-estate-1228" TargetMode="External"/><Relationship Id="rId3986" Type="http://schemas.openxmlformats.org/officeDocument/2006/relationships/hyperlink" Target="https://aeroleads.com/list/top-renewable-energy-companies-in-oregon" TargetMode="External"/><Relationship Id="rId3639" Type="http://schemas.openxmlformats.org/officeDocument/2006/relationships/hyperlink" Target="https://www.simpleshowing.com/" TargetMode="External"/><Relationship Id="rId5061" Type="http://schemas.openxmlformats.org/officeDocument/2006/relationships/hyperlink" Target="https://empmonitor.com/blog/what-is-a-pay-cycle/" TargetMode="External"/><Relationship Id="rId6112" Type="http://schemas.openxmlformats.org/officeDocument/2006/relationships/hyperlink" Target="https://www.simpleshowing.com/" TargetMode="External"/><Relationship Id="rId7510" Type="http://schemas.openxmlformats.org/officeDocument/2006/relationships/hyperlink" Target="https://www.simpleshowing.com/" TargetMode="External"/><Relationship Id="rId16053" Type="http://schemas.openxmlformats.org/officeDocument/2006/relationships/hyperlink" Target="https://cdo.pomona.edu/blog/2025/10/16/15-tips-for-environmental-studies-majors-who-are-mapping-their-careers/" TargetMode="External"/><Relationship Id="rId9682" Type="http://schemas.openxmlformats.org/officeDocument/2006/relationships/hyperlink" Target="https://www.teachengineering.org/" TargetMode="External"/><Relationship Id="rId12663" Type="http://schemas.openxmlformats.org/officeDocument/2006/relationships/hyperlink" Target="https://www.failory.com/startups/birmingham" TargetMode="External"/><Relationship Id="rId13714" Type="http://schemas.openxmlformats.org/officeDocument/2006/relationships/hyperlink" Target="https://myinteriorpalace.com/" TargetMode="External"/><Relationship Id="rId1671" Type="http://schemas.openxmlformats.org/officeDocument/2006/relationships/hyperlink" Target="https://www.simpleshowing.com/" TargetMode="External"/><Relationship Id="rId2722" Type="http://schemas.openxmlformats.org/officeDocument/2006/relationships/hyperlink" Target="https://www.pulte.com/" TargetMode="External"/><Relationship Id="rId8284" Type="http://schemas.openxmlformats.org/officeDocument/2006/relationships/hyperlink" Target="https://houseploy.com/style-upgrades-that-dont-require-major-renovation/" TargetMode="External"/><Relationship Id="rId9335" Type="http://schemas.openxmlformats.org/officeDocument/2006/relationships/hyperlink" Target="https://www.next.cc/journey/tools/plants" TargetMode="External"/><Relationship Id="rId11265" Type="http://schemas.openxmlformats.org/officeDocument/2006/relationships/hyperlink" Target="https://amazingarchitecture.com/articles/restoration-services-a-lifeline-after-disasters" TargetMode="External"/><Relationship Id="rId12316" Type="http://schemas.openxmlformats.org/officeDocument/2006/relationships/hyperlink" Target="https://www.ridgefieldconsulting.co.uk/" TargetMode="External"/><Relationship Id="rId1324" Type="http://schemas.openxmlformats.org/officeDocument/2006/relationships/hyperlink" Target="https://darscover.com/" TargetMode="External"/><Relationship Id="rId4894" Type="http://schemas.openxmlformats.org/officeDocument/2006/relationships/hyperlink" Target="https://www.simpleshowing.com/" TargetMode="External"/><Relationship Id="rId5945" Type="http://schemas.openxmlformats.org/officeDocument/2006/relationships/hyperlink" Target="https://www.possolutions.com.au/blog/keeping-your-terms-and-conditions-current-in-your-business" TargetMode="External"/><Relationship Id="rId14488" Type="http://schemas.openxmlformats.org/officeDocument/2006/relationships/hyperlink" Target="https://myinteriorpalace.com/" TargetMode="External"/><Relationship Id="rId15539" Type="http://schemas.openxmlformats.org/officeDocument/2006/relationships/hyperlink" Target="https://www.luxdeco.com/" TargetMode="External"/><Relationship Id="rId15886" Type="http://schemas.openxmlformats.org/officeDocument/2006/relationships/hyperlink" Target="https://myinteriorpalace.com/" TargetMode="External"/><Relationship Id="rId30" Type="http://schemas.openxmlformats.org/officeDocument/2006/relationships/hyperlink" Target="http://stanleymartin.com/" TargetMode="External"/><Relationship Id="rId3496" Type="http://schemas.openxmlformats.org/officeDocument/2006/relationships/hyperlink" Target="https://www.pulte.com/" TargetMode="External"/><Relationship Id="rId4547" Type="http://schemas.openxmlformats.org/officeDocument/2006/relationships/hyperlink" Target="https://www.kapre.com/" TargetMode="External"/><Relationship Id="rId2098" Type="http://schemas.openxmlformats.org/officeDocument/2006/relationships/hyperlink" Target="https://markspain.com/" TargetMode="External"/><Relationship Id="rId3149" Type="http://schemas.openxmlformats.org/officeDocument/2006/relationships/hyperlink" Target="https://cen.acs.org/articles/85/i31/Dow-Sees-Light.html" TargetMode="External"/><Relationship Id="rId7020" Type="http://schemas.openxmlformats.org/officeDocument/2006/relationships/hyperlink" Target="https://www.admincolumns.com/wordpress-for-real-estate/" TargetMode="External"/><Relationship Id="rId9192" Type="http://schemas.openxmlformats.org/officeDocument/2006/relationships/hyperlink" Target="https://www.pinoyeplans.com/" TargetMode="External"/><Relationship Id="rId10001" Type="http://schemas.openxmlformats.org/officeDocument/2006/relationships/hyperlink" Target="https://www.appropedia.org/HISI_energy" TargetMode="External"/><Relationship Id="rId13571" Type="http://schemas.openxmlformats.org/officeDocument/2006/relationships/hyperlink" Target="https://anationofmoms.com/" TargetMode="External"/><Relationship Id="rId14622" Type="http://schemas.openxmlformats.org/officeDocument/2006/relationships/hyperlink" Target="https://www.tinyhouse.com/post/top-garage-door-repair-companies" TargetMode="External"/><Relationship Id="rId3630" Type="http://schemas.openxmlformats.org/officeDocument/2006/relationships/hyperlink" Target="https://www.simpleshowing.com/" TargetMode="External"/><Relationship Id="rId12173" Type="http://schemas.openxmlformats.org/officeDocument/2006/relationships/hyperlink" Target="https://blog.allentate.com/frog-real-estate/" TargetMode="External"/><Relationship Id="rId13224" Type="http://schemas.openxmlformats.org/officeDocument/2006/relationships/hyperlink" Target="https://www.allagents.co.uk/indlu.co.uk" TargetMode="External"/><Relationship Id="rId551" Type="http://schemas.openxmlformats.org/officeDocument/2006/relationships/hyperlink" Target="https://www.simpleshowing.com/" TargetMode="External"/><Relationship Id="rId1181" Type="http://schemas.openxmlformats.org/officeDocument/2006/relationships/hyperlink" Target="https://hisforhomeblog.com/" TargetMode="External"/><Relationship Id="rId2232" Type="http://schemas.openxmlformats.org/officeDocument/2006/relationships/hyperlink" Target="https://www.simpleshowing.com/" TargetMode="External"/><Relationship Id="rId6853" Type="http://schemas.openxmlformats.org/officeDocument/2006/relationships/hyperlink" Target="https://www.taylormorrison.com/" TargetMode="External"/><Relationship Id="rId7904" Type="http://schemas.openxmlformats.org/officeDocument/2006/relationships/hyperlink" Target="https://www.pinoyeplans.com/" TargetMode="External"/><Relationship Id="rId15396" Type="http://schemas.openxmlformats.org/officeDocument/2006/relationships/hyperlink" Target="https://calbizjournal.com/buying-a-home-consult-these-professionals-first/" TargetMode="External"/><Relationship Id="rId204" Type="http://schemas.openxmlformats.org/officeDocument/2006/relationships/hyperlink" Target="http://northernvirginiahomepro.com/" TargetMode="External"/><Relationship Id="rId5455" Type="http://schemas.openxmlformats.org/officeDocument/2006/relationships/hyperlink" Target="https://www.qrcode-tiger.com/tips-to-recession-proof-your-restaurant" TargetMode="External"/><Relationship Id="rId6506" Type="http://schemas.openxmlformats.org/officeDocument/2006/relationships/hyperlink" Target="https://www.thermasol.com/" TargetMode="External"/><Relationship Id="rId15049" Type="http://schemas.openxmlformats.org/officeDocument/2006/relationships/hyperlink" Target="https://myinteriorpalace.com/" TargetMode="External"/><Relationship Id="rId4057" Type="http://schemas.openxmlformats.org/officeDocument/2006/relationships/hyperlink" Target="https://www.simpleshowing.com/" TargetMode="External"/><Relationship Id="rId5108" Type="http://schemas.openxmlformats.org/officeDocument/2006/relationships/hyperlink" Target="https://www.simpleshowing.com/" TargetMode="External"/><Relationship Id="rId8678" Type="http://schemas.openxmlformats.org/officeDocument/2006/relationships/hyperlink" Target="https://www.pinoyeplans.com/" TargetMode="External"/><Relationship Id="rId9729" Type="http://schemas.openxmlformats.org/officeDocument/2006/relationships/hyperlink" Target="https://www.pinoyeplans.com/" TargetMode="External"/><Relationship Id="rId11659" Type="http://schemas.openxmlformats.org/officeDocument/2006/relationships/hyperlink" Target="https://sellhousefast.uk/" TargetMode="External"/><Relationship Id="rId13081" Type="http://schemas.openxmlformats.org/officeDocument/2006/relationships/hyperlink" Target="https://propertypressonline.co.uk/" TargetMode="External"/><Relationship Id="rId15530" Type="http://schemas.openxmlformats.org/officeDocument/2006/relationships/hyperlink" Target="https://www.luxdeco.com/" TargetMode="External"/><Relationship Id="rId1718" Type="http://schemas.openxmlformats.org/officeDocument/2006/relationships/hyperlink" Target="https://www.intelligenthq.com/solar-incentives-that-make-solar-more-affordable-near-you/" TargetMode="External"/><Relationship Id="rId3140" Type="http://schemas.openxmlformats.org/officeDocument/2006/relationships/hyperlink" Target="https://morethanthecurve.com/developer-starts-marketing-new-condo-development-along-river-in-conshohocken/" TargetMode="External"/><Relationship Id="rId14132" Type="http://schemas.openxmlformats.org/officeDocument/2006/relationships/hyperlink" Target="https://keystonecustomdecksny.com/" TargetMode="External"/><Relationship Id="rId7761" Type="http://schemas.openxmlformats.org/officeDocument/2006/relationships/hyperlink" Target="https://www.simpleshowing.com/" TargetMode="External"/><Relationship Id="rId8812" Type="http://schemas.openxmlformats.org/officeDocument/2006/relationships/hyperlink" Target="https://www.trianglepest.com/" TargetMode="External"/><Relationship Id="rId10742" Type="http://schemas.openxmlformats.org/officeDocument/2006/relationships/hyperlink" Target="https://incubate-learning.kit.com/posts/how-to-design-schools-to-grow-thriving-adults-a-provocation" TargetMode="External"/><Relationship Id="rId6363" Type="http://schemas.openxmlformats.org/officeDocument/2006/relationships/hyperlink" Target="https://monq.com/blogs/stress/simplify-for-serenity" TargetMode="External"/><Relationship Id="rId7414" Type="http://schemas.openxmlformats.org/officeDocument/2006/relationships/hyperlink" Target="https://houstontentsevents.com/blog/partnering-with-emhe/" TargetMode="External"/><Relationship Id="rId2973" Type="http://schemas.openxmlformats.org/officeDocument/2006/relationships/hyperlink" Target="https://www.simpleshowing.com/" TargetMode="External"/><Relationship Id="rId6016" Type="http://schemas.openxmlformats.org/officeDocument/2006/relationships/hyperlink" Target="https://www.simpleshowing.com/" TargetMode="External"/><Relationship Id="rId9586" Type="http://schemas.openxmlformats.org/officeDocument/2006/relationships/hyperlink" Target="https://www.teachengineering.org/" TargetMode="External"/><Relationship Id="rId12567" Type="http://schemas.openxmlformats.org/officeDocument/2006/relationships/hyperlink" Target="https://bridgeindia.org.uk/" TargetMode="External"/><Relationship Id="rId13618" Type="http://schemas.openxmlformats.org/officeDocument/2006/relationships/hyperlink" Target="https://myinteriorpalace.com/" TargetMode="External"/><Relationship Id="rId13965" Type="http://schemas.openxmlformats.org/officeDocument/2006/relationships/hyperlink" Target="https://www.flexhouse.org/diy-vs-professional-which-is-better-for-roof-repairs/" TargetMode="External"/><Relationship Id="rId945" Type="http://schemas.openxmlformats.org/officeDocument/2006/relationships/hyperlink" Target="https://www.simpleshowing.com/" TargetMode="External"/><Relationship Id="rId1575" Type="http://schemas.openxmlformats.org/officeDocument/2006/relationships/hyperlink" Target="https://www.simpleshowing.com/" TargetMode="External"/><Relationship Id="rId2626" Type="http://schemas.openxmlformats.org/officeDocument/2006/relationships/hyperlink" Target="https://www.pulte.com/" TargetMode="External"/><Relationship Id="rId8188" Type="http://schemas.openxmlformats.org/officeDocument/2006/relationships/hyperlink" Target="http://godchild.keenspot.com/comic/start/" TargetMode="External"/><Relationship Id="rId9239" Type="http://schemas.openxmlformats.org/officeDocument/2006/relationships/hyperlink" Target="https://bloggingheros.com/air-duct-cleaning/" TargetMode="External"/><Relationship Id="rId11169" Type="http://schemas.openxmlformats.org/officeDocument/2006/relationships/hyperlink" Target="https://www.pinoyeplans.com/" TargetMode="External"/><Relationship Id="rId15040" Type="http://schemas.openxmlformats.org/officeDocument/2006/relationships/hyperlink" Target="https://myinteriorpalace.com/" TargetMode="External"/><Relationship Id="rId1228" Type="http://schemas.openxmlformats.org/officeDocument/2006/relationships/hyperlink" Target="https://happy2movelondon.co.uk/r" TargetMode="External"/><Relationship Id="rId4798" Type="http://schemas.openxmlformats.org/officeDocument/2006/relationships/hyperlink" Target="https://www.simpleshowing.com/" TargetMode="External"/><Relationship Id="rId5849" Type="http://schemas.openxmlformats.org/officeDocument/2006/relationships/hyperlink" Target="https://powerdmarc.com/what-are-spam-messages/" TargetMode="External"/><Relationship Id="rId7271" Type="http://schemas.openxmlformats.org/officeDocument/2006/relationships/hyperlink" Target="https://www.simpleshowing.com/" TargetMode="External"/><Relationship Id="rId8322" Type="http://schemas.openxmlformats.org/officeDocument/2006/relationships/hyperlink" Target="https://www.zestlighting.com.au/" TargetMode="External"/><Relationship Id="rId9720" Type="http://schemas.openxmlformats.org/officeDocument/2006/relationships/hyperlink" Target="https://www.pinoyeplans.com/" TargetMode="External"/><Relationship Id="rId11650" Type="http://schemas.openxmlformats.org/officeDocument/2006/relationships/hyperlink" Target="https://sellhousefast.uk/" TargetMode="External"/><Relationship Id="rId12701" Type="http://schemas.openxmlformats.org/officeDocument/2006/relationships/hyperlink" Target="https://www.shma.co.uk/" TargetMode="External"/><Relationship Id="rId10252" Type="http://schemas.openxmlformats.org/officeDocument/2006/relationships/hyperlink" Target="https://www.teachengineering.org/" TargetMode="External"/><Relationship Id="rId11303" Type="http://schemas.openxmlformats.org/officeDocument/2006/relationships/hyperlink" Target="https://www.savemax.com/" TargetMode="External"/><Relationship Id="rId14873" Type="http://schemas.openxmlformats.org/officeDocument/2006/relationships/hyperlink" Target="https://www.fluidplumbingservices.com.au/" TargetMode="External"/><Relationship Id="rId15924" Type="http://schemas.openxmlformats.org/officeDocument/2006/relationships/hyperlink" Target="https://network.procore.com/p/raynor-garage-doors-of-kc-shawnee" TargetMode="External"/><Relationship Id="rId3881" Type="http://schemas.openxmlformats.org/officeDocument/2006/relationships/hyperlink" Target="https://www.sparefoot.com/blog/how-to-move-and-store-a-6-person-hot-tub" TargetMode="External"/><Relationship Id="rId4932" Type="http://schemas.openxmlformats.org/officeDocument/2006/relationships/hyperlink" Target="https://www.simpleshowing.com/" TargetMode="External"/><Relationship Id="rId9096" Type="http://schemas.openxmlformats.org/officeDocument/2006/relationships/hyperlink" Target="https://www.pinoyeplans.com/" TargetMode="External"/><Relationship Id="rId13475" Type="http://schemas.openxmlformats.org/officeDocument/2006/relationships/hyperlink" Target="https://anationofmoms.com/" TargetMode="External"/><Relationship Id="rId14526" Type="http://schemas.openxmlformats.org/officeDocument/2006/relationships/hyperlink" Target="https://blog.bay-bee.co.uk/5-common-garage-door-problems-houston-homeowners-face/" TargetMode="External"/><Relationship Id="rId2483" Type="http://schemas.openxmlformats.org/officeDocument/2006/relationships/hyperlink" Target="https://shellypalmer.com/about/" TargetMode="External"/><Relationship Id="rId3534" Type="http://schemas.openxmlformats.org/officeDocument/2006/relationships/hyperlink" Target="https://www.simpleshowing.com/" TargetMode="External"/><Relationship Id="rId12077" Type="http://schemas.openxmlformats.org/officeDocument/2006/relationships/hyperlink" Target="https://a-z-animals.com/articles/diseases-commonly-carried-by-opossums/" TargetMode="External"/><Relationship Id="rId13128" Type="http://schemas.openxmlformats.org/officeDocument/2006/relationships/hyperlink" Target="https://www.fenews.co.uk/exclusive/convenience-is-key-flexible-learning-drives-in-work-training-appeal/" TargetMode="External"/><Relationship Id="rId455" Type="http://schemas.openxmlformats.org/officeDocument/2006/relationships/hyperlink" Target="https://www.simpleshowing.com/" TargetMode="External"/><Relationship Id="rId1085" Type="http://schemas.openxmlformats.org/officeDocument/2006/relationships/hyperlink" Target="https://www.homelovr.com/cool-ideas-for-transforming-an-unused-basement/" TargetMode="External"/><Relationship Id="rId2136" Type="http://schemas.openxmlformats.org/officeDocument/2006/relationships/hyperlink" Target="https://www.simpleshowing.com/" TargetMode="External"/><Relationship Id="rId6757" Type="http://schemas.openxmlformats.org/officeDocument/2006/relationships/hyperlink" Target="https://theprovidencegroup.com/" TargetMode="External"/><Relationship Id="rId7808" Type="http://schemas.openxmlformats.org/officeDocument/2006/relationships/hyperlink" Target="https://www.simpleshowing.com/" TargetMode="External"/><Relationship Id="rId108" Type="http://schemas.openxmlformats.org/officeDocument/2006/relationships/hyperlink" Target="https://www.surreynowleader.com/" TargetMode="External"/><Relationship Id="rId5359" Type="http://schemas.openxmlformats.org/officeDocument/2006/relationships/hyperlink" Target="https://lawgaze.com/common-strategies-a-debt-defense-lawyer-uses-to-stop-creditor-harassment/" TargetMode="External"/><Relationship Id="rId9230" Type="http://schemas.openxmlformats.org/officeDocument/2006/relationships/hyperlink" Target="https://pinay-flix.com/property-maintenance-essentials-for-rental-home-owners/" TargetMode="External"/><Relationship Id="rId11160" Type="http://schemas.openxmlformats.org/officeDocument/2006/relationships/hyperlink" Target="https://www.pinoyeplans.com/" TargetMode="External"/><Relationship Id="rId12211" Type="http://schemas.openxmlformats.org/officeDocument/2006/relationships/hyperlink" Target="https://www.bobvila.com/" TargetMode="External"/><Relationship Id="rId15781" Type="http://schemas.openxmlformats.org/officeDocument/2006/relationships/hyperlink" Target="https://myinteriorpalace.com/" TargetMode="External"/><Relationship Id="rId1969" Type="http://schemas.openxmlformats.org/officeDocument/2006/relationships/hyperlink" Target="https://markspain.com/" TargetMode="External"/><Relationship Id="rId5840" Type="http://schemas.openxmlformats.org/officeDocument/2006/relationships/hyperlink" Target="https://www.simpleshowing.com/" TargetMode="External"/><Relationship Id="rId14383" Type="http://schemas.openxmlformats.org/officeDocument/2006/relationships/hyperlink" Target="https://myinteriorpalace.com/" TargetMode="External"/><Relationship Id="rId15434" Type="http://schemas.openxmlformats.org/officeDocument/2006/relationships/hyperlink" Target="https://www.luxdeco.com/" TargetMode="External"/><Relationship Id="rId3391" Type="http://schemas.openxmlformats.org/officeDocument/2006/relationships/hyperlink" Target="https://www.pulte.com/" TargetMode="External"/><Relationship Id="rId4442" Type="http://schemas.openxmlformats.org/officeDocument/2006/relationships/hyperlink" Target="https://www.kapre.com/" TargetMode="External"/><Relationship Id="rId10993" Type="http://schemas.openxmlformats.org/officeDocument/2006/relationships/hyperlink" Target="https://www.teachengineering.org/" TargetMode="External"/><Relationship Id="rId14036" Type="http://schemas.openxmlformats.org/officeDocument/2006/relationships/hyperlink" Target="https://keystonecustomdecksny.com/" TargetMode="External"/><Relationship Id="rId3044" Type="http://schemas.openxmlformats.org/officeDocument/2006/relationships/hyperlink" Target="https://builtin.com/company/pulte-home-corp" TargetMode="External"/><Relationship Id="rId7665" Type="http://schemas.openxmlformats.org/officeDocument/2006/relationships/hyperlink" Target="https://www.whas11.com/article/money/consumer/taylor-morrison-files-complaint-against-home-inspector-who-posts-videos-of-inspections-on-social-media/75-fc64bf74-360c-4f54-ac08-1d79f2af1d67" TargetMode="External"/><Relationship Id="rId8716" Type="http://schemas.openxmlformats.org/officeDocument/2006/relationships/hyperlink" Target="https://blog.ebunoluwole.com/reclaimed-oak-flooring/" TargetMode="External"/><Relationship Id="rId10646" Type="http://schemas.openxmlformats.org/officeDocument/2006/relationships/hyperlink" Target="https://www.powershow.com/view4/81d340-ZTE5M/Pupillary_Response_powerpoint_ppt_presentation" TargetMode="External"/><Relationship Id="rId6267" Type="http://schemas.openxmlformats.org/officeDocument/2006/relationships/hyperlink" Target="https://iconnect.isenberg.umass.edu/blog/2025/06/25/the-hour-a-day-job-hunt-routine-that-works/" TargetMode="External"/><Relationship Id="rId7318" Type="http://schemas.openxmlformats.org/officeDocument/2006/relationships/hyperlink" Target="https://www.taylormorrison.com/" TargetMode="External"/><Relationship Id="rId2877" Type="http://schemas.openxmlformats.org/officeDocument/2006/relationships/hyperlink" Target="https://www.simpleshowing.com/" TargetMode="External"/><Relationship Id="rId13869" Type="http://schemas.openxmlformats.org/officeDocument/2006/relationships/hyperlink" Target="https://ahouseinthehills.com/how-to-achieve-a-hampton-style-home-with-hybrid-flooring/" TargetMode="External"/><Relationship Id="rId15291" Type="http://schemas.openxmlformats.org/officeDocument/2006/relationships/hyperlink" Target="https://www.padmagazine.co.uk/press-releases/living-room-inspiration-how-to-pick-a-coffee-table/28026/" TargetMode="External"/><Relationship Id="rId849" Type="http://schemas.openxmlformats.org/officeDocument/2006/relationships/hyperlink" Target="https://www.simpleshowing.com/" TargetMode="External"/><Relationship Id="rId1479" Type="http://schemas.openxmlformats.org/officeDocument/2006/relationships/hyperlink" Target="https://www.simpleshowing.com/" TargetMode="External"/><Relationship Id="rId3928" Type="http://schemas.openxmlformats.org/officeDocument/2006/relationships/hyperlink" Target="https://amjmetalroofing.com.au/" TargetMode="External"/><Relationship Id="rId5350" Type="http://schemas.openxmlformats.org/officeDocument/2006/relationships/hyperlink" Target="https://www.simpleshowing.com/" TargetMode="External"/><Relationship Id="rId6401" Type="http://schemas.openxmlformats.org/officeDocument/2006/relationships/hyperlink" Target="https://democratherald.com/news/nation-world/business/personal-finance/article_64644249-1427-5361-8f57-8890d3f986c7.html" TargetMode="External"/><Relationship Id="rId5003" Type="http://schemas.openxmlformats.org/officeDocument/2006/relationships/hyperlink" Target="https://money.com/best-debt-relief-companies/" TargetMode="External"/><Relationship Id="rId9971" Type="http://schemas.openxmlformats.org/officeDocument/2006/relationships/hyperlink" Target="https://www.metlink.org/experiment/more-experiments/" TargetMode="External"/><Relationship Id="rId12952" Type="http://schemas.openxmlformats.org/officeDocument/2006/relationships/hyperlink" Target="https://propertypressonline.co.uk/" TargetMode="External"/><Relationship Id="rId1960" Type="http://schemas.openxmlformats.org/officeDocument/2006/relationships/hyperlink" Target="https://markspain.com/" TargetMode="External"/><Relationship Id="rId7175" Type="http://schemas.openxmlformats.org/officeDocument/2006/relationships/hyperlink" Target="https://www.taylormorrison.com/" TargetMode="External"/><Relationship Id="rId8573" Type="http://schemas.openxmlformats.org/officeDocument/2006/relationships/hyperlink" Target="https://www.pinoyeplans.com/" TargetMode="External"/><Relationship Id="rId9624" Type="http://schemas.openxmlformats.org/officeDocument/2006/relationships/hyperlink" Target="https://www.pinoyeplans.com/" TargetMode="External"/><Relationship Id="rId11554" Type="http://schemas.openxmlformats.org/officeDocument/2006/relationships/hyperlink" Target="https://sellhousefast.uk/" TargetMode="External"/><Relationship Id="rId12605" Type="http://schemas.openxmlformats.org/officeDocument/2006/relationships/hyperlink" Target="https://www.shma.co.uk/" TargetMode="External"/><Relationship Id="rId1613" Type="http://schemas.openxmlformats.org/officeDocument/2006/relationships/hyperlink" Target="https://cnynews.com/ixp/704/p/power-outages-2025-comparison/" TargetMode="External"/><Relationship Id="rId8226" Type="http://schemas.openxmlformats.org/officeDocument/2006/relationships/hyperlink" Target="https://smaarchviz.com/" TargetMode="External"/><Relationship Id="rId10156" Type="http://schemas.openxmlformats.org/officeDocument/2006/relationships/hyperlink" Target="https://www.teachengineering.org/" TargetMode="External"/><Relationship Id="rId11207" Type="http://schemas.openxmlformats.org/officeDocument/2006/relationships/hyperlink" Target="https://www.waterdamagespecialist.com.au/" TargetMode="External"/><Relationship Id="rId14777" Type="http://schemas.openxmlformats.org/officeDocument/2006/relationships/hyperlink" Target="https://www.easygaragedoorrepair.com/" TargetMode="External"/><Relationship Id="rId15828" Type="http://schemas.openxmlformats.org/officeDocument/2006/relationships/hyperlink" Target="https://www.build-review.com/the-benefits-of-architectural-cladding-products/" TargetMode="External"/><Relationship Id="rId3785" Type="http://schemas.openxmlformats.org/officeDocument/2006/relationships/hyperlink" Target="https://scholartree.ca/scholarship/the-cover-guy-annual-scholarship/yzmkfYV5V" TargetMode="External"/><Relationship Id="rId4836" Type="http://schemas.openxmlformats.org/officeDocument/2006/relationships/hyperlink" Target="https://www.northernnewsnow.com/2024/05/27/high-school-seniors-can-now-get-real-estate-license-free-this-state/" TargetMode="External"/><Relationship Id="rId13379" Type="http://schemas.openxmlformats.org/officeDocument/2006/relationships/hyperlink" Target="https://anationofmoms.com/" TargetMode="External"/><Relationship Id="rId2387" Type="http://schemas.openxmlformats.org/officeDocument/2006/relationships/hyperlink" Target="https://www.nationalharbor.com/reside/" TargetMode="External"/><Relationship Id="rId3438" Type="http://schemas.openxmlformats.org/officeDocument/2006/relationships/hyperlink" Target="https://www.simpleshowing.com/" TargetMode="External"/><Relationship Id="rId359" Type="http://schemas.openxmlformats.org/officeDocument/2006/relationships/hyperlink" Target="https://move4lessmoving.com/blog/moving-can-be-good-for-you-why-people-move/" TargetMode="External"/><Relationship Id="rId9481" Type="http://schemas.openxmlformats.org/officeDocument/2006/relationships/hyperlink" Target="https://www.teachengineering.org/" TargetMode="External"/><Relationship Id="rId13860" Type="http://schemas.openxmlformats.org/officeDocument/2006/relationships/hyperlink" Target="https://www.threebirdsrenovations.com/partners" TargetMode="External"/><Relationship Id="rId14911" Type="http://schemas.openxmlformats.org/officeDocument/2006/relationships/hyperlink" Target="https://myinteriorpalace.com/" TargetMode="External"/><Relationship Id="rId8083" Type="http://schemas.openxmlformats.org/officeDocument/2006/relationships/hyperlink" Target="https://www.nursing.psu.edu/external-scholarship-opportunities/" TargetMode="External"/><Relationship Id="rId9134" Type="http://schemas.openxmlformats.org/officeDocument/2006/relationships/hyperlink" Target="https://team-namespot.com/precision-quantity-review-systems-supporting-complex-construction-needs/" TargetMode="External"/><Relationship Id="rId12462" Type="http://schemas.openxmlformats.org/officeDocument/2006/relationships/hyperlink" Target="https://propertypressonline.co.uk/" TargetMode="External"/><Relationship Id="rId13513" Type="http://schemas.openxmlformats.org/officeDocument/2006/relationships/hyperlink" Target="https://myinteriorpalace.com/" TargetMode="External"/><Relationship Id="rId840" Type="http://schemas.openxmlformats.org/officeDocument/2006/relationships/hyperlink" Target="https://www.simpleshowing.com/" TargetMode="External"/><Relationship Id="rId1470" Type="http://schemas.openxmlformats.org/officeDocument/2006/relationships/hyperlink" Target="https://www.simpleshowing.com/" TargetMode="External"/><Relationship Id="rId2521" Type="http://schemas.openxmlformats.org/officeDocument/2006/relationships/hyperlink" Target="https://www.pulte.com/" TargetMode="External"/><Relationship Id="rId11064" Type="http://schemas.openxmlformats.org/officeDocument/2006/relationships/hyperlink" Target="https://www.pinoyeplans.com/" TargetMode="External"/><Relationship Id="rId12115" Type="http://schemas.openxmlformats.org/officeDocument/2006/relationships/hyperlink" Target="https://www.bobvila.com/" TargetMode="External"/><Relationship Id="rId15685" Type="http://schemas.openxmlformats.org/officeDocument/2006/relationships/hyperlink" Target="https://myinteriorpalace.com/" TargetMode="External"/><Relationship Id="rId1123" Type="http://schemas.openxmlformats.org/officeDocument/2006/relationships/hyperlink" Target="https://www.matrixbasements.com/" TargetMode="External"/><Relationship Id="rId4693" Type="http://schemas.openxmlformats.org/officeDocument/2006/relationships/hyperlink" Target="https://www.simpleshowing.com/" TargetMode="External"/><Relationship Id="rId5744" Type="http://schemas.openxmlformats.org/officeDocument/2006/relationships/hyperlink" Target="https://www.simpleshowing.com/" TargetMode="External"/><Relationship Id="rId14287" Type="http://schemas.openxmlformats.org/officeDocument/2006/relationships/hyperlink" Target="https://myinteriorpalace.com/" TargetMode="External"/><Relationship Id="rId15338" Type="http://schemas.openxmlformats.org/officeDocument/2006/relationships/hyperlink" Target="https://www.luxdeco.com/" TargetMode="External"/><Relationship Id="rId3295" Type="http://schemas.openxmlformats.org/officeDocument/2006/relationships/hyperlink" Target="https://www.pulte.com/" TargetMode="External"/><Relationship Id="rId4346" Type="http://schemas.openxmlformats.org/officeDocument/2006/relationships/hyperlink" Target="https://www.kapre.com/" TargetMode="External"/><Relationship Id="rId8967" Type="http://schemas.openxmlformats.org/officeDocument/2006/relationships/hyperlink" Target="https://www.pinoyeplans.com/" TargetMode="External"/><Relationship Id="rId7569" Type="http://schemas.openxmlformats.org/officeDocument/2006/relationships/hyperlink" Target="https://www.pymnts.com/real-estate/2020/homebuilders-upbeat-on-single-family-homes/" TargetMode="External"/><Relationship Id="rId10897" Type="http://schemas.openxmlformats.org/officeDocument/2006/relationships/hyperlink" Target="https://www.teachengineering.org/" TargetMode="External"/><Relationship Id="rId11948" Type="http://schemas.openxmlformats.org/officeDocument/2006/relationships/hyperlink" Target="https://shine-windowcleaning.com/westlake/cleaning-outside-windows-the-dos-and-donts/" TargetMode="External"/><Relationship Id="rId13370" Type="http://schemas.openxmlformats.org/officeDocument/2006/relationships/hyperlink" Target="https://anationofmoms.com/" TargetMode="External"/><Relationship Id="rId13023" Type="http://schemas.openxmlformats.org/officeDocument/2006/relationships/hyperlink" Target="https://www.lincolnshireworld.com/business/shakespeare-martineau-announces-lincoln-promotion-5088004" TargetMode="External"/><Relationship Id="rId14421" Type="http://schemas.openxmlformats.org/officeDocument/2006/relationships/hyperlink" Target="https://sipmagazine.com/hot-spring-sanctuary-lithia-springs-resort/" TargetMode="External"/><Relationship Id="rId350" Type="http://schemas.openxmlformats.org/officeDocument/2006/relationships/hyperlink" Target="http://northernvirginiahomepro.com/" TargetMode="External"/><Relationship Id="rId2031" Type="http://schemas.openxmlformats.org/officeDocument/2006/relationships/hyperlink" Target="https://www.simpleshowing.com/" TargetMode="External"/><Relationship Id="rId5254" Type="http://schemas.openxmlformats.org/officeDocument/2006/relationships/hyperlink" Target="https://www.simpleshowing.com/" TargetMode="External"/><Relationship Id="rId6652" Type="http://schemas.openxmlformats.org/officeDocument/2006/relationships/hyperlink" Target="https://www.simpleshowing.com/" TargetMode="External"/><Relationship Id="rId7703" Type="http://schemas.openxmlformats.org/officeDocument/2006/relationships/hyperlink" Target="https://discoverlakelanier.com/" TargetMode="External"/><Relationship Id="rId15195" Type="http://schemas.openxmlformats.org/officeDocument/2006/relationships/hyperlink" Target="https://interiordesign.net/projects/first-look-tillberg-design-s-largest-luxury-suite-at-sea-for-regent-seven-seas-splendor/" TargetMode="External"/><Relationship Id="rId16246" Type="http://schemas.openxmlformats.org/officeDocument/2006/relationships/hyperlink" Target="https://myinteriorpalace.com/" TargetMode="External"/><Relationship Id="rId6305" Type="http://schemas.openxmlformats.org/officeDocument/2006/relationships/hyperlink" Target="https://www.brooklinecollege.edu/financial-aid/scholarships/" TargetMode="External"/><Relationship Id="rId9875" Type="http://schemas.openxmlformats.org/officeDocument/2006/relationships/hyperlink" Target="https://aspire.usu.edu/research/learning-engagement/" TargetMode="External"/><Relationship Id="rId12856" Type="http://schemas.openxmlformats.org/officeDocument/2006/relationships/hyperlink" Target="https://propertypressonline.co.uk/" TargetMode="External"/><Relationship Id="rId13907" Type="http://schemas.openxmlformats.org/officeDocument/2006/relationships/hyperlink" Target="https://embeltonflooring.com/" TargetMode="External"/><Relationship Id="rId89" Type="http://schemas.openxmlformats.org/officeDocument/2006/relationships/hyperlink" Target="http://thedesigninspiration.com/" TargetMode="External"/><Relationship Id="rId1864" Type="http://schemas.openxmlformats.org/officeDocument/2006/relationships/hyperlink" Target="https://wolfriverelectric.com/" TargetMode="External"/><Relationship Id="rId2915" Type="http://schemas.openxmlformats.org/officeDocument/2006/relationships/hyperlink" Target="https://www.newsbreak.com/bucks-county-courier-times-1590828/4190263719492-dozens-of-new-homes-coming-to-levittown-s-woodbourne-road-what-a-national-builder-plans" TargetMode="External"/><Relationship Id="rId8477" Type="http://schemas.openxmlformats.org/officeDocument/2006/relationships/hyperlink" Target="https://www.pinoyeplans.com/" TargetMode="External"/><Relationship Id="rId9528" Type="http://schemas.openxmlformats.org/officeDocument/2006/relationships/hyperlink" Target="https://www.pinoyeplans.com/" TargetMode="External"/><Relationship Id="rId11458" Type="http://schemas.openxmlformats.org/officeDocument/2006/relationships/hyperlink" Target="https://www.wedmagazine.co.uk/financing-your-dream-wedding.html" TargetMode="External"/><Relationship Id="rId12509" Type="http://schemas.openxmlformats.org/officeDocument/2006/relationships/hyperlink" Target="https://sturents.com/" TargetMode="External"/><Relationship Id="rId1517" Type="http://schemas.openxmlformats.org/officeDocument/2006/relationships/hyperlink" Target="https://3mopen.com/spectators/experience" TargetMode="External"/><Relationship Id="rId7079" Type="http://schemas.openxmlformats.org/officeDocument/2006/relationships/hyperlink" Target="https://www.taylormorrison.com/" TargetMode="External"/><Relationship Id="rId3689" Type="http://schemas.openxmlformats.org/officeDocument/2006/relationships/hyperlink" Target="https://buyersguide.insideselfstorage.com/guides/default.aspx?cat=13734" TargetMode="External"/><Relationship Id="rId7560" Type="http://schemas.openxmlformats.org/officeDocument/2006/relationships/hyperlink" Target="https://www.lmtonline.com/realestate/article/east-austin-homes-19356512.php" TargetMode="External"/><Relationship Id="rId8611" Type="http://schemas.openxmlformats.org/officeDocument/2006/relationships/hyperlink" Target="https://www.thewhig.com/newsfile/235136-buyers-advocate-melbournes-trusted-vendor-advocacy-experts-report-shows-the-importance-of-professional-guidance-amid-falling-house-prices" TargetMode="External"/><Relationship Id="rId6162" Type="http://schemas.openxmlformats.org/officeDocument/2006/relationships/hyperlink" Target="https://www.simpleshowing.com/" TargetMode="External"/><Relationship Id="rId7213" Type="http://schemas.openxmlformats.org/officeDocument/2006/relationships/hyperlink" Target="https://www.taylormorrison.com/" TargetMode="External"/><Relationship Id="rId10541" Type="http://schemas.openxmlformats.org/officeDocument/2006/relationships/hyperlink" Target="https://solidprofessor.com/blog/distance-learning-resources-engineering-teachers/" TargetMode="External"/><Relationship Id="rId9385" Type="http://schemas.openxmlformats.org/officeDocument/2006/relationships/hyperlink" Target="https://www.teachengineering.org/" TargetMode="External"/><Relationship Id="rId13764" Type="http://schemas.openxmlformats.org/officeDocument/2006/relationships/hyperlink" Target="https://seo.goover.ai/report/202504/go-public-report-ko-39339cf5-bc1f-4741-828e-a7983e9bd18c-0-0.html" TargetMode="External"/><Relationship Id="rId14815" Type="http://schemas.openxmlformats.org/officeDocument/2006/relationships/hyperlink" Target="https://myinteriorpalace.com/" TargetMode="External"/><Relationship Id="rId2772" Type="http://schemas.openxmlformats.org/officeDocument/2006/relationships/hyperlink" Target="https://www.simpleshowing.com/" TargetMode="External"/><Relationship Id="rId3823" Type="http://schemas.openxmlformats.org/officeDocument/2006/relationships/hyperlink" Target="https://thecoverguy.com/" TargetMode="External"/><Relationship Id="rId9038" Type="http://schemas.openxmlformats.org/officeDocument/2006/relationships/hyperlink" Target="https://vegassweeps.io/professional-construction-cost-estimation-fast-turnaround-detailed-reports/" TargetMode="External"/><Relationship Id="rId12366" Type="http://schemas.openxmlformats.org/officeDocument/2006/relationships/hyperlink" Target="https://propertypressonline.co.uk/" TargetMode="External"/><Relationship Id="rId13417" Type="http://schemas.openxmlformats.org/officeDocument/2006/relationships/hyperlink" Target="https://myinteriorpalace.com/" TargetMode="External"/><Relationship Id="rId744" Type="http://schemas.openxmlformats.org/officeDocument/2006/relationships/hyperlink" Target="https://www.carolinadesigns.com/" TargetMode="External"/><Relationship Id="rId1374" Type="http://schemas.openxmlformats.org/officeDocument/2006/relationships/hyperlink" Target="https://www.simpleshowing.com/" TargetMode="External"/><Relationship Id="rId2425" Type="http://schemas.openxmlformats.org/officeDocument/2006/relationships/hyperlink" Target="https://www.pulte.com/" TargetMode="External"/><Relationship Id="rId5995" Type="http://schemas.openxmlformats.org/officeDocument/2006/relationships/hyperlink" Target="https://www.punjabnewsexpress.com/business/news/spotting-credit-card-relief-scams-140082.aspx" TargetMode="External"/><Relationship Id="rId12019" Type="http://schemas.openxmlformats.org/officeDocument/2006/relationships/hyperlink" Target="https://www.bobvila.com/" TargetMode="External"/><Relationship Id="rId15589" Type="http://schemas.openxmlformats.org/officeDocument/2006/relationships/hyperlink" Target="https://myinteriorpalace.com/" TargetMode="External"/><Relationship Id="rId80" Type="http://schemas.openxmlformats.org/officeDocument/2006/relationships/hyperlink" Target="http://hayaudio.com/" TargetMode="External"/><Relationship Id="rId1027" Type="http://schemas.openxmlformats.org/officeDocument/2006/relationships/hyperlink" Target="https://www.matrixbasements.com/" TargetMode="External"/><Relationship Id="rId4597" Type="http://schemas.openxmlformats.org/officeDocument/2006/relationships/hyperlink" Target="https://www.simpleshowing.com/" TargetMode="External"/><Relationship Id="rId5648" Type="http://schemas.openxmlformats.org/officeDocument/2006/relationships/hyperlink" Target="https://www.simpleshowing.com/" TargetMode="External"/><Relationship Id="rId3199" Type="http://schemas.openxmlformats.org/officeDocument/2006/relationships/hyperlink" Target="https://www.pulte.com/" TargetMode="External"/><Relationship Id="rId7070" Type="http://schemas.openxmlformats.org/officeDocument/2006/relationships/hyperlink" Target="https://www.taylormorrison.com/" TargetMode="External"/><Relationship Id="rId8121" Type="http://schemas.openxmlformats.org/officeDocument/2006/relationships/hyperlink" Target="https://whiteglovemoving.us/" TargetMode="External"/><Relationship Id="rId10051" Type="http://schemas.openxmlformats.org/officeDocument/2006/relationships/hyperlink" Target="https://www.teachengineering.org/" TargetMode="External"/><Relationship Id="rId11102" Type="http://schemas.openxmlformats.org/officeDocument/2006/relationships/hyperlink" Target="https://www.youngpostclub.com/yp/discover/lifestyle/features/article/3070625/was-t-rex-hunter-or-scavenger-broken-tooth-buried" TargetMode="External"/><Relationship Id="rId12500" Type="http://schemas.openxmlformats.org/officeDocument/2006/relationships/hyperlink" Target="https://sturents.com/" TargetMode="External"/><Relationship Id="rId14672" Type="http://schemas.openxmlformats.org/officeDocument/2006/relationships/hyperlink" Target="https://www.easygaragedoorrepair.com/" TargetMode="External"/><Relationship Id="rId15723" Type="http://schemas.openxmlformats.org/officeDocument/2006/relationships/hyperlink" Target="https://www.lorddecor.com/blog/feature-wall-panels-an-overview-of-styles-and-types" TargetMode="External"/><Relationship Id="rId2282" Type="http://schemas.openxmlformats.org/officeDocument/2006/relationships/hyperlink" Target="https://www.tripinfo.com/shopping/ga" TargetMode="External"/><Relationship Id="rId3680" Type="http://schemas.openxmlformats.org/officeDocument/2006/relationships/hyperlink" Target="https://riverhill.membershiptoolkit.com/" TargetMode="External"/><Relationship Id="rId4731" Type="http://schemas.openxmlformats.org/officeDocument/2006/relationships/hyperlink" Target="https://www.wbng.com/2024/05/27/high-school-seniors-can-now-get-real-estate-license-free-this-state/" TargetMode="External"/><Relationship Id="rId13274" Type="http://schemas.openxmlformats.org/officeDocument/2006/relationships/hyperlink" Target="https://www.pureinvestor.co.uk/" TargetMode="External"/><Relationship Id="rId14325" Type="http://schemas.openxmlformats.org/officeDocument/2006/relationships/hyperlink" Target="https://linkplacement.com/sheet/" TargetMode="External"/><Relationship Id="rId254" Type="http://schemas.openxmlformats.org/officeDocument/2006/relationships/hyperlink" Target="http://thinksaveretire.com/" TargetMode="External"/><Relationship Id="rId3333" Type="http://schemas.openxmlformats.org/officeDocument/2006/relationships/hyperlink" Target="https://www.simpleshowing.com/" TargetMode="External"/><Relationship Id="rId7954" Type="http://schemas.openxmlformats.org/officeDocument/2006/relationships/hyperlink" Target="https://hookagency.com/case-studies/" TargetMode="External"/><Relationship Id="rId10935" Type="http://schemas.openxmlformats.org/officeDocument/2006/relationships/hyperlink" Target="https://www.pinoyeplans.com/" TargetMode="External"/><Relationship Id="rId6556" Type="http://schemas.openxmlformats.org/officeDocument/2006/relationships/hyperlink" Target="https://www.thermasol.com/" TargetMode="External"/><Relationship Id="rId7607" Type="http://schemas.openxmlformats.org/officeDocument/2006/relationships/hyperlink" Target="https://www.taylormorrison.com/" TargetMode="External"/><Relationship Id="rId15099" Type="http://schemas.openxmlformats.org/officeDocument/2006/relationships/hyperlink" Target="https://www.homesandantiques.com/interiors/decorating/guest-bedroom-ideas" TargetMode="External"/><Relationship Id="rId5158" Type="http://schemas.openxmlformats.org/officeDocument/2006/relationships/hyperlink" Target="https://www.simpleshowing.com/" TargetMode="External"/><Relationship Id="rId6209" Type="http://schemas.openxmlformats.org/officeDocument/2006/relationships/hyperlink" Target="https://www.captainbobcat.com/how-to-respond-to-a-debt-settlement-offer/" TargetMode="External"/><Relationship Id="rId9779" Type="http://schemas.openxmlformats.org/officeDocument/2006/relationships/hyperlink" Target="https://www.compadre.org/precollege/static/unit.cfm?sb=13&amp;course=3" TargetMode="External"/><Relationship Id="rId12010" Type="http://schemas.openxmlformats.org/officeDocument/2006/relationships/hyperlink" Target="https://www.bobvila.com/" TargetMode="External"/><Relationship Id="rId15580" Type="http://schemas.openxmlformats.org/officeDocument/2006/relationships/hyperlink" Target="https://myinteriorpalace.com/" TargetMode="External"/><Relationship Id="rId1768" Type="http://schemas.openxmlformats.org/officeDocument/2006/relationships/hyperlink" Target="https://wolfriverelectric.com/" TargetMode="External"/><Relationship Id="rId2819" Type="http://schemas.openxmlformats.org/officeDocument/2006/relationships/hyperlink" Target="https://www.postandcourier.com/beaufort-county/epaper/page-b5/page_e4390093-5db3-525b-be41-92d686bff704.html" TargetMode="External"/><Relationship Id="rId14182" Type="http://schemas.openxmlformats.org/officeDocument/2006/relationships/hyperlink" Target="https://myinteriorpalace.com/" TargetMode="External"/><Relationship Id="rId15233" Type="http://schemas.openxmlformats.org/officeDocument/2006/relationships/hyperlink" Target="https://www.luxdeco.com/" TargetMode="External"/><Relationship Id="rId3190" Type="http://schemas.openxmlformats.org/officeDocument/2006/relationships/hyperlink" Target="https://www.pulte.com/" TargetMode="External"/><Relationship Id="rId4241" Type="http://schemas.openxmlformats.org/officeDocument/2006/relationships/hyperlink" Target="https://www.kapre.com/" TargetMode="External"/><Relationship Id="rId7464" Type="http://schemas.openxmlformats.org/officeDocument/2006/relationships/hyperlink" Target="http://cm.puntagordachamber.com/list/member/esplanade-at-starling-punta-gorda-3191" TargetMode="External"/><Relationship Id="rId8862" Type="http://schemas.openxmlformats.org/officeDocument/2006/relationships/hyperlink" Target="https://www.pinoyeplans.com/" TargetMode="External"/><Relationship Id="rId9913" Type="http://schemas.openxmlformats.org/officeDocument/2006/relationships/hyperlink" Target="https://www.teachengineering.org/" TargetMode="External"/><Relationship Id="rId10792" Type="http://schemas.openxmlformats.org/officeDocument/2006/relationships/hyperlink" Target="https://www.teachengineering.org/" TargetMode="External"/><Relationship Id="rId11843" Type="http://schemas.openxmlformats.org/officeDocument/2006/relationships/hyperlink" Target="https://marketingstockport.co.uk/news/investment-properties-sell-fastest-in-stockport/" TargetMode="External"/><Relationship Id="rId1902" Type="http://schemas.openxmlformats.org/officeDocument/2006/relationships/hyperlink" Target="https://www.simpleshowing.com/" TargetMode="External"/><Relationship Id="rId6066" Type="http://schemas.openxmlformats.org/officeDocument/2006/relationships/hyperlink" Target="https://www.simpleshowing.com/" TargetMode="External"/><Relationship Id="rId7117" Type="http://schemas.openxmlformats.org/officeDocument/2006/relationships/hyperlink" Target="https://www.nar.realtor/magazine/live/5g-smart-masks-emerging-tech-for-real-estate-in-2021" TargetMode="External"/><Relationship Id="rId8515" Type="http://schemas.openxmlformats.org/officeDocument/2006/relationships/hyperlink" Target="https://www.kotplanet.be/members/henriettaadkins/profile/" TargetMode="External"/><Relationship Id="rId10445" Type="http://schemas.openxmlformats.org/officeDocument/2006/relationships/hyperlink" Target="https://onlinelibrary.wiley.com/doi/10.1002/tea.21557?cookieSet=1" TargetMode="External"/><Relationship Id="rId13668" Type="http://schemas.openxmlformats.org/officeDocument/2006/relationships/hyperlink" Target="https://www.artificialgrassliquidators.com/choose-synthetic-grass-landscaping/" TargetMode="External"/><Relationship Id="rId14719" Type="http://schemas.openxmlformats.org/officeDocument/2006/relationships/hyperlink" Target="https://myinteriorpalace.com/" TargetMode="External"/><Relationship Id="rId995" Type="http://schemas.openxmlformats.org/officeDocument/2006/relationships/hyperlink" Target="https://www.grandmagazine.com/2025/06/why-personalized-home-spaces-are-gaining-popularity/" TargetMode="External"/><Relationship Id="rId2676" Type="http://schemas.openxmlformats.org/officeDocument/2006/relationships/hyperlink" Target="https://www.simpleshowing.com/" TargetMode="External"/><Relationship Id="rId3727" Type="http://schemas.openxmlformats.org/officeDocument/2006/relationships/hyperlink" Target="https://www.overheaddoors.com/" TargetMode="External"/><Relationship Id="rId9289" Type="http://schemas.openxmlformats.org/officeDocument/2006/relationships/hyperlink" Target="https://www.teachengineering.org/" TargetMode="External"/><Relationship Id="rId15090" Type="http://schemas.openxmlformats.org/officeDocument/2006/relationships/hyperlink" Target="https://brightside.me/articles/10-furniture-arrangements-to-make-the-most-of-your-small-living-room-797313/" TargetMode="External"/><Relationship Id="rId16141" Type="http://schemas.openxmlformats.org/officeDocument/2006/relationships/hyperlink" Target="https://myinteriorpalace.com/" TargetMode="External"/><Relationship Id="rId648" Type="http://schemas.openxmlformats.org/officeDocument/2006/relationships/hyperlink" Target="https://www.carolinadesigns.com/" TargetMode="External"/><Relationship Id="rId1278" Type="http://schemas.openxmlformats.org/officeDocument/2006/relationships/hyperlink" Target="https://www.simpleshowing.com/" TargetMode="External"/><Relationship Id="rId2329" Type="http://schemas.openxmlformats.org/officeDocument/2006/relationships/hyperlink" Target="https://heatherlandhomes.com/" TargetMode="External"/><Relationship Id="rId5899" Type="http://schemas.openxmlformats.org/officeDocument/2006/relationships/hyperlink" Target="https://wealthylike.com/business/ditching-subscriptions-you-dont-need-recognizing-auditing-setting-limits/" TargetMode="External"/><Relationship Id="rId6200" Type="http://schemas.openxmlformats.org/officeDocument/2006/relationships/hyperlink" Target="https://www.simpleshowing.com/" TargetMode="External"/><Relationship Id="rId9770" Type="http://schemas.openxmlformats.org/officeDocument/2006/relationships/hyperlink" Target="https://asknature.org/resource/biomimicry-natural-designs/" TargetMode="External"/><Relationship Id="rId8372" Type="http://schemas.openxmlformats.org/officeDocument/2006/relationships/hyperlink" Target="https://www.pinoyeplans.com/" TargetMode="External"/><Relationship Id="rId9423" Type="http://schemas.openxmlformats.org/officeDocument/2006/relationships/hyperlink" Target="https://www.pinoyeplans.com/" TargetMode="External"/><Relationship Id="rId12751" Type="http://schemas.openxmlformats.org/officeDocument/2006/relationships/hyperlink" Target="https://propertypressonline.co.uk/" TargetMode="External"/><Relationship Id="rId13802" Type="http://schemas.openxmlformats.org/officeDocument/2006/relationships/hyperlink" Target="https://anationofmoms.com/" TargetMode="External"/><Relationship Id="rId2810" Type="http://schemas.openxmlformats.org/officeDocument/2006/relationships/hyperlink" Target="https://www.construction-physics.com/p/why-are-there-so-few-economies-of" TargetMode="External"/><Relationship Id="rId8025" Type="http://schemas.openxmlformats.org/officeDocument/2006/relationships/hyperlink" Target="https://ecofreek.com/biodegradable/ultimate-guide-to-sustainable-home-repairs-and-fixes/" TargetMode="External"/><Relationship Id="rId11353" Type="http://schemas.openxmlformats.org/officeDocument/2006/relationships/hyperlink" Target="https://porch.com/advice/home-sale-online-tips" TargetMode="External"/><Relationship Id="rId12404" Type="http://schemas.openxmlformats.org/officeDocument/2006/relationships/hyperlink" Target="https://www.yourtribe.com/buildings/southwark/your-tribe-en-suite-classic/" TargetMode="External"/><Relationship Id="rId15974" Type="http://schemas.openxmlformats.org/officeDocument/2006/relationships/hyperlink" Target="https://www.rwdoors.com/" TargetMode="External"/><Relationship Id="rId1412" Type="http://schemas.openxmlformats.org/officeDocument/2006/relationships/hyperlink" Target="https://islandpaints.com/home-decorating-tips/installing-roof-shingles-for-christmas/" TargetMode="External"/><Relationship Id="rId4982" Type="http://schemas.openxmlformats.org/officeDocument/2006/relationships/hyperlink" Target="https://www.simpleshowing.com/" TargetMode="External"/><Relationship Id="rId11006" Type="http://schemas.openxmlformats.org/officeDocument/2006/relationships/hyperlink" Target="http://isaac.exploratorium.edu/~pauld/summer_institute/summer_institute_materials2014.html" TargetMode="External"/><Relationship Id="rId14576" Type="http://schemas.openxmlformats.org/officeDocument/2006/relationships/hyperlink" Target="https://www.easygaragedoorrepair.com/" TargetMode="External"/><Relationship Id="rId15627" Type="http://schemas.openxmlformats.org/officeDocument/2006/relationships/hyperlink" Target="https://www.build-review.com/art-deco-vs-ultra-modern-the-great-james-corden-debate/" TargetMode="External"/><Relationship Id="rId3584" Type="http://schemas.openxmlformats.org/officeDocument/2006/relationships/hyperlink" Target="https://njbiz.com/korman-rockefeller-open-ave-florham-park-slideshow/" TargetMode="External"/><Relationship Id="rId4635" Type="http://schemas.openxmlformats.org/officeDocument/2006/relationships/hyperlink" Target="https://c21northwest.com/blog/can-i-take-real-estate-courses-online/" TargetMode="External"/><Relationship Id="rId13178" Type="http://schemas.openxmlformats.org/officeDocument/2006/relationships/hyperlink" Target="https://www.shma.co.uk/" TargetMode="External"/><Relationship Id="rId14229" Type="http://schemas.openxmlformats.org/officeDocument/2006/relationships/hyperlink" Target="https://www.iredellfreenews.com/lifestyles/2026/11-cultural-insights-you-must-know-before-pursuing-ukrainian-women-for-marriage/" TargetMode="External"/><Relationship Id="rId158" Type="http://schemas.openxmlformats.org/officeDocument/2006/relationships/hyperlink" Target="https://www.eaglevalleynews.com/" TargetMode="External"/><Relationship Id="rId2186" Type="http://schemas.openxmlformats.org/officeDocument/2006/relationships/hyperlink" Target="https://banholiday.simple.weon.website/best-white-dark-hat-linkbuilding-for-your-website-110/" TargetMode="External"/><Relationship Id="rId3237" Type="http://schemas.openxmlformats.org/officeDocument/2006/relationships/hyperlink" Target="https://www.simpleshowing.com/" TargetMode="External"/><Relationship Id="rId7858" Type="http://schemas.openxmlformats.org/officeDocument/2006/relationships/hyperlink" Target="https://www.charitynavigator.org/ein/582007320" TargetMode="External"/><Relationship Id="rId8909" Type="http://schemas.openxmlformats.org/officeDocument/2006/relationships/hyperlink" Target="https://gardenculturemagazine.com/why-everyone-should-celebrate-plant-a-vegetable-garden-day/" TargetMode="External"/><Relationship Id="rId9280" Type="http://schemas.openxmlformats.org/officeDocument/2006/relationships/hyperlink" Target="https://www.teachengineering.org/" TargetMode="External"/><Relationship Id="rId10839" Type="http://schemas.openxmlformats.org/officeDocument/2006/relationships/hyperlink" Target="https://www.pinoyeplans.com/" TargetMode="External"/><Relationship Id="rId12261" Type="http://schemas.openxmlformats.org/officeDocument/2006/relationships/hyperlink" Target="https://propertypressonline.co.uk/" TargetMode="External"/><Relationship Id="rId13312" Type="http://schemas.openxmlformats.org/officeDocument/2006/relationships/hyperlink" Target="https://myinteriorpalace.com/" TargetMode="External"/><Relationship Id="rId14710" Type="http://schemas.openxmlformats.org/officeDocument/2006/relationships/hyperlink" Target="https://myinteriorpalace.com/" TargetMode="External"/><Relationship Id="rId2320" Type="http://schemas.openxmlformats.org/officeDocument/2006/relationships/hyperlink" Target="https://www.collectionforsyth.com/" TargetMode="External"/><Relationship Id="rId4492" Type="http://schemas.openxmlformats.org/officeDocument/2006/relationships/hyperlink" Target="https://www.simpleshowing.com/" TargetMode="External"/><Relationship Id="rId5543" Type="http://schemas.openxmlformats.org/officeDocument/2006/relationships/hyperlink" Target="https://destify.com/blog/staying-debt-smart-expert-advice-on-wedding-financing-pitfalls/" TargetMode="External"/><Relationship Id="rId5890" Type="http://schemas.openxmlformats.org/officeDocument/2006/relationships/hyperlink" Target="https://www.simpleshowing.com/" TargetMode="External"/><Relationship Id="rId6941" Type="http://schemas.openxmlformats.org/officeDocument/2006/relationships/hyperlink" Target="https://www.taylormorrison.com/" TargetMode="External"/><Relationship Id="rId14086" Type="http://schemas.openxmlformats.org/officeDocument/2006/relationships/hyperlink" Target="https://myinteriorpalace.com/" TargetMode="External"/><Relationship Id="rId15484" Type="http://schemas.openxmlformats.org/officeDocument/2006/relationships/hyperlink" Target="https://myinteriorpalace.com/" TargetMode="External"/><Relationship Id="rId3094" Type="http://schemas.openxmlformats.org/officeDocument/2006/relationships/hyperlink" Target="https://www.pulte.com/" TargetMode="External"/><Relationship Id="rId4145" Type="http://schemas.openxmlformats.org/officeDocument/2006/relationships/hyperlink" Target="https://www.buildsubmarines.com/careers/welder-vs-real-estate-agent" TargetMode="External"/><Relationship Id="rId15137" Type="http://schemas.openxmlformats.org/officeDocument/2006/relationships/hyperlink" Target="https://www.luxdeco.com/" TargetMode="External"/><Relationship Id="rId8766" Type="http://schemas.openxmlformats.org/officeDocument/2006/relationships/hyperlink" Target="https://propertychecker.com/" TargetMode="External"/><Relationship Id="rId9817" Type="http://schemas.openxmlformats.org/officeDocument/2006/relationships/hyperlink" Target="https://www.teachengineering.org/" TargetMode="External"/><Relationship Id="rId10696" Type="http://schemas.openxmlformats.org/officeDocument/2006/relationships/hyperlink" Target="https://www.teachengineering.org/" TargetMode="External"/><Relationship Id="rId11747" Type="http://schemas.openxmlformats.org/officeDocument/2006/relationships/hyperlink" Target="https://www.economicsonline.co.uk/all/property-market-proves-robust-despite-pre-budget-slowdown.html/" TargetMode="External"/><Relationship Id="rId1806" Type="http://schemas.openxmlformats.org/officeDocument/2006/relationships/hyperlink" Target="https://www.simpleshowing.com/" TargetMode="External"/><Relationship Id="rId7368" Type="http://schemas.openxmlformats.org/officeDocument/2006/relationships/hyperlink" Target="https://www.taylormorrison.com/" TargetMode="External"/><Relationship Id="rId8419" Type="http://schemas.openxmlformats.org/officeDocument/2006/relationships/hyperlink" Target="https://www.berridge.com/projects/the-sky-residences-at-w-aspen/" TargetMode="External"/><Relationship Id="rId10349" Type="http://schemas.openxmlformats.org/officeDocument/2006/relationships/hyperlink" Target="https://diyhomeschooler.com/camping-unit-study-free/" TargetMode="External"/><Relationship Id="rId14220" Type="http://schemas.openxmlformats.org/officeDocument/2006/relationships/hyperlink" Target="https://taifatips.com/2025/11/sports-betting-casino-insights/" TargetMode="External"/><Relationship Id="rId3978" Type="http://schemas.openxmlformats.org/officeDocument/2006/relationships/hyperlink" Target="https://www.simpleshowing.com/" TargetMode="External"/><Relationship Id="rId8900" Type="http://schemas.openxmlformats.org/officeDocument/2006/relationships/hyperlink" Target="https://www.thecooldown.com/green-home/winter-sowing-seeds-garden-hack/" TargetMode="External"/><Relationship Id="rId899" Type="http://schemas.openxmlformats.org/officeDocument/2006/relationships/hyperlink" Target="https://gvsulakers.com/sports/football/schedule/2025" TargetMode="External"/><Relationship Id="rId6451" Type="http://schemas.openxmlformats.org/officeDocument/2006/relationships/hyperlink" Target="https://www.simpleshowing.com/" TargetMode="External"/><Relationship Id="rId7502" Type="http://schemas.openxmlformats.org/officeDocument/2006/relationships/hyperlink" Target="https://www.taylormorrison.com/" TargetMode="External"/><Relationship Id="rId10830" Type="http://schemas.openxmlformats.org/officeDocument/2006/relationships/hyperlink" Target="https://www.pinoyeplans.com/" TargetMode="External"/><Relationship Id="rId16045" Type="http://schemas.openxmlformats.org/officeDocument/2006/relationships/hyperlink" Target="https://myinteriorpalace.com/" TargetMode="External"/><Relationship Id="rId5053" Type="http://schemas.openxmlformats.org/officeDocument/2006/relationships/hyperlink" Target="https://scnow.com/news/" TargetMode="External"/><Relationship Id="rId6104" Type="http://schemas.openxmlformats.org/officeDocument/2006/relationships/hyperlink" Target="https://www.simpleshowing.com/" TargetMode="External"/><Relationship Id="rId9674" Type="http://schemas.openxmlformats.org/officeDocument/2006/relationships/hyperlink" Target="https://www.cod.edu/academics/academic-opportunities/stem/stemcon/" TargetMode="External"/><Relationship Id="rId8276" Type="http://schemas.openxmlformats.org/officeDocument/2006/relationships/hyperlink" Target="https://www.pinoyeplans.com/" TargetMode="External"/><Relationship Id="rId9327" Type="http://schemas.openxmlformats.org/officeDocument/2006/relationships/hyperlink" Target="https://www.pinoyeplans.com/" TargetMode="External"/><Relationship Id="rId12655" Type="http://schemas.openxmlformats.org/officeDocument/2006/relationships/hyperlink" Target="https://propertypressonline.co.uk/" TargetMode="External"/><Relationship Id="rId13706" Type="http://schemas.openxmlformats.org/officeDocument/2006/relationships/hyperlink" Target="https://anationofmoms.com/" TargetMode="External"/><Relationship Id="rId1663" Type="http://schemas.openxmlformats.org/officeDocument/2006/relationships/hyperlink" Target="https://wolfriverelectric.com/" TargetMode="External"/><Relationship Id="rId2714" Type="http://schemas.openxmlformats.org/officeDocument/2006/relationships/hyperlink" Target="https://downtownroundrocktexas.com/townhome-development-nears-completion-downtown/" TargetMode="External"/><Relationship Id="rId11257" Type="http://schemas.openxmlformats.org/officeDocument/2006/relationships/hyperlink" Target="https://www.waterdamagespecialist.com.au/" TargetMode="External"/><Relationship Id="rId12308" Type="http://schemas.openxmlformats.org/officeDocument/2006/relationships/hyperlink" Target="https://www.londondaily.news/chartered-accountant-shares-5-ways-to-strengthen-your-business-this-year/" TargetMode="External"/><Relationship Id="rId15878" Type="http://schemas.openxmlformats.org/officeDocument/2006/relationships/hyperlink" Target="https://www.modinex.com.au/" TargetMode="External"/><Relationship Id="rId1316" Type="http://schemas.openxmlformats.org/officeDocument/2006/relationships/hyperlink" Target="https://www.skillsyouneed.com/rhubarb/commercial-real-estate.html" TargetMode="External"/><Relationship Id="rId4886" Type="http://schemas.openxmlformats.org/officeDocument/2006/relationships/hyperlink" Target="https://www.simpleshowing.com/" TargetMode="External"/><Relationship Id="rId5937" Type="http://schemas.openxmlformats.org/officeDocument/2006/relationships/hyperlink" Target="https://jobstars.com/how-your-credit-score-impacts-your-job-search/" TargetMode="External"/><Relationship Id="rId22" Type="http://schemas.openxmlformats.org/officeDocument/2006/relationships/hyperlink" Target="https://www.designblendz.com/blog/key-factors-that-affect-the-cost-of-your-3d-rendering-project" TargetMode="External"/><Relationship Id="rId3488" Type="http://schemas.openxmlformats.org/officeDocument/2006/relationships/hyperlink" Target="https://player.fm/series/mission-daily/why-we-need-to-invest-in-the-companies-driving-ai-innovation" TargetMode="External"/><Relationship Id="rId4539" Type="http://schemas.openxmlformats.org/officeDocument/2006/relationships/hyperlink" Target="https://www.fox34.com/2024/05/27/high-school-seniors-can-now-get-real-estate-license-free-this-state/" TargetMode="External"/><Relationship Id="rId8410" Type="http://schemas.openxmlformats.org/officeDocument/2006/relationships/hyperlink" Target="https://network.musicdiffusion.com/read-blog/16569_how-to-remove-mold-safely-and-effectively-at-home.html" TargetMode="External"/><Relationship Id="rId10340" Type="http://schemas.openxmlformats.org/officeDocument/2006/relationships/hyperlink" Target="https://takecareoftexas.org/about-us/blog/illuminating-minds-exploring-wonders-solar-power" TargetMode="External"/><Relationship Id="rId7012" Type="http://schemas.openxmlformats.org/officeDocument/2006/relationships/hyperlink" Target="https://www.simpleshowing.com/" TargetMode="External"/><Relationship Id="rId14961" Type="http://schemas.openxmlformats.org/officeDocument/2006/relationships/hyperlink" Target="https://blog.be.live/10-creative-stream-background-ideas-to-make-your-live-broadcasts-stand-out/" TargetMode="External"/><Relationship Id="rId890" Type="http://schemas.openxmlformats.org/officeDocument/2006/relationships/hyperlink" Target="https://www.austinaptassoc.com/members/absolute-pest-management" TargetMode="External"/><Relationship Id="rId2571" Type="http://schemas.openxmlformats.org/officeDocument/2006/relationships/hyperlink" Target="https://www.simpleshowing.com/" TargetMode="External"/><Relationship Id="rId9184" Type="http://schemas.openxmlformats.org/officeDocument/2006/relationships/hyperlink" Target="https://nycestimating.us/" TargetMode="External"/><Relationship Id="rId12165" Type="http://schemas.openxmlformats.org/officeDocument/2006/relationships/hyperlink" Target="https://www.hamiltoninternationalestates.com/" TargetMode="External"/><Relationship Id="rId13563" Type="http://schemas.openxmlformats.org/officeDocument/2006/relationships/hyperlink" Target="https://www.quirkohub.com/appreciation-at-scale-empowering-hybrid-teams-with-tech/" TargetMode="External"/><Relationship Id="rId14614" Type="http://schemas.openxmlformats.org/officeDocument/2006/relationships/hyperlink" Target="https://myinteriorpalace.com/" TargetMode="External"/><Relationship Id="rId543" Type="http://schemas.openxmlformats.org/officeDocument/2006/relationships/hyperlink" Target="https://www.carolinadesigns.com/" TargetMode="External"/><Relationship Id="rId1173" Type="http://schemas.openxmlformats.org/officeDocument/2006/relationships/hyperlink" Target="https://www.simpleshowing.com/" TargetMode="External"/><Relationship Id="rId2224" Type="http://schemas.openxmlformats.org/officeDocument/2006/relationships/hyperlink" Target="https://cheapplumber.ca/" TargetMode="External"/><Relationship Id="rId3622" Type="http://schemas.openxmlformats.org/officeDocument/2006/relationships/hyperlink" Target="https://www.pulte.com/" TargetMode="External"/><Relationship Id="rId13216" Type="http://schemas.openxmlformats.org/officeDocument/2006/relationships/hyperlink" Target="https://propertypressonline.co.uk/" TargetMode="External"/><Relationship Id="rId5794" Type="http://schemas.openxmlformats.org/officeDocument/2006/relationships/hyperlink" Target="https://www.simpleshowing.com/" TargetMode="External"/><Relationship Id="rId6845" Type="http://schemas.openxmlformats.org/officeDocument/2006/relationships/hyperlink" Target="https://www.cnn.com/markets/stocks/TMHC" TargetMode="External"/><Relationship Id="rId15388" Type="http://schemas.openxmlformats.org/officeDocument/2006/relationships/hyperlink" Target="https://myinteriorpalace.com/" TargetMode="External"/><Relationship Id="rId4049" Type="http://schemas.openxmlformats.org/officeDocument/2006/relationships/hyperlink" Target="https://www.schweser.com/" TargetMode="External"/><Relationship Id="rId4396" Type="http://schemas.openxmlformats.org/officeDocument/2006/relationships/hyperlink" Target="https://www.simpleshowing.com/" TargetMode="External"/><Relationship Id="rId5447" Type="http://schemas.openxmlformats.org/officeDocument/2006/relationships/hyperlink" Target="https://uteach.io/choose-your-niche/niches/finance-coaching" TargetMode="External"/><Relationship Id="rId11998" Type="http://schemas.openxmlformats.org/officeDocument/2006/relationships/hyperlink" Target="https://www.bobvila.com/" TargetMode="External"/><Relationship Id="rId14471" Type="http://schemas.openxmlformats.org/officeDocument/2006/relationships/hyperlink" Target="https://raynordoor.com/" TargetMode="External"/><Relationship Id="rId15522" Type="http://schemas.openxmlformats.org/officeDocument/2006/relationships/hyperlink" Target="https://pressgazette.co.uk/comment-analysis/press-gazette-has-found-9-new-journalism-jobs-today-including-legal-business-and-strategic-risk/" TargetMode="External"/><Relationship Id="rId4530" Type="http://schemas.openxmlformats.org/officeDocument/2006/relationships/hyperlink" Target="https://www.wflx.com/2024/05/27/high-school-seniors-can-now-get-real-estate-license-free-this-state/" TargetMode="External"/><Relationship Id="rId13073" Type="http://schemas.openxmlformats.org/officeDocument/2006/relationships/hyperlink" Target="https://www.shma.co.uk/" TargetMode="External"/><Relationship Id="rId14124" Type="http://schemas.openxmlformats.org/officeDocument/2006/relationships/hyperlink" Target="https://exeleonmagazine.com/the-future-of-backyard-design-5-innovative-trends/" TargetMode="External"/><Relationship Id="rId2081" Type="http://schemas.openxmlformats.org/officeDocument/2006/relationships/hyperlink" Target="https://www.marketingmarine.com/blog/page/3/" TargetMode="External"/><Relationship Id="rId3132" Type="http://schemas.openxmlformats.org/officeDocument/2006/relationships/hyperlink" Target="https://www.simpleshowing.com/" TargetMode="External"/><Relationship Id="rId7753" Type="http://schemas.openxmlformats.org/officeDocument/2006/relationships/hyperlink" Target="https://discoverlakelanier.com/" TargetMode="External"/><Relationship Id="rId6355" Type="http://schemas.openxmlformats.org/officeDocument/2006/relationships/hyperlink" Target="https://pantheonuk.org/the-top-rated-debt-relief-programs/" TargetMode="External"/><Relationship Id="rId7406" Type="http://schemas.openxmlformats.org/officeDocument/2006/relationships/hyperlink" Target="https://www.simpleshowing.com/" TargetMode="External"/><Relationship Id="rId8804" Type="http://schemas.openxmlformats.org/officeDocument/2006/relationships/hyperlink" Target="https://www.benzinga.com/news/legal/25/02/43914251/rebuilding-your-credit-after-a-foreclosure" TargetMode="External"/><Relationship Id="rId10734" Type="http://schemas.openxmlformats.org/officeDocument/2006/relationships/hyperlink" Target="https://www.pinoyeplans.com/" TargetMode="External"/><Relationship Id="rId6008" Type="http://schemas.openxmlformats.org/officeDocument/2006/relationships/hyperlink" Target="https://www.simpleshowing.com/" TargetMode="External"/><Relationship Id="rId13957" Type="http://schemas.openxmlformats.org/officeDocument/2006/relationships/hyperlink" Target="https://myinteriorpalace.com/" TargetMode="External"/><Relationship Id="rId2965" Type="http://schemas.openxmlformats.org/officeDocument/2006/relationships/hyperlink" Target="https://www.pulte.com/" TargetMode="External"/><Relationship Id="rId9578" Type="http://schemas.openxmlformats.org/officeDocument/2006/relationships/hyperlink" Target="https://www.acs.org/education/celebrating-chemistry-editions/2024-ccew/build-a-battery-workshop-explore-electrolytes.html" TargetMode="External"/><Relationship Id="rId12559" Type="http://schemas.openxmlformats.org/officeDocument/2006/relationships/hyperlink" Target="https://propertypressonline.co.uk/" TargetMode="External"/><Relationship Id="rId937" Type="http://schemas.openxmlformats.org/officeDocument/2006/relationships/hyperlink" Target="https://www.matrixbasements.com/" TargetMode="External"/><Relationship Id="rId1567" Type="http://schemas.openxmlformats.org/officeDocument/2006/relationships/hyperlink" Target="https://wolfriverelectric.com/" TargetMode="External"/><Relationship Id="rId2618" Type="http://schemas.openxmlformats.org/officeDocument/2006/relationships/hyperlink" Target="https://www.expressnews.com/business/article/hill-country-guadalupe-river-land-auction-tbotg-21099011.php" TargetMode="External"/><Relationship Id="rId15032" Type="http://schemas.openxmlformats.org/officeDocument/2006/relationships/hyperlink" Target="https://www.luxdeco.com/" TargetMode="External"/><Relationship Id="rId4040" Type="http://schemas.openxmlformats.org/officeDocument/2006/relationships/hyperlink" Target="https://www.paulteitelman.com/case-studies/apple-plumbing/" TargetMode="External"/><Relationship Id="rId8661" Type="http://schemas.openxmlformats.org/officeDocument/2006/relationships/hyperlink" Target="https://perlelectrical.co.nz/" TargetMode="External"/><Relationship Id="rId9712" Type="http://schemas.openxmlformats.org/officeDocument/2006/relationships/hyperlink" Target="https://www.teachengineering.org/" TargetMode="External"/><Relationship Id="rId10591" Type="http://schemas.openxmlformats.org/officeDocument/2006/relationships/hyperlink" Target="https://www.teachengineering.org/" TargetMode="External"/><Relationship Id="rId7263" Type="http://schemas.openxmlformats.org/officeDocument/2006/relationships/hyperlink" Target="https://www.taylormorrison.com/" TargetMode="External"/><Relationship Id="rId8314" Type="http://schemas.openxmlformats.org/officeDocument/2006/relationships/hyperlink" Target="https://www.kyfreepress.com.au/general/how-lighting-can-make-or-break-a-small-bathroom-design/" TargetMode="External"/><Relationship Id="rId10244" Type="http://schemas.openxmlformats.org/officeDocument/2006/relationships/hyperlink" Target="https://www.livinglifeandlearning.com/sea-turtle-stem-activities.html" TargetMode="External"/><Relationship Id="rId11642" Type="http://schemas.openxmlformats.org/officeDocument/2006/relationships/hyperlink" Target="https://www.techloy.com/what-technology-is-making-life-easier-for-landlords/" TargetMode="External"/><Relationship Id="rId1701" Type="http://schemas.openxmlformats.org/officeDocument/2006/relationships/hyperlink" Target="https://www.simpleshowing.com/" TargetMode="External"/><Relationship Id="rId14865" Type="http://schemas.openxmlformats.org/officeDocument/2006/relationships/hyperlink" Target="https://johnnyholland.org/2025/05/is-tap-water-in-australia-safe-for-daily-consumption/" TargetMode="External"/><Relationship Id="rId15916" Type="http://schemas.openxmlformats.org/officeDocument/2006/relationships/hyperlink" Target="https://myinteriorpalace.com/" TargetMode="External"/><Relationship Id="rId3873" Type="http://schemas.openxmlformats.org/officeDocument/2006/relationships/hyperlink" Target="https://www.simpleshowing.com/" TargetMode="External"/><Relationship Id="rId4924" Type="http://schemas.openxmlformats.org/officeDocument/2006/relationships/hyperlink" Target="https://www.simpleshowing.com/" TargetMode="External"/><Relationship Id="rId9088" Type="http://schemas.openxmlformats.org/officeDocument/2006/relationships/hyperlink" Target="https://nycestimating.us/" TargetMode="External"/><Relationship Id="rId13467" Type="http://schemas.openxmlformats.org/officeDocument/2006/relationships/hyperlink" Target="https://www.offthemrkt.com/lifestyle/vacant-homes-and-security-a-comprehensive-guide-for-property-owners" TargetMode="External"/><Relationship Id="rId14518" Type="http://schemas.openxmlformats.org/officeDocument/2006/relationships/hyperlink" Target="https://myinteriorpalace.com/" TargetMode="External"/><Relationship Id="rId447" Type="http://schemas.openxmlformats.org/officeDocument/2006/relationships/hyperlink" Target="https://www.carolinadesigns.com/" TargetMode="External"/><Relationship Id="rId794" Type="http://schemas.openxmlformats.org/officeDocument/2006/relationships/hyperlink" Target="https://www.simpleshowing.com/" TargetMode="External"/><Relationship Id="rId1077" Type="http://schemas.openxmlformats.org/officeDocument/2006/relationships/hyperlink" Target="https://www.simpleshowing.com/" TargetMode="External"/><Relationship Id="rId2128" Type="http://schemas.openxmlformats.org/officeDocument/2006/relationships/hyperlink" Target="https://markspain.com/" TargetMode="External"/><Relationship Id="rId2475" Type="http://schemas.openxmlformats.org/officeDocument/2006/relationships/hyperlink" Target="https://www.simpleshowing.com/" TargetMode="External"/><Relationship Id="rId3526" Type="http://schemas.openxmlformats.org/officeDocument/2006/relationships/hyperlink" Target="https://www.pulte.com/" TargetMode="External"/><Relationship Id="rId12069" Type="http://schemas.openxmlformats.org/officeDocument/2006/relationships/hyperlink" Target="https://www.hamiltoninternationalestates.com/" TargetMode="External"/><Relationship Id="rId5698" Type="http://schemas.openxmlformats.org/officeDocument/2006/relationships/hyperlink" Target="https://www.simpleshowing.com/" TargetMode="External"/><Relationship Id="rId6749" Type="http://schemas.openxmlformats.org/officeDocument/2006/relationships/hyperlink" Target="https://www.dreamhomestudio.com/2023/11/20/custom-builders-milton-georgia/" TargetMode="External"/><Relationship Id="rId12550" Type="http://schemas.openxmlformats.org/officeDocument/2006/relationships/hyperlink" Target="https://propertypressonline.co.uk/" TargetMode="External"/><Relationship Id="rId13601" Type="http://schemas.openxmlformats.org/officeDocument/2006/relationships/hyperlink" Target="https://anationofmoms.com/" TargetMode="External"/><Relationship Id="rId8171" Type="http://schemas.openxmlformats.org/officeDocument/2006/relationships/hyperlink" Target="https://www.pinoyeplans.com/" TargetMode="External"/><Relationship Id="rId9222" Type="http://schemas.openxmlformats.org/officeDocument/2006/relationships/hyperlink" Target="https://www.pinoyeplans.com/" TargetMode="External"/><Relationship Id="rId11152" Type="http://schemas.openxmlformats.org/officeDocument/2006/relationships/hyperlink" Target="https://thefurniturevilla.co.uk/protecting-your-home-furnishings-from-moisture-and-mold/" TargetMode="External"/><Relationship Id="rId12203" Type="http://schemas.openxmlformats.org/officeDocument/2006/relationships/hyperlink" Target="https://www.edwardmartin.com/blogs/information/which-type-of-bathroom-tile-is-easiest-to-clean" TargetMode="External"/><Relationship Id="rId1211" Type="http://schemas.openxmlformats.org/officeDocument/2006/relationships/hyperlink" Target="https://mordictionary.neocities.org/" TargetMode="External"/><Relationship Id="rId4781" Type="http://schemas.openxmlformats.org/officeDocument/2006/relationships/hyperlink" Target="https://www.kapre.com/" TargetMode="External"/><Relationship Id="rId5832" Type="http://schemas.openxmlformats.org/officeDocument/2006/relationships/hyperlink" Target="https://www.simpleshowing.com/" TargetMode="External"/><Relationship Id="rId14375" Type="http://schemas.openxmlformats.org/officeDocument/2006/relationships/hyperlink" Target="https://luxurylifestyle.com/" TargetMode="External"/><Relationship Id="rId15773" Type="http://schemas.openxmlformats.org/officeDocument/2006/relationships/hyperlink" Target="https://www.modinex.com.au/" TargetMode="External"/><Relationship Id="rId3383" Type="http://schemas.openxmlformats.org/officeDocument/2006/relationships/hyperlink" Target="https://www.suburbanlifemagazine.com/article/2352/The-Luxe-Life" TargetMode="External"/><Relationship Id="rId4434" Type="http://schemas.openxmlformats.org/officeDocument/2006/relationships/hyperlink" Target="https://www.wave3.com/2024/05/27/high-school-seniors-can-now-get-real-estate-license-free-this-state/" TargetMode="External"/><Relationship Id="rId14028" Type="http://schemas.openxmlformats.org/officeDocument/2006/relationships/hyperlink" Target="https://nyweeklyinfo.co.uk/blog/revamp-your-backyard/" TargetMode="External"/><Relationship Id="rId15426" Type="http://schemas.openxmlformats.org/officeDocument/2006/relationships/hyperlink" Target="https://elitebusinessmagazine.co.uk/sales-marketing/item/jon-sharpe-advises-on-how-creatives-stay-creative-during-lockdown" TargetMode="External"/><Relationship Id="rId3036" Type="http://schemas.openxmlformats.org/officeDocument/2006/relationships/hyperlink" Target="https://www.simpleshowing.com/" TargetMode="External"/><Relationship Id="rId10985" Type="http://schemas.openxmlformats.org/officeDocument/2006/relationships/hyperlink" Target="https://thejournal.com/articles/2022/06/17/strengthen-your-stem-program-with-these-4-elements-of-entrepreneurship.aspx?s=the_it_230622" TargetMode="External"/><Relationship Id="rId6259" Type="http://schemas.openxmlformats.org/officeDocument/2006/relationships/hyperlink" Target="https://www.csptimes.com/post/onthelist-co-founder-delphine-lefay-shares-her-top-5-tips-on-sustainable-shopping" TargetMode="External"/><Relationship Id="rId7657" Type="http://schemas.openxmlformats.org/officeDocument/2006/relationships/hyperlink" Target="https://www.simpleshowing.com/" TargetMode="External"/><Relationship Id="rId8708" Type="http://schemas.openxmlformats.org/officeDocument/2006/relationships/hyperlink" Target="https://www.pinoyeplans.com/" TargetMode="External"/><Relationship Id="rId10638" Type="http://schemas.openxmlformats.org/officeDocument/2006/relationships/hyperlink" Target="https://www.pinoyeplans.com/" TargetMode="External"/><Relationship Id="rId12060" Type="http://schemas.openxmlformats.org/officeDocument/2006/relationships/hyperlink" Target="https://www.hamiltoninternationalestates.com/" TargetMode="External"/><Relationship Id="rId13111" Type="http://schemas.openxmlformats.org/officeDocument/2006/relationships/hyperlink" Target="https://propertypressonline.co.uk/" TargetMode="External"/><Relationship Id="rId2869" Type="http://schemas.openxmlformats.org/officeDocument/2006/relationships/hyperlink" Target="https://www.pulte.com/" TargetMode="External"/><Relationship Id="rId6740" Type="http://schemas.openxmlformats.org/officeDocument/2006/relationships/hyperlink" Target="https://kingfish.firebaseapp.com/bait-shop-near-dania-beach.html" TargetMode="External"/><Relationship Id="rId15283" Type="http://schemas.openxmlformats.org/officeDocument/2006/relationships/hyperlink" Target="https://myinteriorpalace.com/" TargetMode="External"/><Relationship Id="rId4291" Type="http://schemas.openxmlformats.org/officeDocument/2006/relationships/hyperlink" Target="https://www.simpleshowing.com/" TargetMode="External"/><Relationship Id="rId5342" Type="http://schemas.openxmlformats.org/officeDocument/2006/relationships/hyperlink" Target="https://www.simpleshowing.com/" TargetMode="External"/><Relationship Id="rId9963" Type="http://schemas.openxmlformats.org/officeDocument/2006/relationships/hyperlink" Target="https://www.pinoyeplans.com/" TargetMode="External"/><Relationship Id="rId8565" Type="http://schemas.openxmlformats.org/officeDocument/2006/relationships/hyperlink" Target="https://www.cylind.com/" TargetMode="External"/><Relationship Id="rId9616" Type="http://schemas.openxmlformats.org/officeDocument/2006/relationships/hyperlink" Target="https://www.teachengineering.org/" TargetMode="External"/><Relationship Id="rId11893" Type="http://schemas.openxmlformats.org/officeDocument/2006/relationships/hyperlink" Target="https://www.bobvila.com/" TargetMode="External"/><Relationship Id="rId12944" Type="http://schemas.openxmlformats.org/officeDocument/2006/relationships/hyperlink" Target="https://www.shma.co.uk/" TargetMode="External"/><Relationship Id="rId1952" Type="http://schemas.openxmlformats.org/officeDocument/2006/relationships/hyperlink" Target="https://simplify.jobs/c/Mark-Spain-Real-Estate" TargetMode="External"/><Relationship Id="rId7167" Type="http://schemas.openxmlformats.org/officeDocument/2006/relationships/hyperlink" Target="https://www.thewoodlands.com/2020/07/27/model-homes-now-open-for-tour-by-darling-homes-david-weekley-homebuilders-in-east-shore-in-the-woodlands/" TargetMode="External"/><Relationship Id="rId8218" Type="http://schemas.openxmlformats.org/officeDocument/2006/relationships/hyperlink" Target="https://sholinkportal.microsoftcrmportals.com/blogs/community/blog-post-one/" TargetMode="External"/><Relationship Id="rId10495" Type="http://schemas.openxmlformats.org/officeDocument/2006/relationships/hyperlink" Target="https://www.teachengineering.org/" TargetMode="External"/><Relationship Id="rId11546" Type="http://schemas.openxmlformats.org/officeDocument/2006/relationships/hyperlink" Target="https://www.hamiltoninternationalestates.com/" TargetMode="External"/><Relationship Id="rId1605" Type="http://schemas.openxmlformats.org/officeDocument/2006/relationships/hyperlink" Target="https://www.simpleshowing.com/" TargetMode="External"/><Relationship Id="rId10148" Type="http://schemas.openxmlformats.org/officeDocument/2006/relationships/hyperlink" Target="https://www.marshall.edu/sustainability/gsem/resources/" TargetMode="External"/><Relationship Id="rId14769" Type="http://schemas.openxmlformats.org/officeDocument/2006/relationships/hyperlink" Target="https://trustedhousepainter.com/garage-door-wont-close-fix/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hisdetailedlife.com/post/guest-post-jessica-miles" TargetMode="External"/><Relationship Id="rId21" Type="http://schemas.openxmlformats.org/officeDocument/2006/relationships/hyperlink" Target="https://www.haimolaw.com/the-fall-of-floridas-gay-adoption-ban-guest-post-by-adam-cordover/" TargetMode="External"/><Relationship Id="rId42" Type="http://schemas.openxmlformats.org/officeDocument/2006/relationships/hyperlink" Target="https://www.spectacularspaces.com/blog" TargetMode="External"/><Relationship Id="rId63" Type="http://schemas.openxmlformats.org/officeDocument/2006/relationships/hyperlink" Target="https://www.gagemartin.com/press" TargetMode="External"/><Relationship Id="rId84" Type="http://schemas.openxmlformats.org/officeDocument/2006/relationships/hyperlink" Target="https://carolnewmancronin.com/guest-post-where-books-meet-boats/" TargetMode="External"/><Relationship Id="rId138" Type="http://schemas.openxmlformats.org/officeDocument/2006/relationships/hyperlink" Target="https://thehometrotters.com/7-expert-guest-post-providers-in-florida-for-seo-and-content-solutions/" TargetMode="External"/><Relationship Id="rId159" Type="http://schemas.openxmlformats.org/officeDocument/2006/relationships/hyperlink" Target="https://www.distinctiveinteriorsdesign.com/news" TargetMode="External"/><Relationship Id="rId170" Type="http://schemas.openxmlformats.org/officeDocument/2006/relationships/hyperlink" Target="https://www.thatartsyreadergirl.com/2012/05/the-summer-my-life-began-book-review-author-guest-post/" TargetMode="External"/><Relationship Id="rId191" Type="http://schemas.openxmlformats.org/officeDocument/2006/relationships/hyperlink" Target="https://www.khov.com/blog/" TargetMode="External"/><Relationship Id="rId205" Type="http://schemas.openxmlformats.org/officeDocument/2006/relationships/hyperlink" Target="https://www.aeologic.com/write-for-us/" TargetMode="External"/><Relationship Id="rId107" Type="http://schemas.openxmlformats.org/officeDocument/2006/relationships/hyperlink" Target="https://www.natalianeverko.com/blog/" TargetMode="External"/><Relationship Id="rId11" Type="http://schemas.openxmlformats.org/officeDocument/2006/relationships/hyperlink" Target="https://blog.mrsteam.com/how-to-transform-a-bathroom-into-a-vacation-spot" TargetMode="External"/><Relationship Id="rId32" Type="http://schemas.openxmlformats.org/officeDocument/2006/relationships/hyperlink" Target="https://margaritabravo.com/blog/" TargetMode="External"/><Relationship Id="rId53" Type="http://schemas.openxmlformats.org/officeDocument/2006/relationships/hyperlink" Target="https://www.projectwet.org/blog/guest-post-making-splash-floridas-crystal-springs-preserve" TargetMode="External"/><Relationship Id="rId74" Type="http://schemas.openxmlformats.org/officeDocument/2006/relationships/hyperlink" Target="https://www.exclusivelytodesign.com/blog" TargetMode="External"/><Relationship Id="rId128" Type="http://schemas.openxmlformats.org/officeDocument/2006/relationships/hyperlink" Target="https://www.bontempsinteriors.com/blog" TargetMode="External"/><Relationship Id="rId149" Type="http://schemas.openxmlformats.org/officeDocument/2006/relationships/hyperlink" Target="https://www.roadtripsforfamilies.com/category/guest-post/page/14/" TargetMode="External"/><Relationship Id="rId5" Type="http://schemas.openxmlformats.org/officeDocument/2006/relationships/hyperlink" Target="https://www.designersmk.com/blog/" TargetMode="External"/><Relationship Id="rId95" Type="http://schemas.openxmlformats.org/officeDocument/2006/relationships/hyperlink" Target="https://www.frostscience.org/guest-post-fpl-bringing-power-sun-closer/" TargetMode="External"/><Relationship Id="rId160" Type="http://schemas.openxmlformats.org/officeDocument/2006/relationships/hyperlink" Target="https://gulfshoreinteriordesign.com/gulfshore-interior-design-blog/" TargetMode="External"/><Relationship Id="rId181" Type="http://schemas.openxmlformats.org/officeDocument/2006/relationships/hyperlink" Target="https://ethosroasters.com/blog/tag/guest+post?srsltid=AfmBOorEVdHIPtqaFipkLYKcrABD8J0HXcBQ_4uDXWiusS6TIkxOEoL2" TargetMode="External"/><Relationship Id="rId216" Type="http://schemas.openxmlformats.org/officeDocument/2006/relationships/hyperlink" Target="https://travelita-blog.com/guest-post-tampa-bay-more-than-sea/" TargetMode="External"/><Relationship Id="rId22" Type="http://schemas.openxmlformats.org/officeDocument/2006/relationships/hyperlink" Target="https://goodmenproject.com/everyday-life-2/the-vision-of-itzhak-ezratti-how-purpose-and-principles-built-gl-homes/" TargetMode="External"/><Relationship Id="rId43" Type="http://schemas.openxmlformats.org/officeDocument/2006/relationships/hyperlink" Target="https://www.brew-hound.com/blog/categories/guest-post" TargetMode="External"/><Relationship Id="rId64" Type="http://schemas.openxmlformats.org/officeDocument/2006/relationships/hyperlink" Target="https://kaelynschmidtdesign.com/blog/" TargetMode="External"/><Relationship Id="rId118" Type="http://schemas.openxmlformats.org/officeDocument/2006/relationships/hyperlink" Target="https://godfullyknown.blog/2025/06/18/traveling-gods-road-from-parked-to-published-guest-post/" TargetMode="External"/><Relationship Id="rId139" Type="http://schemas.openxmlformats.org/officeDocument/2006/relationships/hyperlink" Target="https://livswonderfulescape.wordpress.com/2021/05/15/guest-post-by-casie-bazay/" TargetMode="External"/><Relationship Id="rId85" Type="http://schemas.openxmlformats.org/officeDocument/2006/relationships/hyperlink" Target="https://www.als.org/blog/guest-post-als-what-i-have-not-who-i-am" TargetMode="External"/><Relationship Id="rId150" Type="http://schemas.openxmlformats.org/officeDocument/2006/relationships/hyperlink" Target="https://www.theguytravel.com/guest-post-guide-key-west-florida-keys-united-states/" TargetMode="External"/><Relationship Id="rId171" Type="http://schemas.openxmlformats.org/officeDocument/2006/relationships/hyperlink" Target="https://blogs.loc.gov/loc/2011/04/gateway-to-knowledge-guest-post-19/" TargetMode="External"/><Relationship Id="rId192" Type="http://schemas.openxmlformats.org/officeDocument/2006/relationships/hyperlink" Target="https://news.mdcwall.com/" TargetMode="External"/><Relationship Id="rId206" Type="http://schemas.openxmlformats.org/officeDocument/2006/relationships/hyperlink" Target="https://www.netreputation.com/what-is-a-guest-post/" TargetMode="External"/><Relationship Id="rId12" Type="http://schemas.openxmlformats.org/officeDocument/2006/relationships/hyperlink" Target="https://huntingforrubies.com/romantic-getaway-florida-boca-resort/1559.html" TargetMode="External"/><Relationship Id="rId33" Type="http://schemas.openxmlformats.org/officeDocument/2006/relationships/hyperlink" Target="https://dwest.com/articles/" TargetMode="External"/><Relationship Id="rId108" Type="http://schemas.openxmlformats.org/officeDocument/2006/relationships/hyperlink" Target="https://twinteriors.com/blog/" TargetMode="External"/><Relationship Id="rId129" Type="http://schemas.openxmlformats.org/officeDocument/2006/relationships/hyperlink" Target="https://www.miamiluxuryhomes.com/category/luxury-condos/" TargetMode="External"/><Relationship Id="rId54" Type="http://schemas.openxmlformats.org/officeDocument/2006/relationships/hyperlink" Target="https://weekendtimes.com.au/business-news/10553-top-5-providers-of-seo-focused-guest-posts-in-florida-you-can-count-on" TargetMode="External"/><Relationship Id="rId75" Type="http://schemas.openxmlformats.org/officeDocument/2006/relationships/hyperlink" Target="https://nestingplaceinteriors.com/media/" TargetMode="External"/><Relationship Id="rId96" Type="http://schemas.openxmlformats.org/officeDocument/2006/relationships/hyperlink" Target="https://www.heysigmund.com/living-with-anxiety-and-depression/" TargetMode="External"/><Relationship Id="rId140" Type="http://schemas.openxmlformats.org/officeDocument/2006/relationships/hyperlink" Target="https://earlyamericanists.com/2015/12/11/guest-post-what-happens-at-the-southern/" TargetMode="External"/><Relationship Id="rId161" Type="http://schemas.openxmlformats.org/officeDocument/2006/relationships/hyperlink" Target="https://www.beasleyandhenley.com/media/" TargetMode="External"/><Relationship Id="rId182" Type="http://schemas.openxmlformats.org/officeDocument/2006/relationships/hyperlink" Target="https://havebabywilltravel.com/guest-post-orlandos-coco-key-water-park-resort/" TargetMode="External"/><Relationship Id="rId217" Type="http://schemas.openxmlformats.org/officeDocument/2006/relationships/vmlDrawing" Target="../drawings/vmlDrawing2.vml"/><Relationship Id="rId6" Type="http://schemas.openxmlformats.org/officeDocument/2006/relationships/hyperlink" Target="https://camila.decoratingden.com/blog/" TargetMode="External"/><Relationship Id="rId23" Type="http://schemas.openxmlformats.org/officeDocument/2006/relationships/hyperlink" Target="https://www.pamelaharveyinteriors.com/blog" TargetMode="External"/><Relationship Id="rId119" Type="http://schemas.openxmlformats.org/officeDocument/2006/relationships/hyperlink" Target="https://leekofman.com.au/the-writer-laid-bare/guest-post-charles-bane-poet-laureate-florida-learned-writing-poetry/" TargetMode="External"/><Relationship Id="rId44" Type="http://schemas.openxmlformats.org/officeDocument/2006/relationships/hyperlink" Target="https://discoverfortmose.com/2024/06/guest-post-may-our-stories-endure-at-fort-mose-by-george-mckenzie-jr/" TargetMode="External"/><Relationship Id="rId65" Type="http://schemas.openxmlformats.org/officeDocument/2006/relationships/hyperlink" Target="https://www.brittocharette.com/blog/" TargetMode="External"/><Relationship Id="rId86" Type="http://schemas.openxmlformats.org/officeDocument/2006/relationships/hyperlink" Target="https://mineralsmakelife.org/blog/guest-post-reflections-on-the-mining-industry-and-how-it-sustains-so-many-i/" TargetMode="External"/><Relationship Id="rId130" Type="http://schemas.openxmlformats.org/officeDocument/2006/relationships/hyperlink" Target="https://srqinteriordesign.com/blog/" TargetMode="External"/><Relationship Id="rId151" Type="http://schemas.openxmlformats.org/officeDocument/2006/relationships/hyperlink" Target="https://www.everywhereist.com/2010/06/five-weird-ways-to-prepare-for-a-trip-with-a-baby-guest-post/" TargetMode="External"/><Relationship Id="rId172" Type="http://schemas.openxmlformats.org/officeDocument/2006/relationships/hyperlink" Target="https://nanaswhimsies.com/2015/04/23/guest-post-reluctant-traveler-life-is-good/" TargetMode="External"/><Relationship Id="rId193" Type="http://schemas.openxmlformats.org/officeDocument/2006/relationships/hyperlink" Target="https://authoraddisonalbright.com/2025/06/04/guest-post-the-players-encore-audiobook-by-joe-cosentino-guestpost/" TargetMode="External"/><Relationship Id="rId207" Type="http://schemas.openxmlformats.org/officeDocument/2006/relationships/hyperlink" Target="https://thecapitolist.com/guest-post-hurricane-michael-showed-how-we-bend-but-dont-break/" TargetMode="External"/><Relationship Id="rId13" Type="http://schemas.openxmlformats.org/officeDocument/2006/relationships/hyperlink" Target="https://www.truesouthcoastalhomes.com/blog/7-reasons-to-have-your-home-inspected/" TargetMode="External"/><Relationship Id="rId109" Type="http://schemas.openxmlformats.org/officeDocument/2006/relationships/hyperlink" Target="https://traceryinteriors.wordpress.com/" TargetMode="External"/><Relationship Id="rId34" Type="http://schemas.openxmlformats.org/officeDocument/2006/relationships/hyperlink" Target="https://www.jdesigngroup.com/blog/" TargetMode="External"/><Relationship Id="rId55" Type="http://schemas.openxmlformats.org/officeDocument/2006/relationships/hyperlink" Target="https://lastwordonnothing.com/2017/06/07/guest-post-ashes-ashes/" TargetMode="External"/><Relationship Id="rId76" Type="http://schemas.openxmlformats.org/officeDocument/2006/relationships/hyperlink" Target="https://acdis.org/articles/guest-post-notes-south-pole-adventure" TargetMode="External"/><Relationship Id="rId97" Type="http://schemas.openxmlformats.org/officeDocument/2006/relationships/hyperlink" Target="https://firstcoastcardio.com/guest-post-nourish-juice-cafe-juicing-vs-blending/" TargetMode="External"/><Relationship Id="rId120" Type="http://schemas.openxmlformats.org/officeDocument/2006/relationships/hyperlink" Target="https://theprofessorisin.com/pearlsofwisdom/" TargetMode="External"/><Relationship Id="rId141" Type="http://schemas.openxmlformats.org/officeDocument/2006/relationships/hyperlink" Target="https://rebeccacuthbert.com/2023/03/28/writing-with-friends-a-guest-post-by-n-west-moss/" TargetMode="External"/><Relationship Id="rId7" Type="http://schemas.openxmlformats.org/officeDocument/2006/relationships/hyperlink" Target="https://lisagilmoredesign.com/interior-design-trends" TargetMode="External"/><Relationship Id="rId162" Type="http://schemas.openxmlformats.org/officeDocument/2006/relationships/hyperlink" Target="https://www.sarafattori.com/blog" TargetMode="External"/><Relationship Id="rId183" Type="http://schemas.openxmlformats.org/officeDocument/2006/relationships/hyperlink" Target="https://colorsofdesign.com/interior-design-blog/" TargetMode="External"/><Relationship Id="rId218" Type="http://schemas.openxmlformats.org/officeDocument/2006/relationships/comments" Target="../comments2.xml"/><Relationship Id="rId24" Type="http://schemas.openxmlformats.org/officeDocument/2006/relationships/hyperlink" Target="https://www.decorilla.com/online-decorating/" TargetMode="External"/><Relationship Id="rId45" Type="http://schemas.openxmlformats.org/officeDocument/2006/relationships/hyperlink" Target="https://wanderthemap.com/category/guest-post/" TargetMode="External"/><Relationship Id="rId66" Type="http://schemas.openxmlformats.org/officeDocument/2006/relationships/hyperlink" Target="https://byronchandlerinteriors.com/blog/" TargetMode="External"/><Relationship Id="rId87" Type="http://schemas.openxmlformats.org/officeDocument/2006/relationships/hyperlink" Target="https://blogs.ethnos360.org/joel-potter/category/guest-post/" TargetMode="External"/><Relationship Id="rId110" Type="http://schemas.openxmlformats.org/officeDocument/2006/relationships/hyperlink" Target="https://www.acloreinteriors.com/blog" TargetMode="External"/><Relationship Id="rId131" Type="http://schemas.openxmlformats.org/officeDocument/2006/relationships/hyperlink" Target="https://beestudios.design/design-blog" TargetMode="External"/><Relationship Id="rId152" Type="http://schemas.openxmlformats.org/officeDocument/2006/relationships/hyperlink" Target="https://www.newbreedrevenue.com/blog/4-ways-to-find-guest-blogging-opportunities-for-your-business" TargetMode="External"/><Relationship Id="rId173" Type="http://schemas.openxmlformats.org/officeDocument/2006/relationships/hyperlink" Target="https://abigailleighphillips.com/2018/02/02/guest-blogging-connecting-research-to-practice-and-practice-to-research-a-brief-fun-introduction-by-abigail-phillips/" TargetMode="External"/><Relationship Id="rId194" Type="http://schemas.openxmlformats.org/officeDocument/2006/relationships/hyperlink" Target="https://thefloridavillager.com/author/tfv-guestpost/" TargetMode="External"/><Relationship Id="rId208" Type="http://schemas.openxmlformats.org/officeDocument/2006/relationships/hyperlink" Target="https://walkingthroughwonderland.com/guest-post.html" TargetMode="External"/><Relationship Id="rId14" Type="http://schemas.openxmlformats.org/officeDocument/2006/relationships/hyperlink" Target="https://project-sleep.com/my-experience-speaking-at-the-florida-association-of-sleep-technologists-conference-guest-post-by-jessica-davenport/" TargetMode="External"/><Relationship Id="rId30" Type="http://schemas.openxmlformats.org/officeDocument/2006/relationships/hyperlink" Target="https://www.captivahomedesign.com/blog" TargetMode="External"/><Relationship Id="rId35" Type="http://schemas.openxmlformats.org/officeDocument/2006/relationships/hyperlink" Target="https://www.baers.com/blog" TargetMode="External"/><Relationship Id="rId56" Type="http://schemas.openxmlformats.org/officeDocument/2006/relationships/hyperlink" Target="https://www.familylawprotection.com/guest-post-transfer-copyright-ownership-rights/" TargetMode="External"/><Relationship Id="rId77" Type="http://schemas.openxmlformats.org/officeDocument/2006/relationships/hyperlink" Target="https://petersvalley.org/guest-post-angelina-parrino-artist-in-residence/" TargetMode="External"/><Relationship Id="rId100" Type="http://schemas.openxmlformats.org/officeDocument/2006/relationships/hyperlink" Target="https://www.indetailinteriors.com/category/in-detail-says/" TargetMode="External"/><Relationship Id="rId105" Type="http://schemas.openxmlformats.org/officeDocument/2006/relationships/hyperlink" Target="https://www.jntinteriors.com/blog" TargetMode="External"/><Relationship Id="rId126" Type="http://schemas.openxmlformats.org/officeDocument/2006/relationships/hyperlink" Target="https://blog.downloadyouthministry.com/guest-post-tim-wadsworth-1/" TargetMode="External"/><Relationship Id="rId147" Type="http://schemas.openxmlformats.org/officeDocument/2006/relationships/hyperlink" Target="https://confessionsofafitnessinstructor.com/category/guest-post/" TargetMode="External"/><Relationship Id="rId168" Type="http://schemas.openxmlformats.org/officeDocument/2006/relationships/hyperlink" Target="https://mathbabe.org/2016/11/14/guest-post-the-foreclosure-vote/" TargetMode="External"/><Relationship Id="rId8" Type="http://schemas.openxmlformats.org/officeDocument/2006/relationships/hyperlink" Target="https://dkorinteriors.com/dkor-interior-design-blog/" TargetMode="External"/><Relationship Id="rId51" Type="http://schemas.openxmlformats.org/officeDocument/2006/relationships/hyperlink" Target="https://myshingle.com/2019/04/articles/profiles/make-money-mondays-learn-a-new-language-guest-post-by-russell-d-knight/" TargetMode="External"/><Relationship Id="rId72" Type="http://schemas.openxmlformats.org/officeDocument/2006/relationships/hyperlink" Target="https://www.vogueinteriors.com/news/" TargetMode="External"/><Relationship Id="rId93" Type="http://schemas.openxmlformats.org/officeDocument/2006/relationships/hyperlink" Target="https://bethfinke.com/blog/2020/04/18/saturdays-with-seniors-guest-post-by-jane-gallagher/" TargetMode="External"/><Relationship Id="rId98" Type="http://schemas.openxmlformats.org/officeDocument/2006/relationships/hyperlink" Target="https://floatoncounseling.com/relationships/guest-post-alicia-divico-on-relationship-traps/" TargetMode="External"/><Relationship Id="rId121" Type="http://schemas.openxmlformats.org/officeDocument/2006/relationships/hyperlink" Target="https://onestarrynight.com/guest-post-5-tips-to-improve-reader-usability/" TargetMode="External"/><Relationship Id="rId142" Type="http://schemas.openxmlformats.org/officeDocument/2006/relationships/hyperlink" Target="https://www.modernmami.com/guest-posts/mother-of-two-guest-post/" TargetMode="External"/><Relationship Id="rId163" Type="http://schemas.openxmlformats.org/officeDocument/2006/relationships/hyperlink" Target="https://www.abidedesignsinteriors.com/blog" TargetMode="External"/><Relationship Id="rId184" Type="http://schemas.openxmlformats.org/officeDocument/2006/relationships/hyperlink" Target="https://www.domadesign.co/blog" TargetMode="External"/><Relationship Id="rId189" Type="http://schemas.openxmlformats.org/officeDocument/2006/relationships/hyperlink" Target="https://www.studiominteriordesign.net/press-awards/" TargetMode="External"/><Relationship Id="rId219" Type="http://schemas.microsoft.com/office/2017/10/relationships/threadedComment" Target="../threadedComments/threadedComment2.xml"/><Relationship Id="rId3" Type="http://schemas.openxmlformats.org/officeDocument/2006/relationships/hyperlink" Target="https://www.sblonginteriors.com/blog/" TargetMode="External"/><Relationship Id="rId214" Type="http://schemas.openxmlformats.org/officeDocument/2006/relationships/hyperlink" Target="https://www.brandburp.com/guest-blogging-services" TargetMode="External"/><Relationship Id="rId25" Type="http://schemas.openxmlformats.org/officeDocument/2006/relationships/hyperlink" Target="https://collins-dupont.com/blog/" TargetMode="External"/><Relationship Id="rId46" Type="http://schemas.openxmlformats.org/officeDocument/2006/relationships/hyperlink" Target="https://theinsatiabletraveler.com/tag/guest-post/" TargetMode="External"/><Relationship Id="rId67" Type="http://schemas.openxmlformats.org/officeDocument/2006/relationships/hyperlink" Target="https://ds-miami.com/blog/" TargetMode="External"/><Relationship Id="rId116" Type="http://schemas.openxmlformats.org/officeDocument/2006/relationships/hyperlink" Target="https://dailyhodl.com/2026/01/10/23-year-old-allegedly-masterminds-203000-theft-from-womans-fidelity-account-heres-how/" TargetMode="External"/><Relationship Id="rId137" Type="http://schemas.openxmlformats.org/officeDocument/2006/relationships/hyperlink" Target="https://bridgetinteriors.com/resources/" TargetMode="External"/><Relationship Id="rId158" Type="http://schemas.openxmlformats.org/officeDocument/2006/relationships/hyperlink" Target="https://interiorsbythalia.com/blog-design" TargetMode="External"/><Relationship Id="rId20" Type="http://schemas.openxmlformats.org/officeDocument/2006/relationships/hyperlink" Target="https://www.legalfuel.com/law-firm-computer-system-security/" TargetMode="External"/><Relationship Id="rId41" Type="http://schemas.openxmlformats.org/officeDocument/2006/relationships/hyperlink" Target="https://yourdesignpartner.com/blog-page/" TargetMode="External"/><Relationship Id="rId62" Type="http://schemas.openxmlformats.org/officeDocument/2006/relationships/hyperlink" Target="https://www.chanceydesign.com/press-blog" TargetMode="External"/><Relationship Id="rId83" Type="http://schemas.openxmlformats.org/officeDocument/2006/relationships/hyperlink" Target="https://www.localpassportfamily.com/2021/07/guest-post-living-working-in-an-rv.html" TargetMode="External"/><Relationship Id="rId88" Type="http://schemas.openxmlformats.org/officeDocument/2006/relationships/hyperlink" Target="https://www.rosebuilding.com/blog/category/guest-post" TargetMode="External"/><Relationship Id="rId111" Type="http://schemas.openxmlformats.org/officeDocument/2006/relationships/hyperlink" Target="https://www.jlynn-design.com/blog" TargetMode="External"/><Relationship Id="rId132" Type="http://schemas.openxmlformats.org/officeDocument/2006/relationships/hyperlink" Target="https://dewinedesign.com/blog/" TargetMode="External"/><Relationship Id="rId153" Type="http://schemas.openxmlformats.org/officeDocument/2006/relationships/hyperlink" Target="https://kirstythroughthelookingglass.com/2018/06/16/hth-orlando/" TargetMode="External"/><Relationship Id="rId174" Type="http://schemas.openxmlformats.org/officeDocument/2006/relationships/hyperlink" Target="https://www.karenlsargent.com/p/guest-post-1" TargetMode="External"/><Relationship Id="rId179" Type="http://schemas.openxmlformats.org/officeDocument/2006/relationships/hyperlink" Target="https://storeybookreviews.com/2023/10/guest-post-giveaway-her-secret-protector/" TargetMode="External"/><Relationship Id="rId195" Type="http://schemas.openxmlformats.org/officeDocument/2006/relationships/hyperlink" Target="https://www.blackrapid.com/blackrapid-guest-post-by-marc-serota-photographing-hurricane-irma-in-the-florida-keys/" TargetMode="External"/><Relationship Id="rId209" Type="http://schemas.openxmlformats.org/officeDocument/2006/relationships/hyperlink" Target="https://hittingitsolid.com/pages/guest-post" TargetMode="External"/><Relationship Id="rId190" Type="http://schemas.openxmlformats.org/officeDocument/2006/relationships/hyperlink" Target="https://www.benjaminmoore.com/en-us/project-ideas-inspiration/interiors/ceiling-ideas-inspiration" TargetMode="External"/><Relationship Id="rId204" Type="http://schemas.openxmlformats.org/officeDocument/2006/relationships/hyperlink" Target="https://www.tinyhousetinyfootprint.com/blogposts/international-perspective-on-us-travel" TargetMode="External"/><Relationship Id="rId15" Type="http://schemas.openxmlformats.org/officeDocument/2006/relationships/hyperlink" Target="https://www.southfloridainjurylawfirm.com/blog/2015/march/will-florida-s-recent-hit-and-run-ruling-impact-/" TargetMode="External"/><Relationship Id="rId36" Type="http://schemas.openxmlformats.org/officeDocument/2006/relationships/hyperlink" Target="https://lolainteriors.com/blog/" TargetMode="External"/><Relationship Id="rId57" Type="http://schemas.openxmlformats.org/officeDocument/2006/relationships/hyperlink" Target="https://www.bookcritics.org/2010/09/21/guest-post-by-alex-sharp-i-am-so-ready-to-make-the-switch-to-e-galleys/" TargetMode="External"/><Relationship Id="rId106" Type="http://schemas.openxmlformats.org/officeDocument/2006/relationships/hyperlink" Target="https://emilymossdesigns.com/blog" TargetMode="External"/><Relationship Id="rId127" Type="http://schemas.openxmlformats.org/officeDocument/2006/relationships/hyperlink" Target="https://mackmediagroup.com/5-ways-guest-blogging-can-boost-your-websites-visibility-insights-from-an-seo-agency/" TargetMode="External"/><Relationship Id="rId10" Type="http://schemas.openxmlformats.org/officeDocument/2006/relationships/hyperlink" Target="https://collinsandcointeriors.com/blog/" TargetMode="External"/><Relationship Id="rId31" Type="http://schemas.openxmlformats.org/officeDocument/2006/relationships/hyperlink" Target="https://www.studio790.com/blog" TargetMode="External"/><Relationship Id="rId52" Type="http://schemas.openxmlformats.org/officeDocument/2006/relationships/hyperlink" Target="https://www.honeybeesuite.com/guest-post-a-day-in-the-world-around-me/" TargetMode="External"/><Relationship Id="rId73" Type="http://schemas.openxmlformats.org/officeDocument/2006/relationships/hyperlink" Target="https://www.crespodesigngroup.com/tampa-interior-design-press" TargetMode="External"/><Relationship Id="rId78" Type="http://schemas.openxmlformats.org/officeDocument/2006/relationships/hyperlink" Target="https://www.cozen.com/news-resources/publications/2020/guest-post-reverse-engineering-can-get-you-only-so-far-florida-case-dismissed-after-grant-of-daubert-motions" TargetMode="External"/><Relationship Id="rId94" Type="http://schemas.openxmlformats.org/officeDocument/2006/relationships/hyperlink" Target="https://votewater.org/farewell_rick_scott/" TargetMode="External"/><Relationship Id="rId99" Type="http://schemas.openxmlformats.org/officeDocument/2006/relationships/hyperlink" Target="https://decaseconds.com/category/guest-post-2/" TargetMode="External"/><Relationship Id="rId101" Type="http://schemas.openxmlformats.org/officeDocument/2006/relationships/hyperlink" Target="https://shusterdesign.com/blog/" TargetMode="External"/><Relationship Id="rId122" Type="http://schemas.openxmlformats.org/officeDocument/2006/relationships/hyperlink" Target="https://mitadmissions.org/blogs/entry/rowing-at-mit-a-guest-post-by-connor-m-16/" TargetMode="External"/><Relationship Id="rId143" Type="http://schemas.openxmlformats.org/officeDocument/2006/relationships/hyperlink" Target="https://crewtrust.org/tag/guest-post/" TargetMode="External"/><Relationship Id="rId148" Type="http://schemas.openxmlformats.org/officeDocument/2006/relationships/hyperlink" Target="https://seomarketexpert.com/best-guest-posting-services-in-fort-lauderdale-florida/" TargetMode="External"/><Relationship Id="rId164" Type="http://schemas.openxmlformats.org/officeDocument/2006/relationships/hyperlink" Target="https://homefrosting.com/blog/" TargetMode="External"/><Relationship Id="rId169" Type="http://schemas.openxmlformats.org/officeDocument/2006/relationships/hyperlink" Target="https://mdpl.org/news/2021/01/guest-post-from-liverpool-to-miami-beach-a-beatles-legacy-shared/" TargetMode="External"/><Relationship Id="rId185" Type="http://schemas.openxmlformats.org/officeDocument/2006/relationships/hyperlink" Target="https://www.architecturaldigest.com/story/wellness-clubs-that-look-like-nightclubs" TargetMode="External"/><Relationship Id="rId4" Type="http://schemas.openxmlformats.org/officeDocument/2006/relationships/hyperlink" Target="https://meredithmarlow.com/interior-design-articles/" TargetMode="External"/><Relationship Id="rId9" Type="http://schemas.openxmlformats.org/officeDocument/2006/relationships/hyperlink" Target="https://www.interiorsbysteveng.com/blog/" TargetMode="External"/><Relationship Id="rId180" Type="http://schemas.openxmlformats.org/officeDocument/2006/relationships/hyperlink" Target="https://www.orangeseo.net/guest-blogging" TargetMode="External"/><Relationship Id="rId210" Type="http://schemas.openxmlformats.org/officeDocument/2006/relationships/hyperlink" Target="https://www.barnesandnoble.com/blog/james-ponti-guest-post/" TargetMode="External"/><Relationship Id="rId215" Type="http://schemas.openxmlformats.org/officeDocument/2006/relationships/hyperlink" Target="https://www.thedevyroyale.com/p/early-look-2026-c2c-quarterback-rankings" TargetMode="External"/><Relationship Id="rId26" Type="http://schemas.openxmlformats.org/officeDocument/2006/relationships/hyperlink" Target="https://www.gcinteriordesign.com/articles/" TargetMode="External"/><Relationship Id="rId47" Type="http://schemas.openxmlformats.org/officeDocument/2006/relationships/hyperlink" Target="https://katemotaung.com/2020/02/04/aching-for-home-guest-post-by-gina-butz/" TargetMode="External"/><Relationship Id="rId68" Type="http://schemas.openxmlformats.org/officeDocument/2006/relationships/hyperlink" Target="https://www.micamydesign.com/blog" TargetMode="External"/><Relationship Id="rId89" Type="http://schemas.openxmlformats.org/officeDocument/2006/relationships/hyperlink" Target="https://www.droolius.com/2013/07/guest-post-tokyo-tapas-in-oviedo-fl/" TargetMode="External"/><Relationship Id="rId112" Type="http://schemas.openxmlformats.org/officeDocument/2006/relationships/hyperlink" Target="https://www.ninofilm.net/blog/2013/11/08/how-to-pick-your-next-project-guest-post/" TargetMode="External"/><Relationship Id="rId133" Type="http://schemas.openxmlformats.org/officeDocument/2006/relationships/hyperlink" Target="https://www.leahmullerinteriors.com/press" TargetMode="External"/><Relationship Id="rId154" Type="http://schemas.openxmlformats.org/officeDocument/2006/relationships/hyperlink" Target="https://decorativepainterscfl.com/guest-post/" TargetMode="External"/><Relationship Id="rId175" Type="http://schemas.openxmlformats.org/officeDocument/2006/relationships/hyperlink" Target="https://www.nicolepeeler.com/2011/02/guest-post-the-fabulous-sophie-littlefield/" TargetMode="External"/><Relationship Id="rId196" Type="http://schemas.openxmlformats.org/officeDocument/2006/relationships/hyperlink" Target="https://www.thisismysouth.com/tag/guest-post/" TargetMode="External"/><Relationship Id="rId200" Type="http://schemas.openxmlformats.org/officeDocument/2006/relationships/hyperlink" Target="https://www.pmpmg.com/blog/guide-to-guest-blogging-for-lawyers/" TargetMode="External"/><Relationship Id="rId16" Type="http://schemas.openxmlformats.org/officeDocument/2006/relationships/hyperlink" Target="https://sarmlife.com/5-unique-tips-to-maximize-your-guest-blogging-efforts/" TargetMode="External"/><Relationship Id="rId37" Type="http://schemas.openxmlformats.org/officeDocument/2006/relationships/hyperlink" Target="https://www.floridalivingquarters.com/blog/" TargetMode="External"/><Relationship Id="rId58" Type="http://schemas.openxmlformats.org/officeDocument/2006/relationships/hyperlink" Target="http://www.christianleedesign.com/blog" TargetMode="External"/><Relationship Id="rId79" Type="http://schemas.openxmlformats.org/officeDocument/2006/relationships/hyperlink" Target="https://wilsonsociety.org/2021/10/19/guest-post-a-closer-look-at-scrub-jay-habitat/" TargetMode="External"/><Relationship Id="rId102" Type="http://schemas.openxmlformats.org/officeDocument/2006/relationships/hyperlink" Target="https://interiordesignconsult.com/blog/" TargetMode="External"/><Relationship Id="rId123" Type="http://schemas.openxmlformats.org/officeDocument/2006/relationships/hyperlink" Target="https://terryambrose.com/2020/10/lena-gregory-guest-post/" TargetMode="External"/><Relationship Id="rId144" Type="http://schemas.openxmlformats.org/officeDocument/2006/relationships/hyperlink" Target="https://norml.org/blog/2021/03/03/florida-guest-post-theyre-politicians-not-physicians/" TargetMode="External"/><Relationship Id="rId90" Type="http://schemas.openxmlformats.org/officeDocument/2006/relationships/hyperlink" Target="https://www.nodeadguys.com/a-piano-blog/i-am-a-practice-room-a-guest-post-by-dr-dave-deason" TargetMode="External"/><Relationship Id="rId165" Type="http://schemas.openxmlformats.org/officeDocument/2006/relationships/hyperlink" Target="https://www.leoneinteriordesigns.com/blog" TargetMode="External"/><Relationship Id="rId186" Type="http://schemas.openxmlformats.org/officeDocument/2006/relationships/hyperlink" Target="https://coin.decoratingden.com/blog/" TargetMode="External"/><Relationship Id="rId211" Type="http://schemas.openxmlformats.org/officeDocument/2006/relationships/hyperlink" Target="https://growlaw.co/blog/law-firm-marketing-strategy" TargetMode="External"/><Relationship Id="rId27" Type="http://schemas.openxmlformats.org/officeDocument/2006/relationships/hyperlink" Target="https://kristahome.com/designpalmbeach/" TargetMode="External"/><Relationship Id="rId48" Type="http://schemas.openxmlformats.org/officeDocument/2006/relationships/hyperlink" Target="https://www.cos.io/blog/concrete-models-for-educational-data-sharing" TargetMode="External"/><Relationship Id="rId69" Type="http://schemas.openxmlformats.org/officeDocument/2006/relationships/hyperlink" Target="https://www.thedesignstudio.com/blog-interior-design-st-johns-fl/" TargetMode="External"/><Relationship Id="rId113" Type="http://schemas.openxmlformats.org/officeDocument/2006/relationships/hyperlink" Target="https://www.debbimack.com/blog/general/crime-cafe-guest-post-denise-wallace/" TargetMode="External"/><Relationship Id="rId134" Type="http://schemas.openxmlformats.org/officeDocument/2006/relationships/hyperlink" Target="https://www.hshcollective.com/blog" TargetMode="External"/><Relationship Id="rId80" Type="http://schemas.openxmlformats.org/officeDocument/2006/relationships/hyperlink" Target="https://thetrek.co/florida-trail-2026-day-2-will-i-ever-get-out/" TargetMode="External"/><Relationship Id="rId155" Type="http://schemas.openxmlformats.org/officeDocument/2006/relationships/hyperlink" Target="https://helpfulhomemade.com/diy-marc-jacobs-earrings/" TargetMode="External"/><Relationship Id="rId176" Type="http://schemas.openxmlformats.org/officeDocument/2006/relationships/hyperlink" Target="https://www.lexology.com/library/detail.aspx?g=a8bb2822-e1a2-43df-adaa-9df8a192845b" TargetMode="External"/><Relationship Id="rId197" Type="http://schemas.openxmlformats.org/officeDocument/2006/relationships/hyperlink" Target="https://pineapplepressfl.wordpress.com/2011/03/09/guest-post-mount-dora-florida/" TargetMode="External"/><Relationship Id="rId201" Type="http://schemas.openxmlformats.org/officeDocument/2006/relationships/hyperlink" Target="https://newswirejet.com/pr-guest-posting-sites-boost-your-brand-visibility-today/" TargetMode="External"/><Relationship Id="rId17" Type="http://schemas.openxmlformats.org/officeDocument/2006/relationships/hyperlink" Target="https://homeia.com/sponsored-post-examples/" TargetMode="External"/><Relationship Id="rId38" Type="http://schemas.openxmlformats.org/officeDocument/2006/relationships/hyperlink" Target="https://www.sarahzdesigns.com/our-blog/" TargetMode="External"/><Relationship Id="rId59" Type="http://schemas.openxmlformats.org/officeDocument/2006/relationships/hyperlink" Target="https://trademarkinteriordesign.com/blog/" TargetMode="External"/><Relationship Id="rId103" Type="http://schemas.openxmlformats.org/officeDocument/2006/relationships/hyperlink" Target="https://www.smithinteriordesignfl.com/designblog" TargetMode="External"/><Relationship Id="rId124" Type="http://schemas.openxmlformats.org/officeDocument/2006/relationships/hyperlink" Target="https://www.tabbysplace.org/guest-post-sayings/" TargetMode="External"/><Relationship Id="rId70" Type="http://schemas.openxmlformats.org/officeDocument/2006/relationships/hyperlink" Target="https://www.ellenkavanaugh.com/press" TargetMode="External"/><Relationship Id="rId91" Type="http://schemas.openxmlformats.org/officeDocument/2006/relationships/hyperlink" Target="https://www.revivalchiropractic.com/guest-post-local-spotlight-revival-chiropractic/" TargetMode="External"/><Relationship Id="rId145" Type="http://schemas.openxmlformats.org/officeDocument/2006/relationships/hyperlink" Target="https://www.aplu.org/news-and-media/blog/2015/12/07/guest-post-jack-payne-on-why-land-grant-universities-must-lead-on-climate-science/" TargetMode="External"/><Relationship Id="rId166" Type="http://schemas.openxmlformats.org/officeDocument/2006/relationships/hyperlink" Target="https://theartcareerproject.com/blog/" TargetMode="External"/><Relationship Id="rId187" Type="http://schemas.openxmlformats.org/officeDocument/2006/relationships/hyperlink" Target="https://laurenell.com/blog/" TargetMode="External"/><Relationship Id="rId1" Type="http://schemas.openxmlformats.org/officeDocument/2006/relationships/hyperlink" Target="https://nikkilevyinteriors.com/blog/" TargetMode="External"/><Relationship Id="rId212" Type="http://schemas.openxmlformats.org/officeDocument/2006/relationships/hyperlink" Target="https://www.erininthemorning.com/p/many-colorado-trans-youth-stranded" TargetMode="External"/><Relationship Id="rId28" Type="http://schemas.openxmlformats.org/officeDocument/2006/relationships/hyperlink" Target="https://www.idlawshop.com/interior-design-law-blog" TargetMode="External"/><Relationship Id="rId49" Type="http://schemas.openxmlformats.org/officeDocument/2006/relationships/hyperlink" Target="https://www.dandodiary.com/2020/09/articles/corporate-governance/guest-post-corporate-governance-tales-from-virtual-open-door-encounters-part-1/" TargetMode="External"/><Relationship Id="rId114" Type="http://schemas.openxmlformats.org/officeDocument/2006/relationships/hyperlink" Target="https://aliciapollard.com/2020/03/21/the-magic-of-late-winter-part-vi-guest-post-by-hope-henchey/" TargetMode="External"/><Relationship Id="rId60" Type="http://schemas.openxmlformats.org/officeDocument/2006/relationships/hyperlink" Target="https://www.theartisticelements.com/blog/" TargetMode="External"/><Relationship Id="rId81" Type="http://schemas.openxmlformats.org/officeDocument/2006/relationships/hyperlink" Target="https://caamedia.org/blog/2016/10/26/life-imitating-art-imitating-life-guest-post-by-hudson-yang/" TargetMode="External"/><Relationship Id="rId135" Type="http://schemas.openxmlformats.org/officeDocument/2006/relationships/hyperlink" Target="https://elizabetherindesigns.com/blog/" TargetMode="External"/><Relationship Id="rId156" Type="http://schemas.openxmlformats.org/officeDocument/2006/relationships/hyperlink" Target="https://mapleleafmommy.com/tag/guest-post/" TargetMode="External"/><Relationship Id="rId177" Type="http://schemas.openxmlformats.org/officeDocument/2006/relationships/hyperlink" Target="https://laughing-stalk.blogspot.com/2021/03/guest-post-what-my-best-friend-has-done.html" TargetMode="External"/><Relationship Id="rId198" Type="http://schemas.openxmlformats.org/officeDocument/2006/relationships/hyperlink" Target="https://patentlyo.com/patent/2015/06/florida-program-success.html" TargetMode="External"/><Relationship Id="rId202" Type="http://schemas.openxmlformats.org/officeDocument/2006/relationships/hyperlink" Target="https://oneims.com/blog/still-accept-guest-posts-website" TargetMode="External"/><Relationship Id="rId18" Type="http://schemas.openxmlformats.org/officeDocument/2006/relationships/hyperlink" Target="https://wppopupmaker.com/write-guest-post/" TargetMode="External"/><Relationship Id="rId39" Type="http://schemas.openxmlformats.org/officeDocument/2006/relationships/hyperlink" Target="https://www.studioidc.com/blog" TargetMode="External"/><Relationship Id="rId50" Type="http://schemas.openxmlformats.org/officeDocument/2006/relationships/hyperlink" Target="https://www.floridasmart.com/why-guest-posts-generic-social-media-are-dead-and-what-florida-businesses-should-do-instead" TargetMode="External"/><Relationship Id="rId104" Type="http://schemas.openxmlformats.org/officeDocument/2006/relationships/hyperlink" Target="https://orangemooninteriors.com/blog/" TargetMode="External"/><Relationship Id="rId125" Type="http://schemas.openxmlformats.org/officeDocument/2006/relationships/hyperlink" Target="https://qrper.com/2024/07/guest-post-combining-pota-with-an-fbla-national-competition-road-trip/" TargetMode="External"/><Relationship Id="rId146" Type="http://schemas.openxmlformats.org/officeDocument/2006/relationships/hyperlink" Target="https://www.bogleheads.org/blog/tag/guest-post/" TargetMode="External"/><Relationship Id="rId167" Type="http://schemas.openxmlformats.org/officeDocument/2006/relationships/hyperlink" Target="https://www.mralextate.com/blog" TargetMode="External"/><Relationship Id="rId188" Type="http://schemas.openxmlformats.org/officeDocument/2006/relationships/hyperlink" Target="https://blog.kravet.com/" TargetMode="External"/><Relationship Id="rId71" Type="http://schemas.openxmlformats.org/officeDocument/2006/relationships/hyperlink" Target="https://www.chinottohouse.com/press" TargetMode="External"/><Relationship Id="rId92" Type="http://schemas.openxmlformats.org/officeDocument/2006/relationships/hyperlink" Target="https://kristenwynnphotography.com/2012/05/guest-post-for-kristen-wynn-photography-amy-and-mike-married-in-harmony-florida.html" TargetMode="External"/><Relationship Id="rId213" Type="http://schemas.openxmlformats.org/officeDocument/2006/relationships/hyperlink" Target="https://news.outsourceaccelerator.com/u-s-states-aca-subsidies/" TargetMode="External"/><Relationship Id="rId2" Type="http://schemas.openxmlformats.org/officeDocument/2006/relationships/hyperlink" Target="https://www.francescamorganinteriors.com/blog" TargetMode="External"/><Relationship Id="rId29" Type="http://schemas.openxmlformats.org/officeDocument/2006/relationships/hyperlink" Target="https://splendidhomedesign.com/" TargetMode="External"/><Relationship Id="rId40" Type="http://schemas.openxmlformats.org/officeDocument/2006/relationships/hyperlink" Target="https://www.2idinteriors.com/blog" TargetMode="External"/><Relationship Id="rId115" Type="http://schemas.openxmlformats.org/officeDocument/2006/relationships/hyperlink" Target="https://www.kitchenbutterfly.com/2013/guest-post-on-meyer-lemons-the-joys-and-sorrows/" TargetMode="External"/><Relationship Id="rId136" Type="http://schemas.openxmlformats.org/officeDocument/2006/relationships/hyperlink" Target="https://www.paladinorudd.com/paladino-rudd-interior-design-recent-blog-articles/" TargetMode="External"/><Relationship Id="rId157" Type="http://schemas.openxmlformats.org/officeDocument/2006/relationships/hyperlink" Target="https://schultedesign.com/blog/" TargetMode="External"/><Relationship Id="rId178" Type="http://schemas.openxmlformats.org/officeDocument/2006/relationships/hyperlink" Target="https://www.suredividend.com/non-ai-dividend-stocks/" TargetMode="External"/><Relationship Id="rId61" Type="http://schemas.openxmlformats.org/officeDocument/2006/relationships/hyperlink" Target="https://avanzatodesign.com/blog" TargetMode="External"/><Relationship Id="rId82" Type="http://schemas.openxmlformats.org/officeDocument/2006/relationships/hyperlink" Target="https://jimmcdonaldcool.com/blog/tag/guest-post" TargetMode="External"/><Relationship Id="rId199" Type="http://schemas.openxmlformats.org/officeDocument/2006/relationships/hyperlink" Target="https://blog.thelodgeguys.com/florida-travel-day-girl-up-north-guest-post-manchester-to-orlando-international-airport-flying-with-virgin-atlantic/" TargetMode="External"/><Relationship Id="rId203" Type="http://schemas.openxmlformats.org/officeDocument/2006/relationships/hyperlink" Target="https://cyclingindustry.news/cannondale-founder-joe-montgomery-passes-away/" TargetMode="External"/><Relationship Id="rId19" Type="http://schemas.openxmlformats.org/officeDocument/2006/relationships/hyperlink" Target="https://speedingticketkc.com/do-i-need-to-have-a-front-license-plate-in-florida-guest-post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nitedwayaustin.org/education-live-united-film-series-guest-post-by-jason-sabo-united-ways-of-texas/" TargetMode="External"/><Relationship Id="rId3" Type="http://schemas.openxmlformats.org/officeDocument/2006/relationships/hyperlink" Target="https://equalitytexas.org/blog/guest-post-why-black-lives-should-matter-to-you/" TargetMode="External"/><Relationship Id="rId7" Type="http://schemas.openxmlformats.org/officeDocument/2006/relationships/hyperlink" Target="https://laurenflake.com/a-legacy-of-depression-guest-post-at-chronically-whole/" TargetMode="External"/><Relationship Id="rId2" Type="http://schemas.openxmlformats.org/officeDocument/2006/relationships/hyperlink" Target="https://twotravelingtexans.com/texas-trippin-guest-post/" TargetMode="External"/><Relationship Id="rId1" Type="http://schemas.openxmlformats.org/officeDocument/2006/relationships/hyperlink" Target="https://speedingticketkc.com/5-road-safety-tips-in-the-state-of-texas-guest-post/" TargetMode="External"/><Relationship Id="rId6" Type="http://schemas.openxmlformats.org/officeDocument/2006/relationships/hyperlink" Target="https://blog.texasbar.com/2010/10/articles/people/guest-post-dell-inc-gc-shares-pro-bono-story/" TargetMode="External"/><Relationship Id="rId11" Type="http://schemas.openxmlformats.org/officeDocument/2006/relationships/hyperlink" Target="https://dentalprofessionalsonline.com/blog/write-for-us-dental-guest-blogging-opportunities/" TargetMode="External"/><Relationship Id="rId5" Type="http://schemas.openxmlformats.org/officeDocument/2006/relationships/hyperlink" Target="https://writersleague.org/community-member-guest-post-the-writers-workshop/" TargetMode="External"/><Relationship Id="rId10" Type="http://schemas.openxmlformats.org/officeDocument/2006/relationships/hyperlink" Target="https://pdwise.com/stories/a-letter-to-my-newly-diagnosed-self-guest-post-for-the-davis-phinney-foundation-for-parkinsons/" TargetMode="External"/><Relationship Id="rId4" Type="http://schemas.openxmlformats.org/officeDocument/2006/relationships/hyperlink" Target="https://www.digitalsuccess.us/guest-blogging.html" TargetMode="External"/><Relationship Id="rId9" Type="http://schemas.openxmlformats.org/officeDocument/2006/relationships/hyperlink" Target="https://www.allwaterguides.com/blog/2017/11/1/texas-on-the-fly-day-4-of-4-guest-post-by-tony-wheeler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cabovillavegasdave.com/" TargetMode="External"/><Relationship Id="rId299" Type="http://schemas.openxmlformats.org/officeDocument/2006/relationships/hyperlink" Target="http://raynor.com/" TargetMode="External"/><Relationship Id="rId21" Type="http://schemas.openxmlformats.org/officeDocument/2006/relationships/hyperlink" Target="https://www.brainzmagazine.com/post/exclusive-interview-with-rosalind-panda-on-her-business-and-what-nft-friendly-really-means" TargetMode="External"/><Relationship Id="rId63" Type="http://schemas.openxmlformats.org/officeDocument/2006/relationships/hyperlink" Target="https://homerocketrealty.com/smart-tactics-to-sell-a-luxury-condo-fast-without-undervaluing-it/" TargetMode="External"/><Relationship Id="rId159" Type="http://schemas.openxmlformats.org/officeDocument/2006/relationships/hyperlink" Target="http://cabovillavegasdave.com/" TargetMode="External"/><Relationship Id="rId324" Type="http://schemas.openxmlformats.org/officeDocument/2006/relationships/hyperlink" Target="https://hotianwindows.com/de/best-garage-door-manufacturers/" TargetMode="External"/><Relationship Id="rId366" Type="http://schemas.openxmlformats.org/officeDocument/2006/relationships/hyperlink" Target="https://clay.earth/profile/brittany-shannon" TargetMode="External"/><Relationship Id="rId170" Type="http://schemas.openxmlformats.org/officeDocument/2006/relationships/hyperlink" Target="https://exploringthenorth.com/cabo-villa-areas/" TargetMode="External"/><Relationship Id="rId226" Type="http://schemas.openxmlformats.org/officeDocument/2006/relationships/hyperlink" Target="https://www.tsishipping.com/resource-center/employee-relocation/what-is-relocation-package" TargetMode="External"/><Relationship Id="rId433" Type="http://schemas.openxmlformats.org/officeDocument/2006/relationships/hyperlink" Target="http://tuscanaproperties.com/" TargetMode="External"/><Relationship Id="rId268" Type="http://schemas.openxmlformats.org/officeDocument/2006/relationships/hyperlink" Target="http://raynor.com/" TargetMode="External"/><Relationship Id="rId32" Type="http://schemas.openxmlformats.org/officeDocument/2006/relationships/hyperlink" Target="https://benitolink.com/san-juan-oaks-senior-home-development-back-on-track/" TargetMode="External"/><Relationship Id="rId74" Type="http://schemas.openxmlformats.org/officeDocument/2006/relationships/hyperlink" Target="https://saterdesign.com/blogs/news/top-8-home-decor-ideas-that-will-refresh-your-old-living-room" TargetMode="External"/><Relationship Id="rId128" Type="http://schemas.openxmlformats.org/officeDocument/2006/relationships/hyperlink" Target="https://travelingted.com/2012/07/26/puebla-mexico-talavera-workshop-tour-and-the-stairway-to-heaven/" TargetMode="External"/><Relationship Id="rId335" Type="http://schemas.openxmlformats.org/officeDocument/2006/relationships/hyperlink" Target="http://raynor.com/" TargetMode="External"/><Relationship Id="rId377" Type="http://schemas.openxmlformats.org/officeDocument/2006/relationships/hyperlink" Target="http://raynor.com/" TargetMode="External"/><Relationship Id="rId5" Type="http://schemas.openxmlformats.org/officeDocument/2006/relationships/hyperlink" Target="https://alltimedesign.com/newsletter-design-ideas/" TargetMode="External"/><Relationship Id="rId181" Type="http://schemas.openxmlformats.org/officeDocument/2006/relationships/hyperlink" Target="http://allied.com/" TargetMode="External"/><Relationship Id="rId237" Type="http://schemas.openxmlformats.org/officeDocument/2006/relationships/hyperlink" Target="http://erdmannexteriors.com/" TargetMode="External"/><Relationship Id="rId402" Type="http://schemas.openxmlformats.org/officeDocument/2006/relationships/hyperlink" Target="https://bubba.ai/trucking-companies/illinois/dixon/raynor-express-corp-471976" TargetMode="External"/><Relationship Id="rId279" Type="http://schemas.openxmlformats.org/officeDocument/2006/relationships/hyperlink" Target="https://www.networx.com/article/chain-drive-openers" TargetMode="External"/><Relationship Id="rId43" Type="http://schemas.openxmlformats.org/officeDocument/2006/relationships/hyperlink" Target="https://www.mihomes.com/blog/best-home-builders" TargetMode="External"/><Relationship Id="rId139" Type="http://schemas.openxmlformats.org/officeDocument/2006/relationships/hyperlink" Target="http://cabovillavegasdave.com/" TargetMode="External"/><Relationship Id="rId290" Type="http://schemas.openxmlformats.org/officeDocument/2006/relationships/hyperlink" Target="https://mosbybuildingarts.com/exterior-remodeling/garages-garage-doors/" TargetMode="External"/><Relationship Id="rId304" Type="http://schemas.openxmlformats.org/officeDocument/2006/relationships/hyperlink" Target="https://www.rhinobldg.com/blog/does-rhino-provide-the-doors-and-windows-for-its-steel-buildings" TargetMode="External"/><Relationship Id="rId346" Type="http://schemas.openxmlformats.org/officeDocument/2006/relationships/hyperlink" Target="https://www.dandb.com/businessdirectory/libbysexpertdoorinstallation-millmont-pa-12767038.html" TargetMode="External"/><Relationship Id="rId388" Type="http://schemas.openxmlformats.org/officeDocument/2006/relationships/hyperlink" Target="https://www.datainsightsmarket.com/reports/residential-garage-door-parts-accessories-1512184" TargetMode="External"/><Relationship Id="rId85" Type="http://schemas.openxmlformats.org/officeDocument/2006/relationships/hyperlink" Target="https://www.condoblackbook.com/blog/buying-a-miami-condo-for-daily-rental-or-short-term-vacation-rental-read-this/" TargetMode="External"/><Relationship Id="rId150" Type="http://schemas.openxmlformats.org/officeDocument/2006/relationships/hyperlink" Target="https://propertycostarica.co.uk/costa-rica-vs-cabo-for-bachelors-party-which-spot-should-you-choose/" TargetMode="External"/><Relationship Id="rId192" Type="http://schemas.openxmlformats.org/officeDocument/2006/relationships/hyperlink" Target="https://www.firstbankrichmond.com/mortgage-articles/choosing-a-neighborhood-to-raise-a-family" TargetMode="External"/><Relationship Id="rId206" Type="http://schemas.openxmlformats.org/officeDocument/2006/relationships/hyperlink" Target="https://www.prettyopinionated.com/2024/02/full-service-vs-partial-service-customized-relocation-professionals/" TargetMode="External"/><Relationship Id="rId413" Type="http://schemas.openxmlformats.org/officeDocument/2006/relationships/hyperlink" Target="http://tripalink.com/" TargetMode="External"/><Relationship Id="rId248" Type="http://schemas.openxmlformats.org/officeDocument/2006/relationships/hyperlink" Target="https://realtylink.org/en/house~for-sale~sandy-cove-west-vancouver/263020652" TargetMode="External"/><Relationship Id="rId12" Type="http://schemas.openxmlformats.org/officeDocument/2006/relationships/hyperlink" Target="https://www.lowimpact.org/posts/category/utilities/page/5/" TargetMode="External"/><Relationship Id="rId108" Type="http://schemas.openxmlformats.org/officeDocument/2006/relationships/hyperlink" Target="https://growingupbilingual.com/day-of-the-dead-in-mexico-city-the-best-events-parades-and-festivals-in-2024/" TargetMode="External"/><Relationship Id="rId315" Type="http://schemas.openxmlformats.org/officeDocument/2006/relationships/hyperlink" Target="http://raynor.com/" TargetMode="External"/><Relationship Id="rId357" Type="http://schemas.openxmlformats.org/officeDocument/2006/relationships/hyperlink" Target="http://raynor.com/" TargetMode="External"/><Relationship Id="rId54" Type="http://schemas.openxmlformats.org/officeDocument/2006/relationships/hyperlink" Target="https://eastsidefeed.com/real-estate/rent-stabilized-apartments-planned-at-new-third-avenue-development/" TargetMode="External"/><Relationship Id="rId96" Type="http://schemas.openxmlformats.org/officeDocument/2006/relationships/hyperlink" Target="https://www.caribbeannationalweekly.com/lifestyle/top-10-florida-cities-for-fine-dining-this-christmas/" TargetMode="External"/><Relationship Id="rId161" Type="http://schemas.openxmlformats.org/officeDocument/2006/relationships/hyperlink" Target="http://cabovillavegasdave.com/" TargetMode="External"/><Relationship Id="rId217" Type="http://schemas.openxmlformats.org/officeDocument/2006/relationships/hyperlink" Target="http://allied.com/" TargetMode="External"/><Relationship Id="rId399" Type="http://schemas.openxmlformats.org/officeDocument/2006/relationships/hyperlink" Target="http://raynor.com/" TargetMode="External"/><Relationship Id="rId259" Type="http://schemas.openxmlformats.org/officeDocument/2006/relationships/hyperlink" Target="https://businessofhome.com/articles/a-new-design-shop-opens-in-charleston-maharam-unveils-a-multibrand-showroom-in-chicago-and-more" TargetMode="External"/><Relationship Id="rId424" Type="http://schemas.openxmlformats.org/officeDocument/2006/relationships/hyperlink" Target="https://www.successconsciousness.com/blog/tips-for-life/stay-calm-and-productive-for-a-big-long-distance-move/" TargetMode="External"/><Relationship Id="rId23" Type="http://schemas.openxmlformats.org/officeDocument/2006/relationships/hyperlink" Target="https://archinect.com/news/article/5646/the-house-that-built-a-revolution" TargetMode="External"/><Relationship Id="rId119" Type="http://schemas.openxmlformats.org/officeDocument/2006/relationships/hyperlink" Target="http://cabovillavegasdave.com/" TargetMode="External"/><Relationship Id="rId270" Type="http://schemas.openxmlformats.org/officeDocument/2006/relationships/hyperlink" Target="http://raynor.com/" TargetMode="External"/><Relationship Id="rId326" Type="http://schemas.openxmlformats.org/officeDocument/2006/relationships/hyperlink" Target="https://garageforce.com/2021/12/11/garage-flooring-coating-vs-epoxy-garage-floor-coating-which-is-best/" TargetMode="External"/><Relationship Id="rId65" Type="http://schemas.openxmlformats.org/officeDocument/2006/relationships/hyperlink" Target="https://location.com/categories/real-estate/ca/walnut-creek/en/john-buys-bay-area-houses-557237412" TargetMode="External"/><Relationship Id="rId130" Type="http://schemas.openxmlformats.org/officeDocument/2006/relationships/hyperlink" Target="https://beerconnoisseur.com/articles/study-shows-u-s-airports-with-the-best-operational-performance-across-multiple-metrics/" TargetMode="External"/><Relationship Id="rId368" Type="http://schemas.openxmlformats.org/officeDocument/2006/relationships/hyperlink" Target="https://www.apsense.com/user/raynorgaragedoors" TargetMode="External"/><Relationship Id="rId172" Type="http://schemas.openxmlformats.org/officeDocument/2006/relationships/hyperlink" Target="https://realpropertymanagementcolorado.com/calculating-rent-for-your-aurora-rental/" TargetMode="External"/><Relationship Id="rId228" Type="http://schemas.openxmlformats.org/officeDocument/2006/relationships/hyperlink" Target="https://muddyrivernews.com/politics/illinois-politics/illinois-leads-u-s-for-people-moving-out-of-state-report-marks-eighth-straight-year-of-decline/20220321104320/" TargetMode="External"/><Relationship Id="rId435" Type="http://schemas.openxmlformats.org/officeDocument/2006/relationships/hyperlink" Target="http://diyhomecomfort.com/" TargetMode="External"/><Relationship Id="rId281" Type="http://schemas.openxmlformats.org/officeDocument/2006/relationships/hyperlink" Target="https://creativedoor.com/about-us/suppliers" TargetMode="External"/><Relationship Id="rId337" Type="http://schemas.openxmlformats.org/officeDocument/2006/relationships/hyperlink" Target="http://raynor.com/" TargetMode="External"/><Relationship Id="rId34" Type="http://schemas.openxmlformats.org/officeDocument/2006/relationships/hyperlink" Target="https://www.renterswarehouse.com/education/how-does-build-to-rent-work" TargetMode="External"/><Relationship Id="rId76" Type="http://schemas.openxmlformats.org/officeDocument/2006/relationships/hyperlink" Target="https://www.bnbcalc.com/blog/property-management/pmc-santa-monica-california" TargetMode="External"/><Relationship Id="rId141" Type="http://schemas.openxmlformats.org/officeDocument/2006/relationships/hyperlink" Target="http://cabovillavegasdave.com/" TargetMode="External"/><Relationship Id="rId379" Type="http://schemas.openxmlformats.org/officeDocument/2006/relationships/hyperlink" Target="http://raynor.com/" TargetMode="External"/><Relationship Id="rId7" Type="http://schemas.openxmlformats.org/officeDocument/2006/relationships/hyperlink" Target="https://austin.com/austin-homes-primed-to-sell/" TargetMode="External"/><Relationship Id="rId183" Type="http://schemas.openxmlformats.org/officeDocument/2006/relationships/hyperlink" Target="http://allied.com/" TargetMode="External"/><Relationship Id="rId239" Type="http://schemas.openxmlformats.org/officeDocument/2006/relationships/hyperlink" Target="http://erdmannexteriors.com/" TargetMode="External"/><Relationship Id="rId390" Type="http://schemas.openxmlformats.org/officeDocument/2006/relationships/hyperlink" Target="https://appledoor.com/blog/glass-garage-doors/" TargetMode="External"/><Relationship Id="rId404" Type="http://schemas.openxmlformats.org/officeDocument/2006/relationships/hyperlink" Target="https://www.idcrawl.com/mary-whelan" TargetMode="External"/><Relationship Id="rId250" Type="http://schemas.openxmlformats.org/officeDocument/2006/relationships/hyperlink" Target="https://www.appsruntheworld.com/customers-database/customers/view/orca-realty-canada" TargetMode="External"/><Relationship Id="rId292" Type="http://schemas.openxmlformats.org/officeDocument/2006/relationships/hyperlink" Target="https://hollywoodcrawford.com/residential-garage-doors/design-center/" TargetMode="External"/><Relationship Id="rId306" Type="http://schemas.openxmlformats.org/officeDocument/2006/relationships/hyperlink" Target="https://www.abettergaragedoorinc.com/garage-doors/resources/six-undesirable-consequences-of-a-poor-garage-door-installation" TargetMode="External"/><Relationship Id="rId45" Type="http://schemas.openxmlformats.org/officeDocument/2006/relationships/hyperlink" Target="https://www.timescall.com/2024/08/30/century-communities-now-selling-at-farmlore-in-brighton/" TargetMode="External"/><Relationship Id="rId87" Type="http://schemas.openxmlformats.org/officeDocument/2006/relationships/hyperlink" Target="https://www.physio-network.com/blog/kinesio-tape-negatives/" TargetMode="External"/><Relationship Id="rId110" Type="http://schemas.openxmlformats.org/officeDocument/2006/relationships/hyperlink" Target="https://wanderlusters.com/how-to-plan-a-stress-free-vacation-to-cabo-the-ultimate-guide/" TargetMode="External"/><Relationship Id="rId348" Type="http://schemas.openxmlformats.org/officeDocument/2006/relationships/hyperlink" Target="https://tobychristie.com/nascar/cup-series/dover-to-build-new-expanded-monster-energy-nascar-cup-series-garage/" TargetMode="External"/><Relationship Id="rId152" Type="http://schemas.openxmlformats.org/officeDocument/2006/relationships/hyperlink" Target="https://aicontentfy.com/en/blog/lead-generation-strategies-for-real-estate-professionals" TargetMode="External"/><Relationship Id="rId194" Type="http://schemas.openxmlformats.org/officeDocument/2006/relationships/hyperlink" Target="https://www.altovita.com/blog/the-relocation-revolution-why-moving-for-a-job-is-more-popular-than-ever" TargetMode="External"/><Relationship Id="rId208" Type="http://schemas.openxmlformats.org/officeDocument/2006/relationships/hyperlink" Target="https://www.alliedvanlines.ca/moving/from/british-columbia-to-alberta" TargetMode="External"/><Relationship Id="rId415" Type="http://schemas.openxmlformats.org/officeDocument/2006/relationships/hyperlink" Target="http://tripalink.com/" TargetMode="External"/><Relationship Id="rId261" Type="http://schemas.openxmlformats.org/officeDocument/2006/relationships/hyperlink" Target="https://www.havredailynews.com/" TargetMode="External"/><Relationship Id="rId14" Type="http://schemas.openxmlformats.org/officeDocument/2006/relationships/hyperlink" Target="https://jonathonspire.com/websites-for-market-research2/" TargetMode="External"/><Relationship Id="rId56" Type="http://schemas.openxmlformats.org/officeDocument/2006/relationships/hyperlink" Target="https://utv44.com/news/local/mobile-awards-2024-first-responder-of-the-year" TargetMode="External"/><Relationship Id="rId317" Type="http://schemas.openxmlformats.org/officeDocument/2006/relationships/hyperlink" Target="http://raynor.com/" TargetMode="External"/><Relationship Id="rId359" Type="http://schemas.openxmlformats.org/officeDocument/2006/relationships/hyperlink" Target="http://raynor.com/" TargetMode="External"/><Relationship Id="rId98" Type="http://schemas.openxmlformats.org/officeDocument/2006/relationships/hyperlink" Target="https://tripfrogapp.com/safest-places-in-mexico/" TargetMode="External"/><Relationship Id="rId121" Type="http://schemas.openxmlformats.org/officeDocument/2006/relationships/hyperlink" Target="http://cabovillavegasdave.com/" TargetMode="External"/><Relationship Id="rId163" Type="http://schemas.openxmlformats.org/officeDocument/2006/relationships/hyperlink" Target="http://cabovillavegasdave.com/" TargetMode="External"/><Relationship Id="rId219" Type="http://schemas.openxmlformats.org/officeDocument/2006/relationships/hyperlink" Target="http://allied.com/" TargetMode="External"/><Relationship Id="rId370" Type="http://schemas.openxmlformats.org/officeDocument/2006/relationships/hyperlink" Target="http://www.inspectionnews.net/home_inspection/built-in-appliances-and-systems-home-inspection-and-commercial-inspection/42278-does-anyone-use-recallchek-next-thread.html" TargetMode="External"/><Relationship Id="rId426" Type="http://schemas.openxmlformats.org/officeDocument/2006/relationships/hyperlink" Target="https://studyfinds.org/best-places-to-live-on-the-east-coast/" TargetMode="External"/><Relationship Id="rId230" Type="http://schemas.openxmlformats.org/officeDocument/2006/relationships/hyperlink" Target="https://www.lawyersmutualnc.com/blog/4-tips-for-associates-planning-a-lateral-move" TargetMode="External"/><Relationship Id="rId25" Type="http://schemas.openxmlformats.org/officeDocument/2006/relationships/hyperlink" Target="https://256today.com/online-home-buying-pioneer-brings-new-homes-to-albertville/" TargetMode="External"/><Relationship Id="rId67" Type="http://schemas.openxmlformats.org/officeDocument/2006/relationships/hyperlink" Target="https://mygardenandpatio.com/the-pros-and-cons-of-relocating-for-work/" TargetMode="External"/><Relationship Id="rId272" Type="http://schemas.openxmlformats.org/officeDocument/2006/relationships/hyperlink" Target="http://raynor.com/" TargetMode="External"/><Relationship Id="rId328" Type="http://schemas.openxmlformats.org/officeDocument/2006/relationships/hyperlink" Target="https://jayscustomcreations.com/2019/10/vlog-144-i-was-wrong/" TargetMode="External"/><Relationship Id="rId132" Type="http://schemas.openxmlformats.org/officeDocument/2006/relationships/hyperlink" Target="https://www.awaylands.com/story/12-unique-engagement-party-ideas-for-every-couple-celebrating-at-home-or-out-on-the-town/" TargetMode="External"/><Relationship Id="rId174" Type="http://schemas.openxmlformats.org/officeDocument/2006/relationships/hyperlink" Target="https://www.sloveniaestates.com/ljubljana-centre-a-shop-in-the-city-centre-rental/" TargetMode="External"/><Relationship Id="rId381" Type="http://schemas.openxmlformats.org/officeDocument/2006/relationships/hyperlink" Target="http://raynor.com/" TargetMode="External"/><Relationship Id="rId241" Type="http://schemas.openxmlformats.org/officeDocument/2006/relationships/hyperlink" Target="http://erdmannexteriors.com/" TargetMode="External"/><Relationship Id="rId437" Type="http://schemas.openxmlformats.org/officeDocument/2006/relationships/hyperlink" Target="http://villasofdistinction.com/" TargetMode="External"/><Relationship Id="rId36" Type="http://schemas.openxmlformats.org/officeDocument/2006/relationships/hyperlink" Target="https://www.denverlifemagazine.com/denvers-new-developments/" TargetMode="External"/><Relationship Id="rId283" Type="http://schemas.openxmlformats.org/officeDocument/2006/relationships/hyperlink" Target="https://www.capitallightingfixture.com/showrooms/directory/al/" TargetMode="External"/><Relationship Id="rId339" Type="http://schemas.openxmlformats.org/officeDocument/2006/relationships/hyperlink" Target="http://raynor.com/" TargetMode="External"/><Relationship Id="rId78" Type="http://schemas.openxmlformats.org/officeDocument/2006/relationships/hyperlink" Target="https://ontariobusinessgrants.com/start-a-business/how-to-start-an-airbnb-business-in-ontario/" TargetMode="External"/><Relationship Id="rId101" Type="http://schemas.openxmlformats.org/officeDocument/2006/relationships/hyperlink" Target="http://cabovillavegasdave.com/" TargetMode="External"/><Relationship Id="rId143" Type="http://schemas.openxmlformats.org/officeDocument/2006/relationships/hyperlink" Target="http://cabovillavegasdave.com/" TargetMode="External"/><Relationship Id="rId185" Type="http://schemas.openxmlformats.org/officeDocument/2006/relationships/hyperlink" Target="http://allied.com/" TargetMode="External"/><Relationship Id="rId350" Type="http://schemas.openxmlformats.org/officeDocument/2006/relationships/hyperlink" Target="https://www.carriersource.io/carriers/raynor-express-corp" TargetMode="External"/><Relationship Id="rId406" Type="http://schemas.openxmlformats.org/officeDocument/2006/relationships/hyperlink" Target="https://www.engineeringplans.com/product-approvals/20-0811.04" TargetMode="External"/><Relationship Id="rId9" Type="http://schemas.openxmlformats.org/officeDocument/2006/relationships/hyperlink" Target="https://uphomes.com/blog/moving-to-austin-tx/" TargetMode="External"/><Relationship Id="rId210" Type="http://schemas.openxmlformats.org/officeDocument/2006/relationships/hyperlink" Target="https://richardharrislaw.com/accident-attorneys-for-moving-truck-injuries/" TargetMode="External"/><Relationship Id="rId392" Type="http://schemas.openxmlformats.org/officeDocument/2006/relationships/hyperlink" Target="https://www.eastbaytimes.com/2010/12/23/james-dulley-9/" TargetMode="External"/><Relationship Id="rId252" Type="http://schemas.openxmlformats.org/officeDocument/2006/relationships/hyperlink" Target="https://prepareforcanada.com/listings/2936-rosebery-ave-west-vancouver" TargetMode="External"/><Relationship Id="rId294" Type="http://schemas.openxmlformats.org/officeDocument/2006/relationships/hyperlink" Target="https://www.greenbuildingadvisor.com/article/energy-efficient-garage-doors" TargetMode="External"/><Relationship Id="rId308" Type="http://schemas.openxmlformats.org/officeDocument/2006/relationships/hyperlink" Target="https://www.dasma.com/member/raynor-garage-doors/" TargetMode="External"/><Relationship Id="rId47" Type="http://schemas.openxmlformats.org/officeDocument/2006/relationships/hyperlink" Target="https://reiwa.com.au/the-wa-market/resources/articles/the-top-building-design-trends-to-watch-out-for-in-2022/" TargetMode="External"/><Relationship Id="rId89" Type="http://schemas.openxmlformats.org/officeDocument/2006/relationships/hyperlink" Target="https://www.imnepal.com/toronto-airbnb-market/" TargetMode="External"/><Relationship Id="rId112" Type="http://schemas.openxmlformats.org/officeDocument/2006/relationships/hyperlink" Target="https://vitamagazine.com/2025/04/03/why-choose-a-villa-over-a-hotel-for-your-next-trip/" TargetMode="External"/><Relationship Id="rId154" Type="http://schemas.openxmlformats.org/officeDocument/2006/relationships/hyperlink" Target="https://www.tapesearch.com/episode/luxury-lessons-and-lawsuits-episode-744-with-the-real-brad-lea-trbl/jeVXCamWvPLAn6pS5UXaMy" TargetMode="External"/><Relationship Id="rId361" Type="http://schemas.openxmlformats.org/officeDocument/2006/relationships/hyperlink" Target="http://raynor.com/" TargetMode="External"/><Relationship Id="rId196" Type="http://schemas.openxmlformats.org/officeDocument/2006/relationships/hyperlink" Target="https://ark7.com/blog/learn/cities/complete-house-renting-guide-for-sacramento-ca/" TargetMode="External"/><Relationship Id="rId417" Type="http://schemas.openxmlformats.org/officeDocument/2006/relationships/hyperlink" Target="http://9kilo.com/" TargetMode="External"/><Relationship Id="rId16" Type="http://schemas.openxmlformats.org/officeDocument/2006/relationships/hyperlink" Target="https://www.trulogsiding.com/designing-your-log-cabin-for-climate/" TargetMode="External"/><Relationship Id="rId221" Type="http://schemas.openxmlformats.org/officeDocument/2006/relationships/hyperlink" Target="http://allied.com/" TargetMode="External"/><Relationship Id="rId263" Type="http://schemas.openxmlformats.org/officeDocument/2006/relationships/hyperlink" Target="https://www.garagedoornation.com/pages/list-of-garage-door-manufacturers-in-the-united-states" TargetMode="External"/><Relationship Id="rId319" Type="http://schemas.openxmlformats.org/officeDocument/2006/relationships/hyperlink" Target="http://raynor.com/" TargetMode="External"/><Relationship Id="rId58" Type="http://schemas.openxmlformats.org/officeDocument/2006/relationships/hyperlink" Target="http://kennarealestate.com/" TargetMode="External"/><Relationship Id="rId123" Type="http://schemas.openxmlformats.org/officeDocument/2006/relationships/hyperlink" Target="http://cabovillavegasdave.com/" TargetMode="External"/><Relationship Id="rId330" Type="http://schemas.openxmlformats.org/officeDocument/2006/relationships/hyperlink" Target="https://raynordoorauthority.com/buying-a-raynor-residential-garage-door/" TargetMode="External"/><Relationship Id="rId165" Type="http://schemas.openxmlformats.org/officeDocument/2006/relationships/hyperlink" Target="http://cabovillavegasdave.com/" TargetMode="External"/><Relationship Id="rId372" Type="http://schemas.openxmlformats.org/officeDocument/2006/relationships/hyperlink" Target="https://www.carwashforum.com/threads/door-problem-again.6295/" TargetMode="External"/><Relationship Id="rId428" Type="http://schemas.openxmlformats.org/officeDocument/2006/relationships/hyperlink" Target="https://www.corporatevision-news.com/the-logistics-of-long-distance-moving-how-to-choose-the-best-option-for-your-business/" TargetMode="External"/><Relationship Id="rId232" Type="http://schemas.openxmlformats.org/officeDocument/2006/relationships/hyperlink" Target="https://www.housedigest.com/818411/mistakes-everyone-makes-when-buying-outdoor-furniture/" TargetMode="External"/><Relationship Id="rId274" Type="http://schemas.openxmlformats.org/officeDocument/2006/relationships/hyperlink" Target="http://raynor.com/" TargetMode="External"/><Relationship Id="rId27" Type="http://schemas.openxmlformats.org/officeDocument/2006/relationships/hyperlink" Target="https://www.bridgeland.com/bridgeland-adds-two-new-homebuilders-to-creekland-village/" TargetMode="External"/><Relationship Id="rId69" Type="http://schemas.openxmlformats.org/officeDocument/2006/relationships/hyperlink" Target="https://koriathome.com/mom-may-be-the-word-but-that-doesnt-mean-you-have-to-make-your-home-alone/" TargetMode="External"/><Relationship Id="rId134" Type="http://schemas.openxmlformats.org/officeDocument/2006/relationships/hyperlink" Target="https://www.zilliondesigns.com/blog/what-makes-a-five-star-hotel-logo-different-from-a-one-star-logo-in-mexico/" TargetMode="External"/><Relationship Id="rId80" Type="http://schemas.openxmlformats.org/officeDocument/2006/relationships/hyperlink" Target="https://www.alltherooms.com/resources/articles/the-best-vacation-rental-and-airbnb-property-management-companies-2022/" TargetMode="External"/><Relationship Id="rId176" Type="http://schemas.openxmlformats.org/officeDocument/2006/relationships/hyperlink" Target="https://www.greatpointproperties.com/nantucket-real-estate/15-aurora-way/mls_91323" TargetMode="External"/><Relationship Id="rId341" Type="http://schemas.openxmlformats.org/officeDocument/2006/relationships/hyperlink" Target="http://raynor.com/" TargetMode="External"/><Relationship Id="rId383" Type="http://schemas.openxmlformats.org/officeDocument/2006/relationships/hyperlink" Target="http://raynor.com/" TargetMode="External"/><Relationship Id="rId439" Type="http://schemas.openxmlformats.org/officeDocument/2006/relationships/hyperlink" Target="http://johnmunrobuilder.com.au/" TargetMode="External"/><Relationship Id="rId201" Type="http://schemas.openxmlformats.org/officeDocument/2006/relationships/hyperlink" Target="http://allied.com/" TargetMode="External"/><Relationship Id="rId243" Type="http://schemas.openxmlformats.org/officeDocument/2006/relationships/hyperlink" Target="http://orcarealty.ca/" TargetMode="External"/><Relationship Id="rId285" Type="http://schemas.openxmlformats.org/officeDocument/2006/relationships/hyperlink" Target="http://raynor.com/" TargetMode="External"/><Relationship Id="rId38" Type="http://schemas.openxmlformats.org/officeDocument/2006/relationships/hyperlink" Target="https://inbusinessphx.com/commercial-real-estate/colorado-builder-announces-new-home-collection-at-established-community-in-buckeye" TargetMode="External"/><Relationship Id="rId103" Type="http://schemas.openxmlformats.org/officeDocument/2006/relationships/hyperlink" Target="http://cabovillavegasdave.com/" TargetMode="External"/><Relationship Id="rId310" Type="http://schemas.openxmlformats.org/officeDocument/2006/relationships/hyperlink" Target="https://www.owler.com/company/raynor" TargetMode="External"/><Relationship Id="rId91" Type="http://schemas.openxmlformats.org/officeDocument/2006/relationships/hyperlink" Target="https://www.igms.com/case-study-from-guestable/" TargetMode="External"/><Relationship Id="rId145" Type="http://schemas.openxmlformats.org/officeDocument/2006/relationships/hyperlink" Target="http://cabovillavegasdave.com/" TargetMode="External"/><Relationship Id="rId187" Type="http://schemas.openxmlformats.org/officeDocument/2006/relationships/hyperlink" Target="http://allied.com/" TargetMode="External"/><Relationship Id="rId352" Type="http://schemas.openxmlformats.org/officeDocument/2006/relationships/hyperlink" Target="https://www.simplybare.com/press/consequatur-officia-ut-nihil-quisquam-error-qui/" TargetMode="External"/><Relationship Id="rId394" Type="http://schemas.openxmlformats.org/officeDocument/2006/relationships/hyperlink" Target="https://dgmnews.com/posts/exterior-excellence-top-tips-for-a-stunning-home-facade/" TargetMode="External"/><Relationship Id="rId408" Type="http://schemas.openxmlformats.org/officeDocument/2006/relationships/hyperlink" Target="https://almostmakesperfect.com/kid-friendly-restaurants-and-activities-in-los-angeles/" TargetMode="External"/><Relationship Id="rId212" Type="http://schemas.openxmlformats.org/officeDocument/2006/relationships/hyperlink" Target="https://literallydarling.com/blog/2024/01/22/tips-and-resources-for-navigating-a-long-distance-moves-as-a-single-parent/" TargetMode="External"/><Relationship Id="rId254" Type="http://schemas.openxmlformats.org/officeDocument/2006/relationships/hyperlink" Target="https://homebay.com/where-should-i-move-2023/" TargetMode="External"/><Relationship Id="rId49" Type="http://schemas.openxmlformats.org/officeDocument/2006/relationships/hyperlink" Target="https://www.whrg.com/blog/how-to-become-a-relocation-expert-in-four-easy-steps/" TargetMode="External"/><Relationship Id="rId114" Type="http://schemas.openxmlformats.org/officeDocument/2006/relationships/hyperlink" Target="https://zestinatote.com/5-day-los-cabos-trip-itinerary/" TargetMode="External"/><Relationship Id="rId296" Type="http://schemas.openxmlformats.org/officeDocument/2006/relationships/hyperlink" Target="https://www.makinghomebase.com/garage-lighting-ideas/" TargetMode="External"/><Relationship Id="rId60" Type="http://schemas.openxmlformats.org/officeDocument/2006/relationships/hyperlink" Target="https://flyarchitecture.net/2025/05/14/how-to-get-a-better-offer-when-selling-your-home/" TargetMode="External"/><Relationship Id="rId156" Type="http://schemas.openxmlformats.org/officeDocument/2006/relationships/hyperlink" Target="https://idahobusinessreview.com/2025/01/23/idaho-busiest-december-airports/" TargetMode="External"/><Relationship Id="rId198" Type="http://schemas.openxmlformats.org/officeDocument/2006/relationships/hyperlink" Target="https://www.mortgagequote.com/improve-your-homes-curb-appeal.php" TargetMode="External"/><Relationship Id="rId321" Type="http://schemas.openxmlformats.org/officeDocument/2006/relationships/hyperlink" Target="http://raynor.com/" TargetMode="External"/><Relationship Id="rId363" Type="http://schemas.openxmlformats.org/officeDocument/2006/relationships/hyperlink" Target="http://raynor.com/" TargetMode="External"/><Relationship Id="rId419" Type="http://schemas.openxmlformats.org/officeDocument/2006/relationships/hyperlink" Target="http://9kilo.com/" TargetMode="External"/><Relationship Id="rId202" Type="http://schemas.openxmlformats.org/officeDocument/2006/relationships/hyperlink" Target="https://www.texasrealestatesource.com/blog/californians-moving-to-texas/" TargetMode="External"/><Relationship Id="rId223" Type="http://schemas.openxmlformats.org/officeDocument/2006/relationships/hyperlink" Target="http://allied.com/" TargetMode="External"/><Relationship Id="rId244" Type="http://schemas.openxmlformats.org/officeDocument/2006/relationships/hyperlink" Target="https://mariakillam.com/how-to-decorate-with-throw-pillows-5-rules-to-follow/" TargetMode="External"/><Relationship Id="rId430" Type="http://schemas.openxmlformats.org/officeDocument/2006/relationships/hyperlink" Target="http://myinteriorpalace.com/" TargetMode="External"/><Relationship Id="rId18" Type="http://schemas.openxmlformats.org/officeDocument/2006/relationships/hyperlink" Target="https://www.builderonline.com/firms/hamill-creek" TargetMode="External"/><Relationship Id="rId39" Type="http://schemas.openxmlformats.org/officeDocument/2006/relationships/hyperlink" Target="https://milehighcre.com/mixed-use-apartment-complex-breaks-ground-in-lone-tree/" TargetMode="External"/><Relationship Id="rId265" Type="http://schemas.openxmlformats.org/officeDocument/2006/relationships/hyperlink" Target="https://www.workiz.com/blog/garage-doors/top-garage-door-manufacturers-2025/" TargetMode="External"/><Relationship Id="rId286" Type="http://schemas.openxmlformats.org/officeDocument/2006/relationships/hyperlink" Target="https://www.hugghall.com/parts/overview/" TargetMode="External"/><Relationship Id="rId50" Type="http://schemas.openxmlformats.org/officeDocument/2006/relationships/hyperlink" Target="https://www.dakotastorage.com/blog/best-practices-for-reorganizing-your-storage-shed-garage" TargetMode="External"/><Relationship Id="rId104" Type="http://schemas.openxmlformats.org/officeDocument/2006/relationships/hyperlink" Target="https://www.wanderwithwonder.com/5-most-instagrammable-spots-in-cabo-san-lucas/" TargetMode="External"/><Relationship Id="rId125" Type="http://schemas.openxmlformats.org/officeDocument/2006/relationships/hyperlink" Target="http://cabovillavegasdave.com/" TargetMode="External"/><Relationship Id="rId146" Type="http://schemas.openxmlformats.org/officeDocument/2006/relationships/hyperlink" Target="https://handlblogs.com/ultimate-guide-to-beach-holidays/" TargetMode="External"/><Relationship Id="rId167" Type="http://schemas.openxmlformats.org/officeDocument/2006/relationships/hyperlink" Target="http://cabovillavegasdave.com/" TargetMode="External"/><Relationship Id="rId188" Type="http://schemas.openxmlformats.org/officeDocument/2006/relationships/hyperlink" Target="https://holidaybuilders.com/new-yorkers-move-to-florida/" TargetMode="External"/><Relationship Id="rId311" Type="http://schemas.openxmlformats.org/officeDocument/2006/relationships/hyperlink" Target="http://raynor.com/" TargetMode="External"/><Relationship Id="rId332" Type="http://schemas.openxmlformats.org/officeDocument/2006/relationships/hyperlink" Target="https://www.realtyexecutives.com/blog/the-dos-donts-of-choosing-the-best-commercial-garage-door-for-your-business" TargetMode="External"/><Relationship Id="rId353" Type="http://schemas.openxmlformats.org/officeDocument/2006/relationships/hyperlink" Target="http://raynor.com/" TargetMode="External"/><Relationship Id="rId374" Type="http://schemas.openxmlformats.org/officeDocument/2006/relationships/hyperlink" Target="https://blog.housesitmatch.com/blog/timeless-garage-doors-trapid-access/" TargetMode="External"/><Relationship Id="rId395" Type="http://schemas.openxmlformats.org/officeDocument/2006/relationships/hyperlink" Target="http://raynor.com/" TargetMode="External"/><Relationship Id="rId409" Type="http://schemas.openxmlformats.org/officeDocument/2006/relationships/hyperlink" Target="http://tripalink.com/" TargetMode="External"/><Relationship Id="rId71" Type="http://schemas.openxmlformats.org/officeDocument/2006/relationships/hyperlink" Target="https://www.melanielissackinteriors.com/blog/2025/12/6/fabric-matters-science-behind-colour-and-texture-in-window-treatments" TargetMode="External"/><Relationship Id="rId92" Type="http://schemas.openxmlformats.org/officeDocument/2006/relationships/hyperlink" Target="https://networkustad.com/2023/04/21/toronto-airbnb-management-uncovering-the-ideal-assistance-for-your-property/" TargetMode="External"/><Relationship Id="rId213" Type="http://schemas.openxmlformats.org/officeDocument/2006/relationships/hyperlink" Target="http://allied.com/" TargetMode="External"/><Relationship Id="rId234" Type="http://schemas.openxmlformats.org/officeDocument/2006/relationships/hyperlink" Target="https://www.cyberoptik.net/blog/best-siding-website-designs/" TargetMode="External"/><Relationship Id="rId420" Type="http://schemas.openxmlformats.org/officeDocument/2006/relationships/hyperlink" Target="https://markuphero.com/blog/increase-employee-productivity-markup-hero/" TargetMode="External"/><Relationship Id="rId2" Type="http://schemas.openxmlformats.org/officeDocument/2006/relationships/hyperlink" Target="https://bkvenergy.com/blog/dallas-vs-houston-cost-of-living-comparison/" TargetMode="External"/><Relationship Id="rId29" Type="http://schemas.openxmlformats.org/officeDocument/2006/relationships/hyperlink" Target="https://rutherfordsource.com/new-murfreesboro-neighborhood-davenport-station-hold-grand-opening/" TargetMode="External"/><Relationship Id="rId255" Type="http://schemas.openxmlformats.org/officeDocument/2006/relationships/hyperlink" Target="https://luxesource.com/liz-lambert-texas-ranch-kitchen-bath" TargetMode="External"/><Relationship Id="rId276" Type="http://schemas.openxmlformats.org/officeDocument/2006/relationships/hyperlink" Target="http://raynor.com/" TargetMode="External"/><Relationship Id="rId297" Type="http://schemas.openxmlformats.org/officeDocument/2006/relationships/hyperlink" Target="http://raynor.com/" TargetMode="External"/><Relationship Id="rId441" Type="http://schemas.openxmlformats.org/officeDocument/2006/relationships/hyperlink" Target="http://americanremodeling.net/" TargetMode="External"/><Relationship Id="rId40" Type="http://schemas.openxmlformats.org/officeDocument/2006/relationships/hyperlink" Target="https://www.fcnews.net/2018/05/emser-tile-century-communities-continue-partnership/" TargetMode="External"/><Relationship Id="rId115" Type="http://schemas.openxmlformats.org/officeDocument/2006/relationships/hyperlink" Target="http://cabovillavegasdave.com/" TargetMode="External"/><Relationship Id="rId136" Type="http://schemas.openxmlformats.org/officeDocument/2006/relationships/hyperlink" Target="https://forsomethingmore.com/cabo-san-lucas-spring-break-reasons-to-visit/" TargetMode="External"/><Relationship Id="rId157" Type="http://schemas.openxmlformats.org/officeDocument/2006/relationships/hyperlink" Target="http://cabovillavegasdave.com/" TargetMode="External"/><Relationship Id="rId178" Type="http://schemas.openxmlformats.org/officeDocument/2006/relationships/hyperlink" Target="https://www.discoverupstateny.com/blog/19/164/finding-affordable-attractions-in-city-of-albany/" TargetMode="External"/><Relationship Id="rId301" Type="http://schemas.openxmlformats.org/officeDocument/2006/relationships/hyperlink" Target="http://raynor.com/" TargetMode="External"/><Relationship Id="rId322" Type="http://schemas.openxmlformats.org/officeDocument/2006/relationships/hyperlink" Target="https://www.modlar.com/brands/raynor/rolling-fire-doors-firecoil/" TargetMode="External"/><Relationship Id="rId343" Type="http://schemas.openxmlformats.org/officeDocument/2006/relationships/hyperlink" Target="http://raynor.com/" TargetMode="External"/><Relationship Id="rId364" Type="http://schemas.openxmlformats.org/officeDocument/2006/relationships/hyperlink" Target="https://oldminibikes.com/forum/index.php?threads/what-is-my-rupp-mini-bike.104914/page-4" TargetMode="External"/><Relationship Id="rId61" Type="http://schemas.openxmlformats.org/officeDocument/2006/relationships/hyperlink" Target="https://middleclasshomes.net/what-makes-green-homes-a-great-choice-for-modern-homebuyers/" TargetMode="External"/><Relationship Id="rId82" Type="http://schemas.openxmlformats.org/officeDocument/2006/relationships/hyperlink" Target="https://www.doorloop.com/blog/doorloop-first-annual-property-management-website-of-the-year-awards" TargetMode="External"/><Relationship Id="rId199" Type="http://schemas.openxmlformats.org/officeDocument/2006/relationships/hyperlink" Target="http://allied.com/" TargetMode="External"/><Relationship Id="rId203" Type="http://schemas.openxmlformats.org/officeDocument/2006/relationships/hyperlink" Target="http://allied.com/" TargetMode="External"/><Relationship Id="rId385" Type="http://schemas.openxmlformats.org/officeDocument/2006/relationships/hyperlink" Target="http://raynor.com/" TargetMode="External"/><Relationship Id="rId19" Type="http://schemas.openxmlformats.org/officeDocument/2006/relationships/hyperlink" Target="https://www.windermere.com/blog/beautiful-inside-out-timber-interiors-for-a-timber-frame-home" TargetMode="External"/><Relationship Id="rId224" Type="http://schemas.openxmlformats.org/officeDocument/2006/relationships/hyperlink" Target="https://franklinis.com/moving-services/" TargetMode="External"/><Relationship Id="rId245" Type="http://schemas.openxmlformats.org/officeDocument/2006/relationships/hyperlink" Target="http://orcarealty.ca/" TargetMode="External"/><Relationship Id="rId266" Type="http://schemas.openxmlformats.org/officeDocument/2006/relationships/hyperlink" Target="http://raynor.com/" TargetMode="External"/><Relationship Id="rId287" Type="http://schemas.openxmlformats.org/officeDocument/2006/relationships/hyperlink" Target="http://raynor.com/" TargetMode="External"/><Relationship Id="rId410" Type="http://schemas.openxmlformats.org/officeDocument/2006/relationships/hyperlink" Target="https://palisadesnews.com/10-things-you-need-to-know-about-ucla/" TargetMode="External"/><Relationship Id="rId431" Type="http://schemas.openxmlformats.org/officeDocument/2006/relationships/hyperlink" Target="http://thesuccessbug.com/" TargetMode="External"/><Relationship Id="rId30" Type="http://schemas.openxmlformats.org/officeDocument/2006/relationships/hyperlink" Target="https://westorlandonews.com/sales-open-at-the-landings-at-pecan-park-new-jacksonville-community/" TargetMode="External"/><Relationship Id="rId105" Type="http://schemas.openxmlformats.org/officeDocument/2006/relationships/hyperlink" Target="http://cabovillavegasdave.com/" TargetMode="External"/><Relationship Id="rId126" Type="http://schemas.openxmlformats.org/officeDocument/2006/relationships/hyperlink" Target="https://thebeautraveler.com/things-to-do-in-palmilla-los-cabos/" TargetMode="External"/><Relationship Id="rId147" Type="http://schemas.openxmlformats.org/officeDocument/2006/relationships/hyperlink" Target="http://cabovillavegasdave.com/" TargetMode="External"/><Relationship Id="rId168" Type="http://schemas.openxmlformats.org/officeDocument/2006/relationships/hyperlink" Target="https://www.ellecanada.com/vip/elle-extra/villa-vegas-dave-3-the-ultimate-celebrity-hideaway-in-cabo" TargetMode="External"/><Relationship Id="rId312" Type="http://schemas.openxmlformats.org/officeDocument/2006/relationships/hyperlink" Target="http://www.aghost.net/e0003056/index.cfm?show=10&amp;mid=308" TargetMode="External"/><Relationship Id="rId333" Type="http://schemas.openxmlformats.org/officeDocument/2006/relationships/hyperlink" Target="http://raynor.com/" TargetMode="External"/><Relationship Id="rId354" Type="http://schemas.openxmlformats.org/officeDocument/2006/relationships/hyperlink" Target="https://www.clodura.ai/directory/company/raynor-garage-doors" TargetMode="External"/><Relationship Id="rId51" Type="http://schemas.openxmlformats.org/officeDocument/2006/relationships/hyperlink" Target="https://hometechhacker.com/how-to-make-your-new-house-a-smart-home/" TargetMode="External"/><Relationship Id="rId72" Type="http://schemas.openxmlformats.org/officeDocument/2006/relationships/hyperlink" Target="https://makeitright.ca/holmes-advice/guest-posts/top-5-ways-to-decorate-your-home-with-texture/" TargetMode="External"/><Relationship Id="rId93" Type="http://schemas.openxmlformats.org/officeDocument/2006/relationships/hyperlink" Target="https://technewstop.org/top-20-tips-for-airbnb-guests/" TargetMode="External"/><Relationship Id="rId189" Type="http://schemas.openxmlformats.org/officeDocument/2006/relationships/hyperlink" Target="http://allied.com/" TargetMode="External"/><Relationship Id="rId375" Type="http://schemas.openxmlformats.org/officeDocument/2006/relationships/hyperlink" Target="http://raynor.com/" TargetMode="External"/><Relationship Id="rId396" Type="http://schemas.openxmlformats.org/officeDocument/2006/relationships/hyperlink" Target="https://speedwaydigest.com/index.php/news/speedway-news/49670-dover-international-speedway-to-build-new-expanded-monster-energy-nascar-cup-series-garage-following-may-3-5-tripleheader-weekend/" TargetMode="External"/><Relationship Id="rId3" Type="http://schemas.openxmlformats.org/officeDocument/2006/relationships/hyperlink" Target="https://taraenergy.com/blog/texas-top-elementary-schools-educational-excellence/" TargetMode="External"/><Relationship Id="rId214" Type="http://schemas.openxmlformats.org/officeDocument/2006/relationships/hyperlink" Target="https://bozemanrealestate.group/blog/10-tips-for-moving-from-the-city-to-montana" TargetMode="External"/><Relationship Id="rId235" Type="http://schemas.openxmlformats.org/officeDocument/2006/relationships/hyperlink" Target="http://erdmannexteriors.com/" TargetMode="External"/><Relationship Id="rId256" Type="http://schemas.openxmlformats.org/officeDocument/2006/relationships/hyperlink" Target="https://galeriemagazine.com/design-experts-outdoor-kitchen/" TargetMode="External"/><Relationship Id="rId277" Type="http://schemas.openxmlformats.org/officeDocument/2006/relationships/hyperlink" Target="https://aaronoverheaddoors.com/top-garage-door-brands/" TargetMode="External"/><Relationship Id="rId298" Type="http://schemas.openxmlformats.org/officeDocument/2006/relationships/hyperlink" Target="https://www.dexknows.com/springfield-il/general-contractors" TargetMode="External"/><Relationship Id="rId400" Type="http://schemas.openxmlformats.org/officeDocument/2006/relationships/hyperlink" Target="https://nerdbot.com/2025/08/13/why-your-warehouse-needs-high-quality-loading-dock-doors/" TargetMode="External"/><Relationship Id="rId421" Type="http://schemas.openxmlformats.org/officeDocument/2006/relationships/hyperlink" Target="http://9kilo.com/" TargetMode="External"/><Relationship Id="rId116" Type="http://schemas.openxmlformats.org/officeDocument/2006/relationships/hyperlink" Target="https://www.themanual.com/travel/best-cities-for-luxury-new-years-eve-dinner/" TargetMode="External"/><Relationship Id="rId137" Type="http://schemas.openxmlformats.org/officeDocument/2006/relationships/hyperlink" Target="http://cabovillavegasdave.com/" TargetMode="External"/><Relationship Id="rId158" Type="http://schemas.openxmlformats.org/officeDocument/2006/relationships/hyperlink" Target="https://www.thearcadiaonline.com/4-things-to-do-in-los-cabos-with-your-wedding-guests/" TargetMode="External"/><Relationship Id="rId302" Type="http://schemas.openxmlformats.org/officeDocument/2006/relationships/hyperlink" Target="https://www.maximizemarketresearch.com/market-report/automatic-garage-door-market/214677/" TargetMode="External"/><Relationship Id="rId323" Type="http://schemas.openxmlformats.org/officeDocument/2006/relationships/hyperlink" Target="http://raynor.com/" TargetMode="External"/><Relationship Id="rId344" Type="http://schemas.openxmlformats.org/officeDocument/2006/relationships/hyperlink" Target="https://www.hansenpolebuildings.com/2017/02/swing-post-doors/" TargetMode="External"/><Relationship Id="rId20" Type="http://schemas.openxmlformats.org/officeDocument/2006/relationships/hyperlink" Target="http://oaksroofingandsiding.com/" TargetMode="External"/><Relationship Id="rId41" Type="http://schemas.openxmlformats.org/officeDocument/2006/relationships/hyperlink" Target="https://candysdirt.com/2023/06/03/online-sales-pioneer-century-communities-has-two-new-single-family-developments-on-offer/" TargetMode="External"/><Relationship Id="rId62" Type="http://schemas.openxmlformats.org/officeDocument/2006/relationships/hyperlink" Target="https://bigboxratio.com/interiors/renovations-that-add-the-most-value-to-your-home/" TargetMode="External"/><Relationship Id="rId83" Type="http://schemas.openxmlformats.org/officeDocument/2006/relationships/hyperlink" Target="https://trustanalytica.org/ca/qc/montreal/reviews/guestable-1657966323" TargetMode="External"/><Relationship Id="rId179" Type="http://schemas.openxmlformats.org/officeDocument/2006/relationships/hyperlink" Target="http://allied.com/" TargetMode="External"/><Relationship Id="rId365" Type="http://schemas.openxmlformats.org/officeDocument/2006/relationships/hyperlink" Target="http://raynor.com/" TargetMode="External"/><Relationship Id="rId386" Type="http://schemas.openxmlformats.org/officeDocument/2006/relationships/hyperlink" Target="https://www.cleat.ai/government/contractors/raynor-mfg-co-zmq3" TargetMode="External"/><Relationship Id="rId190" Type="http://schemas.openxmlformats.org/officeDocument/2006/relationships/hyperlink" Target="https://www.hansenbros.com/hospitality-ffe-logistics/" TargetMode="External"/><Relationship Id="rId204" Type="http://schemas.openxmlformats.org/officeDocument/2006/relationships/hyperlink" Target="https://gmsmobility.com/blog/summertime-household-goods-moves/" TargetMode="External"/><Relationship Id="rId225" Type="http://schemas.openxmlformats.org/officeDocument/2006/relationships/hyperlink" Target="http://allied.com/" TargetMode="External"/><Relationship Id="rId246" Type="http://schemas.openxmlformats.org/officeDocument/2006/relationships/hyperlink" Target="https://snaphappytravel.com/moving-to-vancouver-everything-you-need-to-know/" TargetMode="External"/><Relationship Id="rId267" Type="http://schemas.openxmlformats.org/officeDocument/2006/relationships/hyperlink" Target="https://www.aprodoor.com/es/los-mejores-fabricantes-de-puertas-de-garaje/" TargetMode="External"/><Relationship Id="rId288" Type="http://schemas.openxmlformats.org/officeDocument/2006/relationships/hyperlink" Target="https://www.minercorp.com/brands-we-sell-and-service/" TargetMode="External"/><Relationship Id="rId411" Type="http://schemas.openxmlformats.org/officeDocument/2006/relationships/hyperlink" Target="http://tripalink.com/" TargetMode="External"/><Relationship Id="rId432" Type="http://schemas.openxmlformats.org/officeDocument/2006/relationships/hyperlink" Target="http://prereal.com/" TargetMode="External"/><Relationship Id="rId106" Type="http://schemas.openxmlformats.org/officeDocument/2006/relationships/hyperlink" Target="https://travellingapples.com/why-cabo-is-the-perfect-destination-for-a-solo-traveler/" TargetMode="External"/><Relationship Id="rId127" Type="http://schemas.openxmlformats.org/officeDocument/2006/relationships/hyperlink" Target="http://cabovillavegasdave.com/" TargetMode="External"/><Relationship Id="rId313" Type="http://schemas.openxmlformats.org/officeDocument/2006/relationships/hyperlink" Target="http://raynor.com/" TargetMode="External"/><Relationship Id="rId10" Type="http://schemas.openxmlformats.org/officeDocument/2006/relationships/hyperlink" Target="https://ibuyer.com/blog/should-you-replace-roof-before-selling-house/" TargetMode="External"/><Relationship Id="rId31" Type="http://schemas.openxmlformats.org/officeDocument/2006/relationships/hyperlink" Target="https://wasteremovalusa.com/locations/north-carolina/indian-trail/" TargetMode="External"/><Relationship Id="rId52" Type="http://schemas.openxmlformats.org/officeDocument/2006/relationships/hyperlink" Target="https://goldenharbors.com/articles/costa-rica-residency" TargetMode="External"/><Relationship Id="rId73" Type="http://schemas.openxmlformats.org/officeDocument/2006/relationships/hyperlink" Target="https://kelloggsupplyco.com/resources/articles-and-buying-guides/how-tos/how-to-install-egress-windows" TargetMode="External"/><Relationship Id="rId94" Type="http://schemas.openxmlformats.org/officeDocument/2006/relationships/hyperlink" Target="https://thelatinvestor.com/blogs/news/santo-domingo-property-investment" TargetMode="External"/><Relationship Id="rId148" Type="http://schemas.openxmlformats.org/officeDocument/2006/relationships/hyperlink" Target="https://lux-life.digital/things-to-keep-in-mind-while-traveling-to-cabo-with-kids/" TargetMode="External"/><Relationship Id="rId169" Type="http://schemas.openxmlformats.org/officeDocument/2006/relationships/hyperlink" Target="http://cabovillavegasdave.com/" TargetMode="External"/><Relationship Id="rId334" Type="http://schemas.openxmlformats.org/officeDocument/2006/relationships/hyperlink" Target="https://www.kevinszabojrplumbing.net/blog/2024/7/18/innovative-garage-door-designs-for-modern-homes" TargetMode="External"/><Relationship Id="rId355" Type="http://schemas.openxmlformats.org/officeDocument/2006/relationships/hyperlink" Target="http://raynor.com/" TargetMode="External"/><Relationship Id="rId376" Type="http://schemas.openxmlformats.org/officeDocument/2006/relationships/hyperlink" Target="https://www.razorsync.com/resources/garage-door-services/" TargetMode="External"/><Relationship Id="rId397" Type="http://schemas.openxmlformats.org/officeDocument/2006/relationships/hyperlink" Target="http://raynor.com/" TargetMode="External"/><Relationship Id="rId4" Type="http://schemas.openxmlformats.org/officeDocument/2006/relationships/hyperlink" Target="https://thecommondesk.com/resource/guide-how-to-network-in-coworking-space-environment/" TargetMode="External"/><Relationship Id="rId180" Type="http://schemas.openxmlformats.org/officeDocument/2006/relationships/hyperlink" Target="https://977wmoi.com/2022/03/moving-company-study-shows-more-people-left-illinois-than-any-other-state-last-year/" TargetMode="External"/><Relationship Id="rId215" Type="http://schemas.openxmlformats.org/officeDocument/2006/relationships/hyperlink" Target="http://allied.com/" TargetMode="External"/><Relationship Id="rId236" Type="http://schemas.openxmlformats.org/officeDocument/2006/relationships/hyperlink" Target="https://blog.westlakeroyalbuildingproducts.com/page/5/" TargetMode="External"/><Relationship Id="rId257" Type="http://schemas.openxmlformats.org/officeDocument/2006/relationships/hyperlink" Target="https://www.jetsetmag.com/lifestyle/home-decor/latelier-paris-haute-design/" TargetMode="External"/><Relationship Id="rId278" Type="http://schemas.openxmlformats.org/officeDocument/2006/relationships/hyperlink" Target="http://raynor.com/" TargetMode="External"/><Relationship Id="rId401" Type="http://schemas.openxmlformats.org/officeDocument/2006/relationships/hyperlink" Target="http://raynor.com/" TargetMode="External"/><Relationship Id="rId422" Type="http://schemas.openxmlformats.org/officeDocument/2006/relationships/hyperlink" Target="https://samelane.com/blog/employee-well-being/" TargetMode="External"/><Relationship Id="rId303" Type="http://schemas.openxmlformats.org/officeDocument/2006/relationships/hyperlink" Target="http://raynor.com/" TargetMode="External"/><Relationship Id="rId42" Type="http://schemas.openxmlformats.org/officeDocument/2006/relationships/hyperlink" Target="https://onekindesign.com/2013/11/01/51-mesmerizing-master-bathrooms-fireplaces/" TargetMode="External"/><Relationship Id="rId84" Type="http://schemas.openxmlformats.org/officeDocument/2006/relationships/hyperlink" Target="https://www.elikarealestate.com/blog/managing-short-term-rentals-nyc/" TargetMode="External"/><Relationship Id="rId138" Type="http://schemas.openxmlformats.org/officeDocument/2006/relationships/hyperlink" Target="https://www.educba.com/tourist-attractions-in-cabo-san-lucas/" TargetMode="External"/><Relationship Id="rId345" Type="http://schemas.openxmlformats.org/officeDocument/2006/relationships/hyperlink" Target="http://raynor.com/" TargetMode="External"/><Relationship Id="rId387" Type="http://schemas.openxmlformats.org/officeDocument/2006/relationships/hyperlink" Target="http://raynor.com/" TargetMode="External"/><Relationship Id="rId191" Type="http://schemas.openxmlformats.org/officeDocument/2006/relationships/hyperlink" Target="http://allied.com/" TargetMode="External"/><Relationship Id="rId205" Type="http://schemas.openxmlformats.org/officeDocument/2006/relationships/hyperlink" Target="http://allied.com/" TargetMode="External"/><Relationship Id="rId247" Type="http://schemas.openxmlformats.org/officeDocument/2006/relationships/hyperlink" Target="http://orcarealty.ca/" TargetMode="External"/><Relationship Id="rId412" Type="http://schemas.openxmlformats.org/officeDocument/2006/relationships/hyperlink" Target="https://www.kpopstarz.com/articles/313782/20230726/k-pop-guide-to-los-angeles.htm" TargetMode="External"/><Relationship Id="rId107" Type="http://schemas.openxmlformats.org/officeDocument/2006/relationships/hyperlink" Target="http://cabovillavegasdave.com/" TargetMode="External"/><Relationship Id="rId289" Type="http://schemas.openxmlformats.org/officeDocument/2006/relationships/hyperlink" Target="http://raynor.com/" TargetMode="External"/><Relationship Id="rId11" Type="http://schemas.openxmlformats.org/officeDocument/2006/relationships/hyperlink" Target="https://www.timberhomeliving.com/floorplans/birchgrove-timber-home-plan/" TargetMode="External"/><Relationship Id="rId53" Type="http://schemas.openxmlformats.org/officeDocument/2006/relationships/hyperlink" Target="https://equiton.com/category/real-estate-research/" TargetMode="External"/><Relationship Id="rId149" Type="http://schemas.openxmlformats.org/officeDocument/2006/relationships/hyperlink" Target="http://cabovillavegasdave.com/" TargetMode="External"/><Relationship Id="rId314" Type="http://schemas.openxmlformats.org/officeDocument/2006/relationships/hyperlink" Target="https://ankmar.com/replacing-your-garage-door-offers-the-best-roi-return-on-investment/" TargetMode="External"/><Relationship Id="rId356" Type="http://schemas.openxmlformats.org/officeDocument/2006/relationships/hyperlink" Target="https://www.lifeofdad.com/organize-your-life-garage-makeover/" TargetMode="External"/><Relationship Id="rId398" Type="http://schemas.openxmlformats.org/officeDocument/2006/relationships/hyperlink" Target="https://www.zabasearch.com/phone/8709353700/" TargetMode="External"/><Relationship Id="rId95" Type="http://schemas.openxmlformats.org/officeDocument/2006/relationships/hyperlink" Target="http://cabovillavegasdave.com/" TargetMode="External"/><Relationship Id="rId160" Type="http://schemas.openxmlformats.org/officeDocument/2006/relationships/hyperlink" Target="https://perezhilton.com/where-do-celebrities-stay-when-they-go-to-cabo/" TargetMode="External"/><Relationship Id="rId216" Type="http://schemas.openxmlformats.org/officeDocument/2006/relationships/hyperlink" Target="https://securespace.com/blog/moving-out-of-your-self-storage-space/" TargetMode="External"/><Relationship Id="rId423" Type="http://schemas.openxmlformats.org/officeDocument/2006/relationships/hyperlink" Target="http://9kilo.com/" TargetMode="External"/><Relationship Id="rId258" Type="http://schemas.openxmlformats.org/officeDocument/2006/relationships/hyperlink" Target="https://luxurypools.com/our-favorite-outdoor-kitchens-for-backyard-entertaining/" TargetMode="External"/><Relationship Id="rId22" Type="http://schemas.openxmlformats.org/officeDocument/2006/relationships/hyperlink" Target="http://oaksroofingandsiding.com/" TargetMode="External"/><Relationship Id="rId64" Type="http://schemas.openxmlformats.org/officeDocument/2006/relationships/hyperlink" Target="https://www.neighborhoods.com/blog/should-i-renovate-or-move" TargetMode="External"/><Relationship Id="rId118" Type="http://schemas.openxmlformats.org/officeDocument/2006/relationships/hyperlink" Target="https://www.vagabondjourney.com/the-cabo-trivia-straight-out-of-an-explorers-travelogue/" TargetMode="External"/><Relationship Id="rId325" Type="http://schemas.openxmlformats.org/officeDocument/2006/relationships/hyperlink" Target="http://raynor.com/" TargetMode="External"/><Relationship Id="rId367" Type="http://schemas.openxmlformats.org/officeDocument/2006/relationships/hyperlink" Target="http://raynor.com/" TargetMode="External"/><Relationship Id="rId171" Type="http://schemas.openxmlformats.org/officeDocument/2006/relationships/hyperlink" Target="http://allied.com/" TargetMode="External"/><Relationship Id="rId227" Type="http://schemas.openxmlformats.org/officeDocument/2006/relationships/hyperlink" Target="http://allied.com/" TargetMode="External"/><Relationship Id="rId269" Type="http://schemas.openxmlformats.org/officeDocument/2006/relationships/hyperlink" Target="https://raynordoor.com/residential/aspen-series/aspen-ap138/" TargetMode="External"/><Relationship Id="rId434" Type="http://schemas.openxmlformats.org/officeDocument/2006/relationships/hyperlink" Target="http://iroomit.com/" TargetMode="External"/><Relationship Id="rId33" Type="http://schemas.openxmlformats.org/officeDocument/2006/relationships/hyperlink" Target="https://atlantaagentmagazine.com/2014/11/14/century-communities-acquires-peachtree-communities-atlanta-55-million/" TargetMode="External"/><Relationship Id="rId129" Type="http://schemas.openxmlformats.org/officeDocument/2006/relationships/hyperlink" Target="http://cabovillavegasdave.com/" TargetMode="External"/><Relationship Id="rId280" Type="http://schemas.openxmlformats.org/officeDocument/2006/relationships/hyperlink" Target="http://raynor.com/" TargetMode="External"/><Relationship Id="rId336" Type="http://schemas.openxmlformats.org/officeDocument/2006/relationships/hyperlink" Target="https://heritagedoor.com/garage-doors-for-a-farmhouse/" TargetMode="External"/><Relationship Id="rId75" Type="http://schemas.openxmlformats.org/officeDocument/2006/relationships/hyperlink" Target="http://www.jugrnaut.com/crooks-and-castles-ss-14-delivery-available-now/" TargetMode="External"/><Relationship Id="rId140" Type="http://schemas.openxmlformats.org/officeDocument/2006/relationships/hyperlink" Target="https://beforeitsnews.com/travel/2024/07/indulge-in-luxury-beachfront-villas-in-cabo-san-lucas-2500539.html" TargetMode="External"/><Relationship Id="rId182" Type="http://schemas.openxmlformats.org/officeDocument/2006/relationships/hyperlink" Target="https://regionriverina.com.au/best-removalists-wagga/56130/" TargetMode="External"/><Relationship Id="rId378" Type="http://schemas.openxmlformats.org/officeDocument/2006/relationships/hyperlink" Target="https://www.signalhire.com/companies/raynor-worldwide" TargetMode="External"/><Relationship Id="rId403" Type="http://schemas.openxmlformats.org/officeDocument/2006/relationships/hyperlink" Target="http://raynor.com/" TargetMode="External"/><Relationship Id="rId6" Type="http://schemas.openxmlformats.org/officeDocument/2006/relationships/hyperlink" Target="https://www.brafton.com.au/blog/strategy/12-ways-to-do-real-estate-content-marketing-like-the-pros/" TargetMode="External"/><Relationship Id="rId238" Type="http://schemas.openxmlformats.org/officeDocument/2006/relationships/hyperlink" Target="https://womanaroundtown.com/contributed/creative-ways-to-bring-more-natural-light-into-your-home/" TargetMode="External"/><Relationship Id="rId291" Type="http://schemas.openxmlformats.org/officeDocument/2006/relationships/hyperlink" Target="http://raynor.com/" TargetMode="External"/><Relationship Id="rId305" Type="http://schemas.openxmlformats.org/officeDocument/2006/relationships/hyperlink" Target="http://raynor.com/" TargetMode="External"/><Relationship Id="rId347" Type="http://schemas.openxmlformats.org/officeDocument/2006/relationships/hyperlink" Target="http://raynor.com/" TargetMode="External"/><Relationship Id="rId44" Type="http://schemas.openxmlformats.org/officeDocument/2006/relationships/hyperlink" Target="https://www.lanereport.com/146470/2021/09/century-complete-national-homebuilder-enters-kentucky-market/" TargetMode="External"/><Relationship Id="rId86" Type="http://schemas.openxmlformats.org/officeDocument/2006/relationships/hyperlink" Target="https://audiala.com/en/canada/toronto/maple-leaf-square" TargetMode="External"/><Relationship Id="rId151" Type="http://schemas.openxmlformats.org/officeDocument/2006/relationships/hyperlink" Target="http://cabovillavegasdave.com/" TargetMode="External"/><Relationship Id="rId389" Type="http://schemas.openxmlformats.org/officeDocument/2006/relationships/hyperlink" Target="http://raynor.com/" TargetMode="External"/><Relationship Id="rId193" Type="http://schemas.openxmlformats.org/officeDocument/2006/relationships/hyperlink" Target="http://allied.com/" TargetMode="External"/><Relationship Id="rId207" Type="http://schemas.openxmlformats.org/officeDocument/2006/relationships/hyperlink" Target="http://allied.com/" TargetMode="External"/><Relationship Id="rId249" Type="http://schemas.openxmlformats.org/officeDocument/2006/relationships/hyperlink" Target="http://orcarealty.ca/" TargetMode="External"/><Relationship Id="rId414" Type="http://schemas.openxmlformats.org/officeDocument/2006/relationships/hyperlink" Target="https://www.woohome.com/ideas/great-ideas-for-decorating-your-apartment-this-fall" TargetMode="External"/><Relationship Id="rId13" Type="http://schemas.openxmlformats.org/officeDocument/2006/relationships/hyperlink" Target="https://www.ecohome.net/en/companies/1600/hamill-creek-timber-homes/" TargetMode="External"/><Relationship Id="rId109" Type="http://schemas.openxmlformats.org/officeDocument/2006/relationships/hyperlink" Target="http://cabovillavegasdave.com/" TargetMode="External"/><Relationship Id="rId260" Type="http://schemas.openxmlformats.org/officeDocument/2006/relationships/hyperlink" Target="http://raynor.com/" TargetMode="External"/><Relationship Id="rId316" Type="http://schemas.openxmlformats.org/officeDocument/2006/relationships/hyperlink" Target="https://artsandcraftshomes.com/exteriors/new-work-great-style-you-will-love" TargetMode="External"/><Relationship Id="rId55" Type="http://schemas.openxmlformats.org/officeDocument/2006/relationships/hyperlink" Target="https://gridironcapital.com/gridiron-capital-announces-colibri-groups-expansion-in-appraisal-and-real-estate-education-services/" TargetMode="External"/><Relationship Id="rId97" Type="http://schemas.openxmlformats.org/officeDocument/2006/relationships/hyperlink" Target="http://cabovillavegasdave.com/" TargetMode="External"/><Relationship Id="rId120" Type="http://schemas.openxmlformats.org/officeDocument/2006/relationships/hyperlink" Target="https://rovology.com/mexico/top-5-things-that-will-make-your-cabo-holiday-more-memorable/" TargetMode="External"/><Relationship Id="rId358" Type="http://schemas.openxmlformats.org/officeDocument/2006/relationships/hyperlink" Target="https://downtownhydeparkchicago.com/opportunities/est-beatae-dicta-sapiente-distinctio/" TargetMode="External"/><Relationship Id="rId162" Type="http://schemas.openxmlformats.org/officeDocument/2006/relationships/hyperlink" Target="https://www.dollydowsie.com/2026/01/25/holiday-vacations-in-mexico-with-family-kids/" TargetMode="External"/><Relationship Id="rId218" Type="http://schemas.openxmlformats.org/officeDocument/2006/relationships/hyperlink" Target="https://arcrelocation.com/sell-your-house-fast-relocation/" TargetMode="External"/><Relationship Id="rId425" Type="http://schemas.openxmlformats.org/officeDocument/2006/relationships/hyperlink" Target="http://9kilo.com/" TargetMode="External"/><Relationship Id="rId271" Type="http://schemas.openxmlformats.org/officeDocument/2006/relationships/hyperlink" Target="https://www.doorvana.com/blog/intro-to-overhead-garage-doors" TargetMode="External"/><Relationship Id="rId24" Type="http://schemas.openxmlformats.org/officeDocument/2006/relationships/hyperlink" Target="https://modernhb.com/news/century-reveals-new-homes-in-boulder-county/" TargetMode="External"/><Relationship Id="rId66" Type="http://schemas.openxmlformats.org/officeDocument/2006/relationships/hyperlink" Target="https://www.housebuyersofamerica.com/cash-home-buyers/san-jose" TargetMode="External"/><Relationship Id="rId131" Type="http://schemas.openxmlformats.org/officeDocument/2006/relationships/hyperlink" Target="http://cabovillavegasdave.com/" TargetMode="External"/><Relationship Id="rId327" Type="http://schemas.openxmlformats.org/officeDocument/2006/relationships/hyperlink" Target="http://raynor.com/" TargetMode="External"/><Relationship Id="rId369" Type="http://schemas.openxmlformats.org/officeDocument/2006/relationships/hyperlink" Target="http://raynor.com/" TargetMode="External"/><Relationship Id="rId173" Type="http://schemas.openxmlformats.org/officeDocument/2006/relationships/hyperlink" Target="http://allied.com/" TargetMode="External"/><Relationship Id="rId229" Type="http://schemas.openxmlformats.org/officeDocument/2006/relationships/hyperlink" Target="http://allied.com/" TargetMode="External"/><Relationship Id="rId380" Type="http://schemas.openxmlformats.org/officeDocument/2006/relationships/hyperlink" Target="https://www.importyeti.com/company/raynor-mfg" TargetMode="External"/><Relationship Id="rId436" Type="http://schemas.openxmlformats.org/officeDocument/2006/relationships/hyperlink" Target="http://realestatelicensewizard.com/" TargetMode="External"/><Relationship Id="rId240" Type="http://schemas.openxmlformats.org/officeDocument/2006/relationships/hyperlink" Target="https://leadiq.com/c/erdmann-exterior-designs/5a1da5842300005a00985c5f" TargetMode="External"/><Relationship Id="rId35" Type="http://schemas.openxmlformats.org/officeDocument/2006/relationships/hyperlink" Target="https://bramlettresidential.com/blog/13-best-neighborhoods-in-pflugerville/" TargetMode="External"/><Relationship Id="rId77" Type="http://schemas.openxmlformats.org/officeDocument/2006/relationships/hyperlink" Target="https://www.steadily.com/blog/airbnb-short-term-rental-laws-regulations-newport-beach" TargetMode="External"/><Relationship Id="rId100" Type="http://schemas.openxmlformats.org/officeDocument/2006/relationships/hyperlink" Target="https://davidsbeenhere.com/2025/12/24/an-amazing-wedding-party-at-villa-vegas-dave-in-mexico/" TargetMode="External"/><Relationship Id="rId282" Type="http://schemas.openxmlformats.org/officeDocument/2006/relationships/hyperlink" Target="http://raynor.com/" TargetMode="External"/><Relationship Id="rId338" Type="http://schemas.openxmlformats.org/officeDocument/2006/relationships/hyperlink" Target="https://wiza.co/d/raynor-garage-doors/8b69/staci-anderson" TargetMode="External"/><Relationship Id="rId8" Type="http://schemas.openxmlformats.org/officeDocument/2006/relationships/hyperlink" Target="https://jobble.com/articles/deciding-where-to-live-as-a-gig-worker/" TargetMode="External"/><Relationship Id="rId142" Type="http://schemas.openxmlformats.org/officeDocument/2006/relationships/hyperlink" Target="https://knycxjourneying.com/are-villas-perfect-for-a-family-retreat-10-reasons-theyre-ideal/" TargetMode="External"/><Relationship Id="rId184" Type="http://schemas.openxmlformats.org/officeDocument/2006/relationships/hyperlink" Target="https://moversville.com/blog/moving-supplies-checklist" TargetMode="External"/><Relationship Id="rId391" Type="http://schemas.openxmlformats.org/officeDocument/2006/relationships/hyperlink" Target="http://raynor.com/" TargetMode="External"/><Relationship Id="rId405" Type="http://schemas.openxmlformats.org/officeDocument/2006/relationships/hyperlink" Target="http://raynor.com/" TargetMode="External"/><Relationship Id="rId251" Type="http://schemas.openxmlformats.org/officeDocument/2006/relationships/hyperlink" Target="http://orcarealty.ca/" TargetMode="External"/><Relationship Id="rId46" Type="http://schemas.openxmlformats.org/officeDocument/2006/relationships/hyperlink" Target="https://thebossmagazine.com/finding-right-property-at-right-price/" TargetMode="External"/><Relationship Id="rId293" Type="http://schemas.openxmlformats.org/officeDocument/2006/relationships/hyperlink" Target="http://raynor.com/" TargetMode="External"/><Relationship Id="rId307" Type="http://schemas.openxmlformats.org/officeDocument/2006/relationships/hyperlink" Target="http://raynor.com/" TargetMode="External"/><Relationship Id="rId349" Type="http://schemas.openxmlformats.org/officeDocument/2006/relationships/hyperlink" Target="http://raynor.com/" TargetMode="External"/><Relationship Id="rId88" Type="http://schemas.openxmlformats.org/officeDocument/2006/relationships/hyperlink" Target="https://tomba.io/company/guestable.com" TargetMode="External"/><Relationship Id="rId111" Type="http://schemas.openxmlformats.org/officeDocument/2006/relationships/hyperlink" Target="http://cabovillavegasdave.com/" TargetMode="External"/><Relationship Id="rId153" Type="http://schemas.openxmlformats.org/officeDocument/2006/relationships/hyperlink" Target="http://cabovillavegasdave.com/" TargetMode="External"/><Relationship Id="rId195" Type="http://schemas.openxmlformats.org/officeDocument/2006/relationships/hyperlink" Target="http://allied.com/" TargetMode="External"/><Relationship Id="rId209" Type="http://schemas.openxmlformats.org/officeDocument/2006/relationships/hyperlink" Target="http://allied.com/" TargetMode="External"/><Relationship Id="rId360" Type="http://schemas.openxmlformats.org/officeDocument/2006/relationships/hyperlink" Target="https://www.macraesbluebook.com/search/company.cfm?company=644702" TargetMode="External"/><Relationship Id="rId416" Type="http://schemas.openxmlformats.org/officeDocument/2006/relationships/hyperlink" Target="https://www.strawhomes.com/five-differences-between-student-cities-in-canada-and-the-us/" TargetMode="External"/><Relationship Id="rId220" Type="http://schemas.openxmlformats.org/officeDocument/2006/relationships/hyperlink" Target="https://followtheyellowbrickhome.com/page/62/" TargetMode="External"/><Relationship Id="rId15" Type="http://schemas.openxmlformats.org/officeDocument/2006/relationships/hyperlink" Target="https://brennancorp.com/blog/why-timber-framing-is-the-best-option-for-your-home-in-texas/" TargetMode="External"/><Relationship Id="rId57" Type="http://schemas.openxmlformats.org/officeDocument/2006/relationships/hyperlink" Target="https://roninarea.com/" TargetMode="External"/><Relationship Id="rId262" Type="http://schemas.openxmlformats.org/officeDocument/2006/relationships/hyperlink" Target="http://raynor.com/" TargetMode="External"/><Relationship Id="rId318" Type="http://schemas.openxmlformats.org/officeDocument/2006/relationships/hyperlink" Target="https://artdaily.com/news/178064/Choosing-a-High-Quality-Residential-Garage-Door-to-Avoid-Common-Insulation-Problems" TargetMode="External"/><Relationship Id="rId99" Type="http://schemas.openxmlformats.org/officeDocument/2006/relationships/hyperlink" Target="http://cabovillavegasdave.com/" TargetMode="External"/><Relationship Id="rId122" Type="http://schemas.openxmlformats.org/officeDocument/2006/relationships/hyperlink" Target="https://michiganmamanews.com/2025/05/27/michigans-detroit-metro-wayne-county-airport-ranks-among-top-10-u-s-airports-with-the-best-operational-performance/" TargetMode="External"/><Relationship Id="rId164" Type="http://schemas.openxmlformats.org/officeDocument/2006/relationships/hyperlink" Target="https://www.mylifegb.com/mexico/san-jos%C3%A9-del-cabo/hotels-travel/villa-vegas-dave-3" TargetMode="External"/><Relationship Id="rId371" Type="http://schemas.openxmlformats.org/officeDocument/2006/relationships/hyperlink" Target="http://raynor.com/" TargetMode="External"/><Relationship Id="rId427" Type="http://schemas.openxmlformats.org/officeDocument/2006/relationships/hyperlink" Target="http://9kilo.com/" TargetMode="External"/><Relationship Id="rId26" Type="http://schemas.openxmlformats.org/officeDocument/2006/relationships/hyperlink" Target="https://thebamabuzz.com/century-complete-new-homesites-in-fairhope/" TargetMode="External"/><Relationship Id="rId231" Type="http://schemas.openxmlformats.org/officeDocument/2006/relationships/hyperlink" Target="http://erdmannexteriors.com/" TargetMode="External"/><Relationship Id="rId273" Type="http://schemas.openxmlformats.org/officeDocument/2006/relationships/hyperlink" Target="https://www.ciwebgroup.com/blog/popular-garage-door-brands" TargetMode="External"/><Relationship Id="rId329" Type="http://schemas.openxmlformats.org/officeDocument/2006/relationships/hyperlink" Target="http://raynor.com/" TargetMode="External"/><Relationship Id="rId68" Type="http://schemas.openxmlformats.org/officeDocument/2006/relationships/hyperlink" Target="https://www.beycome.com/blog/reupholstery-increase-home-value/" TargetMode="External"/><Relationship Id="rId133" Type="http://schemas.openxmlformats.org/officeDocument/2006/relationships/hyperlink" Target="http://cabovillavegasdave.com/" TargetMode="External"/><Relationship Id="rId175" Type="http://schemas.openxmlformats.org/officeDocument/2006/relationships/hyperlink" Target="http://allied.com/" TargetMode="External"/><Relationship Id="rId340" Type="http://schemas.openxmlformats.org/officeDocument/2006/relationships/hyperlink" Target="https://azbigmedia.com/business/staying-trendy-how-to-use-social-media-to-stay-up-to-date/" TargetMode="External"/><Relationship Id="rId200" Type="http://schemas.openxmlformats.org/officeDocument/2006/relationships/hyperlink" Target="https://whichrealestateagent.com.au/agent-fees/how-much-does-moving-cost/" TargetMode="External"/><Relationship Id="rId382" Type="http://schemas.openxmlformats.org/officeDocument/2006/relationships/hyperlink" Target="https://citylocalpro.com/biz/raynor-garage-doors" TargetMode="External"/><Relationship Id="rId438" Type="http://schemas.openxmlformats.org/officeDocument/2006/relationships/hyperlink" Target="http://sihandrails.com/" TargetMode="External"/><Relationship Id="rId242" Type="http://schemas.openxmlformats.org/officeDocument/2006/relationships/hyperlink" Target="https://www.qualifiedremodeler.com/firm/erdmann-exterior-designs-ltd/" TargetMode="External"/><Relationship Id="rId284" Type="http://schemas.openxmlformats.org/officeDocument/2006/relationships/hyperlink" Target="https://capitallightingfixture.com/contact-us/" TargetMode="External"/><Relationship Id="rId37" Type="http://schemas.openxmlformats.org/officeDocument/2006/relationships/hyperlink" Target="https://orchard.com/homes/details/5140-union-hts-way-116-flowery-branch-ga-30542" TargetMode="External"/><Relationship Id="rId79" Type="http://schemas.openxmlformats.org/officeDocument/2006/relationships/hyperlink" Target="https://masterhost.ca/best-airbnb-management-companies-toronto/" TargetMode="External"/><Relationship Id="rId102" Type="http://schemas.openxmlformats.org/officeDocument/2006/relationships/hyperlink" Target="https://www.buddythetravelingmonkey.com/how-to-plan-the-perfect-beach-vacation-in-cabo-san-lucas/" TargetMode="External"/><Relationship Id="rId144" Type="http://schemas.openxmlformats.org/officeDocument/2006/relationships/hyperlink" Target="https://twinsandtravels.com/blog-posts/budget-friendly-destinations-for-family-vacations-where-to-go-and-why/" TargetMode="External"/><Relationship Id="rId90" Type="http://schemas.openxmlformats.org/officeDocument/2006/relationships/hyperlink" Target="https://gridinsoft.com/online-virus-scanner/url/guestable-com" TargetMode="External"/><Relationship Id="rId186" Type="http://schemas.openxmlformats.org/officeDocument/2006/relationships/hyperlink" Target="https://smartcitylocating.com/blog/five-professional-tips-for-better-packing/" TargetMode="External"/><Relationship Id="rId351" Type="http://schemas.openxmlformats.org/officeDocument/2006/relationships/hyperlink" Target="http://raynor.com/" TargetMode="External"/><Relationship Id="rId393" Type="http://schemas.openxmlformats.org/officeDocument/2006/relationships/hyperlink" Target="http://raynor.com/" TargetMode="External"/><Relationship Id="rId407" Type="http://schemas.openxmlformats.org/officeDocument/2006/relationships/hyperlink" Target="http://tripalink.com/" TargetMode="External"/><Relationship Id="rId211" Type="http://schemas.openxmlformats.org/officeDocument/2006/relationships/hyperlink" Target="http://allied.com/" TargetMode="External"/><Relationship Id="rId253" Type="http://schemas.openxmlformats.org/officeDocument/2006/relationships/hyperlink" Target="http://leatelierparis.com/" TargetMode="External"/><Relationship Id="rId295" Type="http://schemas.openxmlformats.org/officeDocument/2006/relationships/hyperlink" Target="http://raynor.com/" TargetMode="External"/><Relationship Id="rId309" Type="http://schemas.openxmlformats.org/officeDocument/2006/relationships/hyperlink" Target="http://raynor.com/" TargetMode="External"/><Relationship Id="rId48" Type="http://schemas.openxmlformats.org/officeDocument/2006/relationships/hyperlink" Target="https://anartfulmom.com/packing-your-craft-room-for-move/" TargetMode="External"/><Relationship Id="rId113" Type="http://schemas.openxmlformats.org/officeDocument/2006/relationships/hyperlink" Target="http://cabovillavegasdave.com/" TargetMode="External"/><Relationship Id="rId320" Type="http://schemas.openxmlformats.org/officeDocument/2006/relationships/hyperlink" Target="https://blog.bimsmith.com/Introducing-the-Winners-of-the-2025-BIMsmith-Best-Awards" TargetMode="External"/><Relationship Id="rId155" Type="http://schemas.openxmlformats.org/officeDocument/2006/relationships/hyperlink" Target="http://cabovillavegasdave.com/" TargetMode="External"/><Relationship Id="rId197" Type="http://schemas.openxmlformats.org/officeDocument/2006/relationships/hyperlink" Target="http://allied.com/" TargetMode="External"/><Relationship Id="rId362" Type="http://schemas.openxmlformats.org/officeDocument/2006/relationships/hyperlink" Target="https://www.foxtechzone.com/2024/08/classic-style-garage-door.html" TargetMode="External"/><Relationship Id="rId418" Type="http://schemas.openxmlformats.org/officeDocument/2006/relationships/hyperlink" Target="https://workology.com/five-ways-hr-can-support-expatriate-employees/" TargetMode="External"/><Relationship Id="rId222" Type="http://schemas.openxmlformats.org/officeDocument/2006/relationships/hyperlink" Target="https://www.springsapartments.com/blog/youre-hired-dos-and-donts-of-negotiating-a-relocation-package" TargetMode="External"/><Relationship Id="rId264" Type="http://schemas.openxmlformats.org/officeDocument/2006/relationships/hyperlink" Target="http://raynor.com/" TargetMode="External"/><Relationship Id="rId17" Type="http://schemas.openxmlformats.org/officeDocument/2006/relationships/hyperlink" Target="https://biggerthanthethreeofus.com/install-baseboards-using-scarf-joint/" TargetMode="External"/><Relationship Id="rId59" Type="http://schemas.openxmlformats.org/officeDocument/2006/relationships/hyperlink" Target="https://www.realestatewitch.com/we-buy-houses-for-cash-companies/california/vallejo/" TargetMode="External"/><Relationship Id="rId124" Type="http://schemas.openxmlformats.org/officeDocument/2006/relationships/hyperlink" Target="https://www.herotraveler.com/henry-undefined1/story/how-to-travel-smart-with-your-group-without-compromising-on-comfort" TargetMode="External"/><Relationship Id="rId70" Type="http://schemas.openxmlformats.org/officeDocument/2006/relationships/hyperlink" Target="https://koriathome.com/contact-3/" TargetMode="External"/><Relationship Id="rId166" Type="http://schemas.openxmlformats.org/officeDocument/2006/relationships/hyperlink" Target="https://www.citybiz.co/article/681539/maryland-ranks-among-the-top-10-states-for-luxury-real-estate/" TargetMode="External"/><Relationship Id="rId331" Type="http://schemas.openxmlformats.org/officeDocument/2006/relationships/hyperlink" Target="http://raynor.com/" TargetMode="External"/><Relationship Id="rId373" Type="http://schemas.openxmlformats.org/officeDocument/2006/relationships/hyperlink" Target="http://raynor.com/" TargetMode="External"/><Relationship Id="rId429" Type="http://schemas.openxmlformats.org/officeDocument/2006/relationships/hyperlink" Target="http://decasacollections.com/" TargetMode="External"/><Relationship Id="rId1" Type="http://schemas.openxmlformats.org/officeDocument/2006/relationships/hyperlink" Target="http://bramlettresidential.com/" TargetMode="External"/><Relationship Id="rId233" Type="http://schemas.openxmlformats.org/officeDocument/2006/relationships/hyperlink" Target="http://erdmannexteriors.com/" TargetMode="External"/><Relationship Id="rId440" Type="http://schemas.openxmlformats.org/officeDocument/2006/relationships/hyperlink" Target="http://turtlebackmountaingolfandresort.com/" TargetMode="External"/><Relationship Id="rId28" Type="http://schemas.openxmlformats.org/officeDocument/2006/relationships/hyperlink" Target="https://knowatlanta.com/find-a-home/top-5-reasons-to-consider-active-adult-living-in-metro-atlanta" TargetMode="External"/><Relationship Id="rId275" Type="http://schemas.openxmlformats.org/officeDocument/2006/relationships/hyperlink" Target="https://ddmgaragedoors.com/springs/raynor.php" TargetMode="External"/><Relationship Id="rId300" Type="http://schemas.openxmlformats.org/officeDocument/2006/relationships/hyperlink" Target="https://www.bdcnetwork.com/sponsored/article/55305509/5-top-rated-garage-doors-for-residential-home-projects-in-2025" TargetMode="External"/><Relationship Id="rId81" Type="http://schemas.openxmlformats.org/officeDocument/2006/relationships/hyperlink" Target="https://indianjadibooti.com/Jadistore/blog-headlines/indianjadibooti-gud-(without-masala)-jaggery-gudh" TargetMode="External"/><Relationship Id="rId135" Type="http://schemas.openxmlformats.org/officeDocument/2006/relationships/hyperlink" Target="http://cabovillavegasdave.com/" TargetMode="External"/><Relationship Id="rId177" Type="http://schemas.openxmlformats.org/officeDocument/2006/relationships/hyperlink" Target="http://allied.com/" TargetMode="External"/><Relationship Id="rId342" Type="http://schemas.openxmlformats.org/officeDocument/2006/relationships/hyperlink" Target="https://www.shanty-2-chic.com/house-update-garage-doors/" TargetMode="External"/><Relationship Id="rId384" Type="http://schemas.openxmlformats.org/officeDocument/2006/relationships/hyperlink" Target="https://www.firerescue1.com/fire-products/for-firefighters-by-firefighters/press-releases/raynor-garage-doors-donates-new-garage-door-to-city-of-dixon-replicates-classic-original-1900s-firehouse-door-O2KfqAaFuYjS7FI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2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2" width="37.36328125" customWidth="1"/>
    <col min="3" max="3" width="14.90625" customWidth="1"/>
    <col min="4" max="4" width="16.90625" customWidth="1"/>
  </cols>
  <sheetData>
    <row r="1" spans="1:4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5.75" customHeight="1">
      <c r="A2" s="3" t="s">
        <v>4</v>
      </c>
      <c r="B2" s="4" t="str">
        <f ca="1">IFERROR(__xludf.DUMMYFUNCTION("IFERROR(ARRAYFORMULA(REGEXEXTRACT(A2,""^(?:https?:\/\/)?(?:[^@\n]+@)?(?:www\.)?([^:\/\n]+)"")),"""")"),"allaroundmoving.com")</f>
        <v>allaroundmoving.com</v>
      </c>
      <c r="C2" s="5" t="s">
        <v>5</v>
      </c>
      <c r="D2" s="5" t="s">
        <v>6</v>
      </c>
    </row>
    <row r="3" spans="1:4" ht="15.75" customHeight="1">
      <c r="A3" s="3" t="s">
        <v>7</v>
      </c>
      <c r="B3" s="4" t="str">
        <f ca="1">IFERROR(__xludf.DUMMYFUNCTION("IFERROR(ARRAYFORMULA(REGEXEXTRACT(A3,""^(?:https?:\/\/)?(?:[^@\n]+@)?(?:www\.)?([^:\/\n]+)"")),"""")"),"sdhouseguys.com")</f>
        <v>sdhouseguys.com</v>
      </c>
      <c r="C3" s="5" t="s">
        <v>5</v>
      </c>
      <c r="D3" s="5" t="s">
        <v>6</v>
      </c>
    </row>
    <row r="4" spans="1:4" ht="15.75" customHeight="1">
      <c r="A4" s="3" t="s">
        <v>8</v>
      </c>
      <c r="B4" s="4" t="str">
        <f ca="1">IFERROR(__xludf.DUMMYFUNCTION("IFERROR(ARRAYFORMULA(REGEXEXTRACT(A4,""^(?:https?:\/\/)?(?:[^@\n]+@)?(?:www\.)?([^:\/\n]+)"")),"""")"),"diyhomecomfort.com")</f>
        <v>diyhomecomfort.com</v>
      </c>
      <c r="C4" s="5" t="s">
        <v>5</v>
      </c>
      <c r="D4" s="5" t="s">
        <v>6</v>
      </c>
    </row>
    <row r="5" spans="1:4" ht="15.75" customHeight="1">
      <c r="A5" s="3" t="s">
        <v>9</v>
      </c>
      <c r="B5" s="4" t="str">
        <f ca="1">IFERROR(__xludf.DUMMYFUNCTION("IFERROR(ARRAYFORMULA(REGEXEXTRACT(A5,""^(?:https?:\/\/)?(?:[^@\n]+@)?(?:www\.)?([^:\/\n]+)"")),"""")"),"ahouseinthehills.com")</f>
        <v>ahouseinthehills.com</v>
      </c>
      <c r="C5" s="5" t="s">
        <v>5</v>
      </c>
      <c r="D5" s="5" t="s">
        <v>6</v>
      </c>
    </row>
    <row r="6" spans="1:4" ht="15.75" customHeight="1">
      <c r="A6" s="3" t="s">
        <v>10</v>
      </c>
      <c r="B6" s="4" t="str">
        <f ca="1">IFERROR(__xludf.DUMMYFUNCTION("IFERROR(ARRAYFORMULA(REGEXEXTRACT(A6,""^(?:https?:\/\/)?(?:[^@\n]+@)?(?:www\.)?([^:\/\n]+)"")),"""")"),"luxurialifestyle.com")</f>
        <v>luxurialifestyle.com</v>
      </c>
      <c r="C6" s="5" t="s">
        <v>5</v>
      </c>
      <c r="D6" s="5" t="s">
        <v>6</v>
      </c>
    </row>
    <row r="7" spans="1:4" ht="15.75" customHeight="1">
      <c r="A7" s="3" t="s">
        <v>11</v>
      </c>
      <c r="B7" s="4" t="str">
        <f ca="1">IFERROR(__xludf.DUMMYFUNCTION("IFERROR(ARRAYFORMULA(REGEXEXTRACT(A7,""^(?:https?:\/\/)?(?:[^@\n]+@)?(?:www\.)?([^:\/\n]+)"")),"""")"),"realestateko.com")</f>
        <v>realestateko.com</v>
      </c>
      <c r="C7" s="5" t="s">
        <v>5</v>
      </c>
      <c r="D7" s="5" t="s">
        <v>6</v>
      </c>
    </row>
    <row r="8" spans="1:4" ht="15.75" customHeight="1">
      <c r="A8" s="3" t="s">
        <v>12</v>
      </c>
      <c r="B8" s="4" t="str">
        <f ca="1">IFERROR(__xludf.DUMMYFUNCTION("IFERROR(ARRAYFORMULA(REGEXEXTRACT(A8,""^(?:https?:\/\/)?(?:[^@\n]+@)?(?:www\.)?([^:\/\n]+)"")),"""")"),"resident.com")</f>
        <v>resident.com</v>
      </c>
      <c r="C8" s="5" t="s">
        <v>5</v>
      </c>
      <c r="D8" s="5" t="s">
        <v>6</v>
      </c>
    </row>
    <row r="9" spans="1:4" ht="15.75" customHeight="1">
      <c r="A9" s="3" t="s">
        <v>13</v>
      </c>
      <c r="B9" s="4" t="str">
        <f ca="1">IFERROR(__xludf.DUMMYFUNCTION("IFERROR(ARRAYFORMULA(REGEXEXTRACT(A9,""^(?:https?:\/\/)?(?:[^@\n]+@)?(?:www\.)?([^:\/\n]+)"")),"""")"),"skyfiveproperties.com")</f>
        <v>skyfiveproperties.com</v>
      </c>
      <c r="C9" s="5" t="s">
        <v>5</v>
      </c>
      <c r="D9" s="5" t="s">
        <v>6</v>
      </c>
    </row>
    <row r="10" spans="1:4" ht="15.75" customHeight="1">
      <c r="A10" s="3" t="s">
        <v>14</v>
      </c>
      <c r="B10" s="4" t="str">
        <f ca="1">IFERROR(__xludf.DUMMYFUNCTION("IFERROR(ARRAYFORMULA(REGEXEXTRACT(A10,""^(?:https?:\/\/)?(?:[^@\n]+@)?(?:www\.)?([^:\/\n]+)"")),"""")"),"dreamlandestate.com")</f>
        <v>dreamlandestate.com</v>
      </c>
      <c r="C10" s="5" t="s">
        <v>5</v>
      </c>
      <c r="D10" s="5" t="s">
        <v>6</v>
      </c>
    </row>
    <row r="11" spans="1:4" ht="15.75" customHeight="1">
      <c r="A11" s="3" t="s">
        <v>15</v>
      </c>
      <c r="B11" s="4" t="str">
        <f ca="1">IFERROR(__xludf.DUMMYFUNCTION("IFERROR(ARRAYFORMULA(REGEXEXTRACT(A11,""^(?:https?:\/\/)?(?:[^@\n]+@)?(?:www\.)?([^:\/\n]+)"")),"""")"),"build-review.com")</f>
        <v>build-review.com</v>
      </c>
      <c r="C11" s="5" t="s">
        <v>5</v>
      </c>
      <c r="D11" s="5" t="s">
        <v>6</v>
      </c>
    </row>
    <row r="12" spans="1:4" ht="15.75" customHeight="1">
      <c r="A12" s="3" t="s">
        <v>16</v>
      </c>
      <c r="B12" s="4" t="str">
        <f ca="1">IFERROR(__xludf.DUMMYFUNCTION("IFERROR(ARRAYFORMULA(REGEXEXTRACT(A12,""^(?:https?:\/\/)?(?:[^@\n]+@)?(?:www\.)?([^:\/\n]+)"")),"""")"),"futuristarchitecture.com")</f>
        <v>futuristarchitecture.com</v>
      </c>
      <c r="C12" s="5" t="s">
        <v>5</v>
      </c>
      <c r="D12" s="5" t="s">
        <v>6</v>
      </c>
    </row>
    <row r="13" spans="1:4" ht="15.75" customHeight="1">
      <c r="A13" s="3" t="s">
        <v>17</v>
      </c>
      <c r="B13" s="4" t="str">
        <f ca="1">IFERROR(__xludf.DUMMYFUNCTION("IFERROR(ARRAYFORMULA(REGEXEXTRACT(A13,""^(?:https?:\/\/)?(?:[^@\n]+@)?(?:www\.)?([^:\/\n]+)"")),"""")"),"gemmalouise.co.uk")</f>
        <v>gemmalouise.co.uk</v>
      </c>
      <c r="C13" s="5" t="s">
        <v>5</v>
      </c>
      <c r="D13" s="5" t="s">
        <v>6</v>
      </c>
    </row>
    <row r="14" spans="1:4" ht="15.75" customHeight="1">
      <c r="A14" s="3" t="s">
        <v>18</v>
      </c>
      <c r="B14" s="4" t="str">
        <f ca="1">IFERROR(__xludf.DUMMYFUNCTION("IFERROR(ARRAYFORMULA(REGEXEXTRACT(A14,""^(?:https?:\/\/)?(?:[^@\n]+@)?(?:www\.)?([^:\/\n]+)"")),"""")"),"benoitproperties.com")</f>
        <v>benoitproperties.com</v>
      </c>
      <c r="C14" s="5" t="s">
        <v>5</v>
      </c>
      <c r="D14" s="5" t="s">
        <v>6</v>
      </c>
    </row>
    <row r="15" spans="1:4" ht="15.75" customHeight="1">
      <c r="A15" s="3" t="s">
        <v>19</v>
      </c>
      <c r="B15" s="4" t="str">
        <f ca="1">IFERROR(__xludf.DUMMYFUNCTION("IFERROR(ARRAYFORMULA(REGEXEXTRACT(A15,""^(?:https?:\/\/)?(?:[^@\n]+@)?(?:www\.)?([^:\/\n]+)"")),"""")"),"howardhanna.com")</f>
        <v>howardhanna.com</v>
      </c>
      <c r="C15" s="5" t="s">
        <v>5</v>
      </c>
      <c r="D15" s="5" t="s">
        <v>6</v>
      </c>
    </row>
    <row r="16" spans="1:4" ht="15.75" customHeight="1">
      <c r="A16" s="3" t="s">
        <v>20</v>
      </c>
      <c r="B16" s="4" t="str">
        <f ca="1">IFERROR(__xludf.DUMMYFUNCTION("IFERROR(ARRAYFORMULA(REGEXEXTRACT(A16,""^(?:https?:\/\/)?(?:[^@\n]+@)?(?:www\.)?([^:\/\n]+)"")),"""")"),"blog.herrealtors.com")</f>
        <v>blog.herrealtors.com</v>
      </c>
      <c r="C16" s="5" t="s">
        <v>5</v>
      </c>
      <c r="D16" s="5" t="s">
        <v>6</v>
      </c>
    </row>
    <row r="17" spans="1:4" ht="15.75" customHeight="1">
      <c r="A17" s="3" t="s">
        <v>21</v>
      </c>
      <c r="B17" s="4" t="str">
        <f ca="1">IFERROR(__xludf.DUMMYFUNCTION("IFERROR(ARRAYFORMULA(REGEXEXTRACT(A17,""^(?:https?:\/\/)?(?:[^@\n]+@)?(?:www\.)?([^:\/\n]+)"")),"""")"),"homewaresinsider.com")</f>
        <v>homewaresinsider.com</v>
      </c>
      <c r="C17" s="5" t="s">
        <v>5</v>
      </c>
      <c r="D17" s="5" t="s">
        <v>6</v>
      </c>
    </row>
    <row r="18" spans="1:4" ht="15.75" customHeight="1">
      <c r="A18" s="6" t="s">
        <v>22</v>
      </c>
      <c r="B18" s="4" t="str">
        <f ca="1">IFERROR(__xludf.DUMMYFUNCTION("IFERROR(ARRAYFORMULA(REGEXEXTRACT(A18,""^(?:https?:\/\/)?(?:[^@\n]+@)?(?:www\.)?([^:\/\n]+)"")),"""")"),"propertyunder50k.com")</f>
        <v>propertyunder50k.com</v>
      </c>
      <c r="C18" s="5" t="s">
        <v>5</v>
      </c>
      <c r="D18" s="5" t="s">
        <v>6</v>
      </c>
    </row>
    <row r="19" spans="1:4" ht="15.75" customHeight="1">
      <c r="A19" s="3" t="s">
        <v>23</v>
      </c>
      <c r="B19" s="4" t="str">
        <f ca="1">IFERROR(__xludf.DUMMYFUNCTION("IFERROR(ARRAYFORMULA(REGEXEXTRACT(A19,""^(?:https?:\/\/)?(?:[^@\n]+@)?(?:www\.)?([^:\/\n]+)"")),"""")"),"homeeguide.com")</f>
        <v>homeeguide.com</v>
      </c>
      <c r="C19" s="5" t="s">
        <v>5</v>
      </c>
      <c r="D19" s="5" t="s">
        <v>6</v>
      </c>
    </row>
    <row r="20" spans="1:4" ht="15.75" customHeight="1">
      <c r="A20" s="3" t="s">
        <v>24</v>
      </c>
      <c r="B20" s="4" t="str">
        <f ca="1">IFERROR(__xludf.DUMMYFUNCTION("IFERROR(ARRAYFORMULA(REGEXEXTRACT(A20,""^(?:https?:\/\/)?(?:[^@\n]+@)?(?:www\.)?([^:\/\n]+)"")),"""")"),"homelovr.com")</f>
        <v>homelovr.com</v>
      </c>
      <c r="C20" s="5" t="s">
        <v>5</v>
      </c>
      <c r="D20" s="5" t="s">
        <v>6</v>
      </c>
    </row>
    <row r="21" spans="1:4" ht="15.75" customHeight="1">
      <c r="A21" s="3" t="s">
        <v>25</v>
      </c>
      <c r="B21" s="4" t="str">
        <f ca="1">IFERROR(__xludf.DUMMYFUNCTION("IFERROR(ARRAYFORMULA(REGEXEXTRACT(A21,""^(?:https?:\/\/)?(?:[^@\n]+@)?(?:www\.)?([^:\/\n]+)"")),"""")"),"365businesstips.com")</f>
        <v>365businesstips.com</v>
      </c>
      <c r="C21" s="5" t="s">
        <v>5</v>
      </c>
      <c r="D21" s="5" t="s">
        <v>6</v>
      </c>
    </row>
    <row r="22" spans="1:4" ht="15.75" customHeight="1">
      <c r="A22" s="5" t="s">
        <v>26</v>
      </c>
      <c r="B22" s="7" t="str">
        <f ca="1">IFERROR(__xludf.DUMMYFUNCTION("IFERROR(ARRAYFORMULA(REGEXEXTRACT(A22,""^(?:https?:\/\/)?(?:[^@\n]+@)?(?:www\.)?([^:\/\n]+)"")),"""")"),"elemental.green")</f>
        <v>elemental.green</v>
      </c>
      <c r="C22" s="5" t="s">
        <v>27</v>
      </c>
      <c r="D22" s="5" t="s">
        <v>6</v>
      </c>
    </row>
    <row r="23" spans="1:4" ht="15.75" customHeight="1">
      <c r="A23" s="3" t="s">
        <v>28</v>
      </c>
      <c r="B23" s="4" t="str">
        <f ca="1">IFERROR(__xludf.DUMMYFUNCTION("IFERROR(ARRAYFORMULA(REGEXEXTRACT(A23,""^(?:https?:\/\/)?(?:[^@\n]+@)?(?:www\.)?([^:\/\n]+)"")),"""")"),"propertytalk.com")</f>
        <v>propertytalk.com</v>
      </c>
      <c r="C23" s="5" t="s">
        <v>27</v>
      </c>
      <c r="D23" s="5" t="s">
        <v>6</v>
      </c>
    </row>
    <row r="24" spans="1:4" ht="15.75" customHeight="1">
      <c r="A24" s="3" t="s">
        <v>29</v>
      </c>
      <c r="B24" s="4" t="str">
        <f ca="1">IFERROR(__xludf.DUMMYFUNCTION("IFERROR(ARRAYFORMULA(REGEXEXTRACT(A24,""^(?:https?:\/\/)?(?:[^@\n]+@)?(?:www\.)?([^:\/\n]+)"")),"""")"),"houzeo.com")</f>
        <v>houzeo.com</v>
      </c>
      <c r="C24" s="5" t="s">
        <v>27</v>
      </c>
      <c r="D24" s="5" t="s">
        <v>6</v>
      </c>
    </row>
    <row r="25" spans="1:4" ht="15.75" customHeight="1">
      <c r="A25" s="3" t="s">
        <v>30</v>
      </c>
      <c r="B25" s="4" t="str">
        <f ca="1">IFERROR(__xludf.DUMMYFUNCTION("IFERROR(ARRAYFORMULA(REGEXEXTRACT(A25,""^(?:https?:\/\/)?(?:[^@\n]+@)?(?:www\.)?([^:\/\n]+)"")),"""")"),"contractorsfromhell.com")</f>
        <v>contractorsfromhell.com</v>
      </c>
      <c r="C25" s="5" t="s">
        <v>27</v>
      </c>
      <c r="D25" s="5" t="s">
        <v>6</v>
      </c>
    </row>
    <row r="26" spans="1:4" ht="12.5">
      <c r="A26" s="8" t="s">
        <v>31</v>
      </c>
      <c r="B26" s="4" t="str">
        <f ca="1">IFERROR(__xludf.DUMMYFUNCTION("IFERROR(ARRAYFORMULA(REGEXEXTRACT(A26,""^(?:https?:\/\/)?(?:[^@\n]+@)?(?:www\.)?([^:\/\n]+)"")),"""")"),"kennarealestate.com")</f>
        <v>kennarealestate.com</v>
      </c>
      <c r="C26" s="5" t="s">
        <v>27</v>
      </c>
      <c r="D26" s="5" t="s">
        <v>32</v>
      </c>
    </row>
    <row r="27" spans="1:4" ht="12.5">
      <c r="A27" s="8" t="s">
        <v>33</v>
      </c>
      <c r="B27" s="4" t="str">
        <f ca="1">IFERROR(__xludf.DUMMYFUNCTION("IFERROR(ARRAYFORMULA(REGEXEXTRACT(A27,""^(?:https?:\/\/)?(?:[^@\n]+@)?(?:www\.)?([^:\/\n]+)"")),"""")"),"rentbottomline.com")</f>
        <v>rentbottomline.com</v>
      </c>
      <c r="C27" s="5" t="s">
        <v>34</v>
      </c>
      <c r="D27" s="5" t="s">
        <v>6</v>
      </c>
    </row>
    <row r="28" spans="1:4" ht="12.5">
      <c r="A28" s="3" t="s">
        <v>35</v>
      </c>
      <c r="B28" s="4" t="str">
        <f ca="1">IFERROR(__xludf.DUMMYFUNCTION("IFERROR(ARRAYFORMULA(REGEXEXTRACT(A28,""^(?:https?:\/\/)?(?:[^@\n]+@)?(?:www\.)?([^:\/\n]+)"")),"""")"),"lorddecor.com")</f>
        <v>lorddecor.com</v>
      </c>
      <c r="C28" s="5" t="s">
        <v>34</v>
      </c>
      <c r="D28" s="5" t="s">
        <v>6</v>
      </c>
    </row>
    <row r="29" spans="1:4" ht="12.5">
      <c r="A29" s="3" t="s">
        <v>36</v>
      </c>
      <c r="B29" s="4" t="str">
        <f ca="1">IFERROR(__xludf.DUMMYFUNCTION("IFERROR(ARRAYFORMULA(REGEXEXTRACT(A29,""^(?:https?:\/\/)?(?:[^@\n]+@)?(?:www\.)?([^:\/\n]+)"")),"""")"),"propertiesmiami.com")</f>
        <v>propertiesmiami.com</v>
      </c>
      <c r="C29" s="5" t="s">
        <v>34</v>
      </c>
      <c r="D29" s="5" t="s">
        <v>6</v>
      </c>
    </row>
    <row r="30" spans="1:4" ht="12.5">
      <c r="A30" s="3" t="s">
        <v>37</v>
      </c>
      <c r="B30" s="4" t="str">
        <f ca="1">IFERROR(__xludf.DUMMYFUNCTION("IFERROR(ARRAYFORMULA(REGEXEXTRACT(A30,""^(?:https?:\/\/)?(?:[^@\n]+@)?(?:www\.)?([^:\/\n]+)"")),"""")"),"tarasa.com")</f>
        <v>tarasa.com</v>
      </c>
      <c r="C30" s="5" t="s">
        <v>34</v>
      </c>
      <c r="D30" s="5" t="s">
        <v>6</v>
      </c>
    </row>
    <row r="31" spans="1:4" ht="12.5">
      <c r="A31" s="3" t="s">
        <v>38</v>
      </c>
      <c r="B31" s="4" t="str">
        <f ca="1">IFERROR(__xludf.DUMMYFUNCTION("IFERROR(ARRAYFORMULA(REGEXEXTRACT(A31,""^(?:https?:\/\/)?(?:[^@\n]+@)?(?:www\.)?([^:\/\n]+)"")),"""")"),"simpleshowing.com")</f>
        <v>simpleshowing.com</v>
      </c>
      <c r="C31" s="5" t="s">
        <v>5</v>
      </c>
      <c r="D31" s="5" t="s">
        <v>6</v>
      </c>
    </row>
    <row r="32" spans="1:4" ht="12.5">
      <c r="A32" s="9" t="s">
        <v>39</v>
      </c>
      <c r="B32" s="4" t="str">
        <f ca="1">IFERROR(__xludf.DUMMYFUNCTION("IFERROR(ARRAYFORMULA(REGEXEXTRACT(A32,""^(?:https?:\/\/)?(?:[^@\n]+@)?(?:www\.)?([^:\/\n]+)"")),"""")"),"nikkilevyinteriors.com")</f>
        <v>nikkilevyinteriors.com</v>
      </c>
      <c r="C32" s="5" t="s">
        <v>5</v>
      </c>
      <c r="D32" s="7"/>
    </row>
    <row r="33" spans="1:4" ht="12.5">
      <c r="A33" s="10" t="s">
        <v>40</v>
      </c>
      <c r="B33" s="4" t="str">
        <f ca="1">IFERROR(__xludf.DUMMYFUNCTION("IFERROR(ARRAYFORMULA(REGEXEXTRACT(A33,""^(?:https?:\/\/)?(?:[^@\n]+@)?(?:www\.)?([^:\/\n]+)"")),"""")"),"francescamorganinteriors.com")</f>
        <v>francescamorganinteriors.com</v>
      </c>
      <c r="C33" s="5" t="s">
        <v>5</v>
      </c>
      <c r="D33" s="7"/>
    </row>
    <row r="34" spans="1:4" ht="12.5">
      <c r="A34" s="9" t="s">
        <v>41</v>
      </c>
      <c r="B34" s="4" t="str">
        <f ca="1">IFERROR(__xludf.DUMMYFUNCTION("IFERROR(ARRAYFORMULA(REGEXEXTRACT(A34,""^(?:https?:\/\/)?(?:[^@\n]+@)?(?:www\.)?([^:\/\n]+)"")),"""")"),"sblonginteriors.com")</f>
        <v>sblonginteriors.com</v>
      </c>
      <c r="C34" s="5" t="s">
        <v>5</v>
      </c>
      <c r="D34" s="7"/>
    </row>
    <row r="35" spans="1:4" ht="12.5">
      <c r="A35" s="10" t="s">
        <v>42</v>
      </c>
      <c r="B35" s="4" t="str">
        <f ca="1">IFERROR(__xludf.DUMMYFUNCTION("IFERROR(ARRAYFORMULA(REGEXEXTRACT(A35,""^(?:https?:\/\/)?(?:[^@\n]+@)?(?:www\.)?([^:\/\n]+)"")),"""")"),"meredithmarlow.com")</f>
        <v>meredithmarlow.com</v>
      </c>
      <c r="C35" s="5" t="s">
        <v>5</v>
      </c>
      <c r="D35" s="7"/>
    </row>
    <row r="36" spans="1:4" ht="12.5">
      <c r="A36" s="9" t="s">
        <v>43</v>
      </c>
      <c r="B36" s="4" t="str">
        <f ca="1">IFERROR(__xludf.DUMMYFUNCTION("IFERROR(ARRAYFORMULA(REGEXEXTRACT(A36,""^(?:https?:\/\/)?(?:[^@\n]+@)?(?:www\.)?([^:\/\n]+)"")),"""")"),"designersmk.com")</f>
        <v>designersmk.com</v>
      </c>
      <c r="C36" s="5" t="s">
        <v>5</v>
      </c>
      <c r="D36" s="7"/>
    </row>
    <row r="37" spans="1:4" ht="12.5">
      <c r="A37" s="9" t="s">
        <v>44</v>
      </c>
      <c r="B37" s="4" t="str">
        <f ca="1">IFERROR(__xludf.DUMMYFUNCTION("IFERROR(ARRAYFORMULA(REGEXEXTRACT(A37,""^(?:https?:\/\/)?(?:[^@\n]+@)?(?:www\.)?([^:\/\n]+)"")),"""")"),"camila.decoratingden.com")</f>
        <v>camila.decoratingden.com</v>
      </c>
      <c r="C37" s="5" t="s">
        <v>5</v>
      </c>
      <c r="D37" s="7"/>
    </row>
    <row r="38" spans="1:4" ht="12.5">
      <c r="A38" s="9" t="s">
        <v>45</v>
      </c>
      <c r="B38" s="4" t="str">
        <f ca="1">IFERROR(__xludf.DUMMYFUNCTION("IFERROR(ARRAYFORMULA(REGEXEXTRACT(A38,""^(?:https?:\/\/)?(?:[^@\n]+@)?(?:www\.)?([^:\/\n]+)"")),"""")"),"lisagilmoredesign.com")</f>
        <v>lisagilmoredesign.com</v>
      </c>
      <c r="C38" s="5" t="s">
        <v>5</v>
      </c>
      <c r="D38" s="7"/>
    </row>
    <row r="39" spans="1:4" ht="12.5">
      <c r="A39" s="9" t="s">
        <v>46</v>
      </c>
      <c r="B39" s="4" t="str">
        <f ca="1">IFERROR(__xludf.DUMMYFUNCTION("IFERROR(ARRAYFORMULA(REGEXEXTRACT(A39,""^(?:https?:\/\/)?(?:[^@\n]+@)?(?:www\.)?([^:\/\n]+)"")),"""")"),"dkorinteriors.com")</f>
        <v>dkorinteriors.com</v>
      </c>
      <c r="C39" s="5" t="s">
        <v>5</v>
      </c>
      <c r="D39" s="7"/>
    </row>
    <row r="40" spans="1:4" ht="12.5">
      <c r="A40" s="9" t="s">
        <v>47</v>
      </c>
      <c r="B40" s="4" t="str">
        <f ca="1">IFERROR(__xludf.DUMMYFUNCTION("IFERROR(ARRAYFORMULA(REGEXEXTRACT(A40,""^(?:https?:\/\/)?(?:[^@\n]+@)?(?:www\.)?([^:\/\n]+)"")),"""")"),"interiorsbysteveng.com")</f>
        <v>interiorsbysteveng.com</v>
      </c>
      <c r="C40" s="5" t="s">
        <v>5</v>
      </c>
      <c r="D40" s="7"/>
    </row>
    <row r="41" spans="1:4" ht="12.5">
      <c r="A41" s="9" t="s">
        <v>48</v>
      </c>
      <c r="B41" s="4" t="str">
        <f ca="1">IFERROR(__xludf.DUMMYFUNCTION("IFERROR(ARRAYFORMULA(REGEXEXTRACT(A41,""^(?:https?:\/\/)?(?:[^@\n]+@)?(?:www\.)?([^:\/\n]+)"")),"""")"),"collinsandcointeriors.com")</f>
        <v>collinsandcointeriors.com</v>
      </c>
      <c r="C41" s="5" t="s">
        <v>5</v>
      </c>
      <c r="D41" s="7"/>
    </row>
    <row r="42" spans="1:4" ht="12.5">
      <c r="A42" s="9" t="s">
        <v>49</v>
      </c>
      <c r="B42" s="4" t="str">
        <f ca="1">IFERROR(__xludf.DUMMYFUNCTION("IFERROR(ARRAYFORMULA(REGEXEXTRACT(A42,""^(?:https?:\/\/)?(?:[^@\n]+@)?(?:www\.)?([^:\/\n]+)"")),"""")"),"blog.mrsteam.com")</f>
        <v>blog.mrsteam.com</v>
      </c>
      <c r="C42" s="5" t="s">
        <v>5</v>
      </c>
      <c r="D42" s="7"/>
    </row>
    <row r="43" spans="1:4" ht="12.5">
      <c r="A43" s="9" t="s">
        <v>50</v>
      </c>
      <c r="B43" s="4" t="str">
        <f ca="1">IFERROR(__xludf.DUMMYFUNCTION("IFERROR(ARRAYFORMULA(REGEXEXTRACT(A43,""^(?:https?:\/\/)?(?:[^@\n]+@)?(?:www\.)?([^:\/\n]+)"")),"""")"),"huntingforrubies.com")</f>
        <v>huntingforrubies.com</v>
      </c>
      <c r="C43" s="5" t="s">
        <v>5</v>
      </c>
      <c r="D43" s="7"/>
    </row>
    <row r="44" spans="1:4" ht="12.5">
      <c r="A44" s="9" t="s">
        <v>51</v>
      </c>
      <c r="B44" s="4" t="str">
        <f ca="1">IFERROR(__xludf.DUMMYFUNCTION("IFERROR(ARRAYFORMULA(REGEXEXTRACT(A44,""^(?:https?:\/\/)?(?:[^@\n]+@)?(?:www\.)?([^:\/\n]+)"")),"""")"),"truesouthcoastalhomes.com")</f>
        <v>truesouthcoastalhomes.com</v>
      </c>
      <c r="C44" s="5" t="s">
        <v>5</v>
      </c>
      <c r="D44" s="7"/>
    </row>
    <row r="45" spans="1:4" ht="12.5">
      <c r="A45" s="9" t="s">
        <v>52</v>
      </c>
      <c r="B45" s="4" t="str">
        <f ca="1">IFERROR(__xludf.DUMMYFUNCTION("IFERROR(ARRAYFORMULA(REGEXEXTRACT(A45,""^(?:https?:\/\/)?(?:[^@\n]+@)?(?:www\.)?([^:\/\n]+)"")),"""")"),"project-sleep.com")</f>
        <v>project-sleep.com</v>
      </c>
      <c r="C45" s="5" t="s">
        <v>5</v>
      </c>
      <c r="D45" s="7"/>
    </row>
    <row r="46" spans="1:4" ht="12.5">
      <c r="A46" s="9" t="s">
        <v>53</v>
      </c>
      <c r="B46" s="4" t="str">
        <f ca="1">IFERROR(__xludf.DUMMYFUNCTION("IFERROR(ARRAYFORMULA(REGEXEXTRACT(A46,""^(?:https?:\/\/)?(?:[^@\n]+@)?(?:www\.)?([^:\/\n]+)"")),"""")"),"southfloridainjurylawfirm.com")</f>
        <v>southfloridainjurylawfirm.com</v>
      </c>
      <c r="C46" s="5" t="s">
        <v>5</v>
      </c>
      <c r="D46" s="7"/>
    </row>
    <row r="47" spans="1:4" ht="12.5">
      <c r="A47" s="9" t="s">
        <v>54</v>
      </c>
      <c r="B47" s="4" t="str">
        <f ca="1">IFERROR(__xludf.DUMMYFUNCTION("IFERROR(ARRAYFORMULA(REGEXEXTRACT(A47,""^(?:https?:\/\/)?(?:[^@\n]+@)?(?:www\.)?([^:\/\n]+)"")),"""")"),"sarmlife.com")</f>
        <v>sarmlife.com</v>
      </c>
      <c r="C47" s="5" t="s">
        <v>5</v>
      </c>
      <c r="D47" s="7"/>
    </row>
    <row r="48" spans="1:4" ht="12.5">
      <c r="A48" s="9" t="s">
        <v>55</v>
      </c>
      <c r="B48" s="4" t="str">
        <f ca="1">IFERROR(__xludf.DUMMYFUNCTION("IFERROR(ARRAYFORMULA(REGEXEXTRACT(A48,""^(?:https?:\/\/)?(?:[^@\n]+@)?(?:www\.)?([^:\/\n]+)"")),"""")"),"homeia.com")</f>
        <v>homeia.com</v>
      </c>
      <c r="C48" s="5" t="s">
        <v>5</v>
      </c>
      <c r="D48" s="7"/>
    </row>
    <row r="49" spans="1:4" ht="12.5">
      <c r="A49" s="9" t="s">
        <v>56</v>
      </c>
      <c r="B49" s="4" t="str">
        <f ca="1">IFERROR(__xludf.DUMMYFUNCTION("IFERROR(ARRAYFORMULA(REGEXEXTRACT(A49,""^(?:https?:\/\/)?(?:[^@\n]+@)?(?:www\.)?([^:\/\n]+)"")),"""")"),"wppopupmaker.com")</f>
        <v>wppopupmaker.com</v>
      </c>
      <c r="C49" s="5" t="s">
        <v>5</v>
      </c>
      <c r="D49" s="7"/>
    </row>
    <row r="50" spans="1:4" ht="12.5">
      <c r="A50" s="9" t="s">
        <v>57</v>
      </c>
      <c r="B50" s="4" t="str">
        <f ca="1">IFERROR(__xludf.DUMMYFUNCTION("IFERROR(ARRAYFORMULA(REGEXEXTRACT(A50,""^(?:https?:\/\/)?(?:[^@\n]+@)?(?:www\.)?([^:\/\n]+)"")),"""")"),"speedingticketkc.com")</f>
        <v>speedingticketkc.com</v>
      </c>
      <c r="C50" s="5" t="s">
        <v>5</v>
      </c>
      <c r="D50" s="7"/>
    </row>
    <row r="51" spans="1:4" ht="12.5">
      <c r="A51" s="9" t="s">
        <v>58</v>
      </c>
      <c r="B51" s="4" t="str">
        <f ca="1">IFERROR(__xludf.DUMMYFUNCTION("IFERROR(ARRAYFORMULA(REGEXEXTRACT(A51,""^(?:https?:\/\/)?(?:[^@\n]+@)?(?:www\.)?([^:\/\n]+)"")),"""")"),"legalfuel.com")</f>
        <v>legalfuel.com</v>
      </c>
      <c r="C51" s="5" t="s">
        <v>5</v>
      </c>
      <c r="D51" s="7"/>
    </row>
    <row r="52" spans="1:4" ht="12.5">
      <c r="A52" s="9" t="s">
        <v>59</v>
      </c>
      <c r="B52" s="4" t="str">
        <f ca="1">IFERROR(__xludf.DUMMYFUNCTION("IFERROR(ARRAYFORMULA(REGEXEXTRACT(A52,""^(?:https?:\/\/)?(?:[^@\n]+@)?(?:www\.)?([^:\/\n]+)"")),"""")"),"haimolaw.com")</f>
        <v>haimolaw.com</v>
      </c>
      <c r="C52" s="5" t="s">
        <v>5</v>
      </c>
      <c r="D52" s="7"/>
    </row>
    <row r="53" spans="1:4" ht="12.5">
      <c r="A53" s="9" t="s">
        <v>60</v>
      </c>
      <c r="B53" s="4" t="str">
        <f ca="1">IFERROR(__xludf.DUMMYFUNCTION("IFERROR(ARRAYFORMULA(REGEXEXTRACT(A53,""^(?:https?:\/\/)?(?:[^@\n]+@)?(?:www\.)?([^:\/\n]+)"")),"""")"),"goodmenproject.com")</f>
        <v>goodmenproject.com</v>
      </c>
      <c r="C53" s="5" t="s">
        <v>5</v>
      </c>
      <c r="D53" s="7"/>
    </row>
    <row r="54" spans="1:4" ht="12.5">
      <c r="A54" s="8" t="s">
        <v>61</v>
      </c>
      <c r="B54" s="4" t="str">
        <f ca="1">IFERROR(__xludf.DUMMYFUNCTION("IFERROR(ARRAYFORMULA(REGEXEXTRACT(A54,""^(?:https?:\/\/)?(?:[^@\n]+@)?(?:www\.)?([^:\/\n]+)"")),"""")"),"pamelaharveyinteriors.com")</f>
        <v>pamelaharveyinteriors.com</v>
      </c>
      <c r="C54" s="5" t="s">
        <v>5</v>
      </c>
      <c r="D54" s="7"/>
    </row>
    <row r="55" spans="1:4" ht="12.5">
      <c r="A55" s="8" t="s">
        <v>62</v>
      </c>
      <c r="B55" s="4" t="str">
        <f ca="1">IFERROR(__xludf.DUMMYFUNCTION("IFERROR(ARRAYFORMULA(REGEXEXTRACT(A55,""^(?:https?:\/\/)?(?:[^@\n]+@)?(?:www\.)?([^:\/\n]+)"")),"""")"),"decorilla.com")</f>
        <v>decorilla.com</v>
      </c>
      <c r="C55" s="5" t="s">
        <v>5</v>
      </c>
      <c r="D55" s="7"/>
    </row>
    <row r="56" spans="1:4" ht="12.5">
      <c r="A56" s="8" t="s">
        <v>63</v>
      </c>
      <c r="B56" s="4" t="str">
        <f ca="1">IFERROR(__xludf.DUMMYFUNCTION("IFERROR(ARRAYFORMULA(REGEXEXTRACT(A56,""^(?:https?:\/\/)?(?:[^@\n]+@)?(?:www\.)?([^:\/\n]+)"")),"""")"),"collins-dupont.com")</f>
        <v>collins-dupont.com</v>
      </c>
      <c r="C56" s="5" t="s">
        <v>5</v>
      </c>
      <c r="D56" s="7"/>
    </row>
    <row r="57" spans="1:4" ht="12.5">
      <c r="A57" s="8" t="s">
        <v>64</v>
      </c>
      <c r="B57" s="4" t="str">
        <f ca="1">IFERROR(__xludf.DUMMYFUNCTION("IFERROR(ARRAYFORMULA(REGEXEXTRACT(A57,""^(?:https?:\/\/)?(?:[^@\n]+@)?(?:www\.)?([^:\/\n]+)"")),"""")"),"gcinteriordesign.com")</f>
        <v>gcinteriordesign.com</v>
      </c>
      <c r="C57" s="5" t="s">
        <v>5</v>
      </c>
      <c r="D57" s="7"/>
    </row>
    <row r="58" spans="1:4" ht="12.5">
      <c r="A58" s="8" t="s">
        <v>65</v>
      </c>
      <c r="B58" s="4" t="str">
        <f ca="1">IFERROR(__xludf.DUMMYFUNCTION("IFERROR(ARRAYFORMULA(REGEXEXTRACT(A58,""^(?:https?:\/\/)?(?:[^@\n]+@)?(?:www\.)?([^:\/\n]+)"")),"""")"),"kristahome.com")</f>
        <v>kristahome.com</v>
      </c>
      <c r="C58" s="5" t="s">
        <v>5</v>
      </c>
      <c r="D58" s="7"/>
    </row>
    <row r="59" spans="1:4" ht="12.5">
      <c r="A59" s="8" t="s">
        <v>66</v>
      </c>
      <c r="B59" s="4" t="str">
        <f ca="1">IFERROR(__xludf.DUMMYFUNCTION("IFERROR(ARRAYFORMULA(REGEXEXTRACT(A59,""^(?:https?:\/\/)?(?:[^@\n]+@)?(?:www\.)?([^:\/\n]+)"")),"""")"),"idlawshop.com")</f>
        <v>idlawshop.com</v>
      </c>
      <c r="C59" s="5" t="s">
        <v>5</v>
      </c>
      <c r="D59" s="7"/>
    </row>
    <row r="60" spans="1:4" ht="12.5">
      <c r="A60" s="8" t="s">
        <v>67</v>
      </c>
      <c r="B60" s="4" t="str">
        <f ca="1">IFERROR(__xludf.DUMMYFUNCTION("IFERROR(ARRAYFORMULA(REGEXEXTRACT(A60,""^(?:https?:\/\/)?(?:[^@\n]+@)?(?:www\.)?([^:\/\n]+)"")),"""")"),"splendidhomedesign.com")</f>
        <v>splendidhomedesign.com</v>
      </c>
      <c r="C60" s="5" t="s">
        <v>5</v>
      </c>
      <c r="D60" s="7"/>
    </row>
    <row r="61" spans="1:4" ht="12.5">
      <c r="A61" s="8" t="s">
        <v>68</v>
      </c>
      <c r="B61" s="4" t="str">
        <f ca="1">IFERROR(__xludf.DUMMYFUNCTION("IFERROR(ARRAYFORMULA(REGEXEXTRACT(A61,""^(?:https?:\/\/)?(?:[^@\n]+@)?(?:www\.)?([^:\/\n]+)"")),"""")"),"captivahomedesign.com")</f>
        <v>captivahomedesign.com</v>
      </c>
      <c r="C61" s="5" t="s">
        <v>5</v>
      </c>
      <c r="D61" s="7"/>
    </row>
    <row r="62" spans="1:4" ht="12.5">
      <c r="A62" s="8" t="s">
        <v>69</v>
      </c>
      <c r="B62" s="4" t="str">
        <f ca="1">IFERROR(__xludf.DUMMYFUNCTION("IFERROR(ARRAYFORMULA(REGEXEXTRACT(A62,""^(?:https?:\/\/)?(?:[^@\n]+@)?(?:www\.)?([^:\/\n]+)"")),"""")"),"studio790.com")</f>
        <v>studio790.com</v>
      </c>
      <c r="C62" s="5" t="s">
        <v>5</v>
      </c>
      <c r="D62" s="7"/>
    </row>
    <row r="63" spans="1:4" ht="12.5">
      <c r="A63" s="8" t="s">
        <v>70</v>
      </c>
      <c r="B63" s="4" t="str">
        <f ca="1">IFERROR(__xludf.DUMMYFUNCTION("IFERROR(ARRAYFORMULA(REGEXEXTRACT(A63,""^(?:https?:\/\/)?(?:[^@\n]+@)?(?:www\.)?([^:\/\n]+)"")),"""")"),"margaritabravo.com")</f>
        <v>margaritabravo.com</v>
      </c>
      <c r="C63" s="5" t="s">
        <v>5</v>
      </c>
      <c r="D63" s="7"/>
    </row>
    <row r="64" spans="1:4" ht="12.5">
      <c r="A64" s="8" t="s">
        <v>71</v>
      </c>
      <c r="B64" s="4" t="str">
        <f ca="1">IFERROR(__xludf.DUMMYFUNCTION("IFERROR(ARRAYFORMULA(REGEXEXTRACT(A64,""^(?:https?:\/\/)?(?:[^@\n]+@)?(?:www\.)?([^:\/\n]+)"")),"""")"),"dwest.com")</f>
        <v>dwest.com</v>
      </c>
      <c r="C64" s="5" t="s">
        <v>5</v>
      </c>
    </row>
    <row r="65" spans="1:4" ht="12.5">
      <c r="A65" s="8" t="s">
        <v>72</v>
      </c>
      <c r="B65" s="4" t="str">
        <f ca="1">IFERROR(__xludf.DUMMYFUNCTION("IFERROR(ARRAYFORMULA(REGEXEXTRACT(A65,""^(?:https?:\/\/)?(?:[^@\n]+@)?(?:www\.)?([^:\/\n]+)"")),"""")"),"jdesigngroup.com")</f>
        <v>jdesigngroup.com</v>
      </c>
      <c r="C65" s="5" t="s">
        <v>5</v>
      </c>
    </row>
    <row r="66" spans="1:4" ht="12.5">
      <c r="A66" s="8" t="s">
        <v>73</v>
      </c>
      <c r="B66" s="4" t="str">
        <f ca="1">IFERROR(__xludf.DUMMYFUNCTION("IFERROR(ARRAYFORMULA(REGEXEXTRACT(A66,""^(?:https?:\/\/)?(?:[^@\n]+@)?(?:www\.)?([^:\/\n]+)"")),"""")"),"baers.com")</f>
        <v>baers.com</v>
      </c>
      <c r="C66" s="5" t="s">
        <v>5</v>
      </c>
    </row>
    <row r="67" spans="1:4" ht="12.5">
      <c r="A67" s="8" t="s">
        <v>74</v>
      </c>
      <c r="B67" s="4" t="str">
        <f ca="1">IFERROR(__xludf.DUMMYFUNCTION("IFERROR(ARRAYFORMULA(REGEXEXTRACT(A67,""^(?:https?:\/\/)?(?:[^@\n]+@)?(?:www\.)?([^:\/\n]+)"")),"""")"),"lolainteriors.com")</f>
        <v>lolainteriors.com</v>
      </c>
      <c r="C67" s="5" t="s">
        <v>5</v>
      </c>
    </row>
    <row r="68" spans="1:4" ht="12.5">
      <c r="A68" s="8" t="s">
        <v>75</v>
      </c>
      <c r="B68" s="4" t="str">
        <f ca="1">IFERROR(__xludf.DUMMYFUNCTION("IFERROR(ARRAYFORMULA(REGEXEXTRACT(A68,""^(?:https?:\/\/)?(?:[^@\n]+@)?(?:www\.)?([^:\/\n]+)"")),"""")"),"floridalivingquarters.com")</f>
        <v>floridalivingquarters.com</v>
      </c>
      <c r="C68" s="5" t="s">
        <v>5</v>
      </c>
    </row>
    <row r="69" spans="1:4" ht="12.5">
      <c r="A69" s="8" t="s">
        <v>76</v>
      </c>
      <c r="B69" s="4" t="str">
        <f ca="1">IFERROR(__xludf.DUMMYFUNCTION("IFERROR(ARRAYFORMULA(REGEXEXTRACT(A69,""^(?:https?:\/\/)?(?:[^@\n]+@)?(?:www\.)?([^:\/\n]+)"")),"""")"),"sarahzdesigns.com")</f>
        <v>sarahzdesigns.com</v>
      </c>
      <c r="C69" s="5" t="s">
        <v>5</v>
      </c>
    </row>
    <row r="70" spans="1:4" ht="12.5">
      <c r="A70" s="8" t="s">
        <v>77</v>
      </c>
      <c r="B70" s="4" t="str">
        <f ca="1">IFERROR(__xludf.DUMMYFUNCTION("IFERROR(ARRAYFORMULA(REGEXEXTRACT(A70,""^(?:https?:\/\/)?(?:[^@\n]+@)?(?:www\.)?([^:\/\n]+)"")),"""")"),"studioidc.com")</f>
        <v>studioidc.com</v>
      </c>
      <c r="C70" s="5" t="s">
        <v>5</v>
      </c>
    </row>
    <row r="71" spans="1:4" ht="12.5">
      <c r="A71" s="8" t="s">
        <v>78</v>
      </c>
      <c r="B71" s="4" t="str">
        <f ca="1">IFERROR(__xludf.DUMMYFUNCTION("IFERROR(ARRAYFORMULA(REGEXEXTRACT(A71,""^(?:https?:\/\/)?(?:[^@\n]+@)?(?:www\.)?([^:\/\n]+)"")),"""")"),"2idinteriors.com")</f>
        <v>2idinteriors.com</v>
      </c>
      <c r="C71" s="5" t="s">
        <v>5</v>
      </c>
    </row>
    <row r="72" spans="1:4" ht="12.5">
      <c r="A72" s="8" t="s">
        <v>79</v>
      </c>
      <c r="B72" s="4" t="str">
        <f ca="1">IFERROR(__xludf.DUMMYFUNCTION("IFERROR(ARRAYFORMULA(REGEXEXTRACT(A72,""^(?:https?:\/\/)?(?:[^@\n]+@)?(?:www\.)?([^:\/\n]+)"")),"""")"),"yourdesignpartner.com")</f>
        <v>yourdesignpartner.com</v>
      </c>
      <c r="C72" s="5" t="s">
        <v>5</v>
      </c>
    </row>
    <row r="73" spans="1:4" ht="12.5">
      <c r="A73" s="8" t="s">
        <v>80</v>
      </c>
      <c r="B73" s="4" t="str">
        <f ca="1">IFERROR(__xludf.DUMMYFUNCTION("IFERROR(ARRAYFORMULA(REGEXEXTRACT(A73,""^(?:https?:\/\/)?(?:[^@\n]+@)?(?:www\.)?([^:\/\n]+)"")),"""")"),"spectacularspaces.com")</f>
        <v>spectacularspaces.com</v>
      </c>
      <c r="C73" s="5" t="s">
        <v>5</v>
      </c>
    </row>
    <row r="74" spans="1:4" ht="12.5">
      <c r="A74" s="8" t="s">
        <v>81</v>
      </c>
      <c r="B74" s="4" t="str">
        <f ca="1">IFERROR(__xludf.DUMMYFUNCTION("IFERROR(ARRAYFORMULA(REGEXEXTRACT(A74,""^(?:https?:\/\/)?(?:[^@\n]+@)?(?:www\.)?([^:\/\n]+)"")),"""")"),"brew-hound.com")</f>
        <v>brew-hound.com</v>
      </c>
      <c r="C74" s="5" t="s">
        <v>5</v>
      </c>
    </row>
    <row r="75" spans="1:4" ht="12.5">
      <c r="A75" s="8" t="s">
        <v>82</v>
      </c>
      <c r="B75" s="4" t="str">
        <f ca="1">IFERROR(__xludf.DUMMYFUNCTION("IFERROR(ARRAYFORMULA(REGEXEXTRACT(A75,""^(?:https?:\/\/)?(?:[^@\n]+@)?(?:www\.)?([^:\/\n]+)"")),"""")"),"discoverfortmose.com")</f>
        <v>discoverfortmose.com</v>
      </c>
      <c r="C75" s="5" t="s">
        <v>5</v>
      </c>
    </row>
    <row r="76" spans="1:4" ht="12.5">
      <c r="A76" s="8" t="s">
        <v>83</v>
      </c>
      <c r="B76" s="4" t="str">
        <f ca="1">IFERROR(__xludf.DUMMYFUNCTION("IFERROR(ARRAYFORMULA(REGEXEXTRACT(A76,""^(?:https?:\/\/)?(?:[^@\n]+@)?(?:www\.)?([^:\/\n]+)"")),"""")"),"wanderthemap.com")</f>
        <v>wanderthemap.com</v>
      </c>
      <c r="C76" s="5" t="s">
        <v>5</v>
      </c>
    </row>
    <row r="77" spans="1:4" ht="12.5">
      <c r="A77" s="8" t="s">
        <v>84</v>
      </c>
      <c r="B77" s="4" t="str">
        <f ca="1">IFERROR(__xludf.DUMMYFUNCTION("IFERROR(ARRAYFORMULA(REGEXEXTRACT(A77,""^(?:https?:\/\/)?(?:[^@\n]+@)?(?:www\.)?([^:\/\n]+)"")),"""")"),"theinsatiabletraveler.com")</f>
        <v>theinsatiabletraveler.com</v>
      </c>
      <c r="C77" s="5" t="s">
        <v>5</v>
      </c>
    </row>
    <row r="78" spans="1:4" ht="12.5">
      <c r="A78" s="8" t="s">
        <v>85</v>
      </c>
      <c r="B78" s="4" t="str">
        <f ca="1">IFERROR(__xludf.DUMMYFUNCTION("IFERROR(ARRAYFORMULA(REGEXEXTRACT(A78,""^(?:https?:\/\/)?(?:[^@\n]+@)?(?:www\.)?([^:\/\n]+)"")),"""")"),"katemotaung.com")</f>
        <v>katemotaung.com</v>
      </c>
      <c r="C78" s="5" t="s">
        <v>5</v>
      </c>
    </row>
    <row r="79" spans="1:4" ht="12.5">
      <c r="A79" s="8" t="s">
        <v>86</v>
      </c>
      <c r="B79" s="4" t="str">
        <f ca="1">IFERROR(__xludf.DUMMYFUNCTION("IFERROR(ARRAYFORMULA(REGEXEXTRACT(A79,""^(?:https?:\/\/)?(?:[^@\n]+@)?(?:www\.)?([^:\/\n]+)"")),"""")"),"cos.io")</f>
        <v>cos.io</v>
      </c>
      <c r="C79" s="5" t="s">
        <v>5</v>
      </c>
      <c r="D79" s="7"/>
    </row>
    <row r="80" spans="1:4" ht="12.5">
      <c r="A80" s="8" t="s">
        <v>87</v>
      </c>
      <c r="B80" s="4" t="str">
        <f ca="1">IFERROR(__xludf.DUMMYFUNCTION("IFERROR(ARRAYFORMULA(REGEXEXTRACT(A80,""^(?:https?:\/\/)?(?:[^@\n]+@)?(?:www\.)?([^:\/\n]+)"")),"""")"),"dandodiary.com")</f>
        <v>dandodiary.com</v>
      </c>
      <c r="C80" s="5" t="s">
        <v>5</v>
      </c>
      <c r="D80" s="7"/>
    </row>
    <row r="81" spans="1:4" ht="12.5">
      <c r="A81" s="8" t="s">
        <v>88</v>
      </c>
      <c r="B81" s="4" t="str">
        <f ca="1">IFERROR(__xludf.DUMMYFUNCTION("IFERROR(ARRAYFORMULA(REGEXEXTRACT(A81,""^(?:https?:\/\/)?(?:[^@\n]+@)?(?:www\.)?([^:\/\n]+)"")),"""")"),"floridasmart.com")</f>
        <v>floridasmart.com</v>
      </c>
      <c r="C81" s="5" t="s">
        <v>5</v>
      </c>
      <c r="D81" s="7"/>
    </row>
    <row r="82" spans="1:4" ht="12.5">
      <c r="A82" s="8" t="s">
        <v>89</v>
      </c>
      <c r="B82" s="4" t="str">
        <f ca="1">IFERROR(__xludf.DUMMYFUNCTION("IFERROR(ARRAYFORMULA(REGEXEXTRACT(A82,""^(?:https?:\/\/)?(?:[^@\n]+@)?(?:www\.)?([^:\/\n]+)"")),"""")"),"myshingle.com")</f>
        <v>myshingle.com</v>
      </c>
      <c r="C82" s="5" t="s">
        <v>5</v>
      </c>
      <c r="D82" s="7"/>
    </row>
    <row r="83" spans="1:4" ht="12.5">
      <c r="A83" s="8" t="s">
        <v>90</v>
      </c>
      <c r="B83" s="4" t="str">
        <f ca="1">IFERROR(__xludf.DUMMYFUNCTION("IFERROR(ARRAYFORMULA(REGEXEXTRACT(A83,""^(?:https?:\/\/)?(?:[^@\n]+@)?(?:www\.)?([^:\/\n]+)"")),"""")"),"honeybeesuite.com")</f>
        <v>honeybeesuite.com</v>
      </c>
      <c r="C83" s="5" t="s">
        <v>5</v>
      </c>
      <c r="D83" s="7"/>
    </row>
    <row r="84" spans="1:4" ht="12.5">
      <c r="A84" s="8" t="s">
        <v>91</v>
      </c>
      <c r="B84" s="4" t="str">
        <f ca="1">IFERROR(__xludf.DUMMYFUNCTION("IFERROR(ARRAYFORMULA(REGEXEXTRACT(A84,""^(?:https?:\/\/)?(?:[^@\n]+@)?(?:www\.)?([^:\/\n]+)"")),"""")"),"projectwet.org")</f>
        <v>projectwet.org</v>
      </c>
      <c r="C84" s="5" t="s">
        <v>5</v>
      </c>
      <c r="D84" s="7"/>
    </row>
    <row r="85" spans="1:4" ht="12.5">
      <c r="A85" s="8" t="s">
        <v>92</v>
      </c>
      <c r="B85" s="4" t="str">
        <f ca="1">IFERROR(__xludf.DUMMYFUNCTION("IFERROR(ARRAYFORMULA(REGEXEXTRACT(A85,""^(?:https?:\/\/)?(?:[^@\n]+@)?(?:www\.)?([^:\/\n]+)"")),"""")"),"weekendtimes.com.au")</f>
        <v>weekendtimes.com.au</v>
      </c>
      <c r="C85" s="5" t="s">
        <v>5</v>
      </c>
      <c r="D85" s="7"/>
    </row>
    <row r="86" spans="1:4" ht="12.5">
      <c r="A86" s="8" t="s">
        <v>93</v>
      </c>
      <c r="B86" s="4" t="str">
        <f ca="1">IFERROR(__xludf.DUMMYFUNCTION("IFERROR(ARRAYFORMULA(REGEXEXTRACT(A86,""^(?:https?:\/\/)?(?:[^@\n]+@)?(?:www\.)?([^:\/\n]+)"")),"""")"),"lastwordonnothing.com")</f>
        <v>lastwordonnothing.com</v>
      </c>
      <c r="C86" s="5" t="s">
        <v>5</v>
      </c>
      <c r="D86" s="7"/>
    </row>
    <row r="87" spans="1:4" ht="12.5">
      <c r="A87" s="8" t="s">
        <v>94</v>
      </c>
      <c r="B87" s="4" t="str">
        <f ca="1">IFERROR(__xludf.DUMMYFUNCTION("IFERROR(ARRAYFORMULA(REGEXEXTRACT(A87,""^(?:https?:\/\/)?(?:[^@\n]+@)?(?:www\.)?([^:\/\n]+)"")),"""")"),"familylawprotection.com")</f>
        <v>familylawprotection.com</v>
      </c>
      <c r="C87" s="5" t="s">
        <v>5</v>
      </c>
      <c r="D87" s="7"/>
    </row>
    <row r="88" spans="1:4" ht="12.5">
      <c r="A88" s="8" t="s">
        <v>95</v>
      </c>
      <c r="B88" s="4" t="str">
        <f ca="1">IFERROR(__xludf.DUMMYFUNCTION("IFERROR(ARRAYFORMULA(REGEXEXTRACT(A88,""^(?:https?:\/\/)?(?:[^@\n]+@)?(?:www\.)?([^:\/\n]+)"")),"""")"),"bookcritics.org")</f>
        <v>bookcritics.org</v>
      </c>
      <c r="C88" s="5" t="s">
        <v>5</v>
      </c>
      <c r="D88" s="7"/>
    </row>
    <row r="89" spans="1:4" ht="12.5">
      <c r="A89" s="8" t="s">
        <v>96</v>
      </c>
      <c r="B89" s="4" t="str">
        <f ca="1">IFERROR(__xludf.DUMMYFUNCTION("IFERROR(ARRAYFORMULA(REGEXEXTRACT(A89,""^(?:https?:\/\/)?(?:[^@\n]+@)?(?:www\.)?([^:\/\n]+)"")),"""")"),"christianleedesign.com")</f>
        <v>christianleedesign.com</v>
      </c>
      <c r="C89" s="5"/>
      <c r="D89" s="7"/>
    </row>
    <row r="90" spans="1:4" ht="12.5">
      <c r="A90" s="8" t="s">
        <v>97</v>
      </c>
      <c r="B90" s="4" t="str">
        <f ca="1">IFERROR(__xludf.DUMMYFUNCTION("IFERROR(ARRAYFORMULA(REGEXEXTRACT(A90,""^(?:https?:\/\/)?(?:[^@\n]+@)?(?:www\.)?([^:\/\n]+)"")),"""")"),"trademarkinteriordesign.com")</f>
        <v>trademarkinteriordesign.com</v>
      </c>
      <c r="C90" s="5"/>
      <c r="D90" s="7"/>
    </row>
    <row r="91" spans="1:4" ht="12.5">
      <c r="A91" s="8" t="s">
        <v>98</v>
      </c>
      <c r="B91" s="4" t="str">
        <f ca="1">IFERROR(__xludf.DUMMYFUNCTION("IFERROR(ARRAYFORMULA(REGEXEXTRACT(A91,""^(?:https?:\/\/)?(?:[^@\n]+@)?(?:www\.)?([^:\/\n]+)"")),"""")"),"theartisticelements.com")</f>
        <v>theartisticelements.com</v>
      </c>
      <c r="C91" s="5"/>
      <c r="D91" s="7"/>
    </row>
    <row r="92" spans="1:4" ht="12.5">
      <c r="A92" s="8" t="s">
        <v>99</v>
      </c>
      <c r="B92" s="4" t="str">
        <f ca="1">IFERROR(__xludf.DUMMYFUNCTION("IFERROR(ARRAYFORMULA(REGEXEXTRACT(A92,""^(?:https?:\/\/)?(?:[^@\n]+@)?(?:www\.)?([^:\/\n]+)"")),"""")"),"avanzatodesign.com")</f>
        <v>avanzatodesign.com</v>
      </c>
      <c r="C92" s="5"/>
      <c r="D92" s="7"/>
    </row>
    <row r="93" spans="1:4" ht="12.5">
      <c r="A93" s="8" t="s">
        <v>100</v>
      </c>
      <c r="B93" s="4" t="str">
        <f ca="1">IFERROR(__xludf.DUMMYFUNCTION("IFERROR(ARRAYFORMULA(REGEXEXTRACT(A93,""^(?:https?:\/\/)?(?:[^@\n]+@)?(?:www\.)?([^:\/\n]+)"")),"""")"),"chanceydesign.com")</f>
        <v>chanceydesign.com</v>
      </c>
      <c r="C93" s="5"/>
      <c r="D93" s="7"/>
    </row>
    <row r="94" spans="1:4" ht="12.5">
      <c r="A94" s="8" t="s">
        <v>101</v>
      </c>
      <c r="B94" s="4" t="str">
        <f ca="1">IFERROR(__xludf.DUMMYFUNCTION("IFERROR(ARRAYFORMULA(REGEXEXTRACT(A94,""^(?:https?:\/\/)?(?:[^@\n]+@)?(?:www\.)?([^:\/\n]+)"")),"""")"),"gagemartin.com")</f>
        <v>gagemartin.com</v>
      </c>
      <c r="C94" s="5"/>
      <c r="D94" s="7"/>
    </row>
    <row r="95" spans="1:4" ht="12.5">
      <c r="A95" s="8" t="s">
        <v>102</v>
      </c>
      <c r="B95" s="4" t="str">
        <f ca="1">IFERROR(__xludf.DUMMYFUNCTION("IFERROR(ARRAYFORMULA(REGEXEXTRACT(A95,""^(?:https?:\/\/)?(?:[^@\n]+@)?(?:www\.)?([^:\/\n]+)"")),"""")"),"kaelynschmidtdesign.com")</f>
        <v>kaelynschmidtdesign.com</v>
      </c>
      <c r="C95" s="5"/>
      <c r="D95" s="7"/>
    </row>
    <row r="96" spans="1:4" ht="12.5">
      <c r="A96" s="8" t="s">
        <v>103</v>
      </c>
      <c r="B96" s="4" t="str">
        <f ca="1">IFERROR(__xludf.DUMMYFUNCTION("IFERROR(ARRAYFORMULA(REGEXEXTRACT(A96,""^(?:https?:\/\/)?(?:[^@\n]+@)?(?:www\.)?([^:\/\n]+)"")),"""")"),"brittocharette.com")</f>
        <v>brittocharette.com</v>
      </c>
      <c r="C96" s="5"/>
      <c r="D96" s="7"/>
    </row>
    <row r="97" spans="1:4" ht="12.5">
      <c r="A97" s="8" t="s">
        <v>104</v>
      </c>
      <c r="B97" s="4" t="str">
        <f ca="1">IFERROR(__xludf.DUMMYFUNCTION("IFERROR(ARRAYFORMULA(REGEXEXTRACT(A97,""^(?:https?:\/\/)?(?:[^@\n]+@)?(?:www\.)?([^:\/\n]+)"")),"""")"),"byronchandlerinteriors.com")</f>
        <v>byronchandlerinteriors.com</v>
      </c>
      <c r="C97" s="5"/>
      <c r="D97" s="7"/>
    </row>
    <row r="98" spans="1:4" ht="12.5">
      <c r="A98" s="8" t="s">
        <v>105</v>
      </c>
      <c r="B98" s="4" t="str">
        <f ca="1">IFERROR(__xludf.DUMMYFUNCTION("IFERROR(ARRAYFORMULA(REGEXEXTRACT(A98,""^(?:https?:\/\/)?(?:[^@\n]+@)?(?:www\.)?([^:\/\n]+)"")),"""")"),"ds-miami.com")</f>
        <v>ds-miami.com</v>
      </c>
      <c r="C98" s="5"/>
      <c r="D98" s="7"/>
    </row>
    <row r="99" spans="1:4" ht="12.5">
      <c r="A99" s="8" t="s">
        <v>106</v>
      </c>
      <c r="B99" s="4" t="str">
        <f ca="1">IFERROR(__xludf.DUMMYFUNCTION("IFERROR(ARRAYFORMULA(REGEXEXTRACT(A99,""^(?:https?:\/\/)?(?:[^@\n]+@)?(?:www\.)?([^:\/\n]+)"")),"""")"),"micamydesign.com")</f>
        <v>micamydesign.com</v>
      </c>
      <c r="C99" s="5"/>
      <c r="D99" s="7"/>
    </row>
    <row r="100" spans="1:4" ht="12.5">
      <c r="A100" s="8" t="s">
        <v>107</v>
      </c>
      <c r="B100" s="4" t="str">
        <f ca="1">IFERROR(__xludf.DUMMYFUNCTION("IFERROR(ARRAYFORMULA(REGEXEXTRACT(A100,""^(?:https?:\/\/)?(?:[^@\n]+@)?(?:www\.)?([^:\/\n]+)"")),"""")"),"thedesignstudio.com")</f>
        <v>thedesignstudio.com</v>
      </c>
      <c r="C100" s="5"/>
      <c r="D100" s="7"/>
    </row>
    <row r="101" spans="1:4" ht="12.5">
      <c r="A101" s="8" t="s">
        <v>108</v>
      </c>
      <c r="B101" s="4" t="str">
        <f ca="1">IFERROR(__xludf.DUMMYFUNCTION("IFERROR(ARRAYFORMULA(REGEXEXTRACT(A101,""^(?:https?:\/\/)?(?:[^@\n]+@)?(?:www\.)?([^:\/\n]+)"")),"""")"),"ellenkavanaugh.com")</f>
        <v>ellenkavanaugh.com</v>
      </c>
      <c r="C101" s="5"/>
      <c r="D101" s="7"/>
    </row>
    <row r="102" spans="1:4" ht="12.5">
      <c r="A102" s="8" t="s">
        <v>109</v>
      </c>
      <c r="B102" s="4" t="str">
        <f ca="1">IFERROR(__xludf.DUMMYFUNCTION("IFERROR(ARRAYFORMULA(REGEXEXTRACT(A102,""^(?:https?:\/\/)?(?:[^@\n]+@)?(?:www\.)?([^:\/\n]+)"")),"""")"),"chinottohouse.com")</f>
        <v>chinottohouse.com</v>
      </c>
      <c r="C102" s="5"/>
      <c r="D102" s="7"/>
    </row>
    <row r="103" spans="1:4" ht="12.5">
      <c r="A103" s="8" t="s">
        <v>110</v>
      </c>
      <c r="B103" s="4" t="str">
        <f ca="1">IFERROR(__xludf.DUMMYFUNCTION("IFERROR(ARRAYFORMULA(REGEXEXTRACT(A103,""^(?:https?:\/\/)?(?:[^@\n]+@)?(?:www\.)?([^:\/\n]+)"")),"""")"),"vogueinteriors.com")</f>
        <v>vogueinteriors.com</v>
      </c>
      <c r="C103" s="5"/>
      <c r="D103" s="7"/>
    </row>
    <row r="104" spans="1:4" ht="12.5">
      <c r="A104" s="8" t="s">
        <v>111</v>
      </c>
      <c r="B104" s="4" t="str">
        <f ca="1">IFERROR(__xludf.DUMMYFUNCTION("IFERROR(ARRAYFORMULA(REGEXEXTRACT(A104,""^(?:https?:\/\/)?(?:[^@\n]+@)?(?:www\.)?([^:\/\n]+)"")),"""")"),"crespodesigngroup.com")</f>
        <v>crespodesigngroup.com</v>
      </c>
      <c r="C104" s="5"/>
      <c r="D104" s="7"/>
    </row>
    <row r="105" spans="1:4" ht="12.5">
      <c r="A105" s="8" t="s">
        <v>112</v>
      </c>
      <c r="B105" s="4" t="str">
        <f ca="1">IFERROR(__xludf.DUMMYFUNCTION("IFERROR(ARRAYFORMULA(REGEXEXTRACT(A105,""^(?:https?:\/\/)?(?:[^@\n]+@)?(?:www\.)?([^:\/\n]+)"")),"""")"),"exclusivelytodesign.com")</f>
        <v>exclusivelytodesign.com</v>
      </c>
      <c r="C105" s="5"/>
      <c r="D105" s="7"/>
    </row>
    <row r="106" spans="1:4" ht="12.5">
      <c r="A106" s="8" t="s">
        <v>113</v>
      </c>
      <c r="B106" s="4" t="str">
        <f ca="1">IFERROR(__xludf.DUMMYFUNCTION("IFERROR(ARRAYFORMULA(REGEXEXTRACT(A106,""^(?:https?:\/\/)?(?:[^@\n]+@)?(?:www\.)?([^:\/\n]+)"")),"""")"),"nestingplaceinteriors.com")</f>
        <v>nestingplaceinteriors.com</v>
      </c>
      <c r="C106" s="5"/>
      <c r="D106" s="7"/>
    </row>
    <row r="107" spans="1:4" ht="12.5">
      <c r="A107" s="8" t="s">
        <v>114</v>
      </c>
      <c r="B107" s="4" t="str">
        <f ca="1">IFERROR(__xludf.DUMMYFUNCTION("IFERROR(ARRAYFORMULA(REGEXEXTRACT(A107,""^(?:https?:\/\/)?(?:[^@\n]+@)?(?:www\.)?([^:\/\n]+)"")),"""")"),"acdis.org")</f>
        <v>acdis.org</v>
      </c>
      <c r="C107" s="5"/>
      <c r="D107" s="7"/>
    </row>
    <row r="108" spans="1:4" ht="12.5">
      <c r="A108" s="8" t="s">
        <v>115</v>
      </c>
      <c r="B108" s="4" t="str">
        <f ca="1">IFERROR(__xludf.DUMMYFUNCTION("IFERROR(ARRAYFORMULA(REGEXEXTRACT(A108,""^(?:https?:\/\/)?(?:[^@\n]+@)?(?:www\.)?([^:\/\n]+)"")),"""")"),"petersvalley.org")</f>
        <v>petersvalley.org</v>
      </c>
      <c r="C108" s="5"/>
      <c r="D108" s="7"/>
    </row>
    <row r="109" spans="1:4" ht="12.5">
      <c r="A109" s="8" t="s">
        <v>116</v>
      </c>
      <c r="B109" s="4" t="str">
        <f ca="1">IFERROR(__xludf.DUMMYFUNCTION("IFERROR(ARRAYFORMULA(REGEXEXTRACT(A109,""^(?:https?:\/\/)?(?:[^@\n]+@)?(?:www\.)?([^:\/\n]+)"")),"""")"),"cozen.com")</f>
        <v>cozen.com</v>
      </c>
      <c r="C109" s="5"/>
      <c r="D109" s="7"/>
    </row>
    <row r="110" spans="1:4" ht="12.5">
      <c r="A110" s="8" t="s">
        <v>117</v>
      </c>
      <c r="B110" s="4" t="str">
        <f ca="1">IFERROR(__xludf.DUMMYFUNCTION("IFERROR(ARRAYFORMULA(REGEXEXTRACT(A110,""^(?:https?:\/\/)?(?:[^@\n]+@)?(?:www\.)?([^:\/\n]+)"")),"""")"),"wilsonsociety.org")</f>
        <v>wilsonsociety.org</v>
      </c>
      <c r="C110" s="5"/>
      <c r="D110" s="7"/>
    </row>
    <row r="111" spans="1:4" ht="12.5">
      <c r="A111" s="8" t="s">
        <v>118</v>
      </c>
      <c r="B111" s="4" t="str">
        <f ca="1">IFERROR(__xludf.DUMMYFUNCTION("IFERROR(ARRAYFORMULA(REGEXEXTRACT(A111,""^(?:https?:\/\/)?(?:[^@\n]+@)?(?:www\.)?([^:\/\n]+)"")),"""")"),"thetrek.co")</f>
        <v>thetrek.co</v>
      </c>
      <c r="C111" s="5"/>
      <c r="D111" s="7"/>
    </row>
    <row r="112" spans="1:4" ht="12.5">
      <c r="A112" s="8" t="s">
        <v>119</v>
      </c>
      <c r="B112" s="4" t="str">
        <f ca="1">IFERROR(__xludf.DUMMYFUNCTION("IFERROR(ARRAYFORMULA(REGEXEXTRACT(A112,""^(?:https?:\/\/)?(?:[^@\n]+@)?(?:www\.)?([^:\/\n]+)"")),"""")"),"caamedia.org")</f>
        <v>caamedia.org</v>
      </c>
      <c r="C112" s="5"/>
      <c r="D112" s="7"/>
    </row>
    <row r="113" spans="1:4" ht="12.5">
      <c r="A113" s="8" t="s">
        <v>120</v>
      </c>
      <c r="B113" s="4" t="str">
        <f ca="1">IFERROR(__xludf.DUMMYFUNCTION("IFERROR(ARRAYFORMULA(REGEXEXTRACT(A113,""^(?:https?:\/\/)?(?:[^@\n]+@)?(?:www\.)?([^:\/\n]+)"")),"""")"),"jimmcdonaldcool.com")</f>
        <v>jimmcdonaldcool.com</v>
      </c>
      <c r="C113" s="5"/>
      <c r="D113" s="7"/>
    </row>
    <row r="114" spans="1:4" ht="12.5">
      <c r="A114" s="8" t="s">
        <v>121</v>
      </c>
      <c r="B114" s="4" t="str">
        <f ca="1">IFERROR(__xludf.DUMMYFUNCTION("IFERROR(ARRAYFORMULA(REGEXEXTRACT(A114,""^(?:https?:\/\/)?(?:[^@\n]+@)?(?:www\.)?([^:\/\n]+)"")),"""")"),"localpassportfamily.com")</f>
        <v>localpassportfamily.com</v>
      </c>
      <c r="C114" s="5"/>
      <c r="D114" s="7"/>
    </row>
    <row r="115" spans="1:4" ht="12.5">
      <c r="A115" s="8" t="s">
        <v>122</v>
      </c>
      <c r="B115" s="4" t="str">
        <f ca="1">IFERROR(__xludf.DUMMYFUNCTION("IFERROR(ARRAYFORMULA(REGEXEXTRACT(A115,""^(?:https?:\/\/)?(?:[^@\n]+@)?(?:www\.)?([^:\/\n]+)"")),"""")"),"carolnewmancronin.com")</f>
        <v>carolnewmancronin.com</v>
      </c>
      <c r="C115" s="5"/>
      <c r="D115" s="7"/>
    </row>
    <row r="116" spans="1:4" ht="12.5">
      <c r="A116" s="8" t="s">
        <v>123</v>
      </c>
      <c r="B116" s="4" t="str">
        <f ca="1">IFERROR(__xludf.DUMMYFUNCTION("IFERROR(ARRAYFORMULA(REGEXEXTRACT(A116,""^(?:https?:\/\/)?(?:[^@\n]+@)?(?:www\.)?([^:\/\n]+)"")),"""")"),"als.org")</f>
        <v>als.org</v>
      </c>
      <c r="C116" s="5"/>
      <c r="D116" s="7"/>
    </row>
    <row r="117" spans="1:4" ht="12.5">
      <c r="A117" s="8" t="s">
        <v>124</v>
      </c>
      <c r="B117" s="4" t="str">
        <f ca="1">IFERROR(__xludf.DUMMYFUNCTION("IFERROR(ARRAYFORMULA(REGEXEXTRACT(A117,""^(?:https?:\/\/)?(?:[^@\n]+@)?(?:www\.)?([^:\/\n]+)"")),"""")"),"mineralsmakelife.org")</f>
        <v>mineralsmakelife.org</v>
      </c>
      <c r="C117" s="5"/>
      <c r="D117" s="7"/>
    </row>
    <row r="118" spans="1:4" ht="12.5">
      <c r="A118" s="8" t="s">
        <v>125</v>
      </c>
      <c r="B118" s="4" t="str">
        <f ca="1">IFERROR(__xludf.DUMMYFUNCTION("IFERROR(ARRAYFORMULA(REGEXEXTRACT(A118,""^(?:https?:\/\/)?(?:[^@\n]+@)?(?:www\.)?([^:\/\n]+)"")),"""")"),"blogs.ethnos360.org")</f>
        <v>blogs.ethnos360.org</v>
      </c>
      <c r="C118" s="5"/>
      <c r="D118" s="7"/>
    </row>
    <row r="119" spans="1:4" ht="12.5">
      <c r="A119" s="8" t="s">
        <v>126</v>
      </c>
      <c r="B119" s="4" t="str">
        <f ca="1">IFERROR(__xludf.DUMMYFUNCTION("IFERROR(ARRAYFORMULA(REGEXEXTRACT(A119,""^(?:https?:\/\/)?(?:[^@\n]+@)?(?:www\.)?([^:\/\n]+)"")),"""")"),"rosebuilding.com")</f>
        <v>rosebuilding.com</v>
      </c>
      <c r="C119" s="5"/>
      <c r="D119" s="7"/>
    </row>
    <row r="120" spans="1:4" ht="12.5">
      <c r="A120" s="8" t="s">
        <v>127</v>
      </c>
      <c r="B120" s="4" t="str">
        <f ca="1">IFERROR(__xludf.DUMMYFUNCTION("IFERROR(ARRAYFORMULA(REGEXEXTRACT(A120,""^(?:https?:\/\/)?(?:[^@\n]+@)?(?:www\.)?([^:\/\n]+)"")),"""")"),"droolius.com")</f>
        <v>droolius.com</v>
      </c>
      <c r="C120" s="5"/>
      <c r="D120" s="7"/>
    </row>
    <row r="121" spans="1:4" ht="12.5">
      <c r="A121" s="8" t="s">
        <v>128</v>
      </c>
      <c r="B121" s="4" t="str">
        <f ca="1">IFERROR(__xludf.DUMMYFUNCTION("IFERROR(ARRAYFORMULA(REGEXEXTRACT(A121,""^(?:https?:\/\/)?(?:[^@\n]+@)?(?:www\.)?([^:\/\n]+)"")),"""")"),"nodeadguys.com")</f>
        <v>nodeadguys.com</v>
      </c>
      <c r="C121" s="5"/>
      <c r="D121" s="7"/>
    </row>
    <row r="122" spans="1:4" ht="12.5">
      <c r="A122" s="8" t="s">
        <v>129</v>
      </c>
      <c r="B122" s="4" t="str">
        <f ca="1">IFERROR(__xludf.DUMMYFUNCTION("IFERROR(ARRAYFORMULA(REGEXEXTRACT(A122,""^(?:https?:\/\/)?(?:[^@\n]+@)?(?:www\.)?([^:\/\n]+)"")),"""")"),"revivalchiropractic.com")</f>
        <v>revivalchiropractic.com</v>
      </c>
      <c r="C122" s="5"/>
      <c r="D122" s="7"/>
    </row>
    <row r="123" spans="1:4" ht="12.5">
      <c r="A123" s="8" t="s">
        <v>130</v>
      </c>
      <c r="B123" s="4" t="str">
        <f ca="1">IFERROR(__xludf.DUMMYFUNCTION("IFERROR(ARRAYFORMULA(REGEXEXTRACT(A123,""^(?:https?:\/\/)?(?:[^@\n]+@)?(?:www\.)?([^:\/\n]+)"")),"""")"),"kristenwynnphotography.com")</f>
        <v>kristenwynnphotography.com</v>
      </c>
      <c r="C123" s="5"/>
      <c r="D123" s="7"/>
    </row>
    <row r="124" spans="1:4" ht="12.5">
      <c r="A124" s="8" t="s">
        <v>131</v>
      </c>
      <c r="B124" s="4" t="str">
        <f ca="1">IFERROR(__xludf.DUMMYFUNCTION("IFERROR(ARRAYFORMULA(REGEXEXTRACT(A124,""^(?:https?:\/\/)?(?:[^@\n]+@)?(?:www\.)?([^:\/\n]+)"")),"""")"),"bethfinke.com")</f>
        <v>bethfinke.com</v>
      </c>
      <c r="C124" s="5"/>
      <c r="D124" s="7"/>
    </row>
    <row r="125" spans="1:4" ht="12.5">
      <c r="A125" s="8" t="s">
        <v>132</v>
      </c>
      <c r="B125" s="4" t="str">
        <f ca="1">IFERROR(__xludf.DUMMYFUNCTION("IFERROR(ARRAYFORMULA(REGEXEXTRACT(A125,""^(?:https?:\/\/)?(?:[^@\n]+@)?(?:www\.)?([^:\/\n]+)"")),"""")"),"votewater.org")</f>
        <v>votewater.org</v>
      </c>
      <c r="C125" s="5"/>
      <c r="D125" s="7"/>
    </row>
    <row r="126" spans="1:4" ht="12.5">
      <c r="A126" s="8" t="s">
        <v>133</v>
      </c>
      <c r="B126" s="4" t="str">
        <f ca="1">IFERROR(__xludf.DUMMYFUNCTION("IFERROR(ARRAYFORMULA(REGEXEXTRACT(A126,""^(?:https?:\/\/)?(?:[^@\n]+@)?(?:www\.)?([^:\/\n]+)"")),"""")"),"frostscience.org")</f>
        <v>frostscience.org</v>
      </c>
      <c r="C126" s="5"/>
      <c r="D126" s="7"/>
    </row>
    <row r="127" spans="1:4" ht="12.5">
      <c r="A127" s="8" t="s">
        <v>134</v>
      </c>
      <c r="B127" s="4" t="str">
        <f ca="1">IFERROR(__xludf.DUMMYFUNCTION("IFERROR(ARRAYFORMULA(REGEXEXTRACT(A127,""^(?:https?:\/\/)?(?:[^@\n]+@)?(?:www\.)?([^:\/\n]+)"")),"""")"),"heysigmund.com")</f>
        <v>heysigmund.com</v>
      </c>
      <c r="C127" s="5"/>
      <c r="D127" s="7"/>
    </row>
    <row r="128" spans="1:4" ht="12.5">
      <c r="A128" s="8" t="s">
        <v>135</v>
      </c>
      <c r="B128" s="4" t="str">
        <f ca="1">IFERROR(__xludf.DUMMYFUNCTION("IFERROR(ARRAYFORMULA(REGEXEXTRACT(A128,""^(?:https?:\/\/)?(?:[^@\n]+@)?(?:www\.)?([^:\/\n]+)"")),"""")"),"firstcoastcardio.com")</f>
        <v>firstcoastcardio.com</v>
      </c>
      <c r="C128" s="5"/>
      <c r="D128" s="7"/>
    </row>
    <row r="129" spans="1:4" ht="12.5">
      <c r="A129" s="8" t="s">
        <v>136</v>
      </c>
      <c r="B129" s="4" t="str">
        <f ca="1">IFERROR(__xludf.DUMMYFUNCTION("IFERROR(ARRAYFORMULA(REGEXEXTRACT(A129,""^(?:https?:\/\/)?(?:[^@\n]+@)?(?:www\.)?([^:\/\n]+)"")),"""")"),"floatoncounseling.com")</f>
        <v>floatoncounseling.com</v>
      </c>
      <c r="C129" s="5"/>
      <c r="D129" s="7"/>
    </row>
    <row r="130" spans="1:4" ht="12.5">
      <c r="A130" s="8" t="s">
        <v>137</v>
      </c>
      <c r="B130" s="4" t="str">
        <f ca="1">IFERROR(__xludf.DUMMYFUNCTION("IFERROR(ARRAYFORMULA(REGEXEXTRACT(A130,""^(?:https?:\/\/)?(?:[^@\n]+@)?(?:www\.)?([^:\/\n]+)"")),"""")"),"decaseconds.com")</f>
        <v>decaseconds.com</v>
      </c>
      <c r="C130" s="5"/>
      <c r="D130" s="7"/>
    </row>
    <row r="131" spans="1:4" ht="12.5">
      <c r="A131" s="8" t="s">
        <v>138</v>
      </c>
      <c r="B131" s="4" t="str">
        <f ca="1">IFERROR(__xludf.DUMMYFUNCTION("IFERROR(ARRAYFORMULA(REGEXEXTRACT(A131,""^(?:https?:\/\/)?(?:[^@\n]+@)?(?:www\.)?([^:\/\n]+)"")),"""")"),"indetailinteriors.com")</f>
        <v>indetailinteriors.com</v>
      </c>
      <c r="C131" s="5" t="s">
        <v>5</v>
      </c>
      <c r="D131" s="7"/>
    </row>
    <row r="132" spans="1:4" ht="12.5">
      <c r="A132" s="8" t="s">
        <v>139</v>
      </c>
      <c r="B132" s="4" t="str">
        <f ca="1">IFERROR(__xludf.DUMMYFUNCTION("IFERROR(ARRAYFORMULA(REGEXEXTRACT(A132,""^(?:https?:\/\/)?(?:[^@\n]+@)?(?:www\.)?([^:\/\n]+)"")),"""")"),"shusterdesign.com")</f>
        <v>shusterdesign.com</v>
      </c>
      <c r="C132" s="5" t="s">
        <v>5</v>
      </c>
      <c r="D132" s="7"/>
    </row>
    <row r="133" spans="1:4" ht="12.5">
      <c r="A133" s="11" t="s">
        <v>140</v>
      </c>
      <c r="B133" s="4" t="str">
        <f ca="1">IFERROR(__xludf.DUMMYFUNCTION("IFERROR(ARRAYFORMULA(REGEXEXTRACT(A133,""^(?:https?:\/\/)?(?:[^@\n]+@)?(?:www\.)?([^:\/\n]+)"")),"""")"),"interiordesignconsult.com")</f>
        <v>interiordesignconsult.com</v>
      </c>
      <c r="C133" s="5" t="s">
        <v>5</v>
      </c>
      <c r="D133" s="7"/>
    </row>
    <row r="134" spans="1:4" ht="12.5">
      <c r="A134" s="11" t="s">
        <v>141</v>
      </c>
      <c r="B134" s="4" t="str">
        <f ca="1">IFERROR(__xludf.DUMMYFUNCTION("IFERROR(ARRAYFORMULA(REGEXEXTRACT(A134,""^(?:https?:\/\/)?(?:[^@\n]+@)?(?:www\.)?([^:\/\n]+)"")),"""")"),"smithinteriordesignfl.com")</f>
        <v>smithinteriordesignfl.com</v>
      </c>
      <c r="C134" s="5" t="s">
        <v>5</v>
      </c>
      <c r="D134" s="7"/>
    </row>
    <row r="135" spans="1:4" ht="12.5">
      <c r="A135" s="8" t="s">
        <v>142</v>
      </c>
      <c r="B135" s="4" t="str">
        <f ca="1">IFERROR(__xludf.DUMMYFUNCTION("IFERROR(ARRAYFORMULA(REGEXEXTRACT(A135,""^(?:https?:\/\/)?(?:[^@\n]+@)?(?:www\.)?([^:\/\n]+)"")),"""")"),"orangemooninteriors.com")</f>
        <v>orangemooninteriors.com</v>
      </c>
      <c r="C135" s="5" t="s">
        <v>5</v>
      </c>
      <c r="D135" s="7"/>
    </row>
    <row r="136" spans="1:4" ht="12.5">
      <c r="A136" s="8" t="s">
        <v>143</v>
      </c>
      <c r="B136" s="4" t="str">
        <f ca="1">IFERROR(__xludf.DUMMYFUNCTION("IFERROR(ARRAYFORMULA(REGEXEXTRACT(A136,""^(?:https?:\/\/)?(?:[^@\n]+@)?(?:www\.)?([^:\/\n]+)"")),"""")"),"jntinteriors.com")</f>
        <v>jntinteriors.com</v>
      </c>
      <c r="C136" s="5" t="s">
        <v>5</v>
      </c>
      <c r="D136" s="7"/>
    </row>
    <row r="137" spans="1:4" ht="12.5">
      <c r="A137" s="8" t="s">
        <v>144</v>
      </c>
      <c r="B137" s="4" t="str">
        <f ca="1">IFERROR(__xludf.DUMMYFUNCTION("IFERROR(ARRAYFORMULA(REGEXEXTRACT(A137,""^(?:https?:\/\/)?(?:[^@\n]+@)?(?:www\.)?([^:\/\n]+)"")),"""")"),"emilymossdesigns.com")</f>
        <v>emilymossdesigns.com</v>
      </c>
      <c r="C137" s="5" t="s">
        <v>5</v>
      </c>
      <c r="D137" s="7"/>
    </row>
    <row r="138" spans="1:4" ht="12.5">
      <c r="A138" s="8" t="s">
        <v>145</v>
      </c>
      <c r="B138" s="4" t="str">
        <f ca="1">IFERROR(__xludf.DUMMYFUNCTION("IFERROR(ARRAYFORMULA(REGEXEXTRACT(A138,""^(?:https?:\/\/)?(?:[^@\n]+@)?(?:www\.)?([^:\/\n]+)"")),"""")"),"natalianeverko.com")</f>
        <v>natalianeverko.com</v>
      </c>
      <c r="C138" s="5" t="s">
        <v>5</v>
      </c>
      <c r="D138" s="7"/>
    </row>
    <row r="139" spans="1:4" ht="12.5">
      <c r="A139" s="8" t="s">
        <v>146</v>
      </c>
      <c r="B139" s="4" t="str">
        <f ca="1">IFERROR(__xludf.DUMMYFUNCTION("IFERROR(ARRAYFORMULA(REGEXEXTRACT(A139,""^(?:https?:\/\/)?(?:[^@\n]+@)?(?:www\.)?([^:\/\n]+)"")),"""")"),"twinteriors.com")</f>
        <v>twinteriors.com</v>
      </c>
      <c r="C139" s="5" t="s">
        <v>5</v>
      </c>
      <c r="D139" s="7"/>
    </row>
    <row r="140" spans="1:4" ht="12.5">
      <c r="A140" s="8" t="s">
        <v>147</v>
      </c>
      <c r="B140" s="4" t="str">
        <f ca="1">IFERROR(__xludf.DUMMYFUNCTION("IFERROR(ARRAYFORMULA(REGEXEXTRACT(A140,""^(?:https?:\/\/)?(?:[^@\n]+@)?(?:www\.)?([^:\/\n]+)"")),"""")"),"traceryinteriors.wordpress.com")</f>
        <v>traceryinteriors.wordpress.com</v>
      </c>
      <c r="C140" s="5" t="s">
        <v>5</v>
      </c>
      <c r="D140" s="7"/>
    </row>
    <row r="141" spans="1:4" ht="12.5">
      <c r="A141" s="8" t="s">
        <v>148</v>
      </c>
      <c r="B141" s="4" t="str">
        <f ca="1">IFERROR(__xludf.DUMMYFUNCTION("IFERROR(ARRAYFORMULA(REGEXEXTRACT(A141,""^(?:https?:\/\/)?(?:[^@\n]+@)?(?:www\.)?([^:\/\n]+)"")),"""")"),"acloreinteriors.com")</f>
        <v>acloreinteriors.com</v>
      </c>
      <c r="C141" s="5" t="s">
        <v>5</v>
      </c>
      <c r="D141" s="7"/>
    </row>
    <row r="142" spans="1:4" ht="12.5">
      <c r="A142" s="8" t="s">
        <v>149</v>
      </c>
      <c r="B142" s="4" t="str">
        <f ca="1">IFERROR(__xludf.DUMMYFUNCTION("IFERROR(ARRAYFORMULA(REGEXEXTRACT(A142,""^(?:https?:\/\/)?(?:[^@\n]+@)?(?:www\.)?([^:\/\n]+)"")),"""")"),"jlynn-design.com")</f>
        <v>jlynn-design.com</v>
      </c>
      <c r="C142" s="5" t="s">
        <v>5</v>
      </c>
      <c r="D142" s="7"/>
    </row>
    <row r="143" spans="1:4" ht="12.5">
      <c r="A143" s="8" t="s">
        <v>150</v>
      </c>
      <c r="B143" s="4" t="str">
        <f ca="1">IFERROR(__xludf.DUMMYFUNCTION("IFERROR(ARRAYFORMULA(REGEXEXTRACT(A143,""^(?:https?:\/\/)?(?:[^@\n]+@)?(?:www\.)?([^:\/\n]+)"")),"""")"),"ninofilm.net")</f>
        <v>ninofilm.net</v>
      </c>
      <c r="C143" s="5" t="s">
        <v>5</v>
      </c>
      <c r="D143" s="7"/>
    </row>
    <row r="144" spans="1:4" ht="12.5">
      <c r="A144" s="8" t="s">
        <v>151</v>
      </c>
      <c r="B144" s="4" t="str">
        <f ca="1">IFERROR(__xludf.DUMMYFUNCTION("IFERROR(ARRAYFORMULA(REGEXEXTRACT(A144,""^(?:https?:\/\/)?(?:[^@\n]+@)?(?:www\.)?([^:\/\n]+)"")),"""")"),"debbimack.com")</f>
        <v>debbimack.com</v>
      </c>
      <c r="C144" s="5" t="s">
        <v>5</v>
      </c>
      <c r="D144" s="7"/>
    </row>
    <row r="145" spans="1:4" ht="12.5">
      <c r="A145" s="8" t="s">
        <v>152</v>
      </c>
      <c r="B145" s="4" t="str">
        <f ca="1">IFERROR(__xludf.DUMMYFUNCTION("IFERROR(ARRAYFORMULA(REGEXEXTRACT(A145,""^(?:https?:\/\/)?(?:[^@\n]+@)?(?:www\.)?([^:\/\n]+)"")),"""")"),"aliciapollard.com")</f>
        <v>aliciapollard.com</v>
      </c>
      <c r="C145" s="5" t="s">
        <v>5</v>
      </c>
      <c r="D145" s="7"/>
    </row>
    <row r="146" spans="1:4" ht="12.5">
      <c r="A146" s="8" t="s">
        <v>153</v>
      </c>
      <c r="B146" s="4" t="str">
        <f ca="1">IFERROR(__xludf.DUMMYFUNCTION("IFERROR(ARRAYFORMULA(REGEXEXTRACT(A146,""^(?:https?:\/\/)?(?:[^@\n]+@)?(?:www\.)?([^:\/\n]+)"")),"""")"),"kitchenbutterfly.com")</f>
        <v>kitchenbutterfly.com</v>
      </c>
      <c r="C146" s="5" t="s">
        <v>5</v>
      </c>
      <c r="D146" s="7"/>
    </row>
    <row r="147" spans="1:4" ht="12.5">
      <c r="A147" s="8" t="s">
        <v>154</v>
      </c>
      <c r="B147" s="4" t="str">
        <f ca="1">IFERROR(__xludf.DUMMYFUNCTION("IFERROR(ARRAYFORMULA(REGEXEXTRACT(A147,""^(?:https?:\/\/)?(?:[^@\n]+@)?(?:www\.)?([^:\/\n]+)"")),"""")"),"dailyhodl.com")</f>
        <v>dailyhodl.com</v>
      </c>
      <c r="C147" s="5" t="s">
        <v>5</v>
      </c>
      <c r="D147" s="7"/>
    </row>
    <row r="148" spans="1:4" ht="12.5">
      <c r="A148" s="8" t="s">
        <v>155</v>
      </c>
      <c r="B148" s="4" t="str">
        <f ca="1">IFERROR(__xludf.DUMMYFUNCTION("IFERROR(ARRAYFORMULA(REGEXEXTRACT(A148,""^(?:https?:\/\/)?(?:[^@\n]+@)?(?:www\.)?([^:\/\n]+)"")),"""")"),"thisdetailedlife.com")</f>
        <v>thisdetailedlife.com</v>
      </c>
      <c r="C148" s="5" t="s">
        <v>5</v>
      </c>
      <c r="D148" s="7"/>
    </row>
    <row r="149" spans="1:4" ht="12.5">
      <c r="A149" s="8" t="s">
        <v>156</v>
      </c>
      <c r="B149" s="7" t="str">
        <f ca="1">IFERROR(__xludf.DUMMYFUNCTION("IFERROR(ARRAYFORMULA(REGEXEXTRACT(A149,""^(?:https?:\/\/)?(?:[^@\n]+@)?(?:www\.)?([^:\/\n]+)"")),"""")"),"godfullyknown.blog")</f>
        <v>godfullyknown.blog</v>
      </c>
      <c r="C149" s="5" t="s">
        <v>5</v>
      </c>
      <c r="D149" s="7"/>
    </row>
    <row r="150" spans="1:4" ht="12.5">
      <c r="A150" s="8" t="s">
        <v>157</v>
      </c>
      <c r="B150" s="4" t="str">
        <f ca="1">IFERROR(__xludf.DUMMYFUNCTION("IFERROR(ARRAYFORMULA(REGEXEXTRACT(A150,""^(?:https?:\/\/)?(?:[^@\n]+@)?(?:www\.)?([^:\/\n]+)"")),"""")"),"leekofman.com.au")</f>
        <v>leekofman.com.au</v>
      </c>
      <c r="C150" s="5" t="s">
        <v>5</v>
      </c>
      <c r="D150" s="7"/>
    </row>
    <row r="151" spans="1:4" ht="12.5">
      <c r="A151" s="8" t="s">
        <v>158</v>
      </c>
      <c r="B151" s="4" t="str">
        <f ca="1">IFERROR(__xludf.DUMMYFUNCTION("IFERROR(ARRAYFORMULA(REGEXEXTRACT(A151,""^(?:https?:\/\/)?(?:[^@\n]+@)?(?:www\.)?([^:\/\n]+)"")),"""")"),"theprofessorisin.com")</f>
        <v>theprofessorisin.com</v>
      </c>
      <c r="C151" s="5" t="s">
        <v>5</v>
      </c>
      <c r="D151" s="7"/>
    </row>
    <row r="152" spans="1:4" ht="12.5">
      <c r="A152" s="8" t="s">
        <v>159</v>
      </c>
      <c r="B152" s="4" t="str">
        <f ca="1">IFERROR(__xludf.DUMMYFUNCTION("IFERROR(ARRAYFORMULA(REGEXEXTRACT(A152,""^(?:https?:\/\/)?(?:[^@\n]+@)?(?:www\.)?([^:\/\n]+)"")),"""")"),"onestarrynight.com")</f>
        <v>onestarrynight.com</v>
      </c>
      <c r="C152" s="5" t="s">
        <v>5</v>
      </c>
      <c r="D152" s="7"/>
    </row>
    <row r="153" spans="1:4" ht="12.5">
      <c r="A153" s="8" t="s">
        <v>160</v>
      </c>
      <c r="B153" s="4" t="str">
        <f ca="1">IFERROR(__xludf.DUMMYFUNCTION("IFERROR(ARRAYFORMULA(REGEXEXTRACT(A153,""^(?:https?:\/\/)?(?:[^@\n]+@)?(?:www\.)?([^:\/\n]+)"")),"""")"),"mitadmissions.org")</f>
        <v>mitadmissions.org</v>
      </c>
      <c r="C153" s="5" t="s">
        <v>5</v>
      </c>
      <c r="D153" s="7"/>
    </row>
    <row r="154" spans="1:4" ht="12.5">
      <c r="A154" s="8" t="s">
        <v>161</v>
      </c>
      <c r="B154" s="4" t="str">
        <f ca="1">IFERROR(__xludf.DUMMYFUNCTION("IFERROR(ARRAYFORMULA(REGEXEXTRACT(A154,""^(?:https?:\/\/)?(?:[^@\n]+@)?(?:www\.)?([^:\/\n]+)"")),"""")"),"terryambrose.com")</f>
        <v>terryambrose.com</v>
      </c>
      <c r="C154" s="5" t="s">
        <v>5</v>
      </c>
      <c r="D154" s="7"/>
    </row>
    <row r="155" spans="1:4" ht="12.5">
      <c r="A155" s="8" t="s">
        <v>162</v>
      </c>
      <c r="B155" s="4" t="str">
        <f ca="1">IFERROR(__xludf.DUMMYFUNCTION("IFERROR(ARRAYFORMULA(REGEXEXTRACT(A155,""^(?:https?:\/\/)?(?:[^@\n]+@)?(?:www\.)?([^:\/\n]+)"")),"""")"),"tabbysplace.org")</f>
        <v>tabbysplace.org</v>
      </c>
      <c r="C155" s="5" t="s">
        <v>5</v>
      </c>
      <c r="D155" s="7"/>
    </row>
    <row r="156" spans="1:4" ht="12.5">
      <c r="A156" s="8" t="s">
        <v>163</v>
      </c>
      <c r="B156" s="4" t="str">
        <f ca="1">IFERROR(__xludf.DUMMYFUNCTION("IFERROR(ARRAYFORMULA(REGEXEXTRACT(A156,""^(?:https?:\/\/)?(?:[^@\n]+@)?(?:www\.)?([^:\/\n]+)"")),"""")"),"qrper.com")</f>
        <v>qrper.com</v>
      </c>
      <c r="C156" s="5" t="s">
        <v>5</v>
      </c>
      <c r="D156" s="7"/>
    </row>
    <row r="157" spans="1:4" ht="12.5">
      <c r="A157" s="8" t="s">
        <v>164</v>
      </c>
      <c r="B157" s="4" t="str">
        <f ca="1">IFERROR(__xludf.DUMMYFUNCTION("IFERROR(ARRAYFORMULA(REGEXEXTRACT(A157,""^(?:https?:\/\/)?(?:[^@\n]+@)?(?:www\.)?([^:\/\n]+)"")),"""")"),"blog.downloadyouthministry.com")</f>
        <v>blog.downloadyouthministry.com</v>
      </c>
      <c r="C157" s="5" t="s">
        <v>5</v>
      </c>
      <c r="D157" s="7"/>
    </row>
    <row r="158" spans="1:4" ht="12.5">
      <c r="A158" s="8" t="s">
        <v>165</v>
      </c>
      <c r="B158" s="4" t="str">
        <f ca="1">IFERROR(__xludf.DUMMYFUNCTION("IFERROR(ARRAYFORMULA(REGEXEXTRACT(A158,""^(?:https?:\/\/)?(?:[^@\n]+@)?(?:www\.)?([^:\/\n]+)"")),"""")"),"mackmediagroup.com")</f>
        <v>mackmediagroup.com</v>
      </c>
      <c r="C158" s="5" t="s">
        <v>5</v>
      </c>
      <c r="D158" s="7"/>
    </row>
    <row r="159" spans="1:4" ht="12.5">
      <c r="A159" s="8" t="s">
        <v>166</v>
      </c>
      <c r="B159" s="4" t="str">
        <f ca="1">IFERROR(__xludf.DUMMYFUNCTION("IFERROR(ARRAYFORMULA(REGEXEXTRACT(A159,""^(?:https?:\/\/)?(?:[^@\n]+@)?(?:www\.)?([^:\/\n]+)"")),"""")"),"bontempsinteriors.com")</f>
        <v>bontempsinteriors.com</v>
      </c>
      <c r="C159" s="5" t="s">
        <v>5</v>
      </c>
      <c r="D159" s="7"/>
    </row>
    <row r="160" spans="1:4" ht="12.5">
      <c r="A160" s="8" t="s">
        <v>167</v>
      </c>
      <c r="B160" s="4" t="str">
        <f ca="1">IFERROR(__xludf.DUMMYFUNCTION("IFERROR(ARRAYFORMULA(REGEXEXTRACT(A160,""^(?:https?:\/\/)?(?:[^@\n]+@)?(?:www\.)?([^:\/\n]+)"")),"""")"),"miamiluxuryhomes.com")</f>
        <v>miamiluxuryhomes.com</v>
      </c>
      <c r="C160" s="5" t="s">
        <v>5</v>
      </c>
      <c r="D160" s="7"/>
    </row>
    <row r="161" spans="1:4" ht="12.5">
      <c r="A161" s="8" t="s">
        <v>168</v>
      </c>
      <c r="B161" s="4" t="str">
        <f ca="1">IFERROR(__xludf.DUMMYFUNCTION("IFERROR(ARRAYFORMULA(REGEXEXTRACT(A161,""^(?:https?:\/\/)?(?:[^@\n]+@)?(?:www\.)?([^:\/\n]+)"")),"""")"),"srqinteriordesign.com")</f>
        <v>srqinteriordesign.com</v>
      </c>
      <c r="C161" s="5" t="s">
        <v>5</v>
      </c>
      <c r="D161" s="7"/>
    </row>
    <row r="162" spans="1:4" ht="12.5">
      <c r="A162" s="8" t="s">
        <v>169</v>
      </c>
      <c r="B162" s="7" t="str">
        <f ca="1">IFERROR(__xludf.DUMMYFUNCTION("IFERROR(ARRAYFORMULA(REGEXEXTRACT(A162,""^(?:https?:\/\/)?(?:[^@\n]+@)?(?:www\.)?([^:\/\n]+)"")),"""")"),"beestudios.design")</f>
        <v>beestudios.design</v>
      </c>
      <c r="C162" s="5" t="s">
        <v>5</v>
      </c>
      <c r="D162" s="7"/>
    </row>
    <row r="163" spans="1:4" ht="12.5">
      <c r="A163" s="8" t="s">
        <v>170</v>
      </c>
      <c r="B163" s="4" t="str">
        <f ca="1">IFERROR(__xludf.DUMMYFUNCTION("IFERROR(ARRAYFORMULA(REGEXEXTRACT(A163,""^(?:https?:\/\/)?(?:[^@\n]+@)?(?:www\.)?([^:\/\n]+)"")),"""")"),"dewinedesign.com")</f>
        <v>dewinedesign.com</v>
      </c>
      <c r="C163" s="5" t="s">
        <v>5</v>
      </c>
      <c r="D163" s="7"/>
    </row>
    <row r="164" spans="1:4" ht="12.5">
      <c r="A164" s="8" t="s">
        <v>171</v>
      </c>
      <c r="B164" s="4" t="str">
        <f ca="1">IFERROR(__xludf.DUMMYFUNCTION("IFERROR(ARRAYFORMULA(REGEXEXTRACT(A164,""^(?:https?:\/\/)?(?:[^@\n]+@)?(?:www\.)?([^:\/\n]+)"")),"""")"),"leahmullerinteriors.com")</f>
        <v>leahmullerinteriors.com</v>
      </c>
      <c r="C164" s="5" t="s">
        <v>5</v>
      </c>
      <c r="D164" s="7"/>
    </row>
    <row r="165" spans="1:4" ht="12.5">
      <c r="A165" s="8" t="s">
        <v>172</v>
      </c>
      <c r="B165" s="4" t="str">
        <f ca="1">IFERROR(__xludf.DUMMYFUNCTION("IFERROR(ARRAYFORMULA(REGEXEXTRACT(A165,""^(?:https?:\/\/)?(?:[^@\n]+@)?(?:www\.)?([^:\/\n]+)"")),"""")"),"hshcollective.com")</f>
        <v>hshcollective.com</v>
      </c>
      <c r="C165" s="5" t="s">
        <v>5</v>
      </c>
      <c r="D165" s="7"/>
    </row>
    <row r="166" spans="1:4" ht="12.5">
      <c r="A166" s="8" t="s">
        <v>173</v>
      </c>
      <c r="B166" s="4" t="str">
        <f ca="1">IFERROR(__xludf.DUMMYFUNCTION("IFERROR(ARRAYFORMULA(REGEXEXTRACT(A166,""^(?:https?:\/\/)?(?:[^@\n]+@)?(?:www\.)?([^:\/\n]+)"")),"""")"),"elizabetherindesigns.com")</f>
        <v>elizabetherindesigns.com</v>
      </c>
      <c r="C166" s="5" t="s">
        <v>5</v>
      </c>
      <c r="D166" s="7"/>
    </row>
    <row r="167" spans="1:4" ht="12.5">
      <c r="A167" s="8" t="s">
        <v>174</v>
      </c>
      <c r="B167" s="4" t="str">
        <f ca="1">IFERROR(__xludf.DUMMYFUNCTION("IFERROR(ARRAYFORMULA(REGEXEXTRACT(A167,""^(?:https?:\/\/)?(?:[^@\n]+@)?(?:www\.)?([^:\/\n]+)"")),"""")"),"paladinorudd.com")</f>
        <v>paladinorudd.com</v>
      </c>
      <c r="C167" s="5" t="s">
        <v>5</v>
      </c>
      <c r="D167" s="7"/>
    </row>
    <row r="168" spans="1:4" ht="12.5">
      <c r="A168" s="8" t="s">
        <v>175</v>
      </c>
      <c r="B168" s="4" t="str">
        <f ca="1">IFERROR(__xludf.DUMMYFUNCTION("IFERROR(ARRAYFORMULA(REGEXEXTRACT(A168,""^(?:https?:\/\/)?(?:[^@\n]+@)?(?:www\.)?([^:\/\n]+)"")),"""")"),"bridgetinteriors.com")</f>
        <v>bridgetinteriors.com</v>
      </c>
      <c r="C168" s="5" t="s">
        <v>5</v>
      </c>
      <c r="D168" s="7"/>
    </row>
    <row r="169" spans="1:4" ht="12.5">
      <c r="A169" s="8" t="s">
        <v>176</v>
      </c>
      <c r="B169" s="4" t="str">
        <f ca="1">IFERROR(__xludf.DUMMYFUNCTION("IFERROR(ARRAYFORMULA(REGEXEXTRACT(A169,""^(?:https?:\/\/)?(?:[^@\n]+@)?(?:www\.)?([^:\/\n]+)"")),"""")"),"thehometrotters.com")</f>
        <v>thehometrotters.com</v>
      </c>
      <c r="C169" s="5" t="s">
        <v>5</v>
      </c>
    </row>
    <row r="170" spans="1:4" ht="12.5">
      <c r="A170" s="8" t="s">
        <v>177</v>
      </c>
      <c r="B170" s="4" t="str">
        <f ca="1">IFERROR(__xludf.DUMMYFUNCTION("IFERROR(ARRAYFORMULA(REGEXEXTRACT(A170,""^(?:https?:\/\/)?(?:[^@\n]+@)?(?:www\.)?([^:\/\n]+)"")),"""")"),"livswonderfulescape.wordpress.com")</f>
        <v>livswonderfulescape.wordpress.com</v>
      </c>
      <c r="C170" s="5" t="s">
        <v>5</v>
      </c>
    </row>
    <row r="171" spans="1:4" ht="12.5">
      <c r="A171" s="8" t="s">
        <v>178</v>
      </c>
      <c r="B171" s="4" t="str">
        <f ca="1">IFERROR(__xludf.DUMMYFUNCTION("IFERROR(ARRAYFORMULA(REGEXEXTRACT(A171,""^(?:https?:\/\/)?(?:[^@\n]+@)?(?:www\.)?([^:\/\n]+)"")),"""")"),"earlyamericanists.com")</f>
        <v>earlyamericanists.com</v>
      </c>
      <c r="C171" s="5" t="s">
        <v>5</v>
      </c>
    </row>
    <row r="172" spans="1:4" ht="12.5">
      <c r="A172" s="8" t="s">
        <v>179</v>
      </c>
      <c r="B172" s="4" t="str">
        <f ca="1">IFERROR(__xludf.DUMMYFUNCTION("IFERROR(ARRAYFORMULA(REGEXEXTRACT(A172,""^(?:https?:\/\/)?(?:[^@\n]+@)?(?:www\.)?([^:\/\n]+)"")),"""")"),"rebeccacuthbert.com")</f>
        <v>rebeccacuthbert.com</v>
      </c>
      <c r="C172" s="5" t="s">
        <v>5</v>
      </c>
    </row>
    <row r="173" spans="1:4" ht="12.5">
      <c r="A173" s="8" t="s">
        <v>180</v>
      </c>
      <c r="B173" s="4" t="str">
        <f ca="1">IFERROR(__xludf.DUMMYFUNCTION("IFERROR(ARRAYFORMULA(REGEXEXTRACT(A173,""^(?:https?:\/\/)?(?:[^@\n]+@)?(?:www\.)?([^:\/\n]+)"")),"""")"),"modernmami.com")</f>
        <v>modernmami.com</v>
      </c>
      <c r="C173" s="5" t="s">
        <v>5</v>
      </c>
    </row>
    <row r="174" spans="1:4" ht="12.5">
      <c r="A174" s="8" t="s">
        <v>181</v>
      </c>
      <c r="B174" s="4" t="str">
        <f ca="1">IFERROR(__xludf.DUMMYFUNCTION("IFERROR(ARRAYFORMULA(REGEXEXTRACT(A174,""^(?:https?:\/\/)?(?:[^@\n]+@)?(?:www\.)?([^:\/\n]+)"")),"""")"),"crewtrust.org")</f>
        <v>crewtrust.org</v>
      </c>
      <c r="C174" s="5" t="s">
        <v>5</v>
      </c>
    </row>
    <row r="175" spans="1:4" ht="12.5">
      <c r="A175" s="8" t="s">
        <v>182</v>
      </c>
      <c r="B175" s="4" t="str">
        <f ca="1">IFERROR(__xludf.DUMMYFUNCTION("IFERROR(ARRAYFORMULA(REGEXEXTRACT(A175,""^(?:https?:\/\/)?(?:[^@\n]+@)?(?:www\.)?([^:\/\n]+)"")),"""")"),"norml.org")</f>
        <v>norml.org</v>
      </c>
      <c r="C175" s="5" t="s">
        <v>5</v>
      </c>
    </row>
    <row r="176" spans="1:4" ht="12.5">
      <c r="A176" s="8" t="s">
        <v>183</v>
      </c>
      <c r="B176" s="4" t="str">
        <f ca="1">IFERROR(__xludf.DUMMYFUNCTION("IFERROR(ARRAYFORMULA(REGEXEXTRACT(A176,""^(?:https?:\/\/)?(?:[^@\n]+@)?(?:www\.)?([^:\/\n]+)"")),"""")"),"aplu.org")</f>
        <v>aplu.org</v>
      </c>
      <c r="C176" s="5" t="s">
        <v>5</v>
      </c>
    </row>
    <row r="177" spans="1:4" ht="12.5">
      <c r="A177" s="8" t="s">
        <v>184</v>
      </c>
      <c r="B177" s="4" t="str">
        <f ca="1">IFERROR(__xludf.DUMMYFUNCTION("IFERROR(ARRAYFORMULA(REGEXEXTRACT(A177,""^(?:https?:\/\/)?(?:[^@\n]+@)?(?:www\.)?([^:\/\n]+)"")),"""")"),"bogleheads.org")</f>
        <v>bogleheads.org</v>
      </c>
      <c r="C177" s="5" t="s">
        <v>5</v>
      </c>
    </row>
    <row r="178" spans="1:4" ht="12.5">
      <c r="A178" s="8" t="s">
        <v>185</v>
      </c>
      <c r="B178" s="4" t="str">
        <f ca="1">IFERROR(__xludf.DUMMYFUNCTION("IFERROR(ARRAYFORMULA(REGEXEXTRACT(A178,""^(?:https?:\/\/)?(?:[^@\n]+@)?(?:www\.)?([^:\/\n]+)"")),"""")"),"confessionsofafitnessinstructor.com")</f>
        <v>confessionsofafitnessinstructor.com</v>
      </c>
      <c r="C178" s="5" t="s">
        <v>5</v>
      </c>
    </row>
    <row r="179" spans="1:4" ht="12.5">
      <c r="A179" s="8" t="s">
        <v>186</v>
      </c>
      <c r="B179" s="4" t="str">
        <f ca="1">IFERROR(__xludf.DUMMYFUNCTION("IFERROR(ARRAYFORMULA(REGEXEXTRACT(A179,""^(?:https?:\/\/)?(?:[^@\n]+@)?(?:www\.)?([^:\/\n]+)"")),"""")"),"seomarketexpert.com")</f>
        <v>seomarketexpert.com</v>
      </c>
      <c r="C179" s="5" t="s">
        <v>5</v>
      </c>
    </row>
    <row r="180" spans="1:4" ht="12.5">
      <c r="A180" s="8" t="s">
        <v>187</v>
      </c>
      <c r="B180" s="4" t="str">
        <f ca="1">IFERROR(__xludf.DUMMYFUNCTION("IFERROR(ARRAYFORMULA(REGEXEXTRACT(A180,""^(?:https?:\/\/)?(?:[^@\n]+@)?(?:www\.)?([^:\/\n]+)"")),"""")"),"roadtripsforfamilies.com")</f>
        <v>roadtripsforfamilies.com</v>
      </c>
      <c r="C180" s="5" t="s">
        <v>5</v>
      </c>
    </row>
    <row r="181" spans="1:4" ht="12.5">
      <c r="A181" s="8" t="s">
        <v>188</v>
      </c>
      <c r="B181" s="4" t="str">
        <f ca="1">IFERROR(__xludf.DUMMYFUNCTION("IFERROR(ARRAYFORMULA(REGEXEXTRACT(A181,""^(?:https?:\/\/)?(?:[^@\n]+@)?(?:www\.)?([^:\/\n]+)"")),"""")"),"theguytravel.com")</f>
        <v>theguytravel.com</v>
      </c>
      <c r="C181" s="5" t="s">
        <v>5</v>
      </c>
    </row>
    <row r="182" spans="1:4" ht="12.5">
      <c r="A182" s="8" t="s">
        <v>189</v>
      </c>
      <c r="B182" s="4" t="str">
        <f ca="1">IFERROR(__xludf.DUMMYFUNCTION("IFERROR(ARRAYFORMULA(REGEXEXTRACT(A182,""^(?:https?:\/\/)?(?:[^@\n]+@)?(?:www\.)?([^:\/\n]+)"")),"""")"),"everywhereist.com")</f>
        <v>everywhereist.com</v>
      </c>
      <c r="C182" s="5" t="s">
        <v>5</v>
      </c>
    </row>
    <row r="183" spans="1:4" ht="12.5">
      <c r="A183" s="8" t="s">
        <v>190</v>
      </c>
      <c r="B183" s="4" t="str">
        <f ca="1">IFERROR(__xludf.DUMMYFUNCTION("IFERROR(ARRAYFORMULA(REGEXEXTRACT(A183,""^(?:https?:\/\/)?(?:[^@\n]+@)?(?:www\.)?([^:\/\n]+)"")),"""")"),"newbreedrevenue.com")</f>
        <v>newbreedrevenue.com</v>
      </c>
      <c r="C183" s="5" t="s">
        <v>5</v>
      </c>
    </row>
    <row r="184" spans="1:4" ht="12.5">
      <c r="A184" s="8" t="s">
        <v>191</v>
      </c>
      <c r="B184" s="4" t="str">
        <f ca="1">IFERROR(__xludf.DUMMYFUNCTION("IFERROR(ARRAYFORMULA(REGEXEXTRACT(A184,""^(?:https?:\/\/)?(?:[^@\n]+@)?(?:www\.)?([^:\/\n]+)"")),"""")"),"kirstythroughthelookingglass.com")</f>
        <v>kirstythroughthelookingglass.com</v>
      </c>
      <c r="C184" s="5" t="s">
        <v>5</v>
      </c>
      <c r="D184" s="7"/>
    </row>
    <row r="185" spans="1:4" ht="12.5">
      <c r="A185" s="8" t="s">
        <v>192</v>
      </c>
      <c r="B185" s="4" t="str">
        <f ca="1">IFERROR(__xludf.DUMMYFUNCTION("IFERROR(ARRAYFORMULA(REGEXEXTRACT(A185,""^(?:https?:\/\/)?(?:[^@\n]+@)?(?:www\.)?([^:\/\n]+)"")),"""")"),"decorativepainterscfl.com")</f>
        <v>decorativepainterscfl.com</v>
      </c>
      <c r="C185" s="5" t="s">
        <v>5</v>
      </c>
      <c r="D185" s="7"/>
    </row>
    <row r="186" spans="1:4" ht="12.5">
      <c r="A186" s="8" t="s">
        <v>193</v>
      </c>
      <c r="B186" s="4" t="str">
        <f ca="1">IFERROR(__xludf.DUMMYFUNCTION("IFERROR(ARRAYFORMULA(REGEXEXTRACT(A186,""^(?:https?:\/\/)?(?:[^@\n]+@)?(?:www\.)?([^:\/\n]+)"")),"""")"),"helpfulhomemade.com")</f>
        <v>helpfulhomemade.com</v>
      </c>
      <c r="C186" s="5" t="s">
        <v>5</v>
      </c>
      <c r="D186" s="7"/>
    </row>
    <row r="187" spans="1:4" ht="12.5">
      <c r="A187" s="8" t="s">
        <v>194</v>
      </c>
      <c r="B187" s="4" t="str">
        <f ca="1">IFERROR(__xludf.DUMMYFUNCTION("IFERROR(ARRAYFORMULA(REGEXEXTRACT(A187,""^(?:https?:\/\/)?(?:[^@\n]+@)?(?:www\.)?([^:\/\n]+)"")),"""")"),"mapleleafmommy.com")</f>
        <v>mapleleafmommy.com</v>
      </c>
      <c r="C187" s="5" t="s">
        <v>5</v>
      </c>
      <c r="D187" s="7"/>
    </row>
    <row r="188" spans="1:4" ht="12.5">
      <c r="A188" s="8" t="s">
        <v>195</v>
      </c>
      <c r="B188" s="4" t="str">
        <f ca="1">IFERROR(__xludf.DUMMYFUNCTION("IFERROR(ARRAYFORMULA(REGEXEXTRACT(A188,""^(?:https?:\/\/)?(?:[^@\n]+@)?(?:www\.)?([^:\/\n]+)"")),"""")"),"mathbabe.org")</f>
        <v>mathbabe.org</v>
      </c>
      <c r="C188" s="5" t="s">
        <v>5</v>
      </c>
      <c r="D188" s="7"/>
    </row>
    <row r="189" spans="1:4" ht="12.5">
      <c r="A189" s="8" t="s">
        <v>196</v>
      </c>
      <c r="B189" s="4" t="str">
        <f ca="1">IFERROR(__xludf.DUMMYFUNCTION("IFERROR(ARRAYFORMULA(REGEXEXTRACT(A189,""^(?:https?:\/\/)?(?:[^@\n]+@)?(?:www\.)?([^:\/\n]+)"")),"""")"),"mdpl.org")</f>
        <v>mdpl.org</v>
      </c>
      <c r="C189" s="5" t="s">
        <v>5</v>
      </c>
      <c r="D189" s="7"/>
    </row>
    <row r="190" spans="1:4" ht="12.5">
      <c r="A190" s="8" t="s">
        <v>197</v>
      </c>
      <c r="B190" s="4" t="str">
        <f ca="1">IFERROR(__xludf.DUMMYFUNCTION("IFERROR(ARRAYFORMULA(REGEXEXTRACT(A190,""^(?:https?:\/\/)?(?:[^@\n]+@)?(?:www\.)?([^:\/\n]+)"")),"""")"),"thatartsyreadergirl.com")</f>
        <v>thatartsyreadergirl.com</v>
      </c>
      <c r="C190" s="5" t="s">
        <v>5</v>
      </c>
      <c r="D190" s="7"/>
    </row>
    <row r="191" spans="1:4" ht="12.5">
      <c r="A191" s="8" t="s">
        <v>198</v>
      </c>
      <c r="B191" s="4" t="str">
        <f ca="1">IFERROR(__xludf.DUMMYFUNCTION("IFERROR(ARRAYFORMULA(REGEXEXTRACT(A191,""^(?:https?:\/\/)?(?:[^@\n]+@)?(?:www\.)?([^:\/\n]+)"")),"""")"),"blogs.loc.gov")</f>
        <v>blogs.loc.gov</v>
      </c>
      <c r="C191" s="5" t="s">
        <v>5</v>
      </c>
      <c r="D191" s="7"/>
    </row>
    <row r="192" spans="1:4" ht="12.5">
      <c r="A192" s="8" t="s">
        <v>199</v>
      </c>
      <c r="B192" s="4" t="str">
        <f ca="1">IFERROR(__xludf.DUMMYFUNCTION("IFERROR(ARRAYFORMULA(REGEXEXTRACT(A192,""^(?:https?:\/\/)?(?:[^@\n]+@)?(?:www\.)?([^:\/\n]+)"")),"""")"),"nanaswhimsies.com")</f>
        <v>nanaswhimsies.com</v>
      </c>
      <c r="C192" s="5" t="s">
        <v>5</v>
      </c>
      <c r="D192" s="7"/>
    </row>
    <row r="193" spans="1:4" ht="12.5">
      <c r="A193" s="8" t="s">
        <v>200</v>
      </c>
      <c r="B193" s="4" t="str">
        <f ca="1">IFERROR(__xludf.DUMMYFUNCTION("IFERROR(ARRAYFORMULA(REGEXEXTRACT(A193,""^(?:https?:\/\/)?(?:[^@\n]+@)?(?:www\.)?([^:\/\n]+)"")),"""")"),"abigailleighphillips.com")</f>
        <v>abigailleighphillips.com</v>
      </c>
      <c r="C193" s="5" t="s">
        <v>5</v>
      </c>
      <c r="D193" s="7"/>
    </row>
    <row r="194" spans="1:4" ht="12.5">
      <c r="A194" s="8" t="s">
        <v>201</v>
      </c>
      <c r="B194" s="4" t="str">
        <f ca="1">IFERROR(__xludf.DUMMYFUNCTION("IFERROR(ARRAYFORMULA(REGEXEXTRACT(A194,""^(?:https?:\/\/)?(?:[^@\n]+@)?(?:www\.)?([^:\/\n]+)"")),"""")"),"karenlsargent.com")</f>
        <v>karenlsargent.com</v>
      </c>
      <c r="C194" s="5" t="s">
        <v>5</v>
      </c>
      <c r="D194" s="7"/>
    </row>
    <row r="195" spans="1:4" ht="12.5">
      <c r="A195" s="8" t="s">
        <v>202</v>
      </c>
      <c r="B195" s="4" t="str">
        <f ca="1">IFERROR(__xludf.DUMMYFUNCTION("IFERROR(ARRAYFORMULA(REGEXEXTRACT(A195,""^(?:https?:\/\/)?(?:[^@\n]+@)?(?:www\.)?([^:\/\n]+)"")),"""")"),"nicolepeeler.com")</f>
        <v>nicolepeeler.com</v>
      </c>
      <c r="C195" s="5" t="s">
        <v>5</v>
      </c>
      <c r="D195" s="7"/>
    </row>
    <row r="196" spans="1:4" ht="12.5">
      <c r="A196" s="8" t="s">
        <v>203</v>
      </c>
      <c r="B196" s="4" t="str">
        <f ca="1">IFERROR(__xludf.DUMMYFUNCTION("IFERROR(ARRAYFORMULA(REGEXEXTRACT(A196,""^(?:https?:\/\/)?(?:[^@\n]+@)?(?:www\.)?([^:\/\n]+)"")),"""")"),"lexology.com")</f>
        <v>lexology.com</v>
      </c>
      <c r="C196" s="5" t="s">
        <v>5</v>
      </c>
      <c r="D196" s="7"/>
    </row>
    <row r="197" spans="1:4" ht="12.5">
      <c r="A197" s="8" t="s">
        <v>204</v>
      </c>
      <c r="B197" s="4" t="str">
        <f ca="1">IFERROR(__xludf.DUMMYFUNCTION("IFERROR(ARRAYFORMULA(REGEXEXTRACT(A197,""^(?:https?:\/\/)?(?:[^@\n]+@)?(?:www\.)?([^:\/\n]+)"")),"""")"),"laughing-stalk.blogspot.com")</f>
        <v>laughing-stalk.blogspot.com</v>
      </c>
      <c r="C197" s="5" t="s">
        <v>5</v>
      </c>
      <c r="D197" s="7"/>
    </row>
    <row r="198" spans="1:4" ht="12.5">
      <c r="A198" s="8" t="s">
        <v>205</v>
      </c>
      <c r="B198" s="4" t="str">
        <f ca="1">IFERROR(__xludf.DUMMYFUNCTION("IFERROR(ARRAYFORMULA(REGEXEXTRACT(A198,""^(?:https?:\/\/)?(?:[^@\n]+@)?(?:www\.)?([^:\/\n]+)"")),"""")"),"suredividend.com")</f>
        <v>suredividend.com</v>
      </c>
      <c r="C198" s="5" t="s">
        <v>5</v>
      </c>
      <c r="D198" s="7"/>
    </row>
    <row r="199" spans="1:4" ht="12.5">
      <c r="A199" s="8" t="s">
        <v>206</v>
      </c>
      <c r="B199" s="4" t="str">
        <f ca="1">IFERROR(__xludf.DUMMYFUNCTION("IFERROR(ARRAYFORMULA(REGEXEXTRACT(A199,""^(?:https?:\/\/)?(?:[^@\n]+@)?(?:www\.)?([^:\/\n]+)"")),"""")"),"storeybookreviews.com")</f>
        <v>storeybookreviews.com</v>
      </c>
      <c r="C199" s="5" t="s">
        <v>5</v>
      </c>
      <c r="D199" s="7"/>
    </row>
    <row r="200" spans="1:4" ht="12.5">
      <c r="A200" s="8" t="s">
        <v>207</v>
      </c>
      <c r="B200" s="4" t="str">
        <f ca="1">IFERROR(__xludf.DUMMYFUNCTION("IFERROR(ARRAYFORMULA(REGEXEXTRACT(A200,""^(?:https?:\/\/)?(?:[^@\n]+@)?(?:www\.)?([^:\/\n]+)"")),"""")"),"orangeseo.net")</f>
        <v>orangeseo.net</v>
      </c>
      <c r="C200" s="5" t="s">
        <v>5</v>
      </c>
      <c r="D200" s="7"/>
    </row>
    <row r="201" spans="1:4" ht="12.5">
      <c r="A201" s="8" t="s">
        <v>208</v>
      </c>
      <c r="B201" s="4" t="str">
        <f ca="1">IFERROR(__xludf.DUMMYFUNCTION("IFERROR(ARRAYFORMULA(REGEXEXTRACT(A201,""^(?:https?:\/\/)?(?:[^@\n]+@)?(?:www\.)?([^:\/\n]+)"")),"""")"),"ethosroasters.com")</f>
        <v>ethosroasters.com</v>
      </c>
      <c r="C201" s="5" t="s">
        <v>5</v>
      </c>
      <c r="D201" s="7"/>
    </row>
    <row r="202" spans="1:4" ht="12.5">
      <c r="A202" s="8" t="s">
        <v>209</v>
      </c>
      <c r="B202" s="4" t="str">
        <f ca="1">IFERROR(__xludf.DUMMYFUNCTION("IFERROR(ARRAYFORMULA(REGEXEXTRACT(A202,""^(?:https?:\/\/)?(?:[^@\n]+@)?(?:www\.)?([^:\/\n]+)"")),"""")"),"havebabywilltravel.com")</f>
        <v>havebabywilltravel.com</v>
      </c>
      <c r="C202" s="5" t="s">
        <v>5</v>
      </c>
      <c r="D202" s="7"/>
    </row>
    <row r="203" spans="1:4" ht="12.5">
      <c r="A203" s="8" t="s">
        <v>210</v>
      </c>
      <c r="B203" s="4" t="str">
        <f ca="1">IFERROR(__xludf.DUMMYFUNCTION("IFERROR(ARRAYFORMULA(REGEXEXTRACT(A203,""^(?:https?:\/\/)?(?:[^@\n]+@)?(?:www\.)?([^:\/\n]+)"")),"""")"),"schultedesign.com")</f>
        <v>schultedesign.com</v>
      </c>
      <c r="C203" s="5" t="s">
        <v>5</v>
      </c>
      <c r="D203" s="7"/>
    </row>
    <row r="204" spans="1:4" ht="12.5">
      <c r="A204" s="8" t="s">
        <v>211</v>
      </c>
      <c r="B204" s="4" t="str">
        <f ca="1">IFERROR(__xludf.DUMMYFUNCTION("IFERROR(ARRAYFORMULA(REGEXEXTRACT(A204,""^(?:https?:\/\/)?(?:[^@\n]+@)?(?:www\.)?([^:\/\n]+)"")),"""")"),"interiorsbythalia.com")</f>
        <v>interiorsbythalia.com</v>
      </c>
      <c r="C204" s="5" t="s">
        <v>5</v>
      </c>
      <c r="D204" s="7"/>
    </row>
    <row r="205" spans="1:4" ht="12.5">
      <c r="A205" s="8" t="s">
        <v>212</v>
      </c>
      <c r="B205" s="4" t="str">
        <f ca="1">IFERROR(__xludf.DUMMYFUNCTION("IFERROR(ARRAYFORMULA(REGEXEXTRACT(A205,""^(?:https?:\/\/)?(?:[^@\n]+@)?(?:www\.)?([^:\/\n]+)"")),"""")"),"distinctiveinteriorsdesign.com")</f>
        <v>distinctiveinteriorsdesign.com</v>
      </c>
      <c r="C205" s="5" t="s">
        <v>5</v>
      </c>
      <c r="D205" s="7"/>
    </row>
    <row r="206" spans="1:4" ht="12.5">
      <c r="A206" s="8" t="s">
        <v>213</v>
      </c>
      <c r="B206" s="4" t="str">
        <f ca="1">IFERROR(__xludf.DUMMYFUNCTION("IFERROR(ARRAYFORMULA(REGEXEXTRACT(A206,""^(?:https?:\/\/)?(?:[^@\n]+@)?(?:www\.)?([^:\/\n]+)"")),"""")"),"gulfshoreinteriordesign.com")</f>
        <v>gulfshoreinteriordesign.com</v>
      </c>
      <c r="C206" s="5" t="s">
        <v>5</v>
      </c>
      <c r="D206" s="7"/>
    </row>
    <row r="207" spans="1:4" ht="12.5">
      <c r="A207" s="8" t="s">
        <v>214</v>
      </c>
      <c r="B207" s="4" t="str">
        <f ca="1">IFERROR(__xludf.DUMMYFUNCTION("IFERROR(ARRAYFORMULA(REGEXEXTRACT(A207,""^(?:https?:\/\/)?(?:[^@\n]+@)?(?:www\.)?([^:\/\n]+)"")),"""")"),"beasleyandhenley.com")</f>
        <v>beasleyandhenley.com</v>
      </c>
      <c r="C207" s="5" t="s">
        <v>5</v>
      </c>
      <c r="D207" s="7"/>
    </row>
    <row r="208" spans="1:4" ht="12.5">
      <c r="A208" s="8" t="s">
        <v>215</v>
      </c>
      <c r="B208" s="4" t="str">
        <f ca="1">IFERROR(__xludf.DUMMYFUNCTION("IFERROR(ARRAYFORMULA(REGEXEXTRACT(A208,""^(?:https?:\/\/)?(?:[^@\n]+@)?(?:www\.)?([^:\/\n]+)"")),"""")"),"sarafattori.com")</f>
        <v>sarafattori.com</v>
      </c>
      <c r="C208" s="5" t="s">
        <v>5</v>
      </c>
      <c r="D208" s="7"/>
    </row>
    <row r="209" spans="1:4" ht="12.5">
      <c r="A209" s="8" t="s">
        <v>216</v>
      </c>
      <c r="B209" s="4" t="str">
        <f ca="1">IFERROR(__xludf.DUMMYFUNCTION("IFERROR(ARRAYFORMULA(REGEXEXTRACT(A209,""^(?:https?:\/\/)?(?:[^@\n]+@)?(?:www\.)?([^:\/\n]+)"")),"""")"),"abidedesignsinteriors.com")</f>
        <v>abidedesignsinteriors.com</v>
      </c>
      <c r="C209" s="5" t="s">
        <v>5</v>
      </c>
      <c r="D209" s="7"/>
    </row>
    <row r="210" spans="1:4" ht="12.5">
      <c r="A210" s="8" t="s">
        <v>217</v>
      </c>
      <c r="B210" s="4" t="str">
        <f ca="1">IFERROR(__xludf.DUMMYFUNCTION("IFERROR(ARRAYFORMULA(REGEXEXTRACT(A210,""^(?:https?:\/\/)?(?:[^@\n]+@)?(?:www\.)?([^:\/\n]+)"")),"""")"),"homefrosting.com")</f>
        <v>homefrosting.com</v>
      </c>
      <c r="C210" s="5" t="s">
        <v>5</v>
      </c>
      <c r="D210" s="7"/>
    </row>
    <row r="211" spans="1:4" ht="12.5">
      <c r="A211" s="8" t="s">
        <v>218</v>
      </c>
      <c r="B211" s="4" t="str">
        <f ca="1">IFERROR(__xludf.DUMMYFUNCTION("IFERROR(ARRAYFORMULA(REGEXEXTRACT(A211,""^(?:https?:\/\/)?(?:[^@\n]+@)?(?:www\.)?([^:\/\n]+)"")),"""")"),"leoneinteriordesigns.com")</f>
        <v>leoneinteriordesigns.com</v>
      </c>
      <c r="C211" s="5" t="s">
        <v>5</v>
      </c>
      <c r="D211" s="7"/>
    </row>
    <row r="212" spans="1:4" ht="12.5">
      <c r="A212" s="8" t="s">
        <v>219</v>
      </c>
      <c r="B212" s="4" t="str">
        <f ca="1">IFERROR(__xludf.DUMMYFUNCTION("IFERROR(ARRAYFORMULA(REGEXEXTRACT(A212,""^(?:https?:\/\/)?(?:[^@\n]+@)?(?:www\.)?([^:\/\n]+)"")),"""")"),"theartcareerproject.com")</f>
        <v>theartcareerproject.com</v>
      </c>
      <c r="C212" s="5" t="s">
        <v>5</v>
      </c>
      <c r="D212" s="7"/>
    </row>
    <row r="213" spans="1:4" ht="12.5">
      <c r="A213" s="8" t="s">
        <v>220</v>
      </c>
      <c r="B213" s="4" t="str">
        <f ca="1">IFERROR(__xludf.DUMMYFUNCTION("IFERROR(ARRAYFORMULA(REGEXEXTRACT(A213,""^(?:https?:\/\/)?(?:[^@\n]+@)?(?:www\.)?([^:\/\n]+)"")),"""")"),"mralextate.com")</f>
        <v>mralextate.com</v>
      </c>
      <c r="C213" s="5" t="s">
        <v>5</v>
      </c>
      <c r="D213" s="7"/>
    </row>
    <row r="214" spans="1:4" ht="12.5">
      <c r="A214" s="8" t="s">
        <v>221</v>
      </c>
      <c r="B214" s="4" t="str">
        <f ca="1">IFERROR(__xludf.DUMMYFUNCTION("IFERROR(ARRAYFORMULA(REGEXEXTRACT(A214,""^(?:https?:\/\/)?(?:[^@\n]+@)?(?:www\.)?([^:\/\n]+)"")),"""")"),"colorsofdesign.com")</f>
        <v>colorsofdesign.com</v>
      </c>
      <c r="C214" s="5" t="s">
        <v>5</v>
      </c>
      <c r="D214" s="7"/>
    </row>
    <row r="215" spans="1:4" ht="12.5">
      <c r="A215" s="8" t="s">
        <v>222</v>
      </c>
      <c r="B215" s="4" t="str">
        <f ca="1">IFERROR(__xludf.DUMMYFUNCTION("IFERROR(ARRAYFORMULA(REGEXEXTRACT(A215,""^(?:https?:\/\/)?(?:[^@\n]+@)?(?:www\.)?([^:\/\n]+)"")),"""")"),"domadesign.co")</f>
        <v>domadesign.co</v>
      </c>
      <c r="C215" s="5" t="s">
        <v>5</v>
      </c>
      <c r="D215" s="7"/>
    </row>
    <row r="216" spans="1:4" ht="12.5">
      <c r="A216" s="8" t="s">
        <v>223</v>
      </c>
      <c r="B216" s="4" t="str">
        <f ca="1">IFERROR(__xludf.DUMMYFUNCTION("IFERROR(ARRAYFORMULA(REGEXEXTRACT(A216,""^(?:https?:\/\/)?(?:[^@\n]+@)?(?:www\.)?([^:\/\n]+)"")),"""")"),"architecturaldigest.com")</f>
        <v>architecturaldigest.com</v>
      </c>
      <c r="C216" s="5" t="s">
        <v>5</v>
      </c>
      <c r="D216" s="7"/>
    </row>
    <row r="217" spans="1:4" ht="12.5">
      <c r="A217" s="8" t="s">
        <v>224</v>
      </c>
      <c r="B217" s="4" t="str">
        <f ca="1">IFERROR(__xludf.DUMMYFUNCTION("IFERROR(ARRAYFORMULA(REGEXEXTRACT(A217,""^(?:https?:\/\/)?(?:[^@\n]+@)?(?:www\.)?([^:\/\n]+)"")),"""")"),"coin.decoratingden.com")</f>
        <v>coin.decoratingden.com</v>
      </c>
      <c r="C217" s="5" t="s">
        <v>5</v>
      </c>
      <c r="D217" s="7"/>
    </row>
    <row r="218" spans="1:4" ht="12.5">
      <c r="A218" s="8" t="s">
        <v>225</v>
      </c>
      <c r="B218" s="4" t="str">
        <f ca="1">IFERROR(__xludf.DUMMYFUNCTION("IFERROR(ARRAYFORMULA(REGEXEXTRACT(A218,""^(?:https?:\/\/)?(?:[^@\n]+@)?(?:www\.)?([^:\/\n]+)"")),"""")"),"laurenell.com")</f>
        <v>laurenell.com</v>
      </c>
      <c r="C218" s="5" t="s">
        <v>5</v>
      </c>
      <c r="D218" s="7"/>
    </row>
    <row r="219" spans="1:4" ht="12.5">
      <c r="A219" s="8" t="s">
        <v>226</v>
      </c>
      <c r="B219" s="4" t="str">
        <f ca="1">IFERROR(__xludf.DUMMYFUNCTION("IFERROR(ARRAYFORMULA(REGEXEXTRACT(A219,""^(?:https?:\/\/)?(?:[^@\n]+@)?(?:www\.)?([^:\/\n]+)"")),"""")"),"blog.kravet.com")</f>
        <v>blog.kravet.com</v>
      </c>
      <c r="C219" s="5" t="s">
        <v>5</v>
      </c>
      <c r="D219" s="7"/>
    </row>
    <row r="220" spans="1:4" ht="12.5">
      <c r="A220" s="8" t="s">
        <v>227</v>
      </c>
      <c r="B220" s="4" t="str">
        <f ca="1">IFERROR(__xludf.DUMMYFUNCTION("IFERROR(ARRAYFORMULA(REGEXEXTRACT(A220,""^(?:https?:\/\/)?(?:[^@\n]+@)?(?:www\.)?([^:\/\n]+)"")),"""")"),"studiominteriordesign.net")</f>
        <v>studiominteriordesign.net</v>
      </c>
      <c r="C220" s="5" t="s">
        <v>5</v>
      </c>
      <c r="D220" s="7"/>
    </row>
    <row r="221" spans="1:4" ht="12.5">
      <c r="A221" s="8" t="s">
        <v>228</v>
      </c>
      <c r="B221" s="4" t="str">
        <f ca="1">IFERROR(__xludf.DUMMYFUNCTION("IFERROR(ARRAYFORMULA(REGEXEXTRACT(A221,""^(?:https?:\/\/)?(?:[^@\n]+@)?(?:www\.)?([^:\/\n]+)"")),"""")"),"benjaminmoore.com")</f>
        <v>benjaminmoore.com</v>
      </c>
      <c r="C221" s="5" t="s">
        <v>5</v>
      </c>
      <c r="D221" s="7"/>
    </row>
    <row r="222" spans="1:4" ht="12.5">
      <c r="A222" s="8" t="s">
        <v>229</v>
      </c>
      <c r="B222" s="4" t="str">
        <f ca="1">IFERROR(__xludf.DUMMYFUNCTION("IFERROR(ARRAYFORMULA(REGEXEXTRACT(A222,""^(?:https?:\/\/)?(?:[^@\n]+@)?(?:www\.)?([^:\/\n]+)"")),"""")"),"khov.com")</f>
        <v>khov.com</v>
      </c>
      <c r="C222" s="5" t="s">
        <v>5</v>
      </c>
      <c r="D222" s="7"/>
    </row>
    <row r="223" spans="1:4" ht="12.5">
      <c r="A223" s="8" t="s">
        <v>230</v>
      </c>
      <c r="B223" s="4" t="str">
        <f ca="1">IFERROR(__xludf.DUMMYFUNCTION("IFERROR(ARRAYFORMULA(REGEXEXTRACT(A223,""^(?:https?:\/\/)?(?:[^@\n]+@)?(?:www\.)?([^:\/\n]+)"")),"""")"),"news.mdcwall.com")</f>
        <v>news.mdcwall.com</v>
      </c>
      <c r="C223" s="5" t="s">
        <v>5</v>
      </c>
      <c r="D223" s="7"/>
    </row>
    <row r="224" spans="1:4" ht="12.5">
      <c r="A224" s="8" t="s">
        <v>231</v>
      </c>
      <c r="B224" s="4" t="str">
        <f ca="1">IFERROR(__xludf.DUMMYFUNCTION("IFERROR(ARRAYFORMULA(REGEXEXTRACT(A224,""^(?:https?:\/\/)?(?:[^@\n]+@)?(?:www\.)?([^:\/\n]+)"")),"""")"),"authoraddisonalbright.com")</f>
        <v>authoraddisonalbright.com</v>
      </c>
      <c r="C224" s="5" t="s">
        <v>5</v>
      </c>
      <c r="D224" s="7"/>
    </row>
    <row r="225" spans="1:4" ht="12.5">
      <c r="A225" s="8" t="s">
        <v>232</v>
      </c>
      <c r="B225" s="4" t="str">
        <f ca="1">IFERROR(__xludf.DUMMYFUNCTION("IFERROR(ARRAYFORMULA(REGEXEXTRACT(A225,""^(?:https?:\/\/)?(?:[^@\n]+@)?(?:www\.)?([^:\/\n]+)"")),"""")"),"thefloridavillager.com")</f>
        <v>thefloridavillager.com</v>
      </c>
      <c r="C225" s="5" t="s">
        <v>5</v>
      </c>
      <c r="D225" s="7"/>
    </row>
    <row r="226" spans="1:4" ht="12.5">
      <c r="A226" s="8" t="s">
        <v>233</v>
      </c>
      <c r="B226" s="4" t="str">
        <f ca="1">IFERROR(__xludf.DUMMYFUNCTION("IFERROR(ARRAYFORMULA(REGEXEXTRACT(A226,""^(?:https?:\/\/)?(?:[^@\n]+@)?(?:www\.)?([^:\/\n]+)"")),"""")"),"blackrapid.com")</f>
        <v>blackrapid.com</v>
      </c>
      <c r="C226" s="5" t="s">
        <v>5</v>
      </c>
      <c r="D226" s="7"/>
    </row>
    <row r="227" spans="1:4" ht="12.5">
      <c r="A227" s="8" t="s">
        <v>234</v>
      </c>
      <c r="B227" s="4" t="str">
        <f ca="1">IFERROR(__xludf.DUMMYFUNCTION("IFERROR(ARRAYFORMULA(REGEXEXTRACT(A227,""^(?:https?:\/\/)?(?:[^@\n]+@)?(?:www\.)?([^:\/\n]+)"")),"""")"),"thisismysouth.com")</f>
        <v>thisismysouth.com</v>
      </c>
      <c r="C227" s="5" t="s">
        <v>5</v>
      </c>
      <c r="D227" s="7"/>
    </row>
    <row r="228" spans="1:4" ht="12.5">
      <c r="A228" s="8" t="s">
        <v>235</v>
      </c>
      <c r="B228" s="4" t="str">
        <f ca="1">IFERROR(__xludf.DUMMYFUNCTION("IFERROR(ARRAYFORMULA(REGEXEXTRACT(A228,""^(?:https?:\/\/)?(?:[^@\n]+@)?(?:www\.)?([^:\/\n]+)"")),"""")"),"pineapplepressfl.wordpress.com")</f>
        <v>pineapplepressfl.wordpress.com</v>
      </c>
      <c r="C228" s="5" t="s">
        <v>5</v>
      </c>
      <c r="D228" s="7"/>
    </row>
    <row r="229" spans="1:4" ht="12.5">
      <c r="A229" s="8" t="s">
        <v>236</v>
      </c>
      <c r="B229" s="4" t="str">
        <f ca="1">IFERROR(__xludf.DUMMYFUNCTION("IFERROR(ARRAYFORMULA(REGEXEXTRACT(A229,""^(?:https?:\/\/)?(?:[^@\n]+@)?(?:www\.)?([^:\/\n]+)"")),"""")"),"patentlyo.com")</f>
        <v>patentlyo.com</v>
      </c>
      <c r="C229" s="5" t="s">
        <v>5</v>
      </c>
      <c r="D229" s="7"/>
    </row>
    <row r="230" spans="1:4" ht="12.5">
      <c r="A230" s="8" t="s">
        <v>237</v>
      </c>
      <c r="B230" s="4" t="str">
        <f ca="1">IFERROR(__xludf.DUMMYFUNCTION("IFERROR(ARRAYFORMULA(REGEXEXTRACT(A230,""^(?:https?:\/\/)?(?:[^@\n]+@)?(?:www\.)?([^:\/\n]+)"")),"""")"),"blog.thelodgeguys.com")</f>
        <v>blog.thelodgeguys.com</v>
      </c>
      <c r="C230" s="5" t="s">
        <v>5</v>
      </c>
      <c r="D230" s="7"/>
    </row>
    <row r="231" spans="1:4" ht="12.5">
      <c r="A231" s="8" t="s">
        <v>238</v>
      </c>
      <c r="B231" s="4" t="str">
        <f ca="1">IFERROR(__xludf.DUMMYFUNCTION("IFERROR(ARRAYFORMULA(REGEXEXTRACT(A231,""^(?:https?:\/\/)?(?:[^@\n]+@)?(?:www\.)?([^:\/\n]+)"")),"""")"),"pmpmg.com")</f>
        <v>pmpmg.com</v>
      </c>
      <c r="C231" s="5" t="s">
        <v>5</v>
      </c>
      <c r="D231" s="7"/>
    </row>
    <row r="232" spans="1:4" ht="12.5">
      <c r="A232" s="8" t="s">
        <v>239</v>
      </c>
      <c r="B232" s="4" t="str">
        <f ca="1">IFERROR(__xludf.DUMMYFUNCTION("IFERROR(ARRAYFORMULA(REGEXEXTRACT(A232,""^(?:https?:\/\/)?(?:[^@\n]+@)?(?:www\.)?([^:\/\n]+)"")),"""")"),"newswirejet.com")</f>
        <v>newswirejet.com</v>
      </c>
      <c r="C232" s="5" t="s">
        <v>5</v>
      </c>
      <c r="D232" s="7"/>
    </row>
    <row r="233" spans="1:4" ht="12.5">
      <c r="A233" s="8" t="s">
        <v>240</v>
      </c>
      <c r="B233" s="4" t="str">
        <f ca="1">IFERROR(__xludf.DUMMYFUNCTION("IFERROR(ARRAYFORMULA(REGEXEXTRACT(A233,""^(?:https?:\/\/)?(?:[^@\n]+@)?(?:www\.)?([^:\/\n]+)"")),"""")"),"oneims.com")</f>
        <v>oneims.com</v>
      </c>
      <c r="C233" s="5" t="s">
        <v>5</v>
      </c>
      <c r="D233" s="7"/>
    </row>
    <row r="234" spans="1:4" ht="12.5">
      <c r="A234" s="8" t="s">
        <v>241</v>
      </c>
      <c r="B234" s="7" t="str">
        <f ca="1">IFERROR(__xludf.DUMMYFUNCTION("IFERROR(ARRAYFORMULA(REGEXEXTRACT(A234,""^(?:https?:\/\/)?(?:[^@\n]+@)?(?:www\.)?([^:\/\n]+)"")),"""")"),"cyclingindustry.news")</f>
        <v>cyclingindustry.news</v>
      </c>
      <c r="C234" s="5" t="s">
        <v>5</v>
      </c>
      <c r="D234" s="7"/>
    </row>
    <row r="235" spans="1:4" ht="12.5">
      <c r="A235" s="8" t="s">
        <v>242</v>
      </c>
      <c r="B235" s="4" t="str">
        <f ca="1">IFERROR(__xludf.DUMMYFUNCTION("IFERROR(ARRAYFORMULA(REGEXEXTRACT(A235,""^(?:https?:\/\/)?(?:[^@\n]+@)?(?:www\.)?([^:\/\n]+)"")),"""")"),"tinyhousetinyfootprint.com")</f>
        <v>tinyhousetinyfootprint.com</v>
      </c>
      <c r="C235" s="5" t="s">
        <v>5</v>
      </c>
      <c r="D235" s="7"/>
    </row>
    <row r="236" spans="1:4" ht="12.5">
      <c r="A236" s="8" t="s">
        <v>243</v>
      </c>
      <c r="B236" s="4" t="str">
        <f ca="1">IFERROR(__xludf.DUMMYFUNCTION("IFERROR(ARRAYFORMULA(REGEXEXTRACT(A236,""^(?:https?:\/\/)?(?:[^@\n]+@)?(?:www\.)?([^:\/\n]+)"")),"""")"),"aeologic.com")</f>
        <v>aeologic.com</v>
      </c>
      <c r="C236" s="5" t="s">
        <v>5</v>
      </c>
      <c r="D236" s="7"/>
    </row>
    <row r="237" spans="1:4" ht="12.5">
      <c r="A237" s="8" t="s">
        <v>244</v>
      </c>
      <c r="B237" s="4" t="str">
        <f ca="1">IFERROR(__xludf.DUMMYFUNCTION("IFERROR(ARRAYFORMULA(REGEXEXTRACT(A237,""^(?:https?:\/\/)?(?:[^@\n]+@)?(?:www\.)?([^:\/\n]+)"")),"""")"),"netreputation.com")</f>
        <v>netreputation.com</v>
      </c>
      <c r="C237" s="5" t="s">
        <v>5</v>
      </c>
      <c r="D237" s="7"/>
    </row>
    <row r="238" spans="1:4" ht="12.5">
      <c r="A238" s="8" t="s">
        <v>245</v>
      </c>
      <c r="B238" s="4" t="str">
        <f ca="1">IFERROR(__xludf.DUMMYFUNCTION("IFERROR(ARRAYFORMULA(REGEXEXTRACT(A238,""^(?:https?:\/\/)?(?:[^@\n]+@)?(?:www\.)?([^:\/\n]+)"")),"""")"),"thecapitolist.com")</f>
        <v>thecapitolist.com</v>
      </c>
      <c r="C238" s="5" t="s">
        <v>5</v>
      </c>
      <c r="D238" s="7"/>
    </row>
    <row r="239" spans="1:4" ht="12.5">
      <c r="A239" s="8" t="s">
        <v>246</v>
      </c>
      <c r="B239" s="4" t="str">
        <f ca="1">IFERROR(__xludf.DUMMYFUNCTION("IFERROR(ARRAYFORMULA(REGEXEXTRACT(A239,""^(?:https?:\/\/)?(?:[^@\n]+@)?(?:www\.)?([^:\/\n]+)"")),"""")"),"walkingthroughwonderland.com")</f>
        <v>walkingthroughwonderland.com</v>
      </c>
      <c r="C239" s="5" t="s">
        <v>5</v>
      </c>
      <c r="D239" s="7"/>
    </row>
    <row r="240" spans="1:4" ht="12.5">
      <c r="A240" s="8" t="s">
        <v>247</v>
      </c>
      <c r="B240" s="4" t="str">
        <f ca="1">IFERROR(__xludf.DUMMYFUNCTION("IFERROR(ARRAYFORMULA(REGEXEXTRACT(A240,""^(?:https?:\/\/)?(?:[^@\n]+@)?(?:www\.)?([^:\/\n]+)"")),"""")"),"hittingitsolid.com")</f>
        <v>hittingitsolid.com</v>
      </c>
      <c r="C240" s="5" t="s">
        <v>5</v>
      </c>
      <c r="D240" s="7"/>
    </row>
    <row r="241" spans="1:4" ht="12.5">
      <c r="A241" s="8" t="s">
        <v>248</v>
      </c>
      <c r="B241" s="4" t="str">
        <f ca="1">IFERROR(__xludf.DUMMYFUNCTION("IFERROR(ARRAYFORMULA(REGEXEXTRACT(A241,""^(?:https?:\/\/)?(?:[^@\n]+@)?(?:www\.)?([^:\/\n]+)"")),"""")"),"barnesandnoble.com")</f>
        <v>barnesandnoble.com</v>
      </c>
      <c r="C241" s="5" t="s">
        <v>5</v>
      </c>
      <c r="D241" s="7"/>
    </row>
    <row r="242" spans="1:4" ht="12.5">
      <c r="A242" s="8" t="s">
        <v>249</v>
      </c>
      <c r="B242" s="4" t="str">
        <f ca="1">IFERROR(__xludf.DUMMYFUNCTION("IFERROR(ARRAYFORMULA(REGEXEXTRACT(A242,""^(?:https?:\/\/)?(?:[^@\n]+@)?(?:www\.)?([^:\/\n]+)"")),"""")"),"growlaw.co")</f>
        <v>growlaw.co</v>
      </c>
      <c r="C242" s="5" t="s">
        <v>5</v>
      </c>
      <c r="D242" s="7"/>
    </row>
    <row r="243" spans="1:4" ht="12.5">
      <c r="A243" s="8" t="s">
        <v>250</v>
      </c>
      <c r="B243" s="4" t="str">
        <f ca="1">IFERROR(__xludf.DUMMYFUNCTION("IFERROR(ARRAYFORMULA(REGEXEXTRACT(A243,""^(?:https?:\/\/)?(?:[^@\n]+@)?(?:www\.)?([^:\/\n]+)"")),"""")"),"erininthemorning.com")</f>
        <v>erininthemorning.com</v>
      </c>
      <c r="C243" s="5" t="s">
        <v>5</v>
      </c>
      <c r="D243" s="7"/>
    </row>
    <row r="244" spans="1:4" ht="12.5">
      <c r="A244" s="8" t="s">
        <v>251</v>
      </c>
      <c r="B244" s="4" t="str">
        <f ca="1">IFERROR(__xludf.DUMMYFUNCTION("IFERROR(ARRAYFORMULA(REGEXEXTRACT(A244,""^(?:https?:\/\/)?(?:[^@\n]+@)?(?:www\.)?([^:\/\n]+)"")),"""")"),"news.outsourceaccelerator.com")</f>
        <v>news.outsourceaccelerator.com</v>
      </c>
      <c r="C244" s="5" t="s">
        <v>5</v>
      </c>
      <c r="D244" s="7"/>
    </row>
    <row r="245" spans="1:4" ht="12.5">
      <c r="A245" s="8" t="s">
        <v>252</v>
      </c>
      <c r="B245" s="4" t="str">
        <f ca="1">IFERROR(__xludf.DUMMYFUNCTION("IFERROR(ARRAYFORMULA(REGEXEXTRACT(A245,""^(?:https?:\/\/)?(?:[^@\n]+@)?(?:www\.)?([^:\/\n]+)"")),"""")"),"brandburp.com")</f>
        <v>brandburp.com</v>
      </c>
      <c r="C245" s="5" t="s">
        <v>5</v>
      </c>
      <c r="D245" s="7"/>
    </row>
    <row r="246" spans="1:4" ht="12.5">
      <c r="A246" s="8" t="s">
        <v>253</v>
      </c>
      <c r="B246" s="4" t="str">
        <f ca="1">IFERROR(__xludf.DUMMYFUNCTION("IFERROR(ARRAYFORMULA(REGEXEXTRACT(A246,""^(?:https?:\/\/)?(?:[^@\n]+@)?(?:www\.)?([^:\/\n]+)"")),"""")"),"thedevyroyale.com")</f>
        <v>thedevyroyale.com</v>
      </c>
      <c r="C246" s="5" t="s">
        <v>5</v>
      </c>
      <c r="D246" s="7"/>
    </row>
    <row r="247" spans="1:4" ht="12.5">
      <c r="A247" s="8" t="s">
        <v>254</v>
      </c>
      <c r="B247" s="4" t="str">
        <f ca="1">IFERROR(__xludf.DUMMYFUNCTION("IFERROR(ARRAYFORMULA(REGEXEXTRACT(A247,""^(?:https?:\/\/)?(?:[^@\n]+@)?(?:www\.)?([^:\/\n]+)"")),"""")"),"travelita-blog.com")</f>
        <v>travelita-blog.com</v>
      </c>
      <c r="C247" s="5" t="s">
        <v>5</v>
      </c>
      <c r="D247" s="7"/>
    </row>
    <row r="248" spans="1:4" ht="12.5">
      <c r="A248" s="12" t="s">
        <v>255</v>
      </c>
      <c r="B248" s="4" t="str">
        <f ca="1">IFERROR(__xludf.DUMMYFUNCTION("IFERROR(ARRAYFORMULA(REGEXEXTRACT(A248,""^(?:https?:\/\/)?(?:[^@\n]+@)?(?:www\.)?([^:\/\n]+)"")),"""")"),"pinoyeplans.com")</f>
        <v>pinoyeplans.com</v>
      </c>
      <c r="C248" s="5" t="s">
        <v>5</v>
      </c>
      <c r="D248" s="7"/>
    </row>
    <row r="249" spans="1:4" ht="12.5">
      <c r="A249" s="3" t="s">
        <v>256</v>
      </c>
      <c r="B249" s="4" t="str">
        <f ca="1">IFERROR(__xludf.DUMMYFUNCTION("IFERROR(ARRAYFORMULA(REGEXEXTRACT(A249,""^(?:https?:\/\/)?(?:[^@\n]+@)?(?:www\.)?([^:\/\n]+)"")),"""")"),"hamiltoninternationalestates.com")</f>
        <v>hamiltoninternationalestates.com</v>
      </c>
      <c r="C249" s="5" t="s">
        <v>5</v>
      </c>
      <c r="D249" s="7"/>
    </row>
    <row r="250" spans="1:4" ht="12.5">
      <c r="A250" s="3" t="s">
        <v>257</v>
      </c>
      <c r="B250" s="4" t="str">
        <f ca="1">IFERROR(__xludf.DUMMYFUNCTION("IFERROR(ARRAYFORMULA(REGEXEXTRACT(A250,""^(?:https?:\/\/)?(?:[^@\n]+@)?(?:www\.)?([^:\/\n]+)"")),"""")"),"propertypressonline.co.uk")</f>
        <v>propertypressonline.co.uk</v>
      </c>
      <c r="C250" s="5" t="s">
        <v>5</v>
      </c>
      <c r="D250" s="7"/>
    </row>
    <row r="251" spans="1:4" ht="12.5">
      <c r="A251" s="5"/>
      <c r="B251" s="7"/>
      <c r="C251" s="5"/>
      <c r="D251" s="7"/>
    </row>
    <row r="252" spans="1:4" ht="12.5">
      <c r="A252" s="5"/>
      <c r="B252" s="7"/>
      <c r="C252" s="5"/>
      <c r="D252" s="7"/>
    </row>
    <row r="253" spans="1:4" ht="12.5">
      <c r="A253" s="5"/>
      <c r="B253" s="7"/>
      <c r="C253" s="5"/>
      <c r="D253" s="7"/>
    </row>
    <row r="254" spans="1:4" ht="12.5">
      <c r="A254" s="5"/>
      <c r="B254" s="7"/>
      <c r="C254" s="5"/>
      <c r="D254" s="7"/>
    </row>
    <row r="255" spans="1:4" ht="12.5">
      <c r="A255" s="5"/>
      <c r="B255" s="7"/>
      <c r="C255" s="5"/>
      <c r="D255" s="7"/>
    </row>
    <row r="256" spans="1:4" ht="12.5">
      <c r="A256" s="5"/>
      <c r="B256" s="7"/>
      <c r="C256" s="5"/>
      <c r="D256" s="7"/>
    </row>
    <row r="257" spans="1:4" ht="12.5">
      <c r="A257" s="5"/>
      <c r="B257" s="7"/>
      <c r="C257" s="5"/>
      <c r="D257" s="7"/>
    </row>
    <row r="258" spans="1:4" ht="12.5">
      <c r="A258" s="5"/>
      <c r="B258" s="7"/>
      <c r="C258" s="5"/>
      <c r="D258" s="7"/>
    </row>
    <row r="259" spans="1:4" ht="12.5">
      <c r="A259" s="5"/>
      <c r="B259" s="7"/>
      <c r="C259" s="5"/>
      <c r="D259" s="7"/>
    </row>
    <row r="260" spans="1:4" ht="12.5">
      <c r="A260" s="5"/>
      <c r="B260" s="7"/>
      <c r="C260" s="5"/>
      <c r="D260" s="7"/>
    </row>
    <row r="261" spans="1:4" ht="12.5">
      <c r="A261" s="5"/>
      <c r="B261" s="7"/>
      <c r="C261" s="5"/>
      <c r="D261" s="7"/>
    </row>
    <row r="262" spans="1:4" ht="12.5">
      <c r="A262" s="5"/>
      <c r="B262" s="7"/>
      <c r="C262" s="5"/>
      <c r="D262" s="7"/>
    </row>
    <row r="263" spans="1:4" ht="12.5">
      <c r="A263" s="5"/>
      <c r="B263" s="7"/>
      <c r="C263" s="5"/>
      <c r="D263" s="7"/>
    </row>
    <row r="264" spans="1:4" ht="12.5">
      <c r="A264" s="5"/>
      <c r="B264" s="7"/>
      <c r="C264" s="5"/>
      <c r="D264" s="7"/>
    </row>
    <row r="265" spans="1:4" ht="12.5">
      <c r="A265" s="5"/>
      <c r="B265" s="7"/>
      <c r="C265" s="5"/>
      <c r="D265" s="7"/>
    </row>
    <row r="266" spans="1:4" ht="12.5">
      <c r="A266" s="5"/>
      <c r="B266" s="7"/>
      <c r="C266" s="5"/>
      <c r="D266" s="7"/>
    </row>
    <row r="267" spans="1:4" ht="12.5">
      <c r="A267" s="5"/>
      <c r="B267" s="7"/>
      <c r="C267" s="5"/>
      <c r="D267" s="7"/>
    </row>
    <row r="268" spans="1:4" ht="12.5">
      <c r="A268" s="5"/>
      <c r="B268" s="7"/>
      <c r="C268" s="5"/>
      <c r="D268" s="7"/>
    </row>
    <row r="269" spans="1:4" ht="12.5">
      <c r="A269" s="5"/>
      <c r="B269" s="7"/>
      <c r="C269" s="5"/>
      <c r="D269" s="7"/>
    </row>
    <row r="270" spans="1:4" ht="12.5">
      <c r="A270" s="5"/>
      <c r="B270" s="7"/>
      <c r="C270" s="5"/>
      <c r="D270" s="7"/>
    </row>
    <row r="271" spans="1:4" ht="12.5">
      <c r="A271" s="5"/>
      <c r="B271" s="7"/>
      <c r="C271" s="5"/>
      <c r="D271" s="7"/>
    </row>
    <row r="272" spans="1:4" ht="12.5">
      <c r="A272" s="5"/>
      <c r="B272" s="7"/>
      <c r="C272" s="5"/>
      <c r="D272" s="7"/>
    </row>
    <row r="273" spans="1:4" ht="12.5">
      <c r="A273" s="5"/>
      <c r="B273" s="7"/>
      <c r="C273" s="5"/>
      <c r="D273" s="7"/>
    </row>
    <row r="274" spans="1:4" ht="12.5">
      <c r="A274" s="5"/>
      <c r="B274" s="7"/>
      <c r="C274" s="5"/>
      <c r="D274" s="7"/>
    </row>
    <row r="275" spans="1:4" ht="12.5">
      <c r="A275" s="5"/>
      <c r="B275" s="7"/>
      <c r="C275" s="5"/>
      <c r="D275" s="7"/>
    </row>
    <row r="276" spans="1:4" ht="12.5">
      <c r="A276" s="5"/>
      <c r="B276" s="7"/>
      <c r="C276" s="5"/>
      <c r="D276" s="7"/>
    </row>
    <row r="277" spans="1:4" ht="12.5">
      <c r="A277" s="5"/>
      <c r="B277" s="7"/>
      <c r="C277" s="5"/>
      <c r="D277" s="7"/>
    </row>
    <row r="278" spans="1:4" ht="12.5">
      <c r="A278" s="5"/>
      <c r="B278" s="7"/>
      <c r="C278" s="5"/>
      <c r="D278" s="7"/>
    </row>
    <row r="279" spans="1:4" ht="12.5">
      <c r="A279" s="5"/>
      <c r="B279" s="7"/>
      <c r="C279" s="5"/>
      <c r="D279" s="7"/>
    </row>
    <row r="280" spans="1:4" ht="12.5">
      <c r="A280" s="5"/>
      <c r="B280" s="7"/>
      <c r="C280" s="5"/>
      <c r="D280" s="7"/>
    </row>
    <row r="281" spans="1:4" ht="12.5">
      <c r="A281" s="5"/>
      <c r="B281" s="7"/>
      <c r="C281" s="5"/>
      <c r="D281" s="7"/>
    </row>
    <row r="282" spans="1:4" ht="12.5">
      <c r="A282" s="5"/>
      <c r="B282" s="7"/>
      <c r="C282" s="5"/>
      <c r="D282" s="7"/>
    </row>
    <row r="283" spans="1:4" ht="12.5">
      <c r="A283" s="5"/>
      <c r="B283" s="7"/>
      <c r="C283" s="5"/>
      <c r="D283" s="7"/>
    </row>
    <row r="284" spans="1:4" ht="12.5">
      <c r="A284" s="5"/>
      <c r="B284" s="7"/>
      <c r="C284" s="5"/>
      <c r="D284" s="7"/>
    </row>
    <row r="285" spans="1:4" ht="12.5">
      <c r="A285" s="5"/>
      <c r="B285" s="7"/>
      <c r="C285" s="5"/>
      <c r="D285" s="7"/>
    </row>
    <row r="286" spans="1:4" ht="12.5">
      <c r="A286" s="5"/>
      <c r="B286" s="7"/>
      <c r="C286" s="5"/>
      <c r="D286" s="7"/>
    </row>
    <row r="287" spans="1:4" ht="12.5">
      <c r="A287" s="5"/>
      <c r="B287" s="7"/>
      <c r="C287" s="5"/>
      <c r="D287" s="7"/>
    </row>
    <row r="288" spans="1:4" ht="12.5">
      <c r="A288" s="5"/>
      <c r="B288" s="7"/>
      <c r="C288" s="5"/>
      <c r="D288" s="7"/>
    </row>
    <row r="289" spans="1:4" ht="12.5">
      <c r="A289" s="5"/>
      <c r="B289" s="7"/>
      <c r="C289" s="5"/>
      <c r="D289" s="7"/>
    </row>
    <row r="290" spans="1:4" ht="12.5">
      <c r="A290" s="5"/>
      <c r="B290" s="7"/>
      <c r="C290" s="5"/>
      <c r="D290" s="7"/>
    </row>
    <row r="291" spans="1:4" ht="12.5">
      <c r="A291" s="5"/>
      <c r="B291" s="7"/>
      <c r="C291" s="5"/>
      <c r="D291" s="7"/>
    </row>
    <row r="292" spans="1:4" ht="12.5">
      <c r="A292" s="5"/>
      <c r="B292" s="7"/>
      <c r="C292" s="5"/>
      <c r="D292" s="7"/>
    </row>
    <row r="293" spans="1:4" ht="12.5">
      <c r="A293" s="5"/>
      <c r="B293" s="7"/>
      <c r="C293" s="5"/>
      <c r="D293" s="7"/>
    </row>
    <row r="294" spans="1:4" ht="12.5">
      <c r="A294" s="5"/>
      <c r="B294" s="7"/>
      <c r="C294" s="5"/>
      <c r="D294" s="7"/>
    </row>
    <row r="295" spans="1:4" ht="12.5">
      <c r="A295" s="5"/>
      <c r="B295" s="7"/>
      <c r="C295" s="5"/>
      <c r="D295" s="7"/>
    </row>
    <row r="296" spans="1:4" ht="12.5">
      <c r="A296" s="5"/>
      <c r="B296" s="7"/>
      <c r="C296" s="5"/>
      <c r="D296" s="7"/>
    </row>
    <row r="297" spans="1:4" ht="12.5">
      <c r="A297" s="5"/>
      <c r="B297" s="7"/>
      <c r="C297" s="5"/>
      <c r="D297" s="7"/>
    </row>
    <row r="298" spans="1:4" ht="12.5">
      <c r="A298" s="5"/>
      <c r="B298" s="7"/>
      <c r="C298" s="5"/>
      <c r="D298" s="7"/>
    </row>
    <row r="299" spans="1:4" ht="12.5">
      <c r="A299" s="5"/>
      <c r="B299" s="7"/>
      <c r="C299" s="5"/>
      <c r="D299" s="7"/>
    </row>
    <row r="300" spans="1:4" ht="12.5">
      <c r="A300" s="5"/>
      <c r="B300" s="7"/>
      <c r="C300" s="5"/>
      <c r="D300" s="7"/>
    </row>
    <row r="301" spans="1:4" ht="12.5">
      <c r="A301" s="5"/>
      <c r="B301" s="7"/>
      <c r="C301" s="5"/>
      <c r="D301" s="7"/>
    </row>
    <row r="302" spans="1:4" ht="12.5">
      <c r="A302" s="5"/>
      <c r="B302" s="7"/>
      <c r="C302" s="5"/>
      <c r="D302" s="7"/>
    </row>
    <row r="303" spans="1:4" ht="12.5">
      <c r="A303" s="5"/>
      <c r="B303" s="7"/>
      <c r="C303" s="5"/>
      <c r="D303" s="7"/>
    </row>
    <row r="304" spans="1:4" ht="12.5">
      <c r="A304" s="5"/>
      <c r="B304" s="7"/>
      <c r="C304" s="5"/>
      <c r="D304" s="7"/>
    </row>
    <row r="305" spans="1:4" ht="12.5">
      <c r="A305" s="5"/>
      <c r="B305" s="7"/>
      <c r="C305" s="5"/>
      <c r="D305" s="7"/>
    </row>
    <row r="306" spans="1:4" ht="12.5">
      <c r="A306" s="5"/>
      <c r="B306" s="7"/>
      <c r="C306" s="5"/>
      <c r="D306" s="7"/>
    </row>
    <row r="307" spans="1:4" ht="12.5">
      <c r="A307" s="5"/>
      <c r="B307" s="7"/>
      <c r="C307" s="5"/>
      <c r="D307" s="7"/>
    </row>
    <row r="308" spans="1:4" ht="12.5">
      <c r="A308" s="5"/>
      <c r="B308" s="7"/>
      <c r="C308" s="5"/>
      <c r="D308" s="7"/>
    </row>
    <row r="309" spans="1:4" ht="12.5">
      <c r="A309" s="5"/>
      <c r="B309" s="7"/>
      <c r="C309" s="5"/>
      <c r="D309" s="7"/>
    </row>
    <row r="310" spans="1:4" ht="12.5">
      <c r="A310" s="5"/>
      <c r="B310" s="7"/>
      <c r="C310" s="5"/>
      <c r="D310" s="7"/>
    </row>
    <row r="311" spans="1:4" ht="12.5">
      <c r="A311" s="5"/>
      <c r="B311" s="7"/>
      <c r="C311" s="5"/>
      <c r="D311" s="7"/>
    </row>
    <row r="312" spans="1:4" ht="12.5">
      <c r="A312" s="5"/>
      <c r="B312" s="7"/>
      <c r="C312" s="5"/>
      <c r="D312" s="7"/>
    </row>
    <row r="313" spans="1:4" ht="12.5">
      <c r="A313" s="5"/>
      <c r="B313" s="7"/>
      <c r="C313" s="5"/>
      <c r="D313" s="7"/>
    </row>
    <row r="314" spans="1:4" ht="12.5">
      <c r="A314" s="5"/>
      <c r="B314" s="7"/>
      <c r="C314" s="5"/>
      <c r="D314" s="7"/>
    </row>
    <row r="315" spans="1:4" ht="12.5">
      <c r="A315" s="5"/>
      <c r="B315" s="7"/>
      <c r="C315" s="5"/>
      <c r="D315" s="7"/>
    </row>
    <row r="316" spans="1:4" ht="12.5">
      <c r="A316" s="5"/>
      <c r="B316" s="7"/>
      <c r="C316" s="5"/>
      <c r="D316" s="7"/>
    </row>
    <row r="317" spans="1:4" ht="12.5">
      <c r="A317" s="5"/>
      <c r="B317" s="7"/>
      <c r="C317" s="5"/>
      <c r="D317" s="7"/>
    </row>
    <row r="318" spans="1:4" ht="12.5">
      <c r="A318" s="5"/>
      <c r="B318" s="7"/>
      <c r="C318" s="5"/>
      <c r="D318" s="7"/>
    </row>
    <row r="319" spans="1:4" ht="12.5">
      <c r="A319" s="5"/>
      <c r="B319" s="7"/>
      <c r="C319" s="5"/>
      <c r="D319" s="7"/>
    </row>
    <row r="320" spans="1:4" ht="12.5">
      <c r="A320" s="5"/>
      <c r="B320" s="7"/>
      <c r="C320" s="5"/>
      <c r="D320" s="7"/>
    </row>
    <row r="321" spans="1:4" ht="12.5">
      <c r="A321" s="5"/>
      <c r="B321" s="7"/>
      <c r="C321" s="5"/>
      <c r="D321" s="7"/>
    </row>
    <row r="322" spans="1:4" ht="12.5">
      <c r="A322" s="5"/>
      <c r="B322" s="7"/>
      <c r="C322" s="5"/>
      <c r="D322" s="7"/>
    </row>
    <row r="323" spans="1:4" ht="12.5">
      <c r="A323" s="5"/>
      <c r="B323" s="7"/>
      <c r="C323" s="5"/>
      <c r="D323" s="7"/>
    </row>
    <row r="324" spans="1:4" ht="12.5">
      <c r="A324" s="5"/>
      <c r="B324" s="7"/>
      <c r="C324" s="5"/>
      <c r="D324" s="7"/>
    </row>
    <row r="325" spans="1:4" ht="12.5">
      <c r="A325" s="5"/>
      <c r="B325" s="7"/>
      <c r="C325" s="5"/>
      <c r="D325" s="7"/>
    </row>
    <row r="326" spans="1:4" ht="12.5">
      <c r="A326" s="5"/>
      <c r="B326" s="7"/>
      <c r="C326" s="5"/>
      <c r="D326" s="7"/>
    </row>
    <row r="327" spans="1:4" ht="12.5">
      <c r="A327" s="5"/>
      <c r="B327" s="7"/>
      <c r="C327" s="5"/>
      <c r="D327" s="7"/>
    </row>
    <row r="328" spans="1:4" ht="12.5">
      <c r="A328" s="5"/>
      <c r="B328" s="7"/>
      <c r="C328" s="5"/>
      <c r="D328" s="7"/>
    </row>
    <row r="329" spans="1:4" ht="12.5">
      <c r="A329" s="5"/>
      <c r="B329" s="7"/>
      <c r="C329" s="5"/>
      <c r="D329" s="7"/>
    </row>
    <row r="330" spans="1:4" ht="12.5">
      <c r="A330" s="5"/>
      <c r="B330" s="7"/>
      <c r="C330" s="5"/>
      <c r="D330" s="7"/>
    </row>
    <row r="331" spans="1:4" ht="12.5">
      <c r="A331" s="5"/>
      <c r="B331" s="7"/>
      <c r="C331" s="5"/>
      <c r="D331" s="7"/>
    </row>
    <row r="332" spans="1:4" ht="12.5">
      <c r="A332" s="5"/>
      <c r="B332" s="7"/>
      <c r="C332" s="5"/>
      <c r="D332" s="7"/>
    </row>
    <row r="333" spans="1:4" ht="12.5">
      <c r="A333" s="5"/>
      <c r="B333" s="7"/>
      <c r="C333" s="5"/>
      <c r="D333" s="7"/>
    </row>
    <row r="334" spans="1:4" ht="12.5">
      <c r="A334" s="5"/>
      <c r="B334" s="7"/>
      <c r="C334" s="5"/>
      <c r="D334" s="7"/>
    </row>
    <row r="335" spans="1:4" ht="12.5">
      <c r="A335" s="5"/>
      <c r="B335" s="7"/>
      <c r="C335" s="5"/>
      <c r="D335" s="7"/>
    </row>
    <row r="336" spans="1:4" ht="12.5">
      <c r="A336" s="5"/>
      <c r="B336" s="7"/>
      <c r="C336" s="5"/>
      <c r="D336" s="7"/>
    </row>
    <row r="337" spans="1:4" ht="12.5">
      <c r="A337" s="5"/>
      <c r="B337" s="7"/>
      <c r="C337" s="5"/>
      <c r="D337" s="7"/>
    </row>
    <row r="338" spans="1:4" ht="12.5">
      <c r="A338" s="5"/>
      <c r="B338" s="7"/>
      <c r="C338" s="5"/>
      <c r="D338" s="7"/>
    </row>
    <row r="339" spans="1:4" ht="12.5">
      <c r="A339" s="5"/>
      <c r="B339" s="7"/>
      <c r="C339" s="5"/>
      <c r="D339" s="7"/>
    </row>
    <row r="340" spans="1:4" ht="12.5">
      <c r="A340" s="5"/>
      <c r="B340" s="7"/>
      <c r="C340" s="5"/>
      <c r="D340" s="7"/>
    </row>
    <row r="341" spans="1:4" ht="12.5">
      <c r="A341" s="5"/>
      <c r="B341" s="7"/>
      <c r="C341" s="5"/>
      <c r="D341" s="7"/>
    </row>
    <row r="342" spans="1:4" ht="12.5">
      <c r="A342" s="5"/>
      <c r="B342" s="7"/>
      <c r="C342" s="5"/>
      <c r="D342" s="7"/>
    </row>
    <row r="343" spans="1:4" ht="12.5">
      <c r="A343" s="5"/>
      <c r="B343" s="7"/>
      <c r="C343" s="5"/>
      <c r="D343" s="7"/>
    </row>
    <row r="344" spans="1:4" ht="12.5">
      <c r="A344" s="5"/>
      <c r="B344" s="7"/>
      <c r="C344" s="5"/>
      <c r="D344" s="7"/>
    </row>
    <row r="345" spans="1:4" ht="12.5">
      <c r="A345" s="5"/>
      <c r="B345" s="7"/>
      <c r="C345" s="5"/>
      <c r="D345" s="7"/>
    </row>
    <row r="346" spans="1:4" ht="12.5">
      <c r="A346" s="5"/>
      <c r="B346" s="7"/>
      <c r="C346" s="5"/>
      <c r="D346" s="7"/>
    </row>
    <row r="347" spans="1:4" ht="12.5">
      <c r="A347" s="5"/>
      <c r="B347" s="7"/>
      <c r="C347" s="5"/>
      <c r="D347" s="7"/>
    </row>
    <row r="348" spans="1:4" ht="12.5">
      <c r="A348" s="5"/>
      <c r="B348" s="7"/>
      <c r="C348" s="5"/>
      <c r="D348" s="7"/>
    </row>
    <row r="349" spans="1:4" ht="12.5">
      <c r="A349" s="5"/>
      <c r="B349" s="7"/>
      <c r="C349" s="5"/>
      <c r="D349" s="7"/>
    </row>
    <row r="350" spans="1:4" ht="12.5">
      <c r="A350" s="5"/>
      <c r="B350" s="7"/>
      <c r="C350" s="5"/>
      <c r="D350" s="7"/>
    </row>
    <row r="351" spans="1:4" ht="12.5">
      <c r="A351" s="5"/>
      <c r="B351" s="7"/>
      <c r="C351" s="5"/>
      <c r="D351" s="7"/>
    </row>
    <row r="352" spans="1:4" ht="12.5">
      <c r="A352" s="5"/>
      <c r="B352" s="7"/>
      <c r="C352" s="5"/>
      <c r="D352" s="7"/>
    </row>
    <row r="353" spans="1:4" ht="12.5">
      <c r="A353" s="5"/>
      <c r="B353" s="7"/>
      <c r="C353" s="5"/>
      <c r="D353" s="7"/>
    </row>
    <row r="354" spans="1:4" ht="12.5">
      <c r="A354" s="5"/>
      <c r="B354" s="7"/>
      <c r="C354" s="5"/>
      <c r="D354" s="7"/>
    </row>
    <row r="355" spans="1:4" ht="12.5">
      <c r="A355" s="5"/>
      <c r="B355" s="7"/>
      <c r="C355" s="5"/>
      <c r="D355" s="7"/>
    </row>
    <row r="356" spans="1:4" ht="12.5">
      <c r="A356" s="5"/>
      <c r="B356" s="7"/>
      <c r="C356" s="5"/>
      <c r="D356" s="7"/>
    </row>
    <row r="357" spans="1:4" ht="12.5">
      <c r="A357" s="5"/>
      <c r="B357" s="7"/>
      <c r="C357" s="5"/>
      <c r="D357" s="7"/>
    </row>
    <row r="358" spans="1:4" ht="12.5">
      <c r="A358" s="5"/>
      <c r="B358" s="7"/>
      <c r="C358" s="5"/>
      <c r="D358" s="7"/>
    </row>
    <row r="359" spans="1:4" ht="12.5">
      <c r="A359" s="5"/>
      <c r="B359" s="7"/>
      <c r="C359" s="5"/>
      <c r="D359" s="7"/>
    </row>
    <row r="360" spans="1:4" ht="12.5">
      <c r="A360" s="5"/>
      <c r="B360" s="7"/>
      <c r="C360" s="5"/>
      <c r="D360" s="7"/>
    </row>
    <row r="361" spans="1:4" ht="12.5">
      <c r="A361" s="5"/>
      <c r="B361" s="7"/>
      <c r="C361" s="5"/>
      <c r="D361" s="7"/>
    </row>
    <row r="362" spans="1:4" ht="12.5">
      <c r="A362" s="5"/>
      <c r="B362" s="7"/>
      <c r="C362" s="5"/>
      <c r="D362" s="7"/>
    </row>
    <row r="363" spans="1:4" ht="12.5">
      <c r="A363" s="5"/>
      <c r="B363" s="7"/>
      <c r="C363" s="5"/>
      <c r="D363" s="7"/>
    </row>
    <row r="364" spans="1:4" ht="12.5">
      <c r="A364" s="5"/>
      <c r="B364" s="7"/>
      <c r="C364" s="5"/>
      <c r="D364" s="7"/>
    </row>
    <row r="365" spans="1:4" ht="12.5">
      <c r="A365" s="5"/>
      <c r="B365" s="7"/>
      <c r="C365" s="5"/>
      <c r="D365" s="7"/>
    </row>
    <row r="366" spans="1:4" ht="12.5">
      <c r="A366" s="5"/>
      <c r="B366" s="7"/>
      <c r="C366" s="5"/>
      <c r="D366" s="7"/>
    </row>
    <row r="367" spans="1:4" ht="12.5">
      <c r="A367" s="5"/>
      <c r="B367" s="7"/>
      <c r="C367" s="5"/>
      <c r="D367" s="7"/>
    </row>
    <row r="368" spans="1:4" ht="12.5">
      <c r="A368" s="5"/>
      <c r="B368" s="7"/>
      <c r="C368" s="5"/>
      <c r="D368" s="7"/>
    </row>
    <row r="369" spans="1:4" ht="12.5">
      <c r="A369" s="5"/>
      <c r="B369" s="7"/>
      <c r="C369" s="5"/>
      <c r="D369" s="7"/>
    </row>
    <row r="370" spans="1:4" ht="12.5">
      <c r="A370" s="5"/>
      <c r="B370" s="7"/>
      <c r="C370" s="5"/>
      <c r="D370" s="7"/>
    </row>
    <row r="371" spans="1:4" ht="12.5">
      <c r="A371" s="5"/>
      <c r="B371" s="7"/>
      <c r="C371" s="5"/>
      <c r="D371" s="7"/>
    </row>
    <row r="372" spans="1:4" ht="12.5">
      <c r="A372" s="5"/>
      <c r="B372" s="7"/>
      <c r="C372" s="5"/>
      <c r="D372" s="7"/>
    </row>
    <row r="373" spans="1:4" ht="12.5">
      <c r="A373" s="5"/>
      <c r="B373" s="7"/>
      <c r="C373" s="5"/>
      <c r="D373" s="7"/>
    </row>
    <row r="374" spans="1:4" ht="12.5">
      <c r="A374" s="5"/>
      <c r="B374" s="7"/>
      <c r="C374" s="5"/>
      <c r="D374" s="7"/>
    </row>
    <row r="375" spans="1:4" ht="12.5">
      <c r="A375" s="5"/>
      <c r="B375" s="7"/>
      <c r="C375" s="5"/>
      <c r="D375" s="7"/>
    </row>
    <row r="376" spans="1:4" ht="12.5">
      <c r="A376" s="5"/>
      <c r="B376" s="7"/>
      <c r="C376" s="5"/>
      <c r="D376" s="7"/>
    </row>
    <row r="377" spans="1:4" ht="12.5">
      <c r="A377" s="5"/>
      <c r="B377" s="7"/>
      <c r="C377" s="5"/>
      <c r="D377" s="7"/>
    </row>
    <row r="378" spans="1:4" ht="12.5">
      <c r="A378" s="5"/>
      <c r="B378" s="7"/>
      <c r="C378" s="5"/>
      <c r="D378" s="7"/>
    </row>
    <row r="379" spans="1:4" ht="12.5">
      <c r="A379" s="5"/>
      <c r="B379" s="7"/>
      <c r="C379" s="5"/>
      <c r="D379" s="7"/>
    </row>
    <row r="380" spans="1:4" ht="12.5">
      <c r="A380" s="5"/>
      <c r="B380" s="7"/>
      <c r="C380" s="5"/>
      <c r="D380" s="7"/>
    </row>
    <row r="381" spans="1:4" ht="12.5">
      <c r="A381" s="5"/>
      <c r="B381" s="7"/>
      <c r="C381" s="5"/>
      <c r="D381" s="7"/>
    </row>
    <row r="382" spans="1:4" ht="12.5">
      <c r="A382" s="5"/>
      <c r="B382" s="7"/>
      <c r="C382" s="5"/>
      <c r="D382" s="7"/>
    </row>
    <row r="383" spans="1:4" ht="12.5">
      <c r="A383" s="5"/>
      <c r="B383" s="7"/>
      <c r="C383" s="5"/>
      <c r="D383" s="7"/>
    </row>
    <row r="384" spans="1:4" ht="12.5">
      <c r="A384" s="5"/>
      <c r="B384" s="7"/>
      <c r="C384" s="5"/>
      <c r="D384" s="7"/>
    </row>
    <row r="385" spans="1:4" ht="12.5">
      <c r="A385" s="5"/>
      <c r="B385" s="7"/>
      <c r="C385" s="5"/>
      <c r="D385" s="7"/>
    </row>
    <row r="386" spans="1:4" ht="12.5">
      <c r="A386" s="5"/>
      <c r="B386" s="7"/>
      <c r="C386" s="5"/>
      <c r="D386" s="7"/>
    </row>
    <row r="387" spans="1:4" ht="12.5">
      <c r="A387" s="5"/>
      <c r="B387" s="7"/>
      <c r="C387" s="5"/>
      <c r="D387" s="7"/>
    </row>
    <row r="388" spans="1:4" ht="12.5">
      <c r="A388" s="5"/>
      <c r="B388" s="7"/>
      <c r="C388" s="5"/>
      <c r="D388" s="7"/>
    </row>
    <row r="389" spans="1:4" ht="12.5">
      <c r="A389" s="5"/>
      <c r="B389" s="7"/>
      <c r="C389" s="5"/>
      <c r="D389" s="7"/>
    </row>
    <row r="390" spans="1:4" ht="12.5">
      <c r="A390" s="5"/>
      <c r="B390" s="7"/>
      <c r="C390" s="5"/>
      <c r="D390" s="7"/>
    </row>
    <row r="391" spans="1:4" ht="12.5">
      <c r="A391" s="5"/>
      <c r="B391" s="7"/>
      <c r="C391" s="5"/>
      <c r="D391" s="7"/>
    </row>
    <row r="392" spans="1:4" ht="12.5">
      <c r="A392" s="5"/>
      <c r="B392" s="7"/>
      <c r="C392" s="5"/>
      <c r="D392" s="7"/>
    </row>
    <row r="393" spans="1:4" ht="12.5">
      <c r="A393" s="5"/>
      <c r="B393" s="7"/>
      <c r="C393" s="5"/>
      <c r="D393" s="7"/>
    </row>
    <row r="394" spans="1:4" ht="12.5">
      <c r="A394" s="5"/>
      <c r="B394" s="7"/>
      <c r="C394" s="5"/>
      <c r="D394" s="7"/>
    </row>
    <row r="395" spans="1:4" ht="12.5">
      <c r="A395" s="5"/>
      <c r="B395" s="7"/>
      <c r="C395" s="5"/>
      <c r="D395" s="7"/>
    </row>
    <row r="396" spans="1:4" ht="12.5">
      <c r="A396" s="5"/>
      <c r="B396" s="7"/>
      <c r="C396" s="5"/>
      <c r="D396" s="7"/>
    </row>
    <row r="397" spans="1:4" ht="12.5">
      <c r="A397" s="5"/>
      <c r="B397" s="7"/>
      <c r="C397" s="5"/>
      <c r="D397" s="7"/>
    </row>
    <row r="398" spans="1:4" ht="12.5">
      <c r="A398" s="5"/>
      <c r="B398" s="7"/>
      <c r="C398" s="5"/>
      <c r="D398" s="7"/>
    </row>
    <row r="399" spans="1:4" ht="12.5">
      <c r="A399" s="5"/>
      <c r="B399" s="7"/>
      <c r="C399" s="5"/>
      <c r="D399" s="7"/>
    </row>
    <row r="400" spans="1:4" ht="12.5">
      <c r="A400" s="5"/>
      <c r="B400" s="7"/>
      <c r="C400" s="5"/>
      <c r="D400" s="7"/>
    </row>
    <row r="401" spans="1:4" ht="12.5">
      <c r="A401" s="5"/>
      <c r="B401" s="7"/>
      <c r="C401" s="5"/>
      <c r="D401" s="7"/>
    </row>
    <row r="402" spans="1:4" ht="12.5">
      <c r="A402" s="5"/>
      <c r="B402" s="7"/>
      <c r="C402" s="5"/>
      <c r="D402" s="7"/>
    </row>
    <row r="403" spans="1:4" ht="12.5">
      <c r="A403" s="5"/>
      <c r="B403" s="7"/>
      <c r="C403" s="5"/>
      <c r="D403" s="7"/>
    </row>
    <row r="404" spans="1:4" ht="12.5">
      <c r="A404" s="5"/>
      <c r="B404" s="7"/>
      <c r="C404" s="5"/>
      <c r="D404" s="7"/>
    </row>
    <row r="405" spans="1:4" ht="12.5">
      <c r="A405" s="5"/>
      <c r="B405" s="7"/>
      <c r="C405" s="5"/>
      <c r="D405" s="7"/>
    </row>
    <row r="406" spans="1:4" ht="12.5">
      <c r="A406" s="5"/>
      <c r="B406" s="7"/>
      <c r="C406" s="5"/>
      <c r="D406" s="7"/>
    </row>
    <row r="407" spans="1:4" ht="12.5">
      <c r="A407" s="5"/>
      <c r="B407" s="7"/>
      <c r="C407" s="5"/>
      <c r="D407" s="7"/>
    </row>
    <row r="408" spans="1:4" ht="12.5">
      <c r="A408" s="5"/>
      <c r="B408" s="7"/>
      <c r="C408" s="5"/>
      <c r="D408" s="7"/>
    </row>
    <row r="409" spans="1:4" ht="12.5">
      <c r="A409" s="5"/>
      <c r="B409" s="7"/>
      <c r="C409" s="5"/>
      <c r="D409" s="7"/>
    </row>
    <row r="410" spans="1:4" ht="12.5">
      <c r="A410" s="5"/>
      <c r="B410" s="7"/>
      <c r="C410" s="5"/>
      <c r="D410" s="7"/>
    </row>
    <row r="411" spans="1:4" ht="12.5">
      <c r="A411" s="5"/>
      <c r="B411" s="7"/>
      <c r="C411" s="5"/>
      <c r="D411" s="7"/>
    </row>
    <row r="412" spans="1:4" ht="12.5">
      <c r="A412" s="5"/>
      <c r="B412" s="7"/>
      <c r="C412" s="5"/>
      <c r="D412" s="7"/>
    </row>
    <row r="413" spans="1:4" ht="12.5">
      <c r="A413" s="5"/>
      <c r="B413" s="7"/>
      <c r="C413" s="5"/>
      <c r="D413" s="7"/>
    </row>
    <row r="414" spans="1:4" ht="12.5">
      <c r="A414" s="5"/>
      <c r="B414" s="7"/>
      <c r="C414" s="5"/>
      <c r="D414" s="7"/>
    </row>
    <row r="415" spans="1:4" ht="12.5">
      <c r="A415" s="5"/>
      <c r="B415" s="7"/>
      <c r="C415" s="5"/>
      <c r="D415" s="7"/>
    </row>
    <row r="416" spans="1:4" ht="12.5">
      <c r="A416" s="5"/>
      <c r="B416" s="7"/>
      <c r="C416" s="5"/>
      <c r="D416" s="7"/>
    </row>
    <row r="417" spans="1:4" ht="12.5">
      <c r="A417" s="5"/>
      <c r="B417" s="7"/>
      <c r="C417" s="5"/>
      <c r="D417" s="7"/>
    </row>
    <row r="418" spans="1:4" ht="12.5">
      <c r="A418" s="5"/>
      <c r="B418" s="7"/>
      <c r="C418" s="5"/>
      <c r="D418" s="7"/>
    </row>
    <row r="419" spans="1:4" ht="12.5">
      <c r="A419" s="5"/>
      <c r="B419" s="7"/>
      <c r="C419" s="5"/>
      <c r="D419" s="7"/>
    </row>
    <row r="420" spans="1:4" ht="12.5">
      <c r="A420" s="5"/>
      <c r="B420" s="7"/>
      <c r="C420" s="5"/>
      <c r="D420" s="7"/>
    </row>
    <row r="421" spans="1:4" ht="12.5">
      <c r="A421" s="5"/>
      <c r="B421" s="7"/>
      <c r="C421" s="5"/>
      <c r="D421" s="7"/>
    </row>
    <row r="422" spans="1:4" ht="12.5">
      <c r="A422" s="5"/>
      <c r="B422" s="7"/>
      <c r="C422" s="5"/>
      <c r="D422" s="7"/>
    </row>
    <row r="423" spans="1:4" ht="12.5">
      <c r="A423" s="5"/>
      <c r="B423" s="7"/>
      <c r="C423" s="5"/>
      <c r="D423" s="7"/>
    </row>
    <row r="424" spans="1:4" ht="12.5">
      <c r="A424" s="5"/>
      <c r="B424" s="7"/>
      <c r="C424" s="5"/>
      <c r="D424" s="7"/>
    </row>
    <row r="425" spans="1:4" ht="12.5">
      <c r="A425" s="5"/>
      <c r="B425" s="7"/>
      <c r="C425" s="5"/>
      <c r="D425" s="7"/>
    </row>
    <row r="426" spans="1:4" ht="12.5">
      <c r="A426" s="5"/>
      <c r="B426" s="7"/>
      <c r="C426" s="5"/>
      <c r="D426" s="7"/>
    </row>
    <row r="427" spans="1:4" ht="12.5">
      <c r="A427" s="5"/>
      <c r="B427" s="7"/>
      <c r="C427" s="5"/>
      <c r="D427" s="7"/>
    </row>
    <row r="428" spans="1:4" ht="12.5">
      <c r="A428" s="5"/>
      <c r="B428" s="7"/>
      <c r="C428" s="5"/>
      <c r="D428" s="7"/>
    </row>
    <row r="429" spans="1:4" ht="12.5">
      <c r="A429" s="5"/>
      <c r="B429" s="7"/>
      <c r="C429" s="5"/>
      <c r="D429" s="7"/>
    </row>
    <row r="430" spans="1:4" ht="12.5">
      <c r="A430" s="5"/>
      <c r="B430" s="7"/>
      <c r="C430" s="5"/>
      <c r="D430" s="7"/>
    </row>
    <row r="431" spans="1:4" ht="12.5">
      <c r="A431" s="5"/>
      <c r="B431" s="7"/>
      <c r="C431" s="5"/>
      <c r="D431" s="7"/>
    </row>
    <row r="432" spans="1:4" ht="12.5">
      <c r="A432" s="5"/>
      <c r="B432" s="7"/>
      <c r="C432" s="5"/>
      <c r="D432" s="7"/>
    </row>
    <row r="433" spans="1:4" ht="12.5">
      <c r="A433" s="5"/>
      <c r="B433" s="7"/>
      <c r="C433" s="5"/>
      <c r="D433" s="7"/>
    </row>
    <row r="434" spans="1:4" ht="12.5">
      <c r="A434" s="5"/>
      <c r="B434" s="7"/>
      <c r="C434" s="5"/>
      <c r="D434" s="7"/>
    </row>
    <row r="435" spans="1:4" ht="12.5">
      <c r="A435" s="5"/>
      <c r="B435" s="7"/>
      <c r="C435" s="5"/>
      <c r="D435" s="7"/>
    </row>
    <row r="436" spans="1:4" ht="12.5">
      <c r="A436" s="5"/>
      <c r="B436" s="7"/>
      <c r="C436" s="5"/>
      <c r="D436" s="7"/>
    </row>
    <row r="437" spans="1:4" ht="12.5">
      <c r="A437" s="5"/>
      <c r="B437" s="7"/>
      <c r="C437" s="5"/>
      <c r="D437" s="7"/>
    </row>
    <row r="438" spans="1:4" ht="12.5">
      <c r="A438" s="5"/>
      <c r="B438" s="7"/>
      <c r="C438" s="5"/>
      <c r="D438" s="7"/>
    </row>
    <row r="439" spans="1:4" ht="12.5">
      <c r="A439" s="5"/>
      <c r="B439" s="7"/>
      <c r="C439" s="5"/>
      <c r="D439" s="7"/>
    </row>
    <row r="440" spans="1:4" ht="12.5">
      <c r="A440" s="5"/>
      <c r="B440" s="7"/>
      <c r="C440" s="5"/>
      <c r="D440" s="7"/>
    </row>
    <row r="441" spans="1:4" ht="12.5">
      <c r="A441" s="5"/>
      <c r="B441" s="7"/>
      <c r="C441" s="5"/>
      <c r="D441" s="7"/>
    </row>
    <row r="442" spans="1:4" ht="12.5">
      <c r="A442" s="5"/>
      <c r="B442" s="7"/>
      <c r="C442" s="5"/>
      <c r="D442" s="7"/>
    </row>
    <row r="443" spans="1:4" ht="12.5">
      <c r="A443" s="5"/>
      <c r="B443" s="7"/>
      <c r="C443" s="5"/>
      <c r="D443" s="7"/>
    </row>
    <row r="444" spans="1:4" ht="12.5">
      <c r="A444" s="5"/>
      <c r="B444" s="7"/>
      <c r="C444" s="5"/>
      <c r="D444" s="7"/>
    </row>
    <row r="445" spans="1:4" ht="12.5">
      <c r="A445" s="5"/>
      <c r="B445" s="7"/>
      <c r="C445" s="5"/>
      <c r="D445" s="7"/>
    </row>
    <row r="446" spans="1:4" ht="12.5">
      <c r="A446" s="5"/>
      <c r="B446" s="7"/>
      <c r="C446" s="5"/>
      <c r="D446" s="7"/>
    </row>
    <row r="447" spans="1:4" ht="12.5">
      <c r="A447" s="5"/>
      <c r="B447" s="7"/>
      <c r="C447" s="5"/>
      <c r="D447" s="7"/>
    </row>
    <row r="448" spans="1:4" ht="12.5">
      <c r="A448" s="5"/>
      <c r="B448" s="7"/>
      <c r="C448" s="5"/>
      <c r="D448" s="7"/>
    </row>
    <row r="449" spans="1:4" ht="12.5">
      <c r="A449" s="5"/>
      <c r="B449" s="7"/>
      <c r="C449" s="5"/>
      <c r="D449" s="7"/>
    </row>
    <row r="450" spans="1:4" ht="12.5">
      <c r="A450" s="5"/>
      <c r="B450" s="7"/>
      <c r="C450" s="5"/>
      <c r="D450" s="7"/>
    </row>
    <row r="451" spans="1:4" ht="12.5">
      <c r="A451" s="5"/>
      <c r="B451" s="7"/>
      <c r="C451" s="5"/>
      <c r="D451" s="7"/>
    </row>
    <row r="452" spans="1:4" ht="12.5">
      <c r="A452" s="5"/>
      <c r="B452" s="7"/>
      <c r="C452" s="5"/>
      <c r="D452" s="7"/>
    </row>
    <row r="453" spans="1:4" ht="12.5">
      <c r="A453" s="5"/>
      <c r="B453" s="7"/>
      <c r="C453" s="5"/>
      <c r="D453" s="7"/>
    </row>
    <row r="454" spans="1:4" ht="12.5">
      <c r="A454" s="5"/>
      <c r="B454" s="7"/>
      <c r="C454" s="5"/>
      <c r="D454" s="7"/>
    </row>
    <row r="455" spans="1:4" ht="12.5">
      <c r="A455" s="5"/>
      <c r="B455" s="7"/>
      <c r="C455" s="5"/>
      <c r="D455" s="7"/>
    </row>
    <row r="456" spans="1:4" ht="12.5">
      <c r="A456" s="5"/>
      <c r="B456" s="7"/>
      <c r="C456" s="5"/>
      <c r="D456" s="7"/>
    </row>
    <row r="457" spans="1:4" ht="12.5">
      <c r="A457" s="5"/>
      <c r="B457" s="7"/>
      <c r="C457" s="5"/>
      <c r="D457" s="7"/>
    </row>
    <row r="458" spans="1:4" ht="12.5">
      <c r="A458" s="5"/>
      <c r="B458" s="7"/>
      <c r="C458" s="5"/>
      <c r="D458" s="7"/>
    </row>
    <row r="459" spans="1:4" ht="12.5">
      <c r="A459" s="5"/>
      <c r="B459" s="7"/>
      <c r="C459" s="5"/>
      <c r="D459" s="7"/>
    </row>
    <row r="460" spans="1:4" ht="12.5">
      <c r="A460" s="5"/>
      <c r="B460" s="7"/>
      <c r="C460" s="5"/>
      <c r="D460" s="7"/>
    </row>
    <row r="461" spans="1:4" ht="12.5">
      <c r="A461" s="5"/>
      <c r="B461" s="7"/>
      <c r="C461" s="5"/>
      <c r="D461" s="7"/>
    </row>
    <row r="462" spans="1:4" ht="12.5">
      <c r="A462" s="5"/>
      <c r="B462" s="7"/>
      <c r="C462" s="5"/>
      <c r="D462" s="7"/>
    </row>
    <row r="463" spans="1:4" ht="12.5">
      <c r="A463" s="5"/>
      <c r="B463" s="7"/>
      <c r="C463" s="5"/>
      <c r="D463" s="7"/>
    </row>
    <row r="464" spans="1:4" ht="12.5">
      <c r="A464" s="5"/>
      <c r="B464" s="7"/>
      <c r="C464" s="5"/>
      <c r="D464" s="7"/>
    </row>
    <row r="465" spans="1:4" ht="12.5">
      <c r="A465" s="5"/>
      <c r="B465" s="7"/>
      <c r="C465" s="5"/>
      <c r="D465" s="7"/>
    </row>
    <row r="466" spans="1:4" ht="12.5">
      <c r="A466" s="5"/>
      <c r="B466" s="7"/>
      <c r="C466" s="5"/>
      <c r="D466" s="7"/>
    </row>
    <row r="467" spans="1:4" ht="12.5">
      <c r="A467" s="5"/>
      <c r="B467" s="7"/>
      <c r="C467" s="5"/>
      <c r="D467" s="7"/>
    </row>
    <row r="468" spans="1:4" ht="12.5">
      <c r="A468" s="5"/>
      <c r="B468" s="7"/>
      <c r="C468" s="5"/>
      <c r="D468" s="7"/>
    </row>
    <row r="469" spans="1:4" ht="12.5">
      <c r="A469" s="5"/>
      <c r="B469" s="7"/>
      <c r="C469" s="5"/>
      <c r="D469" s="7"/>
    </row>
    <row r="470" spans="1:4" ht="12.5">
      <c r="A470" s="5"/>
      <c r="B470" s="7"/>
      <c r="C470" s="5"/>
      <c r="D470" s="7"/>
    </row>
    <row r="471" spans="1:4" ht="12.5">
      <c r="A471" s="5"/>
      <c r="B471" s="7"/>
      <c r="C471" s="5"/>
      <c r="D471" s="7"/>
    </row>
    <row r="472" spans="1:4" ht="12.5">
      <c r="A472" s="5"/>
      <c r="B472" s="7"/>
      <c r="C472" s="5"/>
      <c r="D472" s="7"/>
    </row>
    <row r="473" spans="1:4" ht="12.5">
      <c r="A473" s="5"/>
      <c r="B473" s="7"/>
      <c r="C473" s="5"/>
      <c r="D473" s="7"/>
    </row>
    <row r="474" spans="1:4" ht="12.5">
      <c r="A474" s="5"/>
      <c r="B474" s="7"/>
      <c r="C474" s="5"/>
      <c r="D474" s="7"/>
    </row>
    <row r="475" spans="1:4" ht="12.5">
      <c r="A475" s="5"/>
      <c r="B475" s="7"/>
      <c r="C475" s="5"/>
      <c r="D475" s="7"/>
    </row>
    <row r="476" spans="1:4" ht="12.5">
      <c r="A476" s="5"/>
      <c r="B476" s="7"/>
      <c r="C476" s="5"/>
      <c r="D476" s="7"/>
    </row>
    <row r="477" spans="1:4" ht="12.5">
      <c r="A477" s="5"/>
      <c r="B477" s="7"/>
      <c r="C477" s="5"/>
      <c r="D477" s="7"/>
    </row>
    <row r="478" spans="1:4" ht="12.5">
      <c r="A478" s="5"/>
      <c r="B478" s="7"/>
      <c r="C478" s="5"/>
      <c r="D478" s="7"/>
    </row>
    <row r="479" spans="1:4" ht="12.5">
      <c r="A479" s="5"/>
      <c r="B479" s="7"/>
      <c r="C479" s="5"/>
      <c r="D479" s="7"/>
    </row>
    <row r="480" spans="1:4" ht="12.5">
      <c r="A480" s="5"/>
      <c r="B480" s="7"/>
      <c r="C480" s="5"/>
      <c r="D480" s="7"/>
    </row>
    <row r="481" spans="1:4" ht="12.5">
      <c r="A481" s="5"/>
      <c r="B481" s="7"/>
      <c r="C481" s="5"/>
      <c r="D481" s="7"/>
    </row>
    <row r="482" spans="1:4" ht="12.5">
      <c r="A482" s="5"/>
      <c r="B482" s="7"/>
      <c r="C482" s="5"/>
      <c r="D482" s="7"/>
    </row>
    <row r="483" spans="1:4" ht="12.5">
      <c r="A483" s="5"/>
      <c r="B483" s="7"/>
      <c r="C483" s="5"/>
      <c r="D483" s="7"/>
    </row>
    <row r="484" spans="1:4" ht="12.5">
      <c r="A484" s="5"/>
      <c r="B484" s="7"/>
      <c r="C484" s="5"/>
      <c r="D484" s="7"/>
    </row>
    <row r="485" spans="1:4" ht="12.5">
      <c r="A485" s="5"/>
      <c r="B485" s="7"/>
      <c r="C485" s="5"/>
      <c r="D485" s="7"/>
    </row>
    <row r="486" spans="1:4" ht="12.5">
      <c r="A486" s="5"/>
      <c r="B486" s="7"/>
      <c r="C486" s="5"/>
      <c r="D486" s="7"/>
    </row>
    <row r="487" spans="1:4" ht="12.5">
      <c r="A487" s="5"/>
      <c r="B487" s="7"/>
      <c r="C487" s="5"/>
      <c r="D487" s="7"/>
    </row>
    <row r="488" spans="1:4" ht="12.5">
      <c r="A488" s="5"/>
      <c r="B488" s="7"/>
      <c r="C488" s="5"/>
      <c r="D488" s="7"/>
    </row>
    <row r="489" spans="1:4" ht="12.5">
      <c r="A489" s="5"/>
      <c r="B489" s="7"/>
      <c r="C489" s="5"/>
      <c r="D489" s="7"/>
    </row>
    <row r="490" spans="1:4" ht="12.5">
      <c r="A490" s="5"/>
      <c r="B490" s="7"/>
      <c r="C490" s="5"/>
      <c r="D490" s="7"/>
    </row>
    <row r="491" spans="1:4" ht="12.5">
      <c r="A491" s="5"/>
      <c r="B491" s="7"/>
      <c r="C491" s="5"/>
      <c r="D491" s="7"/>
    </row>
    <row r="492" spans="1:4" ht="12.5">
      <c r="A492" s="5"/>
      <c r="B492" s="7"/>
      <c r="C492" s="5"/>
      <c r="D492" s="7"/>
    </row>
    <row r="493" spans="1:4" ht="12.5">
      <c r="A493" s="5"/>
      <c r="B493" s="7"/>
      <c r="C493" s="5"/>
      <c r="D493" s="7"/>
    </row>
    <row r="494" spans="1:4" ht="12.5">
      <c r="A494" s="5"/>
      <c r="B494" s="7"/>
      <c r="C494" s="5"/>
      <c r="D494" s="7"/>
    </row>
    <row r="495" spans="1:4" ht="12.5">
      <c r="A495" s="5"/>
      <c r="B495" s="7"/>
      <c r="C495" s="5"/>
      <c r="D495" s="7"/>
    </row>
    <row r="496" spans="1:4" ht="12.5">
      <c r="A496" s="5"/>
      <c r="B496" s="7"/>
      <c r="C496" s="5"/>
      <c r="D496" s="7"/>
    </row>
    <row r="497" spans="1:4" ht="12.5">
      <c r="A497" s="5"/>
      <c r="B497" s="7"/>
      <c r="C497" s="5"/>
      <c r="D497" s="7"/>
    </row>
    <row r="498" spans="1:4" ht="12.5">
      <c r="A498" s="5"/>
      <c r="B498" s="7"/>
      <c r="C498" s="5"/>
      <c r="D498" s="7"/>
    </row>
    <row r="499" spans="1:4" ht="12.5">
      <c r="A499" s="5"/>
      <c r="B499" s="7"/>
      <c r="C499" s="5"/>
      <c r="D499" s="7"/>
    </row>
    <row r="500" spans="1:4" ht="12.5">
      <c r="A500" s="5"/>
      <c r="B500" s="7"/>
      <c r="C500" s="5"/>
      <c r="D500" s="7"/>
    </row>
    <row r="501" spans="1:4" ht="12.5">
      <c r="A501" s="5"/>
      <c r="B501" s="7"/>
      <c r="C501" s="5"/>
      <c r="D501" s="7"/>
    </row>
    <row r="502" spans="1:4" ht="12.5">
      <c r="A502" s="5"/>
      <c r="B502" s="7"/>
      <c r="C502" s="5"/>
      <c r="D502" s="7"/>
    </row>
    <row r="503" spans="1:4" ht="12.5">
      <c r="A503" s="5"/>
      <c r="B503" s="7"/>
      <c r="C503" s="5"/>
      <c r="D503" s="7"/>
    </row>
    <row r="504" spans="1:4" ht="12.5">
      <c r="A504" s="5"/>
      <c r="B504" s="7"/>
      <c r="C504" s="5"/>
      <c r="D504" s="7"/>
    </row>
    <row r="505" spans="1:4" ht="12.5">
      <c r="A505" s="5"/>
      <c r="B505" s="7"/>
      <c r="C505" s="5"/>
      <c r="D505" s="7"/>
    </row>
    <row r="506" spans="1:4" ht="12.5">
      <c r="A506" s="5"/>
      <c r="B506" s="7"/>
      <c r="C506" s="5"/>
      <c r="D506" s="7"/>
    </row>
    <row r="507" spans="1:4" ht="12.5">
      <c r="A507" s="5"/>
      <c r="B507" s="7"/>
      <c r="C507" s="5"/>
      <c r="D507" s="7"/>
    </row>
    <row r="508" spans="1:4" ht="12.5">
      <c r="A508" s="5"/>
      <c r="B508" s="7"/>
      <c r="C508" s="5"/>
      <c r="D508" s="7"/>
    </row>
    <row r="509" spans="1:4" ht="12.5">
      <c r="A509" s="5"/>
      <c r="B509" s="7"/>
      <c r="C509" s="5"/>
      <c r="D509" s="7"/>
    </row>
    <row r="510" spans="1:4" ht="12.5">
      <c r="A510" s="5"/>
      <c r="B510" s="7"/>
      <c r="C510" s="5"/>
      <c r="D510" s="7"/>
    </row>
    <row r="511" spans="1:4" ht="12.5">
      <c r="A511" s="5"/>
      <c r="B511" s="7"/>
      <c r="C511" s="5"/>
      <c r="D511" s="7"/>
    </row>
    <row r="512" spans="1:4" ht="12.5">
      <c r="A512" s="5"/>
      <c r="B512" s="7"/>
      <c r="C512" s="5"/>
      <c r="D512" s="7"/>
    </row>
    <row r="513" spans="1:4" ht="12.5">
      <c r="A513" s="5"/>
      <c r="B513" s="7"/>
      <c r="C513" s="5"/>
      <c r="D513" s="7"/>
    </row>
    <row r="514" spans="1:4" ht="12.5">
      <c r="A514" s="5"/>
      <c r="B514" s="7"/>
      <c r="C514" s="5"/>
      <c r="D514" s="7"/>
    </row>
    <row r="515" spans="1:4" ht="12.5">
      <c r="A515" s="5"/>
      <c r="B515" s="7"/>
      <c r="C515" s="5"/>
      <c r="D515" s="7"/>
    </row>
    <row r="516" spans="1:4" ht="12.5">
      <c r="A516" s="5"/>
      <c r="B516" s="7"/>
      <c r="C516" s="5"/>
      <c r="D516" s="7"/>
    </row>
    <row r="517" spans="1:4" ht="12.5">
      <c r="A517" s="5"/>
      <c r="B517" s="7"/>
      <c r="C517" s="5"/>
      <c r="D517" s="7"/>
    </row>
    <row r="518" spans="1:4" ht="12.5">
      <c r="A518" s="5"/>
      <c r="B518" s="7"/>
      <c r="C518" s="5"/>
      <c r="D518" s="7"/>
    </row>
    <row r="519" spans="1:4" ht="12.5">
      <c r="A519" s="5"/>
      <c r="B519" s="7"/>
      <c r="C519" s="5"/>
      <c r="D519" s="7"/>
    </row>
    <row r="520" spans="1:4" ht="12.5">
      <c r="A520" s="5"/>
      <c r="B520" s="7"/>
      <c r="C520" s="5"/>
      <c r="D520" s="7"/>
    </row>
    <row r="521" spans="1:4" ht="12.5">
      <c r="A521" s="5"/>
      <c r="B521" s="7"/>
      <c r="C521" s="5"/>
      <c r="D521" s="7"/>
    </row>
    <row r="522" spans="1:4" ht="12.5">
      <c r="A522" s="5"/>
      <c r="B522" s="7"/>
      <c r="C522" s="5"/>
      <c r="D522" s="7"/>
    </row>
    <row r="523" spans="1:4" ht="12.5">
      <c r="A523" s="5"/>
      <c r="B523" s="7"/>
      <c r="C523" s="5"/>
      <c r="D523" s="7"/>
    </row>
    <row r="524" spans="1:4" ht="12.5">
      <c r="A524" s="5"/>
      <c r="B524" s="7"/>
      <c r="C524" s="5"/>
      <c r="D524" s="7"/>
    </row>
    <row r="525" spans="1:4" ht="12.5">
      <c r="A525" s="5"/>
      <c r="B525" s="7"/>
      <c r="C525" s="5"/>
      <c r="D525" s="7"/>
    </row>
    <row r="526" spans="1:4" ht="12.5">
      <c r="A526" s="5"/>
      <c r="B526" s="7"/>
      <c r="C526" s="5"/>
      <c r="D526" s="7"/>
    </row>
    <row r="527" spans="1:4" ht="12.5">
      <c r="A527" s="5"/>
      <c r="B527" s="7"/>
      <c r="C527" s="5"/>
      <c r="D527" s="7"/>
    </row>
    <row r="528" spans="1:4" ht="12.5">
      <c r="A528" s="5"/>
      <c r="B528" s="7"/>
      <c r="C528" s="5"/>
      <c r="D528" s="7"/>
    </row>
    <row r="529" spans="1:4" ht="12.5">
      <c r="A529" s="5"/>
      <c r="B529" s="7"/>
      <c r="C529" s="5"/>
      <c r="D529" s="7"/>
    </row>
    <row r="530" spans="1:4" ht="12.5">
      <c r="A530" s="5"/>
      <c r="B530" s="7"/>
      <c r="C530" s="5"/>
      <c r="D530" s="7"/>
    </row>
    <row r="531" spans="1:4" ht="12.5">
      <c r="A531" s="5"/>
      <c r="B531" s="7"/>
      <c r="C531" s="5"/>
      <c r="D531" s="7"/>
    </row>
    <row r="532" spans="1:4" ht="12.5">
      <c r="A532" s="5"/>
      <c r="B532" s="7"/>
      <c r="C532" s="5"/>
      <c r="D532" s="7"/>
    </row>
    <row r="533" spans="1:4" ht="12.5">
      <c r="A533" s="5"/>
      <c r="B533" s="7"/>
      <c r="C533" s="5"/>
      <c r="D533" s="7"/>
    </row>
    <row r="534" spans="1:4" ht="12.5">
      <c r="A534" s="5"/>
      <c r="B534" s="7"/>
      <c r="C534" s="5"/>
      <c r="D534" s="7"/>
    </row>
    <row r="535" spans="1:4" ht="12.5">
      <c r="A535" s="5"/>
      <c r="B535" s="7"/>
      <c r="C535" s="5"/>
      <c r="D535" s="7"/>
    </row>
    <row r="536" spans="1:4" ht="12.5">
      <c r="A536" s="5"/>
      <c r="B536" s="7"/>
      <c r="C536" s="5"/>
      <c r="D536" s="7"/>
    </row>
    <row r="537" spans="1:4" ht="12.5">
      <c r="A537" s="5"/>
      <c r="B537" s="7"/>
      <c r="C537" s="5"/>
      <c r="D537" s="7"/>
    </row>
    <row r="538" spans="1:4" ht="12.5">
      <c r="A538" s="5"/>
      <c r="B538" s="7"/>
      <c r="C538" s="5"/>
      <c r="D538" s="7"/>
    </row>
    <row r="539" spans="1:4" ht="12.5">
      <c r="A539" s="5"/>
      <c r="B539" s="7"/>
      <c r="C539" s="5"/>
      <c r="D539" s="7"/>
    </row>
    <row r="540" spans="1:4" ht="12.5">
      <c r="A540" s="5"/>
      <c r="B540" s="7"/>
      <c r="C540" s="5"/>
      <c r="D540" s="7"/>
    </row>
    <row r="541" spans="1:4" ht="12.5">
      <c r="A541" s="5"/>
      <c r="B541" s="7"/>
      <c r="C541" s="5"/>
      <c r="D541" s="7"/>
    </row>
    <row r="542" spans="1:4" ht="12.5">
      <c r="A542" s="5"/>
      <c r="B542" s="7"/>
      <c r="C542" s="5"/>
      <c r="D542" s="7"/>
    </row>
    <row r="543" spans="1:4" ht="12.5">
      <c r="A543" s="5"/>
      <c r="B543" s="7"/>
      <c r="C543" s="5"/>
      <c r="D543" s="7"/>
    </row>
    <row r="544" spans="1:4" ht="12.5">
      <c r="A544" s="5"/>
      <c r="B544" s="7"/>
      <c r="C544" s="5"/>
      <c r="D544" s="7"/>
    </row>
    <row r="545" spans="1:4" ht="12.5">
      <c r="A545" s="5"/>
      <c r="B545" s="7"/>
      <c r="C545" s="5"/>
      <c r="D545" s="7"/>
    </row>
    <row r="546" spans="1:4" ht="12.5">
      <c r="A546" s="5"/>
      <c r="B546" s="7"/>
      <c r="C546" s="5"/>
      <c r="D546" s="7"/>
    </row>
    <row r="547" spans="1:4" ht="12.5">
      <c r="A547" s="5"/>
      <c r="B547" s="7"/>
      <c r="C547" s="5"/>
      <c r="D547" s="7"/>
    </row>
    <row r="548" spans="1:4" ht="12.5">
      <c r="A548" s="5"/>
      <c r="B548" s="7"/>
      <c r="C548" s="5"/>
      <c r="D548" s="7"/>
    </row>
    <row r="549" spans="1:4" ht="12.5">
      <c r="A549" s="5"/>
      <c r="B549" s="7"/>
      <c r="C549" s="5"/>
      <c r="D549" s="7"/>
    </row>
    <row r="550" spans="1:4" ht="12.5">
      <c r="A550" s="5"/>
      <c r="B550" s="7"/>
      <c r="C550" s="5"/>
      <c r="D550" s="7"/>
    </row>
    <row r="551" spans="1:4" ht="12.5">
      <c r="A551" s="5"/>
      <c r="B551" s="7"/>
      <c r="C551" s="5"/>
      <c r="D551" s="7"/>
    </row>
    <row r="552" spans="1:4" ht="12.5">
      <c r="A552" s="5"/>
      <c r="B552" s="7"/>
      <c r="C552" s="5"/>
      <c r="D552" s="7"/>
    </row>
    <row r="553" spans="1:4" ht="12.5">
      <c r="A553" s="5"/>
      <c r="B553" s="7"/>
      <c r="C553" s="5"/>
      <c r="D553" s="7"/>
    </row>
    <row r="554" spans="1:4" ht="12.5">
      <c r="A554" s="5"/>
      <c r="B554" s="7"/>
      <c r="C554" s="5"/>
      <c r="D554" s="7"/>
    </row>
    <row r="555" spans="1:4" ht="12.5">
      <c r="A555" s="5"/>
      <c r="B555" s="7"/>
      <c r="C555" s="5"/>
      <c r="D555" s="7"/>
    </row>
    <row r="556" spans="1:4" ht="12.5">
      <c r="A556" s="5"/>
      <c r="B556" s="7"/>
      <c r="C556" s="5"/>
      <c r="D556" s="7"/>
    </row>
    <row r="557" spans="1:4" ht="12.5">
      <c r="A557" s="5"/>
      <c r="B557" s="7"/>
      <c r="C557" s="5"/>
      <c r="D557" s="7"/>
    </row>
    <row r="558" spans="1:4" ht="12.5">
      <c r="A558" s="5"/>
      <c r="B558" s="7"/>
      <c r="C558" s="5"/>
      <c r="D558" s="7"/>
    </row>
    <row r="559" spans="1:4" ht="12.5">
      <c r="A559" s="5"/>
      <c r="B559" s="7"/>
      <c r="C559" s="5"/>
      <c r="D559" s="7"/>
    </row>
    <row r="560" spans="1:4" ht="12.5">
      <c r="A560" s="5"/>
      <c r="B560" s="7"/>
      <c r="C560" s="5"/>
      <c r="D560" s="7"/>
    </row>
    <row r="561" spans="1:4" ht="12.5">
      <c r="A561" s="5"/>
      <c r="B561" s="7"/>
      <c r="C561" s="5"/>
      <c r="D561" s="7"/>
    </row>
    <row r="562" spans="1:4" ht="12.5">
      <c r="A562" s="5"/>
      <c r="B562" s="7"/>
      <c r="C562" s="5"/>
      <c r="D562" s="7"/>
    </row>
    <row r="563" spans="1:4" ht="12.5">
      <c r="A563" s="5"/>
      <c r="B563" s="7"/>
      <c r="C563" s="5"/>
      <c r="D563" s="7"/>
    </row>
    <row r="564" spans="1:4" ht="12.5">
      <c r="A564" s="5"/>
      <c r="B564" s="7"/>
      <c r="C564" s="5"/>
      <c r="D564" s="7"/>
    </row>
    <row r="565" spans="1:4" ht="12.5">
      <c r="A565" s="5"/>
      <c r="B565" s="7"/>
      <c r="C565" s="5"/>
      <c r="D565" s="7"/>
    </row>
    <row r="566" spans="1:4" ht="12.5">
      <c r="A566" s="5"/>
      <c r="B566" s="7"/>
      <c r="C566" s="5"/>
      <c r="D566" s="7"/>
    </row>
    <row r="567" spans="1:4" ht="12.5">
      <c r="A567" s="5"/>
      <c r="B567" s="7"/>
      <c r="C567" s="5"/>
      <c r="D567" s="7"/>
    </row>
    <row r="568" spans="1:4" ht="12.5">
      <c r="A568" s="5"/>
      <c r="B568" s="7"/>
      <c r="C568" s="5"/>
      <c r="D568" s="7"/>
    </row>
    <row r="569" spans="1:4" ht="12.5">
      <c r="A569" s="5"/>
      <c r="B569" s="7"/>
      <c r="C569" s="5"/>
      <c r="D569" s="7"/>
    </row>
    <row r="570" spans="1:4" ht="12.5">
      <c r="A570" s="5"/>
      <c r="B570" s="7"/>
      <c r="C570" s="5"/>
      <c r="D570" s="7"/>
    </row>
    <row r="571" spans="1:4" ht="12.5">
      <c r="A571" s="5"/>
      <c r="B571" s="7"/>
      <c r="C571" s="5"/>
      <c r="D571" s="7"/>
    </row>
    <row r="572" spans="1:4" ht="12.5">
      <c r="A572" s="5"/>
      <c r="B572" s="7"/>
      <c r="C572" s="5"/>
      <c r="D572" s="7"/>
    </row>
    <row r="573" spans="1:4" ht="12.5">
      <c r="A573" s="5"/>
      <c r="B573" s="7"/>
      <c r="C573" s="5"/>
      <c r="D573" s="7"/>
    </row>
    <row r="574" spans="1:4" ht="12.5">
      <c r="A574" s="5"/>
      <c r="B574" s="7"/>
      <c r="C574" s="5"/>
      <c r="D574" s="7"/>
    </row>
    <row r="575" spans="1:4" ht="12.5">
      <c r="A575" s="5"/>
      <c r="B575" s="7"/>
      <c r="C575" s="5"/>
      <c r="D575" s="7"/>
    </row>
    <row r="576" spans="1:4" ht="12.5">
      <c r="A576" s="5"/>
      <c r="B576" s="7"/>
      <c r="C576" s="5"/>
      <c r="D576" s="7"/>
    </row>
    <row r="577" spans="1:4" ht="12.5">
      <c r="A577" s="5"/>
      <c r="B577" s="7"/>
      <c r="C577" s="5"/>
      <c r="D577" s="7"/>
    </row>
    <row r="578" spans="1:4" ht="12.5">
      <c r="A578" s="5"/>
      <c r="B578" s="7"/>
      <c r="C578" s="5"/>
      <c r="D578" s="7"/>
    </row>
    <row r="579" spans="1:4" ht="12.5">
      <c r="A579" s="5"/>
      <c r="B579" s="7"/>
      <c r="C579" s="5"/>
      <c r="D579" s="7"/>
    </row>
    <row r="580" spans="1:4" ht="12.5">
      <c r="A580" s="5"/>
      <c r="B580" s="7"/>
      <c r="C580" s="5"/>
      <c r="D580" s="7"/>
    </row>
    <row r="581" spans="1:4" ht="12.5">
      <c r="A581" s="5"/>
      <c r="B581" s="7"/>
      <c r="C581" s="5"/>
      <c r="D581" s="7"/>
    </row>
    <row r="582" spans="1:4" ht="12.5">
      <c r="A582" s="5"/>
      <c r="B582" s="7"/>
      <c r="C582" s="5"/>
      <c r="D582" s="7"/>
    </row>
    <row r="583" spans="1:4" ht="12.5">
      <c r="A583" s="5"/>
      <c r="B583" s="7"/>
      <c r="C583" s="5"/>
      <c r="D583" s="7"/>
    </row>
    <row r="584" spans="1:4" ht="12.5">
      <c r="A584" s="5"/>
      <c r="B584" s="7"/>
      <c r="C584" s="5"/>
      <c r="D584" s="7"/>
    </row>
    <row r="585" spans="1:4" ht="12.5">
      <c r="A585" s="5"/>
      <c r="B585" s="7"/>
      <c r="C585" s="5"/>
      <c r="D585" s="7"/>
    </row>
    <row r="586" spans="1:4" ht="12.5">
      <c r="A586" s="5"/>
      <c r="B586" s="7"/>
      <c r="C586" s="5"/>
      <c r="D586" s="7"/>
    </row>
    <row r="587" spans="1:4" ht="12.5">
      <c r="A587" s="5"/>
      <c r="B587" s="7"/>
      <c r="C587" s="5"/>
      <c r="D587" s="7"/>
    </row>
    <row r="588" spans="1:4" ht="12.5">
      <c r="A588" s="5"/>
      <c r="B588" s="7"/>
      <c r="C588" s="5"/>
      <c r="D588" s="7"/>
    </row>
    <row r="589" spans="1:4" ht="12.5">
      <c r="A589" s="5"/>
      <c r="B589" s="7"/>
      <c r="C589" s="5"/>
      <c r="D589" s="7"/>
    </row>
    <row r="590" spans="1:4" ht="12.5">
      <c r="A590" s="5"/>
      <c r="B590" s="7"/>
      <c r="C590" s="5"/>
      <c r="D590" s="7"/>
    </row>
    <row r="591" spans="1:4" ht="12.5">
      <c r="A591" s="5"/>
      <c r="B591" s="7"/>
      <c r="C591" s="5"/>
      <c r="D591" s="7"/>
    </row>
    <row r="592" spans="1:4" ht="12.5">
      <c r="A592" s="5"/>
      <c r="B592" s="7"/>
      <c r="C592" s="5"/>
      <c r="D592" s="7"/>
    </row>
    <row r="593" spans="1:4" ht="12.5">
      <c r="A593" s="5"/>
      <c r="B593" s="7"/>
      <c r="C593" s="5"/>
      <c r="D593" s="7"/>
    </row>
    <row r="594" spans="1:4" ht="12.5">
      <c r="A594" s="5"/>
      <c r="B594" s="7"/>
      <c r="C594" s="5"/>
      <c r="D594" s="7"/>
    </row>
    <row r="595" spans="1:4" ht="12.5">
      <c r="A595" s="5"/>
      <c r="B595" s="7"/>
      <c r="C595" s="5"/>
      <c r="D595" s="7"/>
    </row>
    <row r="596" spans="1:4" ht="12.5">
      <c r="A596" s="5"/>
      <c r="B596" s="7"/>
      <c r="C596" s="5"/>
      <c r="D596" s="7"/>
    </row>
    <row r="597" spans="1:4" ht="12.5">
      <c r="A597" s="5"/>
      <c r="B597" s="7"/>
      <c r="C597" s="5"/>
      <c r="D597" s="7"/>
    </row>
    <row r="598" spans="1:4" ht="12.5">
      <c r="A598" s="5"/>
      <c r="B598" s="7"/>
      <c r="C598" s="5"/>
      <c r="D598" s="7"/>
    </row>
    <row r="599" spans="1:4" ht="12.5">
      <c r="A599" s="5"/>
      <c r="B599" s="7"/>
      <c r="C599" s="5"/>
      <c r="D599" s="7"/>
    </row>
    <row r="600" spans="1:4" ht="12.5">
      <c r="A600" s="5"/>
      <c r="B600" s="7"/>
      <c r="C600" s="5"/>
      <c r="D600" s="7"/>
    </row>
    <row r="601" spans="1:4" ht="12.5">
      <c r="A601" s="5"/>
      <c r="B601" s="7"/>
      <c r="C601" s="5"/>
      <c r="D601" s="7"/>
    </row>
    <row r="602" spans="1:4" ht="12.5">
      <c r="A602" s="5"/>
      <c r="B602" s="7"/>
      <c r="C602" s="5"/>
      <c r="D602" s="7"/>
    </row>
    <row r="603" spans="1:4" ht="12.5">
      <c r="A603" s="5"/>
      <c r="B603" s="7"/>
      <c r="C603" s="5"/>
      <c r="D603" s="7"/>
    </row>
    <row r="604" spans="1:4" ht="12.5">
      <c r="A604" s="5"/>
      <c r="B604" s="7"/>
      <c r="C604" s="5"/>
      <c r="D604" s="7"/>
    </row>
    <row r="605" spans="1:4" ht="12.5">
      <c r="A605" s="5"/>
      <c r="B605" s="7"/>
      <c r="C605" s="5"/>
      <c r="D605" s="7"/>
    </row>
    <row r="606" spans="1:4" ht="12.5">
      <c r="A606" s="5"/>
      <c r="B606" s="7"/>
      <c r="C606" s="5"/>
      <c r="D606" s="7"/>
    </row>
    <row r="607" spans="1:4" ht="12.5">
      <c r="A607" s="5"/>
      <c r="B607" s="7"/>
      <c r="C607" s="5"/>
      <c r="D607" s="7"/>
    </row>
    <row r="608" spans="1:4" ht="12.5">
      <c r="A608" s="5"/>
      <c r="B608" s="7"/>
      <c r="C608" s="5"/>
      <c r="D608" s="7"/>
    </row>
    <row r="609" spans="1:4" ht="12.5">
      <c r="A609" s="5"/>
      <c r="B609" s="7"/>
      <c r="C609" s="5"/>
      <c r="D609" s="7"/>
    </row>
    <row r="610" spans="1:4" ht="12.5">
      <c r="A610" s="5"/>
      <c r="B610" s="7"/>
      <c r="C610" s="5"/>
      <c r="D610" s="7"/>
    </row>
    <row r="611" spans="1:4" ht="12.5">
      <c r="A611" s="5"/>
      <c r="B611" s="7"/>
      <c r="C611" s="5"/>
      <c r="D611" s="7"/>
    </row>
    <row r="612" spans="1:4" ht="12.5">
      <c r="A612" s="5"/>
      <c r="B612" s="7"/>
      <c r="C612" s="5"/>
      <c r="D612" s="7"/>
    </row>
    <row r="613" spans="1:4" ht="12.5">
      <c r="A613" s="5"/>
      <c r="B613" s="7"/>
      <c r="C613" s="5"/>
      <c r="D613" s="7"/>
    </row>
    <row r="614" spans="1:4" ht="12.5">
      <c r="A614" s="5"/>
      <c r="B614" s="7"/>
      <c r="C614" s="5"/>
      <c r="D614" s="7"/>
    </row>
    <row r="615" spans="1:4" ht="12.5">
      <c r="A615" s="5"/>
      <c r="B615" s="7"/>
      <c r="C615" s="5"/>
      <c r="D615" s="7"/>
    </row>
    <row r="616" spans="1:4" ht="12.5">
      <c r="A616" s="5"/>
      <c r="B616" s="7"/>
      <c r="C616" s="5"/>
      <c r="D616" s="7"/>
    </row>
    <row r="617" spans="1:4" ht="12.5">
      <c r="A617" s="5"/>
      <c r="B617" s="7"/>
      <c r="C617" s="5"/>
      <c r="D617" s="7"/>
    </row>
    <row r="618" spans="1:4" ht="12.5">
      <c r="A618" s="5"/>
      <c r="B618" s="7"/>
      <c r="C618" s="5"/>
      <c r="D618" s="7"/>
    </row>
    <row r="619" spans="1:4" ht="12.5">
      <c r="A619" s="5"/>
      <c r="B619" s="7"/>
      <c r="C619" s="5"/>
      <c r="D619" s="7"/>
    </row>
    <row r="620" spans="1:4" ht="12.5">
      <c r="A620" s="5"/>
      <c r="B620" s="7"/>
      <c r="C620" s="5"/>
      <c r="D620" s="7"/>
    </row>
    <row r="621" spans="1:4" ht="12.5">
      <c r="A621" s="5"/>
      <c r="B621" s="7"/>
      <c r="C621" s="5"/>
      <c r="D621" s="7"/>
    </row>
    <row r="622" spans="1:4" ht="12.5">
      <c r="A622" s="5"/>
      <c r="B622" s="7"/>
      <c r="C622" s="5"/>
      <c r="D622" s="7"/>
    </row>
    <row r="623" spans="1:4" ht="12.5">
      <c r="A623" s="5"/>
      <c r="B623" s="7"/>
      <c r="C623" s="5"/>
      <c r="D623" s="7"/>
    </row>
    <row r="624" spans="1:4" ht="12.5">
      <c r="A624" s="5"/>
      <c r="B624" s="7"/>
      <c r="C624" s="5"/>
      <c r="D624" s="7"/>
    </row>
    <row r="625" spans="1:4" ht="12.5">
      <c r="A625" s="5"/>
      <c r="B625" s="7"/>
      <c r="C625" s="5"/>
      <c r="D625" s="7"/>
    </row>
    <row r="626" spans="1:4" ht="12.5">
      <c r="A626" s="5"/>
      <c r="B626" s="7"/>
      <c r="C626" s="5"/>
      <c r="D626" s="7"/>
    </row>
    <row r="627" spans="1:4" ht="12.5">
      <c r="A627" s="5"/>
      <c r="B627" s="7"/>
      <c r="C627" s="5"/>
      <c r="D627" s="7"/>
    </row>
    <row r="628" spans="1:4" ht="12.5">
      <c r="A628" s="5"/>
      <c r="B628" s="7"/>
      <c r="C628" s="5"/>
      <c r="D628" s="7"/>
    </row>
    <row r="629" spans="1:4" ht="12.5">
      <c r="A629" s="5"/>
      <c r="B629" s="7"/>
      <c r="C629" s="5"/>
      <c r="D629" s="7"/>
    </row>
    <row r="630" spans="1:4" ht="12.5">
      <c r="A630" s="5"/>
      <c r="B630" s="7"/>
      <c r="C630" s="5"/>
      <c r="D630" s="7"/>
    </row>
    <row r="631" spans="1:4" ht="12.5">
      <c r="A631" s="5"/>
      <c r="B631" s="7"/>
      <c r="C631" s="5"/>
      <c r="D631" s="7"/>
    </row>
    <row r="632" spans="1:4" ht="12.5">
      <c r="A632" s="5"/>
      <c r="B632" s="7"/>
      <c r="C632" s="5"/>
      <c r="D632" s="7"/>
    </row>
    <row r="633" spans="1:4" ht="12.5">
      <c r="A633" s="5"/>
      <c r="B633" s="7"/>
      <c r="C633" s="5"/>
      <c r="D633" s="7"/>
    </row>
    <row r="634" spans="1:4" ht="12.5">
      <c r="A634" s="5"/>
      <c r="B634" s="7"/>
      <c r="C634" s="5"/>
      <c r="D634" s="7"/>
    </row>
    <row r="635" spans="1:4" ht="12.5">
      <c r="A635" s="5"/>
      <c r="B635" s="7"/>
      <c r="C635" s="5"/>
      <c r="D635" s="7"/>
    </row>
    <row r="636" spans="1:4" ht="12.5">
      <c r="A636" s="5"/>
      <c r="B636" s="7"/>
      <c r="C636" s="5"/>
      <c r="D636" s="7"/>
    </row>
    <row r="637" spans="1:4" ht="12.5">
      <c r="A637" s="5"/>
      <c r="B637" s="7"/>
      <c r="C637" s="5"/>
      <c r="D637" s="7"/>
    </row>
    <row r="638" spans="1:4" ht="12.5">
      <c r="A638" s="5"/>
      <c r="B638" s="7"/>
      <c r="C638" s="5"/>
      <c r="D638" s="7"/>
    </row>
    <row r="639" spans="1:4" ht="12.5">
      <c r="A639" s="5"/>
      <c r="B639" s="7"/>
      <c r="C639" s="5"/>
      <c r="D639" s="7"/>
    </row>
    <row r="640" spans="1:4" ht="12.5">
      <c r="A640" s="5"/>
      <c r="B640" s="7"/>
      <c r="C640" s="5"/>
      <c r="D640" s="7"/>
    </row>
    <row r="641" spans="1:4" ht="12.5">
      <c r="A641" s="5"/>
      <c r="B641" s="7"/>
      <c r="C641" s="5"/>
      <c r="D641" s="7"/>
    </row>
    <row r="642" spans="1:4" ht="12.5">
      <c r="A642" s="5"/>
      <c r="B642" s="7"/>
      <c r="C642" s="5"/>
      <c r="D642" s="7"/>
    </row>
    <row r="643" spans="1:4" ht="12.5">
      <c r="A643" s="5"/>
      <c r="B643" s="7"/>
      <c r="C643" s="5"/>
      <c r="D643" s="7"/>
    </row>
    <row r="644" spans="1:4" ht="12.5">
      <c r="A644" s="5"/>
      <c r="B644" s="7"/>
      <c r="C644" s="5"/>
      <c r="D644" s="7"/>
    </row>
    <row r="645" spans="1:4" ht="12.5">
      <c r="A645" s="5"/>
      <c r="B645" s="7"/>
      <c r="C645" s="5"/>
      <c r="D645" s="7"/>
    </row>
    <row r="646" spans="1:4" ht="12.5">
      <c r="A646" s="5"/>
      <c r="B646" s="7"/>
      <c r="C646" s="5"/>
      <c r="D646" s="7"/>
    </row>
    <row r="647" spans="1:4" ht="12.5">
      <c r="A647" s="5"/>
      <c r="B647" s="7"/>
      <c r="C647" s="5"/>
      <c r="D647" s="7"/>
    </row>
    <row r="648" spans="1:4" ht="12.5">
      <c r="A648" s="5"/>
      <c r="B648" s="7"/>
      <c r="C648" s="5"/>
      <c r="D648" s="7"/>
    </row>
    <row r="649" spans="1:4" ht="12.5">
      <c r="A649" s="5"/>
      <c r="B649" s="7"/>
      <c r="C649" s="5"/>
      <c r="D649" s="7"/>
    </row>
    <row r="650" spans="1:4" ht="12.5">
      <c r="A650" s="5"/>
      <c r="B650" s="7"/>
      <c r="C650" s="5"/>
      <c r="D650" s="7"/>
    </row>
    <row r="651" spans="1:4" ht="12.5">
      <c r="A651" s="5"/>
      <c r="B651" s="7"/>
      <c r="C651" s="5"/>
      <c r="D651" s="7"/>
    </row>
    <row r="652" spans="1:4" ht="12.5">
      <c r="A652" s="5"/>
      <c r="B652" s="7"/>
      <c r="C652" s="5"/>
      <c r="D652" s="7"/>
    </row>
    <row r="653" spans="1:4" ht="12.5">
      <c r="A653" s="5"/>
      <c r="B653" s="7"/>
      <c r="C653" s="5"/>
      <c r="D653" s="7"/>
    </row>
    <row r="654" spans="1:4" ht="12.5">
      <c r="A654" s="5"/>
      <c r="B654" s="7"/>
      <c r="C654" s="5"/>
      <c r="D654" s="7"/>
    </row>
    <row r="655" spans="1:4" ht="12.5">
      <c r="A655" s="5"/>
      <c r="B655" s="7"/>
      <c r="C655" s="5"/>
      <c r="D655" s="7"/>
    </row>
    <row r="656" spans="1:4" ht="12.5">
      <c r="A656" s="5"/>
      <c r="B656" s="7"/>
      <c r="C656" s="5"/>
      <c r="D656" s="7"/>
    </row>
    <row r="657" spans="1:4" ht="12.5">
      <c r="A657" s="5"/>
      <c r="B657" s="7"/>
      <c r="C657" s="5"/>
      <c r="D657" s="7"/>
    </row>
    <row r="658" spans="1:4" ht="12.5">
      <c r="A658" s="5"/>
      <c r="B658" s="7"/>
      <c r="C658" s="5"/>
      <c r="D658" s="7"/>
    </row>
    <row r="659" spans="1:4" ht="12.5">
      <c r="A659" s="5"/>
      <c r="B659" s="7"/>
      <c r="C659" s="5"/>
      <c r="D659" s="7"/>
    </row>
    <row r="660" spans="1:4" ht="12.5">
      <c r="A660" s="5"/>
      <c r="B660" s="7"/>
      <c r="C660" s="5"/>
      <c r="D660" s="7"/>
    </row>
    <row r="661" spans="1:4" ht="12.5">
      <c r="A661" s="5"/>
      <c r="B661" s="7"/>
      <c r="C661" s="5"/>
      <c r="D661" s="7"/>
    </row>
    <row r="662" spans="1:4" ht="12.5">
      <c r="A662" s="5"/>
      <c r="B662" s="7"/>
      <c r="C662" s="5"/>
      <c r="D662" s="7"/>
    </row>
    <row r="663" spans="1:4" ht="12.5">
      <c r="A663" s="5"/>
      <c r="B663" s="7"/>
      <c r="C663" s="5"/>
      <c r="D663" s="7"/>
    </row>
    <row r="664" spans="1:4" ht="12.5">
      <c r="A664" s="5"/>
      <c r="B664" s="7"/>
      <c r="C664" s="5"/>
      <c r="D664" s="7"/>
    </row>
    <row r="665" spans="1:4" ht="12.5">
      <c r="A665" s="5"/>
      <c r="B665" s="7"/>
      <c r="C665" s="5"/>
      <c r="D665" s="7"/>
    </row>
    <row r="666" spans="1:4" ht="12.5">
      <c r="A666" s="5"/>
      <c r="B666" s="7"/>
      <c r="C666" s="5"/>
      <c r="D666" s="7"/>
    </row>
    <row r="667" spans="1:4" ht="12.5">
      <c r="A667" s="5"/>
      <c r="B667" s="7"/>
      <c r="C667" s="5"/>
      <c r="D667" s="7"/>
    </row>
    <row r="668" spans="1:4" ht="12.5">
      <c r="A668" s="5"/>
      <c r="B668" s="7"/>
      <c r="C668" s="5"/>
      <c r="D668" s="7"/>
    </row>
    <row r="669" spans="1:4" ht="12.5">
      <c r="A669" s="5"/>
      <c r="B669" s="7"/>
      <c r="C669" s="5"/>
      <c r="D669" s="7"/>
    </row>
    <row r="670" spans="1:4" ht="12.5">
      <c r="A670" s="5"/>
      <c r="B670" s="7"/>
      <c r="C670" s="5"/>
      <c r="D670" s="7"/>
    </row>
    <row r="671" spans="1:4" ht="12.5">
      <c r="A671" s="5"/>
      <c r="B671" s="7"/>
      <c r="C671" s="5"/>
      <c r="D671" s="7"/>
    </row>
    <row r="672" spans="1:4" ht="12.5">
      <c r="A672" s="5"/>
      <c r="B672" s="7"/>
      <c r="C672" s="5"/>
      <c r="D672" s="7"/>
    </row>
    <row r="673" spans="1:4" ht="12.5">
      <c r="A673" s="5"/>
      <c r="B673" s="7"/>
      <c r="C673" s="5"/>
      <c r="D673" s="7"/>
    </row>
    <row r="674" spans="1:4" ht="12.5">
      <c r="A674" s="5"/>
      <c r="B674" s="7"/>
      <c r="C674" s="5"/>
      <c r="D674" s="7"/>
    </row>
    <row r="675" spans="1:4" ht="12.5">
      <c r="A675" s="5"/>
      <c r="B675" s="7"/>
      <c r="C675" s="5"/>
      <c r="D675" s="7"/>
    </row>
    <row r="676" spans="1:4" ht="12.5">
      <c r="A676" s="5"/>
      <c r="B676" s="7"/>
      <c r="C676" s="5"/>
      <c r="D676" s="7"/>
    </row>
    <row r="677" spans="1:4" ht="12.5">
      <c r="A677" s="5"/>
      <c r="B677" s="7"/>
      <c r="C677" s="5"/>
      <c r="D677" s="7"/>
    </row>
    <row r="678" spans="1:4" ht="12.5">
      <c r="A678" s="5"/>
      <c r="B678" s="7"/>
      <c r="C678" s="5"/>
      <c r="D678" s="7"/>
    </row>
    <row r="679" spans="1:4" ht="12.5">
      <c r="A679" s="5"/>
      <c r="B679" s="7"/>
      <c r="C679" s="5"/>
      <c r="D679" s="7"/>
    </row>
    <row r="680" spans="1:4" ht="12.5">
      <c r="A680" s="5"/>
      <c r="B680" s="7"/>
      <c r="C680" s="5"/>
      <c r="D680" s="7"/>
    </row>
    <row r="681" spans="1:4" ht="12.5">
      <c r="A681" s="5"/>
      <c r="B681" s="7"/>
      <c r="C681" s="5"/>
      <c r="D681" s="7"/>
    </row>
    <row r="682" spans="1:4" ht="12.5">
      <c r="A682" s="5"/>
      <c r="B682" s="7"/>
      <c r="C682" s="5"/>
      <c r="D682" s="7"/>
    </row>
    <row r="683" spans="1:4" ht="12.5">
      <c r="A683" s="5"/>
      <c r="B683" s="7"/>
      <c r="C683" s="5"/>
      <c r="D683" s="7"/>
    </row>
    <row r="684" spans="1:4" ht="12.5">
      <c r="A684" s="5"/>
      <c r="B684" s="7"/>
      <c r="C684" s="5"/>
      <c r="D684" s="7"/>
    </row>
    <row r="685" spans="1:4" ht="12.5">
      <c r="A685" s="5"/>
      <c r="B685" s="7"/>
      <c r="C685" s="5"/>
      <c r="D685" s="7"/>
    </row>
    <row r="686" spans="1:4" ht="12.5">
      <c r="A686" s="5"/>
      <c r="B686" s="7"/>
      <c r="C686" s="5"/>
      <c r="D686" s="7"/>
    </row>
    <row r="687" spans="1:4" ht="12.5">
      <c r="A687" s="5"/>
      <c r="B687" s="7"/>
      <c r="C687" s="5"/>
      <c r="D687" s="7"/>
    </row>
    <row r="688" spans="1:4" ht="12.5">
      <c r="A688" s="5"/>
      <c r="B688" s="7"/>
      <c r="C688" s="5"/>
      <c r="D688" s="7"/>
    </row>
    <row r="689" spans="1:4" ht="12.5">
      <c r="A689" s="5"/>
      <c r="B689" s="7"/>
      <c r="C689" s="5"/>
      <c r="D689" s="7"/>
    </row>
    <row r="690" spans="1:4" ht="12.5">
      <c r="A690" s="5"/>
      <c r="B690" s="7"/>
      <c r="C690" s="5"/>
      <c r="D690" s="7"/>
    </row>
    <row r="691" spans="1:4" ht="12.5">
      <c r="A691" s="5"/>
      <c r="B691" s="7"/>
      <c r="C691" s="5"/>
      <c r="D691" s="7"/>
    </row>
    <row r="692" spans="1:4" ht="12.5">
      <c r="A692" s="5"/>
      <c r="B692" s="7"/>
      <c r="C692" s="5"/>
      <c r="D692" s="7"/>
    </row>
    <row r="693" spans="1:4" ht="12.5">
      <c r="A693" s="5"/>
      <c r="B693" s="7"/>
      <c r="C693" s="5"/>
      <c r="D693" s="7"/>
    </row>
    <row r="694" spans="1:4" ht="12.5">
      <c r="A694" s="5"/>
      <c r="B694" s="7"/>
      <c r="C694" s="5"/>
      <c r="D694" s="7"/>
    </row>
    <row r="695" spans="1:4" ht="12.5">
      <c r="A695" s="5"/>
      <c r="B695" s="7"/>
      <c r="C695" s="5"/>
      <c r="D695" s="7"/>
    </row>
    <row r="696" spans="1:4" ht="12.5">
      <c r="A696" s="5"/>
      <c r="B696" s="7"/>
      <c r="C696" s="5"/>
      <c r="D696" s="7"/>
    </row>
    <row r="697" spans="1:4" ht="12.5">
      <c r="A697" s="5"/>
      <c r="B697" s="7"/>
      <c r="C697" s="5"/>
      <c r="D697" s="7"/>
    </row>
    <row r="698" spans="1:4" ht="12.5">
      <c r="A698" s="5"/>
      <c r="B698" s="7"/>
      <c r="C698" s="5"/>
      <c r="D698" s="7"/>
    </row>
    <row r="699" spans="1:4" ht="12.5">
      <c r="A699" s="5"/>
      <c r="B699" s="7"/>
      <c r="C699" s="5"/>
      <c r="D699" s="7"/>
    </row>
    <row r="700" spans="1:4" ht="12.5">
      <c r="A700" s="5"/>
      <c r="B700" s="7"/>
      <c r="C700" s="5"/>
      <c r="D700" s="7"/>
    </row>
    <row r="701" spans="1:4" ht="12.5">
      <c r="A701" s="5"/>
      <c r="B701" s="7"/>
      <c r="C701" s="5"/>
      <c r="D701" s="7"/>
    </row>
    <row r="702" spans="1:4" ht="12.5">
      <c r="A702" s="5"/>
      <c r="B702" s="7"/>
      <c r="C702" s="5"/>
      <c r="D702" s="7"/>
    </row>
    <row r="703" spans="1:4" ht="12.5">
      <c r="A703" s="5"/>
      <c r="B703" s="7"/>
      <c r="C703" s="5"/>
      <c r="D703" s="7"/>
    </row>
    <row r="704" spans="1:4" ht="12.5">
      <c r="A704" s="5"/>
      <c r="B704" s="7"/>
      <c r="C704" s="5"/>
      <c r="D704" s="7"/>
    </row>
    <row r="705" spans="1:4" ht="12.5">
      <c r="A705" s="5"/>
      <c r="B705" s="7"/>
      <c r="C705" s="5"/>
      <c r="D705" s="7"/>
    </row>
    <row r="706" spans="1:4" ht="12.5">
      <c r="A706" s="5"/>
      <c r="B706" s="7"/>
      <c r="C706" s="5"/>
      <c r="D706" s="7"/>
    </row>
    <row r="707" spans="1:4" ht="12.5">
      <c r="A707" s="5"/>
      <c r="B707" s="7"/>
      <c r="C707" s="5"/>
      <c r="D707" s="7"/>
    </row>
    <row r="708" spans="1:4" ht="12.5">
      <c r="A708" s="5"/>
      <c r="B708" s="7"/>
      <c r="C708" s="5"/>
      <c r="D708" s="7"/>
    </row>
    <row r="709" spans="1:4" ht="12.5">
      <c r="A709" s="5"/>
      <c r="B709" s="7"/>
      <c r="C709" s="5"/>
      <c r="D709" s="7"/>
    </row>
    <row r="710" spans="1:4" ht="12.5">
      <c r="A710" s="5"/>
      <c r="B710" s="7"/>
      <c r="C710" s="5"/>
      <c r="D710" s="7"/>
    </row>
    <row r="711" spans="1:4" ht="12.5">
      <c r="A711" s="5"/>
      <c r="B711" s="7"/>
      <c r="C711" s="5"/>
      <c r="D711" s="7"/>
    </row>
    <row r="712" spans="1:4" ht="12.5">
      <c r="A712" s="5"/>
      <c r="B712" s="7"/>
      <c r="C712" s="5"/>
      <c r="D712" s="7"/>
    </row>
    <row r="713" spans="1:4" ht="12.5">
      <c r="A713" s="5"/>
      <c r="B713" s="7"/>
      <c r="C713" s="5"/>
      <c r="D713" s="7"/>
    </row>
    <row r="714" spans="1:4" ht="12.5">
      <c r="A714" s="5"/>
      <c r="B714" s="7"/>
      <c r="C714" s="5"/>
      <c r="D714" s="7"/>
    </row>
    <row r="715" spans="1:4" ht="12.5">
      <c r="A715" s="5"/>
      <c r="B715" s="7"/>
      <c r="C715" s="5"/>
      <c r="D715" s="7"/>
    </row>
    <row r="716" spans="1:4" ht="12.5">
      <c r="A716" s="5"/>
      <c r="B716" s="7"/>
      <c r="C716" s="5"/>
      <c r="D716" s="7"/>
    </row>
    <row r="717" spans="1:4" ht="12.5">
      <c r="A717" s="5"/>
      <c r="B717" s="7"/>
      <c r="C717" s="5"/>
      <c r="D717" s="7"/>
    </row>
    <row r="718" spans="1:4" ht="12.5">
      <c r="A718" s="5"/>
      <c r="B718" s="7"/>
      <c r="C718" s="5"/>
      <c r="D718" s="7"/>
    </row>
    <row r="719" spans="1:4" ht="12.5">
      <c r="A719" s="5"/>
      <c r="B719" s="7"/>
      <c r="C719" s="5"/>
      <c r="D719" s="7"/>
    </row>
    <row r="720" spans="1:4" ht="12.5">
      <c r="A720" s="5"/>
      <c r="B720" s="7"/>
      <c r="C720" s="5"/>
      <c r="D720" s="7"/>
    </row>
    <row r="721" spans="1:4" ht="12.5">
      <c r="A721" s="5"/>
      <c r="B721" s="7"/>
      <c r="C721" s="5"/>
      <c r="D721" s="7"/>
    </row>
    <row r="722" spans="1:4" ht="12.5">
      <c r="A722" s="5"/>
      <c r="B722" s="7"/>
      <c r="C722" s="5"/>
      <c r="D722" s="7"/>
    </row>
    <row r="723" spans="1:4" ht="12.5">
      <c r="A723" s="5"/>
      <c r="B723" s="7"/>
      <c r="C723" s="5"/>
      <c r="D723" s="7"/>
    </row>
    <row r="724" spans="1:4" ht="12.5">
      <c r="A724" s="5"/>
      <c r="B724" s="7"/>
      <c r="C724" s="5"/>
      <c r="D724" s="7"/>
    </row>
    <row r="725" spans="1:4" ht="12.5">
      <c r="A725" s="5"/>
      <c r="B725" s="7"/>
      <c r="C725" s="5"/>
      <c r="D725" s="7"/>
    </row>
    <row r="726" spans="1:4" ht="12.5">
      <c r="A726" s="5"/>
      <c r="B726" s="7"/>
      <c r="C726" s="5"/>
      <c r="D726" s="7"/>
    </row>
    <row r="727" spans="1:4" ht="12.5">
      <c r="A727" s="5"/>
      <c r="B727" s="7"/>
      <c r="C727" s="5"/>
      <c r="D727" s="7"/>
    </row>
    <row r="728" spans="1:4" ht="12.5">
      <c r="A728" s="5"/>
      <c r="B728" s="7"/>
      <c r="C728" s="5"/>
      <c r="D728" s="7"/>
    </row>
    <row r="729" spans="1:4" ht="12.5">
      <c r="A729" s="5"/>
      <c r="B729" s="7"/>
      <c r="C729" s="5"/>
      <c r="D729" s="7"/>
    </row>
    <row r="730" spans="1:4" ht="12.5">
      <c r="A730" s="5"/>
      <c r="B730" s="7"/>
      <c r="C730" s="5"/>
      <c r="D730" s="7"/>
    </row>
    <row r="731" spans="1:4" ht="12.5">
      <c r="A731" s="5"/>
      <c r="B731" s="7"/>
      <c r="C731" s="5"/>
      <c r="D731" s="7"/>
    </row>
    <row r="732" spans="1:4" ht="12.5">
      <c r="A732" s="5"/>
      <c r="B732" s="7"/>
      <c r="C732" s="5"/>
      <c r="D732" s="7"/>
    </row>
    <row r="733" spans="1:4" ht="12.5">
      <c r="A733" s="5"/>
      <c r="B733" s="7"/>
      <c r="C733" s="5"/>
      <c r="D733" s="7"/>
    </row>
    <row r="734" spans="1:4" ht="12.5">
      <c r="A734" s="5"/>
      <c r="B734" s="7"/>
      <c r="C734" s="5"/>
      <c r="D734" s="7"/>
    </row>
    <row r="735" spans="1:4" ht="12.5">
      <c r="A735" s="5"/>
      <c r="B735" s="7"/>
      <c r="C735" s="5"/>
      <c r="D735" s="7"/>
    </row>
    <row r="736" spans="1:4" ht="12.5">
      <c r="A736" s="5"/>
      <c r="B736" s="7"/>
      <c r="C736" s="5"/>
      <c r="D736" s="7"/>
    </row>
    <row r="737" spans="1:4" ht="12.5">
      <c r="A737" s="5"/>
      <c r="B737" s="7"/>
      <c r="C737" s="5"/>
      <c r="D737" s="7"/>
    </row>
    <row r="738" spans="1:4" ht="12.5">
      <c r="A738" s="5"/>
      <c r="B738" s="7"/>
      <c r="C738" s="5"/>
      <c r="D738" s="7"/>
    </row>
    <row r="739" spans="1:4" ht="12.5">
      <c r="A739" s="5"/>
      <c r="B739" s="7"/>
      <c r="C739" s="5"/>
      <c r="D739" s="7"/>
    </row>
    <row r="740" spans="1:4" ht="12.5">
      <c r="A740" s="5"/>
      <c r="B740" s="7"/>
      <c r="C740" s="5"/>
      <c r="D740" s="7"/>
    </row>
    <row r="741" spans="1:4" ht="12.5">
      <c r="A741" s="5"/>
      <c r="B741" s="7"/>
      <c r="C741" s="5"/>
      <c r="D741" s="7"/>
    </row>
    <row r="742" spans="1:4" ht="12.5">
      <c r="A742" s="5"/>
      <c r="B742" s="7"/>
      <c r="C742" s="5"/>
      <c r="D742" s="7"/>
    </row>
    <row r="743" spans="1:4" ht="12.5">
      <c r="A743" s="5"/>
      <c r="B743" s="7"/>
      <c r="C743" s="5"/>
      <c r="D743" s="7"/>
    </row>
    <row r="744" spans="1:4" ht="12.5">
      <c r="A744" s="5"/>
      <c r="B744" s="7"/>
      <c r="C744" s="5"/>
      <c r="D744" s="7"/>
    </row>
    <row r="745" spans="1:4" ht="12.5">
      <c r="A745" s="5"/>
      <c r="B745" s="7"/>
      <c r="C745" s="5"/>
      <c r="D745" s="7"/>
    </row>
    <row r="746" spans="1:4" ht="12.5">
      <c r="A746" s="5"/>
      <c r="B746" s="7"/>
      <c r="C746" s="5"/>
      <c r="D746" s="7"/>
    </row>
    <row r="747" spans="1:4" ht="12.5">
      <c r="A747" s="5"/>
      <c r="B747" s="7"/>
      <c r="C747" s="5"/>
      <c r="D747" s="7"/>
    </row>
    <row r="748" spans="1:4" ht="12.5">
      <c r="A748" s="5"/>
      <c r="B748" s="7"/>
      <c r="C748" s="5"/>
      <c r="D748" s="7"/>
    </row>
    <row r="749" spans="1:4" ht="12.5">
      <c r="A749" s="5"/>
      <c r="B749" s="7"/>
      <c r="C749" s="5"/>
      <c r="D749" s="7"/>
    </row>
    <row r="750" spans="1:4" ht="12.5">
      <c r="A750" s="5"/>
      <c r="B750" s="7"/>
      <c r="C750" s="5"/>
      <c r="D750" s="7"/>
    </row>
    <row r="751" spans="1:4" ht="12.5">
      <c r="A751" s="5"/>
      <c r="B751" s="7"/>
      <c r="C751" s="5"/>
      <c r="D751" s="7"/>
    </row>
    <row r="752" spans="1:4" ht="12.5">
      <c r="A752" s="5"/>
      <c r="B752" s="7"/>
      <c r="C752" s="5"/>
      <c r="D752" s="7"/>
    </row>
    <row r="753" spans="1:4" ht="12.5">
      <c r="A753" s="5"/>
      <c r="B753" s="7"/>
      <c r="C753" s="5"/>
      <c r="D753" s="7"/>
    </row>
    <row r="754" spans="1:4" ht="12.5">
      <c r="A754" s="5"/>
      <c r="B754" s="7"/>
      <c r="C754" s="5"/>
      <c r="D754" s="7"/>
    </row>
    <row r="755" spans="1:4" ht="12.5">
      <c r="A755" s="5"/>
      <c r="B755" s="7"/>
      <c r="C755" s="5"/>
      <c r="D755" s="7"/>
    </row>
    <row r="756" spans="1:4" ht="12.5">
      <c r="A756" s="5"/>
      <c r="B756" s="7"/>
      <c r="C756" s="5"/>
      <c r="D756" s="7"/>
    </row>
    <row r="757" spans="1:4" ht="12.5">
      <c r="A757" s="5"/>
      <c r="B757" s="7"/>
      <c r="C757" s="5"/>
      <c r="D757" s="7"/>
    </row>
    <row r="758" spans="1:4" ht="12.5">
      <c r="A758" s="5"/>
      <c r="B758" s="7"/>
      <c r="C758" s="5"/>
      <c r="D758" s="7"/>
    </row>
    <row r="759" spans="1:4" ht="12.5">
      <c r="A759" s="5"/>
      <c r="B759" s="7"/>
      <c r="C759" s="5"/>
      <c r="D759" s="7"/>
    </row>
    <row r="760" spans="1:4" ht="12.5">
      <c r="A760" s="5"/>
      <c r="B760" s="7"/>
      <c r="C760" s="5"/>
      <c r="D760" s="7"/>
    </row>
    <row r="761" spans="1:4" ht="12.5">
      <c r="A761" s="5"/>
      <c r="B761" s="7"/>
      <c r="C761" s="5"/>
      <c r="D761" s="7"/>
    </row>
    <row r="762" spans="1:4" ht="12.5">
      <c r="A762" s="5"/>
      <c r="B762" s="7"/>
      <c r="C762" s="5"/>
      <c r="D762" s="7"/>
    </row>
    <row r="763" spans="1:4" ht="12.5">
      <c r="A763" s="5"/>
      <c r="B763" s="7"/>
      <c r="C763" s="5"/>
      <c r="D763" s="7"/>
    </row>
    <row r="764" spans="1:4" ht="12.5">
      <c r="A764" s="5"/>
      <c r="B764" s="7"/>
      <c r="C764" s="5"/>
      <c r="D764" s="7"/>
    </row>
    <row r="765" spans="1:4" ht="12.5">
      <c r="A765" s="5"/>
      <c r="B765" s="7"/>
      <c r="C765" s="5"/>
      <c r="D765" s="7"/>
    </row>
    <row r="766" spans="1:4" ht="12.5">
      <c r="A766" s="5"/>
      <c r="B766" s="7"/>
      <c r="C766" s="5"/>
      <c r="D766" s="7"/>
    </row>
    <row r="767" spans="1:4" ht="12.5">
      <c r="A767" s="5"/>
      <c r="B767" s="7"/>
      <c r="C767" s="5"/>
      <c r="D767" s="7"/>
    </row>
    <row r="768" spans="1:4" ht="12.5">
      <c r="A768" s="5"/>
      <c r="B768" s="7"/>
      <c r="C768" s="5"/>
      <c r="D768" s="7"/>
    </row>
    <row r="769" spans="1:4" ht="12.5">
      <c r="A769" s="5"/>
      <c r="B769" s="7"/>
      <c r="C769" s="5"/>
      <c r="D769" s="7"/>
    </row>
    <row r="770" spans="1:4" ht="12.5">
      <c r="A770" s="5"/>
      <c r="B770" s="7"/>
      <c r="C770" s="5"/>
      <c r="D770" s="7"/>
    </row>
    <row r="771" spans="1:4" ht="12.5">
      <c r="A771" s="5"/>
      <c r="B771" s="7"/>
      <c r="C771" s="5"/>
      <c r="D771" s="7"/>
    </row>
    <row r="772" spans="1:4" ht="12.5">
      <c r="A772" s="5"/>
      <c r="B772" s="7"/>
      <c r="C772" s="5"/>
      <c r="D772" s="7"/>
    </row>
    <row r="773" spans="1:4" ht="12.5">
      <c r="A773" s="5"/>
      <c r="B773" s="7"/>
      <c r="C773" s="5"/>
      <c r="D773" s="7"/>
    </row>
    <row r="774" spans="1:4" ht="12.5">
      <c r="A774" s="5"/>
      <c r="B774" s="7"/>
      <c r="C774" s="5"/>
      <c r="D774" s="7"/>
    </row>
    <row r="775" spans="1:4" ht="12.5">
      <c r="A775" s="5"/>
      <c r="B775" s="7"/>
      <c r="C775" s="5"/>
      <c r="D775" s="7"/>
    </row>
    <row r="776" spans="1:4" ht="12.5">
      <c r="A776" s="5"/>
      <c r="B776" s="7"/>
      <c r="C776" s="5"/>
      <c r="D776" s="7"/>
    </row>
    <row r="777" spans="1:4" ht="12.5">
      <c r="A777" s="5"/>
      <c r="B777" s="7"/>
      <c r="C777" s="5"/>
      <c r="D777" s="7"/>
    </row>
    <row r="778" spans="1:4" ht="12.5">
      <c r="A778" s="5"/>
      <c r="B778" s="7"/>
      <c r="C778" s="5"/>
      <c r="D778" s="7"/>
    </row>
    <row r="779" spans="1:4" ht="12.5">
      <c r="A779" s="5"/>
      <c r="B779" s="7"/>
      <c r="C779" s="5"/>
      <c r="D779" s="7"/>
    </row>
    <row r="780" spans="1:4" ht="12.5">
      <c r="A780" s="5"/>
      <c r="B780" s="7"/>
      <c r="C780" s="5"/>
      <c r="D780" s="7"/>
    </row>
    <row r="781" spans="1:4" ht="12.5">
      <c r="A781" s="5"/>
      <c r="B781" s="7"/>
      <c r="C781" s="5"/>
      <c r="D781" s="7"/>
    </row>
    <row r="782" spans="1:4" ht="12.5">
      <c r="A782" s="5"/>
      <c r="B782" s="7"/>
      <c r="C782" s="5"/>
      <c r="D782" s="7"/>
    </row>
    <row r="783" spans="1:4" ht="12.5">
      <c r="A783" s="5"/>
      <c r="B783" s="7"/>
      <c r="C783" s="5"/>
      <c r="D783" s="7"/>
    </row>
    <row r="784" spans="1:4" ht="12.5">
      <c r="A784" s="5"/>
      <c r="B784" s="7"/>
      <c r="C784" s="5"/>
      <c r="D784" s="7"/>
    </row>
    <row r="785" spans="1:4" ht="12.5">
      <c r="A785" s="5"/>
      <c r="B785" s="7"/>
      <c r="C785" s="5"/>
      <c r="D785" s="7"/>
    </row>
    <row r="786" spans="1:4" ht="12.5">
      <c r="A786" s="5"/>
      <c r="B786" s="7"/>
      <c r="C786" s="5"/>
      <c r="D786" s="7"/>
    </row>
    <row r="787" spans="1:4" ht="12.5">
      <c r="A787" s="5"/>
      <c r="B787" s="7"/>
      <c r="C787" s="5"/>
      <c r="D787" s="7"/>
    </row>
    <row r="788" spans="1:4" ht="12.5">
      <c r="A788" s="5"/>
      <c r="B788" s="7"/>
      <c r="C788" s="5"/>
      <c r="D788" s="7"/>
    </row>
    <row r="789" spans="1:4" ht="12.5">
      <c r="A789" s="5"/>
      <c r="B789" s="7"/>
      <c r="C789" s="5"/>
      <c r="D789" s="7"/>
    </row>
    <row r="790" spans="1:4" ht="12.5">
      <c r="A790" s="5"/>
      <c r="B790" s="7"/>
      <c r="C790" s="5"/>
      <c r="D790" s="7"/>
    </row>
    <row r="791" spans="1:4" ht="12.5">
      <c r="A791" s="5"/>
      <c r="B791" s="7"/>
      <c r="C791" s="5"/>
      <c r="D791" s="7"/>
    </row>
    <row r="792" spans="1:4" ht="12.5">
      <c r="A792" s="5"/>
      <c r="B792" s="7"/>
      <c r="C792" s="5"/>
      <c r="D792" s="7"/>
    </row>
    <row r="793" spans="1:4" ht="12.5">
      <c r="A793" s="5"/>
      <c r="B793" s="7"/>
      <c r="C793" s="5"/>
      <c r="D793" s="7"/>
    </row>
    <row r="794" spans="1:4" ht="12.5">
      <c r="A794" s="5"/>
      <c r="B794" s="7"/>
      <c r="C794" s="5"/>
      <c r="D794" s="7"/>
    </row>
    <row r="795" spans="1:4" ht="12.5">
      <c r="A795" s="5"/>
      <c r="B795" s="7"/>
      <c r="C795" s="5"/>
      <c r="D795" s="7"/>
    </row>
    <row r="796" spans="1:4" ht="12.5">
      <c r="A796" s="5"/>
      <c r="B796" s="7"/>
      <c r="C796" s="5"/>
      <c r="D796" s="7"/>
    </row>
    <row r="797" spans="1:4" ht="12.5">
      <c r="A797" s="5"/>
      <c r="B797" s="7"/>
      <c r="C797" s="5"/>
      <c r="D797" s="7"/>
    </row>
    <row r="798" spans="1:4" ht="12.5">
      <c r="A798" s="5"/>
      <c r="B798" s="7"/>
      <c r="C798" s="5"/>
      <c r="D798" s="7"/>
    </row>
    <row r="799" spans="1:4" ht="12.5">
      <c r="A799" s="5"/>
      <c r="B799" s="7"/>
      <c r="C799" s="5"/>
      <c r="D799" s="7"/>
    </row>
    <row r="800" spans="1:4" ht="12.5">
      <c r="A800" s="5"/>
      <c r="B800" s="7"/>
      <c r="C800" s="5"/>
      <c r="D800" s="7"/>
    </row>
    <row r="801" spans="1:4" ht="12.5">
      <c r="A801" s="5"/>
      <c r="B801" s="7"/>
      <c r="C801" s="5"/>
      <c r="D801" s="7"/>
    </row>
    <row r="802" spans="1:4" ht="12.5">
      <c r="A802" s="5"/>
      <c r="B802" s="7"/>
      <c r="C802" s="5"/>
      <c r="D802" s="7"/>
    </row>
    <row r="803" spans="1:4" ht="12.5">
      <c r="A803" s="5"/>
      <c r="B803" s="7"/>
      <c r="C803" s="5"/>
      <c r="D803" s="7"/>
    </row>
    <row r="804" spans="1:4" ht="12.5">
      <c r="A804" s="5"/>
      <c r="B804" s="7"/>
      <c r="C804" s="5"/>
      <c r="D804" s="7"/>
    </row>
    <row r="805" spans="1:4" ht="12.5">
      <c r="A805" s="5"/>
      <c r="B805" s="7"/>
      <c r="C805" s="5"/>
      <c r="D805" s="7"/>
    </row>
    <row r="806" spans="1:4" ht="12.5">
      <c r="A806" s="5"/>
      <c r="B806" s="7"/>
      <c r="C806" s="5"/>
      <c r="D806" s="7"/>
    </row>
    <row r="807" spans="1:4" ht="12.5">
      <c r="A807" s="5"/>
      <c r="B807" s="7"/>
      <c r="C807" s="5"/>
      <c r="D807" s="7"/>
    </row>
    <row r="808" spans="1:4" ht="12.5">
      <c r="A808" s="5"/>
      <c r="B808" s="7"/>
      <c r="C808" s="5"/>
      <c r="D808" s="7"/>
    </row>
    <row r="809" spans="1:4" ht="12.5">
      <c r="A809" s="5"/>
      <c r="B809" s="7"/>
      <c r="C809" s="5"/>
      <c r="D809" s="7"/>
    </row>
    <row r="810" spans="1:4" ht="12.5">
      <c r="A810" s="5"/>
      <c r="B810" s="7"/>
      <c r="C810" s="5"/>
      <c r="D810" s="7"/>
    </row>
    <row r="811" spans="1:4" ht="12.5">
      <c r="A811" s="5"/>
      <c r="B811" s="7"/>
      <c r="C811" s="5"/>
      <c r="D811" s="7"/>
    </row>
    <row r="812" spans="1:4" ht="12.5">
      <c r="A812" s="5"/>
      <c r="B812" s="7"/>
      <c r="C812" s="5"/>
      <c r="D812" s="7"/>
    </row>
    <row r="813" spans="1:4" ht="12.5">
      <c r="A813" s="5"/>
      <c r="B813" s="7"/>
      <c r="C813" s="5"/>
      <c r="D813" s="7"/>
    </row>
    <row r="814" spans="1:4" ht="12.5">
      <c r="A814" s="5"/>
      <c r="B814" s="7"/>
      <c r="C814" s="5"/>
      <c r="D814" s="7"/>
    </row>
    <row r="815" spans="1:4" ht="12.5">
      <c r="A815" s="5"/>
      <c r="B815" s="7"/>
      <c r="C815" s="5"/>
      <c r="D815" s="7"/>
    </row>
    <row r="816" spans="1:4" ht="12.5">
      <c r="A816" s="5"/>
      <c r="B816" s="7"/>
      <c r="C816" s="5"/>
      <c r="D816" s="7"/>
    </row>
    <row r="817" spans="1:4" ht="12.5">
      <c r="A817" s="5"/>
      <c r="B817" s="7"/>
      <c r="C817" s="5"/>
      <c r="D817" s="7"/>
    </row>
    <row r="818" spans="1:4" ht="12.5">
      <c r="A818" s="5"/>
      <c r="B818" s="7"/>
      <c r="C818" s="5"/>
      <c r="D818" s="7"/>
    </row>
    <row r="819" spans="1:4" ht="12.5">
      <c r="A819" s="5"/>
      <c r="B819" s="7"/>
      <c r="C819" s="5"/>
      <c r="D819" s="7"/>
    </row>
    <row r="820" spans="1:4" ht="12.5">
      <c r="A820" s="5"/>
      <c r="B820" s="7"/>
      <c r="C820" s="5"/>
      <c r="D820" s="7"/>
    </row>
    <row r="821" spans="1:4" ht="12.5">
      <c r="A821" s="5"/>
      <c r="B821" s="7"/>
      <c r="C821" s="5"/>
      <c r="D821" s="7"/>
    </row>
    <row r="822" spans="1:4" ht="12.5">
      <c r="A822" s="5"/>
      <c r="B822" s="7"/>
      <c r="C822" s="5"/>
      <c r="D822" s="7"/>
    </row>
    <row r="823" spans="1:4" ht="12.5">
      <c r="A823" s="5"/>
      <c r="B823" s="7"/>
      <c r="C823" s="5"/>
      <c r="D823" s="7"/>
    </row>
    <row r="824" spans="1:4" ht="12.5">
      <c r="A824" s="5"/>
      <c r="B824" s="7"/>
      <c r="C824" s="5"/>
      <c r="D824" s="7"/>
    </row>
    <row r="825" spans="1:4" ht="12.5">
      <c r="A825" s="5"/>
      <c r="B825" s="7"/>
      <c r="C825" s="5"/>
      <c r="D825" s="7"/>
    </row>
    <row r="826" spans="1:4" ht="12.5">
      <c r="A826" s="5"/>
      <c r="B826" s="7"/>
      <c r="C826" s="5"/>
      <c r="D826" s="7"/>
    </row>
    <row r="827" spans="1:4" ht="12.5">
      <c r="A827" s="5"/>
      <c r="B827" s="7"/>
      <c r="C827" s="5"/>
      <c r="D827" s="7"/>
    </row>
    <row r="828" spans="1:4" ht="12.5">
      <c r="A828" s="5"/>
      <c r="B828" s="7"/>
      <c r="C828" s="5"/>
      <c r="D828" s="7"/>
    </row>
    <row r="829" spans="1:4" ht="12.5">
      <c r="A829" s="5"/>
      <c r="B829" s="7"/>
      <c r="C829" s="5"/>
      <c r="D829" s="7"/>
    </row>
    <row r="830" spans="1:4" ht="12.5">
      <c r="A830" s="5"/>
      <c r="B830" s="7"/>
      <c r="C830" s="5"/>
      <c r="D830" s="7"/>
    </row>
    <row r="831" spans="1:4" ht="12.5">
      <c r="A831" s="5"/>
      <c r="B831" s="7"/>
      <c r="C831" s="5"/>
      <c r="D831" s="7"/>
    </row>
    <row r="832" spans="1:4" ht="12.5">
      <c r="A832" s="5"/>
      <c r="B832" s="7"/>
      <c r="C832" s="5"/>
      <c r="D832" s="7"/>
    </row>
    <row r="833" spans="1:4" ht="12.5">
      <c r="A833" s="5"/>
      <c r="B833" s="7"/>
      <c r="C833" s="5"/>
      <c r="D833" s="7"/>
    </row>
    <row r="834" spans="1:4" ht="12.5">
      <c r="A834" s="5"/>
      <c r="B834" s="7"/>
      <c r="C834" s="5"/>
      <c r="D834" s="7"/>
    </row>
    <row r="835" spans="1:4" ht="12.5">
      <c r="A835" s="5"/>
      <c r="B835" s="7"/>
      <c r="C835" s="5"/>
      <c r="D835" s="7"/>
    </row>
    <row r="836" spans="1:4" ht="12.5">
      <c r="A836" s="5"/>
      <c r="B836" s="7"/>
      <c r="C836" s="5"/>
      <c r="D836" s="7"/>
    </row>
    <row r="837" spans="1:4" ht="12.5">
      <c r="A837" s="5"/>
      <c r="B837" s="7"/>
      <c r="C837" s="5"/>
      <c r="D837" s="7"/>
    </row>
    <row r="838" spans="1:4" ht="12.5">
      <c r="A838" s="5"/>
      <c r="B838" s="7"/>
      <c r="C838" s="5"/>
      <c r="D838" s="7"/>
    </row>
    <row r="839" spans="1:4" ht="12.5">
      <c r="A839" s="5"/>
      <c r="B839" s="7"/>
      <c r="C839" s="5"/>
      <c r="D839" s="7"/>
    </row>
    <row r="840" spans="1:4" ht="12.5">
      <c r="A840" s="5"/>
      <c r="B840" s="7"/>
      <c r="C840" s="5"/>
      <c r="D840" s="7"/>
    </row>
    <row r="841" spans="1:4" ht="12.5">
      <c r="A841" s="5"/>
      <c r="B841" s="7"/>
      <c r="C841" s="5"/>
      <c r="D841" s="7"/>
    </row>
    <row r="842" spans="1:4" ht="12.5">
      <c r="A842" s="5"/>
      <c r="B842" s="7"/>
      <c r="C842" s="5"/>
      <c r="D842" s="7"/>
    </row>
    <row r="843" spans="1:4" ht="12.5">
      <c r="A843" s="5"/>
      <c r="B843" s="7"/>
      <c r="C843" s="5"/>
      <c r="D843" s="7"/>
    </row>
    <row r="844" spans="1:4" ht="12.5">
      <c r="A844" s="5"/>
      <c r="B844" s="7"/>
      <c r="C844" s="5"/>
      <c r="D844" s="7"/>
    </row>
    <row r="845" spans="1:4" ht="12.5">
      <c r="A845" s="5"/>
      <c r="B845" s="7"/>
      <c r="C845" s="5"/>
      <c r="D845" s="7"/>
    </row>
    <row r="846" spans="1:4" ht="12.5">
      <c r="A846" s="5"/>
      <c r="B846" s="7"/>
      <c r="C846" s="5"/>
      <c r="D846" s="7"/>
    </row>
    <row r="847" spans="1:4" ht="12.5">
      <c r="A847" s="5"/>
      <c r="B847" s="7"/>
      <c r="C847" s="5"/>
      <c r="D847" s="7"/>
    </row>
    <row r="848" spans="1:4" ht="12.5">
      <c r="A848" s="5"/>
      <c r="B848" s="7"/>
      <c r="C848" s="5"/>
      <c r="D848" s="7"/>
    </row>
    <row r="849" spans="1:4" ht="12.5">
      <c r="A849" s="5"/>
      <c r="B849" s="7"/>
      <c r="C849" s="5"/>
      <c r="D849" s="7"/>
    </row>
    <row r="850" spans="1:4" ht="12.5">
      <c r="A850" s="5"/>
      <c r="B850" s="7"/>
      <c r="C850" s="5"/>
      <c r="D850" s="7"/>
    </row>
    <row r="851" spans="1:4" ht="12.5">
      <c r="A851" s="5"/>
      <c r="B851" s="7"/>
      <c r="C851" s="5"/>
      <c r="D851" s="7"/>
    </row>
    <row r="852" spans="1:4" ht="12.5">
      <c r="A852" s="5"/>
      <c r="B852" s="7"/>
      <c r="C852" s="5"/>
      <c r="D852" s="7"/>
    </row>
    <row r="853" spans="1:4" ht="12.5">
      <c r="A853" s="5"/>
      <c r="B853" s="7"/>
      <c r="C853" s="5"/>
      <c r="D853" s="7"/>
    </row>
    <row r="854" spans="1:4" ht="12.5">
      <c r="A854" s="5"/>
      <c r="B854" s="7"/>
      <c r="C854" s="5"/>
      <c r="D854" s="7"/>
    </row>
    <row r="855" spans="1:4" ht="12.5">
      <c r="A855" s="5"/>
      <c r="B855" s="7"/>
      <c r="C855" s="5"/>
      <c r="D855" s="7"/>
    </row>
    <row r="856" spans="1:4" ht="12.5">
      <c r="A856" s="5"/>
      <c r="B856" s="7"/>
      <c r="C856" s="5"/>
      <c r="D856" s="7"/>
    </row>
    <row r="857" spans="1:4" ht="12.5">
      <c r="A857" s="5"/>
      <c r="B857" s="7"/>
      <c r="C857" s="5"/>
      <c r="D857" s="7"/>
    </row>
    <row r="858" spans="1:4" ht="12.5">
      <c r="A858" s="5"/>
      <c r="B858" s="7"/>
      <c r="C858" s="5"/>
      <c r="D858" s="7"/>
    </row>
    <row r="859" spans="1:4" ht="12.5">
      <c r="A859" s="5"/>
      <c r="B859" s="7"/>
      <c r="C859" s="5"/>
      <c r="D859" s="7"/>
    </row>
    <row r="860" spans="1:4" ht="12.5">
      <c r="A860" s="5"/>
      <c r="B860" s="7"/>
      <c r="C860" s="5"/>
      <c r="D860" s="7"/>
    </row>
    <row r="861" spans="1:4" ht="12.5">
      <c r="A861" s="5"/>
      <c r="B861" s="7"/>
      <c r="C861" s="5"/>
      <c r="D861" s="7"/>
    </row>
    <row r="862" spans="1:4" ht="12.5">
      <c r="A862" s="5"/>
      <c r="B862" s="7"/>
      <c r="C862" s="5"/>
      <c r="D862" s="7"/>
    </row>
    <row r="863" spans="1:4" ht="12.5">
      <c r="A863" s="5"/>
      <c r="B863" s="7"/>
      <c r="C863" s="5"/>
      <c r="D863" s="7"/>
    </row>
    <row r="864" spans="1:4" ht="12.5">
      <c r="A864" s="5"/>
      <c r="B864" s="7"/>
      <c r="C864" s="5"/>
      <c r="D864" s="7"/>
    </row>
    <row r="865" spans="1:4" ht="12.5">
      <c r="A865" s="5"/>
      <c r="B865" s="7"/>
      <c r="C865" s="5"/>
      <c r="D865" s="7"/>
    </row>
    <row r="866" spans="1:4" ht="12.5">
      <c r="A866" s="5"/>
      <c r="B866" s="7"/>
      <c r="C866" s="5"/>
      <c r="D866" s="7"/>
    </row>
    <row r="867" spans="1:4" ht="12.5">
      <c r="A867" s="5"/>
      <c r="B867" s="7"/>
      <c r="C867" s="5"/>
      <c r="D867" s="7"/>
    </row>
    <row r="868" spans="1:4" ht="12.5">
      <c r="A868" s="5"/>
      <c r="B868" s="7"/>
      <c r="C868" s="5"/>
      <c r="D868" s="7"/>
    </row>
    <row r="869" spans="1:4" ht="12.5">
      <c r="A869" s="5"/>
      <c r="B869" s="7"/>
      <c r="C869" s="5"/>
      <c r="D869" s="7"/>
    </row>
    <row r="870" spans="1:4" ht="12.5">
      <c r="A870" s="5"/>
      <c r="B870" s="7"/>
      <c r="C870" s="5"/>
      <c r="D870" s="7"/>
    </row>
    <row r="871" spans="1:4" ht="12.5">
      <c r="A871" s="5"/>
      <c r="B871" s="7"/>
      <c r="C871" s="5"/>
      <c r="D871" s="7"/>
    </row>
    <row r="872" spans="1:4" ht="12.5">
      <c r="A872" s="5"/>
      <c r="B872" s="7"/>
      <c r="C872" s="5"/>
      <c r="D872" s="7"/>
    </row>
    <row r="873" spans="1:4" ht="12.5">
      <c r="A873" s="5"/>
      <c r="B873" s="7"/>
      <c r="C873" s="5"/>
      <c r="D873" s="7"/>
    </row>
    <row r="874" spans="1:4" ht="12.5">
      <c r="A874" s="5"/>
      <c r="B874" s="7"/>
      <c r="C874" s="5"/>
      <c r="D874" s="7"/>
    </row>
    <row r="875" spans="1:4" ht="12.5">
      <c r="A875" s="5"/>
      <c r="B875" s="7"/>
      <c r="C875" s="5"/>
      <c r="D875" s="7"/>
    </row>
    <row r="876" spans="1:4" ht="12.5">
      <c r="A876" s="5"/>
      <c r="B876" s="7"/>
      <c r="C876" s="5"/>
      <c r="D876" s="7"/>
    </row>
    <row r="877" spans="1:4" ht="12.5">
      <c r="A877" s="5"/>
      <c r="B877" s="7"/>
      <c r="C877" s="5"/>
      <c r="D877" s="7"/>
    </row>
    <row r="878" spans="1:4" ht="12.5">
      <c r="A878" s="5"/>
      <c r="B878" s="7"/>
      <c r="C878" s="5"/>
      <c r="D878" s="7"/>
    </row>
    <row r="879" spans="1:4" ht="12.5">
      <c r="A879" s="5"/>
      <c r="B879" s="7"/>
      <c r="C879" s="5"/>
      <c r="D879" s="7"/>
    </row>
    <row r="880" spans="1:4" ht="12.5">
      <c r="A880" s="5"/>
      <c r="B880" s="7"/>
      <c r="C880" s="5"/>
      <c r="D880" s="7"/>
    </row>
    <row r="881" spans="1:4" ht="12.5">
      <c r="A881" s="5"/>
      <c r="B881" s="7"/>
      <c r="C881" s="5"/>
      <c r="D881" s="7"/>
    </row>
    <row r="882" spans="1:4" ht="12.5">
      <c r="A882" s="5"/>
      <c r="B882" s="7"/>
      <c r="C882" s="5"/>
      <c r="D882" s="7"/>
    </row>
    <row r="883" spans="1:4" ht="12.5">
      <c r="A883" s="5"/>
      <c r="B883" s="7"/>
      <c r="C883" s="5"/>
      <c r="D883" s="7"/>
    </row>
    <row r="884" spans="1:4" ht="12.5">
      <c r="A884" s="5"/>
      <c r="B884" s="7"/>
      <c r="C884" s="5"/>
      <c r="D884" s="7"/>
    </row>
    <row r="885" spans="1:4" ht="12.5">
      <c r="A885" s="5"/>
      <c r="B885" s="7"/>
      <c r="C885" s="5"/>
      <c r="D885" s="7"/>
    </row>
    <row r="886" spans="1:4" ht="12.5">
      <c r="A886" s="5"/>
      <c r="B886" s="7"/>
      <c r="C886" s="5"/>
      <c r="D886" s="7"/>
    </row>
    <row r="887" spans="1:4" ht="12.5">
      <c r="A887" s="5"/>
      <c r="B887" s="7"/>
      <c r="C887" s="5"/>
      <c r="D887" s="7"/>
    </row>
    <row r="888" spans="1:4" ht="12.5">
      <c r="A888" s="5"/>
      <c r="B888" s="7"/>
      <c r="C888" s="5"/>
      <c r="D888" s="7"/>
    </row>
    <row r="889" spans="1:4" ht="12.5">
      <c r="A889" s="5"/>
      <c r="B889" s="7"/>
      <c r="C889" s="5"/>
      <c r="D889" s="7"/>
    </row>
    <row r="890" spans="1:4" ht="12.5">
      <c r="A890" s="5"/>
      <c r="B890" s="7"/>
      <c r="C890" s="5"/>
      <c r="D890" s="7"/>
    </row>
    <row r="891" spans="1:4" ht="12.5">
      <c r="A891" s="5"/>
      <c r="B891" s="7"/>
      <c r="C891" s="5"/>
      <c r="D891" s="7"/>
    </row>
    <row r="892" spans="1:4" ht="12.5">
      <c r="A892" s="5"/>
      <c r="B892" s="7"/>
      <c r="C892" s="5"/>
      <c r="D892" s="7"/>
    </row>
    <row r="893" spans="1:4" ht="12.5">
      <c r="A893" s="5"/>
      <c r="B893" s="7"/>
      <c r="C893" s="5"/>
      <c r="D893" s="7"/>
    </row>
    <row r="894" spans="1:4" ht="12.5">
      <c r="A894" s="5"/>
      <c r="B894" s="7"/>
      <c r="C894" s="5"/>
      <c r="D894" s="7"/>
    </row>
    <row r="895" spans="1:4" ht="12.5">
      <c r="A895" s="5"/>
      <c r="B895" s="7"/>
      <c r="C895" s="5"/>
      <c r="D895" s="7"/>
    </row>
    <row r="896" spans="1:4" ht="12.5">
      <c r="A896" s="5"/>
      <c r="B896" s="7"/>
      <c r="C896" s="5"/>
      <c r="D896" s="7"/>
    </row>
    <row r="897" spans="1:4" ht="12.5">
      <c r="A897" s="5"/>
      <c r="B897" s="7"/>
      <c r="C897" s="5"/>
      <c r="D897" s="7"/>
    </row>
    <row r="898" spans="1:4" ht="12.5">
      <c r="A898" s="5"/>
      <c r="B898" s="7"/>
      <c r="C898" s="5"/>
      <c r="D898" s="7"/>
    </row>
    <row r="899" spans="1:4" ht="12.5">
      <c r="A899" s="5"/>
      <c r="B899" s="7"/>
      <c r="C899" s="5"/>
      <c r="D899" s="7"/>
    </row>
    <row r="900" spans="1:4" ht="12.5">
      <c r="A900" s="5"/>
      <c r="B900" s="7"/>
      <c r="C900" s="5"/>
      <c r="D900" s="7"/>
    </row>
    <row r="901" spans="1:4" ht="12.5">
      <c r="A901" s="5"/>
      <c r="B901" s="7"/>
      <c r="C901" s="5"/>
      <c r="D901" s="7"/>
    </row>
    <row r="902" spans="1:4" ht="12.5">
      <c r="A902" s="5"/>
      <c r="B902" s="7"/>
      <c r="C902" s="5"/>
      <c r="D902" s="7"/>
    </row>
    <row r="903" spans="1:4" ht="12.5">
      <c r="A903" s="5"/>
      <c r="B903" s="7"/>
      <c r="C903" s="5"/>
      <c r="D903" s="7"/>
    </row>
    <row r="904" spans="1:4" ht="12.5">
      <c r="A904" s="5"/>
      <c r="B904" s="7"/>
      <c r="C904" s="5"/>
      <c r="D904" s="7"/>
    </row>
    <row r="905" spans="1:4" ht="12.5">
      <c r="A905" s="5"/>
      <c r="B905" s="7"/>
      <c r="C905" s="5"/>
      <c r="D905" s="7"/>
    </row>
    <row r="906" spans="1:4" ht="12.5">
      <c r="A906" s="5"/>
      <c r="B906" s="7"/>
      <c r="C906" s="5"/>
      <c r="D906" s="7"/>
    </row>
    <row r="907" spans="1:4" ht="12.5">
      <c r="A907" s="5"/>
      <c r="B907" s="7"/>
      <c r="C907" s="5"/>
      <c r="D907" s="7"/>
    </row>
    <row r="908" spans="1:4" ht="12.5">
      <c r="A908" s="5"/>
      <c r="B908" s="7"/>
      <c r="C908" s="5"/>
      <c r="D908" s="7"/>
    </row>
    <row r="909" spans="1:4" ht="12.5">
      <c r="A909" s="5"/>
      <c r="B909" s="7"/>
      <c r="C909" s="5"/>
      <c r="D909" s="7"/>
    </row>
    <row r="910" spans="1:4" ht="12.5">
      <c r="A910" s="5"/>
      <c r="B910" s="7"/>
      <c r="C910" s="5"/>
      <c r="D910" s="7"/>
    </row>
    <row r="911" spans="1:4" ht="12.5">
      <c r="A911" s="5"/>
      <c r="B911" s="7"/>
      <c r="C911" s="5"/>
      <c r="D911" s="7"/>
    </row>
    <row r="912" spans="1:4" ht="12.5">
      <c r="A912" s="5"/>
      <c r="B912" s="7"/>
      <c r="C912" s="5"/>
      <c r="D912" s="7"/>
    </row>
    <row r="913" spans="1:4" ht="12.5">
      <c r="A913" s="5"/>
      <c r="B913" s="7"/>
      <c r="C913" s="5"/>
      <c r="D913" s="7"/>
    </row>
    <row r="914" spans="1:4" ht="12.5">
      <c r="A914" s="5"/>
      <c r="B914" s="7"/>
      <c r="C914" s="5"/>
      <c r="D914" s="7"/>
    </row>
    <row r="915" spans="1:4" ht="12.5">
      <c r="A915" s="5"/>
      <c r="B915" s="7"/>
      <c r="C915" s="5"/>
      <c r="D915" s="7"/>
    </row>
    <row r="916" spans="1:4" ht="12.5">
      <c r="A916" s="5"/>
      <c r="B916" s="7"/>
      <c r="C916" s="5"/>
      <c r="D916" s="7"/>
    </row>
    <row r="917" spans="1:4" ht="12.5">
      <c r="A917" s="5"/>
      <c r="B917" s="7"/>
      <c r="C917" s="5"/>
      <c r="D917" s="7"/>
    </row>
    <row r="918" spans="1:4" ht="12.5">
      <c r="A918" s="5"/>
      <c r="B918" s="7"/>
      <c r="C918" s="5"/>
      <c r="D918" s="7"/>
    </row>
    <row r="919" spans="1:4" ht="12.5">
      <c r="A919" s="5"/>
      <c r="B919" s="7"/>
      <c r="C919" s="5"/>
      <c r="D919" s="7"/>
    </row>
    <row r="920" spans="1:4" ht="12.5">
      <c r="A920" s="5"/>
      <c r="B920" s="7"/>
      <c r="C920" s="5"/>
      <c r="D920" s="7"/>
    </row>
    <row r="921" spans="1:4" ht="12.5">
      <c r="A921" s="5"/>
      <c r="B921" s="7"/>
      <c r="C921" s="5"/>
      <c r="D921" s="7"/>
    </row>
    <row r="922" spans="1:4" ht="12.5">
      <c r="A922" s="5"/>
      <c r="B922" s="7"/>
      <c r="C922" s="5"/>
      <c r="D922" s="7"/>
    </row>
    <row r="923" spans="1:4" ht="12.5">
      <c r="A923" s="5"/>
      <c r="B923" s="7"/>
      <c r="C923" s="5"/>
      <c r="D923" s="7"/>
    </row>
    <row r="924" spans="1:4" ht="12.5">
      <c r="A924" s="5"/>
      <c r="B924" s="7"/>
      <c r="C924" s="5"/>
      <c r="D924" s="7"/>
    </row>
    <row r="925" spans="1:4" ht="12.5">
      <c r="A925" s="5"/>
      <c r="B925" s="7"/>
      <c r="C925" s="5"/>
      <c r="D925" s="7"/>
    </row>
    <row r="926" spans="1:4" ht="12.5">
      <c r="A926" s="5"/>
      <c r="B926" s="7"/>
      <c r="C926" s="5"/>
      <c r="D926" s="7"/>
    </row>
    <row r="927" spans="1:4" ht="12.5">
      <c r="A927" s="7"/>
      <c r="B927" s="7"/>
      <c r="C927" s="7"/>
      <c r="D927" s="7"/>
    </row>
    <row r="928" spans="1:4" ht="12.5">
      <c r="A928" s="7"/>
      <c r="B928" s="7"/>
      <c r="C928" s="7"/>
      <c r="D928" s="7"/>
    </row>
    <row r="929" spans="1:4" ht="12.5">
      <c r="A929" s="7"/>
      <c r="B929" s="7"/>
      <c r="C929" s="7"/>
      <c r="D929" s="7"/>
    </row>
    <row r="930" spans="1:4" ht="12.5">
      <c r="A930" s="7"/>
      <c r="B930" s="7"/>
      <c r="C930" s="7"/>
      <c r="D930" s="7"/>
    </row>
    <row r="931" spans="1:4" ht="12.5">
      <c r="A931" s="7"/>
      <c r="B931" s="7"/>
      <c r="C931" s="7"/>
      <c r="D931" s="7"/>
    </row>
    <row r="932" spans="1:4" ht="12.5">
      <c r="A932" s="7"/>
      <c r="B932" s="7"/>
      <c r="C932" s="7"/>
      <c r="D932" s="7"/>
    </row>
    <row r="933" spans="1:4" ht="12.5">
      <c r="A933" s="7"/>
      <c r="B933" s="7"/>
      <c r="C933" s="7"/>
      <c r="D933" s="7"/>
    </row>
    <row r="934" spans="1:4" ht="12.5">
      <c r="A934" s="7"/>
      <c r="B934" s="7"/>
      <c r="C934" s="7"/>
      <c r="D934" s="7"/>
    </row>
    <row r="935" spans="1:4" ht="12.5">
      <c r="A935" s="7"/>
      <c r="B935" s="7"/>
      <c r="C935" s="7"/>
      <c r="D935" s="7"/>
    </row>
    <row r="936" spans="1:4" ht="12.5">
      <c r="A936" s="7"/>
      <c r="B936" s="7"/>
      <c r="C936" s="7"/>
      <c r="D936" s="7"/>
    </row>
    <row r="937" spans="1:4" ht="12.5">
      <c r="A937" s="7"/>
      <c r="B937" s="7"/>
      <c r="C937" s="7"/>
      <c r="D937" s="7"/>
    </row>
    <row r="938" spans="1:4" ht="12.5">
      <c r="A938" s="7"/>
      <c r="B938" s="7"/>
      <c r="C938" s="7"/>
      <c r="D938" s="7"/>
    </row>
    <row r="939" spans="1:4" ht="12.5">
      <c r="A939" s="7"/>
      <c r="B939" s="7"/>
      <c r="C939" s="7"/>
      <c r="D939" s="7"/>
    </row>
    <row r="940" spans="1:4" ht="12.5">
      <c r="A940" s="7"/>
      <c r="B940" s="7"/>
      <c r="C940" s="7"/>
      <c r="D940" s="7"/>
    </row>
    <row r="941" spans="1:4" ht="12.5">
      <c r="A941" s="7"/>
      <c r="B941" s="7"/>
      <c r="C941" s="7"/>
      <c r="D941" s="7"/>
    </row>
    <row r="942" spans="1:4" ht="12.5">
      <c r="A942" s="7"/>
      <c r="B942" s="7"/>
      <c r="C942" s="7"/>
      <c r="D942" s="7"/>
    </row>
    <row r="943" spans="1:4" ht="12.5">
      <c r="A943" s="7"/>
      <c r="B943" s="7"/>
      <c r="C943" s="7"/>
      <c r="D943" s="7"/>
    </row>
    <row r="944" spans="1:4" ht="12.5">
      <c r="A944" s="7"/>
      <c r="B944" s="7"/>
      <c r="C944" s="7"/>
      <c r="D944" s="7"/>
    </row>
    <row r="945" spans="1:4" ht="12.5">
      <c r="A945" s="7"/>
      <c r="B945" s="7"/>
      <c r="C945" s="7"/>
      <c r="D945" s="7"/>
    </row>
    <row r="946" spans="1:4" ht="12.5">
      <c r="A946" s="7"/>
      <c r="B946" s="7"/>
      <c r="C946" s="7"/>
      <c r="D946" s="7"/>
    </row>
    <row r="947" spans="1:4" ht="12.5">
      <c r="A947" s="7"/>
      <c r="B947" s="7"/>
      <c r="C947" s="7"/>
      <c r="D947" s="7"/>
    </row>
    <row r="948" spans="1:4" ht="12.5">
      <c r="A948" s="7"/>
      <c r="B948" s="7"/>
      <c r="C948" s="7"/>
      <c r="D948" s="7"/>
    </row>
    <row r="949" spans="1:4" ht="12.5">
      <c r="A949" s="7"/>
      <c r="B949" s="7"/>
      <c r="C949" s="7"/>
      <c r="D949" s="7"/>
    </row>
    <row r="950" spans="1:4" ht="12.5">
      <c r="A950" s="7"/>
      <c r="B950" s="7"/>
      <c r="C950" s="7"/>
      <c r="D950" s="7"/>
    </row>
    <row r="951" spans="1:4" ht="12.5">
      <c r="A951" s="7"/>
      <c r="B951" s="7"/>
      <c r="C951" s="7"/>
      <c r="D951" s="7"/>
    </row>
    <row r="952" spans="1:4" ht="12.5">
      <c r="A952" s="7"/>
      <c r="B952" s="7"/>
      <c r="C952" s="7"/>
      <c r="D952" s="7"/>
    </row>
  </sheetData>
  <conditionalFormatting sqref="B1:B952">
    <cfRule type="expression" dxfId="6" priority="1">
      <formula>COUNTIF(B:B,B1)&gt;1</formula>
    </cfRule>
  </conditionalFormatting>
  <dataValidations count="1">
    <dataValidation type="list" allowBlank="1" showErrorMessage="1" sqref="C2:C26 C31:C88 C131:C250" xr:uid="{00000000-0002-0000-0000-000000000000}">
      <formula1>"Rubel,Robiul"</formula1>
    </dataValidation>
  </dataValidations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3" r:id="rId21" xr:uid="{00000000-0004-0000-0000-000014000000}"/>
    <hyperlink ref="A24" r:id="rId22" xr:uid="{00000000-0004-0000-0000-000015000000}"/>
    <hyperlink ref="A25" r:id="rId23" xr:uid="{00000000-0004-0000-0000-000016000000}"/>
    <hyperlink ref="A26" r:id="rId24" xr:uid="{00000000-0004-0000-0000-000017000000}"/>
    <hyperlink ref="A27" r:id="rId25" xr:uid="{00000000-0004-0000-0000-000018000000}"/>
    <hyperlink ref="A28" r:id="rId26" xr:uid="{00000000-0004-0000-0000-000019000000}"/>
    <hyperlink ref="A29" r:id="rId27" xr:uid="{00000000-0004-0000-0000-00001A000000}"/>
    <hyperlink ref="A30" r:id="rId28" xr:uid="{00000000-0004-0000-0000-00001B000000}"/>
    <hyperlink ref="A31" r:id="rId29" xr:uid="{00000000-0004-0000-0000-00001C000000}"/>
    <hyperlink ref="A32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3" r:id="rId41" xr:uid="{00000000-0004-0000-0000-000028000000}"/>
    <hyperlink ref="A44" r:id="rId42" xr:uid="{00000000-0004-0000-0000-000029000000}"/>
    <hyperlink ref="A45" r:id="rId43" xr:uid="{00000000-0004-0000-0000-00002A000000}"/>
    <hyperlink ref="A46" r:id="rId44" xr:uid="{00000000-0004-0000-0000-00002B000000}"/>
    <hyperlink ref="A47" r:id="rId45" xr:uid="{00000000-0004-0000-0000-00002C000000}"/>
    <hyperlink ref="A48" r:id="rId46" xr:uid="{00000000-0004-0000-0000-00002D000000}"/>
    <hyperlink ref="A49" r:id="rId47" xr:uid="{00000000-0004-0000-0000-00002E000000}"/>
    <hyperlink ref="A50" r:id="rId48" xr:uid="{00000000-0004-0000-0000-00002F000000}"/>
    <hyperlink ref="A51" r:id="rId49" xr:uid="{00000000-0004-0000-0000-000030000000}"/>
    <hyperlink ref="A52" r:id="rId50" xr:uid="{00000000-0004-0000-0000-000031000000}"/>
    <hyperlink ref="A53" r:id="rId51" xr:uid="{00000000-0004-0000-0000-000032000000}"/>
    <hyperlink ref="A54" r:id="rId52" xr:uid="{00000000-0004-0000-0000-000033000000}"/>
    <hyperlink ref="A55" r:id="rId53" xr:uid="{00000000-0004-0000-0000-000034000000}"/>
    <hyperlink ref="A56" r:id="rId54" xr:uid="{00000000-0004-0000-0000-000035000000}"/>
    <hyperlink ref="A57" r:id="rId55" xr:uid="{00000000-0004-0000-0000-000036000000}"/>
    <hyperlink ref="A58" r:id="rId56" xr:uid="{00000000-0004-0000-0000-000037000000}"/>
    <hyperlink ref="A59" r:id="rId57" xr:uid="{00000000-0004-0000-0000-000038000000}"/>
    <hyperlink ref="A60" r:id="rId58" location="blog" xr:uid="{00000000-0004-0000-0000-000039000000}"/>
    <hyperlink ref="A61" r:id="rId59" xr:uid="{00000000-0004-0000-0000-00003A000000}"/>
    <hyperlink ref="A62" r:id="rId60" xr:uid="{00000000-0004-0000-0000-00003B000000}"/>
    <hyperlink ref="A63" r:id="rId61" xr:uid="{00000000-0004-0000-0000-00003C000000}"/>
    <hyperlink ref="A64" r:id="rId62" xr:uid="{00000000-0004-0000-0000-00003D000000}"/>
    <hyperlink ref="A65" r:id="rId63" xr:uid="{00000000-0004-0000-0000-00003E000000}"/>
    <hyperlink ref="A66" r:id="rId64" xr:uid="{00000000-0004-0000-0000-00003F000000}"/>
    <hyperlink ref="A67" r:id="rId65" xr:uid="{00000000-0004-0000-0000-000040000000}"/>
    <hyperlink ref="A68" r:id="rId66" xr:uid="{00000000-0004-0000-0000-000041000000}"/>
    <hyperlink ref="A69" r:id="rId67" xr:uid="{00000000-0004-0000-0000-000042000000}"/>
    <hyperlink ref="A70" r:id="rId68" xr:uid="{00000000-0004-0000-0000-000043000000}"/>
    <hyperlink ref="A71" r:id="rId69" xr:uid="{00000000-0004-0000-0000-000044000000}"/>
    <hyperlink ref="A72" r:id="rId70" xr:uid="{00000000-0004-0000-0000-000045000000}"/>
    <hyperlink ref="A73" r:id="rId71" xr:uid="{00000000-0004-0000-0000-000046000000}"/>
    <hyperlink ref="A74" r:id="rId72" xr:uid="{00000000-0004-0000-0000-000047000000}"/>
    <hyperlink ref="A75" r:id="rId73" xr:uid="{00000000-0004-0000-0000-000048000000}"/>
    <hyperlink ref="A76" r:id="rId74" xr:uid="{00000000-0004-0000-0000-000049000000}"/>
    <hyperlink ref="A77" r:id="rId75" xr:uid="{00000000-0004-0000-0000-00004A000000}"/>
    <hyperlink ref="A78" r:id="rId76" xr:uid="{00000000-0004-0000-0000-00004B000000}"/>
    <hyperlink ref="A79" r:id="rId77" xr:uid="{00000000-0004-0000-0000-00004C000000}"/>
    <hyperlink ref="A80" r:id="rId78" xr:uid="{00000000-0004-0000-0000-00004D000000}"/>
    <hyperlink ref="A81" r:id="rId79" xr:uid="{00000000-0004-0000-0000-00004E000000}"/>
    <hyperlink ref="A82" r:id="rId80" xr:uid="{00000000-0004-0000-0000-00004F000000}"/>
    <hyperlink ref="A83" r:id="rId81" xr:uid="{00000000-0004-0000-0000-000050000000}"/>
    <hyperlink ref="A84" r:id="rId82" xr:uid="{00000000-0004-0000-0000-000051000000}"/>
    <hyperlink ref="A85" r:id="rId83" xr:uid="{00000000-0004-0000-0000-000052000000}"/>
    <hyperlink ref="A86" r:id="rId84" xr:uid="{00000000-0004-0000-0000-000053000000}"/>
    <hyperlink ref="A87" r:id="rId85" xr:uid="{00000000-0004-0000-0000-000054000000}"/>
    <hyperlink ref="A88" r:id="rId86" xr:uid="{00000000-0004-0000-0000-000055000000}"/>
    <hyperlink ref="A89" r:id="rId87" xr:uid="{00000000-0004-0000-0000-000056000000}"/>
    <hyperlink ref="A90" r:id="rId88" xr:uid="{00000000-0004-0000-0000-000057000000}"/>
    <hyperlink ref="A91" r:id="rId89" xr:uid="{00000000-0004-0000-0000-000058000000}"/>
    <hyperlink ref="A92" r:id="rId90" xr:uid="{00000000-0004-0000-0000-000059000000}"/>
    <hyperlink ref="A93" r:id="rId91" xr:uid="{00000000-0004-0000-0000-00005A000000}"/>
    <hyperlink ref="A94" r:id="rId92" xr:uid="{00000000-0004-0000-0000-00005B000000}"/>
    <hyperlink ref="A95" r:id="rId93" xr:uid="{00000000-0004-0000-0000-00005C000000}"/>
    <hyperlink ref="A96" r:id="rId94" xr:uid="{00000000-0004-0000-0000-00005D000000}"/>
    <hyperlink ref="A97" r:id="rId95" xr:uid="{00000000-0004-0000-0000-00005E000000}"/>
    <hyperlink ref="A98" r:id="rId96" xr:uid="{00000000-0004-0000-0000-00005F000000}"/>
    <hyperlink ref="A99" r:id="rId97" xr:uid="{00000000-0004-0000-0000-000060000000}"/>
    <hyperlink ref="A100" r:id="rId98" xr:uid="{00000000-0004-0000-0000-000061000000}"/>
    <hyperlink ref="A101" r:id="rId99" xr:uid="{00000000-0004-0000-0000-000062000000}"/>
    <hyperlink ref="A102" r:id="rId100" xr:uid="{00000000-0004-0000-0000-000063000000}"/>
    <hyperlink ref="A103" r:id="rId101" xr:uid="{00000000-0004-0000-0000-000064000000}"/>
    <hyperlink ref="A104" r:id="rId102" xr:uid="{00000000-0004-0000-0000-000065000000}"/>
    <hyperlink ref="A105" r:id="rId103" xr:uid="{00000000-0004-0000-0000-000066000000}"/>
    <hyperlink ref="A106" r:id="rId104" xr:uid="{00000000-0004-0000-0000-000067000000}"/>
    <hyperlink ref="A107" r:id="rId105" xr:uid="{00000000-0004-0000-0000-000068000000}"/>
    <hyperlink ref="A108" r:id="rId106" xr:uid="{00000000-0004-0000-0000-000069000000}"/>
    <hyperlink ref="A109" r:id="rId107" xr:uid="{00000000-0004-0000-0000-00006A000000}"/>
    <hyperlink ref="A110" r:id="rId108" xr:uid="{00000000-0004-0000-0000-00006B000000}"/>
    <hyperlink ref="A111" r:id="rId109" xr:uid="{00000000-0004-0000-0000-00006C000000}"/>
    <hyperlink ref="A112" r:id="rId110" xr:uid="{00000000-0004-0000-0000-00006D000000}"/>
    <hyperlink ref="A113" r:id="rId111" xr:uid="{00000000-0004-0000-0000-00006E000000}"/>
    <hyperlink ref="A114" r:id="rId112" xr:uid="{00000000-0004-0000-0000-00006F000000}"/>
    <hyperlink ref="A115" r:id="rId113" xr:uid="{00000000-0004-0000-0000-000070000000}"/>
    <hyperlink ref="A116" r:id="rId114" xr:uid="{00000000-0004-0000-0000-000071000000}"/>
    <hyperlink ref="A117" r:id="rId115" xr:uid="{00000000-0004-0000-0000-000072000000}"/>
    <hyperlink ref="A118" r:id="rId116" xr:uid="{00000000-0004-0000-0000-000073000000}"/>
    <hyperlink ref="A119" r:id="rId117" xr:uid="{00000000-0004-0000-0000-000074000000}"/>
    <hyperlink ref="A120" r:id="rId118" xr:uid="{00000000-0004-0000-0000-000075000000}"/>
    <hyperlink ref="A121" r:id="rId119" xr:uid="{00000000-0004-0000-0000-000076000000}"/>
    <hyperlink ref="A122" r:id="rId120" xr:uid="{00000000-0004-0000-0000-000077000000}"/>
    <hyperlink ref="A123" r:id="rId121" xr:uid="{00000000-0004-0000-0000-000078000000}"/>
    <hyperlink ref="A124" r:id="rId122" xr:uid="{00000000-0004-0000-0000-000079000000}"/>
    <hyperlink ref="A125" r:id="rId123" xr:uid="{00000000-0004-0000-0000-00007A000000}"/>
    <hyperlink ref="A126" r:id="rId124" xr:uid="{00000000-0004-0000-0000-00007B000000}"/>
    <hyperlink ref="A127" r:id="rId125" xr:uid="{00000000-0004-0000-0000-00007C000000}"/>
    <hyperlink ref="A128" r:id="rId126" xr:uid="{00000000-0004-0000-0000-00007D000000}"/>
    <hyperlink ref="A129" r:id="rId127" xr:uid="{00000000-0004-0000-0000-00007E000000}"/>
    <hyperlink ref="A130" r:id="rId128" xr:uid="{00000000-0004-0000-0000-00007F000000}"/>
    <hyperlink ref="A131" r:id="rId129" xr:uid="{00000000-0004-0000-0000-000080000000}"/>
    <hyperlink ref="A132" r:id="rId130" xr:uid="{00000000-0004-0000-0000-000081000000}"/>
    <hyperlink ref="A133" r:id="rId131" xr:uid="{00000000-0004-0000-0000-000082000000}"/>
    <hyperlink ref="A134" r:id="rId132" xr:uid="{00000000-0004-0000-0000-000083000000}"/>
    <hyperlink ref="A135" r:id="rId133" xr:uid="{00000000-0004-0000-0000-000084000000}"/>
    <hyperlink ref="A136" r:id="rId134" xr:uid="{00000000-0004-0000-0000-000085000000}"/>
    <hyperlink ref="A137" r:id="rId135" xr:uid="{00000000-0004-0000-0000-000086000000}"/>
    <hyperlink ref="A138" r:id="rId136" xr:uid="{00000000-0004-0000-0000-000087000000}"/>
    <hyperlink ref="A139" r:id="rId137" xr:uid="{00000000-0004-0000-0000-000088000000}"/>
    <hyperlink ref="A140" r:id="rId138" xr:uid="{00000000-0004-0000-0000-000089000000}"/>
    <hyperlink ref="A141" r:id="rId139" xr:uid="{00000000-0004-0000-0000-00008A000000}"/>
    <hyperlink ref="A142" r:id="rId140" xr:uid="{00000000-0004-0000-0000-00008B000000}"/>
    <hyperlink ref="A143" r:id="rId141" xr:uid="{00000000-0004-0000-0000-00008C000000}"/>
    <hyperlink ref="A144" r:id="rId142" xr:uid="{00000000-0004-0000-0000-00008D000000}"/>
    <hyperlink ref="A145" r:id="rId143" xr:uid="{00000000-0004-0000-0000-00008E000000}"/>
    <hyperlink ref="A146" r:id="rId144" xr:uid="{00000000-0004-0000-0000-00008F000000}"/>
    <hyperlink ref="A147" r:id="rId145" xr:uid="{00000000-0004-0000-0000-000090000000}"/>
    <hyperlink ref="A148" r:id="rId146" xr:uid="{00000000-0004-0000-0000-000091000000}"/>
    <hyperlink ref="A149" r:id="rId147" xr:uid="{00000000-0004-0000-0000-000092000000}"/>
    <hyperlink ref="A150" r:id="rId148" xr:uid="{00000000-0004-0000-0000-000093000000}"/>
    <hyperlink ref="A151" r:id="rId149" xr:uid="{00000000-0004-0000-0000-000094000000}"/>
    <hyperlink ref="A152" r:id="rId150" xr:uid="{00000000-0004-0000-0000-000095000000}"/>
    <hyperlink ref="A153" r:id="rId151" xr:uid="{00000000-0004-0000-0000-000096000000}"/>
    <hyperlink ref="A154" r:id="rId152" xr:uid="{00000000-0004-0000-0000-000097000000}"/>
    <hyperlink ref="A155" r:id="rId153" xr:uid="{00000000-0004-0000-0000-000098000000}"/>
    <hyperlink ref="A156" r:id="rId154" xr:uid="{00000000-0004-0000-0000-000099000000}"/>
    <hyperlink ref="A157" r:id="rId155" xr:uid="{00000000-0004-0000-0000-00009A000000}"/>
    <hyperlink ref="A158" r:id="rId156" xr:uid="{00000000-0004-0000-0000-00009B000000}"/>
    <hyperlink ref="A159" r:id="rId157" xr:uid="{00000000-0004-0000-0000-00009C000000}"/>
    <hyperlink ref="A160" r:id="rId158" xr:uid="{00000000-0004-0000-0000-00009D000000}"/>
    <hyperlink ref="A161" r:id="rId159" xr:uid="{00000000-0004-0000-0000-00009E000000}"/>
    <hyperlink ref="A162" r:id="rId160" xr:uid="{00000000-0004-0000-0000-00009F000000}"/>
    <hyperlink ref="A163" r:id="rId161" xr:uid="{00000000-0004-0000-0000-0000A0000000}"/>
    <hyperlink ref="A164" r:id="rId162" xr:uid="{00000000-0004-0000-0000-0000A1000000}"/>
    <hyperlink ref="A165" r:id="rId163" xr:uid="{00000000-0004-0000-0000-0000A2000000}"/>
    <hyperlink ref="A166" r:id="rId164" xr:uid="{00000000-0004-0000-0000-0000A3000000}"/>
    <hyperlink ref="A167" r:id="rId165" xr:uid="{00000000-0004-0000-0000-0000A4000000}"/>
    <hyperlink ref="A168" r:id="rId166" xr:uid="{00000000-0004-0000-0000-0000A5000000}"/>
    <hyperlink ref="A169" r:id="rId167" xr:uid="{00000000-0004-0000-0000-0000A6000000}"/>
    <hyperlink ref="A170" r:id="rId168" xr:uid="{00000000-0004-0000-0000-0000A7000000}"/>
    <hyperlink ref="A171" r:id="rId169" xr:uid="{00000000-0004-0000-0000-0000A8000000}"/>
    <hyperlink ref="A172" r:id="rId170" xr:uid="{00000000-0004-0000-0000-0000A9000000}"/>
    <hyperlink ref="A173" r:id="rId171" xr:uid="{00000000-0004-0000-0000-0000AA000000}"/>
    <hyperlink ref="A174" r:id="rId172" xr:uid="{00000000-0004-0000-0000-0000AB000000}"/>
    <hyperlink ref="A175" r:id="rId173" xr:uid="{00000000-0004-0000-0000-0000AC000000}"/>
    <hyperlink ref="A176" r:id="rId174" xr:uid="{00000000-0004-0000-0000-0000AD000000}"/>
    <hyperlink ref="A177" r:id="rId175" xr:uid="{00000000-0004-0000-0000-0000AE000000}"/>
    <hyperlink ref="A178" r:id="rId176" xr:uid="{00000000-0004-0000-0000-0000AF000000}"/>
    <hyperlink ref="A179" r:id="rId177" xr:uid="{00000000-0004-0000-0000-0000B0000000}"/>
    <hyperlink ref="A180" r:id="rId178" xr:uid="{00000000-0004-0000-0000-0000B1000000}"/>
    <hyperlink ref="A181" r:id="rId179" xr:uid="{00000000-0004-0000-0000-0000B2000000}"/>
    <hyperlink ref="A182" r:id="rId180" xr:uid="{00000000-0004-0000-0000-0000B3000000}"/>
    <hyperlink ref="A183" r:id="rId181" xr:uid="{00000000-0004-0000-0000-0000B4000000}"/>
    <hyperlink ref="A184" r:id="rId182" xr:uid="{00000000-0004-0000-0000-0000B5000000}"/>
    <hyperlink ref="A185" r:id="rId183" xr:uid="{00000000-0004-0000-0000-0000B6000000}"/>
    <hyperlink ref="A186" r:id="rId184" xr:uid="{00000000-0004-0000-0000-0000B7000000}"/>
    <hyperlink ref="A187" r:id="rId185" xr:uid="{00000000-0004-0000-0000-0000B8000000}"/>
    <hyperlink ref="A188" r:id="rId186" xr:uid="{00000000-0004-0000-0000-0000B9000000}"/>
    <hyperlink ref="A189" r:id="rId187" xr:uid="{00000000-0004-0000-0000-0000BA000000}"/>
    <hyperlink ref="A190" r:id="rId188" xr:uid="{00000000-0004-0000-0000-0000BB000000}"/>
    <hyperlink ref="A191" r:id="rId189" xr:uid="{00000000-0004-0000-0000-0000BC000000}"/>
    <hyperlink ref="A192" r:id="rId190" xr:uid="{00000000-0004-0000-0000-0000BD000000}"/>
    <hyperlink ref="A193" r:id="rId191" xr:uid="{00000000-0004-0000-0000-0000BE000000}"/>
    <hyperlink ref="A194" r:id="rId192" xr:uid="{00000000-0004-0000-0000-0000BF000000}"/>
    <hyperlink ref="A195" r:id="rId193" xr:uid="{00000000-0004-0000-0000-0000C0000000}"/>
    <hyperlink ref="A196" r:id="rId194" xr:uid="{00000000-0004-0000-0000-0000C1000000}"/>
    <hyperlink ref="A197" r:id="rId195" xr:uid="{00000000-0004-0000-0000-0000C2000000}"/>
    <hyperlink ref="A198" r:id="rId196" xr:uid="{00000000-0004-0000-0000-0000C3000000}"/>
    <hyperlink ref="A199" r:id="rId197" xr:uid="{00000000-0004-0000-0000-0000C4000000}"/>
    <hyperlink ref="A200" r:id="rId198" xr:uid="{00000000-0004-0000-0000-0000C5000000}"/>
    <hyperlink ref="A201" r:id="rId199" xr:uid="{00000000-0004-0000-0000-0000C6000000}"/>
    <hyperlink ref="A202" r:id="rId200" xr:uid="{00000000-0004-0000-0000-0000C7000000}"/>
    <hyperlink ref="A203" r:id="rId201" xr:uid="{00000000-0004-0000-0000-0000C8000000}"/>
    <hyperlink ref="A204" r:id="rId202" xr:uid="{00000000-0004-0000-0000-0000C9000000}"/>
    <hyperlink ref="A205" r:id="rId203" xr:uid="{00000000-0004-0000-0000-0000CA000000}"/>
    <hyperlink ref="A206" r:id="rId204" xr:uid="{00000000-0004-0000-0000-0000CB000000}"/>
    <hyperlink ref="A207" r:id="rId205" xr:uid="{00000000-0004-0000-0000-0000CC000000}"/>
    <hyperlink ref="A208" r:id="rId206" xr:uid="{00000000-0004-0000-0000-0000CD000000}"/>
    <hyperlink ref="A209" r:id="rId207" xr:uid="{00000000-0004-0000-0000-0000CE000000}"/>
    <hyperlink ref="A210" r:id="rId208" xr:uid="{00000000-0004-0000-0000-0000CF000000}"/>
    <hyperlink ref="A211" r:id="rId209" xr:uid="{00000000-0004-0000-0000-0000D0000000}"/>
    <hyperlink ref="A212" r:id="rId210" xr:uid="{00000000-0004-0000-0000-0000D1000000}"/>
    <hyperlink ref="A213" r:id="rId211" xr:uid="{00000000-0004-0000-0000-0000D2000000}"/>
    <hyperlink ref="A214" r:id="rId212" xr:uid="{00000000-0004-0000-0000-0000D3000000}"/>
    <hyperlink ref="A215" r:id="rId213" xr:uid="{00000000-0004-0000-0000-0000D4000000}"/>
    <hyperlink ref="A216" r:id="rId214" xr:uid="{00000000-0004-0000-0000-0000D5000000}"/>
    <hyperlink ref="A217" r:id="rId215" xr:uid="{00000000-0004-0000-0000-0000D6000000}"/>
    <hyperlink ref="A218" r:id="rId216" xr:uid="{00000000-0004-0000-0000-0000D7000000}"/>
    <hyperlink ref="A219" r:id="rId217" xr:uid="{00000000-0004-0000-0000-0000D8000000}"/>
    <hyperlink ref="A220" r:id="rId218" xr:uid="{00000000-0004-0000-0000-0000D9000000}"/>
    <hyperlink ref="A221" r:id="rId219" xr:uid="{00000000-0004-0000-0000-0000DA000000}"/>
    <hyperlink ref="A222" r:id="rId220" xr:uid="{00000000-0004-0000-0000-0000DB000000}"/>
    <hyperlink ref="A223" r:id="rId221" xr:uid="{00000000-0004-0000-0000-0000DC000000}"/>
    <hyperlink ref="A224" r:id="rId222" xr:uid="{00000000-0004-0000-0000-0000DD000000}"/>
    <hyperlink ref="A225" r:id="rId223" xr:uid="{00000000-0004-0000-0000-0000DE000000}"/>
    <hyperlink ref="A226" r:id="rId224" xr:uid="{00000000-0004-0000-0000-0000DF000000}"/>
    <hyperlink ref="A227" r:id="rId225" xr:uid="{00000000-0004-0000-0000-0000E0000000}"/>
    <hyperlink ref="A228" r:id="rId226" xr:uid="{00000000-0004-0000-0000-0000E1000000}"/>
    <hyperlink ref="A229" r:id="rId227" xr:uid="{00000000-0004-0000-0000-0000E2000000}"/>
    <hyperlink ref="A230" r:id="rId228" xr:uid="{00000000-0004-0000-0000-0000E3000000}"/>
    <hyperlink ref="A231" r:id="rId229" xr:uid="{00000000-0004-0000-0000-0000E4000000}"/>
    <hyperlink ref="A232" r:id="rId230" xr:uid="{00000000-0004-0000-0000-0000E5000000}"/>
    <hyperlink ref="A233" r:id="rId231" xr:uid="{00000000-0004-0000-0000-0000E6000000}"/>
    <hyperlink ref="A234" r:id="rId232" xr:uid="{00000000-0004-0000-0000-0000E7000000}"/>
    <hyperlink ref="A235" r:id="rId233" xr:uid="{00000000-0004-0000-0000-0000E8000000}"/>
    <hyperlink ref="A236" r:id="rId234" xr:uid="{00000000-0004-0000-0000-0000E9000000}"/>
    <hyperlink ref="A237" r:id="rId235" xr:uid="{00000000-0004-0000-0000-0000EA000000}"/>
    <hyperlink ref="A238" r:id="rId236" xr:uid="{00000000-0004-0000-0000-0000EB000000}"/>
    <hyperlink ref="A239" r:id="rId237" xr:uid="{00000000-0004-0000-0000-0000EC000000}"/>
    <hyperlink ref="A240" r:id="rId238" xr:uid="{00000000-0004-0000-0000-0000ED000000}"/>
    <hyperlink ref="A241" r:id="rId239" xr:uid="{00000000-0004-0000-0000-0000EE000000}"/>
    <hyperlink ref="A242" r:id="rId240" xr:uid="{00000000-0004-0000-0000-0000EF000000}"/>
    <hyperlink ref="A243" r:id="rId241" xr:uid="{00000000-0004-0000-0000-0000F0000000}"/>
    <hyperlink ref="A244" r:id="rId242" xr:uid="{00000000-0004-0000-0000-0000F1000000}"/>
    <hyperlink ref="A245" r:id="rId243" xr:uid="{00000000-0004-0000-0000-0000F2000000}"/>
    <hyperlink ref="A246" r:id="rId244" xr:uid="{00000000-0004-0000-0000-0000F3000000}"/>
    <hyperlink ref="A247" r:id="rId245" xr:uid="{00000000-0004-0000-0000-0000F4000000}"/>
    <hyperlink ref="A248" r:id="rId246" xr:uid="{00000000-0004-0000-0000-0000F5000000}"/>
    <hyperlink ref="A249" r:id="rId247" xr:uid="{00000000-0004-0000-0000-0000F6000000}"/>
    <hyperlink ref="A250" r:id="rId248" xr:uid="{00000000-0004-0000-0000-0000F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15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41.08984375" customWidth="1"/>
    <col min="2" max="2" width="39.08984375" customWidth="1"/>
  </cols>
  <sheetData>
    <row r="1" spans="1:2" ht="15.75" customHeight="1">
      <c r="A1" s="13" t="s">
        <v>258</v>
      </c>
      <c r="B1" s="13" t="s">
        <v>259</v>
      </c>
    </row>
    <row r="2" spans="1:2" ht="15.75" customHeight="1">
      <c r="A2" s="3" t="s">
        <v>260</v>
      </c>
      <c r="B2" s="4" t="str">
        <f ca="1">IFERROR(__xludf.DUMMYFUNCTION("IFERROR(ARRAYFORMULA(REGEXEXTRACT(A2,""^(?:https?:\/\/)?(?:[^@\n]+@)?(?:www\.)?([^:\/\n]+)"")),"""")"),"cashhomebuyerguide.com")</f>
        <v>cashhomebuyerguide.com</v>
      </c>
    </row>
    <row r="3" spans="1:2" ht="15.75" customHeight="1">
      <c r="A3" s="14" t="s">
        <v>261</v>
      </c>
      <c r="B3" s="4" t="str">
        <f ca="1">IFERROR(__xludf.DUMMYFUNCTION("IFERROR(ARRAYFORMULA(REGEXEXTRACT(A3,""^(?:https?:\/\/)?(?:[^@\n]+@)?(?:www\.)?([^:\/\n]+)"")),"""")"),"cartersmyplumber.com")</f>
        <v>cartersmyplumber.com</v>
      </c>
    </row>
    <row r="4" spans="1:2" ht="15.75" customHeight="1">
      <c r="A4" s="14" t="s">
        <v>262</v>
      </c>
      <c r="B4" s="4" t="str">
        <f ca="1">IFERROR(__xludf.DUMMYFUNCTION("IFERROR(ARRAYFORMULA(REGEXEXTRACT(A4,""^(?:https?:\/\/)?(?:[^@\n]+@)?(?:www\.)?([^:\/\n]+)"")),"""")"),"moving.com")</f>
        <v>moving.com</v>
      </c>
    </row>
    <row r="5" spans="1:2" ht="15.75" customHeight="1">
      <c r="A5" s="14" t="s">
        <v>263</v>
      </c>
      <c r="B5" s="4" t="str">
        <f ca="1">IFERROR(__xludf.DUMMYFUNCTION("IFERROR(ARRAYFORMULA(REGEXEXTRACT(A5,""^(?:https?:\/\/)?(?:[^@\n]+@)?(?:www\.)?([^:\/\n]+)"")),"""")"),"runway.is")</f>
        <v>runway.is</v>
      </c>
    </row>
    <row r="6" spans="1:2" ht="15.75" customHeight="1">
      <c r="A6" s="14" t="s">
        <v>264</v>
      </c>
      <c r="B6" s="4" t="str">
        <f ca="1">IFERROR(__xludf.DUMMYFUNCTION("IFERROR(ARRAYFORMULA(REGEXEXTRACT(A6,""^(?:https?:\/\/)?(?:[^@\n]+@)?(?:www\.)?([^:\/\n]+)"")),"""")"),"ntltrust.com")</f>
        <v>ntltrust.com</v>
      </c>
    </row>
    <row r="7" spans="1:2" ht="15.75" customHeight="1">
      <c r="A7" s="14" t="s">
        <v>265</v>
      </c>
      <c r="B7" s="4" t="str">
        <f ca="1">IFERROR(__xludf.DUMMYFUNCTION("IFERROR(ARRAYFORMULA(REGEXEXTRACT(A7,""^(?:https?:\/\/)?(?:[^@\n]+@)?(?:www\.)?([^:\/\n]+)"")),"""")"),"rentalhousingjournal.com")</f>
        <v>rentalhousingjournal.com</v>
      </c>
    </row>
    <row r="8" spans="1:2" ht="15.75" customHeight="1">
      <c r="A8" s="14" t="s">
        <v>266</v>
      </c>
      <c r="B8" s="4" t="str">
        <f ca="1">IFERROR(__xludf.DUMMYFUNCTION("IFERROR(ARRAYFORMULA(REGEXEXTRACT(A8,""^(?:https?:\/\/)?(?:[^@\n]+@)?(?:www\.)?([^:\/\n]+)"")),"""")"),"bintheredumpthatusa.com")</f>
        <v>bintheredumpthatusa.com</v>
      </c>
    </row>
    <row r="9" spans="1:2" ht="15.75" customHeight="1">
      <c r="A9" s="3" t="s">
        <v>267</v>
      </c>
      <c r="B9" s="4" t="str">
        <f ca="1">IFERROR(__xludf.DUMMYFUNCTION("IFERROR(ARRAYFORMULA(REGEXEXTRACT(A9,""^(?:https?:\/\/)?(?:[^@\n]+@)?(?:www\.)?([^:\/\n]+)"")),"""")"),"dignam.com")</f>
        <v>dignam.com</v>
      </c>
    </row>
    <row r="10" spans="1:2" ht="15.75" customHeight="1">
      <c r="A10" s="14" t="s">
        <v>268</v>
      </c>
      <c r="B10" s="4" t="str">
        <f ca="1">IFERROR(__xludf.DUMMYFUNCTION("IFERROR(ARRAYFORMULA(REGEXEXTRACT(A10,""^(?:https?:\/\/)?(?:[^@\n]+@)?(?:www\.)?([^:\/\n]+)"")),"""")"),"propertyware.com")</f>
        <v>propertyware.com</v>
      </c>
    </row>
    <row r="11" spans="1:2" ht="15.75" customHeight="1">
      <c r="A11" s="14" t="s">
        <v>269</v>
      </c>
      <c r="B11" s="4" t="str">
        <f ca="1">IFERROR(__xludf.DUMMYFUNCTION("IFERROR(ARRAYFORMULA(REGEXEXTRACT(A11,""^(?:https?:\/\/)?(?:[^@\n]+@)?(?:www\.)?([^:\/\n]+)"")),"""")"),"mossyoakproperties.com")</f>
        <v>mossyoakproperties.com</v>
      </c>
    </row>
    <row r="12" spans="1:2" ht="15.75" customHeight="1">
      <c r="A12" s="3" t="s">
        <v>270</v>
      </c>
      <c r="B12" s="4" t="str">
        <f ca="1">IFERROR(__xludf.DUMMYFUNCTION("IFERROR(ARRAYFORMULA(REGEXEXTRACT(A12,""^(?:https?:\/\/)?(?:[^@\n]+@)?(?:www\.)?([^:\/\n]+)"")),"""")"),"renewalbyandersenreplacement.com")</f>
        <v>renewalbyandersenreplacement.com</v>
      </c>
    </row>
    <row r="13" spans="1:2" ht="15.75" customHeight="1">
      <c r="A13" s="14" t="s">
        <v>271</v>
      </c>
      <c r="B13" s="4" t="str">
        <f ca="1">IFERROR(__xludf.DUMMYFUNCTION("IFERROR(ARRAYFORMULA(REGEXEXTRACT(A13,""^(?:https?:\/\/)?(?:[^@\n]+@)?(?:www\.)?([^:\/\n]+)"")),"""")"),"ipropertymanagement.com")</f>
        <v>ipropertymanagement.com</v>
      </c>
    </row>
    <row r="14" spans="1:2" ht="15.75" customHeight="1">
      <c r="A14" s="14" t="s">
        <v>272</v>
      </c>
      <c r="B14" s="4" t="str">
        <f ca="1">IFERROR(__xludf.DUMMYFUNCTION("IFERROR(ARRAYFORMULA(REGEXEXTRACT(A14,""^(?:https?:\/\/)?(?:[^@\n]+@)?(?:www\.)?([^:\/\n]+)"")),"""")"),"servicememberscivilreliefact.com")</f>
        <v>servicememberscivilreliefact.com</v>
      </c>
    </row>
    <row r="15" spans="1:2" ht="15.75" customHeight="1">
      <c r="A15" s="14" t="s">
        <v>273</v>
      </c>
      <c r="B15" s="4" t="str">
        <f ca="1">IFERROR(__xludf.DUMMYFUNCTION("IFERROR(ARRAYFORMULA(REGEXEXTRACT(A15,""^(?:https?:\/\/)?(?:[^@\n]+@)?(?:www\.)?([^:\/\n]+)"")),"""")"),"parlunbuilding.com")</f>
        <v>parlunbuilding.com</v>
      </c>
    </row>
    <row r="16" spans="1:2" ht="15.75" customHeight="1">
      <c r="A16" s="14" t="s">
        <v>274</v>
      </c>
      <c r="B16" s="4" t="str">
        <f ca="1">IFERROR(__xludf.DUMMYFUNCTION("IFERROR(ARRAYFORMULA(REGEXEXTRACT(A16,""^(?:https?:\/\/)?(?:[^@\n]+@)?(?:www\.)?([^:\/\n]+)"")),"""")"),"syndicationpro.com")</f>
        <v>syndicationpro.com</v>
      </c>
    </row>
    <row r="17" spans="1:2" ht="15.75" customHeight="1">
      <c r="A17" s="14" t="s">
        <v>275</v>
      </c>
      <c r="B17" s="4" t="str">
        <f ca="1">IFERROR(__xludf.DUMMYFUNCTION("IFERROR(ARRAYFORMULA(REGEXEXTRACT(A17,""^(?:https?:\/\/)?(?:[^@\n]+@)?(?:www\.)?([^:\/\n]+)"")),"""")"),"lakehouses4sale.net")</f>
        <v>lakehouses4sale.net</v>
      </c>
    </row>
    <row r="18" spans="1:2" ht="15.75" customHeight="1">
      <c r="A18" s="3" t="s">
        <v>276</v>
      </c>
      <c r="B18" s="4" t="str">
        <f ca="1">IFERROR(__xludf.DUMMYFUNCTION("IFERROR(ARRAYFORMULA(REGEXEXTRACT(A18,""^(?:https?:\/\/)?(?:[^@\n]+@)?(?:www\.)?([^:\/\n]+)"")),"""")"),"cleanercleaner.co.uk")</f>
        <v>cleanercleaner.co.uk</v>
      </c>
    </row>
    <row r="19" spans="1:2" ht="15.75" customHeight="1">
      <c r="A19" s="3" t="s">
        <v>277</v>
      </c>
      <c r="B19" s="4" t="str">
        <f ca="1">IFERROR(__xludf.DUMMYFUNCTION("IFERROR(ARRAYFORMULA(REGEXEXTRACT(A19,""^(?:https?:\/\/)?(?:[^@\n]+@)?(?:www\.)?([^:\/\n]+)"")),"""")"),"viprealestate.com")</f>
        <v>viprealestate.com</v>
      </c>
    </row>
    <row r="20" spans="1:2" ht="15.75" customHeight="1">
      <c r="A20" s="3" t="s">
        <v>278</v>
      </c>
      <c r="B20" s="4" t="str">
        <f ca="1">IFERROR(__xludf.DUMMYFUNCTION("IFERROR(ARRAYFORMULA(REGEXEXTRACT(A20,""^(?:https?:\/\/)?(?:[^@\n]+@)?(?:www\.)?([^:\/\n]+)"")),"""")"),"customgardenrooms.com")</f>
        <v>customgardenrooms.com</v>
      </c>
    </row>
    <row r="21" spans="1:2" ht="15.75" customHeight="1">
      <c r="A21" s="3" t="s">
        <v>279</v>
      </c>
      <c r="B21" s="4" t="str">
        <f ca="1">IFERROR(__xludf.DUMMYFUNCTION("IFERROR(ARRAYFORMULA(REGEXEXTRACT(A21,""^(?:https?:\/\/)?(?:[^@\n]+@)?(?:www\.)?([^:\/\n]+)"")),"""")"),"buywholesalecabinets.com")</f>
        <v>buywholesalecabinets.com</v>
      </c>
    </row>
    <row r="22" spans="1:2" ht="15.75" customHeight="1">
      <c r="A22" s="3" t="s">
        <v>280</v>
      </c>
      <c r="B22" s="4" t="str">
        <f ca="1">IFERROR(__xludf.DUMMYFUNCTION("IFERROR(ARRAYFORMULA(REGEXEXTRACT(A22,""^(?:https?:\/\/)?(?:[^@\n]+@)?(?:www\.)?([^:\/\n]+)"")),"""")"),"embrysroofing.com")</f>
        <v>embrysroofing.com</v>
      </c>
    </row>
    <row r="23" spans="1:2" ht="15.75" customHeight="1">
      <c r="A23" s="3" t="s">
        <v>281</v>
      </c>
      <c r="B23" s="4" t="str">
        <f ca="1">IFERROR(__xludf.DUMMYFUNCTION("IFERROR(ARRAYFORMULA(REGEXEXTRACT(A23,""^(?:https?:\/\/)?(?:[^@\n]+@)?(?:www\.)?([^:\/\n]+)"")),"""")"),"jacksplumbing.net")</f>
        <v>jacksplumbing.net</v>
      </c>
    </row>
    <row r="24" spans="1:2" ht="15.75" customHeight="1">
      <c r="A24" s="3" t="s">
        <v>282</v>
      </c>
      <c r="B24" s="4" t="str">
        <f ca="1">IFERROR(__xludf.DUMMYFUNCTION("IFERROR(ARRAYFORMULA(REGEXEXTRACT(A24,""^(?:https?:\/\/)?(?:[^@\n]+@)?(?:www\.)?([^:\/\n]+)"")),"""")"),"houstonsuburb.com")</f>
        <v>houstonsuburb.com</v>
      </c>
    </row>
    <row r="25" spans="1:2" ht="15.75" customHeight="1">
      <c r="A25" s="3" t="s">
        <v>283</v>
      </c>
      <c r="B25" s="4" t="str">
        <f ca="1">IFERROR(__xludf.DUMMYFUNCTION("IFERROR(ARRAYFORMULA(REGEXEXTRACT(A25,""^(?:https?:\/\/)?(?:[^@\n]+@)?(?:www\.)?([^:\/\n]+)"")),"""")"),"myintellirent.com")</f>
        <v>myintellirent.com</v>
      </c>
    </row>
    <row r="26" spans="1:2" ht="12.5">
      <c r="A26" s="3" t="s">
        <v>284</v>
      </c>
      <c r="B26" s="4" t="str">
        <f ca="1">IFERROR(__xludf.DUMMYFUNCTION("IFERROR(ARRAYFORMULA(REGEXEXTRACT(A26,""^(?:https?:\/\/)?(?:[^@\n]+@)?(?:www\.)?([^:\/\n]+)"")),"""")"),"theskyretreat.com")</f>
        <v>theskyretreat.com</v>
      </c>
    </row>
    <row r="27" spans="1:2" ht="12.5">
      <c r="A27" s="3" t="s">
        <v>285</v>
      </c>
      <c r="B27" s="4" t="str">
        <f ca="1">IFERROR(__xludf.DUMMYFUNCTION("IFERROR(ARRAYFORMULA(REGEXEXTRACT(A27,""^(?:https?:\/\/)?(?:[^@\n]+@)?(?:www\.)?([^:\/\n]+)"")),"""")"),"avalonpropertymanagement.net")</f>
        <v>avalonpropertymanagement.net</v>
      </c>
    </row>
    <row r="28" spans="1:2" ht="12.5">
      <c r="A28" s="3" t="s">
        <v>286</v>
      </c>
      <c r="B28" s="4" t="str">
        <f ca="1">IFERROR(__xludf.DUMMYFUNCTION("IFERROR(ARRAYFORMULA(REGEXEXTRACT(A28,""^(?:https?:\/\/)?(?:[^@\n]+@)?(?:www\.)?([^:\/\n]+)"")),"""")"),"brechbilltrailers.com")</f>
        <v>brechbilltrailers.com</v>
      </c>
    </row>
    <row r="29" spans="1:2" ht="12.5">
      <c r="A29" s="3" t="s">
        <v>287</v>
      </c>
      <c r="B29" s="4" t="str">
        <f ca="1">IFERROR(__xludf.DUMMYFUNCTION("IFERROR(ARRAYFORMULA(REGEXEXTRACT(A29,""^(?:https?:\/\/)?(?:[^@\n]+@)?(?:www\.)?([^:\/\n]+)"")),"""")"),"securedroofingandsolar.com")</f>
        <v>securedroofingandsolar.com</v>
      </c>
    </row>
    <row r="30" spans="1:2" ht="12.5">
      <c r="A30" s="3" t="s">
        <v>288</v>
      </c>
      <c r="B30" s="4" t="str">
        <f ca="1">IFERROR(__xludf.DUMMYFUNCTION("IFERROR(ARRAYFORMULA(REGEXEXTRACT(A30,""^(?:https?:\/\/)?(?:[^@\n]+@)?(?:www\.)?([^:\/\n]+)"")),"""")"),"doorsdirect.com.au")</f>
        <v>doorsdirect.com.au</v>
      </c>
    </row>
    <row r="31" spans="1:2" ht="12.5">
      <c r="A31" s="3" t="s">
        <v>289</v>
      </c>
      <c r="B31" s="4" t="str">
        <f ca="1">IFERROR(__xludf.DUMMYFUNCTION("IFERROR(ARRAYFORMULA(REGEXEXTRACT(A31,""^(?:https?:\/\/)?(?:[^@\n]+@)?(?:www\.)?([^:\/\n]+)"")),"""")"),"dreamworxexteriors.com")</f>
        <v>dreamworxexteriors.com</v>
      </c>
    </row>
    <row r="32" spans="1:2" ht="12.5">
      <c r="A32" s="3" t="s">
        <v>290</v>
      </c>
      <c r="B32" s="4" t="str">
        <f ca="1">IFERROR(__xludf.DUMMYFUNCTION("IFERROR(ARRAYFORMULA(REGEXEXTRACT(A32,""^(?:https?:\/\/)?(?:[^@\n]+@)?(?:www\.)?([^:\/\n]+)"")),"""")"),"buynnnproperties.com")</f>
        <v>buynnnproperties.com</v>
      </c>
    </row>
    <row r="33" spans="1:2" ht="12.5">
      <c r="A33" s="3" t="s">
        <v>291</v>
      </c>
      <c r="B33" s="4" t="str">
        <f ca="1">IFERROR(__xludf.DUMMYFUNCTION("IFERROR(ARRAYFORMULA(REGEXEXTRACT(A33,""^(?:https?:\/\/)?(?:[^@\n]+@)?(?:www\.)?([^:\/\n]+)"")),"""")"),"absolutedomestics.com.au")</f>
        <v>absolutedomestics.com.au</v>
      </c>
    </row>
    <row r="34" spans="1:2" ht="12.5">
      <c r="A34" s="3" t="s">
        <v>292</v>
      </c>
      <c r="B34" s="4" t="str">
        <f ca="1">IFERROR(__xludf.DUMMYFUNCTION("IFERROR(ARRAYFORMULA(REGEXEXTRACT(A34,""^(?:https?:\/\/)?(?:[^@\n]+@)?(?:www\.)?([^:\/\n]+)"")),"""")"),"familyclean.com.au")</f>
        <v>familyclean.com.au</v>
      </c>
    </row>
    <row r="35" spans="1:2" ht="12.5">
      <c r="A35" s="3" t="s">
        <v>293</v>
      </c>
      <c r="B35" s="4" t="str">
        <f ca="1">IFERROR(__xludf.DUMMYFUNCTION("IFERROR(ARRAYFORMULA(REGEXEXTRACT(A35,""^(?:https?:\/\/)?(?:[^@\n]+@)?(?:www\.)?([^:\/\n]+)"")),"""")"),"doorservicescorporation.com")</f>
        <v>doorservicescorporation.com</v>
      </c>
    </row>
    <row r="36" spans="1:2" ht="12.5">
      <c r="A36" s="3" t="s">
        <v>294</v>
      </c>
      <c r="B36" s="4" t="str">
        <f ca="1">IFERROR(__xludf.DUMMYFUNCTION("IFERROR(ARRAYFORMULA(REGEXEXTRACT(A36,""^(?:https?:\/\/)?(?:[^@\n]+@)?(?:www\.)?([^:\/\n]+)"")),"""")"),"qshark-moving.com")</f>
        <v>qshark-moving.com</v>
      </c>
    </row>
    <row r="37" spans="1:2" ht="12.5">
      <c r="A37" s="3" t="s">
        <v>295</v>
      </c>
      <c r="B37" s="4" t="str">
        <f ca="1">IFERROR(__xludf.DUMMYFUNCTION("IFERROR(ARRAYFORMULA(REGEXEXTRACT(A37,""^(?:https?:\/\/)?(?:[^@\n]+@)?(?:www\.)?([^:\/\n]+)"")),"""")"),"greatestmoves.com")</f>
        <v>greatestmoves.com</v>
      </c>
    </row>
    <row r="38" spans="1:2" ht="12.5">
      <c r="A38" s="3" t="s">
        <v>296</v>
      </c>
      <c r="B38" s="4" t="str">
        <f ca="1">IFERROR(__xludf.DUMMYFUNCTION("IFERROR(ARRAYFORMULA(REGEXEXTRACT(A38,""^(?:https?:\/\/)?(?:[^@\n]+@)?(?:www\.)?([^:\/\n]+)"")),"""")"),"uspatriotsteel.com")</f>
        <v>uspatriotsteel.com</v>
      </c>
    </row>
    <row r="39" spans="1:2" ht="12.5">
      <c r="A39" s="3" t="s">
        <v>297</v>
      </c>
      <c r="B39" s="4" t="str">
        <f ca="1">IFERROR(__xludf.DUMMYFUNCTION("IFERROR(ARRAYFORMULA(REGEXEXTRACT(A39,""^(?:https?:\/\/)?(?:[^@\n]+@)?(?:www\.)?([^:\/\n]+)"")),"""")"),"raiseandrelevel.com")</f>
        <v>raiseandrelevel.com</v>
      </c>
    </row>
    <row r="40" spans="1:2" ht="12.5">
      <c r="A40" s="3" t="s">
        <v>298</v>
      </c>
      <c r="B40" s="4" t="str">
        <f ca="1">IFERROR(__xludf.DUMMYFUNCTION("IFERROR(ARRAYFORMULA(REGEXEXTRACT(A40,""^(?:https?:\/\/)?(?:[^@\n]+@)?(?:www\.)?([^:\/\n]+)"")),"""")"),"rentprep.com")</f>
        <v>rentprep.com</v>
      </c>
    </row>
    <row r="41" spans="1:2" ht="12.5">
      <c r="A41" s="3" t="s">
        <v>299</v>
      </c>
      <c r="B41" s="4" t="str">
        <f ca="1">IFERROR(__xludf.DUMMYFUNCTION("IFERROR(ARRAYFORMULA(REGEXEXTRACT(A41,""^(?:https?:\/\/)?(?:[^@\n]+@)?(?:www\.)?([^:\/\n]+)"")),"""")"),"centralhtg.com")</f>
        <v>centralhtg.com</v>
      </c>
    </row>
    <row r="42" spans="1:2" ht="12.5">
      <c r="A42" s="3" t="s">
        <v>300</v>
      </c>
      <c r="B42" s="4" t="str">
        <f ca="1">IFERROR(__xludf.DUMMYFUNCTION("IFERROR(ARRAYFORMULA(REGEXEXTRACT(A42,""^(?:https?:\/\/)?(?:[^@\n]+@)?(?:www\.)?([^:\/\n]+)"")),"""")"),"outbacksleepers.com.au")</f>
        <v>outbacksleepers.com.au</v>
      </c>
    </row>
    <row r="43" spans="1:2" ht="12.5">
      <c r="A43" s="3" t="s">
        <v>301</v>
      </c>
      <c r="B43" s="4" t="str">
        <f ca="1">IFERROR(__xludf.DUMMYFUNCTION("IFERROR(ARRAYFORMULA(REGEXEXTRACT(A43,""^(?:https?:\/\/)?(?:[^@\n]+@)?(?:www\.)?([^:\/\n]+)"")),"""")"),"statewideremodeling.com")</f>
        <v>statewideremodeling.com</v>
      </c>
    </row>
    <row r="44" spans="1:2" ht="12.5">
      <c r="A44" s="3" t="s">
        <v>302</v>
      </c>
      <c r="B44" s="4" t="str">
        <f ca="1">IFERROR(__xludf.DUMMYFUNCTION("IFERROR(ARRAYFORMULA(REGEXEXTRACT(A44,""^(?:https?:\/\/)?(?:[^@\n]+@)?(?:www\.)?([^:\/\n]+)"")),"""")"),"pinnaclehomeimprovements.com")</f>
        <v>pinnaclehomeimprovements.com</v>
      </c>
    </row>
    <row r="45" spans="1:2" ht="12.5">
      <c r="A45" s="3" t="s">
        <v>303</v>
      </c>
      <c r="B45" s="4" t="str">
        <f ca="1">IFERROR(__xludf.DUMMYFUNCTION("IFERROR(ARRAYFORMULA(REGEXEXTRACT(A45,""^(?:https?:\/\/)?(?:[^@\n]+@)?(?:www\.)?([^:\/\n]+)"")),"""")"),"firefighterinsider.com")</f>
        <v>firefighterinsider.com</v>
      </c>
    </row>
    <row r="46" spans="1:2" ht="12.5">
      <c r="A46" s="3" t="s">
        <v>304</v>
      </c>
      <c r="B46" s="4" t="str">
        <f ca="1">IFERROR(__xludf.DUMMYFUNCTION("IFERROR(ARRAYFORMULA(REGEXEXTRACT(A46,""^(?:https?:\/\/)?(?:[^@\n]+@)?(?:www\.)?([^:\/\n]+)"")),"""")"),"housecashin.com")</f>
        <v>housecashin.com</v>
      </c>
    </row>
    <row r="47" spans="1:2" ht="12.5">
      <c r="A47" s="3" t="s">
        <v>305</v>
      </c>
      <c r="B47" s="4" t="str">
        <f ca="1">IFERROR(__xludf.DUMMYFUNCTION("IFERROR(ARRAYFORMULA(REGEXEXTRACT(A47,""^(?:https?:\/\/)?(?:[^@\n]+@)?(?:www\.)?([^:\/\n]+)"")),"""")"),"inspirecommunities.com")</f>
        <v>inspirecommunities.com</v>
      </c>
    </row>
    <row r="48" spans="1:2" ht="12.5">
      <c r="A48" s="3" t="s">
        <v>306</v>
      </c>
      <c r="B48" s="4" t="str">
        <f ca="1">IFERROR(__xludf.DUMMYFUNCTION("IFERROR(ARRAYFORMULA(REGEXEXTRACT(A48,""^(?:https?:\/\/)?(?:[^@\n]+@)?(?:www\.)?([^:\/\n]+)"")),"""")"),"nesthub.com")</f>
        <v>nesthub.com</v>
      </c>
    </row>
    <row r="49" spans="1:2" ht="12.5">
      <c r="A49" s="3" t="s">
        <v>307</v>
      </c>
      <c r="B49" s="4" t="str">
        <f ca="1">IFERROR(__xludf.DUMMYFUNCTION("IFERROR(ARRAYFORMULA(REGEXEXTRACT(A49,""^(?:https?:\/\/)?(?:[^@\n]+@)?(?:www\.)?([^:\/\n]+)"")),"""")"),"inhaven.com")</f>
        <v>inhaven.com</v>
      </c>
    </row>
    <row r="50" spans="1:2" ht="12.5">
      <c r="A50" s="3" t="s">
        <v>308</v>
      </c>
      <c r="B50" s="4" t="str">
        <f ca="1">IFERROR(__xludf.DUMMYFUNCTION("IFERROR(ARRAYFORMULA(REGEXEXTRACT(A50,""^(?:https?:\/\/)?(?:[^@\n]+@)?(?:www\.)?([^:\/\n]+)"")),"""")"),"cellphonedeal.com")</f>
        <v>cellphonedeal.com</v>
      </c>
    </row>
    <row r="51" spans="1:2" ht="12.5">
      <c r="A51" s="3" t="s">
        <v>309</v>
      </c>
      <c r="B51" s="4" t="str">
        <f ca="1">IFERROR(__xludf.DUMMYFUNCTION("IFERROR(ARRAYFORMULA(REGEXEXTRACT(A51,""^(?:https?:\/\/)?(?:[^@\n]+@)?(?:www\.)?([^:\/\n]+)"")),"""")"),"woodlandwindows.com")</f>
        <v>woodlandwindows.com</v>
      </c>
    </row>
    <row r="52" spans="1:2" ht="12.5">
      <c r="A52" s="3" t="s">
        <v>310</v>
      </c>
      <c r="B52" s="4" t="str">
        <f ca="1">IFERROR(__xludf.DUMMYFUNCTION("IFERROR(ARRAYFORMULA(REGEXEXTRACT(A52,""^(?:https?:\/\/)?(?:[^@\n]+@)?(?:www\.)?([^:\/\n]+)"")),"""")"),"charlotteregion.com")</f>
        <v>charlotteregion.com</v>
      </c>
    </row>
    <row r="53" spans="1:2" ht="12.5">
      <c r="A53" s="3" t="s">
        <v>311</v>
      </c>
      <c r="B53" s="4" t="str">
        <f ca="1">IFERROR(__xludf.DUMMYFUNCTION("IFERROR(ARRAYFORMULA(REGEXEXTRACT(A53,""^(?:https?:\/\/)?(?:[^@\n]+@)?(?:www\.)?([^:\/\n]+)"")),"""")"),"thegorgezipline.com")</f>
        <v>thegorgezipline.com</v>
      </c>
    </row>
    <row r="54" spans="1:2" ht="12.5">
      <c r="A54" s="3" t="s">
        <v>312</v>
      </c>
      <c r="B54" s="4" t="str">
        <f ca="1">IFERROR(__xludf.DUMMYFUNCTION("IFERROR(ARRAYFORMULA(REGEXEXTRACT(A54,""^(?:https?:\/\/)?(?:[^@\n]+@)?(?:www\.)?([^:\/\n]+)"")),"""")"),"corporateofficeint.com")</f>
        <v>corporateofficeint.com</v>
      </c>
    </row>
    <row r="55" spans="1:2" ht="12.5">
      <c r="A55" s="3" t="s">
        <v>313</v>
      </c>
      <c r="B55" s="4" t="str">
        <f ca="1">IFERROR(__xludf.DUMMYFUNCTION("IFERROR(ARRAYFORMULA(REGEXEXTRACT(A55,""^(?:https?:\/\/)?(?:[^@\n]+@)?(?:www\.)?([^:\/\n]+)"")),"""")"),"polebarnkits.org")</f>
        <v>polebarnkits.org</v>
      </c>
    </row>
    <row r="56" spans="1:2" ht="12.5">
      <c r="A56" s="3" t="s">
        <v>314</v>
      </c>
      <c r="B56" s="4" t="str">
        <f ca="1">IFERROR(__xludf.DUMMYFUNCTION("IFERROR(ARRAYFORMULA(REGEXEXTRACT(A56,""^(?:https?:\/\/)?(?:[^@\n]+@)?(?:www\.)?([^:\/\n]+)"")),"""")"),"whitneylandcompany.com")</f>
        <v>whitneylandcompany.com</v>
      </c>
    </row>
    <row r="57" spans="1:2" ht="12.5">
      <c r="A57" s="3" t="s">
        <v>315</v>
      </c>
      <c r="B57" s="4" t="str">
        <f ca="1">IFERROR(__xludf.DUMMYFUNCTION("IFERROR(ARRAYFORMULA(REGEXEXTRACT(A57,""^(?:https?:\/\/)?(?:[^@\n]+@)?(?:www\.)?([^:\/\n]+)"")),"""")"),"helmuthroofing.com")</f>
        <v>helmuthroofing.com</v>
      </c>
    </row>
    <row r="58" spans="1:2" ht="12.5">
      <c r="A58" s="3" t="s">
        <v>316</v>
      </c>
      <c r="B58" s="4" t="str">
        <f ca="1">IFERROR(__xludf.DUMMYFUNCTION("IFERROR(ARRAYFORMULA(REGEXEXTRACT(A58,""^(?:https?:\/\/)?(?:[^@\n]+@)?(?:www\.)?([^:\/\n]+)"")),"""")"),"lockpickworld.com")</f>
        <v>lockpickworld.com</v>
      </c>
    </row>
    <row r="59" spans="1:2" ht="12.5">
      <c r="A59" s="3" t="s">
        <v>317</v>
      </c>
      <c r="B59" s="4" t="str">
        <f ca="1">IFERROR(__xludf.DUMMYFUNCTION("IFERROR(ARRAYFORMULA(REGEXEXTRACT(A59,""^(?:https?:\/\/)?(?:[^@\n]+@)?(?:www\.)?([^:\/\n]+)"")),"""")"),"hpotter.com")</f>
        <v>hpotter.com</v>
      </c>
    </row>
    <row r="60" spans="1:2" ht="12.5">
      <c r="A60" s="3" t="s">
        <v>318</v>
      </c>
      <c r="B60" s="4" t="str">
        <f ca="1">IFERROR(__xludf.DUMMYFUNCTION("IFERROR(ARRAYFORMULA(REGEXEXTRACT(A60,""^(?:https?:\/\/)?(?:[^@\n]+@)?(?:www\.)?([^:\/\n]+)"")),"""")"),"catseyepest.com")</f>
        <v>catseyepest.com</v>
      </c>
    </row>
    <row r="61" spans="1:2" ht="12.5">
      <c r="A61" s="3" t="s">
        <v>319</v>
      </c>
      <c r="B61" s="4" t="str">
        <f ca="1">IFERROR(__xludf.DUMMYFUNCTION("IFERROR(ARRAYFORMULA(REGEXEXTRACT(A61,""^(?:https?:\/\/)?(?:[^@\n]+@)?(?:www\.)?([^:\/\n]+)"")),"""")"),"uptowncharlotte.com")</f>
        <v>uptowncharlotte.com</v>
      </c>
    </row>
    <row r="62" spans="1:2" ht="12.5">
      <c r="A62" s="3" t="s">
        <v>320</v>
      </c>
      <c r="B62" s="4" t="str">
        <f ca="1">IFERROR(__xludf.DUMMYFUNCTION("IFERROR(ARRAYFORMULA(REGEXEXTRACT(A62,""^(?:https?:\/\/)?(?:[^@\n]+@)?(?:www\.)?([^:\/\n]+)"")),"""")"),"cvcpdx.com")</f>
        <v>cvcpdx.com</v>
      </c>
    </row>
    <row r="63" spans="1:2" ht="12.5">
      <c r="A63" s="15" t="s">
        <v>321</v>
      </c>
      <c r="B63" s="4" t="str">
        <f ca="1">IFERROR(__xludf.DUMMYFUNCTION("IFERROR(ARRAYFORMULA(REGEXEXTRACT(A63,""^(?:https?:\/\/)?(?:[^@\n]+@)?(?:www\.)?([^:\/\n]+)"")),"""")"),"valueofficefurniture.com.au")</f>
        <v>valueofficefurniture.com.au</v>
      </c>
    </row>
    <row r="64" spans="1:2" ht="12.5">
      <c r="A64" s="3" t="s">
        <v>322</v>
      </c>
      <c r="B64" s="4" t="str">
        <f ca="1">IFERROR(__xludf.DUMMYFUNCTION("IFERROR(ARRAYFORMULA(REGEXEXTRACT(A64,""^(?:https?:\/\/)?(?:[^@\n]+@)?(?:www\.)?([^:\/\n]+)"")),"""")"),"greenworkstools.com")</f>
        <v>greenworkstools.com</v>
      </c>
    </row>
    <row r="65" spans="1:2" ht="12.5">
      <c r="A65" s="3" t="s">
        <v>323</v>
      </c>
      <c r="B65" s="4" t="str">
        <f ca="1">IFERROR(__xludf.DUMMYFUNCTION("IFERROR(ARRAYFORMULA(REGEXEXTRACT(A65,""^(?:https?:\/\/)?(?:[^@\n]+@)?(?:www\.)?([^:\/\n]+)"")),"""")"),"amstillroofing.com")</f>
        <v>amstillroofing.com</v>
      </c>
    </row>
    <row r="66" spans="1:2" ht="12.5">
      <c r="A66" s="3" t="s">
        <v>324</v>
      </c>
      <c r="B66" s="4" t="str">
        <f ca="1">IFERROR(__xludf.DUMMYFUNCTION("IFERROR(ARRAYFORMULA(REGEXEXTRACT(A66,""^(?:https?:\/\/)?(?:[^@\n]+@)?(?:www\.)?([^:\/\n]+)"")),"""")"),"threemovers.com")</f>
        <v>threemovers.com</v>
      </c>
    </row>
    <row r="67" spans="1:2" ht="12.5">
      <c r="A67" s="3" t="s">
        <v>325</v>
      </c>
      <c r="B67" s="4" t="str">
        <f ca="1">IFERROR(__xludf.DUMMYFUNCTION("IFERROR(ARRAYFORMULA(REGEXEXTRACT(A67,""^(?:https?:\/\/)?(?:[^@\n]+@)?(?:www\.)?([^:\/\n]+)"")),"""")"),"firstamericanroofing.com")</f>
        <v>firstamericanroofing.com</v>
      </c>
    </row>
    <row r="68" spans="1:2" ht="12.5">
      <c r="A68" s="3" t="s">
        <v>326</v>
      </c>
      <c r="B68" s="4" t="str">
        <f ca="1">IFERROR(__xludf.DUMMYFUNCTION("IFERROR(ARRAYFORMULA(REGEXEXTRACT(A68,""^(?:https?:\/\/)?(?:[^@\n]+@)?(?:www\.)?([^:\/\n]+)"")),"""")"),"hwpartstore.com")</f>
        <v>hwpartstore.com</v>
      </c>
    </row>
    <row r="69" spans="1:2" ht="12.5">
      <c r="A69" s="3" t="s">
        <v>327</v>
      </c>
      <c r="B69" s="4" t="str">
        <f ca="1">IFERROR(__xludf.DUMMYFUNCTION("IFERROR(ARRAYFORMULA(REGEXEXTRACT(A69,""^(?:https?:\/\/)?(?:[^@\n]+@)?(?:www\.)?([^:\/\n]+)"")),"""")"),"energync.org")</f>
        <v>energync.org</v>
      </c>
    </row>
    <row r="70" spans="1:2" ht="12.5">
      <c r="A70" s="3" t="s">
        <v>328</v>
      </c>
      <c r="B70" s="4" t="str">
        <f ca="1">IFERROR(__xludf.DUMMYFUNCTION("IFERROR(ARRAYFORMULA(REGEXEXTRACT(A70,""^(?:https?:\/\/)?(?:[^@\n]+@)?(?:www\.)?([^:\/\n]+)"")),"""")"),"makerflocrafts.com")</f>
        <v>makerflocrafts.com</v>
      </c>
    </row>
    <row r="71" spans="1:2" ht="12.5">
      <c r="A71" s="3" t="s">
        <v>329</v>
      </c>
      <c r="B71" s="4" t="str">
        <f ca="1">IFERROR(__xludf.DUMMYFUNCTION("IFERROR(ARRAYFORMULA(REGEXEXTRACT(A71,""^(?:https?:\/\/)?(?:[^@\n]+@)?(?:www\.)?([^:\/\n]+)"")),"""")"),"dundeedeco.com")</f>
        <v>dundeedeco.com</v>
      </c>
    </row>
    <row r="72" spans="1:2" ht="12.5">
      <c r="A72" s="3" t="s">
        <v>330</v>
      </c>
      <c r="B72" s="4" t="str">
        <f ca="1">IFERROR(__xludf.DUMMYFUNCTION("IFERROR(ARRAYFORMULA(REGEXEXTRACT(A72,""^(?:https?:\/\/)?(?:[^@\n]+@)?(?:www\.)?([^:\/\n]+)"")),"""")"),"foxessellfaster.com")</f>
        <v>foxessellfaster.com</v>
      </c>
    </row>
    <row r="73" spans="1:2" ht="12.5">
      <c r="A73" s="3" t="s">
        <v>331</v>
      </c>
      <c r="B73" s="4" t="str">
        <f ca="1">IFERROR(__xludf.DUMMYFUNCTION("IFERROR(ARRAYFORMULA(REGEXEXTRACT(A73,""^(?:https?:\/\/)?(?:[^@\n]+@)?(?:www\.)?([^:\/\n]+)"")),"""")"),"reallycheapfloors.com")</f>
        <v>reallycheapfloors.com</v>
      </c>
    </row>
    <row r="74" spans="1:2" ht="12.5">
      <c r="A74" s="3" t="s">
        <v>332</v>
      </c>
      <c r="B74" s="4" t="str">
        <f ca="1">IFERROR(__xludf.DUMMYFUNCTION("IFERROR(ARRAYFORMULA(REGEXEXTRACT(A74,""^(?:https?:\/\/)?(?:[^@\n]+@)?(?:www\.)?([^:\/\n]+)"")),"""")"),"sundaygolf.com")</f>
        <v>sundaygolf.com</v>
      </c>
    </row>
    <row r="75" spans="1:2" ht="12.5">
      <c r="A75" s="3" t="s">
        <v>333</v>
      </c>
      <c r="B75" s="4" t="str">
        <f ca="1">IFERROR(__xludf.DUMMYFUNCTION("IFERROR(ARRAYFORMULA(REGEXEXTRACT(A75,""^(?:https?:\/\/)?(?:[^@\n]+@)?(?:www\.)?([^:\/\n]+)"")),"""")"),"wanbridge.com")</f>
        <v>wanbridge.com</v>
      </c>
    </row>
    <row r="76" spans="1:2" ht="12.5">
      <c r="A76" s="3" t="s">
        <v>334</v>
      </c>
      <c r="B76" s="4" t="str">
        <f ca="1">IFERROR(__xludf.DUMMYFUNCTION("IFERROR(ARRAYFORMULA(REGEXEXTRACT(A76,""^(?:https?:\/\/)?(?:[^@\n]+@)?(?:www\.)?([^:\/\n]+)"")),"""")"),"versahomes.com")</f>
        <v>versahomes.com</v>
      </c>
    </row>
    <row r="77" spans="1:2" ht="12.5">
      <c r="A77" s="3" t="s">
        <v>335</v>
      </c>
      <c r="B77" s="4" t="str">
        <f ca="1">IFERROR(__xludf.DUMMYFUNCTION("IFERROR(ARRAYFORMULA(REGEXEXTRACT(A77,""^(?:https?:\/\/)?(?:[^@\n]+@)?(?:www\.)?([^:\/\n]+)"")),"""")"),"nychousecleaners.net")</f>
        <v>nychousecleaners.net</v>
      </c>
    </row>
    <row r="78" spans="1:2" ht="12.5">
      <c r="A78" s="3" t="s">
        <v>336</v>
      </c>
      <c r="B78" s="4" t="str">
        <f ca="1">IFERROR(__xludf.DUMMYFUNCTION("IFERROR(ARRAYFORMULA(REGEXEXTRACT(A78,""^(?:https?:\/\/)?(?:[^@\n]+@)?(?:www\.)?([^:\/\n]+)"")),"""")"),"greenhomepest.com")</f>
        <v>greenhomepest.com</v>
      </c>
    </row>
    <row r="79" spans="1:2" ht="12.5">
      <c r="A79" s="3" t="s">
        <v>337</v>
      </c>
      <c r="B79" s="4" t="str">
        <f ca="1">IFERROR(__xludf.DUMMYFUNCTION("IFERROR(ARRAYFORMULA(REGEXEXTRACT(A79,""^(?:https?:\/\/)?(?:[^@\n]+@)?(?:www\.)?([^:\/\n]+)"")),"""")"),"justcovers.com.au")</f>
        <v>justcovers.com.au</v>
      </c>
    </row>
    <row r="80" spans="1:2" ht="12.5">
      <c r="A80" s="3" t="s">
        <v>338</v>
      </c>
      <c r="B80" s="4" t="str">
        <f ca="1">IFERROR(__xludf.DUMMYFUNCTION("IFERROR(ARRAYFORMULA(REGEXEXTRACT(A80,""^(?:https?:\/\/)?(?:[^@\n]+@)?(?:www\.)?([^:\/\n]+)"")),"""")"),"eshinecleaning.com")</f>
        <v>eshinecleaning.com</v>
      </c>
    </row>
    <row r="81" spans="1:2" ht="12.5">
      <c r="A81" s="3" t="s">
        <v>339</v>
      </c>
      <c r="B81" s="4" t="str">
        <f ca="1">IFERROR(__xludf.DUMMYFUNCTION("IFERROR(ARRAYFORMULA(REGEXEXTRACT(A81,""^(?:https?:\/\/)?(?:[^@\n]+@)?(?:www\.)?([^:\/\n]+)"")),"""")"),"nativepestmanagement.com")</f>
        <v>nativepestmanagement.com</v>
      </c>
    </row>
    <row r="82" spans="1:2" ht="12.5">
      <c r="A82" s="3" t="s">
        <v>340</v>
      </c>
      <c r="B82" s="4" t="str">
        <f ca="1">IFERROR(__xludf.DUMMYFUNCTION("IFERROR(ARRAYFORMULA(REGEXEXTRACT(A82,""^(?:https?:\/\/)?(?:[^@\n]+@)?(?:www\.)?([^:\/\n]+)"")),"""")"),"fieldcircle.com")</f>
        <v>fieldcircle.com</v>
      </c>
    </row>
    <row r="83" spans="1:2" ht="12.5">
      <c r="A83" s="3" t="s">
        <v>341</v>
      </c>
      <c r="B83" s="4" t="str">
        <f ca="1">IFERROR(__xludf.DUMMYFUNCTION("IFERROR(ARRAYFORMULA(REGEXEXTRACT(A83,""^(?:https?:\/\/)?(?:[^@\n]+@)?(?:www\.)?([^:\/\n]+)"")),"""")"),"goodbyejunk.com.au")</f>
        <v>goodbyejunk.com.au</v>
      </c>
    </row>
    <row r="84" spans="1:2" ht="12.5">
      <c r="A84" s="3" t="s">
        <v>342</v>
      </c>
      <c r="B84" s="4" t="str">
        <f ca="1">IFERROR(__xludf.DUMMYFUNCTION("IFERROR(ARRAYFORMULA(REGEXEXTRACT(A84,""^(?:https?:\/\/)?(?:[^@\n]+@)?(?:www\.)?([^:\/\n]+)"")),"""")"),"creationhomes.com.au")</f>
        <v>creationhomes.com.au</v>
      </c>
    </row>
    <row r="85" spans="1:2" ht="12.5">
      <c r="A85" s="3" t="s">
        <v>343</v>
      </c>
      <c r="B85" s="4" t="str">
        <f ca="1">IFERROR(__xludf.DUMMYFUNCTION("IFERROR(ARRAYFORMULA(REGEXEXTRACT(A85,""^(?:https?:\/\/)?(?:[^@\n]+@)?(?:www\.)?([^:\/\n]+)"")),"""")"),"westlandinsurance.ca")</f>
        <v>westlandinsurance.ca</v>
      </c>
    </row>
    <row r="86" spans="1:2" ht="12.5">
      <c r="A86" s="3" t="s">
        <v>344</v>
      </c>
      <c r="B86" s="4" t="str">
        <f ca="1">IFERROR(__xludf.DUMMYFUNCTION("IFERROR(ARRAYFORMULA(REGEXEXTRACT(A86,""^(?:https?:\/\/)?(?:[^@\n]+@)?(?:www\.)?([^:\/\n]+)"")),"""")"),"ukcompositedoors.co.uk")</f>
        <v>ukcompositedoors.co.uk</v>
      </c>
    </row>
    <row r="87" spans="1:2" ht="12.5">
      <c r="A87" s="3" t="s">
        <v>345</v>
      </c>
      <c r="B87" s="4" t="str">
        <f ca="1">IFERROR(__xludf.DUMMYFUNCTION("IFERROR(ARRAYFORMULA(REGEXEXTRACT(A87,""^(?:https?:\/\/)?(?:[^@\n]+@)?(?:www\.)?([^:\/\n]+)"")),"""")"),"pmstudycircle.com")</f>
        <v>pmstudycircle.com</v>
      </c>
    </row>
    <row r="88" spans="1:2" ht="12.5">
      <c r="A88" s="3" t="s">
        <v>346</v>
      </c>
      <c r="B88" s="4" t="str">
        <f ca="1">IFERROR(__xludf.DUMMYFUNCTION("IFERROR(ARRAYFORMULA(REGEXEXTRACT(A88,""^(?:https?:\/\/)?(?:[^@\n]+@)?(?:www\.)?([^:\/\n]+)"")),"""")"),"landbrokermls.com")</f>
        <v>landbrokermls.com</v>
      </c>
    </row>
    <row r="89" spans="1:2" ht="12.5">
      <c r="A89" s="3" t="s">
        <v>347</v>
      </c>
      <c r="B89" s="4" t="str">
        <f ca="1">IFERROR(__xludf.DUMMYFUNCTION("IFERROR(ARRAYFORMULA(REGEXEXTRACT(A89,""^(?:https?:\/\/)?(?:[^@\n]+@)?(?:www\.)?([^:\/\n]+)"")),"""")"),"fairdealhomebuyers.com")</f>
        <v>fairdealhomebuyers.com</v>
      </c>
    </row>
    <row r="90" spans="1:2" ht="12.5">
      <c r="A90" s="3" t="s">
        <v>348</v>
      </c>
      <c r="B90" s="4" t="str">
        <f ca="1">IFERROR(__xludf.DUMMYFUNCTION("IFERROR(ARRAYFORMULA(REGEXEXTRACT(A90,""^(?:https?:\/\/)?(?:[^@\n]+@)?(?:www\.)?([^:\/\n]+)"")),"""")"),"zandawealth.com.au")</f>
        <v>zandawealth.com.au</v>
      </c>
    </row>
    <row r="91" spans="1:2" ht="12.5">
      <c r="A91" s="3" t="s">
        <v>349</v>
      </c>
      <c r="B91" s="4" t="str">
        <f ca="1">IFERROR(__xludf.DUMMYFUNCTION("IFERROR(ARRAYFORMULA(REGEXEXTRACT(A91,""^(?:https?:\/\/)?(?:[^@\n]+@)?(?:www\.)?([^:\/\n]+)"")),"""")"),"bretts.com.au")</f>
        <v>bretts.com.au</v>
      </c>
    </row>
    <row r="92" spans="1:2" ht="12.5">
      <c r="A92" s="3" t="s">
        <v>350</v>
      </c>
      <c r="B92" s="4" t="str">
        <f ca="1">IFERROR(__xludf.DUMMYFUNCTION("IFERROR(ARRAYFORMULA(REGEXEXTRACT(A92,""^(?:https?:\/\/)?(?:[^@\n]+@)?(?:www\.)?([^:\/\n]+)"")),"""")"),"sippycupmom.com")</f>
        <v>sippycupmom.com</v>
      </c>
    </row>
    <row r="93" spans="1:2" ht="12.5">
      <c r="A93" s="3" t="s">
        <v>351</v>
      </c>
      <c r="B93" s="4" t="str">
        <f ca="1">IFERROR(__xludf.DUMMYFUNCTION("IFERROR(ARRAYFORMULA(REGEXEXTRACT(A93,""^(?:https?:\/\/)?(?:[^@\n]+@)?(?:www\.)?([^:\/\n]+)"")),"""")"),"fergusonsplumbing.com.au")</f>
        <v>fergusonsplumbing.com.au</v>
      </c>
    </row>
    <row r="94" spans="1:2" ht="12.5">
      <c r="A94" s="3" t="s">
        <v>352</v>
      </c>
      <c r="B94" s="4" t="str">
        <f ca="1">IFERROR(__xludf.DUMMYFUNCTION("IFERROR(ARRAYFORMULA(REGEXEXTRACT(A94,""^(?:https?:\/\/)?(?:[^@\n]+@)?(?:www\.)?([^:\/\n]+)"")),"""")"),"alscometals.com")</f>
        <v>alscometals.com</v>
      </c>
    </row>
    <row r="95" spans="1:2" ht="12.5">
      <c r="A95" s="3" t="s">
        <v>353</v>
      </c>
      <c r="B95" s="4" t="str">
        <f ca="1">IFERROR(__xludf.DUMMYFUNCTION("IFERROR(ARRAYFORMULA(REGEXEXTRACT(A95,""^(?:https?:\/\/)?(?:[^@\n]+@)?(?:www\.)?([^:\/\n]+)"")),"""")"),"click4storage.com")</f>
        <v>click4storage.com</v>
      </c>
    </row>
    <row r="96" spans="1:2" ht="12.5">
      <c r="A96" s="3" t="s">
        <v>257</v>
      </c>
      <c r="B96" s="4" t="str">
        <f ca="1">IFERROR(__xludf.DUMMYFUNCTION("IFERROR(ARRAYFORMULA(REGEXEXTRACT(A96,""^(?:https?:\/\/)?(?:[^@\n]+@)?(?:www\.)?([^:\/\n]+)"")),"""")"),"propertypressonline.co.uk")</f>
        <v>propertypressonline.co.uk</v>
      </c>
    </row>
    <row r="97" spans="1:2" ht="12.5">
      <c r="A97" s="3" t="s">
        <v>354</v>
      </c>
      <c r="B97" s="4" t="str">
        <f ca="1">IFERROR(__xludf.DUMMYFUNCTION("IFERROR(ARRAYFORMULA(REGEXEXTRACT(A97,""^(?:https?:\/\/)?(?:[^@\n]+@)?(?:www\.)?([^:\/\n]+)"")),"""")"),"nelsonwesterberg.com")</f>
        <v>nelsonwesterberg.com</v>
      </c>
    </row>
    <row r="98" spans="1:2" ht="12.5">
      <c r="A98" s="3" t="s">
        <v>355</v>
      </c>
      <c r="B98" s="4" t="str">
        <f ca="1">IFERROR(__xludf.DUMMYFUNCTION("IFERROR(ARRAYFORMULA(REGEXEXTRACT(A98,""^(?:https?:\/\/)?(?:[^@\n]+@)?(?:www\.)?([^:\/\n]+)"")),"""")"),"candsins.com")</f>
        <v>candsins.com</v>
      </c>
    </row>
    <row r="99" spans="1:2" ht="12.5">
      <c r="A99" s="3" t="s">
        <v>356</v>
      </c>
      <c r="B99" s="4" t="str">
        <f ca="1">IFERROR(__xludf.DUMMYFUNCTION("IFERROR(ARRAYFORMULA(REGEXEXTRACT(A99,""^(?:https?:\/\/)?(?:[^@\n]+@)?(?:www\.)?([^:\/\n]+)"")),"""")"),"mydolphin.com.au")</f>
        <v>mydolphin.com.au</v>
      </c>
    </row>
    <row r="100" spans="1:2" ht="12.5">
      <c r="A100" s="3" t="s">
        <v>357</v>
      </c>
      <c r="B100" s="4" t="str">
        <f ca="1">IFERROR(__xludf.DUMMYFUNCTION("IFERROR(ARRAYFORMULA(REGEXEXTRACT(A100,""^(?:https?:\/\/)?(?:[^@\n]+@)?(?:www\.)?([^:\/\n]+)"")),"""")"),"retainingwallsupplies.com.au")</f>
        <v>retainingwallsupplies.com.au</v>
      </c>
    </row>
    <row r="101" spans="1:2" ht="12.5">
      <c r="A101" s="3" t="s">
        <v>358</v>
      </c>
      <c r="B101" s="4" t="str">
        <f ca="1">IFERROR(__xludf.DUMMYFUNCTION("IFERROR(ARRAYFORMULA(REGEXEXTRACT(A101,""^(?:https?:\/\/)?(?:[^@\n]+@)?(?:www\.)?([^:\/\n]+)"")),"""")"),"casasecurity.com.au")</f>
        <v>casasecurity.com.au</v>
      </c>
    </row>
    <row r="102" spans="1:2" ht="12.5">
      <c r="A102" s="3" t="s">
        <v>359</v>
      </c>
      <c r="B102" s="4" t="str">
        <f ca="1">IFERROR(__xludf.DUMMYFUNCTION("IFERROR(ARRAYFORMULA(REGEXEXTRACT(A102,""^(?:https?:\/\/)?(?:[^@\n]+@)?(?:www\.)?([^:\/\n]+)"")),"""")"),"samedayrubbishremoval.com.au")</f>
        <v>samedayrubbishremoval.com.au</v>
      </c>
    </row>
    <row r="103" spans="1:2" ht="12.5">
      <c r="A103" s="3" t="s">
        <v>360</v>
      </c>
      <c r="B103" s="4" t="str">
        <f ca="1">IFERROR(__xludf.DUMMYFUNCTION("IFERROR(ARRAYFORMULA(REGEXEXTRACT(A103,""^(?:https?:\/\/)?(?:[^@\n]+@)?(?:www\.)?([^:\/\n]+)"")),"""")"),"beltwaymovers.com")</f>
        <v>beltwaymovers.com</v>
      </c>
    </row>
    <row r="104" spans="1:2" ht="12.5">
      <c r="A104" s="3" t="s">
        <v>361</v>
      </c>
      <c r="B104" s="4" t="str">
        <f ca="1">IFERROR(__xludf.DUMMYFUNCTION("IFERROR(ARRAYFORMULA(REGEXEXTRACT(A104,""^(?:https?:\/\/)?(?:[^@\n]+@)?(?:www\.)?([^:\/\n]+)"")),"""")"),"thelocalelectrician.com.au")</f>
        <v>thelocalelectrician.com.au</v>
      </c>
    </row>
    <row r="105" spans="1:2" ht="12.5">
      <c r="A105" s="3" t="s">
        <v>362</v>
      </c>
      <c r="B105" s="4" t="str">
        <f ca="1">IFERROR(__xludf.DUMMYFUNCTION("IFERROR(ARRAYFORMULA(REGEXEXTRACT(A105,""^(?:https?:\/\/)?(?:[^@\n]+@)?(?:www\.)?([^:\/\n]+)"")),"""")"),"janusintl.au")</f>
        <v>janusintl.au</v>
      </c>
    </row>
    <row r="106" spans="1:2" ht="12.5">
      <c r="A106" s="3" t="s">
        <v>363</v>
      </c>
      <c r="B106" s="4" t="str">
        <f ca="1">IFERROR(__xludf.DUMMYFUNCTION("IFERROR(ARRAYFORMULA(REGEXEXTRACT(A106,""^(?:https?:\/\/)?(?:[^@\n]+@)?(?:www\.)?([^:\/\n]+)"")),"""")"),"elegantkitchenbath.com")</f>
        <v>elegantkitchenbath.com</v>
      </c>
    </row>
    <row r="107" spans="1:2" ht="12.5">
      <c r="A107" s="3" t="s">
        <v>364</v>
      </c>
      <c r="B107" s="4" t="str">
        <f ca="1">IFERROR(__xludf.DUMMYFUNCTION("IFERROR(ARRAYFORMULA(REGEXEXTRACT(A107,""^(?:https?:\/\/)?(?:[^@\n]+@)?(?:www\.)?([^:\/\n]+)"")),"""")"),"interlocking-toronto.ca")</f>
        <v>interlocking-toronto.ca</v>
      </c>
    </row>
    <row r="108" spans="1:2" ht="12.5">
      <c r="A108" s="3" t="s">
        <v>365</v>
      </c>
      <c r="B108" s="4" t="str">
        <f ca="1">IFERROR(__xludf.DUMMYFUNCTION("IFERROR(ARRAYFORMULA(REGEXEXTRACT(A108,""^(?:https?:\/\/)?(?:[^@\n]+@)?(?:www\.)?([^:\/\n]+)"")),"""")"),"luxurytravelmagazine.com")</f>
        <v>luxurytravelmagazine.com</v>
      </c>
    </row>
    <row r="109" spans="1:2" ht="12.5">
      <c r="A109" s="3" t="s">
        <v>366</v>
      </c>
      <c r="B109" s="4" t="str">
        <f ca="1">IFERROR(__xludf.DUMMYFUNCTION("IFERROR(ARRAYFORMULA(REGEXEXTRACT(A109,""^(?:https?:\/\/)?(?:[^@\n]+@)?(?:www\.)?([^:\/\n]+)"")),"""")"),"dgiwaterproofing.ca")</f>
        <v>dgiwaterproofing.ca</v>
      </c>
    </row>
    <row r="110" spans="1:2" ht="12.5">
      <c r="A110" s="3" t="s">
        <v>367</v>
      </c>
      <c r="B110" s="4" t="str">
        <f ca="1">IFERROR(__xludf.DUMMYFUNCTION("IFERROR(ARRAYFORMULA(REGEXEXTRACT(A110,""^(?:https?:\/\/)?(?:[^@\n]+@)?(?:www\.)?([^:\/\n]+)"")),"""")"),"outdoorfountainpros.com")</f>
        <v>outdoorfountainpros.com</v>
      </c>
    </row>
    <row r="111" spans="1:2" ht="12.5">
      <c r="A111" s="3" t="s">
        <v>368</v>
      </c>
      <c r="B111" s="4" t="str">
        <f ca="1">IFERROR(__xludf.DUMMYFUNCTION("IFERROR(ARRAYFORMULA(REGEXEXTRACT(A111,""^(?:https?:\/\/)?(?:[^@\n]+@)?(?:www\.)?([^:\/\n]+)"")),"""")"),"selfstore.com.au")</f>
        <v>selfstore.com.au</v>
      </c>
    </row>
    <row r="112" spans="1:2" ht="12.5">
      <c r="A112" s="3" t="s">
        <v>369</v>
      </c>
      <c r="B112" s="4" t="str">
        <f ca="1">IFERROR(__xludf.DUMMYFUNCTION("IFERROR(ARRAYFORMULA(REGEXEXTRACT(A112,""^(?:https?:\/\/)?(?:[^@\n]+@)?(?:www\.)?([^:\/\n]+)"")),"""")"),"service.com.au")</f>
        <v>service.com.au</v>
      </c>
    </row>
    <row r="113" spans="1:2" ht="12.5">
      <c r="A113" s="3" t="s">
        <v>370</v>
      </c>
      <c r="B113" s="4" t="str">
        <f ca="1">IFERROR(__xludf.DUMMYFUNCTION("IFERROR(ARRAYFORMULA(REGEXEXTRACT(A113,""^(?:https?:\/\/)?(?:[^@\n]+@)?(?:www\.)?([^:\/\n]+)"")),"""")"),"accurateleak.com")</f>
        <v>accurateleak.com</v>
      </c>
    </row>
    <row r="114" spans="1:2" ht="12.5">
      <c r="A114" s="3" t="s">
        <v>371</v>
      </c>
      <c r="B114" s="4" t="str">
        <f ca="1">IFERROR(__xludf.DUMMYFUNCTION("IFERROR(ARRAYFORMULA(REGEXEXTRACT(A114,""^(?:https?:\/\/)?(?:[^@\n]+@)?(?:www\.)?([^:\/\n]+)"")),"""")"),"sandiegocountyroofing.com")</f>
        <v>sandiegocountyroofing.com</v>
      </c>
    </row>
    <row r="115" spans="1:2" ht="12.5">
      <c r="A115" s="3" t="s">
        <v>372</v>
      </c>
      <c r="B115" s="4" t="str">
        <f ca="1">IFERROR(__xludf.DUMMYFUNCTION("IFERROR(ARRAYFORMULA(REGEXEXTRACT(A115,""^(?:https?:\/\/)?(?:[^@\n]+@)?(?:www\.)?([^:\/\n]+)"")),"""")"),"riverwalkphiladelphia.com")</f>
        <v>riverwalkphiladelphia.com</v>
      </c>
    </row>
    <row r="116" spans="1:2" ht="12.5">
      <c r="A116" s="3" t="s">
        <v>373</v>
      </c>
      <c r="B116" s="4" t="str">
        <f ca="1">IFERROR(__xludf.DUMMYFUNCTION("IFERROR(ARRAYFORMULA(REGEXEXTRACT(A116,""^(?:https?:\/\/)?(?:[^@\n]+@)?(?:www\.)?([^:\/\n]+)"")),"""")"),"charlottelegaladvocacy.org")</f>
        <v>charlottelegaladvocacy.org</v>
      </c>
    </row>
    <row r="117" spans="1:2" ht="12.5">
      <c r="A117" s="3" t="s">
        <v>374</v>
      </c>
      <c r="B117" s="4" t="str">
        <f ca="1">IFERROR(__xludf.DUMMYFUNCTION("IFERROR(ARRAYFORMULA(REGEXEXTRACT(A117,""^(?:https?:\/\/)?(?:[^@\n]+@)?(?:www\.)?([^:\/\n]+)"")),"""")"),"reedyandcompany.com")</f>
        <v>reedyandcompany.com</v>
      </c>
    </row>
    <row r="118" spans="1:2" ht="12.5">
      <c r="A118" s="3" t="s">
        <v>375</v>
      </c>
      <c r="B118" s="7" t="str">
        <f ca="1">IFERROR(__xludf.DUMMYFUNCTION("IFERROR(ARRAYFORMULA(REGEXEXTRACT(A118,""^(?:https?:\/\/)?(?:[^@\n]+@)?(?:www\.)?([^:\/\n]+)"")),"""")"),"ioi.realtor")</f>
        <v>ioi.realtor</v>
      </c>
    </row>
    <row r="119" spans="1:2" ht="12.5">
      <c r="A119" s="3" t="s">
        <v>376</v>
      </c>
      <c r="B119" s="4" t="str">
        <f ca="1">IFERROR(__xludf.DUMMYFUNCTION("IFERROR(ARRAYFORMULA(REGEXEXTRACT(A119,""^(?:https?:\/\/)?(?:[^@\n]+@)?(?:www\.)?([^:\/\n]+)"")),"""")"),"tributaryidaho.com")</f>
        <v>tributaryidaho.com</v>
      </c>
    </row>
    <row r="120" spans="1:2" ht="12.5">
      <c r="A120" s="3" t="s">
        <v>377</v>
      </c>
      <c r="B120" s="4" t="str">
        <f ca="1">IFERROR(__xludf.DUMMYFUNCTION("IFERROR(ARRAYFORMULA(REGEXEXTRACT(A120,""^(?:https?:\/\/)?(?:[^@\n]+@)?(?:www\.)?([^:\/\n]+)"")),"""")"),"carolinapublicpress.org")</f>
        <v>carolinapublicpress.org</v>
      </c>
    </row>
    <row r="121" spans="1:2" ht="12.5">
      <c r="A121" s="3" t="s">
        <v>378</v>
      </c>
      <c r="B121" s="4" t="str">
        <f ca="1">IFERROR(__xludf.DUMMYFUNCTION("IFERROR(ARRAYFORMULA(REGEXEXTRACT(A121,""^(?:https?:\/\/)?(?:[^@\n]+@)?(?:www\.)?([^:\/\n]+)"")),"""")"),"nearmeroofingcompany.com")</f>
        <v>nearmeroofingcompany.com</v>
      </c>
    </row>
    <row r="122" spans="1:2" ht="12.5">
      <c r="A122" s="3" t="s">
        <v>379</v>
      </c>
      <c r="B122" s="4" t="str">
        <f ca="1">IFERROR(__xludf.DUMMYFUNCTION("IFERROR(ARRAYFORMULA(REGEXEXTRACT(A122,""^(?:https?:\/\/)?(?:[^@\n]+@)?(?:www\.)?([^:\/\n]+)"")),"""")"),"sabinehill.com")</f>
        <v>sabinehill.com</v>
      </c>
    </row>
    <row r="123" spans="1:2" ht="12.5">
      <c r="A123" s="3" t="s">
        <v>380</v>
      </c>
      <c r="B123" s="4" t="str">
        <f ca="1">IFERROR(__xludf.DUMMYFUNCTION("IFERROR(ARRAYFORMULA(REGEXEXTRACT(A123,""^(?:https?:\/\/)?(?:[^@\n]+@)?(?:www\.)?([^:\/\n]+)"")),"""")"),"catchmaster.com")</f>
        <v>catchmaster.com</v>
      </c>
    </row>
    <row r="124" spans="1:2" ht="12.5">
      <c r="A124" s="3" t="s">
        <v>381</v>
      </c>
      <c r="B124" s="4" t="str">
        <f ca="1">IFERROR(__xludf.DUMMYFUNCTION("IFERROR(ARRAYFORMULA(REGEXEXTRACT(A124,""^(?:https?:\/\/)?(?:[^@\n]+@)?(?:www\.)?([^:\/\n]+)"")),"""")"),"rocketcert.com")</f>
        <v>rocketcert.com</v>
      </c>
    </row>
    <row r="125" spans="1:2" ht="12.5">
      <c r="A125" s="3" t="s">
        <v>382</v>
      </c>
      <c r="B125" s="4" t="str">
        <f ca="1">IFERROR(__xludf.DUMMYFUNCTION("IFERROR(ARRAYFORMULA(REGEXEXTRACT(A125,""^(?:https?:\/\/)?(?:[^@\n]+@)?(?:www\.)?([^:\/\n]+)"")),"""")"),"simpurelife.com")</f>
        <v>simpurelife.com</v>
      </c>
    </row>
    <row r="126" spans="1:2" ht="12.5">
      <c r="A126" s="3" t="s">
        <v>383</v>
      </c>
      <c r="B126" s="4" t="str">
        <f ca="1">IFERROR(__xludf.DUMMYFUNCTION("IFERROR(ARRAYFORMULA(REGEXEXTRACT(A126,""^(?:https?:\/\/)?(?:[^@\n]+@)?(?:www\.)?([^:\/\n]+)"")),"""")"),"aaarfg.com")</f>
        <v>aaarfg.com</v>
      </c>
    </row>
    <row r="127" spans="1:2" ht="12.5">
      <c r="A127" s="3" t="s">
        <v>384</v>
      </c>
      <c r="B127" s="4" t="str">
        <f ca="1">IFERROR(__xludf.DUMMYFUNCTION("IFERROR(ARRAYFORMULA(REGEXEXTRACT(A127,""^(?:https?:\/\/)?(?:[^@\n]+@)?(?:www\.)?([^:\/\n]+)"")),"""")"),"spareroom.com")</f>
        <v>spareroom.com</v>
      </c>
    </row>
    <row r="128" spans="1:2" ht="12.5">
      <c r="A128" s="3" t="s">
        <v>385</v>
      </c>
      <c r="B128" s="4" t="str">
        <f ca="1">IFERROR(__xludf.DUMMYFUNCTION("IFERROR(ARRAYFORMULA(REGEXEXTRACT(A128,""^(?:https?:\/\/)?(?:[^@\n]+@)?(?:www\.)?([^:\/\n]+)"")),"""")"),"gatheradu.com")</f>
        <v>gatheradu.com</v>
      </c>
    </row>
    <row r="129" spans="1:2" ht="12.5">
      <c r="A129" s="3" t="s">
        <v>386</v>
      </c>
      <c r="B129" s="4" t="str">
        <f ca="1">IFERROR(__xludf.DUMMYFUNCTION("IFERROR(ARRAYFORMULA(REGEXEXTRACT(A129,""^(?:https?:\/\/)?(?:[^@\n]+@)?(?:www\.)?([^:\/\n]+)"")),"""")"),"storemasta.com.au")</f>
        <v>storemasta.com.au</v>
      </c>
    </row>
    <row r="130" spans="1:2" ht="12.5">
      <c r="A130" s="3" t="s">
        <v>387</v>
      </c>
      <c r="B130" s="4" t="str">
        <f ca="1">IFERROR(__xludf.DUMMYFUNCTION("IFERROR(ARRAYFORMULA(REGEXEXTRACT(A130,""^(?:https?:\/\/)?(?:[^@\n]+@)?(?:www\.)?([^:\/\n]+)"")),"""")"),"alamoroofingcontractors.com")</f>
        <v>alamoroofingcontractors.com</v>
      </c>
    </row>
    <row r="131" spans="1:2" ht="12.5">
      <c r="A131" s="3" t="s">
        <v>388</v>
      </c>
      <c r="B131" s="4" t="str">
        <f ca="1">IFERROR(__xludf.DUMMYFUNCTION("IFERROR(ARRAYFORMULA(REGEXEXTRACT(A131,""^(?:https?:\/\/)?(?:[^@\n]+@)?(?:www\.)?([^:\/\n]+)"")),"""")"),"nedesestimating.com")</f>
        <v>nedesestimating.com</v>
      </c>
    </row>
    <row r="132" spans="1:2" ht="12.5">
      <c r="A132" s="3" t="s">
        <v>389</v>
      </c>
      <c r="B132" s="4" t="str">
        <f ca="1">IFERROR(__xludf.DUMMYFUNCTION("IFERROR(ARRAYFORMULA(REGEXEXTRACT(A132,""^(?:https?:\/\/)?(?:[^@\n]+@)?(?:www\.)?([^:\/\n]+)"")),"""")"),"doordesignlab.com")</f>
        <v>doordesignlab.com</v>
      </c>
    </row>
    <row r="133" spans="1:2" ht="12.5">
      <c r="A133" s="3" t="s">
        <v>390</v>
      </c>
      <c r="B133" s="4" t="str">
        <f ca="1">IFERROR(__xludf.DUMMYFUNCTION("IFERROR(ARRAYFORMULA(REGEXEXTRACT(A133,""^(?:https?:\/\/)?(?:[^@\n]+@)?(?:www\.)?([^:\/\n]+)"")),"""")"),"getbsafe.com")</f>
        <v>getbsafe.com</v>
      </c>
    </row>
    <row r="134" spans="1:2" ht="12.5">
      <c r="A134" s="3" t="s">
        <v>31</v>
      </c>
      <c r="B134" s="4" t="str">
        <f ca="1">IFERROR(__xludf.DUMMYFUNCTION("IFERROR(ARRAYFORMULA(REGEXEXTRACT(A134,""^(?:https?:\/\/)?(?:[^@\n]+@)?(?:www\.)?([^:\/\n]+)"")),"""")"),"kennarealestate.com")</f>
        <v>kennarealestate.com</v>
      </c>
    </row>
    <row r="135" spans="1:2" ht="12.5">
      <c r="A135" s="3" t="s">
        <v>391</v>
      </c>
      <c r="B135" s="4" t="str">
        <f ca="1">IFERROR(__xludf.DUMMYFUNCTION("IFERROR(ARRAYFORMULA(REGEXEXTRACT(A135,""^(?:https?:\/\/)?(?:[^@\n]+@)?(?:www\.)?([^:\/\n]+)"")),"""")"),"axcess-surety.com")</f>
        <v>axcess-surety.com</v>
      </c>
    </row>
    <row r="136" spans="1:2" ht="12.5">
      <c r="A136" s="3" t="s">
        <v>392</v>
      </c>
      <c r="B136" s="4" t="str">
        <f ca="1">IFERROR(__xludf.DUMMYFUNCTION("IFERROR(ARRAYFORMULA(REGEXEXTRACT(A136,""^(?:https?:\/\/)?(?:[^@\n]+@)?(?:www\.)?([^:\/\n]+)"")),"""")"),"muval.com.au")</f>
        <v>muval.com.au</v>
      </c>
    </row>
    <row r="137" spans="1:2" ht="12.5">
      <c r="A137" s="3" t="s">
        <v>393</v>
      </c>
      <c r="B137" s="4" t="str">
        <f ca="1">IFERROR(__xludf.DUMMYFUNCTION("IFERROR(ARRAYFORMULA(REGEXEXTRACT(A137,""^(?:https?:\/\/)?(?:[^@\n]+@)?(?:www\.)?([^:\/\n]+)"")),"""")"),"industrialdoorsolution.com")</f>
        <v>industrialdoorsolution.com</v>
      </c>
    </row>
    <row r="138" spans="1:2" ht="12.5">
      <c r="A138" s="3" t="s">
        <v>394</v>
      </c>
      <c r="B138" s="4" t="str">
        <f ca="1">IFERROR(__xludf.DUMMYFUNCTION("IFERROR(ARRAYFORMULA(REGEXEXTRACT(A138,""^(?:https?:\/\/)?(?:[^@\n]+@)?(?:www\.)?([^:\/\n]+)"")),"""")"),"prosuperiorconstruction.com")</f>
        <v>prosuperiorconstruction.com</v>
      </c>
    </row>
    <row r="139" spans="1:2" ht="12.5">
      <c r="A139" s="3" t="s">
        <v>395</v>
      </c>
      <c r="B139" s="4" t="str">
        <f ca="1">IFERROR(__xludf.DUMMYFUNCTION("IFERROR(ARRAYFORMULA(REGEXEXTRACT(A139,""^(?:https?:\/\/)?(?:[^@\n]+@)?(?:www\.)?([^:\/\n]+)"")),"""")"),"springfieldroofing.com")</f>
        <v>springfieldroofing.com</v>
      </c>
    </row>
    <row r="140" spans="1:2" ht="12.5">
      <c r="A140" s="3" t="s">
        <v>396</v>
      </c>
      <c r="B140" s="4" t="str">
        <f ca="1">IFERROR(__xludf.DUMMYFUNCTION("IFERROR(ARRAYFORMULA(REGEXEXTRACT(A140,""^(?:https?:\/\/)?(?:[^@\n]+@)?(?:www\.)?([^:\/\n]+)"")),"""")"),"freightbrokerbootcamp.com")</f>
        <v>freightbrokerbootcamp.com</v>
      </c>
    </row>
    <row r="141" spans="1:2" ht="12.5">
      <c r="A141" s="3" t="s">
        <v>397</v>
      </c>
      <c r="B141" s="4" t="str">
        <f ca="1">IFERROR(__xludf.DUMMYFUNCTION("IFERROR(ARRAYFORMULA(REGEXEXTRACT(A141,""^(?:https?:\/\/)?(?:[^@\n]+@)?(?:www\.)?([^:\/\n]+)"")),"""")"),"florida-environmental.com")</f>
        <v>florida-environmental.com</v>
      </c>
    </row>
    <row r="142" spans="1:2" ht="12.5">
      <c r="A142" s="3" t="s">
        <v>398</v>
      </c>
      <c r="B142" s="4" t="str">
        <f ca="1">IFERROR(__xludf.DUMMYFUNCTION("IFERROR(ARRAYFORMULA(REGEXEXTRACT(A142,""^(?:https?:\/\/)?(?:[^@\n]+@)?(?:www\.)?([^:\/\n]+)"")),"""")"),"seattlewindowsdoors.com")</f>
        <v>seattlewindowsdoors.com</v>
      </c>
    </row>
    <row r="143" spans="1:2" ht="12.5">
      <c r="A143" s="3" t="s">
        <v>399</v>
      </c>
      <c r="B143" s="4" t="str">
        <f ca="1">IFERROR(__xludf.DUMMYFUNCTION("IFERROR(ARRAYFORMULA(REGEXEXTRACT(A143,""^(?:https?:\/\/)?(?:[^@\n]+@)?(?:www\.)?([^:\/\n]+)"")),"""")"),"viprealtyinfo.com")</f>
        <v>viprealtyinfo.com</v>
      </c>
    </row>
    <row r="144" spans="1:2" ht="12.5">
      <c r="A144" s="3" t="s">
        <v>400</v>
      </c>
      <c r="B144" s="4" t="str">
        <f ca="1">IFERROR(__xludf.DUMMYFUNCTION("IFERROR(ARRAYFORMULA(REGEXEXTRACT(A144,""^(?:https?:\/\/)?(?:[^@\n]+@)?(?:www\.)?([^:\/\n]+)"")),"""")"),"mcap.com")</f>
        <v>mcap.com</v>
      </c>
    </row>
    <row r="145" spans="1:2" ht="12.5">
      <c r="A145" s="3" t="s">
        <v>401</v>
      </c>
      <c r="B145" s="4" t="str">
        <f ca="1">IFERROR(__xludf.DUMMYFUNCTION("IFERROR(ARRAYFORMULA(REGEXEXTRACT(A145,""^(?:https?:\/\/)?(?:[^@\n]+@)?(?:www\.)?([^:\/\n]+)"")),"""")"),"neatcleaning.com.au")</f>
        <v>neatcleaning.com.au</v>
      </c>
    </row>
    <row r="146" spans="1:2" ht="12.5">
      <c r="A146" s="3" t="s">
        <v>402</v>
      </c>
      <c r="B146" s="4" t="str">
        <f ca="1">IFERROR(__xludf.DUMMYFUNCTION("IFERROR(ARRAYFORMULA(REGEXEXTRACT(A146,""^(?:https?:\/\/)?(?:[^@\n]+@)?(?:www\.)?([^:\/\n]+)"")),"""")"),"skyhub.ca")</f>
        <v>skyhub.ca</v>
      </c>
    </row>
    <row r="147" spans="1:2" ht="12.5">
      <c r="A147" s="3" t="s">
        <v>403</v>
      </c>
      <c r="B147" s="4" t="str">
        <f ca="1">IFERROR(__xludf.DUMMYFUNCTION("IFERROR(ARRAYFORMULA(REGEXEXTRACT(A147,""^(?:https?:\/\/)?(?:[^@\n]+@)?(?:www\.)?([^:\/\n]+)"")),"""")"),"beycome.com")</f>
        <v>beycome.com</v>
      </c>
    </row>
    <row r="148" spans="1:2" ht="12.5">
      <c r="A148" s="3" t="s">
        <v>404</v>
      </c>
      <c r="B148" s="4" t="str">
        <f ca="1">IFERROR(__xludf.DUMMYFUNCTION("IFERROR(ARRAYFORMULA(REGEXEXTRACT(A148,""^(?:https?:\/\/)?(?:[^@\n]+@)?(?:www\.)?([^:\/\n]+)"")),"""")"),"homecrux.com")</f>
        <v>homecrux.com</v>
      </c>
    </row>
    <row r="149" spans="1:2" ht="12.5">
      <c r="A149" s="3" t="s">
        <v>405</v>
      </c>
      <c r="B149" s="4" t="str">
        <f ca="1">IFERROR(__xludf.DUMMYFUNCTION("IFERROR(ARRAYFORMULA(REGEXEXTRACT(A149,""^(?:https?:\/\/)?(?:[^@\n]+@)?(?:www\.)?([^:\/\n]+)"")),"""")"),"angliadecor.co.uk")</f>
        <v>angliadecor.co.uk</v>
      </c>
    </row>
    <row r="150" spans="1:2" ht="12.5">
      <c r="A150" s="3" t="s">
        <v>406</v>
      </c>
      <c r="B150" s="4" t="str">
        <f ca="1">IFERROR(__xludf.DUMMYFUNCTION("IFERROR(ARRAYFORMULA(REGEXEXTRACT(A150,""^(?:https?:\/\/)?(?:[^@\n]+@)?(?:www\.)?([^:\/\n]+)"")),"""")"),"internationalfinance.com")</f>
        <v>internationalfinance.com</v>
      </c>
    </row>
    <row r="151" spans="1:2" ht="12.5">
      <c r="A151" s="3" t="s">
        <v>407</v>
      </c>
      <c r="B151" s="4" t="str">
        <f ca="1">IFERROR(__xludf.DUMMYFUNCTION("IFERROR(ARRAYFORMULA(REGEXEXTRACT(A151,""^(?:https?:\/\/)?(?:[^@\n]+@)?(?:www\.)?([^:\/\n]+)"")),"""")"),"blindstyle.co.uk")</f>
        <v>blindstyle.co.uk</v>
      </c>
    </row>
    <row r="152" spans="1:2" ht="12.5">
      <c r="A152" s="3" t="s">
        <v>408</v>
      </c>
      <c r="B152" s="4" t="str">
        <f ca="1">IFERROR(__xludf.DUMMYFUNCTION("IFERROR(ARRAYFORMULA(REGEXEXTRACT(A152,""^(?:https?:\/\/)?(?:[^@\n]+@)?(?:www\.)?([^:\/\n]+)"")),"""")"),"amberbook.com")</f>
        <v>amberbook.com</v>
      </c>
    </row>
    <row r="153" spans="1:2" ht="12.5">
      <c r="A153" s="3" t="s">
        <v>409</v>
      </c>
      <c r="B153" s="4" t="str">
        <f ca="1">IFERROR(__xludf.DUMMYFUNCTION("IFERROR(ARRAYFORMULA(REGEXEXTRACT(A153,""^(?:https?:\/\/)?(?:[^@\n]+@)?(?:www\.)?([^:\/\n]+)"")),"""")"),"electrodry.com.au")</f>
        <v>electrodry.com.au</v>
      </c>
    </row>
    <row r="154" spans="1:2" ht="12.5">
      <c r="A154" s="3" t="s">
        <v>410</v>
      </c>
      <c r="B154" s="4" t="str">
        <f ca="1">IFERROR(__xludf.DUMMYFUNCTION("IFERROR(ARRAYFORMULA(REGEXEXTRACT(A154,""^(?:https?:\/\/)?(?:[^@\n]+@)?(?:www\.)?([^:\/\n]+)"")),"""")"),"bhhsmichiganrealestate.com")</f>
        <v>bhhsmichiganrealestate.com</v>
      </c>
    </row>
    <row r="155" spans="1:2" ht="12.5">
      <c r="A155" s="3" t="s">
        <v>411</v>
      </c>
      <c r="B155" s="4" t="str">
        <f ca="1">IFERROR(__xludf.DUMMYFUNCTION("IFERROR(ARRAYFORMULA(REGEXEXTRACT(A155,""^(?:https?:\/\/)?(?:[^@\n]+@)?(?:www\.)?([^:\/\n]+)"")),"""")"),"stayofftheroof.com")</f>
        <v>stayofftheroof.com</v>
      </c>
    </row>
    <row r="156" spans="1:2" ht="12.5">
      <c r="A156" s="3" t="s">
        <v>412</v>
      </c>
      <c r="B156" s="4" t="str">
        <f ca="1">IFERROR(__xludf.DUMMYFUNCTION("IFERROR(ARRAYFORMULA(REGEXEXTRACT(A156,""^(?:https?:\/\/)?(?:[^@\n]+@)?(?:www\.)?([^:\/\n]+)"")),"""")"),"pondhaven.com")</f>
        <v>pondhaven.com</v>
      </c>
    </row>
    <row r="157" spans="1:2" ht="12.5">
      <c r="A157" s="3" t="s">
        <v>413</v>
      </c>
      <c r="B157" s="4" t="str">
        <f ca="1">IFERROR(__xludf.DUMMYFUNCTION("IFERROR(ARRAYFORMULA(REGEXEXTRACT(A157,""^(?:https?:\/\/)?(?:[^@\n]+@)?(?:www\.)?([^:\/\n]+)"")),"""")"),"operationtinyhome.org")</f>
        <v>operationtinyhome.org</v>
      </c>
    </row>
    <row r="158" spans="1:2" ht="12.5">
      <c r="A158" s="3" t="s">
        <v>414</v>
      </c>
      <c r="B158" s="4" t="str">
        <f ca="1">IFERROR(__xludf.DUMMYFUNCTION("IFERROR(ARRAYFORMULA(REGEXEXTRACT(A158,""^(?:https?:\/\/)?(?:[^@\n]+@)?(?:www\.)?([^:\/\n]+)"")),"""")"),"mineraltiles.com")</f>
        <v>mineraltiles.com</v>
      </c>
    </row>
    <row r="159" spans="1:2" ht="12.5">
      <c r="A159" s="3" t="s">
        <v>415</v>
      </c>
      <c r="B159" s="4" t="str">
        <f ca="1">IFERROR(__xludf.DUMMYFUNCTION("IFERROR(ARRAYFORMULA(REGEXEXTRACT(A159,""^(?:https?:\/\/)?(?:[^@\n]+@)?(?:www\.)?([^:\/\n]+)"")),"""")"),"1agaragedoors.net")</f>
        <v>1agaragedoors.net</v>
      </c>
    </row>
    <row r="160" spans="1:2" ht="12.5">
      <c r="A160" s="3" t="s">
        <v>416</v>
      </c>
      <c r="B160" s="4" t="str">
        <f ca="1">IFERROR(__xludf.DUMMYFUNCTION("IFERROR(ARRAYFORMULA(REGEXEXTRACT(A160,""^(?:https?:\/\/)?(?:[^@\n]+@)?(?:www\.)?([^:\/\n]+)"")),"""")"),"buildingcodetrainer.com")</f>
        <v>buildingcodetrainer.com</v>
      </c>
    </row>
    <row r="161" spans="1:2" ht="12.5">
      <c r="A161" s="3" t="s">
        <v>417</v>
      </c>
      <c r="B161" s="4" t="str">
        <f ca="1">IFERROR(__xludf.DUMMYFUNCTION("IFERROR(ARRAYFORMULA(REGEXEXTRACT(A161,""^(?:https?:\/\/)?(?:[^@\n]+@)?(?:www\.)?([^:\/\n]+)"")),"""")"),"tinyhouseexpedition.com")</f>
        <v>tinyhouseexpedition.com</v>
      </c>
    </row>
    <row r="162" spans="1:2" ht="12.5">
      <c r="A162" s="3" t="s">
        <v>418</v>
      </c>
      <c r="B162" s="4" t="str">
        <f ca="1">IFERROR(__xludf.DUMMYFUNCTION("IFERROR(ARRAYFORMULA(REGEXEXTRACT(A162,""^(?:https?:\/\/)?(?:[^@\n]+@)?(?:www\.)?([^:\/\n]+)"")),"""")"),"intl.transformertable.com")</f>
        <v>intl.transformertable.com</v>
      </c>
    </row>
    <row r="163" spans="1:2" ht="12.5">
      <c r="A163" s="3" t="s">
        <v>419</v>
      </c>
      <c r="B163" s="4" t="str">
        <f ca="1">IFERROR(__xludf.DUMMYFUNCTION("IFERROR(ARRAYFORMULA(REGEXEXTRACT(A163,""^(?:https?:\/\/)?(?:[^@\n]+@)?(?:www\.)?([^:\/\n]+)"")),"""")"),"livingonthecotedazur.com")</f>
        <v>livingonthecotedazur.com</v>
      </c>
    </row>
    <row r="164" spans="1:2" ht="12.5">
      <c r="A164" s="3" t="s">
        <v>420</v>
      </c>
      <c r="B164" s="4" t="str">
        <f ca="1">IFERROR(__xludf.DUMMYFUNCTION("IFERROR(ARRAYFORMULA(REGEXEXTRACT(A164,""^(?:https?:\/\/)?(?:[^@\n]+@)?(?:www\.)?([^:\/\n]+)"")),"""")"),"miragescreensystems.com")</f>
        <v>miragescreensystems.com</v>
      </c>
    </row>
    <row r="165" spans="1:2" ht="12.5">
      <c r="A165" s="3" t="s">
        <v>421</v>
      </c>
      <c r="B165" s="4" t="str">
        <f ca="1">IFERROR(__xludf.DUMMYFUNCTION("IFERROR(ARRAYFORMULA(REGEXEXTRACT(A165,""^(?:https?:\/\/)?(?:[^@\n]+@)?(?:www\.)?([^:\/\n]+)"")),"""")"),"beauchamp.com")</f>
        <v>beauchamp.com</v>
      </c>
    </row>
    <row r="166" spans="1:2" ht="12.5">
      <c r="A166" s="3" t="s">
        <v>422</v>
      </c>
      <c r="B166" s="4" t="str">
        <f ca="1">IFERROR(__xludf.DUMMYFUNCTION("IFERROR(ARRAYFORMULA(REGEXEXTRACT(A166,""^(?:https?:\/\/)?(?:[^@\n]+@)?(?:www\.)?([^:\/\n]+)"")),"""")"),"propertyme.com.au")</f>
        <v>propertyme.com.au</v>
      </c>
    </row>
    <row r="167" spans="1:2" ht="12.5">
      <c r="A167" s="3" t="s">
        <v>423</v>
      </c>
      <c r="B167" s="4" t="str">
        <f ca="1">IFERROR(__xludf.DUMMYFUNCTION("IFERROR(ARRAYFORMULA(REGEXEXTRACT(A167,""^(?:https?:\/\/)?(?:[^@\n]+@)?(?:www\.)?([^:\/\n]+)"")),"""")"),"imaginemaids.com")</f>
        <v>imaginemaids.com</v>
      </c>
    </row>
    <row r="168" spans="1:2" ht="12.5">
      <c r="A168" s="3" t="s">
        <v>424</v>
      </c>
      <c r="B168" s="4" t="str">
        <f ca="1">IFERROR(__xludf.DUMMYFUNCTION("IFERROR(ARRAYFORMULA(REGEXEXTRACT(A168,""^(?:https?:\/\/)?(?:[^@\n]+@)?(?:www\.)?([^:\/\n]+)"")),"""")"),"fencingandlandscapesupplies.co.uk")</f>
        <v>fencingandlandscapesupplies.co.uk</v>
      </c>
    </row>
    <row r="169" spans="1:2" ht="12.5">
      <c r="A169" s="3" t="s">
        <v>425</v>
      </c>
      <c r="B169" s="4" t="str">
        <f ca="1">IFERROR(__xludf.DUMMYFUNCTION("IFERROR(ARRAYFORMULA(REGEXEXTRACT(A169,""^(?:https?:\/\/)?(?:[^@\n]+@)?(?:www\.)?([^:\/\n]+)"")),"""")"),"ecolinewindows.ca")</f>
        <v>ecolinewindows.ca</v>
      </c>
    </row>
    <row r="170" spans="1:2" ht="12.5">
      <c r="A170" s="3" t="s">
        <v>426</v>
      </c>
      <c r="B170" s="4" t="str">
        <f ca="1">IFERROR(__xludf.DUMMYFUNCTION("IFERROR(ARRAYFORMULA(REGEXEXTRACT(A170,""^(?:https?:\/\/)?(?:[^@\n]+@)?(?:www\.)?([^:\/\n]+)"")),"""")"),"nexushomebuyers.com")</f>
        <v>nexushomebuyers.com</v>
      </c>
    </row>
    <row r="171" spans="1:2" ht="12.5">
      <c r="A171" s="3" t="s">
        <v>427</v>
      </c>
      <c r="B171" s="4" t="str">
        <f ca="1">IFERROR(__xludf.DUMMYFUNCTION("IFERROR(ARRAYFORMULA(REGEXEXTRACT(A171,""^(?:https?:\/\/)?(?:[^@\n]+@)?(?:www\.)?([^:\/\n]+)"")),"""")"),"homeone.com.au")</f>
        <v>homeone.com.au</v>
      </c>
    </row>
    <row r="172" spans="1:2" ht="12.5">
      <c r="A172" s="3" t="s">
        <v>428</v>
      </c>
      <c r="B172" s="4" t="str">
        <f ca="1">IFERROR(__xludf.DUMMYFUNCTION("IFERROR(ARRAYFORMULA(REGEXEXTRACT(A172,""^(?:https?:\/\/)?(?:[^@\n]+@)?(?:www\.)?([^:\/\n]+)"")),"""")"),"boomermagazine.com")</f>
        <v>boomermagazine.com</v>
      </c>
    </row>
    <row r="173" spans="1:2" ht="12.5">
      <c r="A173" s="3" t="s">
        <v>429</v>
      </c>
      <c r="B173" s="4" t="str">
        <f ca="1">IFERROR(__xludf.DUMMYFUNCTION("IFERROR(ARRAYFORMULA(REGEXEXTRACT(A173,""^(?:https?:\/\/)?(?:[^@\n]+@)?(?:www\.)?([^:\/\n]+)"")),"""")"),"debtbusters.com.au")</f>
        <v>debtbusters.com.au</v>
      </c>
    </row>
    <row r="174" spans="1:2" ht="12.5">
      <c r="A174" s="3" t="s">
        <v>430</v>
      </c>
      <c r="B174" s="4" t="str">
        <f ca="1">IFERROR(__xludf.DUMMYFUNCTION("IFERROR(ARRAYFORMULA(REGEXEXTRACT(A174,""^(?:https?:\/\/)?(?:[^@\n]+@)?(?:www\.)?([^:\/\n]+)"")),"""")"),"propertysolvers.co.uk")</f>
        <v>propertysolvers.co.uk</v>
      </c>
    </row>
    <row r="175" spans="1:2" ht="12.5">
      <c r="A175" s="3" t="s">
        <v>431</v>
      </c>
      <c r="B175" s="4" t="str">
        <f ca="1">IFERROR(__xludf.DUMMYFUNCTION("IFERROR(ARRAYFORMULA(REGEXEXTRACT(A175,""^(?:https?:\/\/)?(?:[^@\n]+@)?(?:www\.)?([^:\/\n]+)"")),"""")"),"jzplumbing.ca")</f>
        <v>jzplumbing.ca</v>
      </c>
    </row>
    <row r="176" spans="1:2" ht="12.5">
      <c r="A176" s="3" t="s">
        <v>432</v>
      </c>
      <c r="B176" s="4" t="str">
        <f ca="1">IFERROR(__xludf.DUMMYFUNCTION("IFERROR(ARRAYFORMULA(REGEXEXTRACT(A176,""^(?:https?:\/\/)?(?:[^@\n]+@)?(?:www\.)?([^:\/\n]+)"")),"""")"),"spacer.com")</f>
        <v>spacer.com</v>
      </c>
    </row>
    <row r="177" spans="1:2" ht="12.5">
      <c r="A177" s="3" t="s">
        <v>433</v>
      </c>
      <c r="B177" s="4" t="str">
        <f ca="1">IFERROR(__xludf.DUMMYFUNCTION("IFERROR(ARRAYFORMULA(REGEXEXTRACT(A177,""^(?:https?:\/\/)?(?:[^@\n]+@)?(?:www\.)?([^:\/\n]+)"")),"""")"),"roofrepairquote.com.au")</f>
        <v>roofrepairquote.com.au</v>
      </c>
    </row>
    <row r="178" spans="1:2" ht="12.5">
      <c r="A178" s="3" t="s">
        <v>434</v>
      </c>
      <c r="B178" s="4" t="str">
        <f ca="1">IFERROR(__xludf.DUMMYFUNCTION("IFERROR(ARRAYFORMULA(REGEXEXTRACT(A178,""^(?:https?:\/\/)?(?:[^@\n]+@)?(?:www\.)?([^:\/\n]+)"")),"""")"),"eatonrealty.com")</f>
        <v>eatonrealty.com</v>
      </c>
    </row>
    <row r="179" spans="1:2" ht="12.5">
      <c r="A179" s="3" t="s">
        <v>435</v>
      </c>
      <c r="B179" s="4" t="str">
        <f ca="1">IFERROR(__xludf.DUMMYFUNCTION("IFERROR(ARRAYFORMULA(REGEXEXTRACT(A179,""^(?:https?:\/\/)?(?:[^@\n]+@)?(?:www\.)?([^:\/\n]+)"")),"""")"),"spikeelectric.com")</f>
        <v>spikeelectric.com</v>
      </c>
    </row>
    <row r="180" spans="1:2" ht="12.5">
      <c r="A180" s="3" t="s">
        <v>436</v>
      </c>
      <c r="B180" s="4" t="str">
        <f ca="1">IFERROR(__xludf.DUMMYFUNCTION("IFERROR(ARRAYFORMULA(REGEXEXTRACT(A180,""^(?:https?:\/\/)?(?:[^@\n]+@)?(?:www\.)?([^:\/\n]+)"")),"""")"),"homoper.com")</f>
        <v>homoper.com</v>
      </c>
    </row>
    <row r="181" spans="1:2" ht="12.5">
      <c r="A181" s="3" t="s">
        <v>437</v>
      </c>
      <c r="B181" s="4" t="str">
        <f ca="1">IFERROR(__xludf.DUMMYFUNCTION("IFERROR(ARRAYFORMULA(REGEXEXTRACT(A181,""^(?:https?:\/\/)?(?:[^@\n]+@)?(?:www\.)?([^:\/\n]+)"")),"""")"),"garagecabinets.com")</f>
        <v>garagecabinets.com</v>
      </c>
    </row>
    <row r="182" spans="1:2" ht="12.5">
      <c r="A182" s="3" t="s">
        <v>438</v>
      </c>
      <c r="B182" s="4" t="str">
        <f ca="1">IFERROR(__xludf.DUMMYFUNCTION("IFERROR(ARRAYFORMULA(REGEXEXTRACT(A182,""^(?:https?:\/\/)?(?:[^@\n]+@)?(?:www\.)?([^:\/\n]+)"")),"""")"),"presidioroof.com")</f>
        <v>presidioroof.com</v>
      </c>
    </row>
    <row r="183" spans="1:2" ht="12.5">
      <c r="A183" s="3" t="s">
        <v>439</v>
      </c>
      <c r="B183" s="4" t="str">
        <f ca="1">IFERROR(__xludf.DUMMYFUNCTION("IFERROR(ARRAYFORMULA(REGEXEXTRACT(A183,""^(?:https?:\/\/)?(?:[^@\n]+@)?(?:www\.)?([^:\/\n]+)"")),"""")"),"daepumps.com")</f>
        <v>daepumps.com</v>
      </c>
    </row>
    <row r="184" spans="1:2" ht="12.5">
      <c r="A184" s="3" t="s">
        <v>440</v>
      </c>
      <c r="B184" s="4" t="str">
        <f ca="1">IFERROR(__xludf.DUMMYFUNCTION("IFERROR(ARRAYFORMULA(REGEXEXTRACT(A184,""^(?:https?:\/\/)?(?:[^@\n]+@)?(?:www\.)?([^:\/\n]+)"")),"""")"),"orlandorealtyconsultants.com")</f>
        <v>orlandorealtyconsultants.com</v>
      </c>
    </row>
    <row r="185" spans="1:2" ht="12.5">
      <c r="A185" s="3" t="s">
        <v>441</v>
      </c>
      <c r="B185" s="4" t="str">
        <f ca="1">IFERROR(__xludf.DUMMYFUNCTION("IFERROR(ARRAYFORMULA(REGEXEXTRACT(A185,""^(?:https?:\/\/)?(?:[^@\n]+@)?(?:www\.)?([^:\/\n]+)"")),"""")"),"maytronics.com.au")</f>
        <v>maytronics.com.au</v>
      </c>
    </row>
    <row r="186" spans="1:2" ht="12.5">
      <c r="A186" s="3" t="s">
        <v>442</v>
      </c>
      <c r="B186" s="4" t="str">
        <f ca="1">IFERROR(__xludf.DUMMYFUNCTION("IFERROR(ARRAYFORMULA(REGEXEXTRACT(A186,""^(?:https?:\/\/)?(?:[^@\n]+@)?(?:www\.)?([^:\/\n]+)"")),"""")"),"topnotchroofingkilleentx.com")</f>
        <v>topnotchroofingkilleentx.com</v>
      </c>
    </row>
    <row r="187" spans="1:2" ht="12.5">
      <c r="A187" s="3" t="s">
        <v>443</v>
      </c>
      <c r="B187" s="4" t="str">
        <f ca="1">IFERROR(__xludf.DUMMYFUNCTION("IFERROR(ARRAYFORMULA(REGEXEXTRACT(A187,""^(?:https?:\/\/)?(?:[^@\n]+@)?(?:www\.)?([^:\/\n]+)"")),"""")"),"bossdesigncenter.com")</f>
        <v>bossdesigncenter.com</v>
      </c>
    </row>
    <row r="188" spans="1:2" ht="12.5">
      <c r="A188" s="3" t="s">
        <v>444</v>
      </c>
      <c r="B188" s="4" t="str">
        <f ca="1">IFERROR(__xludf.DUMMYFUNCTION("IFERROR(ARRAYFORMULA(REGEXEXTRACT(A188,""^(?:https?:\/\/)?(?:[^@\n]+@)?(?:www\.)?([^:\/\n]+)"")),"""")"),"marchesepartners.com")</f>
        <v>marchesepartners.com</v>
      </c>
    </row>
    <row r="189" spans="1:2" ht="12.5">
      <c r="A189" s="3" t="s">
        <v>445</v>
      </c>
      <c r="B189" s="4" t="str">
        <f ca="1">IFERROR(__xludf.DUMMYFUNCTION("IFERROR(ARRAYFORMULA(REGEXEXTRACT(A189,""^(?:https?:\/\/)?(?:[^@\n]+@)?(?:www\.)?([^:\/\n]+)"")),"""")"),"mrroof.com")</f>
        <v>mrroof.com</v>
      </c>
    </row>
    <row r="190" spans="1:2" ht="12.5">
      <c r="A190" s="3" t="s">
        <v>446</v>
      </c>
      <c r="B190" s="4" t="str">
        <f ca="1">IFERROR(__xludf.DUMMYFUNCTION("IFERROR(ARRAYFORMULA(REGEXEXTRACT(A190,""^(?:https?:\/\/)?(?:[^@\n]+@)?(?:www\.)?([^:\/\n]+)"")),"""")"),"northernvirginiahomepro.com")</f>
        <v>northernvirginiahomepro.com</v>
      </c>
    </row>
    <row r="191" spans="1:2" ht="12.5">
      <c r="A191" s="3" t="s">
        <v>447</v>
      </c>
      <c r="B191" s="4" t="str">
        <f ca="1">IFERROR(__xludf.DUMMYFUNCTION("IFERROR(ARRAYFORMULA(REGEXEXTRACT(A191,""^(?:https?:\/\/)?(?:[^@\n]+@)?(?:www\.)?([^:\/\n]+)"")),"""")"),"stlbeds.com")</f>
        <v>stlbeds.com</v>
      </c>
    </row>
    <row r="192" spans="1:2" ht="12.5">
      <c r="A192" s="3" t="s">
        <v>448</v>
      </c>
      <c r="B192" s="4" t="str">
        <f ca="1">IFERROR(__xludf.DUMMYFUNCTION("IFERROR(ARRAYFORMULA(REGEXEXTRACT(A192,""^(?:https?:\/\/)?(?:[^@\n]+@)?(?:www\.)?([^:\/\n]+)"")),"""")"),"trianglehousehunter.com")</f>
        <v>trianglehousehunter.com</v>
      </c>
    </row>
    <row r="193" spans="1:2" ht="12.5">
      <c r="A193" s="3" t="s">
        <v>449</v>
      </c>
      <c r="B193" s="4" t="str">
        <f ca="1">IFERROR(__xludf.DUMMYFUNCTION("IFERROR(ARRAYFORMULA(REGEXEXTRACT(A193,""^(?:https?:\/\/)?(?:[^@\n]+@)?(?:www\.)?([^:\/\n]+)"")),"""")"),"homeevolution.net")</f>
        <v>homeevolution.net</v>
      </c>
    </row>
    <row r="194" spans="1:2" ht="12.5">
      <c r="A194" s="3" t="s">
        <v>450</v>
      </c>
      <c r="B194" s="4" t="str">
        <f ca="1">IFERROR(__xludf.DUMMYFUNCTION("IFERROR(ARRAYFORMULA(REGEXEXTRACT(A194,""^(?:https?:\/\/)?(?:[^@\n]+@)?(?:www\.)?([^:\/\n]+)"")),"""")"),"theroofmentors.com")</f>
        <v>theroofmentors.com</v>
      </c>
    </row>
    <row r="195" spans="1:2" ht="12.5">
      <c r="A195" s="3" t="s">
        <v>451</v>
      </c>
      <c r="B195" s="4" t="str">
        <f ca="1">IFERROR(__xludf.DUMMYFUNCTION("IFERROR(ARRAYFORMULA(REGEXEXTRACT(A195,""^(?:https?:\/\/)?(?:[^@\n]+@)?(?:www\.)?([^:\/\n]+)"")),"""")"),"accessdoorcompany.com")</f>
        <v>accessdoorcompany.com</v>
      </c>
    </row>
    <row r="196" spans="1:2" ht="12.5">
      <c r="A196" s="3" t="s">
        <v>452</v>
      </c>
      <c r="B196" s="4" t="str">
        <f ca="1">IFERROR(__xludf.DUMMYFUNCTION("IFERROR(ARRAYFORMULA(REGEXEXTRACT(A196,""^(?:https?:\/\/)?(?:[^@\n]+@)?(?:www\.)?([^:\/\n]+)"")),"""")"),"dijones.com.au")</f>
        <v>dijones.com.au</v>
      </c>
    </row>
    <row r="197" spans="1:2" ht="12.5">
      <c r="A197" s="3" t="s">
        <v>453</v>
      </c>
      <c r="B197" s="4" t="str">
        <f ca="1">IFERROR(__xludf.DUMMYFUNCTION("IFERROR(ARRAYFORMULA(REGEXEXTRACT(A197,""^(?:https?:\/\/)?(?:[^@\n]+@)?(?:www\.)?([^:\/\n]+)"")),"""")"),"movingproz.com")</f>
        <v>movingproz.com</v>
      </c>
    </row>
    <row r="198" spans="1:2" ht="12.5">
      <c r="A198" s="3" t="s">
        <v>454</v>
      </c>
      <c r="B198" s="4" t="str">
        <f ca="1">IFERROR(__xludf.DUMMYFUNCTION("IFERROR(ARRAYFORMULA(REGEXEXTRACT(A198,""^(?:https?:\/\/)?(?:[^@\n]+@)?(?:www\.)?([^:\/\n]+)"")),"""")"),"stproperties.com")</f>
        <v>stproperties.com</v>
      </c>
    </row>
    <row r="199" spans="1:2" ht="12.5">
      <c r="A199" s="3" t="s">
        <v>455</v>
      </c>
      <c r="B199" s="4" t="str">
        <f ca="1">IFERROR(__xludf.DUMMYFUNCTION("IFERROR(ARRAYFORMULA(REGEXEXTRACT(A199,""^(?:https?:\/\/)?(?:[^@\n]+@)?(?:www\.)?([^:\/\n]+)"")),"""")"),"agedcareguide.com.au")</f>
        <v>agedcareguide.com.au</v>
      </c>
    </row>
    <row r="200" spans="1:2" ht="12.5">
      <c r="A200" s="3" t="s">
        <v>456</v>
      </c>
      <c r="B200" s="4" t="str">
        <f ca="1">IFERROR(__xludf.DUMMYFUNCTION("IFERROR(ARRAYFORMULA(REGEXEXTRACT(A200,""^(?:https?:\/\/)?(?:[^@\n]+@)?(?:www\.)?([^:\/\n]+)"")),"""")"),"northfultonexterminating.com")</f>
        <v>northfultonexterminating.com</v>
      </c>
    </row>
    <row r="201" spans="1:2" ht="12.5">
      <c r="A201" s="3" t="s">
        <v>457</v>
      </c>
      <c r="B201" s="4" t="str">
        <f ca="1">IFERROR(__xludf.DUMMYFUNCTION("IFERROR(ARRAYFORMULA(REGEXEXTRACT(A201,""^(?:https?:\/\/)?(?:[^@\n]+@)?(?:www\.)?([^:\/\n]+)"")),"""")"),"districtlending.com")</f>
        <v>districtlending.com</v>
      </c>
    </row>
    <row r="202" spans="1:2" ht="12.5">
      <c r="A202" s="3" t="s">
        <v>458</v>
      </c>
      <c r="B202" s="4" t="str">
        <f ca="1">IFERROR(__xludf.DUMMYFUNCTION("IFERROR(ARRAYFORMULA(REGEXEXTRACT(A202,""^(?:https?:\/\/)?(?:[^@\n]+@)?(?:www\.)?([^:\/\n]+)"")),"""")"),"baselane.com")</f>
        <v>baselane.com</v>
      </c>
    </row>
    <row r="203" spans="1:2" ht="12.5">
      <c r="A203" s="3" t="s">
        <v>459</v>
      </c>
      <c r="B203" s="4" t="str">
        <f ca="1">IFERROR(__xludf.DUMMYFUNCTION("IFERROR(ARRAYFORMULA(REGEXEXTRACT(A203,""^(?:https?:\/\/)?(?:[^@\n]+@)?(?:www\.)?([^:\/\n]+)"")),"""")"),"physicianbanks.com")</f>
        <v>physicianbanks.com</v>
      </c>
    </row>
    <row r="204" spans="1:2" ht="12.5">
      <c r="A204" s="3" t="s">
        <v>460</v>
      </c>
      <c r="B204" s="4" t="str">
        <f ca="1">IFERROR(__xludf.DUMMYFUNCTION("IFERROR(ARRAYFORMULA(REGEXEXTRACT(A204,""^(?:https?:\/\/)?(?:[^@\n]+@)?(?:www\.)?([^:\/\n]+)"")),"""")"),"wilsonplumbingandheating.com")</f>
        <v>wilsonplumbingandheating.com</v>
      </c>
    </row>
    <row r="205" spans="1:2" ht="12.5">
      <c r="A205" s="3" t="s">
        <v>461</v>
      </c>
      <c r="B205" s="4" t="str">
        <f ca="1">IFERROR(__xludf.DUMMYFUNCTION("IFERROR(ARRAYFORMULA(REGEXEXTRACT(A205,""^(?:https?:\/\/)?(?:[^@\n]+@)?(?:www\.)?([^:\/\n]+)"")),"""")"),"theownerbuildernetwork.co")</f>
        <v>theownerbuildernetwork.co</v>
      </c>
    </row>
    <row r="206" spans="1:2" ht="12.5">
      <c r="A206" s="3" t="s">
        <v>462</v>
      </c>
      <c r="B206" s="4" t="str">
        <f ca="1">IFERROR(__xludf.DUMMYFUNCTION("IFERROR(ARRAYFORMULA(REGEXEXTRACT(A206,""^(?:https?:\/\/)?(?:[^@\n]+@)?(?:www\.)?([^:\/\n]+)"")),"""")"),"woodbridgehomesolutions.com")</f>
        <v>woodbridgehomesolutions.com</v>
      </c>
    </row>
    <row r="207" spans="1:2" ht="12.5">
      <c r="A207" s="3" t="s">
        <v>463</v>
      </c>
      <c r="B207" s="4" t="str">
        <f ca="1">IFERROR(__xludf.DUMMYFUNCTION("IFERROR(ARRAYFORMULA(REGEXEXTRACT(A207,""^(?:https?:\/\/)?(?:[^@\n]+@)?(?:www\.)?([^:\/\n]+)"")),"""")"),"janefischer.com")</f>
        <v>janefischer.com</v>
      </c>
    </row>
    <row r="208" spans="1:2" ht="12.5">
      <c r="A208" s="3" t="s">
        <v>464</v>
      </c>
      <c r="B208" s="4" t="str">
        <f ca="1">IFERROR(__xludf.DUMMYFUNCTION("IFERROR(ARRAYFORMULA(REGEXEXTRACT(A208,""^(?:https?:\/\/)?(?:[^@\n]+@)?(?:www\.)?([^:\/\n]+)"")),"""")"),"medistik.com")</f>
        <v>medistik.com</v>
      </c>
    </row>
    <row r="209" spans="1:2" ht="12.5">
      <c r="A209" s="3" t="s">
        <v>465</v>
      </c>
      <c r="B209" s="4" t="str">
        <f ca="1">IFERROR(__xludf.DUMMYFUNCTION("IFERROR(ARRAYFORMULA(REGEXEXTRACT(A209,""^(?:https?:\/\/)?(?:[^@\n]+@)?(?:www\.)?([^:\/\n]+)"")),"""")"),"lajaunies.com")</f>
        <v>lajaunies.com</v>
      </c>
    </row>
    <row r="210" spans="1:2" ht="12.5">
      <c r="A210" s="3" t="s">
        <v>466</v>
      </c>
      <c r="B210" s="4" t="str">
        <f ca="1">IFERROR(__xludf.DUMMYFUNCTION("IFERROR(ARRAYFORMULA(REGEXEXTRACT(A210,""^(?:https?:\/\/)?(?:[^@\n]+@)?(?:www\.)?([^:\/\n]+)"")),"""")"),"callwaynes.com")</f>
        <v>callwaynes.com</v>
      </c>
    </row>
    <row r="211" spans="1:2" ht="12.5">
      <c r="A211" s="3" t="s">
        <v>467</v>
      </c>
      <c r="B211" s="4" t="str">
        <f ca="1">IFERROR(__xludf.DUMMYFUNCTION("IFERROR(ARRAYFORMULA(REGEXEXTRACT(A211,""^(?:https?:\/\/)?(?:[^@\n]+@)?(?:www\.)?([^:\/\n]+)"")),"""")"),"guardiansafeandvault.com")</f>
        <v>guardiansafeandvault.com</v>
      </c>
    </row>
    <row r="212" spans="1:2" ht="12.5">
      <c r="A212" s="3" t="s">
        <v>468</v>
      </c>
      <c r="B212" s="4" t="str">
        <f ca="1">IFERROR(__xludf.DUMMYFUNCTION("IFERROR(ARRAYFORMULA(REGEXEXTRACT(A212,""^(?:https?:\/\/)?(?:[^@\n]+@)?(?:www\.)?([^:\/\n]+)"")),"""")"),"williamslumber.com")</f>
        <v>williamslumber.com</v>
      </c>
    </row>
    <row r="213" spans="1:2" ht="12.5">
      <c r="A213" s="3" t="s">
        <v>469</v>
      </c>
      <c r="B213" s="4" t="str">
        <f ca="1">IFERROR(__xludf.DUMMYFUNCTION("IFERROR(ARRAYFORMULA(REGEXEXTRACT(A213,""^(?:https?:\/\/)?(?:[^@\n]+@)?(?:www\.)?([^:\/\n]+)"")),"""")"),"1300rubbish.com.au")</f>
        <v>1300rubbish.com.au</v>
      </c>
    </row>
    <row r="214" spans="1:2" ht="12.5">
      <c r="A214" s="3" t="s">
        <v>470</v>
      </c>
      <c r="B214" s="4" t="str">
        <f ca="1">IFERROR(__xludf.DUMMYFUNCTION("IFERROR(ARRAYFORMULA(REGEXEXTRACT(A214,""^(?:https?:\/\/)?(?:[^@\n]+@)?(?:www\.)?([^:\/\n]+)"")),"""")"),"getasiteplan.com")</f>
        <v>getasiteplan.com</v>
      </c>
    </row>
    <row r="215" spans="1:2" ht="12.5">
      <c r="A215" s="3" t="s">
        <v>471</v>
      </c>
      <c r="B215" s="4" t="str">
        <f ca="1">IFERROR(__xludf.DUMMYFUNCTION("IFERROR(ARRAYFORMULA(REGEXEXTRACT(A215,""^(?:https?:\/\/)?(?:[^@\n]+@)?(?:www\.)?([^:\/\n]+)"")),"""")"),"superiorhomesupplies.com")</f>
        <v>superiorhomesupplies.com</v>
      </c>
    </row>
    <row r="216" spans="1:2" ht="12.5">
      <c r="A216" s="3" t="s">
        <v>472</v>
      </c>
      <c r="B216" s="4" t="str">
        <f ca="1">IFERROR(__xludf.DUMMYFUNCTION("IFERROR(ARRAYFORMULA(REGEXEXTRACT(A216,""^(?:https?:\/\/)?(?:[^@\n]+@)?(?:www\.)?([^:\/\n]+)"")),"""")"),"propertyrescue.co.uk")</f>
        <v>propertyrescue.co.uk</v>
      </c>
    </row>
    <row r="217" spans="1:2" ht="12.5">
      <c r="A217" s="3" t="s">
        <v>473</v>
      </c>
      <c r="B217" s="7" t="str">
        <f ca="1">IFERROR(__xludf.DUMMYFUNCTION("IFERROR(ARRAYFORMULA(REGEXEXTRACT(A217,""^(?:https?:\/\/)?(?:[^@\n]+@)?(?:www\.)?([^:\/\n]+)"")),"""")"),"sharedeasy.club")</f>
        <v>sharedeasy.club</v>
      </c>
    </row>
    <row r="218" spans="1:2" ht="12.5">
      <c r="A218" s="3" t="s">
        <v>474</v>
      </c>
      <c r="B218" s="4" t="str">
        <f ca="1">IFERROR(__xludf.DUMMYFUNCTION("IFERROR(ARRAYFORMULA(REGEXEXTRACT(A218,""^(?:https?:\/\/)?(?:[^@\n]+@)?(?:www\.)?([^:\/\n]+)"")),"""")"),"prospa.com")</f>
        <v>prospa.com</v>
      </c>
    </row>
    <row r="219" spans="1:2" ht="12.5">
      <c r="A219" s="3" t="s">
        <v>475</v>
      </c>
      <c r="B219" s="4" t="str">
        <f ca="1">IFERROR(__xludf.DUMMYFUNCTION("IFERROR(ARRAYFORMULA(REGEXEXTRACT(A219,""^(?:https?:\/\/)?(?:[^@\n]+@)?(?:www\.)?([^:\/\n]+)"")),"""")"),"advantageremodelingandroofing.com")</f>
        <v>advantageremodelingandroofing.com</v>
      </c>
    </row>
    <row r="220" spans="1:2" ht="12.5">
      <c r="A220" s="3" t="s">
        <v>476</v>
      </c>
      <c r="B220" s="4" t="str">
        <f ca="1">IFERROR(__xludf.DUMMYFUNCTION("IFERROR(ARRAYFORMULA(REGEXEXTRACT(A220,""^(?:https?:\/\/)?(?:[^@\n]+@)?(?:www\.)?([^:\/\n]+)"")),"""")"),"gopaschal.com")</f>
        <v>gopaschal.com</v>
      </c>
    </row>
    <row r="221" spans="1:2" ht="12.5">
      <c r="A221" s="3" t="s">
        <v>477</v>
      </c>
      <c r="B221" s="4" t="str">
        <f ca="1">IFERROR(__xludf.DUMMYFUNCTION("IFERROR(ARRAYFORMULA(REGEXEXTRACT(A221,""^(?:https?:\/\/)?(?:[^@\n]+@)?(?:www\.)?([^:\/\n]+)"")),"""")"),"truebluesheds.com.au")</f>
        <v>truebluesheds.com.au</v>
      </c>
    </row>
    <row r="222" spans="1:2" ht="12.5">
      <c r="A222" s="3" t="s">
        <v>478</v>
      </c>
      <c r="B222" s="4" t="str">
        <f ca="1">IFERROR(__xludf.DUMMYFUNCTION("IFERROR(ARRAYFORMULA(REGEXEXTRACT(A222,""^(?:https?:\/\/)?(?:[^@\n]+@)?(?:www\.)?([^:\/\n]+)"")),"""")"),"silentbeacon.com")</f>
        <v>silentbeacon.com</v>
      </c>
    </row>
    <row r="223" spans="1:2" ht="12.5">
      <c r="A223" s="3" t="s">
        <v>479</v>
      </c>
      <c r="B223" s="4" t="str">
        <f ca="1">IFERROR(__xludf.DUMMYFUNCTION("IFERROR(ARRAYFORMULA(REGEXEXTRACT(A223,""^(?:https?:\/\/)?(?:[^@\n]+@)?(?:www\.)?([^:\/\n]+)"")),"""")"),"bigapplemoving.com")</f>
        <v>bigapplemoving.com</v>
      </c>
    </row>
    <row r="224" spans="1:2" ht="12.5">
      <c r="A224" s="3" t="s">
        <v>480</v>
      </c>
      <c r="B224" s="4" t="str">
        <f ca="1">IFERROR(__xludf.DUMMYFUNCTION("IFERROR(ARRAYFORMULA(REGEXEXTRACT(A224,""^(?:https?:\/\/)?(?:[^@\n]+@)?(?:www\.)?([^:\/\n]+)"")),"""")"),"thelockup.com")</f>
        <v>thelockup.com</v>
      </c>
    </row>
    <row r="225" spans="1:2" ht="12.5">
      <c r="A225" s="3" t="s">
        <v>481</v>
      </c>
      <c r="B225" s="4" t="str">
        <f ca="1">IFERROR(__xludf.DUMMYFUNCTION("IFERROR(ARRAYFORMULA(REGEXEXTRACT(A225,""^(?:https?:\/\/)?(?:[^@\n]+@)?(?:www\.)?([^:\/\n]+)"")),"""")"),"mannlakeltd.com")</f>
        <v>mannlakeltd.com</v>
      </c>
    </row>
    <row r="226" spans="1:2" ht="12.5">
      <c r="A226" s="3" t="s">
        <v>482</v>
      </c>
      <c r="B226" s="4" t="str">
        <f ca="1">IFERROR(__xludf.DUMMYFUNCTION("IFERROR(ARRAYFORMULA(REGEXEXTRACT(A226,""^(?:https?:\/\/)?(?:[^@\n]+@)?(?:www\.)?([^:\/\n]+)"")),"""")"),"allphaserestore.com")</f>
        <v>allphaserestore.com</v>
      </c>
    </row>
    <row r="227" spans="1:2" ht="12.5">
      <c r="A227" s="3" t="s">
        <v>483</v>
      </c>
      <c r="B227" s="4" t="str">
        <f ca="1">IFERROR(__xludf.DUMMYFUNCTION("IFERROR(ARRAYFORMULA(REGEXEXTRACT(A227,""^(?:https?:\/\/)?(?:[^@\n]+@)?(?:www\.)?([^:\/\n]+)"")),"""")"),"visiolending.com")</f>
        <v>visiolending.com</v>
      </c>
    </row>
    <row r="228" spans="1:2" ht="12.5">
      <c r="A228" s="3" t="s">
        <v>484</v>
      </c>
      <c r="B228" s="4" t="str">
        <f ca="1">IFERROR(__xludf.DUMMYFUNCTION("IFERROR(ARRAYFORMULA(REGEXEXTRACT(A228,""^(?:https?:\/\/)?(?:[^@\n]+@)?(?:www\.)?([^:\/\n]+)"")),"""")"),"viewhomes.ca")</f>
        <v>viewhomes.ca</v>
      </c>
    </row>
    <row r="229" spans="1:2" ht="12.5">
      <c r="A229" s="3" t="s">
        <v>485</v>
      </c>
      <c r="B229" s="7" t="str">
        <f ca="1">IFERROR(__xludf.DUMMYFUNCTION("IFERROR(ARRAYFORMULA(REGEXEXTRACT(A229,""^(?:https?:\/\/)?(?:[^@\n]+@)?(?:www\.)?([^:\/\n]+)"")),"""")"),"auckland.plumbing")</f>
        <v>auckland.plumbing</v>
      </c>
    </row>
    <row r="230" spans="1:2" ht="12.5">
      <c r="A230" s="3" t="s">
        <v>486</v>
      </c>
      <c r="B230" s="4" t="str">
        <f ca="1">IFERROR(__xludf.DUMMYFUNCTION("IFERROR(ARRAYFORMULA(REGEXEXTRACT(A230,""^(?:https?:\/\/)?(?:[^@\n]+@)?(?:www\.)?([^:\/\n]+)"")),"""")"),"accessdoorsandpanels.com")</f>
        <v>accessdoorsandpanels.com</v>
      </c>
    </row>
    <row r="231" spans="1:2" ht="12.5">
      <c r="A231" s="3" t="s">
        <v>487</v>
      </c>
      <c r="B231" s="4" t="str">
        <f ca="1">IFERROR(__xludf.DUMMYFUNCTION("IFERROR(ARRAYFORMULA(REGEXEXTRACT(A231,""^(?:https?:\/\/)?(?:[^@\n]+@)?(?:www\.)?([^:\/\n]+)"")),"""")"),"cottongds.com")</f>
        <v>cottongds.com</v>
      </c>
    </row>
    <row r="232" spans="1:2" ht="12.5">
      <c r="A232" s="3" t="s">
        <v>488</v>
      </c>
      <c r="B232" s="4" t="str">
        <f ca="1">IFERROR(__xludf.DUMMYFUNCTION("IFERROR(ARRAYFORMULA(REGEXEXTRACT(A232,""^(?:https?:\/\/)?(?:[^@\n]+@)?(?:www\.)?([^:\/\n]+)"")),"""")"),"unloadmyhome.com")</f>
        <v>unloadmyhome.com</v>
      </c>
    </row>
    <row r="233" spans="1:2" ht="12.5">
      <c r="A233" s="3" t="s">
        <v>489</v>
      </c>
      <c r="B233" s="4" t="str">
        <f ca="1">IFERROR(__xludf.DUMMYFUNCTION("IFERROR(ARRAYFORMULA(REGEXEXTRACT(A233,""^(?:https?:\/\/)?(?:[^@\n]+@)?(?:www\.)?([^:\/\n]+)"")),"""")"),"belcofp.com")</f>
        <v>belcofp.com</v>
      </c>
    </row>
    <row r="234" spans="1:2" ht="12.5">
      <c r="A234" s="3" t="s">
        <v>490</v>
      </c>
      <c r="B234" s="4" t="str">
        <f ca="1">IFERROR(__xludf.DUMMYFUNCTION("IFERROR(ARRAYFORMULA(REGEXEXTRACT(A234,""^(?:https?:\/\/)?(?:[^@\n]+@)?(?:www\.)?([^:\/\n]+)"")),"""")"),"aquariushomeservices.com")</f>
        <v>aquariushomeservices.com</v>
      </c>
    </row>
    <row r="235" spans="1:2" ht="12.5">
      <c r="A235" s="3" t="s">
        <v>491</v>
      </c>
      <c r="B235" s="4" t="str">
        <f ca="1">IFERROR(__xludf.DUMMYFUNCTION("IFERROR(ARRAYFORMULA(REGEXEXTRACT(A235,""^(?:https?:\/\/)?(?:[^@\n]+@)?(?:www\.)?([^:\/\n]+)"")),"""")"),"parkpl.co")</f>
        <v>parkpl.co</v>
      </c>
    </row>
    <row r="236" spans="1:2" ht="12.5">
      <c r="A236" s="3" t="s">
        <v>492</v>
      </c>
      <c r="B236" s="4" t="str">
        <f ca="1">IFERROR(__xludf.DUMMYFUNCTION("IFERROR(ARRAYFORMULA(REGEXEXTRACT(A236,""^(?:https?:\/\/)?(?:[^@\n]+@)?(?:www\.)?([^:\/\n]+)"")),"""")"),"newlinepainting.com.au")</f>
        <v>newlinepainting.com.au</v>
      </c>
    </row>
    <row r="237" spans="1:2" ht="12.5">
      <c r="A237" s="3" t="s">
        <v>493</v>
      </c>
      <c r="B237" s="4" t="str">
        <f ca="1">IFERROR(__xludf.DUMMYFUNCTION("IFERROR(ARRAYFORMULA(REGEXEXTRACT(A237,""^(?:https?:\/\/)?(?:[^@\n]+@)?(?:www\.)?([^:\/\n]+)"")),"""")"),"nationsroof.com")</f>
        <v>nationsroof.com</v>
      </c>
    </row>
    <row r="238" spans="1:2" ht="12.5">
      <c r="A238" s="3" t="s">
        <v>494</v>
      </c>
      <c r="B238" s="4" t="str">
        <f ca="1">IFERROR(__xludf.DUMMYFUNCTION("IFERROR(ARRAYFORMULA(REGEXEXTRACT(A238,""^(?:https?:\/\/)?(?:[^@\n]+@)?(?:www\.)?([^:\/\n]+)"")),"""")"),"nuwavenow.com")</f>
        <v>nuwavenow.com</v>
      </c>
    </row>
    <row r="239" spans="1:2" ht="12.5">
      <c r="A239" s="3" t="s">
        <v>495</v>
      </c>
      <c r="B239" s="4" t="str">
        <f ca="1">IFERROR(__xludf.DUMMYFUNCTION("IFERROR(ARRAYFORMULA(REGEXEXTRACT(A239,""^(?:https?:\/\/)?(?:[^@\n]+@)?(?:www\.)?([^:\/\n]+)"")),"""")"),"h3homebuyers.com")</f>
        <v>h3homebuyers.com</v>
      </c>
    </row>
    <row r="240" spans="1:2" ht="12.5">
      <c r="A240" s="3" t="s">
        <v>496</v>
      </c>
      <c r="B240" s="4" t="str">
        <f ca="1">IFERROR(__xludf.DUMMYFUNCTION("IFERROR(ARRAYFORMULA(REGEXEXTRACT(A240,""^(?:https?:\/\/)?(?:[^@\n]+@)?(?:www\.)?([^:\/\n]+)"")),"""")"),"valenciatheaterseating.com")</f>
        <v>valenciatheaterseating.com</v>
      </c>
    </row>
    <row r="241" spans="1:2" ht="12.5">
      <c r="A241" s="3" t="s">
        <v>497</v>
      </c>
      <c r="B241" s="4" t="str">
        <f ca="1">IFERROR(__xludf.DUMMYFUNCTION("IFERROR(ARRAYFORMULA(REGEXEXTRACT(A241,""^(?:https?:\/\/)?(?:[^@\n]+@)?(?:www\.)?([^:\/\n]+)"")),"""")"),"multiquotetime.co.uk")</f>
        <v>multiquotetime.co.uk</v>
      </c>
    </row>
    <row r="242" spans="1:2" ht="12.5">
      <c r="A242" s="3" t="s">
        <v>498</v>
      </c>
      <c r="B242" s="4" t="str">
        <f ca="1">IFERROR(__xludf.DUMMYFUNCTION("IFERROR(ARRAYFORMULA(REGEXEXTRACT(A242,""^(?:https?:\/\/)?(?:[^@\n]+@)?(?:www\.)?([^:\/\n]+)"")),"""")"),"boomnow.com")</f>
        <v>boomnow.com</v>
      </c>
    </row>
    <row r="243" spans="1:2" ht="12.5">
      <c r="A243" s="3" t="s">
        <v>499</v>
      </c>
      <c r="B243" s="4" t="str">
        <f ca="1">IFERROR(__xludf.DUMMYFUNCTION("IFERROR(ARRAYFORMULA(REGEXEXTRACT(A243,""^(?:https?:\/\/)?(?:[^@\n]+@)?(?:www\.)?([^:\/\n]+)"")),"""")"),"ascbp.com")</f>
        <v>ascbp.com</v>
      </c>
    </row>
    <row r="244" spans="1:2" ht="12.5">
      <c r="A244" s="3" t="s">
        <v>500</v>
      </c>
      <c r="B244" s="4" t="str">
        <f ca="1">IFERROR(__xludf.DUMMYFUNCTION("IFERROR(ARRAYFORMULA(REGEXEXTRACT(A244,""^(?:https?:\/\/)?(?:[^@\n]+@)?(?:www\.)?([^:\/\n]+)"")),"""")"),"us.swann.com")</f>
        <v>us.swann.com</v>
      </c>
    </row>
    <row r="245" spans="1:2" ht="12.5">
      <c r="A245" s="3" t="s">
        <v>501</v>
      </c>
      <c r="B245" s="4" t="str">
        <f ca="1">IFERROR(__xludf.DUMMYFUNCTION("IFERROR(ARRAYFORMULA(REGEXEXTRACT(A245,""^(?:https?:\/\/)?(?:[^@\n]+@)?(?:www\.)?([^:\/\n]+)"")),"""")"),"decorativeceilingtiles.net")</f>
        <v>decorativeceilingtiles.net</v>
      </c>
    </row>
    <row r="246" spans="1:2" ht="12.5">
      <c r="A246" s="3" t="s">
        <v>502</v>
      </c>
      <c r="B246" s="4" t="str">
        <f ca="1">IFERROR(__xludf.DUMMYFUNCTION("IFERROR(ARRAYFORMULA(REGEXEXTRACT(A246,""^(?:https?:\/\/)?(?:[^@\n]+@)?(?:www\.)?([^:\/\n]+)"")),"""")"),"azjunkremoval.com")</f>
        <v>azjunkremoval.com</v>
      </c>
    </row>
    <row r="247" spans="1:2" ht="12.5">
      <c r="A247" s="3" t="s">
        <v>503</v>
      </c>
      <c r="B247" s="4" t="str">
        <f ca="1">IFERROR(__xludf.DUMMYFUNCTION("IFERROR(ARRAYFORMULA(REGEXEXTRACT(A247,""^(?:https?:\/\/)?(?:[^@\n]+@)?(?:www\.)?([^:\/\n]+)"")),"""")"),"webuyanyhome.com")</f>
        <v>webuyanyhome.com</v>
      </c>
    </row>
    <row r="248" spans="1:2" ht="12.5">
      <c r="A248" s="3" t="s">
        <v>504</v>
      </c>
      <c r="B248" s="4" t="str">
        <f ca="1">IFERROR(__xludf.DUMMYFUNCTION("IFERROR(ARRAYFORMULA(REGEXEXTRACT(A248,""^(?:https?:\/\/)?(?:[^@\n]+@)?(?:www\.)?([^:\/\n]+)"")),"""")"),"fastenere.com")</f>
        <v>fastenere.com</v>
      </c>
    </row>
    <row r="249" spans="1:2" ht="12.5">
      <c r="A249" s="3" t="s">
        <v>505</v>
      </c>
      <c r="B249" s="4" t="str">
        <f ca="1">IFERROR(__xludf.DUMMYFUNCTION("IFERROR(ARRAYFORMULA(REGEXEXTRACT(A249,""^(?:https?:\/\/)?(?:[^@\n]+@)?(?:www\.)?([^:\/\n]+)"")),"""")"),"sealed.com")</f>
        <v>sealed.com</v>
      </c>
    </row>
    <row r="250" spans="1:2" ht="12.5">
      <c r="A250" s="3" t="s">
        <v>506</v>
      </c>
      <c r="B250" s="4" t="str">
        <f ca="1">IFERROR(__xludf.DUMMYFUNCTION("IFERROR(ARRAYFORMULA(REGEXEXTRACT(A250,""^(?:https?:\/\/)?(?:[^@\n]+@)?(?:www\.)?([^:\/\n]+)"")),"""")"),"omegarender.com")</f>
        <v>omegarender.com</v>
      </c>
    </row>
    <row r="251" spans="1:2" ht="12.5">
      <c r="A251" s="3" t="s">
        <v>507</v>
      </c>
      <c r="B251" s="4" t="str">
        <f ca="1">IFERROR(__xludf.DUMMYFUNCTION("IFERROR(ARRAYFORMULA(REGEXEXTRACT(A251,""^(?:https?:\/\/)?(?:[^@\n]+@)?(?:www\.)?([^:\/\n]+)"")),"""")"),"peakbuilderssd.com")</f>
        <v>peakbuilderssd.com</v>
      </c>
    </row>
    <row r="252" spans="1:2" ht="12.5">
      <c r="A252" s="3" t="s">
        <v>508</v>
      </c>
      <c r="B252" s="4" t="str">
        <f ca="1">IFERROR(__xludf.DUMMYFUNCTION("IFERROR(ARRAYFORMULA(REGEXEXTRACT(A252,""^(?:https?:\/\/)?(?:[^@\n]+@)?(?:www\.)?([^:\/\n]+)"")),"""")"),"mitchellmcdermott.com")</f>
        <v>mitchellmcdermott.com</v>
      </c>
    </row>
    <row r="253" spans="1:2" ht="12.5">
      <c r="A253" s="3" t="s">
        <v>509</v>
      </c>
      <c r="B253" s="4" t="str">
        <f ca="1">IFERROR(__xludf.DUMMYFUNCTION("IFERROR(ARRAYFORMULA(REGEXEXTRACT(A253,""^(?:https?:\/\/)?(?:[^@\n]+@)?(?:www\.)?([^:\/\n]+)"")),"""")"),"lushdecor.com")</f>
        <v>lushdecor.com</v>
      </c>
    </row>
    <row r="254" spans="1:2" ht="12.5">
      <c r="A254" s="3" t="s">
        <v>510</v>
      </c>
      <c r="B254" s="4" t="str">
        <f ca="1">IFERROR(__xludf.DUMMYFUNCTION("IFERROR(ARRAYFORMULA(REGEXEXTRACT(A254,""^(?:https?:\/\/)?(?:[^@\n]+@)?(?:www\.)?([^:\/\n]+)"")),"""")"),"boilercoveruk.co.uk")</f>
        <v>boilercoveruk.co.uk</v>
      </c>
    </row>
    <row r="255" spans="1:2" ht="12.5">
      <c r="A255" s="3" t="s">
        <v>511</v>
      </c>
      <c r="B255" s="4" t="str">
        <f ca="1">IFERROR(__xludf.DUMMYFUNCTION("IFERROR(ARRAYFORMULA(REGEXEXTRACT(A255,""^(?:https?:\/\/)?(?:[^@\n]+@)?(?:www\.)?([^:\/\n]+)"")),"""")"),"mobilehomebuyerfl.com")</f>
        <v>mobilehomebuyerfl.com</v>
      </c>
    </row>
    <row r="256" spans="1:2" ht="12.5">
      <c r="A256" s="3" t="s">
        <v>512</v>
      </c>
      <c r="B256" s="4" t="str">
        <f ca="1">IFERROR(__xludf.DUMMYFUNCTION("IFERROR(ARRAYFORMULA(REGEXEXTRACT(A256,""^(?:https?:\/\/)?(?:[^@\n]+@)?(?:www\.)?([^:\/\n]+)"")),"""")"),"luvanto.com")</f>
        <v>luvanto.com</v>
      </c>
    </row>
    <row r="257" spans="1:2" ht="12.5">
      <c r="A257" s="3" t="s">
        <v>513</v>
      </c>
      <c r="B257" s="4" t="str">
        <f ca="1">IFERROR(__xludf.DUMMYFUNCTION("IFERROR(ARRAYFORMULA(REGEXEXTRACT(A257,""^(?:https?:\/\/)?(?:[^@\n]+@)?(?:www\.)?([^:\/\n]+)"")),"""")"),"opespartners.co.nz")</f>
        <v>opespartners.co.nz</v>
      </c>
    </row>
    <row r="258" spans="1:2" ht="12.5">
      <c r="A258" s="3" t="s">
        <v>514</v>
      </c>
      <c r="B258" s="4" t="str">
        <f ca="1">IFERROR(__xludf.DUMMYFUNCTION("IFERROR(ARRAYFORMULA(REGEXEXTRACT(A258,""^(?:https?:\/\/)?(?:[^@\n]+@)?(?:www\.)?([^:\/\n]+)"")),"""")"),"metarealtyinc.ca")</f>
        <v>metarealtyinc.ca</v>
      </c>
    </row>
    <row r="259" spans="1:2" ht="12.5">
      <c r="A259" s="3" t="s">
        <v>515</v>
      </c>
      <c r="B259" s="4" t="str">
        <f ca="1">IFERROR(__xludf.DUMMYFUNCTION("IFERROR(ARRAYFORMULA(REGEXEXTRACT(A259,""^(?:https?:\/\/)?(?:[^@\n]+@)?(?:www\.)?([^:\/\n]+)"")),"""")"),"finquery.com")</f>
        <v>finquery.com</v>
      </c>
    </row>
    <row r="260" spans="1:2" ht="12.5">
      <c r="A260" s="3" t="s">
        <v>516</v>
      </c>
      <c r="B260" s="4" t="str">
        <f ca="1">IFERROR(__xludf.DUMMYFUNCTION("IFERROR(ARRAYFORMULA(REGEXEXTRACT(A260,""^(?:https?:\/\/)?(?:[^@\n]+@)?(?:www\.)?([^:\/\n]+)"")),"""")"),"withflitch.com")</f>
        <v>withflitch.com</v>
      </c>
    </row>
    <row r="261" spans="1:2" ht="12.5">
      <c r="A261" s="3" t="s">
        <v>517</v>
      </c>
      <c r="B261" s="4" t="str">
        <f ca="1">IFERROR(__xludf.DUMMYFUNCTION("IFERROR(ARRAYFORMULA(REGEXEXTRACT(A261,""^(?:https?:\/\/)?(?:[^@\n]+@)?(?:www\.)?([^:\/\n]+)"")),"""")"),"californiamobility.com")</f>
        <v>californiamobility.com</v>
      </c>
    </row>
    <row r="262" spans="1:2" ht="12.5">
      <c r="A262" s="3" t="s">
        <v>518</v>
      </c>
      <c r="B262" s="4" t="str">
        <f ca="1">IFERROR(__xludf.DUMMYFUNCTION("IFERROR(ARRAYFORMULA(REGEXEXTRACT(A262,""^(?:https?:\/\/)?(?:[^@\n]+@)?(?:www\.)?([^:\/\n]+)"")),"""")"),"cheapstairparts.com")</f>
        <v>cheapstairparts.com</v>
      </c>
    </row>
    <row r="263" spans="1:2" ht="12.5">
      <c r="A263" s="3" t="s">
        <v>519</v>
      </c>
      <c r="B263" s="4" t="str">
        <f ca="1">IFERROR(__xludf.DUMMYFUNCTION("IFERROR(ARRAYFORMULA(REGEXEXTRACT(A263,""^(?:https?:\/\/)?(?:[^@\n]+@)?(?:www\.)?([^:\/\n]+)"")),"""")"),"skylinesolar.com.au")</f>
        <v>skylinesolar.com.au</v>
      </c>
    </row>
    <row r="264" spans="1:2" ht="12.5">
      <c r="A264" s="3" t="s">
        <v>520</v>
      </c>
      <c r="B264" s="4" t="str">
        <f ca="1">IFERROR(__xludf.DUMMYFUNCTION("IFERROR(ARRAYFORMULA(REGEXEXTRACT(A264,""^(?:https?:\/\/)?(?:[^@\n]+@)?(?:www\.)?([^:\/\n]+)"")),"""")"),"allyearcooling.com")</f>
        <v>allyearcooling.com</v>
      </c>
    </row>
    <row r="265" spans="1:2" ht="12.5">
      <c r="A265" s="3" t="s">
        <v>521</v>
      </c>
      <c r="B265" s="4" t="str">
        <f ca="1">IFERROR(__xludf.DUMMYFUNCTION("IFERROR(ARRAYFORMULA(REGEXEXTRACT(A265,""^(?:https?:\/\/)?(?:[^@\n]+@)?(?:www\.)?([^:\/\n]+)"")),"""")"),"bestaccessdoors.ca")</f>
        <v>bestaccessdoors.ca</v>
      </c>
    </row>
    <row r="266" spans="1:2" ht="12.5">
      <c r="A266" s="3" t="s">
        <v>522</v>
      </c>
      <c r="B266" s="4" t="str">
        <f ca="1">IFERROR(__xludf.DUMMYFUNCTION("IFERROR(ARRAYFORMULA(REGEXEXTRACT(A266,""^(?:https?:\/\/)?(?:[^@\n]+@)?(?:www\.)?([^:\/\n]+)"")),"""")"),"vestright.com")</f>
        <v>vestright.com</v>
      </c>
    </row>
    <row r="267" spans="1:2" ht="12.5">
      <c r="A267" s="3" t="s">
        <v>523</v>
      </c>
      <c r="B267" s="4" t="str">
        <f ca="1">IFERROR(__xludf.DUMMYFUNCTION("IFERROR(ARRAYFORMULA(REGEXEXTRACT(A267,""^(?:https?:\/\/)?(?:[^@\n]+@)?(?:www\.)?([^:\/\n]+)"")),"""")"),"shuttercraft.co.uk")</f>
        <v>shuttercraft.co.uk</v>
      </c>
    </row>
    <row r="268" spans="1:2" ht="12.5">
      <c r="A268" s="3" t="s">
        <v>524</v>
      </c>
      <c r="B268" s="4" t="str">
        <f ca="1">IFERROR(__xludf.DUMMYFUNCTION("IFERROR(ARRAYFORMULA(REGEXEXTRACT(A268,""^(?:https?:\/\/)?(?:[^@\n]+@)?(?:www\.)?([^:\/\n]+)"")),"""")"),"preschoolequipment.com.au")</f>
        <v>preschoolequipment.com.au</v>
      </c>
    </row>
    <row r="269" spans="1:2" ht="12.5">
      <c r="A269" s="3" t="s">
        <v>525</v>
      </c>
      <c r="B269" s="4" t="str">
        <f ca="1">IFERROR(__xludf.DUMMYFUNCTION("IFERROR(ARRAYFORMULA(REGEXEXTRACT(A269,""^(?:https?:\/\/)?(?:[^@\n]+@)?(?:www\.)?([^:\/\n]+)"")),"""")"),"realpha.com")</f>
        <v>realpha.com</v>
      </c>
    </row>
    <row r="270" spans="1:2" ht="12.5">
      <c r="A270" s="3" t="s">
        <v>526</v>
      </c>
      <c r="B270" s="4" t="str">
        <f ca="1">IFERROR(__xludf.DUMMYFUNCTION("IFERROR(ARRAYFORMULA(REGEXEXTRACT(A270,""^(?:https?:\/\/)?(?:[^@\n]+@)?(?:www\.)?([^:\/\n]+)"")),"""")"),"roofrepairspecialist.com")</f>
        <v>roofrepairspecialist.com</v>
      </c>
    </row>
    <row r="271" spans="1:2" ht="12.5">
      <c r="A271" s="3" t="s">
        <v>527</v>
      </c>
      <c r="B271" s="4" t="str">
        <f ca="1">IFERROR(__xludf.DUMMYFUNCTION("IFERROR(ARRAYFORMULA(REGEXEXTRACT(A271,""^(?:https?:\/\/)?(?:[^@\n]+@)?(?:www\.)?([^:\/\n]+)"")),"""")"),"bintheredumpthat.com")</f>
        <v>bintheredumpthat.com</v>
      </c>
    </row>
    <row r="272" spans="1:2" ht="12.5">
      <c r="A272" s="3" t="s">
        <v>528</v>
      </c>
      <c r="B272" s="4" t="str">
        <f ca="1">IFERROR(__xludf.DUMMYFUNCTION("IFERROR(ARRAYFORMULA(REGEXEXTRACT(A272,""^(?:https?:\/\/)?(?:[^@\n]+@)?(?:www\.)?([^:\/\n]+)"")),"""")"),"northwestexteriors.com")</f>
        <v>northwestexteriors.com</v>
      </c>
    </row>
    <row r="273" spans="1:2" ht="12.5">
      <c r="A273" s="3" t="s">
        <v>529</v>
      </c>
      <c r="B273" s="4" t="str">
        <f ca="1">IFERROR(__xludf.DUMMYFUNCTION("IFERROR(ARRAYFORMULA(REGEXEXTRACT(A273,""^(?:https?:\/\/)?(?:[^@\n]+@)?(?:www\.)?([^:\/\n]+)"")),"""")"),"regentcre.com")</f>
        <v>regentcre.com</v>
      </c>
    </row>
    <row r="274" spans="1:2" ht="12.5">
      <c r="A274" s="3" t="s">
        <v>530</v>
      </c>
      <c r="B274" s="4" t="str">
        <f ca="1">IFERROR(__xludf.DUMMYFUNCTION("IFERROR(ARRAYFORMULA(REGEXEXTRACT(A274,""^(?:https?:\/\/)?(?:[^@\n]+@)?(?:www\.)?([^:\/\n]+)"")),"""")"),"mrsparky.com.au")</f>
        <v>mrsparky.com.au</v>
      </c>
    </row>
    <row r="275" spans="1:2" ht="12.5">
      <c r="A275" s="3" t="s">
        <v>531</v>
      </c>
      <c r="B275" s="4" t="str">
        <f ca="1">IFERROR(__xludf.DUMMYFUNCTION("IFERROR(ARRAYFORMULA(REGEXEXTRACT(A275,""^(?:https?:\/\/)?(?:[^@\n]+@)?(?:www\.)?([^:\/\n]+)"")),"""")"),"defymortgage.com")</f>
        <v>defymortgage.com</v>
      </c>
    </row>
    <row r="276" spans="1:2" ht="12.5">
      <c r="A276" s="3" t="s">
        <v>532</v>
      </c>
      <c r="B276" s="4" t="str">
        <f ca="1">IFERROR(__xludf.DUMMYFUNCTION("IFERROR(ARRAYFORMULA(REGEXEXTRACT(A276,""^(?:https?:\/\/)?(?:[^@\n]+@)?(?:www\.)?([^:\/\n]+)"")),"""")"),"compositepanel.org")</f>
        <v>compositepanel.org</v>
      </c>
    </row>
    <row r="277" spans="1:2" ht="12.5">
      <c r="A277" s="3" t="s">
        <v>533</v>
      </c>
      <c r="B277" s="4" t="str">
        <f ca="1">IFERROR(__xludf.DUMMYFUNCTION("IFERROR(ARRAYFORMULA(REGEXEXTRACT(A277,""^(?:https?:\/\/)?(?:[^@\n]+@)?(?:www\.)?([^:\/\n]+)"")),"""")"),"thepittsburghroofer.com")</f>
        <v>thepittsburghroofer.com</v>
      </c>
    </row>
    <row r="278" spans="1:2" ht="12.5">
      <c r="A278" s="3" t="s">
        <v>534</v>
      </c>
      <c r="B278" s="4" t="str">
        <f ca="1">IFERROR(__xludf.DUMMYFUNCTION("IFERROR(ARRAYFORMULA(REGEXEXTRACT(A278,""^(?:https?:\/\/)?(?:[^@\n]+@)?(?:www\.)?([^:\/\n]+)"")),"""")"),"framelessshowerdoors.com")</f>
        <v>framelessshowerdoors.com</v>
      </c>
    </row>
    <row r="279" spans="1:2" ht="12.5">
      <c r="A279" s="3" t="s">
        <v>535</v>
      </c>
      <c r="B279" s="4" t="str">
        <f ca="1">IFERROR(__xludf.DUMMYFUNCTION("IFERROR(ARRAYFORMULA(REGEXEXTRACT(A279,""^(?:https?:\/\/)?(?:[^@\n]+@)?(?:www\.)?([^:\/\n]+)"")),"""")"),"apartments.com")</f>
        <v>apartments.com</v>
      </c>
    </row>
    <row r="280" spans="1:2" ht="12.5">
      <c r="A280" s="3" t="s">
        <v>536</v>
      </c>
      <c r="B280" s="4" t="str">
        <f ca="1">IFERROR(__xludf.DUMMYFUNCTION("IFERROR(ARRAYFORMULA(REGEXEXTRACT(A280,""^(?:https?:\/\/)?(?:[^@\n]+@)?(?:www\.)?([^:\/\n]+)"")),"""")"),"reliantpest.com")</f>
        <v>reliantpest.com</v>
      </c>
    </row>
    <row r="281" spans="1:2" ht="12.5">
      <c r="A281" s="3" t="s">
        <v>537</v>
      </c>
      <c r="B281" s="4" t="str">
        <f ca="1">IFERROR(__xludf.DUMMYFUNCTION("IFERROR(ARRAYFORMULA(REGEXEXTRACT(A281,""^(?:https?:\/\/)?(?:[^@\n]+@)?(?:www\.)?([^:\/\n]+)"")),"""")"),"masterroofcontracting.com")</f>
        <v>masterroofcontracting.com</v>
      </c>
    </row>
    <row r="282" spans="1:2" ht="12.5">
      <c r="A282" s="3" t="s">
        <v>538</v>
      </c>
      <c r="B282" s="4" t="str">
        <f ca="1">IFERROR(__xludf.DUMMYFUNCTION("IFERROR(ARRAYFORMULA(REGEXEXTRACT(A282,""^(?:https?:\/\/)?(?:[^@\n]+@)?(?:www\.)?([^:\/\n]+)"")),"""")"),"lovevsdesign.com")</f>
        <v>lovevsdesign.com</v>
      </c>
    </row>
    <row r="283" spans="1:2" ht="12.5">
      <c r="A283" s="3" t="s">
        <v>539</v>
      </c>
      <c r="B283" s="4" t="str">
        <f ca="1">IFERROR(__xludf.DUMMYFUNCTION("IFERROR(ARRAYFORMULA(REGEXEXTRACT(A283,""^(?:https?:\/\/)?(?:[^@\n]+@)?(?:www\.)?([^:\/\n]+)"")),"""")"),"elho.com")</f>
        <v>elho.com</v>
      </c>
    </row>
    <row r="284" spans="1:2" ht="12.5">
      <c r="A284" s="3" t="s">
        <v>540</v>
      </c>
      <c r="B284" s="4" t="str">
        <f ca="1">IFERROR(__xludf.DUMMYFUNCTION("IFERROR(ARRAYFORMULA(REGEXEXTRACT(A284,""^(?:https?:\/\/)?(?:[^@\n]+@)?(?:www\.)?([^:\/\n]+)"")),"""")"),"honeypotfurniture.co.uk")</f>
        <v>honeypotfurniture.co.uk</v>
      </c>
    </row>
    <row r="285" spans="1:2" ht="12.5">
      <c r="A285" s="3" t="s">
        <v>541</v>
      </c>
      <c r="B285" s="4" t="str">
        <f ca="1">IFERROR(__xludf.DUMMYFUNCTION("IFERROR(ARRAYFORMULA(REGEXEXTRACT(A285,""^(?:https?:\/\/)?(?:[^@\n]+@)?(?:www\.)?([^:\/\n]+)"")),"""")"),"furnitureinfashion.net")</f>
        <v>furnitureinfashion.net</v>
      </c>
    </row>
    <row r="286" spans="1:2" ht="12.5">
      <c r="A286" s="3" t="s">
        <v>542</v>
      </c>
      <c r="B286" s="4" t="str">
        <f ca="1">IFERROR(__xludf.DUMMYFUNCTION("IFERROR(ARRAYFORMULA(REGEXEXTRACT(A286,""^(?:https?:\/\/)?(?:[^@\n]+@)?(?:www\.)?([^:\/\n]+)"")),"""")"),"saltlakeroofing.com")</f>
        <v>saltlakeroofing.com</v>
      </c>
    </row>
    <row r="287" spans="1:2" ht="12.5">
      <c r="A287" s="3" t="s">
        <v>543</v>
      </c>
      <c r="B287" s="4" t="str">
        <f ca="1">IFERROR(__xludf.DUMMYFUNCTION("IFERROR(ARRAYFORMULA(REGEXEXTRACT(A287,""^(?:https?:\/\/)?(?:[^@\n]+@)?(?:www\.)?([^:\/\n]+)"")),"""")"),"lighthouseco.ca")</f>
        <v>lighthouseco.ca</v>
      </c>
    </row>
    <row r="288" spans="1:2" ht="12.5">
      <c r="A288" s="3" t="s">
        <v>544</v>
      </c>
      <c r="B288" s="4" t="str">
        <f ca="1">IFERROR(__xludf.DUMMYFUNCTION("IFERROR(ARRAYFORMULA(REGEXEXTRACT(A288,""^(?:https?:\/\/)?(?:[^@\n]+@)?(?:www\.)?([^:\/\n]+)"")),"""")"),"eazyhousesale.com")</f>
        <v>eazyhousesale.com</v>
      </c>
    </row>
    <row r="289" spans="1:2" ht="12.5">
      <c r="A289" s="3" t="s">
        <v>545</v>
      </c>
      <c r="B289" s="4" t="str">
        <f ca="1">IFERROR(__xludf.DUMMYFUNCTION("IFERROR(ARRAYFORMULA(REGEXEXTRACT(A289,""^(?:https?:\/\/)?(?:[^@\n]+@)?(?:www\.)?([^:\/\n]+)"")),"""")"),"mcconeproperties.com")</f>
        <v>mcconeproperties.com</v>
      </c>
    </row>
    <row r="290" spans="1:2" ht="12.5">
      <c r="A290" s="3" t="s">
        <v>546</v>
      </c>
      <c r="B290" s="4" t="str">
        <f ca="1">IFERROR(__xludf.DUMMYFUNCTION("IFERROR(ARRAYFORMULA(REGEXEXTRACT(A290,""^(?:https?:\/\/)?(?:[^@\n]+@)?(?:www\.)?([^:\/\n]+)"")),"""")"),"alpinehomeair.com")</f>
        <v>alpinehomeair.com</v>
      </c>
    </row>
    <row r="291" spans="1:2" ht="12.5">
      <c r="A291" s="3" t="s">
        <v>547</v>
      </c>
      <c r="B291" s="4" t="str">
        <f ca="1">IFERROR(__xludf.DUMMYFUNCTION("IFERROR(ARRAYFORMULA(REGEXEXTRACT(A291,""^(?:https?:\/\/)?(?:[^@\n]+@)?(?:www\.)?([^:\/\n]+)"")),"""")"),"creditninja.com")</f>
        <v>creditninja.com</v>
      </c>
    </row>
    <row r="292" spans="1:2" ht="12.5">
      <c r="A292" s="3" t="s">
        <v>548</v>
      </c>
      <c r="B292" s="4" t="str">
        <f ca="1">IFERROR(__xludf.DUMMYFUNCTION("IFERROR(ARRAYFORMULA(REGEXEXTRACT(A292,""^(?:https?:\/\/)?(?:[^@\n]+@)?(?:www\.)?([^:\/\n]+)"")),"""")"),"realestateu.com")</f>
        <v>realestateu.com</v>
      </c>
    </row>
    <row r="293" spans="1:2" ht="12.5">
      <c r="A293" s="3" t="s">
        <v>549</v>
      </c>
      <c r="B293" s="4" t="str">
        <f ca="1">IFERROR(__xludf.DUMMYFUNCTION("IFERROR(ARRAYFORMULA(REGEXEXTRACT(A293,""^(?:https?:\/\/)?(?:[^@\n]+@)?(?:www\.)?([^:\/\n]+)"")),"""")"),"superiorapplianceservice.ca")</f>
        <v>superiorapplianceservice.ca</v>
      </c>
    </row>
    <row r="294" spans="1:2" ht="12.5">
      <c r="A294" s="3" t="s">
        <v>550</v>
      </c>
      <c r="B294" s="4" t="str">
        <f ca="1">IFERROR(__xludf.DUMMYFUNCTION("IFERROR(ARRAYFORMULA(REGEXEXTRACT(A294,""^(?:https?:\/\/)?(?:[^@\n]+@)?(?:www\.)?([^:\/\n]+)"")),"""")"),"antonsmovers.com")</f>
        <v>antonsmovers.com</v>
      </c>
    </row>
    <row r="295" spans="1:2" ht="12.5">
      <c r="A295" s="3" t="s">
        <v>551</v>
      </c>
      <c r="B295" s="4" t="str">
        <f ca="1">IFERROR(__xludf.DUMMYFUNCTION("IFERROR(ARRAYFORMULA(REGEXEXTRACT(A295,""^(?:https?:\/\/)?(?:[^@\n]+@)?(?:www\.)?([^:\/\n]+)"")),"""")"),"evolutionmoving.com")</f>
        <v>evolutionmoving.com</v>
      </c>
    </row>
    <row r="296" spans="1:2" ht="12.5">
      <c r="A296" s="3" t="s">
        <v>552</v>
      </c>
      <c r="B296" s="4" t="str">
        <f ca="1">IFERROR(__xludf.DUMMYFUNCTION("IFERROR(ARRAYFORMULA(REGEXEXTRACT(A296,""^(?:https?:\/\/)?(?:[^@\n]+@)?(?:www\.)?([^:\/\n]+)"")),"""")"),"royalmovingco.com")</f>
        <v>royalmovingco.com</v>
      </c>
    </row>
    <row r="297" spans="1:2" ht="12.5">
      <c r="A297" s="3" t="s">
        <v>553</v>
      </c>
      <c r="B297" s="4" t="str">
        <f ca="1">IFERROR(__xludf.DUMMYFUNCTION("IFERROR(ARRAYFORMULA(REGEXEXTRACT(A297,""^(?:https?:\/\/)?(?:[^@\n]+@)?(?:www\.)?([^:\/\n]+)"")),"""")"),"armbrustermoving.com")</f>
        <v>armbrustermoving.com</v>
      </c>
    </row>
    <row r="298" spans="1:2" ht="12.5">
      <c r="A298" s="3" t="s">
        <v>554</v>
      </c>
      <c r="B298" s="4" t="str">
        <f ca="1">IFERROR(__xludf.DUMMYFUNCTION("IFERROR(ARRAYFORMULA(REGEXEXTRACT(A298,""^(?:https?:\/\/)?(?:[^@\n]+@)?(?:www\.)?([^:\/\n]+)"")),"""")"),"redcarpetmovingcompany.com")</f>
        <v>redcarpetmovingcompany.com</v>
      </c>
    </row>
    <row r="299" spans="1:2" ht="12.5">
      <c r="A299" s="3" t="s">
        <v>555</v>
      </c>
      <c r="B299" s="4" t="str">
        <f ca="1">IFERROR(__xludf.DUMMYFUNCTION("IFERROR(ARRAYFORMULA(REGEXEXTRACT(A299,""^(?:https?:\/\/)?(?:[^@\n]+@)?(?:www\.)?([^:\/\n]+)"")),"""")"),"365villas.com")</f>
        <v>365villas.com</v>
      </c>
    </row>
    <row r="300" spans="1:2" ht="12.5">
      <c r="A300" s="3" t="s">
        <v>556</v>
      </c>
      <c r="B300" s="4" t="str">
        <f ca="1">IFERROR(__xludf.DUMMYFUNCTION("IFERROR(ARRAYFORMULA(REGEXEXTRACT(A300,""^(?:https?:\/\/)?(?:[^@\n]+@)?(?:www\.)?([^:\/\n]+)"")),"""")"),"dycoventures.com")</f>
        <v>dycoventures.com</v>
      </c>
    </row>
    <row r="301" spans="1:2" ht="12.5">
      <c r="A301" s="3" t="s">
        <v>557</v>
      </c>
      <c r="B301" s="4" t="str">
        <f ca="1">IFERROR(__xludf.DUMMYFUNCTION("IFERROR(ARRAYFORMULA(REGEXEXTRACT(A301,""^(?:https?:\/\/)?(?:[^@\n]+@)?(?:www\.)?([^:\/\n]+)"")),"""")"),"webuyanyvegashouse.com")</f>
        <v>webuyanyvegashouse.com</v>
      </c>
    </row>
    <row r="302" spans="1:2" ht="12.5">
      <c r="A302" s="3" t="s">
        <v>558</v>
      </c>
      <c r="B302" s="4" t="str">
        <f ca="1">IFERROR(__xludf.DUMMYFUNCTION("IFERROR(ARRAYFORMULA(REGEXEXTRACT(A302,""^(?:https?:\/\/)?(?:[^@\n]+@)?(?:www\.)?([^:\/\n]+)"")),"""")"),"northfaceconstruction.com")</f>
        <v>northfaceconstruction.com</v>
      </c>
    </row>
    <row r="303" spans="1:2" ht="12.5">
      <c r="A303" s="3" t="s">
        <v>559</v>
      </c>
      <c r="B303" s="4" t="str">
        <f ca="1">IFERROR(__xludf.DUMMYFUNCTION("IFERROR(ARRAYFORMULA(REGEXEXTRACT(A303,""^(?:https?:\/\/)?(?:[^@\n]+@)?(?:www\.)?([^:\/\n]+)"")),"""")"),"inthelightroofing.com")</f>
        <v>inthelightroofing.com</v>
      </c>
    </row>
    <row r="304" spans="1:2" ht="12.5">
      <c r="A304" s="3" t="s">
        <v>560</v>
      </c>
      <c r="B304" s="4" t="str">
        <f ca="1">IFERROR(__xludf.DUMMYFUNCTION("IFERROR(ARRAYFORMULA(REGEXEXTRACT(A304,""^(?:https?:\/\/)?(?:[^@\n]+@)?(?:www\.)?([^:\/\n]+)"")),"""")"),"bates-electric.com")</f>
        <v>bates-electric.com</v>
      </c>
    </row>
    <row r="305" spans="1:2" ht="12.5">
      <c r="A305" s="3" t="s">
        <v>561</v>
      </c>
      <c r="B305" s="4" t="str">
        <f ca="1">IFERROR(__xludf.DUMMYFUNCTION("IFERROR(ARRAYFORMULA(REGEXEXTRACT(A305,""^(?:https?:\/\/)?(?:[^@\n]+@)?(?:www\.)?([^:\/\n]+)"")),"""")"),"singlekey.com")</f>
        <v>singlekey.com</v>
      </c>
    </row>
    <row r="306" spans="1:2" ht="12.5">
      <c r="A306" s="3" t="s">
        <v>562</v>
      </c>
      <c r="B306" s="4" t="str">
        <f ca="1">IFERROR(__xludf.DUMMYFUNCTION("IFERROR(ARRAYFORMULA(REGEXEXTRACT(A306,""^(?:https?:\/\/)?(?:[^@\n]+@)?(?:www\.)?([^:\/\n]+)"")),"""")"),"getmovedtoday.com")</f>
        <v>getmovedtoday.com</v>
      </c>
    </row>
    <row r="307" spans="1:2" ht="12.5">
      <c r="A307" s="3" t="s">
        <v>563</v>
      </c>
      <c r="B307" s="4" t="str">
        <f ca="1">IFERROR(__xludf.DUMMYFUNCTION("IFERROR(ARRAYFORMULA(REGEXEXTRACT(A307,""^(?:https?:\/\/)?(?:[^@\n]+@)?(?:www\.)?([^:\/\n]+)"")),"""")"),"amerisafemoving.com")</f>
        <v>amerisafemoving.com</v>
      </c>
    </row>
    <row r="308" spans="1:2" ht="12.5">
      <c r="A308" s="3" t="s">
        <v>564</v>
      </c>
      <c r="B308" s="4" t="str">
        <f ca="1">IFERROR(__xludf.DUMMYFUNCTION("IFERROR(ARRAYFORMULA(REGEXEXTRACT(A308,""^(?:https?:\/\/)?(?:[^@\n]+@)?(?:www\.)?([^:\/\n]+)"")),"""")"),"propertymanagerwebsites.com")</f>
        <v>propertymanagerwebsites.com</v>
      </c>
    </row>
    <row r="309" spans="1:2" ht="12.5">
      <c r="A309" s="3" t="s">
        <v>565</v>
      </c>
      <c r="B309" s="4" t="str">
        <f ca="1">IFERROR(__xludf.DUMMYFUNCTION("IFERROR(ARRAYFORMULA(REGEXEXTRACT(A309,""^(?:https?:\/\/)?(?:[^@\n]+@)?(?:www\.)?([^:\/\n]+)"")),"""")"),"kotohomes.com")</f>
        <v>kotohomes.com</v>
      </c>
    </row>
    <row r="310" spans="1:2" ht="12.5">
      <c r="A310" s="3" t="s">
        <v>566</v>
      </c>
      <c r="B310" s="4" t="str">
        <f ca="1">IFERROR(__xludf.DUMMYFUNCTION("IFERROR(ARRAYFORMULA(REGEXEXTRACT(A310,""^(?:https?:\/\/)?(?:[^@\n]+@)?(?:www\.)?([^:\/\n]+)"")),"""")"),"tenantturner.com")</f>
        <v>tenantturner.com</v>
      </c>
    </row>
    <row r="311" spans="1:2" ht="12.5">
      <c r="A311" s="3" t="s">
        <v>567</v>
      </c>
      <c r="B311" s="4" t="str">
        <f ca="1">IFERROR(__xludf.DUMMYFUNCTION("IFERROR(ARRAYFORMULA(REGEXEXTRACT(A311,""^(?:https?:\/\/)?(?:[^@\n]+@)?(?:www\.)?([^:\/\n]+)"")),"""")"),"neighborhoodscout.com")</f>
        <v>neighborhoodscout.com</v>
      </c>
    </row>
    <row r="312" spans="1:2" ht="12.5">
      <c r="A312" s="3" t="s">
        <v>568</v>
      </c>
      <c r="B312" s="4" t="str">
        <f ca="1">IFERROR(__xludf.DUMMYFUNCTION("IFERROR(ARRAYFORMULA(REGEXEXTRACT(A312,""^(?:https?:\/\/)?(?:[^@\n]+@)?(?:www\.)?([^:\/\n]+)"")),"""")"),"propertymeld.com")</f>
        <v>propertymeld.com</v>
      </c>
    </row>
    <row r="313" spans="1:2" ht="12.5">
      <c r="A313" s="3" t="s">
        <v>569</v>
      </c>
      <c r="B313" s="4" t="str">
        <f ca="1">IFERROR(__xludf.DUMMYFUNCTION("IFERROR(ARRAYFORMULA(REGEXEXTRACT(A313,""^(?:https?:\/\/)?(?:[^@\n]+@)?(?:www\.)?([^:\/\n]+)"")),"""")"),"dmnews.com")</f>
        <v>dmnews.com</v>
      </c>
    </row>
    <row r="314" spans="1:2" ht="12.5">
      <c r="A314" s="3" t="s">
        <v>570</v>
      </c>
      <c r="B314" s="4" t="str">
        <f ca="1">IFERROR(__xludf.DUMMYFUNCTION("IFERROR(ARRAYFORMULA(REGEXEXTRACT(A314,""^(?:https?:\/\/)?(?:[^@\n]+@)?(?:www\.)?([^:\/\n]+)"")),"""")"),"charlottesgotalot.com")</f>
        <v>charlottesgotalot.com</v>
      </c>
    </row>
    <row r="315" spans="1:2" ht="12.5">
      <c r="A315" s="3" t="s">
        <v>571</v>
      </c>
      <c r="B315" s="4" t="str">
        <f ca="1">IFERROR(__xludf.DUMMYFUNCTION("IFERROR(ARRAYFORMULA(REGEXEXTRACT(A315,""^(?:https?:\/\/)?(?:[^@\n]+@)?(?:www\.)?([^:\/\n]+)"")),"""")"),"homely.com.au")</f>
        <v>homely.com.au</v>
      </c>
    </row>
    <row r="316" spans="1:2" ht="12.5">
      <c r="A316" s="3" t="s">
        <v>572</v>
      </c>
      <c r="B316" s="4" t="str">
        <f ca="1">IFERROR(__xludf.DUMMYFUNCTION("IFERROR(ARRAYFORMULA(REGEXEXTRACT(A316,""^(?:https?:\/\/)?(?:[^@\n]+@)?(?:www\.)?([^:\/\n]+)"")),"""")"),"internationalliving.com")</f>
        <v>internationalliving.com</v>
      </c>
    </row>
    <row r="317" spans="1:2" ht="12.5">
      <c r="A317" s="3" t="s">
        <v>573</v>
      </c>
      <c r="B317" s="4" t="str">
        <f ca="1">IFERROR(__xludf.DUMMYFUNCTION("IFERROR(ARRAYFORMULA(REGEXEXTRACT(A317,""^(?:https?:\/\/)?(?:[^@\n]+@)?(?:www\.)?([^:\/\n]+)"")),"""")"),"idealhome.co.uk")</f>
        <v>idealhome.co.uk</v>
      </c>
    </row>
    <row r="318" spans="1:2" ht="12.5">
      <c r="A318" s="3" t="s">
        <v>574</v>
      </c>
      <c r="B318" s="4" t="str">
        <f ca="1">IFERROR(__xludf.DUMMYFUNCTION("IFERROR(ARRAYFORMULA(REGEXEXTRACT(A318,""^(?:https?:\/\/)?(?:[^@\n]+@)?(?:www\.)?([^:\/\n]+)"")),"""")"),"sampleboard.com")</f>
        <v>sampleboard.com</v>
      </c>
    </row>
    <row r="319" spans="1:2" ht="12.5">
      <c r="A319" s="3" t="s">
        <v>575</v>
      </c>
      <c r="B319" s="4" t="str">
        <f ca="1">IFERROR(__xludf.DUMMYFUNCTION("IFERROR(ARRAYFORMULA(REGEXEXTRACT(A319,""^(?:https?:\/\/)?(?:[^@\n]+@)?(?:www\.)?([^:\/\n]+)"")),"""")"),"theinteriordesigninstitute.com")</f>
        <v>theinteriordesigninstitute.com</v>
      </c>
    </row>
    <row r="320" spans="1:2" ht="12.5">
      <c r="A320" s="3" t="s">
        <v>576</v>
      </c>
      <c r="B320" s="4" t="str">
        <f ca="1">IFERROR(__xludf.DUMMYFUNCTION("IFERROR(ARRAYFORMULA(REGEXEXTRACT(A320,""^(?:https?:\/\/)?(?:[^@\n]+@)?(?:www\.)?([^:\/\n]+)"")),"""")"),"houseandgarden.co.uk")</f>
        <v>houseandgarden.co.uk</v>
      </c>
    </row>
    <row r="321" spans="1:2" ht="12.5">
      <c r="A321" s="3" t="s">
        <v>577</v>
      </c>
      <c r="B321" s="4" t="str">
        <f ca="1">IFERROR(__xludf.DUMMYFUNCTION("IFERROR(ARRAYFORMULA(REGEXEXTRACT(A321,""^(?:https?:\/\/)?(?:[^@\n]+@)?(?:www\.)?([^:\/\n]+)"")),"""")"),"5-starplumbing.com")</f>
        <v>5-starplumbing.com</v>
      </c>
    </row>
    <row r="322" spans="1:2" ht="12.5">
      <c r="A322" s="3" t="s">
        <v>578</v>
      </c>
      <c r="B322" s="4" t="str">
        <f ca="1">IFERROR(__xludf.DUMMYFUNCTION("IFERROR(ARRAYFORMULA(REGEXEXTRACT(A322,""^(?:https?:\/\/)?(?:[^@\n]+@)?(?:www\.)?([^:\/\n]+)"")),"""")"),"visiolending.com")</f>
        <v>visiolending.com</v>
      </c>
    </row>
    <row r="323" spans="1:2" ht="12.5">
      <c r="A323" s="3" t="s">
        <v>579</v>
      </c>
      <c r="B323" s="4" t="str">
        <f ca="1">IFERROR(__xludf.DUMMYFUNCTION("IFERROR(ARRAYFORMULA(REGEXEXTRACT(A323,""^(?:https?:\/\/)?(?:[^@\n]+@)?(?:www\.)?([^:\/\n]+)"")),"""")"),"hunterfan.com")</f>
        <v>hunterfan.com</v>
      </c>
    </row>
    <row r="324" spans="1:2" ht="12.5">
      <c r="A324" s="3" t="s">
        <v>580</v>
      </c>
      <c r="B324" s="4" t="str">
        <f ca="1">IFERROR(__xludf.DUMMYFUNCTION("IFERROR(ARRAYFORMULA(REGEXEXTRACT(A324,""^(?:https?:\/\/)?(?:[^@\n]+@)?(?:www\.)?([^:\/\n]+)"")),"""")"),"akuwoodpanel.com")</f>
        <v>akuwoodpanel.com</v>
      </c>
    </row>
    <row r="325" spans="1:2" ht="12.5">
      <c r="A325" s="3" t="s">
        <v>581</v>
      </c>
      <c r="B325" s="4" t="str">
        <f ca="1">IFERROR(__xludf.DUMMYFUNCTION("IFERROR(ARRAYFORMULA(REGEXEXTRACT(A325,""^(?:https?:\/\/)?(?:[^@\n]+@)?(?:www\.)?([^:\/\n]+)"")),"""")"),"intersectpower.com")</f>
        <v>intersectpower.com</v>
      </c>
    </row>
    <row r="326" spans="1:2" ht="12.5">
      <c r="A326" s="3" t="s">
        <v>582</v>
      </c>
      <c r="B326" s="4" t="str">
        <f ca="1">IFERROR(__xludf.DUMMYFUNCTION("IFERROR(ARRAYFORMULA(REGEXEXTRACT(A326,""^(?:https?:\/\/)?(?:[^@\n]+@)?(?:www\.)?([^:\/\n]+)"")),"""")"),"lighthouseman.com")</f>
        <v>lighthouseman.com</v>
      </c>
    </row>
    <row r="327" spans="1:2" ht="12.5">
      <c r="A327" s="3" t="s">
        <v>583</v>
      </c>
      <c r="B327" s="4" t="str">
        <f ca="1">IFERROR(__xludf.DUMMYFUNCTION("IFERROR(ARRAYFORMULA(REGEXEXTRACT(A327,""^(?:https?:\/\/)?(?:[^@\n]+@)?(?:www\.)?([^:\/\n]+)"")),"""")"),"blueravensolar.com")</f>
        <v>blueravensolar.com</v>
      </c>
    </row>
    <row r="328" spans="1:2" ht="12.5">
      <c r="A328" s="3" t="s">
        <v>584</v>
      </c>
      <c r="B328" s="4" t="str">
        <f ca="1">IFERROR(__xludf.DUMMYFUNCTION("IFERROR(ARRAYFORMULA(REGEXEXTRACT(A328,""^(?:https?:\/\/)?(?:[^@\n]+@)?(?:www\.)?([^:\/\n]+)"")),"""")"),"instantroofer.com")</f>
        <v>instantroofer.com</v>
      </c>
    </row>
    <row r="329" spans="1:2" ht="12.5">
      <c r="A329" s="3" t="s">
        <v>585</v>
      </c>
      <c r="B329" s="4" t="str">
        <f ca="1">IFERROR(__xludf.DUMMYFUNCTION("IFERROR(ARRAYFORMULA(REGEXEXTRACT(A329,""^(?:https?:\/\/)?(?:[^@\n]+@)?(?:www\.)?([^:\/\n]+)"")),"""")"),"brabantia.com")</f>
        <v>brabantia.com</v>
      </c>
    </row>
    <row r="330" spans="1:2" ht="12.5">
      <c r="A330" s="3" t="s">
        <v>586</v>
      </c>
      <c r="B330" s="4" t="str">
        <f ca="1">IFERROR(__xludf.DUMMYFUNCTION("IFERROR(ARRAYFORMULA(REGEXEXTRACT(A330,""^(?:https?:\/\/)?(?:[^@\n]+@)?(?:www\.)?([^:\/\n]+)"")),"""")"),"moderngroup.com.au")</f>
        <v>moderngroup.com.au</v>
      </c>
    </row>
    <row r="331" spans="1:2" ht="12.5">
      <c r="A331" s="3" t="s">
        <v>587</v>
      </c>
      <c r="B331" s="4" t="str">
        <f ca="1">IFERROR(__xludf.DUMMYFUNCTION("IFERROR(ARRAYFORMULA(REGEXEXTRACT(A331,""^(?:https?:\/\/)?(?:[^@\n]+@)?(?:www\.)?([^:\/\n]+)"")),"""")"),"brick-anew.com")</f>
        <v>brick-anew.com</v>
      </c>
    </row>
    <row r="332" spans="1:2" ht="12.5">
      <c r="A332" s="3" t="s">
        <v>588</v>
      </c>
      <c r="B332" s="4" t="str">
        <f ca="1">IFERROR(__xludf.DUMMYFUNCTION("IFERROR(ARRAYFORMULA(REGEXEXTRACT(A332,""^(?:https?:\/\/)?(?:[^@\n]+@)?(?:www\.)?([^:\/\n]+)"")),"""")"),"pureparima.com")</f>
        <v>pureparima.com</v>
      </c>
    </row>
    <row r="333" spans="1:2" ht="12.5">
      <c r="A333" s="3" t="s">
        <v>589</v>
      </c>
      <c r="B333" s="4" t="str">
        <f ca="1">IFERROR(__xludf.DUMMYFUNCTION("IFERROR(ARRAYFORMULA(REGEXEXTRACT(A333,""^(?:https?:\/\/)?(?:[^@\n]+@)?(?:www\.)?([^:\/\n]+)"")),"""")"),"hhinsgroup.com")</f>
        <v>hhinsgroup.com</v>
      </c>
    </row>
    <row r="334" spans="1:2" ht="12.5">
      <c r="A334" s="3" t="s">
        <v>590</v>
      </c>
      <c r="B334" s="4" t="str">
        <f ca="1">IFERROR(__xludf.DUMMYFUNCTION("IFERROR(ARRAYFORMULA(REGEXEXTRACT(A334,""^(?:https?:\/\/)?(?:[^@\n]+@)?(?:www\.)?([^:\/\n]+)"")),"""")"),"erommy.com")</f>
        <v>erommy.com</v>
      </c>
    </row>
    <row r="335" spans="1:2" ht="12.5">
      <c r="A335" s="3" t="s">
        <v>591</v>
      </c>
      <c r="B335" s="4" t="str">
        <f ca="1">IFERROR(__xludf.DUMMYFUNCTION("IFERROR(ARRAYFORMULA(REGEXEXTRACT(A335,""^(?:https?:\/\/)?(?:[^@\n]+@)?(?:www\.)?([^:\/\n]+)"")),"""")"),"theroofdoctor.com")</f>
        <v>theroofdoctor.com</v>
      </c>
    </row>
    <row r="336" spans="1:2" ht="12.5">
      <c r="A336" s="3" t="s">
        <v>592</v>
      </c>
      <c r="B336" s="4" t="str">
        <f ca="1">IFERROR(__xludf.DUMMYFUNCTION("IFERROR(ARRAYFORMULA(REGEXEXTRACT(A336,""^(?:https?:\/\/)?(?:[^@\n]+@)?(?:www\.)?([^:\/\n]+)"")),"""")"),"wasteremovalusa.com")</f>
        <v>wasteremovalusa.com</v>
      </c>
    </row>
    <row r="337" spans="1:2" ht="12.5">
      <c r="A337" s="3" t="s">
        <v>593</v>
      </c>
      <c r="B337" s="4" t="str">
        <f ca="1">IFERROR(__xludf.DUMMYFUNCTION("IFERROR(ARRAYFORMULA(REGEXEXTRACT(A337,""^(?:https?:\/\/)?(?:[^@\n]+@)?(?:www\.)?([^:\/\n]+)"")),"""")"),"tlsenergysavers.com")</f>
        <v>tlsenergysavers.com</v>
      </c>
    </row>
    <row r="338" spans="1:2" ht="12.5">
      <c r="A338" s="3" t="s">
        <v>594</v>
      </c>
      <c r="B338" s="4" t="str">
        <f ca="1">IFERROR(__xludf.DUMMYFUNCTION("IFERROR(ARRAYFORMULA(REGEXEXTRACT(A338,""^(?:https?:\/\/)?(?:[^@\n]+@)?(?:www\.)?([^:\/\n]+)"")),"""")"),"debesto.com")</f>
        <v>debesto.com</v>
      </c>
    </row>
    <row r="339" spans="1:2" ht="12.5">
      <c r="A339" s="3" t="s">
        <v>595</v>
      </c>
      <c r="B339" s="4" t="str">
        <f ca="1">IFERROR(__xludf.DUMMYFUNCTION("IFERROR(ARRAYFORMULA(REGEXEXTRACT(A339,""^(?:https?:\/\/)?(?:[^@\n]+@)?(?:www\.)?([^:\/\n]+)"")),"""")"),"seuslighting.com")</f>
        <v>seuslighting.com</v>
      </c>
    </row>
    <row r="340" spans="1:2" ht="12.5">
      <c r="A340" s="3" t="s">
        <v>596</v>
      </c>
      <c r="B340" s="4" t="str">
        <f ca="1">IFERROR(__xludf.DUMMYFUNCTION("IFERROR(ARRAYFORMULA(REGEXEXTRACT(A340,""^(?:https?:\/\/)?(?:[^@\n]+@)?(?:www\.)?([^:\/\n]+)"")),"""")"),"softframedesigns.com")</f>
        <v>softframedesigns.com</v>
      </c>
    </row>
    <row r="341" spans="1:2" ht="12.5">
      <c r="A341" s="3" t="s">
        <v>597</v>
      </c>
      <c r="B341" s="4" t="str">
        <f ca="1">IFERROR(__xludf.DUMMYFUNCTION("IFERROR(ARRAYFORMULA(REGEXEXTRACT(A341,""^(?:https?:\/\/)?(?:[^@\n]+@)?(?:www\.)?([^:\/\n]+)"")),"""")"),"aihomedesign.com")</f>
        <v>aihomedesign.com</v>
      </c>
    </row>
    <row r="342" spans="1:2" ht="12.5">
      <c r="A342" s="3" t="s">
        <v>598</v>
      </c>
      <c r="B342" s="4" t="str">
        <f ca="1">IFERROR(__xludf.DUMMYFUNCTION("IFERROR(ARRAYFORMULA(REGEXEXTRACT(A342,""^(?:https?:\/\/)?(?:[^@\n]+@)?(?:www\.)?([^:\/\n]+)"")),"""")"),"saviesahome.com")</f>
        <v>saviesahome.com</v>
      </c>
    </row>
    <row r="343" spans="1:2" ht="12.5">
      <c r="A343" s="3" t="s">
        <v>599</v>
      </c>
      <c r="B343" s="4" t="str">
        <f ca="1">IFERROR(__xludf.DUMMYFUNCTION("IFERROR(ARRAYFORMULA(REGEXEXTRACT(A343,""^(?:https?:\/\/)?(?:[^@\n]+@)?(?:www\.)?([^:\/\n]+)"")),"""")"),"fastofficefurniture.com.au")</f>
        <v>fastofficefurniture.com.au</v>
      </c>
    </row>
    <row r="344" spans="1:2" ht="12.5">
      <c r="A344" s="3" t="s">
        <v>600</v>
      </c>
      <c r="B344" s="4" t="str">
        <f ca="1">IFERROR(__xludf.DUMMYFUNCTION("IFERROR(ARRAYFORMULA(REGEXEXTRACT(A344,""^(?:https?:\/\/)?(?:[^@\n]+@)?(?:www\.)?([^:\/\n]+)"")),"""")"),"texassellmyhouse.com")</f>
        <v>texassellmyhouse.com</v>
      </c>
    </row>
    <row r="345" spans="1:2" ht="12.5">
      <c r="A345" s="3" t="s">
        <v>601</v>
      </c>
      <c r="B345" s="4" t="str">
        <f ca="1">IFERROR(__xludf.DUMMYFUNCTION("IFERROR(ARRAYFORMULA(REGEXEXTRACT(A345,""^(?:https?:\/\/)?(?:[^@\n]+@)?(?:www\.)?([^:\/\n]+)"")),"""")"),"victorystore.com")</f>
        <v>victorystore.com</v>
      </c>
    </row>
    <row r="346" spans="1:2" ht="12.5">
      <c r="A346" s="3" t="s">
        <v>602</v>
      </c>
      <c r="B346" s="4" t="str">
        <f ca="1">IFERROR(__xludf.DUMMYFUNCTION("IFERROR(ARRAYFORMULA(REGEXEXTRACT(A346,""^(?:https?:\/\/)?(?:[^@\n]+@)?(?:www\.)?([^:\/\n]+)"")),"""")"),"superiorhvacservice.ca")</f>
        <v>superiorhvacservice.ca</v>
      </c>
    </row>
    <row r="347" spans="1:2" ht="12.5">
      <c r="A347" s="3" t="s">
        <v>603</v>
      </c>
      <c r="B347" s="4" t="str">
        <f ca="1">IFERROR(__xludf.DUMMYFUNCTION("IFERROR(ARRAYFORMULA(REGEXEXTRACT(A347,""^(?:https?:\/\/)?(?:[^@\n]+@)?(?:www\.)?([^:\/\n]+)"")),"""")"),"bloomboxclub.com")</f>
        <v>bloomboxclub.com</v>
      </c>
    </row>
    <row r="348" spans="1:2" ht="12.5">
      <c r="A348" s="3" t="s">
        <v>604</v>
      </c>
      <c r="B348" s="4" t="str">
        <f ca="1">IFERROR(__xludf.DUMMYFUNCTION("IFERROR(ARRAYFORMULA(REGEXEXTRACT(A348,""^(?:https?:\/\/)?(?:[^@\n]+@)?(?:www\.)?([^:\/\n]+)"")),"""")"),"mmihomeimprovement.com")</f>
        <v>mmihomeimprovement.com</v>
      </c>
    </row>
    <row r="349" spans="1:2" ht="12.5">
      <c r="A349" s="3" t="s">
        <v>605</v>
      </c>
      <c r="B349" s="4" t="str">
        <f ca="1">IFERROR(__xludf.DUMMYFUNCTION("IFERROR(ARRAYFORMULA(REGEXEXTRACT(A349,""^(?:https?:\/\/)?(?:[^@\n]+@)?(?:www\.)?([^:\/\n]+)"")),"""")"),"mrcentralheating.co.uk")</f>
        <v>mrcentralheating.co.uk</v>
      </c>
    </row>
    <row r="350" spans="1:2" ht="12.5">
      <c r="A350" s="3" t="s">
        <v>606</v>
      </c>
      <c r="B350" s="4" t="str">
        <f ca="1">IFERROR(__xludf.DUMMYFUNCTION("IFERROR(ARRAYFORMULA(REGEXEXTRACT(A350,""^(?:https?:\/\/)?(?:[^@\n]+@)?(?:www\.)?([^:\/\n]+)"")),"""")"),"starkmovers.com")</f>
        <v>starkmovers.com</v>
      </c>
    </row>
    <row r="351" spans="1:2" ht="12.5">
      <c r="A351" s="3" t="s">
        <v>607</v>
      </c>
      <c r="B351" s="4" t="str">
        <f ca="1">IFERROR(__xludf.DUMMYFUNCTION("IFERROR(ARRAYFORMULA(REGEXEXTRACT(A351,""^(?:https?:\/\/)?(?:[^@\n]+@)?(?:www\.)?([^:\/\n]+)"")),"""")"),"royalbathrooms.co.uk")</f>
        <v>royalbathrooms.co.uk</v>
      </c>
    </row>
    <row r="352" spans="1:2" ht="12.5">
      <c r="A352" s="3" t="s">
        <v>608</v>
      </c>
      <c r="B352" s="4" t="str">
        <f ca="1">IFERROR(__xludf.DUMMYFUNCTION("IFERROR(ARRAYFORMULA(REGEXEXTRACT(A352,""^(?:https?:\/\/)?(?:[^@\n]+@)?(?:www\.)?([^:\/\n]+)"")),"""")"),"chartersestateagents.co.uk")</f>
        <v>chartersestateagents.co.uk</v>
      </c>
    </row>
    <row r="353" spans="1:2" ht="12.5">
      <c r="A353" s="3" t="s">
        <v>609</v>
      </c>
      <c r="B353" s="4" t="str">
        <f ca="1">IFERROR(__xludf.DUMMYFUNCTION("IFERROR(ARRAYFORMULA(REGEXEXTRACT(A353,""^(?:https?:\/\/)?(?:[^@\n]+@)?(?:www\.)?([^:\/\n]+)"")),"""")"),"thehues.com")</f>
        <v>thehues.com</v>
      </c>
    </row>
    <row r="354" spans="1:2" ht="12.5">
      <c r="A354" s="3" t="s">
        <v>610</v>
      </c>
      <c r="B354" s="4" t="str">
        <f ca="1">IFERROR(__xludf.DUMMYFUNCTION("IFERROR(ARRAYFORMULA(REGEXEXTRACT(A354,""^(?:https?:\/\/)?(?:[^@\n]+@)?(?:www\.)?([^:\/\n]+)"")),"""")"),"mars-hydro.com")</f>
        <v>mars-hydro.com</v>
      </c>
    </row>
    <row r="355" spans="1:2" ht="12.5">
      <c r="A355" s="3" t="s">
        <v>611</v>
      </c>
      <c r="B355" s="4" t="str">
        <f ca="1">IFERROR(__xludf.DUMMYFUNCTION("IFERROR(ARRAYFORMULA(REGEXEXTRACT(A355,""^(?:https?:\/\/)?(?:[^@\n]+@)?(?:www\.)?([^:\/\n]+)"")),"""")"),"abodewindowfilms.co.uk")</f>
        <v>abodewindowfilms.co.uk</v>
      </c>
    </row>
    <row r="356" spans="1:2" ht="12.5">
      <c r="A356" s="3" t="s">
        <v>612</v>
      </c>
      <c r="B356" s="4" t="str">
        <f ca="1">IFERROR(__xludf.DUMMYFUNCTION("IFERROR(ARRAYFORMULA(REGEXEXTRACT(A356,""^(?:https?:\/\/)?(?:[^@\n]+@)?(?:www\.)?([^:\/\n]+)"")),"""")"),"norsteelbuildings.com")</f>
        <v>norsteelbuildings.com</v>
      </c>
    </row>
    <row r="357" spans="1:2" ht="12.5">
      <c r="A357" s="3" t="s">
        <v>613</v>
      </c>
      <c r="B357" s="4" t="str">
        <f ca="1">IFERROR(__xludf.DUMMYFUNCTION("IFERROR(ARRAYFORMULA(REGEXEXTRACT(A357,""^(?:https?:\/\/)?(?:[^@\n]+@)?(?:www\.)?([^:\/\n]+)"")),"""")"),"miamirealtors.com")</f>
        <v>miamirealtors.com</v>
      </c>
    </row>
    <row r="358" spans="1:2" ht="12.5">
      <c r="A358" s="3" t="s">
        <v>614</v>
      </c>
      <c r="B358" s="4" t="str">
        <f ca="1">IFERROR(__xludf.DUMMYFUNCTION("IFERROR(ARRAYFORMULA(REGEXEXTRACT(A358,""^(?:https?:\/\/)?(?:[^@\n]+@)?(?:www\.)?([^:\/\n]+)"")),"""")"),"designerliving.com")</f>
        <v>designerliving.com</v>
      </c>
    </row>
    <row r="359" spans="1:2" ht="12.5">
      <c r="A359" s="3" t="s">
        <v>615</v>
      </c>
      <c r="B359" s="4" t="str">
        <f ca="1">IFERROR(__xludf.DUMMYFUNCTION("IFERROR(ARRAYFORMULA(REGEXEXTRACT(A359,""^(?:https?:\/\/)?(?:[^@\n]+@)?(?:www\.)?([^:\/\n]+)"")),"""")"),"unionlighting.com")</f>
        <v>unionlighting.com</v>
      </c>
    </row>
    <row r="360" spans="1:2" ht="12.5">
      <c r="A360" s="3" t="s">
        <v>616</v>
      </c>
      <c r="B360" s="4" t="str">
        <f ca="1">IFERROR(__xludf.DUMMYFUNCTION("IFERROR(ARRAYFORMULA(REGEXEXTRACT(A360,""^(?:https?:\/\/)?(?:[^@\n]+@)?(?:www\.)?([^:\/\n]+)"")),"""")"),"nationaltoolwarehouse.com")</f>
        <v>nationaltoolwarehouse.com</v>
      </c>
    </row>
    <row r="361" spans="1:2" ht="12.5">
      <c r="A361" s="3" t="s">
        <v>617</v>
      </c>
      <c r="B361" s="4" t="str">
        <f ca="1">IFERROR(__xludf.DUMMYFUNCTION("IFERROR(ARRAYFORMULA(REGEXEXTRACT(A361,""^(?:https?:\/\/)?(?:[^@\n]+@)?(?:www\.)?([^:\/\n]+)"")),"""")"),"cityfurniture.com")</f>
        <v>cityfurniture.com</v>
      </c>
    </row>
    <row r="362" spans="1:2" ht="12.5">
      <c r="A362" s="3" t="s">
        <v>618</v>
      </c>
      <c r="B362" s="4" t="str">
        <f ca="1">IFERROR(__xludf.DUMMYFUNCTION("IFERROR(ARRAYFORMULA(REGEXEXTRACT(A362,""^(?:https?:\/\/)?(?:[^@\n]+@)?(?:www\.)?([^:\/\n]+)"")),"""")"),"ecotelligenthomes.com")</f>
        <v>ecotelligenthomes.com</v>
      </c>
    </row>
    <row r="363" spans="1:2" ht="12.5">
      <c r="A363" s="3" t="s">
        <v>619</v>
      </c>
      <c r="B363" s="4" t="str">
        <f ca="1">IFERROR(__xludf.DUMMYFUNCTION("IFERROR(ARRAYFORMULA(REGEXEXTRACT(A363,""^(?:https?:\/\/)?(?:[^@\n]+@)?(?:www\.)?([^:\/\n]+)"")),"""")"),"findamover.com.au")</f>
        <v>findamover.com.au</v>
      </c>
    </row>
    <row r="364" spans="1:2" ht="12.5">
      <c r="A364" s="3" t="s">
        <v>620</v>
      </c>
      <c r="B364" s="4" t="str">
        <f ca="1">IFERROR(__xludf.DUMMYFUNCTION("IFERROR(ARRAYFORMULA(REGEXEXTRACT(A364,""^(?:https?:\/\/)?(?:[^@\n]+@)?(?:www\.)?([^:\/\n]+)"")),"""")"),"rollex.com")</f>
        <v>rollex.com</v>
      </c>
    </row>
    <row r="365" spans="1:2" ht="12.5">
      <c r="A365" s="3" t="s">
        <v>621</v>
      </c>
      <c r="B365" s="4" t="str">
        <f ca="1">IFERROR(__xludf.DUMMYFUNCTION("IFERROR(ARRAYFORMULA(REGEXEXTRACT(A365,""^(?:https?:\/\/)?(?:[^@\n]+@)?(?:www\.)?([^:\/\n]+)"")),"""")"),"h2scan.com")</f>
        <v>h2scan.com</v>
      </c>
    </row>
    <row r="366" spans="1:2" ht="12.5">
      <c r="A366" s="3" t="s">
        <v>622</v>
      </c>
      <c r="B366" s="4" t="str">
        <f ca="1">IFERROR(__xludf.DUMMYFUNCTION("IFERROR(ARRAYFORMULA(REGEXEXTRACT(A366,""^(?:https?:\/\/)?(?:[^@\n]+@)?(?:www\.)?([^:\/\n]+)"")),"""")"),"ocalahorseproperties.com")</f>
        <v>ocalahorseproperties.com</v>
      </c>
    </row>
    <row r="367" spans="1:2" ht="12.5">
      <c r="A367" s="3" t="s">
        <v>623</v>
      </c>
      <c r="B367" s="4" t="str">
        <f ca="1">IFERROR(__xludf.DUMMYFUNCTION("IFERROR(ARRAYFORMULA(REGEXEXTRACT(A367,""^(?:https?:\/\/)?(?:[^@\n]+@)?(?:www\.)?([^:\/\n]+)"")),"""")"),"houstonproperties.com")</f>
        <v>houstonproperties.com</v>
      </c>
    </row>
    <row r="368" spans="1:2" ht="12.5">
      <c r="A368" s="3" t="s">
        <v>624</v>
      </c>
      <c r="B368" s="4" t="str">
        <f ca="1">IFERROR(__xludf.DUMMYFUNCTION("IFERROR(ARRAYFORMULA(REGEXEXTRACT(A368,""^(?:https?:\/\/)?(?:[^@\n]+@)?(?:www\.)?([^:\/\n]+)"")),"""")"),"chicagospropertymanagement.com")</f>
        <v>chicagospropertymanagement.com</v>
      </c>
    </row>
    <row r="369" spans="1:2" ht="12.5">
      <c r="A369" s="3" t="s">
        <v>625</v>
      </c>
      <c r="B369" s="4" t="str">
        <f ca="1">IFERROR(__xludf.DUMMYFUNCTION("IFERROR(ARRAYFORMULA(REGEXEXTRACT(A369,""^(?:https?:\/\/)?(?:[^@\n]+@)?(?:www\.)?([^:\/\n]+)"")),"""")"),"navarravenues.com.au")</f>
        <v>navarravenues.com.au</v>
      </c>
    </row>
    <row r="370" spans="1:2" ht="12.5">
      <c r="A370" s="3" t="s">
        <v>626</v>
      </c>
      <c r="B370" s="4" t="str">
        <f ca="1">IFERROR(__xludf.DUMMYFUNCTION("IFERROR(ARRAYFORMULA(REGEXEXTRACT(A370,""^(?:https?:\/\/)?(?:[^@\n]+@)?(?:www\.)?([^:\/\n]+)"")),"""")"),"globalresidenceindex.com")</f>
        <v>globalresidenceindex.com</v>
      </c>
    </row>
    <row r="371" spans="1:2" ht="12.5">
      <c r="A371" s="3" t="s">
        <v>627</v>
      </c>
      <c r="B371" s="4" t="str">
        <f ca="1">IFERROR(__xludf.DUMMYFUNCTION("IFERROR(ARRAYFORMULA(REGEXEXTRACT(A371,""^(?:https?:\/\/)?(?:[^@\n]+@)?(?:www\.)?([^:\/\n]+)"")),"""")"),"corston.com")</f>
        <v>corston.com</v>
      </c>
    </row>
    <row r="372" spans="1:2" ht="12.5">
      <c r="A372" s="3" t="s">
        <v>628</v>
      </c>
      <c r="B372" s="4" t="str">
        <f ca="1">IFERROR(__xludf.DUMMYFUNCTION("IFERROR(ARRAYFORMULA(REGEXEXTRACT(A372,""^(?:https?:\/\/)?(?:[^@\n]+@)?(?:www\.)?([^:\/\n]+)"")),"""")"),"highgrovebathrooms.com.au")</f>
        <v>highgrovebathrooms.com.au</v>
      </c>
    </row>
    <row r="373" spans="1:2" ht="12.5">
      <c r="A373" s="3" t="s">
        <v>629</v>
      </c>
      <c r="B373" s="4" t="str">
        <f ca="1">IFERROR(__xludf.DUMMYFUNCTION("IFERROR(ARRAYFORMULA(REGEXEXTRACT(A373,""^(?:https?:\/\/)?(?:[^@\n]+@)?(?:www\.)?([^:\/\n]+)"")),"""")"),"coloradopainting.com")</f>
        <v>coloradopainting.com</v>
      </c>
    </row>
    <row r="374" spans="1:2" ht="12.5">
      <c r="A374" s="3" t="s">
        <v>630</v>
      </c>
      <c r="B374" s="4" t="str">
        <f ca="1">IFERROR(__xludf.DUMMYFUNCTION("IFERROR(ARRAYFORMULA(REGEXEXTRACT(A374,""^(?:https?:\/\/)?(?:[^@\n]+@)?(?:www\.)?([^:\/\n]+)"")),"""")"),"goldcoastplumbingexperts.com.au")</f>
        <v>goldcoastplumbingexperts.com.au</v>
      </c>
    </row>
    <row r="375" spans="1:2" ht="12.5">
      <c r="A375" s="3" t="s">
        <v>631</v>
      </c>
      <c r="B375" s="4" t="str">
        <f ca="1">IFERROR(__xludf.DUMMYFUNCTION("IFERROR(ARRAYFORMULA(REGEXEXTRACT(A375,""^(?:https?:\/\/)?(?:[^@\n]+@)?(?:www\.)?([^:\/\n]+)"")),"""")"),"jmkcontractor.com")</f>
        <v>jmkcontractor.com</v>
      </c>
    </row>
    <row r="376" spans="1:2" ht="12.5">
      <c r="A376" s="3" t="s">
        <v>632</v>
      </c>
      <c r="B376" s="4" t="str">
        <f ca="1">IFERROR(__xludf.DUMMYFUNCTION("IFERROR(ARRAYFORMULA(REGEXEXTRACT(A376,""^(?:https?:\/\/)?(?:[^@\n]+@)?(?:www\.)?([^:\/\n]+)"")),"""")"),"premierrange.co.uk")</f>
        <v>premierrange.co.uk</v>
      </c>
    </row>
    <row r="377" spans="1:2" ht="12.5">
      <c r="A377" s="3" t="s">
        <v>633</v>
      </c>
      <c r="B377" s="4" t="str">
        <f ca="1">IFERROR(__xludf.DUMMYFUNCTION("IFERROR(ARRAYFORMULA(REGEXEXTRACT(A377,""^(?:https?:\/\/)?(?:[^@\n]+@)?(?:www\.)?([^:\/\n]+)"")),"""")"),"alansfactoryoutlet.com")</f>
        <v>alansfactoryoutlet.com</v>
      </c>
    </row>
    <row r="378" spans="1:2" ht="12.5">
      <c r="A378" s="3" t="s">
        <v>634</v>
      </c>
      <c r="B378" s="4" t="str">
        <f ca="1">IFERROR(__xludf.DUMMYFUNCTION("IFERROR(ARRAYFORMULA(REGEXEXTRACT(A378,""^(?:https?:\/\/)?(?:[^@\n]+@)?(?:www\.)?([^:\/\n]+)"")),"""")"),"neighbor.com")</f>
        <v>neighbor.com</v>
      </c>
    </row>
    <row r="379" spans="1:2" ht="12.5">
      <c r="A379" s="3" t="s">
        <v>635</v>
      </c>
      <c r="B379" s="4" t="str">
        <f ca="1">IFERROR(__xludf.DUMMYFUNCTION("IFERROR(ARRAYFORMULA(REGEXEXTRACT(A379,""^(?:https?:\/\/)?(?:[^@\n]+@)?(?:www\.)?([^:\/\n]+)"")),"""")"),"kingheating.com")</f>
        <v>kingheating.com</v>
      </c>
    </row>
    <row r="380" spans="1:2" ht="12.5">
      <c r="A380" s="3" t="s">
        <v>636</v>
      </c>
      <c r="B380" s="4" t="str">
        <f ca="1">IFERROR(__xludf.DUMMYFUNCTION("IFERROR(ARRAYFORMULA(REGEXEXTRACT(A380,""^(?:https?:\/\/)?(?:[^@\n]+@)?(?:www\.)?([^:\/\n]+)"")),"""")"),"artbymaudsch.com")</f>
        <v>artbymaudsch.com</v>
      </c>
    </row>
    <row r="381" spans="1:2" ht="12.5">
      <c r="A381" s="3" t="s">
        <v>637</v>
      </c>
      <c r="B381" s="4" t="str">
        <f ca="1">IFERROR(__xludf.DUMMYFUNCTION("IFERROR(ARRAYFORMULA(REGEXEXTRACT(A381,""^(?:https?:\/\/)?(?:[^@\n]+@)?(?:www\.)?([^:\/\n]+)"")),"""")"),"lowdernewhomes.com")</f>
        <v>lowdernewhomes.com</v>
      </c>
    </row>
    <row r="382" spans="1:2" ht="12.5">
      <c r="A382" s="3" t="s">
        <v>638</v>
      </c>
      <c r="B382" s="4" t="str">
        <f ca="1">IFERROR(__xludf.DUMMYFUNCTION("IFERROR(ARRAYFORMULA(REGEXEXTRACT(A382,""^(?:https?:\/\/)?(?:[^@\n]+@)?(?:www\.)?([^:\/\n]+)"")),"""")"),"ulmaarchitectural.com")</f>
        <v>ulmaarchitectural.com</v>
      </c>
    </row>
    <row r="383" spans="1:2" ht="12.5">
      <c r="A383" s="3" t="s">
        <v>639</v>
      </c>
      <c r="B383" s="4" t="str">
        <f ca="1">IFERROR(__xludf.DUMMYFUNCTION("IFERROR(ARRAYFORMULA(REGEXEXTRACT(A383,""^(?:https?:\/\/)?(?:[^@\n]+@)?(?:www\.)?([^:\/\n]+)"")),"""")"),"gnprealty.com")</f>
        <v>gnprealty.com</v>
      </c>
    </row>
    <row r="384" spans="1:2" ht="12.5">
      <c r="A384" s="3" t="s">
        <v>640</v>
      </c>
      <c r="B384" s="4" t="str">
        <f ca="1">IFERROR(__xludf.DUMMYFUNCTION("IFERROR(ARRAYFORMULA(REGEXEXTRACT(A384,""^(?:https?:\/\/)?(?:[^@\n]+@)?(?:www\.)?([^:\/\n]+)"")),"""")"),"tomadamswc.com")</f>
        <v>tomadamswc.com</v>
      </c>
    </row>
    <row r="385" spans="1:2" ht="12.5">
      <c r="A385" s="3" t="s">
        <v>641</v>
      </c>
      <c r="B385" s="4" t="str">
        <f ca="1">IFERROR(__xludf.DUMMYFUNCTION("IFERROR(ARRAYFORMULA(REGEXEXTRACT(A385,""^(?:https?:\/\/)?(?:[^@\n]+@)?(?:www\.)?([^:\/\n]+)"")),"""")"),"bluecrestpropertygroup.com")</f>
        <v>bluecrestpropertygroup.com</v>
      </c>
    </row>
    <row r="386" spans="1:2" ht="12.5">
      <c r="A386" s="3" t="s">
        <v>642</v>
      </c>
      <c r="B386" s="4" t="str">
        <f ca="1">IFERROR(__xludf.DUMMYFUNCTION("IFERROR(ARRAYFORMULA(REGEXEXTRACT(A386,""^(?:https?:\/\/)?(?:[^@\n]+@)?(?:www\.)?([^:\/\n]+)"")),"""")"),"gardenary.com")</f>
        <v>gardenary.com</v>
      </c>
    </row>
    <row r="387" spans="1:2" ht="12.5">
      <c r="A387" s="3" t="s">
        <v>643</v>
      </c>
      <c r="B387" s="4" t="str">
        <f ca="1">IFERROR(__xludf.DUMMYFUNCTION("IFERROR(ARRAYFORMULA(REGEXEXTRACT(A387,""^(?:https?:\/\/)?(?:[^@\n]+@)?(?:www\.)?([^:\/\n]+)"")),"""")"),"officefurnitureonline.co.uk")</f>
        <v>officefurnitureonline.co.uk</v>
      </c>
    </row>
    <row r="388" spans="1:2" ht="12.5">
      <c r="A388" s="3" t="s">
        <v>644</v>
      </c>
      <c r="B388" s="4" t="str">
        <f ca="1">IFERROR(__xludf.DUMMYFUNCTION("IFERROR(ARRAYFORMULA(REGEXEXTRACT(A388,""^(?:https?:\/\/)?(?:[^@\n]+@)?(?:www\.)?([^:\/\n]+)"")),"""")"),"fastofficefurniture.com.au")</f>
        <v>fastofficefurniture.com.au</v>
      </c>
    </row>
    <row r="389" spans="1:2" ht="12.5">
      <c r="A389" s="3" t="s">
        <v>645</v>
      </c>
      <c r="B389" s="4" t="str">
        <f ca="1">IFERROR(__xludf.DUMMYFUNCTION("IFERROR(ARRAYFORMULA(REGEXEXTRACT(A389,""^(?:https?:\/\/)?(?:[^@\n]+@)?(?:www\.)?([^:\/\n]+)"")),"""")"),"enhancedhome.com.au")</f>
        <v>enhancedhome.com.au</v>
      </c>
    </row>
    <row r="390" spans="1:2" ht="12.5">
      <c r="A390" s="3" t="s">
        <v>646</v>
      </c>
      <c r="B390" s="4" t="str">
        <f ca="1">IFERROR(__xludf.DUMMYFUNCTION("IFERROR(ARRAYFORMULA(REGEXEXTRACT(A390,""^(?:https?:\/\/)?(?:[^@\n]+@)?(?:www\.)?([^:\/\n]+)"")),"""")"),"totalhomesupply.com")</f>
        <v>totalhomesupply.com</v>
      </c>
    </row>
    <row r="391" spans="1:2" ht="12.5">
      <c r="A391" s="3" t="s">
        <v>647</v>
      </c>
      <c r="B391" s="4" t="str">
        <f ca="1">IFERROR(__xludf.DUMMYFUNCTION("IFERROR(ARRAYFORMULA(REGEXEXTRACT(A391,""^(?:https?:\/\/)?(?:[^@\n]+@)?(?:www\.)?([^:\/\n]+)"")),"""")"),"fieldstonehomes.com")</f>
        <v>fieldstonehomes.com</v>
      </c>
    </row>
    <row r="392" spans="1:2" ht="12.5">
      <c r="A392" s="3" t="s">
        <v>648</v>
      </c>
      <c r="B392" s="4" t="str">
        <f ca="1">IFERROR(__xludf.DUMMYFUNCTION("IFERROR(ARRAYFORMULA(REGEXEXTRACT(A392,""^(?:https?:\/\/)?(?:[^@\n]+@)?(?:www\.)?([^:\/\n]+)"")),"""")"),"cashhousebuyersusa.com")</f>
        <v>cashhousebuyersusa.com</v>
      </c>
    </row>
    <row r="393" spans="1:2" ht="12.5">
      <c r="A393" s="3" t="s">
        <v>649</v>
      </c>
      <c r="B393" s="4" t="str">
        <f ca="1">IFERROR(__xludf.DUMMYFUNCTION("IFERROR(ARRAYFORMULA(REGEXEXTRACT(A393,""^(?:https?:\/\/)?(?:[^@\n]+@)?(?:www\.)?([^:\/\n]+)"")),"""")"),"bhhsgeorgia.com")</f>
        <v>bhhsgeorgia.com</v>
      </c>
    </row>
    <row r="394" spans="1:2" ht="12.5">
      <c r="A394" s="3" t="s">
        <v>650</v>
      </c>
      <c r="B394" s="4" t="str">
        <f ca="1">IFERROR(__xludf.DUMMYFUNCTION("IFERROR(ARRAYFORMULA(REGEXEXTRACT(A394,""^(?:https?:\/\/)?(?:[^@\n]+@)?(?:www\.)?([^:\/\n]+)"")),"""")"),"thisoldhouse.com")</f>
        <v>thisoldhouse.com</v>
      </c>
    </row>
    <row r="395" spans="1:2" ht="12.5">
      <c r="A395" s="3" t="s">
        <v>651</v>
      </c>
      <c r="B395" s="4" t="str">
        <f ca="1">IFERROR(__xludf.DUMMYFUNCTION("IFERROR(ARRAYFORMULA(REGEXEXTRACT(A395,""^(?:https?:\/\/)?(?:[^@\n]+@)?(?:www\.)?([^:\/\n]+)"")),"""")"),"halespropertymanagement.com")</f>
        <v>halespropertymanagement.com</v>
      </c>
    </row>
    <row r="396" spans="1:2" ht="12.5">
      <c r="A396" s="3" t="s">
        <v>652</v>
      </c>
      <c r="B396" s="4" t="str">
        <f ca="1">IFERROR(__xludf.DUMMYFUNCTION("IFERROR(ARRAYFORMULA(REGEXEXTRACT(A396,""^(?:https?:\/\/)?(?:[^@\n]+@)?(?:www\.)?([^:\/\n]+)"")),"""")"),"rtrlaw.com")</f>
        <v>rtrlaw.com</v>
      </c>
    </row>
    <row r="397" spans="1:2" ht="12.5">
      <c r="A397" s="3" t="s">
        <v>653</v>
      </c>
      <c r="B397" s="4" t="str">
        <f ca="1">IFERROR(__xludf.DUMMYFUNCTION("IFERROR(ARRAYFORMULA(REGEXEXTRACT(A397,""^(?:https?:\/\/)?(?:[^@\n]+@)?(?:www\.)?([^:\/\n]+)"")),"""")"),"rtrsells.com")</f>
        <v>rtrsells.com</v>
      </c>
    </row>
    <row r="398" spans="1:2" ht="12.5">
      <c r="A398" s="3" t="s">
        <v>654</v>
      </c>
      <c r="B398" s="4" t="str">
        <f ca="1">IFERROR(__xludf.DUMMYFUNCTION("IFERROR(ARRAYFORMULA(REGEXEXTRACT(A398,""^(?:https?:\/\/)?(?:[^@\n]+@)?(?:www\.)?([^:\/\n]+)"")),"""")"),"fineandcountry.co.uk")</f>
        <v>fineandcountry.co.uk</v>
      </c>
    </row>
    <row r="399" spans="1:2" ht="12.5">
      <c r="A399" s="3" t="s">
        <v>655</v>
      </c>
      <c r="B399" s="4" t="str">
        <f ca="1">IFERROR(__xludf.DUMMYFUNCTION("IFERROR(ARRAYFORMULA(REGEXEXTRACT(A399,""^(?:https?:\/\/)?(?:[^@\n]+@)?(?:www\.)?([^:\/\n]+)"")),"""")"),"portlandrealestate.com")</f>
        <v>portlandrealestate.com</v>
      </c>
    </row>
    <row r="400" spans="1:2" ht="12.5">
      <c r="A400" s="3" t="s">
        <v>656</v>
      </c>
      <c r="B400" s="4" t="str">
        <f ca="1">IFERROR(__xludf.DUMMYFUNCTION("IFERROR(ARRAYFORMULA(REGEXEXTRACT(A400,""^(?:https?:\/\/)?(?:[^@\n]+@)?(?:www\.)?([^:\/\n]+)"")),"""")"),"enjoythewood.com")</f>
        <v>enjoythewood.com</v>
      </c>
    </row>
    <row r="401" spans="1:2" ht="12.5">
      <c r="A401" s="3" t="s">
        <v>657</v>
      </c>
      <c r="B401" s="4" t="str">
        <f ca="1">IFERROR(__xludf.DUMMYFUNCTION("IFERROR(ARRAYFORMULA(REGEXEXTRACT(A401,""^(?:https?:\/\/)?(?:[^@\n]+@)?(?:www\.)?([^:\/\n]+)"")),"""")"),"instantroofer.com")</f>
        <v>instantroofer.com</v>
      </c>
    </row>
    <row r="402" spans="1:2" ht="12.5">
      <c r="A402" s="3" t="s">
        <v>658</v>
      </c>
      <c r="B402" s="4" t="str">
        <f ca="1">IFERROR(__xludf.DUMMYFUNCTION("IFERROR(ARRAYFORMULA(REGEXEXTRACT(A402,""^(?:https?:\/\/)?(?:[^@\n]+@)?(?:www\.)?([^:\/\n]+)"")),"""")"),"palmako.co.uk")</f>
        <v>palmako.co.uk</v>
      </c>
    </row>
    <row r="403" spans="1:2" ht="12.5">
      <c r="A403" s="3" t="s">
        <v>659</v>
      </c>
      <c r="B403" s="4" t="str">
        <f ca="1">IFERROR(__xludf.DUMMYFUNCTION("IFERROR(ARRAYFORMULA(REGEXEXTRACT(A403,""^(?:https?:\/\/)?(?:[^@\n]+@)?(?:www\.)?([^:\/\n]+)"")),"""")"),"easyframe.co.uk")</f>
        <v>easyframe.co.uk</v>
      </c>
    </row>
    <row r="404" spans="1:2" ht="12.5">
      <c r="A404" s="3" t="s">
        <v>660</v>
      </c>
      <c r="B404" s="4" t="str">
        <f ca="1">IFERROR(__xludf.DUMMYFUNCTION("IFERROR(ARRAYFORMULA(REGEXEXTRACT(A404,""^(?:https?:\/\/)?(?:[^@\n]+@)?(?:www\.)?([^:\/\n]+)"")),"""")"),"lexairconditioning.com")</f>
        <v>lexairconditioning.com</v>
      </c>
    </row>
    <row r="405" spans="1:2" ht="12.5">
      <c r="A405" s="3" t="s">
        <v>661</v>
      </c>
      <c r="B405" s="4" t="str">
        <f ca="1">IFERROR(__xludf.DUMMYFUNCTION("IFERROR(ARRAYFORMULA(REGEXEXTRACT(A405,""^(?:https?:\/\/)?(?:[^@\n]+@)?(?:www\.)?([^:\/\n]+)"")),"""")"),"countrybrookdesign.com")</f>
        <v>countrybrookdesign.com</v>
      </c>
    </row>
    <row r="406" spans="1:2" ht="12.5">
      <c r="A406" s="3" t="s">
        <v>662</v>
      </c>
      <c r="B406" s="4" t="str">
        <f ca="1">IFERROR(__xludf.DUMMYFUNCTION("IFERROR(ARRAYFORMULA(REGEXEXTRACT(A406,""^(?:https?:\/\/)?(?:[^@\n]+@)?(?:www\.)?([^:\/\n]+)"")),"""")"),"brickwoodhomes.com.au")</f>
        <v>brickwoodhomes.com.au</v>
      </c>
    </row>
    <row r="407" spans="1:2" ht="12.5">
      <c r="A407" s="3" t="s">
        <v>663</v>
      </c>
      <c r="B407" s="4" t="str">
        <f ca="1">IFERROR(__xludf.DUMMYFUNCTION("IFERROR(ARRAYFORMULA(REGEXEXTRACT(A407,""^(?:https?:\/\/)?(?:[^@\n]+@)?(?:www\.)?([^:\/\n]+)"")),"""")"),"pushorpull.com.au")</f>
        <v>pushorpull.com.au</v>
      </c>
    </row>
    <row r="408" spans="1:2" ht="12.5">
      <c r="A408" s="3" t="s">
        <v>664</v>
      </c>
      <c r="B408" s="4" t="str">
        <f ca="1">IFERROR(__xludf.DUMMYFUNCTION("IFERROR(ARRAYFORMULA(REGEXEXTRACT(A408,""^(?:https?:\/\/)?(?:[^@\n]+@)?(?:www\.)?([^:\/\n]+)"")),"""")"),"mykitchenandbath.com")</f>
        <v>mykitchenandbath.com</v>
      </c>
    </row>
    <row r="409" spans="1:2" ht="12.5">
      <c r="A409" s="3" t="s">
        <v>665</v>
      </c>
      <c r="B409" s="4" t="str">
        <f ca="1">IFERROR(__xludf.DUMMYFUNCTION("IFERROR(ARRAYFORMULA(REGEXEXTRACT(A409,""^(?:https?:\/\/)?(?:[^@\n]+@)?(?:www\.)?([^:\/\n]+)"")),"""")"),"renderartstudio.com")</f>
        <v>renderartstudio.com</v>
      </c>
    </row>
    <row r="410" spans="1:2" ht="12.5">
      <c r="A410" s="3" t="s">
        <v>666</v>
      </c>
      <c r="B410" s="4" t="str">
        <f ca="1">IFERROR(__xludf.DUMMYFUNCTION("IFERROR(ARRAYFORMULA(REGEXEXTRACT(A410,""^(?:https?:\/\/)?(?:[^@\n]+@)?(?:www\.)?([^:\/\n]+)"")),"""")"),"ckitchen.com")</f>
        <v>ckitchen.com</v>
      </c>
    </row>
    <row r="411" spans="1:2" ht="12.5">
      <c r="A411" s="3" t="s">
        <v>667</v>
      </c>
      <c r="B411" s="4" t="str">
        <f ca="1">IFERROR(__xludf.DUMMYFUNCTION("IFERROR(ARRAYFORMULA(REGEXEXTRACT(A411,""^(?:https?:\/\/)?(?:[^@\n]+@)?(?:www\.)?([^:\/\n]+)"")),"""")"),"nestapple.com")</f>
        <v>nestapple.com</v>
      </c>
    </row>
    <row r="412" spans="1:2" ht="12.5">
      <c r="A412" s="3" t="s">
        <v>668</v>
      </c>
      <c r="B412" s="4" t="str">
        <f ca="1">IFERROR(__xludf.DUMMYFUNCTION("IFERROR(ARRAYFORMULA(REGEXEXTRACT(A412,""^(?:https?:\/\/)?(?:[^@\n]+@)?(?:www\.)?([^:\/\n]+)"")),"""")"),"fortisvaults.com.au")</f>
        <v>fortisvaults.com.au</v>
      </c>
    </row>
    <row r="413" spans="1:2" ht="12.5">
      <c r="A413" s="3" t="s">
        <v>669</v>
      </c>
      <c r="B413" s="4" t="str">
        <f ca="1">IFERROR(__xludf.DUMMYFUNCTION("IFERROR(ARRAYFORMULA(REGEXEXTRACT(A413,""^(?:https?:\/\/)?(?:[^@\n]+@)?(?:www\.)?([^:\/\n]+)"")),"""")"),"buildmat.com.au")</f>
        <v>buildmat.com.au</v>
      </c>
    </row>
    <row r="414" spans="1:2" ht="12.5">
      <c r="A414" s="3" t="s">
        <v>670</v>
      </c>
      <c r="B414" s="4" t="str">
        <f ca="1">IFERROR(__xludf.DUMMYFUNCTION("IFERROR(ARRAYFORMULA(REGEXEXTRACT(A414,""^(?:https?:\/\/)?(?:[^@\n]+@)?(?:www\.)?([^:\/\n]+)"")),"""")"),"lights.com")</f>
        <v>lights.com</v>
      </c>
    </row>
    <row r="415" spans="1:2" ht="12.5">
      <c r="A415" s="3" t="s">
        <v>671</v>
      </c>
      <c r="B415" s="4" t="str">
        <f ca="1">IFERROR(__xludf.DUMMYFUNCTION("IFERROR(ARRAYFORMULA(REGEXEXTRACT(A415,""^(?:https?:\/\/)?(?:[^@\n]+@)?(?:www\.)?([^:\/\n]+)"")),"""")"),"shop.vitcas.com")</f>
        <v>shop.vitcas.com</v>
      </c>
    </row>
    <row r="416" spans="1:2" ht="12.5">
      <c r="A416" s="3" t="s">
        <v>672</v>
      </c>
      <c r="B416" s="4" t="str">
        <f ca="1">IFERROR(__xludf.DUMMYFUNCTION("IFERROR(ARRAYFORMULA(REGEXEXTRACT(A416,""^(?:https?:\/\/)?(?:[^@\n]+@)?(?:www\.)?([^:\/\n]+)"")),"""")"),"paramountstone.co.uk")</f>
        <v>paramountstone.co.uk</v>
      </c>
    </row>
    <row r="417" spans="1:2" ht="12.5">
      <c r="A417" s="3" t="s">
        <v>673</v>
      </c>
      <c r="B417" s="4" t="str">
        <f ca="1">IFERROR(__xludf.DUMMYFUNCTION("IFERROR(ARRAYFORMULA(REGEXEXTRACT(A417,""^(?:https?:\/\/)?(?:[^@\n]+@)?(?:www\.)?([^:\/\n]+)"")),"""")"),"qualityglassblock.com")</f>
        <v>qualityglassblock.com</v>
      </c>
    </row>
    <row r="418" spans="1:2" ht="12.5">
      <c r="A418" s="3" t="s">
        <v>674</v>
      </c>
      <c r="B418" s="4" t="str">
        <f ca="1">IFERROR(__xludf.DUMMYFUNCTION("IFERROR(ARRAYFORMULA(REGEXEXTRACT(A418,""^(?:https?:\/\/)?(?:[^@\n]+@)?(?:www\.)?([^:\/\n]+)"")),"""")"),"montgomeryhomes.com.au")</f>
        <v>montgomeryhomes.com.au</v>
      </c>
    </row>
    <row r="419" spans="1:2" ht="12.5">
      <c r="A419" s="3" t="s">
        <v>675</v>
      </c>
      <c r="B419" s="4" t="str">
        <f ca="1">IFERROR(__xludf.DUMMYFUNCTION("IFERROR(ARRAYFORMULA(REGEXEXTRACT(A419,""^(?:https?:\/\/)?(?:[^@\n]+@)?(?:www\.)?([^:\/\n]+)"")),"""")"),"home.howstuffworks.com")</f>
        <v>home.howstuffworks.com</v>
      </c>
    </row>
    <row r="420" spans="1:2" ht="12.5">
      <c r="A420" s="3" t="s">
        <v>676</v>
      </c>
      <c r="B420" s="4" t="str">
        <f ca="1">IFERROR(__xludf.DUMMYFUNCTION("IFERROR(ARRAYFORMULA(REGEXEXTRACT(A420,""^(?:https?:\/\/)?(?:[^@\n]+@)?(?:www\.)?([^:\/\n]+)"")),"""")"),"siteprep.com")</f>
        <v>siteprep.com</v>
      </c>
    </row>
    <row r="421" spans="1:2" ht="12.5">
      <c r="A421" s="3" t="s">
        <v>677</v>
      </c>
      <c r="B421" s="4" t="str">
        <f ca="1">IFERROR(__xludf.DUMMYFUNCTION("IFERROR(ARRAYFORMULA(REGEXEXTRACT(A421,""^(?:https?:\/\/)?(?:[^@\n]+@)?(?:www\.)?([^:\/\n]+)"")),"""")"),"miamitopcleaning.com")</f>
        <v>miamitopcleaning.com</v>
      </c>
    </row>
    <row r="422" spans="1:2" ht="12.5">
      <c r="A422" s="3" t="s">
        <v>678</v>
      </c>
      <c r="B422" s="4" t="str">
        <f ca="1">IFERROR(__xludf.DUMMYFUNCTION("IFERROR(ARRAYFORMULA(REGEXEXTRACT(A422,""^(?:https?:\/\/)?(?:[^@\n]+@)?(?:www\.)?([^:\/\n]+)"")),"""")"),"tinyhouseplans.com")</f>
        <v>tinyhouseplans.com</v>
      </c>
    </row>
    <row r="423" spans="1:2" ht="12.5">
      <c r="A423" s="3" t="s">
        <v>679</v>
      </c>
      <c r="B423" s="4" t="str">
        <f ca="1">IFERROR(__xludf.DUMMYFUNCTION("IFERROR(ARRAYFORMULA(REGEXEXTRACT(A423,""^(?:https?:\/\/)?(?:[^@\n]+@)?(?:www\.)?([^:\/\n]+)"")),"""")"),"holdstorage.co.uk")</f>
        <v>holdstorage.co.uk</v>
      </c>
    </row>
    <row r="424" spans="1:2" ht="12.5">
      <c r="A424" s="3" t="s">
        <v>680</v>
      </c>
      <c r="B424" s="4" t="str">
        <f ca="1">IFERROR(__xludf.DUMMYFUNCTION("IFERROR(ARRAYFORMULA(REGEXEXTRACT(A424,""^(?:https?:\/\/)?(?:[^@\n]+@)?(?:www\.)?([^:\/\n]+)"")),"""")"),"wisepelican.com")</f>
        <v>wisepelican.com</v>
      </c>
    </row>
    <row r="425" spans="1:2" ht="12.5">
      <c r="A425" s="3" t="s">
        <v>681</v>
      </c>
      <c r="B425" s="4" t="str">
        <f ca="1">IFERROR(__xludf.DUMMYFUNCTION("IFERROR(ARRAYFORMULA(REGEXEXTRACT(A425,""^(?:https?:\/\/)?(?:[^@\n]+@)?(?:www\.)?([^:\/\n]+)"")),"""")"),"hifkitchens.co.uk")</f>
        <v>hifkitchens.co.uk</v>
      </c>
    </row>
    <row r="426" spans="1:2" ht="12.5">
      <c r="A426" s="3" t="s">
        <v>682</v>
      </c>
      <c r="B426" s="4" t="str">
        <f ca="1">IFERROR(__xludf.DUMMYFUNCTION("IFERROR(ARRAYFORMULA(REGEXEXTRACT(A426,""^(?:https?:\/\/)?(?:[^@\n]+@)?(?:www\.)?([^:\/\n]+)"")),"""")"),"smaestimating.com")</f>
        <v>smaestimating.com</v>
      </c>
    </row>
    <row r="427" spans="1:2" ht="12.5">
      <c r="A427" s="3" t="s">
        <v>683</v>
      </c>
      <c r="B427" s="4" t="str">
        <f ca="1">IFERROR(__xludf.DUMMYFUNCTION("IFERROR(ARRAYFORMULA(REGEXEXTRACT(A427,""^(?:https?:\/\/)?(?:[^@\n]+@)?(?:www\.)?([^:\/\n]+)"")),"""")"),"joinhomebase.com")</f>
        <v>joinhomebase.com</v>
      </c>
    </row>
    <row r="428" spans="1:2" ht="12.5">
      <c r="A428" s="3" t="s">
        <v>684</v>
      </c>
      <c r="B428" s="4" t="str">
        <f ca="1">IFERROR(__xludf.DUMMYFUNCTION("IFERROR(ARRAYFORMULA(REGEXEXTRACT(A428,""^(?:https?:\/\/)?(?:[^@\n]+@)?(?:www\.)?([^:\/\n]+)"")),"""")"),"letsgetmoving.ca")</f>
        <v>letsgetmoving.ca</v>
      </c>
    </row>
    <row r="429" spans="1:2" ht="12.5">
      <c r="A429" s="3" t="s">
        <v>685</v>
      </c>
      <c r="B429" s="4" t="str">
        <f ca="1">IFERROR(__xludf.DUMMYFUNCTION("IFERROR(ARRAYFORMULA(REGEXEXTRACT(A429,""^(?:https?:\/\/)?(?:[^@\n]+@)?(?:www\.)?([^:\/\n]+)"")),"""")"),"americanvisionwindows.com")</f>
        <v>americanvisionwindows.com</v>
      </c>
    </row>
    <row r="430" spans="1:2" ht="12.5">
      <c r="A430" s="3" t="s">
        <v>686</v>
      </c>
      <c r="B430" s="4" t="str">
        <f ca="1">IFERROR(__xludf.DUMMYFUNCTION("IFERROR(ARRAYFORMULA(REGEXEXTRACT(A430,""^(?:https?:\/\/)?(?:[^@\n]+@)?(?:www\.)?([^:\/\n]+)"")),"""")"),"homesteadingfamily.com")</f>
        <v>homesteadingfamily.com</v>
      </c>
    </row>
    <row r="431" spans="1:2" ht="12.5">
      <c r="A431" s="3" t="s">
        <v>687</v>
      </c>
      <c r="B431" s="4" t="str">
        <f ca="1">IFERROR(__xludf.DUMMYFUNCTION("IFERROR(ARRAYFORMULA(REGEXEXTRACT(A431,""^(?:https?:\/\/)?(?:[^@\n]+@)?(?:www\.)?([^:\/\n]+)"")),"""")"),"thepropertybuyingcompany.co.uk")</f>
        <v>thepropertybuyingcompany.co.uk</v>
      </c>
    </row>
    <row r="432" spans="1:2" ht="12.5">
      <c r="A432" s="3" t="s">
        <v>688</v>
      </c>
      <c r="B432" s="4" t="str">
        <f ca="1">IFERROR(__xludf.DUMMYFUNCTION("IFERROR(ARRAYFORMULA(REGEXEXTRACT(A432,""^(?:https?:\/\/)?(?:[^@\n]+@)?(?:www\.)?([^:\/\n]+)"")),"""")"),"bdsdrainage.co.uk")</f>
        <v>bdsdrainage.co.uk</v>
      </c>
    </row>
    <row r="433" spans="1:2" ht="12.5">
      <c r="A433" s="3" t="s">
        <v>689</v>
      </c>
      <c r="B433" s="4" t="str">
        <f ca="1">IFERROR(__xludf.DUMMYFUNCTION("IFERROR(ARRAYFORMULA(REGEXEXTRACT(A433,""^(?:https?:\/\/)?(?:[^@\n]+@)?(?:www\.)?([^:\/\n]+)"")),"""")"),"mccarthyhomes.com.au")</f>
        <v>mccarthyhomes.com.au</v>
      </c>
    </row>
    <row r="434" spans="1:2" ht="12.5">
      <c r="A434" s="3" t="s">
        <v>690</v>
      </c>
      <c r="B434" s="4" t="str">
        <f ca="1">IFERROR(__xludf.DUMMYFUNCTION("IFERROR(ARRAYFORMULA(REGEXEXTRACT(A434,""^(?:https?:\/\/)?(?:[^@\n]+@)?(?:www\.)?([^:\/\n]+)"")),"""")"),"roofingcontractor.com")</f>
        <v>roofingcontractor.com</v>
      </c>
    </row>
    <row r="435" spans="1:2" ht="12.5">
      <c r="A435" s="3" t="s">
        <v>691</v>
      </c>
      <c r="B435" s="4" t="str">
        <f ca="1">IFERROR(__xludf.DUMMYFUNCTION("IFERROR(ARRAYFORMULA(REGEXEXTRACT(A435,""^(?:https?:\/\/)?(?:[^@\n]+@)?(?:www\.)?([^:\/\n]+)"")),"""")"),"ukoakdoors.co.uk")</f>
        <v>ukoakdoors.co.uk</v>
      </c>
    </row>
    <row r="436" spans="1:2" ht="12.5">
      <c r="A436" s="3" t="s">
        <v>692</v>
      </c>
      <c r="B436" s="4" t="str">
        <f ca="1">IFERROR(__xludf.DUMMYFUNCTION("IFERROR(ARRAYFORMULA(REGEXEXTRACT(A436,""^(?:https?:\/\/)?(?:[^@\n]+@)?(?:www\.)?([^:\/\n]+)"")),"""")"),"architecturaldepot.com")</f>
        <v>architecturaldepot.com</v>
      </c>
    </row>
    <row r="437" spans="1:2" ht="12.5">
      <c r="A437" s="3" t="s">
        <v>693</v>
      </c>
      <c r="B437" s="4" t="str">
        <f ca="1">IFERROR(__xludf.DUMMYFUNCTION("IFERROR(ARRAYFORMULA(REGEXEXTRACT(A437,""^(?:https?:\/\/)?(?:[^@\n]+@)?(?:www\.)?([^:\/\n]+)"")),"""")"),"renuityhome.com")</f>
        <v>renuityhome.com</v>
      </c>
    </row>
    <row r="438" spans="1:2" ht="12.5">
      <c r="A438" s="3" t="s">
        <v>694</v>
      </c>
      <c r="B438" s="4" t="str">
        <f ca="1">IFERROR(__xludf.DUMMYFUNCTION("IFERROR(ARRAYFORMULA(REGEXEXTRACT(A438,""^(?:https?:\/\/)?(?:[^@\n]+@)?(?:www\.)?([^:\/\n]+)"")),"""")"),"edenbraehomes.com.au")</f>
        <v>edenbraehomes.com.au</v>
      </c>
    </row>
    <row r="439" spans="1:2" ht="12.5">
      <c r="A439" s="3" t="s">
        <v>695</v>
      </c>
      <c r="B439" s="4" t="str">
        <f ca="1">IFERROR(__xludf.DUMMYFUNCTION("IFERROR(ARRAYFORMULA(REGEXEXTRACT(A439,""^(?:https?:\/\/)?(?:[^@\n]+@)?(?:www\.)?([^:\/\n]+)"")),"""")"),"diamondhomesupport.com")</f>
        <v>diamondhomesupport.com</v>
      </c>
    </row>
    <row r="440" spans="1:2" ht="12.5">
      <c r="A440" s="3" t="s">
        <v>696</v>
      </c>
      <c r="B440" s="4" t="str">
        <f ca="1">IFERROR(__xludf.DUMMYFUNCTION("IFERROR(ARRAYFORMULA(REGEXEXTRACT(A440,""^(?:https?:\/\/)?(?:[^@\n]+@)?(?:www\.)?([^:\/\n]+)"")),"""")"),"americanflat.com")</f>
        <v>americanflat.com</v>
      </c>
    </row>
    <row r="441" spans="1:2" ht="12.5">
      <c r="A441" s="3" t="s">
        <v>697</v>
      </c>
      <c r="B441" s="4" t="str">
        <f ca="1">IFERROR(__xludf.DUMMYFUNCTION("IFERROR(ARRAYFORMULA(REGEXEXTRACT(A441,""^(?:https?:\/\/)?(?:[^@\n]+@)?(?:www\.)?([^:\/\n]+)"")),"""")"),"imoving.com")</f>
        <v>imoving.com</v>
      </c>
    </row>
    <row r="442" spans="1:2" ht="12.5">
      <c r="A442" s="3" t="s">
        <v>698</v>
      </c>
      <c r="B442" s="4" t="str">
        <f ca="1">IFERROR(__xludf.DUMMYFUNCTION("IFERROR(ARRAYFORMULA(REGEXEXTRACT(A442,""^(?:https?:\/\/)?(?:[^@\n]+@)?(?:www\.)?([^:\/\n]+)"")),"""")"),"toscanacc.com")</f>
        <v>toscanacc.com</v>
      </c>
    </row>
    <row r="443" spans="1:2" ht="12.5">
      <c r="A443" s="3" t="s">
        <v>699</v>
      </c>
      <c r="B443" s="4" t="str">
        <f ca="1">IFERROR(__xludf.DUMMYFUNCTION("IFERROR(ARRAYFORMULA(REGEXEXTRACT(A443,""^(?:https?:\/\/)?(?:[^@\n]+@)?(?:www\.)?([^:\/\n]+)"")),"""")"),"visualgrip.com")</f>
        <v>visualgrip.com</v>
      </c>
    </row>
    <row r="444" spans="1:2" ht="12.5">
      <c r="A444" s="3" t="s">
        <v>700</v>
      </c>
      <c r="B444" s="4" t="str">
        <f ca="1">IFERROR(__xludf.DUMMYFUNCTION("IFERROR(ARRAYFORMULA(REGEXEXTRACT(A444,""^(?:https?:\/\/)?(?:[^@\n]+@)?(?:www\.)?([^:\/\n]+)"")),"""")"),"angi.com")</f>
        <v>angi.com</v>
      </c>
    </row>
    <row r="445" spans="1:2" ht="12.5">
      <c r="A445" s="3" t="s">
        <v>701</v>
      </c>
      <c r="B445" s="4" t="str">
        <f ca="1">IFERROR(__xludf.DUMMYFUNCTION("IFERROR(ARRAYFORMULA(REGEXEXTRACT(A445,""^(?:https?:\/\/)?(?:[^@\n]+@)?(?:www\.)?([^:\/\n]+)"")),"""")"),"realt.co")</f>
        <v>realt.co</v>
      </c>
    </row>
    <row r="446" spans="1:2" ht="12.5">
      <c r="A446" s="3" t="s">
        <v>702</v>
      </c>
      <c r="B446" s="4" t="str">
        <f ca="1">IFERROR(__xludf.DUMMYFUNCTION("IFERROR(ARRAYFORMULA(REGEXEXTRACT(A446,""^(?:https?:\/\/)?(?:[^@\n]+@)?(?:www\.)?([^:\/\n]+)"")),"""")"),"stackedhomes.com")</f>
        <v>stackedhomes.com</v>
      </c>
    </row>
    <row r="447" spans="1:2" ht="12.5">
      <c r="A447" s="3" t="s">
        <v>703</v>
      </c>
      <c r="B447" s="4" t="str">
        <f ca="1">IFERROR(__xludf.DUMMYFUNCTION("IFERROR(ARRAYFORMULA(REGEXEXTRACT(A447,""^(?:https?:\/\/)?(?:[^@\n]+@)?(?:www\.)?([^:\/\n]+)"")),"""")"),"frontlobby.com")</f>
        <v>frontlobby.com</v>
      </c>
    </row>
    <row r="448" spans="1:2" ht="12.5">
      <c r="A448" s="3" t="s">
        <v>704</v>
      </c>
      <c r="B448" s="4" t="str">
        <f ca="1">IFERROR(__xludf.DUMMYFUNCTION("IFERROR(ARRAYFORMULA(REGEXEXTRACT(A448,""^(?:https?:\/\/)?(?:[^@\n]+@)?(?:www\.)?([^:\/\n]+)"")),"""")"),"eddypump.com")</f>
        <v>eddypump.com</v>
      </c>
    </row>
    <row r="449" spans="1:2" ht="12.5">
      <c r="A449" s="3" t="s">
        <v>705</v>
      </c>
      <c r="B449" s="4" t="str">
        <f ca="1">IFERROR(__xludf.DUMMYFUNCTION("IFERROR(ARRAYFORMULA(REGEXEXTRACT(A449,""^(?:https?:\/\/)?(?:[^@\n]+@)?(?:www\.)?([^:\/\n]+)"")),"""")"),"printpanoramics.co.uk")</f>
        <v>printpanoramics.co.uk</v>
      </c>
    </row>
    <row r="450" spans="1:2" ht="12.5">
      <c r="A450" s="3" t="s">
        <v>706</v>
      </c>
      <c r="B450" s="4" t="str">
        <f ca="1">IFERROR(__xludf.DUMMYFUNCTION("IFERROR(ARRAYFORMULA(REGEXEXTRACT(A450,""^(?:https?:\/\/)?(?:[^@\n]+@)?(?:www\.)?([^:\/\n]+)"")),"""")"),"arcadium3d.com")</f>
        <v>arcadium3d.com</v>
      </c>
    </row>
    <row r="451" spans="1:2" ht="12.5">
      <c r="A451" s="3" t="s">
        <v>707</v>
      </c>
      <c r="B451" s="4" t="str">
        <f ca="1">IFERROR(__xludf.DUMMYFUNCTION("IFERROR(ARRAYFORMULA(REGEXEXTRACT(A451,""^(?:https?:\/\/)?(?:[^@\n]+@)?(?:www\.)?([^:\/\n]+)"")),"""")"),"saunadepot.ca")</f>
        <v>saunadepot.ca</v>
      </c>
    </row>
    <row r="452" spans="1:2" ht="12.5">
      <c r="A452" s="3" t="s">
        <v>708</v>
      </c>
      <c r="B452" s="4" t="str">
        <f ca="1">IFERROR(__xludf.DUMMYFUNCTION("IFERROR(ARRAYFORMULA(REGEXEXTRACT(A452,""^(?:https?:\/\/)?(?:[^@\n]+@)?(?:www\.)?([^:\/\n]+)"")),"""")"),"moldtesting-houston.com")</f>
        <v>moldtesting-houston.com</v>
      </c>
    </row>
    <row r="453" spans="1:2" ht="12.5">
      <c r="A453" s="3" t="s">
        <v>709</v>
      </c>
      <c r="B453" s="4" t="str">
        <f ca="1">IFERROR(__xludf.DUMMYFUNCTION("IFERROR(ARRAYFORMULA(REGEXEXTRACT(A453,""^(?:https?:\/\/)?(?:[^@\n]+@)?(?:www\.)?([^:\/\n]+)"")),"""")"),"theothermovingcompany.com")</f>
        <v>theothermovingcompany.com</v>
      </c>
    </row>
    <row r="454" spans="1:2" ht="12.5">
      <c r="A454" s="3" t="s">
        <v>710</v>
      </c>
      <c r="B454" s="4" t="str">
        <f ca="1">IFERROR(__xludf.DUMMYFUNCTION("IFERROR(ARRAYFORMULA(REGEXEXTRACT(A454,""^(?:https?:\/\/)?(?:[^@\n]+@)?(?:www\.)?([^:\/\n]+)"")),"""")"),"awvs.com")</f>
        <v>awvs.com</v>
      </c>
    </row>
    <row r="455" spans="1:2" ht="12.5">
      <c r="A455" s="3" t="s">
        <v>711</v>
      </c>
      <c r="B455" s="4" t="str">
        <f ca="1">IFERROR(__xludf.DUMMYFUNCTION("IFERROR(ARRAYFORMULA(REGEXEXTRACT(A455,""^(?:https?:\/\/)?(?:[^@\n]+@)?(?:www\.)?([^:\/\n]+)"")),"""")"),"1000bulbs.com")</f>
        <v>1000bulbs.com</v>
      </c>
    </row>
    <row r="456" spans="1:2" ht="12.5">
      <c r="A456" s="3" t="s">
        <v>712</v>
      </c>
      <c r="B456" s="4" t="str">
        <f ca="1">IFERROR(__xludf.DUMMYFUNCTION("IFERROR(ARRAYFORMULA(REGEXEXTRACT(A456,""^(?:https?:\/\/)?(?:[^@\n]+@)?(?:www\.)?([^:\/\n]+)"")),"""")"),"martinlegacyholdings.com")</f>
        <v>martinlegacyholdings.com</v>
      </c>
    </row>
    <row r="457" spans="1:2" ht="12.5">
      <c r="A457" s="3" t="s">
        <v>713</v>
      </c>
      <c r="B457" s="4" t="str">
        <f ca="1">IFERROR(__xludf.DUMMYFUNCTION("IFERROR(ARRAYFORMULA(REGEXEXTRACT(A457,""^(?:https?:\/\/)?(?:[^@\n]+@)?(?:www\.)?([^:\/\n]+)"")),"""")"),"dtroofing.net")</f>
        <v>dtroofing.net</v>
      </c>
    </row>
    <row r="458" spans="1:2" ht="12.5">
      <c r="A458" s="3" t="s">
        <v>714</v>
      </c>
      <c r="B458" s="4" t="str">
        <f ca="1">IFERROR(__xludf.DUMMYFUNCTION("IFERROR(ARRAYFORMULA(REGEXEXTRACT(A458,""^(?:https?:\/\/)?(?:[^@\n]+@)?(?:www\.)?([^:\/\n]+)"")),"""")"),"pods.com")</f>
        <v>pods.com</v>
      </c>
    </row>
    <row r="459" spans="1:2" ht="12.5">
      <c r="A459" s="3" t="s">
        <v>715</v>
      </c>
      <c r="B459" s="4" t="str">
        <f ca="1">IFERROR(__xludf.DUMMYFUNCTION("IFERROR(ARRAYFORMULA(REGEXEXTRACT(A459,""^(?:https?:\/\/)?(?:[^@\n]+@)?(?:www\.)?([^:\/\n]+)"")),"""")"),"worldwildlife.org")</f>
        <v>worldwildlife.org</v>
      </c>
    </row>
    <row r="460" spans="1:2" ht="12.5">
      <c r="A460" s="3" t="s">
        <v>716</v>
      </c>
      <c r="B460" s="4" t="str">
        <f ca="1">IFERROR(__xludf.DUMMYFUNCTION("IFERROR(ARRAYFORMULA(REGEXEXTRACT(A460,""^(?:https?:\/\/)?(?:[^@\n]+@)?(?:www\.)?([^:\/\n]+)"")),"""")"),"insulationcommandos.com")</f>
        <v>insulationcommandos.com</v>
      </c>
    </row>
    <row r="461" spans="1:2" ht="12.5">
      <c r="A461" s="3" t="s">
        <v>717</v>
      </c>
      <c r="B461" s="4" t="str">
        <f ca="1">IFERROR(__xludf.DUMMYFUNCTION("IFERROR(ARRAYFORMULA(REGEXEXTRACT(A461,""^(?:https?:\/\/)?(?:[^@\n]+@)?(?:www\.)?([^:\/\n]+)"")),"""")"),"golansmoving.com")</f>
        <v>golansmoving.com</v>
      </c>
    </row>
    <row r="462" spans="1:2" ht="12.5">
      <c r="A462" s="3" t="s">
        <v>718</v>
      </c>
      <c r="B462" s="4" t="str">
        <f ca="1">IFERROR(__xludf.DUMMYFUNCTION("IFERROR(ARRAYFORMULA(REGEXEXTRACT(A462,""^(?:https?:\/\/)?(?:[^@\n]+@)?(?:www\.)?([^:\/\n]+)"")),"""")"),"clio.com")</f>
        <v>clio.com</v>
      </c>
    </row>
    <row r="463" spans="1:2" ht="12.5">
      <c r="A463" s="3" t="s">
        <v>719</v>
      </c>
      <c r="B463" s="4" t="str">
        <f ca="1">IFERROR(__xludf.DUMMYFUNCTION("IFERROR(ARRAYFORMULA(REGEXEXTRACT(A463,""^(?:https?:\/\/)?(?:[^@\n]+@)?(?:www\.)?([^:\/\n]+)"")),"""")"),"housingwire.com")</f>
        <v>housingwire.com</v>
      </c>
    </row>
    <row r="464" spans="1:2" ht="12.5">
      <c r="A464" s="3" t="s">
        <v>720</v>
      </c>
      <c r="B464" s="4" t="str">
        <f ca="1">IFERROR(__xludf.DUMMYFUNCTION("IFERROR(ARRAYFORMULA(REGEXEXTRACT(A464,""^(?:https?:\/\/)?(?:[^@\n]+@)?(?:www\.)?([^:\/\n]+)"")),"""")"),"cottonlogistics.com")</f>
        <v>cottonlogistics.com</v>
      </c>
    </row>
    <row r="465" spans="1:2" ht="12.5">
      <c r="A465" s="3" t="s">
        <v>721</v>
      </c>
      <c r="B465" s="4" t="str">
        <f ca="1">IFERROR(__xludf.DUMMYFUNCTION("IFERROR(ARRAYFORMULA(REGEXEXTRACT(A465,""^(?:https?:\/\/)?(?:[^@\n]+@)?(?:www\.)?([^:\/\n]+)"")),"""")"),"nationalmortgageprofessional.com")</f>
        <v>nationalmortgageprofessional.com</v>
      </c>
    </row>
    <row r="466" spans="1:2" ht="12.5">
      <c r="A466" s="3" t="s">
        <v>722</v>
      </c>
      <c r="B466" s="4" t="str">
        <f ca="1">IFERROR(__xludf.DUMMYFUNCTION("IFERROR(ARRAYFORMULA(REGEXEXTRACT(A466,""^(?:https?:\/\/)?(?:[^@\n]+@)?(?:www\.)?([^:\/\n]+)"")),"""")"),"theclose.com")</f>
        <v>theclose.com</v>
      </c>
    </row>
    <row r="467" spans="1:2" ht="12.5">
      <c r="A467" s="3" t="s">
        <v>723</v>
      </c>
      <c r="B467" s="4" t="str">
        <f ca="1">IFERROR(__xludf.DUMMYFUNCTION("IFERROR(ARRAYFORMULA(REGEXEXTRACT(A467,""^(?:https?:\/\/)?(?:[^@\n]+@)?(?:www\.)?([^:\/\n]+)"")),"""")"),"luxurypresence.com")</f>
        <v>luxurypresence.com</v>
      </c>
    </row>
    <row r="468" spans="1:2" ht="12.5">
      <c r="A468" s="3" t="s">
        <v>724</v>
      </c>
      <c r="B468" s="4" t="str">
        <f ca="1">IFERROR(__xludf.DUMMYFUNCTION("IFERROR(ARRAYFORMULA(REGEXEXTRACT(A468,""^(?:https?:\/\/)?(?:[^@\n]+@)?(?:www\.)?([^:\/\n]+)"")),"""")"),"cmsmortgages.ca")</f>
        <v>cmsmortgages.ca</v>
      </c>
    </row>
    <row r="469" spans="1:2" ht="12.5">
      <c r="A469" s="3" t="s">
        <v>725</v>
      </c>
      <c r="B469" s="4" t="str">
        <f ca="1">IFERROR(__xludf.DUMMYFUNCTION("IFERROR(ARRAYFORMULA(REGEXEXTRACT(A469,""^(?:https?:\/\/)?(?:[^@\n]+@)?(?:www\.)?([^:\/\n]+)"")),"""")"),"thecromeenslawfirm.com")</f>
        <v>thecromeenslawfirm.com</v>
      </c>
    </row>
    <row r="470" spans="1:2" ht="12.5">
      <c r="A470" s="3" t="s">
        <v>726</v>
      </c>
      <c r="B470" s="4" t="str">
        <f ca="1">IFERROR(__xludf.DUMMYFUNCTION("IFERROR(ARRAYFORMULA(REGEXEXTRACT(A470,""^(?:https?:\/\/)?(?:[^@\n]+@)?(?:www\.)?([^:\/\n]+)"")),"""")"),"fowlerexteriors.com")</f>
        <v>fowlerexteriors.com</v>
      </c>
    </row>
    <row r="471" spans="1:2" ht="12.5">
      <c r="A471" s="3" t="s">
        <v>727</v>
      </c>
      <c r="B471" s="4" t="str">
        <f ca="1">IFERROR(__xludf.DUMMYFUNCTION("IFERROR(ARRAYFORMULA(REGEXEXTRACT(A471,""^(?:https?:\/\/)?(?:[^@\n]+@)?(?:www\.)?([^:\/\n]+)"")),"""")"),"hsbsales.com")</f>
        <v>hsbsales.com</v>
      </c>
    </row>
    <row r="472" spans="1:2" ht="12.5">
      <c r="A472" s="3" t="s">
        <v>728</v>
      </c>
      <c r="B472" s="4" t="str">
        <f ca="1">IFERROR(__xludf.DUMMYFUNCTION("IFERROR(ARRAYFORMULA(REGEXEXTRACT(A472,""^(?:https?:\/\/)?(?:[^@\n]+@)?(?:www\.)?([^:\/\n]+)"")),"""")"),"canadaimmigrants.com")</f>
        <v>canadaimmigrants.com</v>
      </c>
    </row>
    <row r="473" spans="1:2" ht="12.5">
      <c r="A473" s="3" t="s">
        <v>729</v>
      </c>
      <c r="B473" s="4" t="str">
        <f ca="1">IFERROR(__xludf.DUMMYFUNCTION("IFERROR(ARRAYFORMULA(REGEXEXTRACT(A473,""^(?:https?:\/\/)?(?:[^@\n]+@)?(?:www\.)?([^:\/\n]+)"")),"""")"),"sierrainteractive.com")</f>
        <v>sierrainteractive.com</v>
      </c>
    </row>
    <row r="474" spans="1:2" ht="12.5">
      <c r="A474" s="3" t="s">
        <v>730</v>
      </c>
      <c r="B474" s="4" t="str">
        <f ca="1">IFERROR(__xludf.DUMMYFUNCTION("IFERROR(ARRAYFORMULA(REGEXEXTRACT(A474,""^(?:https?:\/\/)?(?:[^@\n]+@)?(?:www\.)?([^:\/\n]+)"")),"""")"),"elho.com")</f>
        <v>elho.com</v>
      </c>
    </row>
    <row r="475" spans="1:2" ht="12.5">
      <c r="A475" s="3" t="s">
        <v>731</v>
      </c>
      <c r="B475" s="4" t="str">
        <f ca="1">IFERROR(__xludf.DUMMYFUNCTION("IFERROR(ARRAYFORMULA(REGEXEXTRACT(A475,""^(?:https?:\/\/)?(?:[^@\n]+@)?(?:www\.)?([^:\/\n]+)"")),"""")"),"whataroom.com")</f>
        <v>whataroom.com</v>
      </c>
    </row>
    <row r="476" spans="1:2" ht="12.5">
      <c r="A476" s="3" t="s">
        <v>732</v>
      </c>
      <c r="B476" s="4" t="str">
        <f ca="1">IFERROR(__xludf.DUMMYFUNCTION("IFERROR(ARRAYFORMULA(REGEXEXTRACT(A476,""^(?:https?:\/\/)?(?:[^@\n]+@)?(?:www\.)?([^:\/\n]+)"")),"""")"),"homegambit.com")</f>
        <v>homegambit.com</v>
      </c>
    </row>
    <row r="477" spans="1:2" ht="12.5">
      <c r="A477" s="3" t="s">
        <v>733</v>
      </c>
      <c r="B477" s="4" t="str">
        <f ca="1">IFERROR(__xludf.DUMMYFUNCTION("IFERROR(ARRAYFORMULA(REGEXEXTRACT(A477,""^(?:https?:\/\/)?(?:[^@\n]+@)?(?:www\.)?([^:\/\n]+)"")),"""")"),"sohnne.com")</f>
        <v>sohnne.com</v>
      </c>
    </row>
    <row r="478" spans="1:2" ht="12.5">
      <c r="A478" s="3" t="s">
        <v>734</v>
      </c>
      <c r="B478" s="4" t="str">
        <f ca="1">IFERROR(__xludf.DUMMYFUNCTION("IFERROR(ARRAYFORMULA(REGEXEXTRACT(A478,""^(?:https?:\/\/)?(?:[^@\n]+@)?(?:www\.)?([^:\/\n]+)"")),"""")"),"shieldcoart.com")</f>
        <v>shieldcoart.com</v>
      </c>
    </row>
    <row r="479" spans="1:2" ht="12.5">
      <c r="A479" s="3" t="s">
        <v>735</v>
      </c>
      <c r="B479" s="4" t="str">
        <f ca="1">IFERROR(__xludf.DUMMYFUNCTION("IFERROR(ARRAYFORMULA(REGEXEXTRACT(A479,""^(?:https?:\/\/)?(?:[^@\n]+@)?(?:www\.)?([^:\/\n]+)"")),"""")"),"globepm.ca")</f>
        <v>globepm.ca</v>
      </c>
    </row>
    <row r="480" spans="1:2" ht="12.5">
      <c r="A480" s="3" t="s">
        <v>736</v>
      </c>
      <c r="B480" s="4" t="str">
        <f ca="1">IFERROR(__xludf.DUMMYFUNCTION("IFERROR(ARRAYFORMULA(REGEXEXTRACT(A480,""^(?:https?:\/\/)?(?:[^@\n]+@)?(?:www\.)?([^:\/\n]+)"")),"""")"),"deltaplumbersinc.com")</f>
        <v>deltaplumbersinc.com</v>
      </c>
    </row>
    <row r="481" spans="1:2" ht="12.5">
      <c r="A481" s="3" t="s">
        <v>737</v>
      </c>
      <c r="B481" s="4" t="str">
        <f ca="1">IFERROR(__xludf.DUMMYFUNCTION("IFERROR(ARRAYFORMULA(REGEXEXTRACT(A481,""^(?:https?:\/\/)?(?:[^@\n]+@)?(?:www\.)?([^:\/\n]+)"")),"""")"),"neonsigns.ca")</f>
        <v>neonsigns.ca</v>
      </c>
    </row>
    <row r="482" spans="1:2" ht="12.5">
      <c r="A482" s="3" t="s">
        <v>738</v>
      </c>
      <c r="B482" s="4" t="str">
        <f ca="1">IFERROR(__xludf.DUMMYFUNCTION("IFERROR(ARRAYFORMULA(REGEXEXTRACT(A482,""^(?:https?:\/\/)?(?:[^@\n]+@)?(?:www\.)?([^:\/\n]+)"")),"""")"),"stevesplumbinghawaii.com")</f>
        <v>stevesplumbinghawaii.com</v>
      </c>
    </row>
    <row r="483" spans="1:2" ht="12.5">
      <c r="A483" s="3" t="s">
        <v>739</v>
      </c>
      <c r="B483" s="4" t="str">
        <f ca="1">IFERROR(__xludf.DUMMYFUNCTION("IFERROR(ARRAYFORMULA(REGEXEXTRACT(A483,""^(?:https?:\/\/)?(?:[^@\n]+@)?(?:www\.)?([^:\/\n]+)"")),"""")"),"activeplumbingandair.com")</f>
        <v>activeplumbingandair.com</v>
      </c>
    </row>
    <row r="484" spans="1:2" ht="12.5">
      <c r="A484" s="3" t="s">
        <v>740</v>
      </c>
      <c r="B484" s="4" t="str">
        <f ca="1">IFERROR(__xludf.DUMMYFUNCTION("IFERROR(ARRAYFORMULA(REGEXEXTRACT(A484,""^(?:https?:\/\/)?(?:[^@\n]+@)?(?:www\.)?([^:\/\n]+)"")),"""")"),"thwindowsdoors.com")</f>
        <v>thwindowsdoors.com</v>
      </c>
    </row>
    <row r="485" spans="1:2" ht="12.5">
      <c r="A485" s="3" t="s">
        <v>741</v>
      </c>
      <c r="B485" s="4" t="str">
        <f ca="1">IFERROR(__xludf.DUMMYFUNCTION("IFERROR(ARRAYFORMULA(REGEXEXTRACT(A485,""^(?:https?:\/\/)?(?:[^@\n]+@)?(?:www\.)?([^:\/\n]+)"")),"""")"),"gardeneros.com")</f>
        <v>gardeneros.com</v>
      </c>
    </row>
    <row r="486" spans="1:2" ht="12.5">
      <c r="A486" s="3" t="s">
        <v>742</v>
      </c>
      <c r="B486" s="4" t="str">
        <f ca="1">IFERROR(__xludf.DUMMYFUNCTION("IFERROR(ARRAYFORMULA(REGEXEXTRACT(A486,""^(?:https?:\/\/)?(?:[^@\n]+@)?(?:www\.)?([^:\/\n]+)"")),"""")"),"plantplan.co.uk")</f>
        <v>plantplan.co.uk</v>
      </c>
    </row>
    <row r="487" spans="1:2" ht="12.5">
      <c r="A487" s="3" t="s">
        <v>743</v>
      </c>
      <c r="B487" s="4" t="str">
        <f ca="1">IFERROR(__xludf.DUMMYFUNCTION("IFERROR(ARRAYFORMULA(REGEXEXTRACT(A487,""^(?:https?:\/\/)?(?:[^@\n]+@)?(?:www\.)?([^:\/\n]+)"")),"""")"),"goflooring.com")</f>
        <v>goflooring.com</v>
      </c>
    </row>
    <row r="488" spans="1:2" ht="12.5">
      <c r="A488" s="3" t="s">
        <v>744</v>
      </c>
      <c r="B488" s="4" t="str">
        <f ca="1">IFERROR(__xludf.DUMMYFUNCTION("IFERROR(ARRAYFORMULA(REGEXEXTRACT(A488,""^(?:https?:\/\/)?(?:[^@\n]+@)?(?:www\.)?([^:\/\n]+)"")),"""")"),"vitcas.com")</f>
        <v>vitcas.com</v>
      </c>
    </row>
    <row r="489" spans="1:2" ht="12.5">
      <c r="A489" s="3" t="s">
        <v>745</v>
      </c>
      <c r="B489" s="4" t="str">
        <f ca="1">IFERROR(__xludf.DUMMYFUNCTION("IFERROR(ARRAYFORMULA(REGEXEXTRACT(A489,""^(?:https?:\/\/)?(?:[^@\n]+@)?(?:www\.)?([^:\/\n]+)"")),"""")"),"betenbough.com")</f>
        <v>betenbough.com</v>
      </c>
    </row>
    <row r="490" spans="1:2" ht="12.5">
      <c r="A490" s="3" t="s">
        <v>746</v>
      </c>
      <c r="B490" s="4" t="str">
        <f ca="1">IFERROR(__xludf.DUMMYFUNCTION("IFERROR(ARRAYFORMULA(REGEXEXTRACT(A490,""^(?:https?:\/\/)?(?:[^@\n]+@)?(?:www\.)?([^:\/\n]+)"")),"""")"),"ladesignconcepts.com")</f>
        <v>ladesignconcepts.com</v>
      </c>
    </row>
    <row r="491" spans="1:2" ht="12.5">
      <c r="A491" s="3" t="s">
        <v>747</v>
      </c>
      <c r="B491" s="4" t="str">
        <f ca="1">IFERROR(__xludf.DUMMYFUNCTION("IFERROR(ARRAYFORMULA(REGEXEXTRACT(A491,""^(?:https?:\/\/)?(?:[^@\n]+@)?(?:www\.)?([^:\/\n]+)"")),"""")"),"rubiomonocoat.co.uk")</f>
        <v>rubiomonocoat.co.uk</v>
      </c>
    </row>
    <row r="492" spans="1:2" ht="12.5">
      <c r="A492" s="3" t="s">
        <v>748</v>
      </c>
      <c r="B492" s="4" t="str">
        <f ca="1">IFERROR(__xludf.DUMMYFUNCTION("IFERROR(ARRAYFORMULA(REGEXEXTRACT(A492,""^(?:https?:\/\/)?(?:[^@\n]+@)?(?:www\.)?([^:\/\n]+)"")),"""")"),"gatsbyglass.com")</f>
        <v>gatsbyglass.com</v>
      </c>
    </row>
    <row r="493" spans="1:2" ht="12.5">
      <c r="A493" s="3" t="s">
        <v>749</v>
      </c>
      <c r="B493" s="4" t="str">
        <f ca="1">IFERROR(__xludf.DUMMYFUNCTION("IFERROR(ARRAYFORMULA(REGEXEXTRACT(A493,""^(?:https?:\/\/)?(?:[^@\n]+@)?(?:www\.)?([^:\/\n]+)"")),"""")"),"thehues.com")</f>
        <v>thehues.com</v>
      </c>
    </row>
    <row r="494" spans="1:2" ht="12.5">
      <c r="A494" s="3" t="s">
        <v>750</v>
      </c>
      <c r="B494" s="4" t="str">
        <f ca="1">IFERROR(__xludf.DUMMYFUNCTION("IFERROR(ARRAYFORMULA(REGEXEXTRACT(A494,""^(?:https?:\/\/)?(?:[^@\n]+@)?(?:www\.)?([^:\/\n]+)"")),"""")"),"critterstop.com")</f>
        <v>critterstop.com</v>
      </c>
    </row>
    <row r="495" spans="1:2" ht="12.5">
      <c r="A495" s="3" t="s">
        <v>751</v>
      </c>
      <c r="B495" s="4" t="str">
        <f ca="1">IFERROR(__xludf.DUMMYFUNCTION("IFERROR(ARRAYFORMULA(REGEXEXTRACT(A495,""^(?:https?:\/\/)?(?:[^@\n]+@)?(?:www\.)?([^:\/\n]+)"")),"""")"),"wholesalenurseryco.com")</f>
        <v>wholesalenurseryco.com</v>
      </c>
    </row>
    <row r="496" spans="1:2" ht="12.5">
      <c r="A496" s="3" t="s">
        <v>752</v>
      </c>
      <c r="B496" s="4" t="str">
        <f ca="1">IFERROR(__xludf.DUMMYFUNCTION("IFERROR(ARRAYFORMULA(REGEXEXTRACT(A496,""^(?:https?:\/\/)?(?:[^@\n]+@)?(?:www\.)?([^:\/\n]+)"")),"""")"),"portugalbuyersagent.com")</f>
        <v>portugalbuyersagent.com</v>
      </c>
    </row>
    <row r="497" spans="1:2" ht="12.5">
      <c r="A497" s="3" t="s">
        <v>753</v>
      </c>
      <c r="B497" s="4" t="str">
        <f ca="1">IFERROR(__xludf.DUMMYFUNCTION("IFERROR(ARRAYFORMULA(REGEXEXTRACT(A497,""^(?:https?:\/\/)?(?:[^@\n]+@)?(?:www\.)?([^:\/\n]+)"")),"""")"),"limitlesswalls.com")</f>
        <v>limitlesswalls.com</v>
      </c>
    </row>
    <row r="498" spans="1:2" ht="12.5">
      <c r="A498" s="3" t="s">
        <v>754</v>
      </c>
      <c r="B498" s="4" t="str">
        <f ca="1">IFERROR(__xludf.DUMMYFUNCTION("IFERROR(ARRAYFORMULA(REGEXEXTRACT(A498,""^(?:https?:\/\/)?(?:[^@\n]+@)?(?:www\.)?([^:\/\n]+)"")),"""")"),"luxuryflooring.co.uk")</f>
        <v>luxuryflooring.co.uk</v>
      </c>
    </row>
    <row r="499" spans="1:2" ht="12.5">
      <c r="A499" s="3" t="s">
        <v>755</v>
      </c>
      <c r="B499" s="4" t="str">
        <f ca="1">IFERROR(__xludf.DUMMYFUNCTION("IFERROR(ARRAYFORMULA(REGEXEXTRACT(A499,""^(?:https?:\/\/)?(?:[^@\n]+@)?(?:www\.)?([^:\/\n]+)"")),"""")"),"hydrobuilder.com")</f>
        <v>hydrobuilder.com</v>
      </c>
    </row>
    <row r="500" spans="1:2" ht="12.5">
      <c r="A500" s="3" t="s">
        <v>756</v>
      </c>
      <c r="B500" s="4" t="str">
        <f ca="1">IFERROR(__xludf.DUMMYFUNCTION("IFERROR(ARRAYFORMULA(REGEXEXTRACT(A500,""^(?:https?:\/\/)?(?:[^@\n]+@)?(?:www\.)?([^:\/\n]+)"")),"""")"),"hollywoodmirrors.co.uk")</f>
        <v>hollywoodmirrors.co.uk</v>
      </c>
    </row>
    <row r="501" spans="1:2" ht="12.5">
      <c r="A501" s="3" t="s">
        <v>757</v>
      </c>
      <c r="B501" s="4" t="str">
        <f ca="1">IFERROR(__xludf.DUMMYFUNCTION("IFERROR(ARRAYFORMULA(REGEXEXTRACT(A501,""^(?:https?:\/\/)?(?:[^@\n]+@)?(?:www\.)?([^:\/\n]+)"")),"""")"),"officefurnitureonline.co.uk")</f>
        <v>officefurnitureonline.co.uk</v>
      </c>
    </row>
    <row r="502" spans="1:2" ht="12.5">
      <c r="A502" s="3" t="s">
        <v>758</v>
      </c>
      <c r="B502" s="4" t="str">
        <f ca="1">IFERROR(__xludf.DUMMYFUNCTION("IFERROR(ARRAYFORMULA(REGEXEXTRACT(A502,""^(?:https?:\/\/)?(?:[^@\n]+@)?(?:www\.)?([^:\/\n]+)"")),"""")"),"neighbourhoodplumbing.com.au")</f>
        <v>neighbourhoodplumbing.com.au</v>
      </c>
    </row>
    <row r="503" spans="1:2" ht="12.5">
      <c r="A503" s="3" t="s">
        <v>759</v>
      </c>
      <c r="B503" s="4" t="str">
        <f ca="1">IFERROR(__xludf.DUMMYFUNCTION("IFERROR(ARRAYFORMULA(REGEXEXTRACT(A503,""^(?:https?:\/\/)?(?:[^@\n]+@)?(?:www\.)?([^:\/\n]+)"")),"""")"),"floriansunrooms.ca")</f>
        <v>floriansunrooms.ca</v>
      </c>
    </row>
    <row r="504" spans="1:2" ht="12.5">
      <c r="A504" s="3" t="s">
        <v>760</v>
      </c>
      <c r="B504" s="4" t="str">
        <f ca="1">IFERROR(__xludf.DUMMYFUNCTION("IFERROR(ARRAYFORMULA(REGEXEXTRACT(A504,""^(?:https?:\/\/)?(?:[^@\n]+@)?(?:www\.)?([^:\/\n]+)"")),"""")"),"alivinghome.com")</f>
        <v>alivinghome.com</v>
      </c>
    </row>
    <row r="505" spans="1:2" ht="12.5">
      <c r="A505" s="3" t="s">
        <v>761</v>
      </c>
      <c r="B505" s="4" t="str">
        <f ca="1">IFERROR(__xludf.DUMMYFUNCTION("IFERROR(ARRAYFORMULA(REGEXEXTRACT(A505,""^(?:https?:\/\/)?(?:[^@\n]+@)?(?:www\.)?([^:\/\n]+)"")),"""")"),"radikalneonsigns.com")</f>
        <v>radikalneonsigns.com</v>
      </c>
    </row>
    <row r="506" spans="1:2" ht="12.5">
      <c r="A506" s="3" t="s">
        <v>762</v>
      </c>
      <c r="B506" s="4" t="str">
        <f ca="1">IFERROR(__xludf.DUMMYFUNCTION("IFERROR(ARRAYFORMULA(REGEXEXTRACT(A506,""^(?:https?:\/\/)?(?:[^@\n]+@)?(?:www\.)?([^:\/\n]+)"")),"""")"),"elxis.com")</f>
        <v>elxis.com</v>
      </c>
    </row>
    <row r="507" spans="1:2" ht="12.5">
      <c r="A507" s="3" t="s">
        <v>763</v>
      </c>
      <c r="B507" s="4" t="str">
        <f ca="1">IFERROR(__xludf.DUMMYFUNCTION("IFERROR(ARRAYFORMULA(REGEXEXTRACT(A507,""^(?:https?:\/\/)?(?:[^@\n]+@)?(?:www\.)?([^:\/\n]+)"")),"""")"),"globalcitizensolutions.com")</f>
        <v>globalcitizensolutions.com</v>
      </c>
    </row>
    <row r="508" spans="1:2" ht="12.5">
      <c r="A508" s="3" t="s">
        <v>764</v>
      </c>
      <c r="B508" s="4" t="str">
        <f ca="1">IFERROR(__xludf.DUMMYFUNCTION("IFERROR(ARRAYFORMULA(REGEXEXTRACT(A508,""^(?:https?:\/\/)?(?:[^@\n]+@)?(?:www\.)?([^:\/\n]+)"")),"""")"),"yourelegantbar.com")</f>
        <v>yourelegantbar.com</v>
      </c>
    </row>
    <row r="509" spans="1:2" ht="12.5">
      <c r="A509" s="3" t="s">
        <v>765</v>
      </c>
      <c r="B509" s="4" t="str">
        <f ca="1">IFERROR(__xludf.DUMMYFUNCTION("IFERROR(ARRAYFORMULA(REGEXEXTRACT(A509,""^(?:https?:\/\/)?(?:[^@\n]+@)?(?:www\.)?([^:\/\n]+)"")),"""")"),"visitutah.com")</f>
        <v>visitutah.com</v>
      </c>
    </row>
    <row r="510" spans="1:2" ht="12.5">
      <c r="A510" s="3" t="s">
        <v>766</v>
      </c>
      <c r="B510" s="4" t="str">
        <f ca="1">IFERROR(__xludf.DUMMYFUNCTION("IFERROR(ARRAYFORMULA(REGEXEXTRACT(A510,""^(?:https?:\/\/)?(?:[^@\n]+@)?(?:www\.)?([^:\/\n]+)"")),"""")"),"superiorplumbing.ca")</f>
        <v>superiorplumbing.ca</v>
      </c>
    </row>
    <row r="511" spans="1:2" ht="12.5">
      <c r="A511" s="3" t="s">
        <v>767</v>
      </c>
      <c r="B511" s="4" t="str">
        <f ca="1">IFERROR(__xludf.DUMMYFUNCTION("IFERROR(ARRAYFORMULA(REGEXEXTRACT(A511,""^(?:https?:\/\/)?(?:[^@\n]+@)?(?:www\.)?([^:\/\n]+)"")),"""")"),"spyglassrealty.com")</f>
        <v>spyglassrealty.com</v>
      </c>
    </row>
    <row r="512" spans="1:2" ht="12.5">
      <c r="A512" s="3" t="s">
        <v>768</v>
      </c>
      <c r="B512" s="4" t="str">
        <f ca="1">IFERROR(__xludf.DUMMYFUNCTION("IFERROR(ARRAYFORMULA(REGEXEXTRACT(A512,""^(?:https?:\/\/)?(?:[^@\n]+@)?(?:www\.)?([^:\/\n]+)"")),"""")"),"nomadicrealestate.com")</f>
        <v>nomadicrealestate.com</v>
      </c>
    </row>
    <row r="513" spans="1:2" ht="12.5">
      <c r="A513" s="3" t="s">
        <v>769</v>
      </c>
      <c r="B513" s="4" t="str">
        <f ca="1">IFERROR(__xludf.DUMMYFUNCTION("IFERROR(ARRAYFORMULA(REGEXEXTRACT(A513,""^(?:https?:\/\/)?(?:[^@\n]+@)?(?:www\.)?([^:\/\n]+)"")),"""")"),"allsecure.co.nz")</f>
        <v>allsecure.co.nz</v>
      </c>
    </row>
    <row r="514" spans="1:2" ht="12.5">
      <c r="A514" s="3" t="s">
        <v>770</v>
      </c>
      <c r="B514" s="4" t="str">
        <f ca="1">IFERROR(__xludf.DUMMYFUNCTION("IFERROR(ARRAYFORMULA(REGEXEXTRACT(A514,""^(?:https?:\/\/)?(?:[^@\n]+@)?(?:www\.)?([^:\/\n]+)"")),"""")"),"smilehvac.ca")</f>
        <v>smilehvac.ca</v>
      </c>
    </row>
    <row r="515" spans="1:2" ht="12.5">
      <c r="A515" s="3" t="s">
        <v>771</v>
      </c>
      <c r="B515" s="4" t="str">
        <f ca="1">IFERROR(__xludf.DUMMYFUNCTION("IFERROR(ARRAYFORMULA(REGEXEXTRACT(A515,""^(?:https?:\/\/)?(?:[^@\n]+@)?(?:www\.)?([^:\/\n]+)"")),"""")"),"contractorsischool.com")</f>
        <v>contractorsischool.com</v>
      </c>
    </row>
    <row r="516" spans="1:2" ht="12.5">
      <c r="A516" s="3" t="s">
        <v>772</v>
      </c>
      <c r="B516" s="4" t="str">
        <f ca="1">IFERROR(__xludf.DUMMYFUNCTION("IFERROR(ARRAYFORMULA(REGEXEXTRACT(A516,""^(?:https?:\/\/)?(?:[^@\n]+@)?(?:www\.)?([^:\/\n]+)"")),"""")"),"commercialglasspartitions.com")</f>
        <v>commercialglasspartitions.com</v>
      </c>
    </row>
    <row r="517" spans="1:2" ht="12.5">
      <c r="A517" s="3" t="s">
        <v>773</v>
      </c>
      <c r="B517" s="4" t="str">
        <f ca="1">IFERROR(__xludf.DUMMYFUNCTION("IFERROR(ARRAYFORMULA(REGEXEXTRACT(A517,""^(?:https?:\/\/)?(?:[^@\n]+@)?(?:www\.)?([^:\/\n]+)"")),"""")"),"stairhoppers.com")</f>
        <v>stairhoppers.com</v>
      </c>
    </row>
    <row r="518" spans="1:2" ht="12.5">
      <c r="A518" s="3" t="s">
        <v>774</v>
      </c>
      <c r="B518" s="4" t="str">
        <f ca="1">IFERROR(__xludf.DUMMYFUNCTION("IFERROR(ARRAYFORMULA(REGEXEXTRACT(A518,""^(?:https?:\/\/)?(?:[^@\n]+@)?(?:www\.)?([^:\/\n]+)"")),"""")"),"rulonco.com")</f>
        <v>rulonco.com</v>
      </c>
    </row>
    <row r="519" spans="1:2" ht="12.5">
      <c r="A519" s="3" t="s">
        <v>775</v>
      </c>
      <c r="B519" s="4" t="str">
        <f ca="1">IFERROR(__xludf.DUMMYFUNCTION("IFERROR(ARRAYFORMULA(REGEXEXTRACT(A519,""^(?:https?:\/\/)?(?:[^@\n]+@)?(?:www\.)?([^:\/\n]+)"")),"""")"),"shipsmart.com")</f>
        <v>shipsmart.com</v>
      </c>
    </row>
    <row r="520" spans="1:2" ht="12.5">
      <c r="A520" s="3" t="s">
        <v>776</v>
      </c>
      <c r="B520" s="4" t="str">
        <f ca="1">IFERROR(__xludf.DUMMYFUNCTION("IFERROR(ARRAYFORMULA(REGEXEXTRACT(A520,""^(?:https?:\/\/)?(?:[^@\n]+@)?(?:www\.)?([^:\/\n]+)"")),"""")"),"hiltonplumbing.com.au")</f>
        <v>hiltonplumbing.com.au</v>
      </c>
    </row>
    <row r="521" spans="1:2" ht="12.5">
      <c r="A521" s="3" t="s">
        <v>777</v>
      </c>
      <c r="B521" s="4" t="str">
        <f ca="1">IFERROR(__xludf.DUMMYFUNCTION("IFERROR(ARRAYFORMULA(REGEXEXTRACT(A521,""^(?:https?:\/\/)?(?:[^@\n]+@)?(?:www\.)?([^:\/\n]+)"")),"""")"),"halfpricepackaging.com")</f>
        <v>halfpricepackaging.com</v>
      </c>
    </row>
    <row r="522" spans="1:2" ht="12.5">
      <c r="A522" s="3" t="s">
        <v>778</v>
      </c>
      <c r="B522" s="4" t="str">
        <f ca="1">IFERROR(__xludf.DUMMYFUNCTION("IFERROR(ARRAYFORMULA(REGEXEXTRACT(A522,""^(?:https?:\/\/)?(?:[^@\n]+@)?(?:www\.)?([^:\/\n]+)"")),"""")"),"astropak.com")</f>
        <v>astropak.com</v>
      </c>
    </row>
    <row r="523" spans="1:2" ht="12.5">
      <c r="A523" s="3" t="s">
        <v>779</v>
      </c>
      <c r="B523" s="4" t="str">
        <f ca="1">IFERROR(__xludf.DUMMYFUNCTION("IFERROR(ARRAYFORMULA(REGEXEXTRACT(A523,""^(?:https?:\/\/)?(?:[^@\n]+@)?(?:www\.)?([^:\/\n]+)"")),"""")"),"homeguidemyrtlebeach.com")</f>
        <v>homeguidemyrtlebeach.com</v>
      </c>
    </row>
    <row r="524" spans="1:2" ht="12.5">
      <c r="A524" s="3" t="s">
        <v>780</v>
      </c>
      <c r="B524" s="4" t="str">
        <f ca="1">IFERROR(__xludf.DUMMYFUNCTION("IFERROR(ARRAYFORMULA(REGEXEXTRACT(A524,""^(?:https?:\/\/)?(?:[^@\n]+@)?(?:www\.)?([^:\/\n]+)"")),"""")"),"spydermoving.com")</f>
        <v>spydermoving.com</v>
      </c>
    </row>
    <row r="525" spans="1:2" ht="12.5">
      <c r="A525" s="3" t="s">
        <v>781</v>
      </c>
      <c r="B525" s="4" t="str">
        <f ca="1">IFERROR(__xludf.DUMMYFUNCTION("IFERROR(ARRAYFORMULA(REGEXEXTRACT(A525,""^(?:https?:\/\/)?(?:[^@\n]+@)?(?:www\.)?([^:\/\n]+)"")),"""")"),"kendrafoundit.com")</f>
        <v>kendrafoundit.com</v>
      </c>
    </row>
    <row r="526" spans="1:2" ht="12.5">
      <c r="A526" s="3" t="s">
        <v>782</v>
      </c>
      <c r="B526" s="4" t="str">
        <f ca="1">IFERROR(__xludf.DUMMYFUNCTION("IFERROR(ARRAYFORMULA(REGEXEXTRACT(A526,""^(?:https?:\/\/)?(?:[^@\n]+@)?(?:www\.)?([^:\/\n]+)"")),"""")"),"flexfence.com")</f>
        <v>flexfence.com</v>
      </c>
    </row>
    <row r="527" spans="1:2" ht="12.5">
      <c r="A527" s="3" t="s">
        <v>783</v>
      </c>
      <c r="B527" s="4" t="str">
        <f ca="1">IFERROR(__xludf.DUMMYFUNCTION("IFERROR(ARRAYFORMULA(REGEXEXTRACT(A527,""^(?:https?:\/\/)?(?:[^@\n]+@)?(?:www\.)?([^:\/\n]+)"")),"""")"),"bytefederal.com")</f>
        <v>bytefederal.com</v>
      </c>
    </row>
    <row r="528" spans="1:2" ht="12.5">
      <c r="A528" s="3" t="s">
        <v>784</v>
      </c>
      <c r="B528" s="4" t="str">
        <f ca="1">IFERROR(__xludf.DUMMYFUNCTION("IFERROR(ARRAYFORMULA(REGEXEXTRACT(A528,""^(?:https?:\/\/)?(?:[^@\n]+@)?(?:www\.)?([^:\/\n]+)"")),"""")"),"flickingerglassworks.com")</f>
        <v>flickingerglassworks.com</v>
      </c>
    </row>
    <row r="529" spans="1:2" ht="12.5">
      <c r="A529" s="3" t="s">
        <v>785</v>
      </c>
      <c r="B529" s="4" t="str">
        <f ca="1">IFERROR(__xludf.DUMMYFUNCTION("IFERROR(ARRAYFORMULA(REGEXEXTRACT(A529,""^(?:https?:\/\/)?(?:[^@\n]+@)?(?:www\.)?([^:\/\n]+)"")),"""")"),"sentimo.com")</f>
        <v>sentimo.com</v>
      </c>
    </row>
    <row r="530" spans="1:2" ht="12.5">
      <c r="A530" s="3" t="s">
        <v>786</v>
      </c>
      <c r="B530" s="4" t="str">
        <f ca="1">IFERROR(__xludf.DUMMYFUNCTION("IFERROR(ARRAYFORMULA(REGEXEXTRACT(A530,""^(?:https?:\/\/)?(?:[^@\n]+@)?(?:www\.)?([^:\/\n]+)"")),"""")"),"highstreammoving.com")</f>
        <v>highstreammoving.com</v>
      </c>
    </row>
    <row r="531" spans="1:2" ht="12.5">
      <c r="A531" s="3" t="s">
        <v>787</v>
      </c>
      <c r="B531" s="4" t="str">
        <f ca="1">IFERROR(__xludf.DUMMYFUNCTION("IFERROR(ARRAYFORMULA(REGEXEXTRACT(A531,""^(?:https?:\/\/)?(?:[^@\n]+@)?(?:www\.)?([^:\/\n]+)"")),"""")"),"zzonehomes.ca")</f>
        <v>zzonehomes.ca</v>
      </c>
    </row>
    <row r="532" spans="1:2" ht="12.5">
      <c r="A532" s="3" t="s">
        <v>788</v>
      </c>
      <c r="B532" s="4" t="str">
        <f ca="1">IFERROR(__xludf.DUMMYFUNCTION("IFERROR(ARRAYFORMULA(REGEXEXTRACT(A532,""^(?:https?:\/\/)?(?:[^@\n]+@)?(?:www\.)?([^:\/\n]+)"")),"""")"),"elledecor.com")</f>
        <v>elledecor.com</v>
      </c>
    </row>
    <row r="533" spans="1:2" ht="12.5">
      <c r="A533" s="3" t="s">
        <v>789</v>
      </c>
      <c r="B533" s="4" t="str">
        <f ca="1">IFERROR(__xludf.DUMMYFUNCTION("IFERROR(ARRAYFORMULA(REGEXEXTRACT(A533,""^(?:https?:\/\/)?(?:[^@\n]+@)?(?:www\.)?([^:\/\n]+)"")),"""")"),"mauirealestate.com")</f>
        <v>mauirealestate.com</v>
      </c>
    </row>
    <row r="534" spans="1:2" ht="12.5">
      <c r="A534" s="3" t="s">
        <v>790</v>
      </c>
      <c r="B534" s="4" t="str">
        <f ca="1">IFERROR(__xludf.DUMMYFUNCTION("IFERROR(ARRAYFORMULA(REGEXEXTRACT(A534,""^(?:https?:\/\/)?(?:[^@\n]+@)?(?:www\.)?([^:\/\n]+)"")),"""")"),"kellylegalgroup.com")</f>
        <v>kellylegalgroup.com</v>
      </c>
    </row>
    <row r="535" spans="1:2" ht="12.5">
      <c r="A535" s="3" t="s">
        <v>791</v>
      </c>
      <c r="B535" s="4" t="str">
        <f ca="1">IFERROR(__xludf.DUMMYFUNCTION("IFERROR(ARRAYFORMULA(REGEXEXTRACT(A535,""^(?:https?:\/\/)?(?:[^@\n]+@)?(?:www\.)?([^:\/\n]+)"")),"""")"),"polymaster.com.au")</f>
        <v>polymaster.com.au</v>
      </c>
    </row>
    <row r="536" spans="1:2" ht="12.5">
      <c r="A536" s="3" t="s">
        <v>792</v>
      </c>
      <c r="B536" s="4" t="str">
        <f ca="1">IFERROR(__xludf.DUMMYFUNCTION("IFERROR(ARRAYFORMULA(REGEXEXTRACT(A536,""^(?:https?:\/\/)?(?:[^@\n]+@)?(?:www\.)?([^:\/\n]+)"")),"""")"),"mywfcu.ca")</f>
        <v>mywfcu.ca</v>
      </c>
    </row>
    <row r="537" spans="1:2" ht="12.5">
      <c r="A537" s="3" t="s">
        <v>793</v>
      </c>
      <c r="B537" s="4" t="str">
        <f ca="1">IFERROR(__xludf.DUMMYFUNCTION("IFERROR(ARRAYFORMULA(REGEXEXTRACT(A537,""^(?:https?:\/\/)?(?:[^@\n]+@)?(?:www\.)?([^:\/\n]+)"")),"""")"),"foxyhome.com")</f>
        <v>foxyhome.com</v>
      </c>
    </row>
    <row r="538" spans="1:2" ht="12.5">
      <c r="A538" s="3" t="s">
        <v>794</v>
      </c>
      <c r="B538" s="4" t="str">
        <f ca="1">IFERROR(__xludf.DUMMYFUNCTION("IFERROR(ARRAYFORMULA(REGEXEXTRACT(A538,""^(?:https?:\/\/)?(?:[^@\n]+@)?(?:www\.)?([^:\/\n]+)"")),"""")"),"delmanorelginmills.com")</f>
        <v>delmanorelginmills.com</v>
      </c>
    </row>
    <row r="539" spans="1:2" ht="12.5">
      <c r="A539" s="3" t="s">
        <v>795</v>
      </c>
      <c r="B539" s="4" t="str">
        <f ca="1">IFERROR(__xludf.DUMMYFUNCTION("IFERROR(ARRAYFORMULA(REGEXEXTRACT(A539,""^(?:https?:\/\/)?(?:[^@\n]+@)?(?:www\.)?([^:\/\n]+)"")),"""")"),"mypinnacleroofing.com")</f>
        <v>mypinnacleroofing.com</v>
      </c>
    </row>
    <row r="540" spans="1:2" ht="12.5">
      <c r="A540" s="3" t="s">
        <v>796</v>
      </c>
      <c r="B540" s="4" t="str">
        <f ca="1">IFERROR(__xludf.DUMMYFUNCTION("IFERROR(ARRAYFORMULA(REGEXEXTRACT(A540,""^(?:https?:\/\/)?(?:[^@\n]+@)?(?:www\.)?([^:\/\n]+)"")),"""")"),"webbsestateagents.co.uk")</f>
        <v>webbsestateagents.co.uk</v>
      </c>
    </row>
    <row r="541" spans="1:2" ht="12.5">
      <c r="A541" s="3" t="s">
        <v>797</v>
      </c>
      <c r="B541" s="4" t="str">
        <f ca="1">IFERROR(__xludf.DUMMYFUNCTION("IFERROR(ARRAYFORMULA(REGEXEXTRACT(A541,""^(?:https?:\/\/)?(?:[^@\n]+@)?(?:www\.)?([^:\/\n]+)"")),"""")"),"netstrata.com.au")</f>
        <v>netstrata.com.au</v>
      </c>
    </row>
    <row r="542" spans="1:2" ht="12.5">
      <c r="A542" s="3" t="s">
        <v>798</v>
      </c>
      <c r="B542" s="4" t="str">
        <f ca="1">IFERROR(__xludf.DUMMYFUNCTION("IFERROR(ARRAYFORMULA(REGEXEXTRACT(A542,""^(?:https?:\/\/)?(?:[^@\n]+@)?(?:www\.)?([^:\/\n]+)"")),"""")"),"budgetinsurance.com")</f>
        <v>budgetinsurance.com</v>
      </c>
    </row>
    <row r="543" spans="1:2" ht="12.5">
      <c r="A543" s="3" t="s">
        <v>799</v>
      </c>
      <c r="B543" s="4" t="str">
        <f ca="1">IFERROR(__xludf.DUMMYFUNCTION("IFERROR(ARRAYFORMULA(REGEXEXTRACT(A543,""^(?:https?:\/\/)?(?:[^@\n]+@)?(?:www\.)?([^:\/\n]+)"")),"""")"),"cardinalfinancial.com")</f>
        <v>cardinalfinancial.com</v>
      </c>
    </row>
    <row r="544" spans="1:2" ht="12.5">
      <c r="A544" s="3" t="s">
        <v>800</v>
      </c>
      <c r="B544" s="4" t="str">
        <f ca="1">IFERROR(__xludf.DUMMYFUNCTION("IFERROR(ARRAYFORMULA(REGEXEXTRACT(A544,""^(?:https?:\/\/)?(?:[^@\n]+@)?(?:www\.)?([^:\/\n]+)"")),"""")"),"therooftiger.com")</f>
        <v>therooftiger.com</v>
      </c>
    </row>
    <row r="545" spans="1:2" ht="12.5">
      <c r="A545" s="3" t="s">
        <v>801</v>
      </c>
      <c r="B545" s="4" t="str">
        <f ca="1">IFERROR(__xludf.DUMMYFUNCTION("IFERROR(ARRAYFORMULA(REGEXEXTRACT(A545,""^(?:https?:\/\/)?(?:[^@\n]+@)?(?:www\.)?([^:\/\n]+)"")),"""")"),"emperormarble.co.uk")</f>
        <v>emperormarble.co.uk</v>
      </c>
    </row>
    <row r="546" spans="1:2" ht="12.5">
      <c r="A546" s="3" t="s">
        <v>802</v>
      </c>
      <c r="B546" s="4" t="str">
        <f ca="1">IFERROR(__xludf.DUMMYFUNCTION("IFERROR(ARRAYFORMULA(REGEXEXTRACT(A546,""^(?:https?:\/\/)?(?:[^@\n]+@)?(?:www\.)?([^:\/\n]+)"")),"""")"),"mkfurnishings.co.uk")</f>
        <v>mkfurnishings.co.uk</v>
      </c>
    </row>
    <row r="547" spans="1:2" ht="12.5">
      <c r="A547" s="3" t="s">
        <v>803</v>
      </c>
      <c r="B547" s="4" t="str">
        <f ca="1">IFERROR(__xludf.DUMMYFUNCTION("IFERROR(ARRAYFORMULA(REGEXEXTRACT(A547,""^(?:https?:\/\/)?(?:[^@\n]+@)?(?:www\.)?([^:\/\n]+)"")),"""")"),"lindenhomes.co.uk")</f>
        <v>lindenhomes.co.uk</v>
      </c>
    </row>
    <row r="548" spans="1:2" ht="12.5">
      <c r="A548" s="3" t="s">
        <v>804</v>
      </c>
      <c r="B548" s="4" t="str">
        <f ca="1">IFERROR(__xludf.DUMMYFUNCTION("IFERROR(ARRAYFORMULA(REGEXEXTRACT(A548,""^(?:https?:\/\/)?(?:[^@\n]+@)?(?:www\.)?([^:\/\n]+)"")),"""")"),"dumbomoving.com")</f>
        <v>dumbomoving.com</v>
      </c>
    </row>
    <row r="549" spans="1:2" ht="12.5">
      <c r="A549" s="3" t="s">
        <v>805</v>
      </c>
      <c r="B549" s="4" t="str">
        <f ca="1">IFERROR(__xludf.DUMMYFUNCTION("IFERROR(ARRAYFORMULA(REGEXEXTRACT(A549,""^(?:https?:\/\/)?(?:[^@\n]+@)?(?:www\.)?([^:\/\n]+)"")),"""")"),"thehenhousecollection.com")</f>
        <v>thehenhousecollection.com</v>
      </c>
    </row>
    <row r="550" spans="1:2" ht="12.5">
      <c r="A550" s="3" t="s">
        <v>806</v>
      </c>
      <c r="B550" s="4" t="str">
        <f ca="1">IFERROR(__xludf.DUMMYFUNCTION("IFERROR(ARRAYFORMULA(REGEXEXTRACT(A550,""^(?:https?:\/\/)?(?:[^@\n]+@)?(?:www\.)?([^:\/\n]+)"")),"""")"),"womanandhome.com")</f>
        <v>womanandhome.com</v>
      </c>
    </row>
    <row r="551" spans="1:2" ht="12.5">
      <c r="A551" s="3" t="s">
        <v>807</v>
      </c>
      <c r="B551" s="4" t="str">
        <f ca="1">IFERROR(__xludf.DUMMYFUNCTION("IFERROR(ARRAYFORMULA(REGEXEXTRACT(A551,""^(?:https?:\/\/)?(?:[^@\n]+@)?(?:www\.)?([^:\/\n]+)"")),"""")"),"cunninghamrec.com")</f>
        <v>cunninghamrec.com</v>
      </c>
    </row>
    <row r="552" spans="1:2" ht="12.5">
      <c r="A552" s="3" t="s">
        <v>808</v>
      </c>
      <c r="B552" s="4" t="str">
        <f ca="1">IFERROR(__xludf.DUMMYFUNCTION("IFERROR(ARRAYFORMULA(REGEXEXTRACT(A552,""^(?:https?:\/\/)?(?:[^@\n]+@)?(?:www\.)?([^:\/\n]+)"")),"""")"),"christiankleinerluxuryrealestate.com")</f>
        <v>christiankleinerluxuryrealestate.com</v>
      </c>
    </row>
    <row r="553" spans="1:2" ht="12.5">
      <c r="A553" s="3" t="s">
        <v>809</v>
      </c>
      <c r="B553" s="4" t="str">
        <f ca="1">IFERROR(__xludf.DUMMYFUNCTION("IFERROR(ARRAYFORMULA(REGEXEXTRACT(A553,""^(?:https?:\/\/)?(?:[^@\n]+@)?(?:www\.)?([^:\/\n]+)"")),"""")"),"hollowayremovals.com.au")</f>
        <v>hollowayremovals.com.au</v>
      </c>
    </row>
    <row r="554" spans="1:2" ht="12.5">
      <c r="A554" s="3" t="s">
        <v>810</v>
      </c>
      <c r="B554" s="4" t="str">
        <f ca="1">IFERROR(__xludf.DUMMYFUNCTION("IFERROR(ARRAYFORMULA(REGEXEXTRACT(A554,""^(?:https?:\/\/)?(?:[^@\n]+@)?(?:www\.)?([^:\/\n]+)"")),"""")"),"deshaieselectricalservices.com")</f>
        <v>deshaieselectricalservices.com</v>
      </c>
    </row>
    <row r="555" spans="1:2" ht="12.5">
      <c r="A555" s="3" t="s">
        <v>811</v>
      </c>
      <c r="B555" s="4" t="str">
        <f ca="1">IFERROR(__xludf.DUMMYFUNCTION("IFERROR(ARRAYFORMULA(REGEXEXTRACT(A555,""^(?:https?:\/\/)?(?:[^@\n]+@)?(?:www\.)?([^:\/\n]+)"")),"""")"),"vacationaruba.com")</f>
        <v>vacationaruba.com</v>
      </c>
    </row>
    <row r="556" spans="1:2" ht="12.5">
      <c r="A556" s="3" t="s">
        <v>812</v>
      </c>
      <c r="B556" s="4" t="str">
        <f ca="1">IFERROR(__xludf.DUMMYFUNCTION("IFERROR(ARRAYFORMULA(REGEXEXTRACT(A556,""^(?:https?:\/\/)?(?:[^@\n]+@)?(?:www\.)?([^:\/\n]+)"")),"""")"),"customsolarandleisure.com")</f>
        <v>customsolarandleisure.com</v>
      </c>
    </row>
    <row r="557" spans="1:2" ht="12.5">
      <c r="A557" s="3" t="s">
        <v>813</v>
      </c>
      <c r="B557" s="4" t="str">
        <f ca="1">IFERROR(__xludf.DUMMYFUNCTION("IFERROR(ARRAYFORMULA(REGEXEXTRACT(A557,""^(?:https?:\/\/)?(?:[^@\n]+@)?(?:www\.)?([^:\/\n]+)"")),"""")"),"msllegal.com")</f>
        <v>msllegal.com</v>
      </c>
    </row>
    <row r="558" spans="1:2" ht="12.5">
      <c r="A558" s="3" t="s">
        <v>814</v>
      </c>
      <c r="B558" s="4" t="str">
        <f ca="1">IFERROR(__xludf.DUMMYFUNCTION("IFERROR(ARRAYFORMULA(REGEXEXTRACT(A558,""^(?:https?:\/\/)?(?:[^@\n]+@)?(?:www\.)?([^:\/\n]+)"")),"""")"),"unbiasedoptions.com")</f>
        <v>unbiasedoptions.com</v>
      </c>
    </row>
    <row r="559" spans="1:2" ht="12.5">
      <c r="A559" s="3" t="s">
        <v>815</v>
      </c>
      <c r="B559" s="4" t="str">
        <f ca="1">IFERROR(__xludf.DUMMYFUNCTION("IFERROR(ARRAYFORMULA(REGEXEXTRACT(A559,""^(?:https?:\/\/)?(?:[^@\n]+@)?(?:www\.)?([^:\/\n]+)"")),"""")"),"1800gotjunk.com.au")</f>
        <v>1800gotjunk.com.au</v>
      </c>
    </row>
    <row r="560" spans="1:2" ht="12.5">
      <c r="A560" s="3" t="s">
        <v>816</v>
      </c>
      <c r="B560" s="4" t="str">
        <f ca="1">IFERROR(__xludf.DUMMYFUNCTION("IFERROR(ARRAYFORMULA(REGEXEXTRACT(A560,""^(?:https?:\/\/)?(?:[^@\n]+@)?(?:www\.)?([^:\/\n]+)"")),"""")"),"elderlawgroupwa.com")</f>
        <v>elderlawgroupwa.com</v>
      </c>
    </row>
    <row r="561" spans="1:2" ht="12.5">
      <c r="A561" s="3" t="s">
        <v>817</v>
      </c>
      <c r="B561" s="4" t="str">
        <f ca="1">IFERROR(__xludf.DUMMYFUNCTION("IFERROR(ARRAYFORMULA(REGEXEXTRACT(A561,""^(?:https?:\/\/)?(?:[^@\n]+@)?(?:www\.)?([^:\/\n]+)"")),"""")"),"techeroroofing.com")</f>
        <v>techeroroofing.com</v>
      </c>
    </row>
    <row r="562" spans="1:2" ht="12.5">
      <c r="A562" s="3" t="s">
        <v>818</v>
      </c>
      <c r="B562" s="4" t="str">
        <f ca="1">IFERROR(__xludf.DUMMYFUNCTION("IFERROR(ARRAYFORMULA(REGEXEXTRACT(A562,""^(?:https?:\/\/)?(?:[^@\n]+@)?(?:www\.)?([^:\/\n]+)"")),"""")"),"logan-inc.com")</f>
        <v>logan-inc.com</v>
      </c>
    </row>
    <row r="563" spans="1:2" ht="12.5">
      <c r="A563" s="3" t="s">
        <v>819</v>
      </c>
      <c r="B563" s="4" t="str">
        <f ca="1">IFERROR(__xludf.DUMMYFUNCTION("IFERROR(ARRAYFORMULA(REGEXEXTRACT(A563,""^(?:https?:\/\/)?(?:[^@\n]+@)?(?:www\.)?([^:\/\n]+)"")),"""")"),"amerinotexchange.com")</f>
        <v>amerinotexchange.com</v>
      </c>
    </row>
    <row r="564" spans="1:2" ht="12.5">
      <c r="A564" s="3" t="s">
        <v>820</v>
      </c>
      <c r="B564" s="4" t="str">
        <f ca="1">IFERROR(__xludf.DUMMYFUNCTION("IFERROR(ARRAYFORMULA(REGEXEXTRACT(A564,""^(?:https?:\/\/)?(?:[^@\n]+@)?(?:www\.)?([^:\/\n]+)"")),"""")"),"realestateasia.com")</f>
        <v>realestateasia.com</v>
      </c>
    </row>
    <row r="565" spans="1:2" ht="12.5">
      <c r="A565" s="3" t="s">
        <v>821</v>
      </c>
      <c r="B565" s="4" t="str">
        <f ca="1">IFERROR(__xludf.DUMMYFUNCTION("IFERROR(ARRAYFORMULA(REGEXEXTRACT(A565,""^(?:https?:\/\/)?(?:[^@\n]+@)?(?:www\.)?([^:\/\n]+)"")),"""")"),"craft-child.com")</f>
        <v>craft-child.com</v>
      </c>
    </row>
    <row r="566" spans="1:2" ht="12.5">
      <c r="A566" s="3" t="s">
        <v>822</v>
      </c>
      <c r="B566" s="4" t="str">
        <f ca="1">IFERROR(__xludf.DUMMYFUNCTION("IFERROR(ARRAYFORMULA(REGEXEXTRACT(A566,""^(?:https?:\/\/)?(?:[^@\n]+@)?(?:www\.)?([^:\/\n]+)"")),"""")"),"canvasbynumbers.com")</f>
        <v>canvasbynumbers.com</v>
      </c>
    </row>
    <row r="567" spans="1:2" ht="12.5">
      <c r="A567" s="3" t="s">
        <v>823</v>
      </c>
      <c r="B567" s="4" t="str">
        <f ca="1">IFERROR(__xludf.DUMMYFUNCTION("IFERROR(ARRAYFORMULA(REGEXEXTRACT(A567,""^(?:https?:\/\/)?(?:[^@\n]+@)?(?:www\.)?([^:\/\n]+)"")),"""")"),"thestoragecenter.com")</f>
        <v>thestoragecenter.com</v>
      </c>
    </row>
    <row r="568" spans="1:2" ht="12.5">
      <c r="A568" s="3" t="s">
        <v>824</v>
      </c>
      <c r="B568" s="4" t="str">
        <f ca="1">IFERROR(__xludf.DUMMYFUNCTION("IFERROR(ARRAYFORMULA(REGEXEXTRACT(A568,""^(?:https?:\/\/)?(?:[^@\n]+@)?(?:www\.)?([^:\/\n]+)"")),"""")"),"cgifurniture.com")</f>
        <v>cgifurniture.com</v>
      </c>
    </row>
    <row r="569" spans="1:2" ht="12.5">
      <c r="A569" s="3" t="s">
        <v>825</v>
      </c>
      <c r="B569" s="4" t="str">
        <f ca="1">IFERROR(__xludf.DUMMYFUNCTION("IFERROR(ARRAYFORMULA(REGEXEXTRACT(A569,""^(?:https?:\/\/)?(?:[^@\n]+@)?(?:www\.)?([^:\/\n]+)"")),"""")"),"surplusfurniture.com")</f>
        <v>surplusfurniture.com</v>
      </c>
    </row>
    <row r="570" spans="1:2" ht="12.5">
      <c r="A570" s="3" t="s">
        <v>826</v>
      </c>
      <c r="B570" s="4" t="str">
        <f ca="1">IFERROR(__xludf.DUMMYFUNCTION("IFERROR(ARRAYFORMULA(REGEXEXTRACT(A570,""^(?:https?:\/\/)?(?:[^@\n]+@)?(?:www\.)?([^:\/\n]+)"")),"""")"),"lahomes.com")</f>
        <v>lahomes.com</v>
      </c>
    </row>
    <row r="571" spans="1:2" ht="12.5">
      <c r="A571" s="3" t="s">
        <v>827</v>
      </c>
      <c r="B571" s="4" t="str">
        <f ca="1">IFERROR(__xludf.DUMMYFUNCTION("IFERROR(ARRAYFORMULA(REGEXEXTRACT(A571,""^(?:https?:\/\/)?(?:[^@\n]+@)?(?:www\.)?([^:\/\n]+)"")),"""")"),"owenscorning.com")</f>
        <v>owenscorning.com</v>
      </c>
    </row>
    <row r="572" spans="1:2" ht="12.5">
      <c r="A572" s="3" t="s">
        <v>828</v>
      </c>
      <c r="B572" s="4" t="str">
        <f ca="1">IFERROR(__xludf.DUMMYFUNCTION("IFERROR(ARRAYFORMULA(REGEXEXTRACT(A572,""^(?:https?:\/\/)?(?:[^@\n]+@)?(?:www\.)?([^:\/\n]+)"")),"""")"),"greentekps.com")</f>
        <v>greentekps.com</v>
      </c>
    </row>
    <row r="573" spans="1:2" ht="12.5">
      <c r="A573" s="3" t="s">
        <v>829</v>
      </c>
      <c r="B573" s="4" t="str">
        <f ca="1">IFERROR(__xludf.DUMMYFUNCTION("IFERROR(ARRAYFORMULA(REGEXEXTRACT(A573,""^(?:https?:\/\/)?(?:[^@\n]+@)?(?:www\.)?([^:\/\n]+)"")),"""")"),"staticelectrics.com.au")</f>
        <v>staticelectrics.com.au</v>
      </c>
    </row>
    <row r="574" spans="1:2" ht="12.5">
      <c r="A574" s="3" t="s">
        <v>830</v>
      </c>
      <c r="B574" s="4" t="str">
        <f ca="1">IFERROR(__xludf.DUMMYFUNCTION("IFERROR(ARRAYFORMULA(REGEXEXTRACT(A574,""^(?:https?:\/\/)?(?:[^@\n]+@)?(?:www\.)?([^:\/\n]+)"")),"""")"),"boxstarmovers.com")</f>
        <v>boxstarmovers.com</v>
      </c>
    </row>
    <row r="575" spans="1:2" ht="12.5">
      <c r="A575" s="3" t="s">
        <v>831</v>
      </c>
      <c r="B575" s="4" t="str">
        <f ca="1">IFERROR(__xludf.DUMMYFUNCTION("IFERROR(ARRAYFORMULA(REGEXEXTRACT(A575,""^(?:https?:\/\/)?(?:[^@\n]+@)?(?:www\.)?([^:\/\n]+)"")),"""")"),"scf.com.au")</f>
        <v>scf.com.au</v>
      </c>
    </row>
    <row r="576" spans="1:2" ht="12.5">
      <c r="A576" s="3" t="s">
        <v>832</v>
      </c>
      <c r="B576" s="4" t="str">
        <f ca="1">IFERROR(__xludf.DUMMYFUNCTION("IFERROR(ARRAYFORMULA(REGEXEXTRACT(A576,""^(?:https?:\/\/)?(?:[^@\n]+@)?(?:www\.)?([^:\/\n]+)"")),"""")"),"restaurant-furniture.com")</f>
        <v>restaurant-furniture.com</v>
      </c>
    </row>
    <row r="577" spans="1:2" ht="12.5">
      <c r="A577" s="3" t="s">
        <v>833</v>
      </c>
      <c r="B577" s="4" t="str">
        <f ca="1">IFERROR(__xludf.DUMMYFUNCTION("IFERROR(ARRAYFORMULA(REGEXEXTRACT(A577,""^(?:https?:\/\/)?(?:[^@\n]+@)?(?:www\.)?([^:\/\n]+)"")),"""")"),"homeplannerapp.com")</f>
        <v>homeplannerapp.com</v>
      </c>
    </row>
    <row r="578" spans="1:2" ht="12.5">
      <c r="A578" s="3" t="s">
        <v>834</v>
      </c>
      <c r="B578" s="4" t="str">
        <f ca="1">IFERROR(__xludf.DUMMYFUNCTION("IFERROR(ARRAYFORMULA(REGEXEXTRACT(A578,""^(?:https?:\/\/)?(?:[^@\n]+@)?(?:www\.)?([^:\/\n]+)"")),"""")"),"pandalondon.com")</f>
        <v>pandalondon.com</v>
      </c>
    </row>
    <row r="579" spans="1:2" ht="12.5">
      <c r="A579" s="3" t="s">
        <v>835</v>
      </c>
      <c r="B579" s="4" t="str">
        <f ca="1">IFERROR(__xludf.DUMMYFUNCTION("IFERROR(ARRAYFORMULA(REGEXEXTRACT(A579,""^(?:https?:\/\/)?(?:[^@\n]+@)?(?:www\.)?([^:\/\n]+)"")),"""")"),"sheetmaterialswholesale.co.uk")</f>
        <v>sheetmaterialswholesale.co.uk</v>
      </c>
    </row>
    <row r="580" spans="1:2" ht="12.5">
      <c r="A580" s="3" t="s">
        <v>836</v>
      </c>
      <c r="B580" s="4" t="str">
        <f ca="1">IFERROR(__xludf.DUMMYFUNCTION("IFERROR(ARRAYFORMULA(REGEXEXTRACT(A580,""^(?:https?:\/\/)?(?:[^@\n]+@)?(?:www\.)?([^:\/\n]+)"")),"""")"),"happybeds.co.uk")</f>
        <v>happybeds.co.uk</v>
      </c>
    </row>
    <row r="581" spans="1:2" ht="12.5">
      <c r="A581" s="3" t="s">
        <v>837</v>
      </c>
      <c r="B581" s="4" t="str">
        <f ca="1">IFERROR(__xludf.DUMMYFUNCTION("IFERROR(ARRAYFORMULA(REGEXEXTRACT(A581,""^(?:https?:\/\/)?(?:[^@\n]+@)?(?:www\.)?([^:\/\n]+)"")),"""")"),"christiansonco.com")</f>
        <v>christiansonco.com</v>
      </c>
    </row>
    <row r="582" spans="1:2" ht="12.5">
      <c r="A582" s="3" t="s">
        <v>838</v>
      </c>
      <c r="B582" s="4" t="str">
        <f ca="1">IFERROR(__xludf.DUMMYFUNCTION("IFERROR(ARRAYFORMULA(REGEXEXTRACT(A582,""^(?:https?:\/\/)?(?:[^@\n]+@)?(?:www\.)?([^:\/\n]+)"")),"""")"),"homfurniture.com")</f>
        <v>homfurniture.com</v>
      </c>
    </row>
    <row r="583" spans="1:2" ht="12.5">
      <c r="A583" s="3" t="s">
        <v>839</v>
      </c>
      <c r="B583" s="4" t="str">
        <f ca="1">IFERROR(__xludf.DUMMYFUNCTION("IFERROR(ARRAYFORMULA(REGEXEXTRACT(A583,""^(?:https?:\/\/)?(?:[^@\n]+@)?(?:www\.)?([^:\/\n]+)"")),"""")"),"foxfamilyhvac.com")</f>
        <v>foxfamilyhvac.com</v>
      </c>
    </row>
    <row r="584" spans="1:2" ht="12.5">
      <c r="A584" s="3" t="s">
        <v>840</v>
      </c>
      <c r="B584" s="4" t="str">
        <f ca="1">IFERROR(__xludf.DUMMYFUNCTION("IFERROR(ARRAYFORMULA(REGEXEXTRACT(A584,""^(?:https?:\/\/)?(?:[^@\n]+@)?(?:www\.)?([^:\/\n]+)"")),"""")"),"robgolfi.com")</f>
        <v>robgolfi.com</v>
      </c>
    </row>
    <row r="585" spans="1:2" ht="12.5">
      <c r="A585" s="3" t="s">
        <v>841</v>
      </c>
      <c r="B585" s="4" t="str">
        <f ca="1">IFERROR(__xludf.DUMMYFUNCTION("IFERROR(ARRAYFORMULA(REGEXEXTRACT(A585,""^(?:https?:\/\/)?(?:[^@\n]+@)?(?:www\.)?([^:\/\n]+)"")),"""")"),"reignroof.com")</f>
        <v>reignroof.com</v>
      </c>
    </row>
    <row r="586" spans="1:2" ht="12.5">
      <c r="A586" s="3" t="s">
        <v>842</v>
      </c>
      <c r="B586" s="4" t="str">
        <f ca="1">IFERROR(__xludf.DUMMYFUNCTION("IFERROR(ARRAYFORMULA(REGEXEXTRACT(A586,""^(?:https?:\/\/)?(?:[^@\n]+@)?(?:www\.)?([^:\/\n]+)"")),"""")"),"zippyshell.com")</f>
        <v>zippyshell.com</v>
      </c>
    </row>
    <row r="587" spans="1:2" ht="12.5">
      <c r="A587" s="3" t="s">
        <v>843</v>
      </c>
      <c r="B587" s="4" t="str">
        <f ca="1">IFERROR(__xludf.DUMMYFUNCTION("IFERROR(ARRAYFORMULA(REGEXEXTRACT(A587,""^(?:https?:\/\/)?(?:[^@\n]+@)?(?:www\.)?([^:\/\n]+)"")),"""")"),"yarooms.com")</f>
        <v>yarooms.com</v>
      </c>
    </row>
    <row r="588" spans="1:2" ht="12.5">
      <c r="A588" s="3" t="s">
        <v>844</v>
      </c>
      <c r="B588" s="4" t="str">
        <f ca="1">IFERROR(__xludf.DUMMYFUNCTION("IFERROR(ARRAYFORMULA(REGEXEXTRACT(A588,""^(?:https?:\/\/)?(?:[^@\n]+@)?(?:www\.)?([^:\/\n]+)"")),"""")"),"pape-dawson.com")</f>
        <v>pape-dawson.com</v>
      </c>
    </row>
    <row r="589" spans="1:2" ht="12.5">
      <c r="A589" s="3" t="s">
        <v>845</v>
      </c>
      <c r="B589" s="4" t="str">
        <f ca="1">IFERROR(__xludf.DUMMYFUNCTION("IFERROR(ARRAYFORMULA(REGEXEXTRACT(A589,""^(?:https?:\/\/)?(?:[^@\n]+@)?(?:www\.)?([^:\/\n]+)"")),"""")"),"nationalfloorsdirect.com")</f>
        <v>nationalfloorsdirect.com</v>
      </c>
    </row>
    <row r="590" spans="1:2" ht="12.5">
      <c r="A590" s="3" t="s">
        <v>846</v>
      </c>
      <c r="B590" s="4" t="str">
        <f ca="1">IFERROR(__xludf.DUMMYFUNCTION("IFERROR(ARRAYFORMULA(REGEXEXTRACT(A590,""^(?:https?:\/\/)?(?:[^@\n]+@)?(?:www\.)?([^:\/\n]+)"")),"""")"),"thehairpinlegcompany.co.uk")</f>
        <v>thehairpinlegcompany.co.uk</v>
      </c>
    </row>
    <row r="591" spans="1:2" ht="12.5">
      <c r="A591" s="3" t="s">
        <v>847</v>
      </c>
      <c r="B591" s="4" t="str">
        <f ca="1">IFERROR(__xludf.DUMMYFUNCTION("IFERROR(ARRAYFORMULA(REGEXEXTRACT(A591,""^(?:https?:\/\/)?(?:[^@\n]+@)?(?:www\.)?([^:\/\n]+)"")),"""")"),"captaincookelectrical.com.au")</f>
        <v>captaincookelectrical.com.au</v>
      </c>
    </row>
    <row r="592" spans="1:2" ht="12.5">
      <c r="A592" s="3" t="s">
        <v>848</v>
      </c>
      <c r="B592" s="4" t="str">
        <f ca="1">IFERROR(__xludf.DUMMYFUNCTION("IFERROR(ARRAYFORMULA(REGEXEXTRACT(A592,""^(?:https?:\/\/)?(?:[^@\n]+@)?(?:www\.)?([^:\/\n]+)"")),"""")"),"cocoonfurnishings.ca")</f>
        <v>cocoonfurnishings.ca</v>
      </c>
    </row>
    <row r="593" spans="1:2" ht="12.5">
      <c r="A593" s="3" t="s">
        <v>849</v>
      </c>
      <c r="B593" s="4" t="str">
        <f ca="1">IFERROR(__xludf.DUMMYFUNCTION("IFERROR(ARRAYFORMULA(REGEXEXTRACT(A593,""^(?:https?:\/\/)?(?:[^@\n]+@)?(?:www\.)?([^:\/\n]+)"")),"""")"),"cometlighting.co.uk")</f>
        <v>cometlighting.co.uk</v>
      </c>
    </row>
    <row r="594" spans="1:2" ht="12.5">
      <c r="A594" s="3" t="s">
        <v>850</v>
      </c>
      <c r="B594" s="4" t="str">
        <f ca="1">IFERROR(__xludf.DUMMYFUNCTION("IFERROR(ARRAYFORMULA(REGEXEXTRACT(A594,""^(?:https?:\/\/)?(?:[^@\n]+@)?(?:www\.)?([^:\/\n]+)"")),"""")"),"williamsonsfactoryshop.co.uk")</f>
        <v>williamsonsfactoryshop.co.uk</v>
      </c>
    </row>
    <row r="595" spans="1:2" ht="12.5">
      <c r="A595" s="3" t="s">
        <v>851</v>
      </c>
      <c r="B595" s="4" t="str">
        <f ca="1">IFERROR(__xludf.DUMMYFUNCTION("IFERROR(ARRAYFORMULA(REGEXEXTRACT(A595,""^(?:https?:\/\/)?(?:[^@\n]+@)?(?:www\.)?([^:\/\n]+)"")),"""")"),"brickwholesale.co.uk")</f>
        <v>brickwholesale.co.uk</v>
      </c>
    </row>
    <row r="596" spans="1:2" ht="12.5">
      <c r="A596" s="3" t="s">
        <v>852</v>
      </c>
      <c r="B596" s="4" t="str">
        <f ca="1">IFERROR(__xludf.DUMMYFUNCTION("IFERROR(ARRAYFORMULA(REGEXEXTRACT(A596,""^(?:https?:\/\/)?(?:[^@\n]+@)?(?:www\.)?([^:\/\n]+)"")),"""")"),"constructiontraininggroup.com.au")</f>
        <v>constructiontraininggroup.com.au</v>
      </c>
    </row>
    <row r="597" spans="1:2" ht="12.5">
      <c r="A597" s="3" t="s">
        <v>853</v>
      </c>
      <c r="B597" s="7" t="str">
        <f ca="1">IFERROR(__xludf.DUMMYFUNCTION("IFERROR(ARRAYFORMULA(REGEXEXTRACT(A597,""^(?:https?:\/\/)?(?:[^@\n]+@)?(?:www\.)?([^:\/\n]+)"")),"""")"),"addictivesound.eu")</f>
        <v>addictivesound.eu</v>
      </c>
    </row>
    <row r="598" spans="1:2" ht="12.5">
      <c r="A598" s="3" t="s">
        <v>854</v>
      </c>
      <c r="B598" s="4" t="str">
        <f ca="1">IFERROR(__xludf.DUMMYFUNCTION("IFERROR(ARRAYFORMULA(REGEXEXTRACT(A598,""^(?:https?:\/\/)?(?:[^@\n]+@)?(?:www\.)?([^:\/\n]+)"")),"""")"),"clevelandrealestatetopagent.com")</f>
        <v>clevelandrealestatetopagent.com</v>
      </c>
    </row>
    <row r="599" spans="1:2" ht="12.5">
      <c r="A599" s="3" t="s">
        <v>855</v>
      </c>
      <c r="B599" s="4" t="str">
        <f ca="1">IFERROR(__xludf.DUMMYFUNCTION("IFERROR(ARRAYFORMULA(REGEXEXTRACT(A599,""^(?:https?:\/\/)?(?:[^@\n]+@)?(?:www\.)?([^:\/\n]+)"")),"""")"),"doornmore.com")</f>
        <v>doornmore.com</v>
      </c>
    </row>
    <row r="600" spans="1:2" ht="12.5">
      <c r="A600" s="3" t="s">
        <v>856</v>
      </c>
      <c r="B600" s="4" t="str">
        <f ca="1">IFERROR(__xludf.DUMMYFUNCTION("IFERROR(ARRAYFORMULA(REGEXEXTRACT(A600,""^(?:https?:\/\/)?(?:[^@\n]+@)?(?:www\.)?([^:\/\n]+)"")),"""")"),"cinergi.co.uk")</f>
        <v>cinergi.co.uk</v>
      </c>
    </row>
    <row r="601" spans="1:2" ht="12.5">
      <c r="A601" s="3" t="s">
        <v>857</v>
      </c>
      <c r="B601" s="4" t="str">
        <f ca="1">IFERROR(__xludf.DUMMYFUNCTION("IFERROR(ARRAYFORMULA(REGEXEXTRACT(A601,""^(?:https?:\/\/)?(?:[^@\n]+@)?(?:www\.)?([^:\/\n]+)"")),"""")"),"toucantoco.com")</f>
        <v>toucantoco.com</v>
      </c>
    </row>
    <row r="602" spans="1:2" ht="12.5">
      <c r="A602" s="3" t="s">
        <v>858</v>
      </c>
      <c r="B602" s="4" t="str">
        <f ca="1">IFERROR(__xludf.DUMMYFUNCTION("IFERROR(ARRAYFORMULA(REGEXEXTRACT(A602,""^(?:https?:\/\/)?(?:[^@\n]+@)?(?:www\.)?([^:\/\n]+)"")),"""")"),"logan-inc.com")</f>
        <v>logan-inc.com</v>
      </c>
    </row>
    <row r="603" spans="1:2" ht="12.5">
      <c r="A603" s="3" t="s">
        <v>859</v>
      </c>
      <c r="B603" s="4" t="str">
        <f ca="1">IFERROR(__xludf.DUMMYFUNCTION("IFERROR(ARRAYFORMULA(REGEXEXTRACT(A603,""^(?:https?:\/\/)?(?:[^@\n]+@)?(?:www\.)?([^:\/\n]+)"")),"""")"),"modernbathroom.com")</f>
        <v>modernbathroom.com</v>
      </c>
    </row>
    <row r="604" spans="1:2" ht="12.5">
      <c r="A604" s="3" t="s">
        <v>860</v>
      </c>
      <c r="B604" s="4" t="str">
        <f ca="1">IFERROR(__xludf.DUMMYFUNCTION("IFERROR(ARRAYFORMULA(REGEXEXTRACT(A604,""^(?:https?:\/\/)?(?:[^@\n]+@)?(?:www\.)?([^:\/\n]+)"")),"""")"),"fabglassandmirror.com")</f>
        <v>fabglassandmirror.com</v>
      </c>
    </row>
    <row r="605" spans="1:2" ht="12.5">
      <c r="A605" s="3" t="s">
        <v>861</v>
      </c>
      <c r="B605" s="4" t="str">
        <f ca="1">IFERROR(__xludf.DUMMYFUNCTION("IFERROR(ARRAYFORMULA(REGEXEXTRACT(A605,""^(?:https?:\/\/)?(?:[^@\n]+@)?(?:www\.)?([^:\/\n]+)"")),"""")"),"homeguidemyrtlebeach.com")</f>
        <v>homeguidemyrtlebeach.com</v>
      </c>
    </row>
    <row r="606" spans="1:2" ht="12.5">
      <c r="A606" s="3" t="s">
        <v>862</v>
      </c>
      <c r="B606" s="4" t="str">
        <f ca="1">IFERROR(__xludf.DUMMYFUNCTION("IFERROR(ARRAYFORMULA(REGEXEXTRACT(A606,""^(?:https?:\/\/)?(?:[^@\n]+@)?(?:www\.)?([^:\/\n]+)"")),"""")"),"klinecollective.com")</f>
        <v>klinecollective.com</v>
      </c>
    </row>
    <row r="607" spans="1:2" ht="12.5">
      <c r="A607" s="3" t="s">
        <v>863</v>
      </c>
      <c r="B607" s="4" t="str">
        <f ca="1">IFERROR(__xludf.DUMMYFUNCTION("IFERROR(ARRAYFORMULA(REGEXEXTRACT(A607,""^(?:https?:\/\/)?(?:[^@\n]+@)?(?:www\.)?([^:\/\n]+)"")),"""")"),"bestpriceskipbins.com.au")</f>
        <v>bestpriceskipbins.com.au</v>
      </c>
    </row>
    <row r="608" spans="1:2" ht="12.5">
      <c r="A608" s="3" t="s">
        <v>864</v>
      </c>
      <c r="B608" s="4" t="str">
        <f ca="1">IFERROR(__xludf.DUMMYFUNCTION("IFERROR(ARRAYFORMULA(REGEXEXTRACT(A608,""^(?:https?:\/\/)?(?:[^@\n]+@)?(?:www\.)?([^:\/\n]+)"")),"""")"),"furl.co.uk")</f>
        <v>furl.co.uk</v>
      </c>
    </row>
    <row r="609" spans="1:2" ht="12.5">
      <c r="A609" s="3" t="s">
        <v>865</v>
      </c>
      <c r="B609" s="4" t="str">
        <f ca="1">IFERROR(__xludf.DUMMYFUNCTION("IFERROR(ARRAYFORMULA(REGEXEXTRACT(A609,""^(?:https?:\/\/)?(?:[^@\n]+@)?(?:www\.)?([^:\/\n]+)"")),"""")"),"restorationroofingco.com")</f>
        <v>restorationroofingco.com</v>
      </c>
    </row>
    <row r="610" spans="1:2" ht="12.5">
      <c r="A610" s="3" t="s">
        <v>866</v>
      </c>
      <c r="B610" s="4" t="str">
        <f ca="1">IFERROR(__xludf.DUMMYFUNCTION("IFERROR(ARRAYFORMULA(REGEXEXTRACT(A610,""^(?:https?:\/\/)?(?:[^@\n]+@)?(?:www\.)?([^:\/\n]+)"")),"""")"),"fantastichomes.com")</f>
        <v>fantastichomes.com</v>
      </c>
    </row>
    <row r="611" spans="1:2" ht="12.5">
      <c r="A611" s="3" t="s">
        <v>867</v>
      </c>
      <c r="B611" s="4" t="str">
        <f ca="1">IFERROR(__xludf.DUMMYFUNCTION("IFERROR(ARRAYFORMULA(REGEXEXTRACT(A611,""^(?:https?:\/\/)?(?:[^@\n]+@)?(?:www\.)?([^:\/\n]+)"")),"""")"),"kurahome.com")</f>
        <v>kurahome.com</v>
      </c>
    </row>
    <row r="612" spans="1:2" ht="12.5">
      <c r="A612" s="3" t="s">
        <v>868</v>
      </c>
      <c r="B612" s="4" t="str">
        <f ca="1">IFERROR(__xludf.DUMMYFUNCTION("IFERROR(ARRAYFORMULA(REGEXEXTRACT(A612,""^(?:https?:\/\/)?(?:[^@\n]+@)?(?:www\.)?([^:\/\n]+)"")),"""")"),"bosshogbarndos.com")</f>
        <v>bosshogbarndos.com</v>
      </c>
    </row>
    <row r="613" spans="1:2" ht="12.5">
      <c r="A613" s="3" t="s">
        <v>869</v>
      </c>
      <c r="B613" s="4" t="str">
        <f ca="1">IFERROR(__xludf.DUMMYFUNCTION("IFERROR(ARRAYFORMULA(REGEXEXTRACT(A613,""^(?:https?:\/\/)?(?:[^@\n]+@)?(?:www\.)?([^:\/\n]+)"")),"""")"),"carolinapremierhandyman.com")</f>
        <v>carolinapremierhandyman.com</v>
      </c>
    </row>
    <row r="614" spans="1:2" ht="12.5">
      <c r="A614" s="3" t="s">
        <v>870</v>
      </c>
      <c r="B614" s="4" t="str">
        <f ca="1">IFERROR(__xludf.DUMMYFUNCTION("IFERROR(ARRAYFORMULA(REGEXEXTRACT(A614,""^(?:https?:\/\/)?(?:[^@\n]+@)?(?:www\.)?([^:\/\n]+)"")),"""")"),"cookssimplepainting.com")</f>
        <v>cookssimplepainting.com</v>
      </c>
    </row>
    <row r="615" spans="1:2" ht="12.5">
      <c r="A615" s="3" t="s">
        <v>871</v>
      </c>
      <c r="B615" s="4" t="str">
        <f ca="1">IFERROR(__xludf.DUMMYFUNCTION("IFERROR(ARRAYFORMULA(REGEXEXTRACT(A615,""^(?:https?:\/\/)?(?:[^@\n]+@)?(?:www\.)?([^:\/\n]+)"")),"""")"),"progressiveautomations.com")</f>
        <v>progressiveautomations.com</v>
      </c>
    </row>
    <row r="616" spans="1:2" ht="12.5">
      <c r="A616" s="3" t="s">
        <v>872</v>
      </c>
      <c r="B616" s="4" t="str">
        <f ca="1">IFERROR(__xludf.DUMMYFUNCTION("IFERROR(ARRAYFORMULA(REGEXEXTRACT(A616,""^(?:https?:\/\/)?(?:[^@\n]+@)?(?:www\.)?([^:\/\n]+)"")),"""")"),"safetyculture.com")</f>
        <v>safetyculture.com</v>
      </c>
    </row>
    <row r="617" spans="1:2" ht="12.5">
      <c r="A617" s="3" t="s">
        <v>873</v>
      </c>
      <c r="B617" s="4" t="str">
        <f ca="1">IFERROR(__xludf.DUMMYFUNCTION("IFERROR(ARRAYFORMULA(REGEXEXTRACT(A617,""^(?:https?:\/\/)?(?:[^@\n]+@)?(?:www\.)?([^:\/\n]+)"")),"""")"),"strykcamrei.com")</f>
        <v>strykcamrei.com</v>
      </c>
    </row>
    <row r="618" spans="1:2" ht="12.5">
      <c r="A618" s="3" t="s">
        <v>874</v>
      </c>
      <c r="B618" s="4" t="str">
        <f ca="1">IFERROR(__xludf.DUMMYFUNCTION("IFERROR(ARRAYFORMULA(REGEXEXTRACT(A618,""^(?:https?:\/\/)?(?:[^@\n]+@)?(?:www\.)?([^:\/\n]+)"")),"""")"),"sunsquare.co.uk")</f>
        <v>sunsquare.co.uk</v>
      </c>
    </row>
    <row r="619" spans="1:2" ht="12.5">
      <c r="A619" s="3" t="s">
        <v>875</v>
      </c>
      <c r="B619" s="4" t="str">
        <f ca="1">IFERROR(__xludf.DUMMYFUNCTION("IFERROR(ARRAYFORMULA(REGEXEXTRACT(A619,""^(?:https?:\/\/)?(?:[^@\n]+@)?(?:www\.)?([^:\/\n]+)"")),"""")"),"180contractors.com")</f>
        <v>180contractors.com</v>
      </c>
    </row>
    <row r="620" spans="1:2" ht="12.5">
      <c r="A620" s="3" t="s">
        <v>876</v>
      </c>
      <c r="B620" s="7" t="str">
        <f ca="1">IFERROR(__xludf.DUMMYFUNCTION("IFERROR(ARRAYFORMULA(REGEXEXTRACT(A620,""^(?:https?:\/\/)?(?:[^@\n]+@)?(?:www\.)?([^:\/\n]+)"")),"""")"),"bens.plumbing")</f>
        <v>bens.plumbing</v>
      </c>
    </row>
    <row r="621" spans="1:2" ht="12.5">
      <c r="A621" s="3" t="s">
        <v>877</v>
      </c>
      <c r="B621" s="4" t="str">
        <f ca="1">IFERROR(__xludf.DUMMYFUNCTION("IFERROR(ARRAYFORMULA(REGEXEXTRACT(A621,""^(?:https?:\/\/)?(?:[^@\n]+@)?(?:www\.)?([^:\/\n]+)"")),"""")"),"udcparts.com")</f>
        <v>udcparts.com</v>
      </c>
    </row>
    <row r="622" spans="1:2" ht="12.5">
      <c r="A622" s="3" t="s">
        <v>878</v>
      </c>
      <c r="B622" s="4" t="str">
        <f ca="1">IFERROR(__xludf.DUMMYFUNCTION("IFERROR(ARRAYFORMULA(REGEXEXTRACT(A622,""^(?:https?:\/\/)?(?:[^@\n]+@)?(?:www\.)?([^:\/\n]+)"")),"""")"),"sourgum.com")</f>
        <v>sourgum.com</v>
      </c>
    </row>
    <row r="623" spans="1:2" ht="12.5">
      <c r="A623" s="3" t="s">
        <v>879</v>
      </c>
      <c r="B623" s="4" t="str">
        <f ca="1">IFERROR(__xludf.DUMMYFUNCTION("IFERROR(ARRAYFORMULA(REGEXEXTRACT(A623,""^(?:https?:\/\/)?(?:[^@\n]+@)?(?:www\.)?([^:\/\n]+)"")),"""")"),"tailoredmechanical.com")</f>
        <v>tailoredmechanical.com</v>
      </c>
    </row>
    <row r="624" spans="1:2" ht="12.5">
      <c r="A624" s="3" t="s">
        <v>880</v>
      </c>
      <c r="B624" s="4" t="str">
        <f ca="1">IFERROR(__xludf.DUMMYFUNCTION("IFERROR(ARRAYFORMULA(REGEXEXTRACT(A624,""^(?:https?:\/\/)?(?:[^@\n]+@)?(?:www\.)?([^:\/\n]+)"")),"""")"),"denvermaids.com")</f>
        <v>denvermaids.com</v>
      </c>
    </row>
    <row r="625" spans="1:2" ht="12.5">
      <c r="A625" s="3" t="s">
        <v>881</v>
      </c>
      <c r="B625" s="4" t="str">
        <f ca="1">IFERROR(__xludf.DUMMYFUNCTION("IFERROR(ARRAYFORMULA(REGEXEXTRACT(A625,""^(?:https?:\/\/)?(?:[^@\n]+@)?(?:www\.)?([^:\/\n]+)"")),"""")"),"texaswasteservices.com")</f>
        <v>texaswasteservices.com</v>
      </c>
    </row>
    <row r="626" spans="1:2" ht="12.5">
      <c r="A626" s="3" t="s">
        <v>882</v>
      </c>
      <c r="B626" s="4" t="str">
        <f ca="1">IFERROR(__xludf.DUMMYFUNCTION("IFERROR(ARRAYFORMULA(REGEXEXTRACT(A626,""^(?:https?:\/\/)?(?:[^@\n]+@)?(?:www\.)?([^:\/\n]+)"")),"""")"),"landrymechanical.com")</f>
        <v>landrymechanical.com</v>
      </c>
    </row>
    <row r="627" spans="1:2" ht="12.5">
      <c r="A627" s="3" t="s">
        <v>883</v>
      </c>
      <c r="B627" s="4" t="str">
        <f ca="1">IFERROR(__xludf.DUMMYFUNCTION("IFERROR(ARRAYFORMULA(REGEXEXTRACT(A627,""^(?:https?:\/\/)?(?:[^@\n]+@)?(?:www\.)?([^:\/\n]+)"")),"""")"),"mystatemls.com")</f>
        <v>mystatemls.com</v>
      </c>
    </row>
    <row r="628" spans="1:2" ht="12.5">
      <c r="A628" s="3" t="s">
        <v>884</v>
      </c>
      <c r="B628" s="4" t="str">
        <f ca="1">IFERROR(__xludf.DUMMYFUNCTION("IFERROR(ARRAYFORMULA(REGEXEXTRACT(A628,""^(?:https?:\/\/)?(?:[^@\n]+@)?(?:www\.)?([^:\/\n]+)"")),"""")"),"solarandgreenenergysolutions.com")</f>
        <v>solarandgreenenergysolutions.com</v>
      </c>
    </row>
    <row r="629" spans="1:2" ht="12.5">
      <c r="A629" s="3" t="s">
        <v>885</v>
      </c>
      <c r="B629" s="4" t="str">
        <f ca="1">IFERROR(__xludf.DUMMYFUNCTION("IFERROR(ARRAYFORMULA(REGEXEXTRACT(A629,""^(?:https?:\/\/)?(?:[^@\n]+@)?(?:www\.)?([^:\/\n]+)"")),"""")"),"genense.com")</f>
        <v>genense.com</v>
      </c>
    </row>
    <row r="630" spans="1:2" ht="12.5">
      <c r="A630" s="3" t="s">
        <v>886</v>
      </c>
      <c r="B630" s="4" t="str">
        <f ca="1">IFERROR(__xludf.DUMMYFUNCTION("IFERROR(ARRAYFORMULA(REGEXEXTRACT(A630,""^(?:https?:\/\/)?(?:[^@\n]+@)?(?:www\.)?([^:\/\n]+)"")),"""")"),"farmco.ag")</f>
        <v>farmco.ag</v>
      </c>
    </row>
    <row r="631" spans="1:2" ht="12.5">
      <c r="A631" s="3" t="s">
        <v>887</v>
      </c>
      <c r="B631" s="4" t="str">
        <f ca="1">IFERROR(__xludf.DUMMYFUNCTION("IFERROR(ARRAYFORMULA(REGEXEXTRACT(A631,""^(?:https?:\/\/)?(?:[^@\n]+@)?(?:www\.)?([^:\/\n]+)"")),"""")"),"figuredart.com")</f>
        <v>figuredart.com</v>
      </c>
    </row>
    <row r="632" spans="1:2" ht="12.5">
      <c r="A632" s="3" t="s">
        <v>888</v>
      </c>
      <c r="B632" s="4" t="str">
        <f ca="1">IFERROR(__xludf.DUMMYFUNCTION("IFERROR(ARRAYFORMULA(REGEXEXTRACT(A632,""^(?:https?:\/\/)?(?:[^@\n]+@)?(?:www\.)?([^:\/\n]+)"")),"""")"),"wallstreetzen.com")</f>
        <v>wallstreetzen.com</v>
      </c>
    </row>
    <row r="633" spans="1:2" ht="12.5">
      <c r="A633" s="3" t="s">
        <v>889</v>
      </c>
      <c r="B633" s="4" t="str">
        <f ca="1">IFERROR(__xludf.DUMMYFUNCTION("IFERROR(ARRAYFORMULA(REGEXEXTRACT(A633,""^(?:https?:\/\/)?(?:[^@\n]+@)?(?:www\.)?([^:\/\n]+)"")),"""")"),"culligan.com")</f>
        <v>culligan.com</v>
      </c>
    </row>
    <row r="634" spans="1:2" ht="12.5">
      <c r="A634" s="3" t="s">
        <v>890</v>
      </c>
      <c r="B634" s="4" t="str">
        <f ca="1">IFERROR(__xludf.DUMMYFUNCTION("IFERROR(ARRAYFORMULA(REGEXEXTRACT(A634,""^(?:https?:\/\/)?(?:[^@\n]+@)?(?:www\.)?([^:\/\n]+)"")),"""")"),"elementmoving.com")</f>
        <v>elementmoving.com</v>
      </c>
    </row>
    <row r="635" spans="1:2" ht="12.5">
      <c r="A635" s="3" t="s">
        <v>891</v>
      </c>
      <c r="B635" s="4" t="str">
        <f ca="1">IFERROR(__xludf.DUMMYFUNCTION("IFERROR(ARRAYFORMULA(REGEXEXTRACT(A635,""^(?:https?:\/\/)?(?:[^@\n]+@)?(?:www\.)?([^:\/\n]+)"")),"""")"),"impact.ca")</f>
        <v>impact.ca</v>
      </c>
    </row>
    <row r="636" spans="1:2" ht="12.5">
      <c r="A636" s="3" t="s">
        <v>892</v>
      </c>
      <c r="B636" s="4" t="str">
        <f ca="1">IFERROR(__xludf.DUMMYFUNCTION("IFERROR(ARRAYFORMULA(REGEXEXTRACT(A636,""^(?:https?:\/\/)?(?:[^@\n]+@)?(?:www\.)?([^:\/\n]+)"")),"""")"),"shillingexcavation.com")</f>
        <v>shillingexcavation.com</v>
      </c>
    </row>
    <row r="637" spans="1:2" ht="12.5">
      <c r="A637" s="3" t="s">
        <v>893</v>
      </c>
      <c r="B637" s="4" t="str">
        <f ca="1">IFERROR(__xludf.DUMMYFUNCTION("IFERROR(ARRAYFORMULA(REGEXEXTRACT(A637,""^(?:https?:\/\/)?(?:[^@\n]+@)?(?:www\.)?([^:\/\n]+)"")),"""")"),"keystonecustomdecks.com")</f>
        <v>keystonecustomdecks.com</v>
      </c>
    </row>
    <row r="638" spans="1:2" ht="12.5">
      <c r="A638" s="3" t="s">
        <v>894</v>
      </c>
      <c r="B638" s="4" t="str">
        <f ca="1">IFERROR(__xludf.DUMMYFUNCTION("IFERROR(ARRAYFORMULA(REGEXEXTRACT(A638,""^(?:https?:\/\/)?(?:[^@\n]+@)?(?:www\.)?([^:\/\n]+)"")),"""")"),"mortgagekw.com")</f>
        <v>mortgagekw.com</v>
      </c>
    </row>
    <row r="639" spans="1:2" ht="12.5">
      <c r="A639" s="3" t="s">
        <v>895</v>
      </c>
      <c r="B639" s="4" t="str">
        <f ca="1">IFERROR(__xludf.DUMMYFUNCTION("IFERROR(ARRAYFORMULA(REGEXEXTRACT(A639,""^(?:https?:\/\/)?(?:[^@\n]+@)?(?:www\.)?([^:\/\n]+)"")),"""")"),"highlandcabinetry.com")</f>
        <v>highlandcabinetry.com</v>
      </c>
    </row>
    <row r="640" spans="1:2" ht="12.5">
      <c r="A640" s="3" t="s">
        <v>896</v>
      </c>
      <c r="B640" s="4" t="str">
        <f ca="1">IFERROR(__xludf.DUMMYFUNCTION("IFERROR(ARRAYFORMULA(REGEXEXTRACT(A640,""^(?:https?:\/\/)?(?:[^@\n]+@)?(?:www\.)?([^:\/\n]+)"")),"""")"),"proficiencyltd.co.uk")</f>
        <v>proficiencyltd.co.uk</v>
      </c>
    </row>
    <row r="641" spans="1:2" ht="12.5">
      <c r="A641" s="3" t="s">
        <v>897</v>
      </c>
      <c r="B641" s="4" t="str">
        <f ca="1">IFERROR(__xludf.DUMMYFUNCTION("IFERROR(ARRAYFORMULA(REGEXEXTRACT(A641,""^(?:https?:\/\/)?(?:[^@\n]+@)?(?:www\.)?([^:\/\n]+)"")),"""")"),"getbatsout.com")</f>
        <v>getbatsout.com</v>
      </c>
    </row>
    <row r="642" spans="1:2" ht="12.5">
      <c r="A642" s="3" t="s">
        <v>898</v>
      </c>
      <c r="B642" s="4" t="str">
        <f ca="1">IFERROR(__xludf.DUMMYFUNCTION("IFERROR(ARRAYFORMULA(REGEXEXTRACT(A642,""^(?:https?:\/\/)?(?:[^@\n]+@)?(?:www\.)?([^:\/\n]+)"")),"""")"),"madcitywindows.com")</f>
        <v>madcitywindows.com</v>
      </c>
    </row>
    <row r="643" spans="1:2" ht="12.5">
      <c r="A643" s="3" t="s">
        <v>899</v>
      </c>
      <c r="B643" s="4" t="str">
        <f ca="1">IFERROR(__xludf.DUMMYFUNCTION("IFERROR(ARRAYFORMULA(REGEXEXTRACT(A643,""^(?:https?:\/\/)?(?:[^@\n]+@)?(?:www\.)?([^:\/\n]+)"")),"""")"),"theengineeringchoice.com")</f>
        <v>theengineeringchoice.com</v>
      </c>
    </row>
    <row r="644" spans="1:2" ht="12.5">
      <c r="A644" s="3" t="s">
        <v>900</v>
      </c>
      <c r="B644" s="4" t="str">
        <f ca="1">IFERROR(__xludf.DUMMYFUNCTION("IFERROR(ARRAYFORMULA(REGEXEXTRACT(A644,""^(?:https?:\/\/)?(?:[^@\n]+@)?(?:www\.)?([^:\/\n]+)"")),"""")"),"espressoagent.com")</f>
        <v>espressoagent.com</v>
      </c>
    </row>
    <row r="645" spans="1:2" ht="12.5">
      <c r="A645" s="3" t="s">
        <v>901</v>
      </c>
      <c r="B645" s="4" t="str">
        <f ca="1">IFERROR(__xludf.DUMMYFUNCTION("IFERROR(ARRAYFORMULA(REGEXEXTRACT(A645,""^(?:https?:\/\/)?(?:[^@\n]+@)?(?:www\.)?([^:\/\n]+)"")),"""")"),"bhug.com")</f>
        <v>bhug.com</v>
      </c>
    </row>
    <row r="646" spans="1:2" ht="12.5">
      <c r="A646" s="3" t="s">
        <v>902</v>
      </c>
      <c r="B646" s="4" t="str">
        <f ca="1">IFERROR(__xludf.DUMMYFUNCTION("IFERROR(ARRAYFORMULA(REGEXEXTRACT(A646,""^(?:https?:\/\/)?(?:[^@\n]+@)?(?:www\.)?([^:\/\n]+)"")),"""")"),"diehardscarves.com")</f>
        <v>diehardscarves.com</v>
      </c>
    </row>
    <row r="647" spans="1:2" ht="12.5">
      <c r="A647" s="3" t="s">
        <v>903</v>
      </c>
      <c r="B647" s="4" t="str">
        <f ca="1">IFERROR(__xludf.DUMMYFUNCTION("IFERROR(ARRAYFORMULA(REGEXEXTRACT(A647,""^(?:https?:\/\/)?(?:[^@\n]+@)?(?:www\.)?([^:\/\n]+)"")),"""")"),"prohomebuyersolutions.com")</f>
        <v>prohomebuyersolutions.com</v>
      </c>
    </row>
    <row r="648" spans="1:2" ht="12.5">
      <c r="A648" s="3" t="s">
        <v>904</v>
      </c>
      <c r="B648" s="4" t="str">
        <f ca="1">IFERROR(__xludf.DUMMYFUNCTION("IFERROR(ARRAYFORMULA(REGEXEXTRACT(A648,""^(?:https?:\/\/)?(?:[^@\n]+@)?(?:www\.)?([^:\/\n]+)"")),"""")"),"harveykalles.com")</f>
        <v>harveykalles.com</v>
      </c>
    </row>
    <row r="649" spans="1:2" ht="12.5">
      <c r="A649" s="3" t="s">
        <v>905</v>
      </c>
      <c r="B649" s="4" t="str">
        <f ca="1">IFERROR(__xludf.DUMMYFUNCTION("IFERROR(ARRAYFORMULA(REGEXEXTRACT(A649,""^(?:https?:\/\/)?(?:[^@\n]+@)?(?:www\.)?([^:\/\n]+)"")),"""")"),"polyandbark.com")</f>
        <v>polyandbark.com</v>
      </c>
    </row>
    <row r="650" spans="1:2" ht="12.5">
      <c r="A650" s="3" t="s">
        <v>906</v>
      </c>
      <c r="B650" s="4" t="str">
        <f ca="1">IFERROR(__xludf.DUMMYFUNCTION("IFERROR(ARRAYFORMULA(REGEXEXTRACT(A650,""^(?:https?:\/\/)?(?:[^@\n]+@)?(?:www\.)?([^:\/\n]+)"")),"""")"),"legacyhealing.com")</f>
        <v>legacyhealing.com</v>
      </c>
    </row>
    <row r="651" spans="1:2" ht="12.5">
      <c r="A651" s="3" t="s">
        <v>907</v>
      </c>
      <c r="B651" s="4" t="str">
        <f ca="1">IFERROR(__xludf.DUMMYFUNCTION("IFERROR(ARRAYFORMULA(REGEXEXTRACT(A651,""^(?:https?:\/\/)?(?:[^@\n]+@)?(?:www\.)?([^:\/\n]+)"")),"""")"),"omtech.com")</f>
        <v>omtech.com</v>
      </c>
    </row>
    <row r="652" spans="1:2" ht="12.5">
      <c r="A652" s="3" t="s">
        <v>908</v>
      </c>
      <c r="B652" s="4" t="str">
        <f ca="1">IFERROR(__xludf.DUMMYFUNCTION("IFERROR(ARRAYFORMULA(REGEXEXTRACT(A652,""^(?:https?:\/\/)?(?:[^@\n]+@)?(?:www\.)?([^:\/\n]+)"")),"""")"),"lemonlocksmith.co.uk")</f>
        <v>lemonlocksmith.co.uk</v>
      </c>
    </row>
    <row r="653" spans="1:2" ht="12.5">
      <c r="A653" s="3" t="s">
        <v>909</v>
      </c>
      <c r="B653" s="4" t="str">
        <f ca="1">IFERROR(__xludf.DUMMYFUNCTION("IFERROR(ARRAYFORMULA(REGEXEXTRACT(A653,""^(?:https?:\/\/)?(?:[^@\n]+@)?(?:www\.)?([^:\/\n]+)"")),"""")"),"lanescontracting.com")</f>
        <v>lanescontracting.com</v>
      </c>
    </row>
    <row r="654" spans="1:2" ht="12.5">
      <c r="A654" s="3" t="s">
        <v>910</v>
      </c>
      <c r="B654" s="4" t="str">
        <f ca="1">IFERROR(__xludf.DUMMYFUNCTION("IFERROR(ARRAYFORMULA(REGEXEXTRACT(A654,""^(?:https?:\/\/)?(?:[^@\n]+@)?(?:www\.)?([^:\/\n]+)"")),"""")"),"archexteriors.com")</f>
        <v>archexteriors.com</v>
      </c>
    </row>
    <row r="655" spans="1:2" ht="12.5">
      <c r="A655" s="3" t="s">
        <v>911</v>
      </c>
      <c r="B655" s="4" t="str">
        <f ca="1">IFERROR(__xludf.DUMMYFUNCTION("IFERROR(ARRAYFORMULA(REGEXEXTRACT(A655,""^(?:https?:\/\/)?(?:[^@\n]+@)?(?:www\.)?([^:\/\n]+)"")),"""")"),"ezconnectfloats.com")</f>
        <v>ezconnectfloats.com</v>
      </c>
    </row>
    <row r="656" spans="1:2" ht="12.5">
      <c r="A656" s="3" t="s">
        <v>912</v>
      </c>
      <c r="B656" s="4" t="str">
        <f ca="1">IFERROR(__xludf.DUMMYFUNCTION("IFERROR(ARRAYFORMULA(REGEXEXTRACT(A656,""^(?:https?:\/\/)?(?:[^@\n]+@)?(?:www\.)?([^:\/\n]+)"")),"""")"),"buymovingleads.co")</f>
        <v>buymovingleads.co</v>
      </c>
    </row>
    <row r="657" spans="1:2" ht="12.5">
      <c r="A657" s="3" t="s">
        <v>913</v>
      </c>
      <c r="B657" s="4" t="str">
        <f ca="1">IFERROR(__xludf.DUMMYFUNCTION("IFERROR(ARRAYFORMULA(REGEXEXTRACT(A657,""^(?:https?:\/\/)?(?:[^@\n]+@)?(?:www\.)?([^:\/\n]+)"")),"""")"),"canadasafetytraining.com")</f>
        <v>canadasafetytraining.com</v>
      </c>
    </row>
    <row r="658" spans="1:2" ht="12.5">
      <c r="A658" s="3" t="s">
        <v>914</v>
      </c>
      <c r="B658" s="4" t="str">
        <f ca="1">IFERROR(__xludf.DUMMYFUNCTION("IFERROR(ARRAYFORMULA(REGEXEXTRACT(A658,""^(?:https?:\/\/)?(?:[^@\n]+@)?(?:www\.)?([^:\/\n]+)"")),"""")"),"emergencyfurnacerepaircalgary.com")</f>
        <v>emergencyfurnacerepaircalgary.com</v>
      </c>
    </row>
    <row r="659" spans="1:2" ht="12.5">
      <c r="A659" s="3" t="s">
        <v>915</v>
      </c>
      <c r="B659" s="4" t="str">
        <f ca="1">IFERROR(__xludf.DUMMYFUNCTION("IFERROR(ARRAYFORMULA(REGEXEXTRACT(A659,""^(?:https?:\/\/)?(?:[^@\n]+@)?(?:www\.)?([^:\/\n]+)"")),"""")"),"renoduck.com")</f>
        <v>renoduck.com</v>
      </c>
    </row>
    <row r="660" spans="1:2" ht="12.5">
      <c r="A660" s="3" t="s">
        <v>916</v>
      </c>
      <c r="B660" s="4" t="str">
        <f ca="1">IFERROR(__xludf.DUMMYFUNCTION("IFERROR(ARRAYFORMULA(REGEXEXTRACT(A660,""^(?:https?:\/\/)?(?:[^@\n]+@)?(?:www\.)?([^:\/\n]+)"")),"""")"),"bolair.ca")</f>
        <v>bolair.ca</v>
      </c>
    </row>
    <row r="661" spans="1:2" ht="12.5">
      <c r="A661" s="3" t="s">
        <v>917</v>
      </c>
      <c r="B661" s="4" t="str">
        <f ca="1">IFERROR(__xludf.DUMMYFUNCTION("IFERROR(ARRAYFORMULA(REGEXEXTRACT(A661,""^(?:https?:\/\/)?(?:[^@\n]+@)?(?:www\.)?([^:\/\n]+)"")),"""")"),"castelblanco.com")</f>
        <v>castelblanco.com</v>
      </c>
    </row>
    <row r="662" spans="1:2" ht="12.5">
      <c r="A662" s="3" t="s">
        <v>918</v>
      </c>
      <c r="B662" s="4" t="str">
        <f ca="1">IFERROR(__xludf.DUMMYFUNCTION("IFERROR(ARRAYFORMULA(REGEXEXTRACT(A662,""^(?:https?:\/\/)?(?:[^@\n]+@)?(?:www\.)?([^:\/\n]+)"")),"""")"),"vulcan7.com")</f>
        <v>vulcan7.com</v>
      </c>
    </row>
    <row r="663" spans="1:2" ht="12.5">
      <c r="A663" s="3" t="s">
        <v>919</v>
      </c>
      <c r="B663" s="4" t="str">
        <f ca="1">IFERROR(__xludf.DUMMYFUNCTION("IFERROR(ARRAYFORMULA(REGEXEXTRACT(A663,""^(?:https?:\/\/)?(?:[^@\n]+@)?(?:www\.)?([^:\/\n]+)"")),"""")"),"mypieceofcakemove.com")</f>
        <v>mypieceofcakemove.com</v>
      </c>
    </row>
    <row r="664" spans="1:2" ht="12.5">
      <c r="A664" s="3" t="s">
        <v>920</v>
      </c>
      <c r="B664" s="4" t="str">
        <f ca="1">IFERROR(__xludf.DUMMYFUNCTION("IFERROR(ARRAYFORMULA(REGEXEXTRACT(A664,""^(?:https?:\/\/)?(?:[^@\n]+@)?(?:www\.)?([^:\/\n]+)"")),"""")"),"blinds-n-shutters.com.au")</f>
        <v>blinds-n-shutters.com.au</v>
      </c>
    </row>
    <row r="665" spans="1:2" ht="12.5">
      <c r="A665" s="3" t="s">
        <v>921</v>
      </c>
      <c r="B665" s="4" t="str">
        <f ca="1">IFERROR(__xludf.DUMMYFUNCTION("IFERROR(ARRAYFORMULA(REGEXEXTRACT(A665,""^(?:https?:\/\/)?(?:[^@\n]+@)?(?:www\.)?([^:\/\n]+)"")),"""")"),"fabcosanctuary.com")</f>
        <v>fabcosanctuary.com</v>
      </c>
    </row>
    <row r="666" spans="1:2" ht="12.5">
      <c r="A666" s="3" t="s">
        <v>922</v>
      </c>
      <c r="B666" s="4" t="str">
        <f ca="1">IFERROR(__xludf.DUMMYFUNCTION("IFERROR(ARRAYFORMULA(REGEXEXTRACT(A666,""^(?:https?:\/\/)?(?:[^@\n]+@)?(?:www\.)?([^:\/\n]+)"")),"""")"),"aquadecorbackgrounds.com")</f>
        <v>aquadecorbackgrounds.com</v>
      </c>
    </row>
    <row r="667" spans="1:2" ht="12.5">
      <c r="A667" s="3" t="s">
        <v>923</v>
      </c>
      <c r="B667" s="4" t="str">
        <f ca="1">IFERROR(__xludf.DUMMYFUNCTION("IFERROR(ARRAYFORMULA(REGEXEXTRACT(A667,""^(?:https?:\/\/)?(?:[^@\n]+@)?(?:www\.)?([^:\/\n]+)"")),"""")"),"bmmagazine.co.uk")</f>
        <v>bmmagazine.co.uk</v>
      </c>
    </row>
    <row r="668" spans="1:2" ht="12.5">
      <c r="A668" s="3" t="s">
        <v>924</v>
      </c>
      <c r="B668" s="7" t="str">
        <f ca="1">IFERROR(__xludf.DUMMYFUNCTION("IFERROR(ARRAYFORMULA(REGEXEXTRACT(A668,""^(?:https?:\/\/)?(?:[^@\n]+@)?(?:www\.)?([^:\/\n]+)"")),"""")"),"londondaily.news")</f>
        <v>londondaily.news</v>
      </c>
    </row>
    <row r="669" spans="1:2" ht="12.5">
      <c r="A669" s="3" t="s">
        <v>925</v>
      </c>
      <c r="B669" s="4" t="str">
        <f ca="1">IFERROR(__xludf.DUMMYFUNCTION("IFERROR(ARRAYFORMULA(REGEXEXTRACT(A669,""^(?:https?:\/\/)?(?:[^@\n]+@)?(?:www\.)?([^:\/\n]+)"")),"""")"),"nycministorage.com")</f>
        <v>nycministorage.com</v>
      </c>
    </row>
    <row r="670" spans="1:2" ht="12.5">
      <c r="A670" s="3" t="s">
        <v>926</v>
      </c>
      <c r="B670" s="7" t="str">
        <f ca="1">IFERROR(__xludf.DUMMYFUNCTION("IFERROR(ARRAYFORMULA(REGEXEXTRACT(A670,""^(?:https?:\/\/)?(?:[^@\n]+@)?(?:www\.)?([^:\/\n]+)"")),"""")"),"fortes.vision")</f>
        <v>fortes.vision</v>
      </c>
    </row>
    <row r="671" spans="1:2" ht="12.5">
      <c r="A671" s="3" t="s">
        <v>927</v>
      </c>
      <c r="B671" s="4" t="str">
        <f ca="1">IFERROR(__xludf.DUMMYFUNCTION("IFERROR(ARRAYFORMULA(REGEXEXTRACT(A671,""^(?:https?:\/\/)?(?:[^@\n]+@)?(?:www\.)?([^:\/\n]+)"")),"""")"),"donsgaragedoors.com")</f>
        <v>donsgaragedoors.com</v>
      </c>
    </row>
    <row r="672" spans="1:2" ht="12.5">
      <c r="A672" s="3" t="s">
        <v>928</v>
      </c>
      <c r="B672" s="4" t="str">
        <f ca="1">IFERROR(__xludf.DUMMYFUNCTION("IFERROR(ARRAYFORMULA(REGEXEXTRACT(A672,""^(?:https?:\/\/)?(?:[^@\n]+@)?(?:www\.)?([^:\/\n]+)"")),"""")"),"lentheplumber.com")</f>
        <v>lentheplumber.com</v>
      </c>
    </row>
    <row r="673" spans="1:2" ht="12.5">
      <c r="A673" s="3" t="s">
        <v>929</v>
      </c>
      <c r="B673" s="4" t="str">
        <f ca="1">IFERROR(__xludf.DUMMYFUNCTION("IFERROR(ARRAYFORMULA(REGEXEXTRACT(A673,""^(?:https?:\/\/)?(?:[^@\n]+@)?(?:www\.)?([^:\/\n]+)"")),"""")"),"webuyhouseshere.com")</f>
        <v>webuyhouseshere.com</v>
      </c>
    </row>
    <row r="674" spans="1:2" ht="12.5">
      <c r="A674" s="3" t="s">
        <v>930</v>
      </c>
      <c r="B674" s="4" t="str">
        <f ca="1">IFERROR(__xludf.DUMMYFUNCTION("IFERROR(ARRAYFORMULA(REGEXEXTRACT(A674,""^(?:https?:\/\/)?(?:[^@\n]+@)?(?:www\.)?([^:\/\n]+)"")),"""")"),"customhomegroup.com")</f>
        <v>customhomegroup.com</v>
      </c>
    </row>
    <row r="675" spans="1:2" ht="12.5">
      <c r="A675" s="3" t="s">
        <v>931</v>
      </c>
      <c r="B675" s="4" t="str">
        <f ca="1">IFERROR(__xludf.DUMMYFUNCTION("IFERROR(ARRAYFORMULA(REGEXEXTRACT(A675,""^(?:https?:\/\/)?(?:[^@\n]+@)?(?:www\.)?([^:\/\n]+)"")),"""")"),"hayatestate.com")</f>
        <v>hayatestate.com</v>
      </c>
    </row>
    <row r="676" spans="1:2" ht="12.5">
      <c r="A676" s="3" t="s">
        <v>932</v>
      </c>
      <c r="B676" s="4" t="str">
        <f ca="1">IFERROR(__xludf.DUMMYFUNCTION("IFERROR(ARRAYFORMULA(REGEXEXTRACT(A676,""^(?:https?:\/\/)?(?:[^@\n]+@)?(?:www\.)?([^:\/\n]+)"")),"""")"),"primotly.com")</f>
        <v>primotly.com</v>
      </c>
    </row>
    <row r="677" spans="1:2" ht="12.5">
      <c r="A677" s="3" t="s">
        <v>933</v>
      </c>
      <c r="B677" s="4" t="str">
        <f ca="1">IFERROR(__xludf.DUMMYFUNCTION("IFERROR(ARRAYFORMULA(REGEXEXTRACT(A677,""^(?:https?:\/\/)?(?:[^@\n]+@)?(?:www\.)?([^:\/\n]+)"")),"""")"),"trueworksroofing.com")</f>
        <v>trueworksroofing.com</v>
      </c>
    </row>
    <row r="678" spans="1:2" ht="12.5">
      <c r="A678" s="3" t="s">
        <v>934</v>
      </c>
      <c r="B678" s="4" t="str">
        <f ca="1">IFERROR(__xludf.DUMMYFUNCTION("IFERROR(ARRAYFORMULA(REGEXEXTRACT(A678,""^(?:https?:\/\/)?(?:[^@\n]+@)?(?:www\.)?([^:\/\n]+)"")),"""")"),"askthemoldgirl.com")</f>
        <v>askthemoldgirl.com</v>
      </c>
    </row>
    <row r="679" spans="1:2" ht="12.5">
      <c r="A679" s="3" t="s">
        <v>935</v>
      </c>
      <c r="B679" s="4" t="str">
        <f ca="1">IFERROR(__xludf.DUMMYFUNCTION("IFERROR(ARRAYFORMULA(REGEXEXTRACT(A679,""^(?:https?:\/\/)?(?:[^@\n]+@)?(?:www\.)?([^:\/\n]+)"")),"""")"),"digitalbluefoam.com")</f>
        <v>digitalbluefoam.com</v>
      </c>
    </row>
    <row r="680" spans="1:2" ht="12.5">
      <c r="A680" s="3" t="s">
        <v>936</v>
      </c>
      <c r="B680" s="4" t="str">
        <f ca="1">IFERROR(__xludf.DUMMYFUNCTION("IFERROR(ARRAYFORMULA(REGEXEXTRACT(A680,""^(?:https?:\/\/)?(?:[^@\n]+@)?(?:www\.)?([^:\/\n]+)"")),"""")"),"modern-maids.com")</f>
        <v>modern-maids.com</v>
      </c>
    </row>
    <row r="681" spans="1:2" ht="12.5">
      <c r="A681" s="3" t="s">
        <v>937</v>
      </c>
      <c r="B681" s="4" t="str">
        <f ca="1">IFERROR(__xludf.DUMMYFUNCTION("IFERROR(ARRAYFORMULA(REGEXEXTRACT(A681,""^(?:https?:\/\/)?(?:[^@\n]+@)?(?:www\.)?([^:\/\n]+)"")),"""")"),"andalusiacc.com")</f>
        <v>andalusiacc.com</v>
      </c>
    </row>
    <row r="682" spans="1:2" ht="12.5">
      <c r="A682" s="3" t="s">
        <v>938</v>
      </c>
      <c r="B682" s="4" t="str">
        <f ca="1">IFERROR(__xludf.DUMMYFUNCTION("IFERROR(ARRAYFORMULA(REGEXEXTRACT(A682,""^(?:https?:\/\/)?(?:[^@\n]+@)?(?:www\.)?([^:\/\n]+)"")),"""")"),"zeromaxmoving.com")</f>
        <v>zeromaxmoving.com</v>
      </c>
    </row>
    <row r="683" spans="1:2" ht="12.5">
      <c r="A683" s="3" t="s">
        <v>939</v>
      </c>
      <c r="B683" s="4" t="str">
        <f ca="1">IFERROR(__xludf.DUMMYFUNCTION("IFERROR(ARRAYFORMULA(REGEXEXTRACT(A683,""^(?:https?:\/\/)?(?:[^@\n]+@)?(?:www\.)?([^:\/\n]+)"")),"""")"),"mentorsmoving.com")</f>
        <v>mentorsmoving.com</v>
      </c>
    </row>
    <row r="684" spans="1:2" ht="12.5">
      <c r="A684" s="3" t="s">
        <v>940</v>
      </c>
      <c r="B684" s="4" t="str">
        <f ca="1">IFERROR(__xludf.DUMMYFUNCTION("IFERROR(ARRAYFORMULA(REGEXEXTRACT(A684,""^(?:https?:\/\/)?(?:[^@\n]+@)?(?:www\.)?([^:\/\n]+)"")),"""")"),"nor-calmoving.com")</f>
        <v>nor-calmoving.com</v>
      </c>
    </row>
    <row r="685" spans="1:2" ht="12.5">
      <c r="A685" s="3" t="s">
        <v>941</v>
      </c>
      <c r="B685" s="4" t="str">
        <f ca="1">IFERROR(__xludf.DUMMYFUNCTION("IFERROR(ARRAYFORMULA(REGEXEXTRACT(A685,""^(?:https?:\/\/)?(?:[^@\n]+@)?(?:www\.)?([^:\/\n]+)"")),"""")"),"marshallwhite.com.au")</f>
        <v>marshallwhite.com.au</v>
      </c>
    </row>
    <row r="686" spans="1:2" ht="12.5">
      <c r="A686" s="3" t="s">
        <v>942</v>
      </c>
      <c r="B686" s="4" t="str">
        <f ca="1">IFERROR(__xludf.DUMMYFUNCTION("IFERROR(ARRAYFORMULA(REGEXEXTRACT(A686,""^(?:https?:\/\/)?(?:[^@\n]+@)?(?:www\.)?([^:\/\n]+)"")),"""")"),"thebackyardnbeyond.com")</f>
        <v>thebackyardnbeyond.com</v>
      </c>
    </row>
    <row r="687" spans="1:2" ht="12.5">
      <c r="A687" s="3" t="s">
        <v>943</v>
      </c>
      <c r="B687" s="4" t="str">
        <f ca="1">IFERROR(__xludf.DUMMYFUNCTION("IFERROR(ARRAYFORMULA(REGEXEXTRACT(A687,""^(?:https?:\/\/)?(?:[^@\n]+@)?(?:www\.)?([^:\/\n]+)"")),"""")"),"flooringstores.com")</f>
        <v>flooringstores.com</v>
      </c>
    </row>
    <row r="688" spans="1:2" ht="12.5">
      <c r="A688" s="3" t="s">
        <v>944</v>
      </c>
      <c r="B688" s="7" t="str">
        <f ca="1">IFERROR(__xludf.DUMMYFUNCTION("IFERROR(ARRAYFORMULA(REGEXEXTRACT(A688,""^(?:https?:\/\/)?(?:[^@\n]+@)?(?:www\.)?([^:\/\n]+)"")),"""")"),"liv.rent")</f>
        <v>liv.rent</v>
      </c>
    </row>
    <row r="689" spans="1:2" ht="12.5">
      <c r="A689" s="3" t="s">
        <v>945</v>
      </c>
      <c r="B689" s="4" t="str">
        <f ca="1">IFERROR(__xludf.DUMMYFUNCTION("IFERROR(ARRAYFORMULA(REGEXEXTRACT(A689,""^(?:https?:\/\/)?(?:[^@\n]+@)?(?:www\.)?([^:\/\n]+)"")),"""")"),"urevo.com")</f>
        <v>urevo.com</v>
      </c>
    </row>
    <row r="690" spans="1:2" ht="12.5">
      <c r="A690" s="3" t="s">
        <v>946</v>
      </c>
      <c r="B690" s="4" t="str">
        <f ca="1">IFERROR(__xludf.DUMMYFUNCTION("IFERROR(ARRAYFORMULA(REGEXEXTRACT(A690,""^(?:https?:\/\/)?(?:[^@\n]+@)?(?:www\.)?([^:\/\n]+)"")),"""")"),"fortifiedestate.com")</f>
        <v>fortifiedestate.com</v>
      </c>
    </row>
    <row r="691" spans="1:2" ht="12.5">
      <c r="A691" s="3" t="s">
        <v>947</v>
      </c>
      <c r="B691" s="4" t="str">
        <f ca="1">IFERROR(__xludf.DUMMYFUNCTION("IFERROR(ARRAYFORMULA(REGEXEXTRACT(A691,""^(?:https?:\/\/)?(?:[^@\n]+@)?(?:www\.)?([^:\/\n]+)"")),"""")"),"thehappyhousecleaning.co.uk")</f>
        <v>thehappyhousecleaning.co.uk</v>
      </c>
    </row>
    <row r="692" spans="1:2" ht="12.5">
      <c r="A692" s="3" t="s">
        <v>948</v>
      </c>
      <c r="B692" s="4" t="str">
        <f ca="1">IFERROR(__xludf.DUMMYFUNCTION("IFERROR(ARRAYFORMULA(REGEXEXTRACT(A692,""^(?:https?:\/\/)?(?:[^@\n]+@)?(?:www\.)?([^:\/\n]+)"")),"""")"),"ourtop10.com.au")</f>
        <v>ourtop10.com.au</v>
      </c>
    </row>
    <row r="693" spans="1:2" ht="12.5">
      <c r="A693" s="3" t="s">
        <v>949</v>
      </c>
      <c r="B693" s="4" t="str">
        <f ca="1">IFERROR(__xludf.DUMMYFUNCTION("IFERROR(ARRAYFORMULA(REGEXEXTRACT(A693,""^(?:https?:\/\/)?(?:[^@\n]+@)?(?:www\.)?([^:\/\n]+)"")),"""")"),"fsg.com")</f>
        <v>fsg.com</v>
      </c>
    </row>
    <row r="694" spans="1:2" ht="12.5">
      <c r="A694" s="3" t="s">
        <v>950</v>
      </c>
      <c r="B694" s="4" t="str">
        <f ca="1">IFERROR(__xludf.DUMMYFUNCTION("IFERROR(ARRAYFORMULA(REGEXEXTRACT(A694,""^(?:https?:\/\/)?(?:[^@\n]+@)?(?:www\.)?([^:\/\n]+)"")),"""")"),"allcongroup.com.au")</f>
        <v>allcongroup.com.au</v>
      </c>
    </row>
    <row r="695" spans="1:2" ht="12.5">
      <c r="A695" s="3" t="s">
        <v>951</v>
      </c>
      <c r="B695" s="4" t="str">
        <f ca="1">IFERROR(__xludf.DUMMYFUNCTION("IFERROR(ARRAYFORMULA(REGEXEXTRACT(A695,""^(?:https?:\/\/)?(?:[^@\n]+@)?(?:www\.)?([^:\/\n]+)"")),"""")"),"deerbusters.com")</f>
        <v>deerbusters.com</v>
      </c>
    </row>
    <row r="696" spans="1:2" ht="12.5">
      <c r="A696" s="3" t="s">
        <v>952</v>
      </c>
      <c r="B696" s="4" t="str">
        <f ca="1">IFERROR(__xludf.DUMMYFUNCTION("IFERROR(ARRAYFORMULA(REGEXEXTRACT(A696,""^(?:https?:\/\/)?(?:[^@\n]+@)?(?:www\.)?([^:\/\n]+)"")),"""")"),"fixitrightplumbing.com.au")</f>
        <v>fixitrightplumbing.com.au</v>
      </c>
    </row>
    <row r="697" spans="1:2" ht="12.5">
      <c r="A697" s="3" t="s">
        <v>953</v>
      </c>
      <c r="B697" s="4" t="str">
        <f ca="1">IFERROR(__xludf.DUMMYFUNCTION("IFERROR(ARRAYFORMULA(REGEXEXTRACT(A697,""^(?:https?:\/\/)?(?:[^@\n]+@)?(?:www\.)?([^:\/\n]+)"")),"""")"),"powerhome.com")</f>
        <v>powerhome.com</v>
      </c>
    </row>
    <row r="698" spans="1:2" ht="12.5">
      <c r="A698" s="3" t="s">
        <v>954</v>
      </c>
      <c r="B698" s="4" t="str">
        <f ca="1">IFERROR(__xludf.DUMMYFUNCTION("IFERROR(ARRAYFORMULA(REGEXEXTRACT(A698,""^(?:https?:\/\/)?(?:[^@\n]+@)?(?:www\.)?([^:\/\n]+)"")),"""")"),"pycawnings.com")</f>
        <v>pycawnings.com</v>
      </c>
    </row>
    <row r="699" spans="1:2" ht="12.5">
      <c r="A699" s="3" t="s">
        <v>955</v>
      </c>
      <c r="B699" s="4" t="str">
        <f ca="1">IFERROR(__xludf.DUMMYFUNCTION("IFERROR(ARRAYFORMULA(REGEXEXTRACT(A699,""^(?:https?:\/\/)?(?:[^@\n]+@)?(?:www\.)?([^:\/\n]+)"")),"""")"),"mrhandyman.com")</f>
        <v>mrhandyman.com</v>
      </c>
    </row>
    <row r="700" spans="1:2" ht="12.5">
      <c r="A700" s="3" t="s">
        <v>956</v>
      </c>
      <c r="B700" s="4" t="str">
        <f ca="1">IFERROR(__xludf.DUMMYFUNCTION("IFERROR(ARRAYFORMULA(REGEXEXTRACT(A700,""^(?:https?:\/\/)?(?:[^@\n]+@)?(?:www\.)?([^:\/\n]+)"")),"""")"),"thefauxflowercompany.com")</f>
        <v>thefauxflowercompany.com</v>
      </c>
    </row>
    <row r="701" spans="1:2" ht="12.5">
      <c r="A701" s="3" t="s">
        <v>957</v>
      </c>
      <c r="B701" s="4" t="str">
        <f ca="1">IFERROR(__xludf.DUMMYFUNCTION("IFERROR(ARRAYFORMULA(REGEXEXTRACT(A701,""^(?:https?:\/\/)?(?:[^@\n]+@)?(?:www\.)?([^:\/\n]+)"")),"""")"),"unitseastbay.com")</f>
        <v>unitseastbay.com</v>
      </c>
    </row>
    <row r="702" spans="1:2" ht="12.5">
      <c r="A702" s="3" t="s">
        <v>958</v>
      </c>
      <c r="B702" s="4" t="str">
        <f ca="1">IFERROR(__xludf.DUMMYFUNCTION("IFERROR(ARRAYFORMULA(REGEXEXTRACT(A702,""^(?:https?:\/\/)?(?:[^@\n]+@)?(?:www\.)?([^:\/\n]+)"")),"""")"),"homelet.co.uk")</f>
        <v>homelet.co.uk</v>
      </c>
    </row>
    <row r="703" spans="1:2" ht="12.5">
      <c r="A703" s="3" t="s">
        <v>959</v>
      </c>
      <c r="B703" s="4" t="str">
        <f ca="1">IFERROR(__xludf.DUMMYFUNCTION("IFERROR(ARRAYFORMULA(REGEXEXTRACT(A703,""^(?:https?:\/\/)?(?:[^@\n]+@)?(?:www\.)?([^:\/\n]+)"")),"""")"),"securedroofingandrestoration.com")</f>
        <v>securedroofingandrestoration.com</v>
      </c>
    </row>
    <row r="704" spans="1:2" ht="12.5">
      <c r="A704" s="3" t="s">
        <v>960</v>
      </c>
      <c r="B704" s="4" t="str">
        <f ca="1">IFERROR(__xludf.DUMMYFUNCTION("IFERROR(ARRAYFORMULA(REGEXEXTRACT(A704,""^(?:https?:\/\/)?(?:[^@\n]+@)?(?:www\.)?([^:\/\n]+)"")),"""")"),"sevenseaswater.com")</f>
        <v>sevenseaswater.com</v>
      </c>
    </row>
    <row r="705" spans="1:2" ht="12.5">
      <c r="A705" s="3" t="s">
        <v>961</v>
      </c>
      <c r="B705" s="4" t="str">
        <f ca="1">IFERROR(__xludf.DUMMYFUNCTION("IFERROR(ARRAYFORMULA(REGEXEXTRACT(A705,""^(?:https?:\/\/)?(?:[^@\n]+@)?(?:www\.)?([^:\/\n]+)"")),"""")"),"ukradiators.com")</f>
        <v>ukradiators.com</v>
      </c>
    </row>
    <row r="706" spans="1:2" ht="12.5">
      <c r="A706" s="3" t="s">
        <v>962</v>
      </c>
      <c r="B706" s="4" t="str">
        <f ca="1">IFERROR(__xludf.DUMMYFUNCTION("IFERROR(ARRAYFORMULA(REGEXEXTRACT(A706,""^(?:https?:\/\/)?(?:[^@\n]+@)?(?:www\.)?([^:\/\n]+)"")),"""")"),"binskyhome.com")</f>
        <v>binskyhome.com</v>
      </c>
    </row>
    <row r="707" spans="1:2" ht="12.5">
      <c r="A707" s="3" t="s">
        <v>963</v>
      </c>
      <c r="B707" s="4" t="str">
        <f ca="1">IFERROR(__xludf.DUMMYFUNCTION("IFERROR(ARRAYFORMULA(REGEXEXTRACT(A707,""^(?:https?:\/\/)?(?:[^@\n]+@)?(?:www\.)?([^:\/\n]+)"")),"""")"),"kingfisher-roofing.com")</f>
        <v>kingfisher-roofing.com</v>
      </c>
    </row>
    <row r="708" spans="1:2" ht="12.5">
      <c r="A708" s="3" t="s">
        <v>964</v>
      </c>
      <c r="B708" s="4" t="str">
        <f ca="1">IFERROR(__xludf.DUMMYFUNCTION("IFERROR(ARRAYFORMULA(REGEXEXTRACT(A708,""^(?:https?:\/\/)?(?:[^@\n]+@)?(?:www\.)?([^:\/\n]+)"")),"""")"),"arizonapaintingcompany.com")</f>
        <v>arizonapaintingcompany.com</v>
      </c>
    </row>
    <row r="709" spans="1:2" ht="12.5">
      <c r="A709" s="3" t="s">
        <v>965</v>
      </c>
      <c r="B709" s="4" t="str">
        <f ca="1">IFERROR(__xludf.DUMMYFUNCTION("IFERROR(ARRAYFORMULA(REGEXEXTRACT(A709,""^(?:https?:\/\/)?(?:[^@\n]+@)?(?:www\.)?([^:\/\n]+)"")),"""")"),"ranchroofing.com")</f>
        <v>ranchroofing.com</v>
      </c>
    </row>
    <row r="710" spans="1:2" ht="12.5">
      <c r="A710" s="3" t="s">
        <v>966</v>
      </c>
      <c r="B710" s="4" t="str">
        <f ca="1">IFERROR(__xludf.DUMMYFUNCTION("IFERROR(ARRAYFORMULA(REGEXEXTRACT(A710,""^(?:https?:\/\/)?(?:[^@\n]+@)?(?:www\.)?([^:\/\n]+)"")),"""")"),"gaincity.com")</f>
        <v>gaincity.com</v>
      </c>
    </row>
    <row r="711" spans="1:2" ht="12.5">
      <c r="A711" s="3" t="s">
        <v>967</v>
      </c>
      <c r="B711" s="4" t="str">
        <f ca="1">IFERROR(__xludf.DUMMYFUNCTION("IFERROR(ARRAYFORMULA(REGEXEXTRACT(A711,""^(?:https?:\/\/)?(?:[^@\n]+@)?(?:www\.)?([^:\/\n]+)"")),"""")"),"tlcinteriors.com.au")</f>
        <v>tlcinteriors.com.au</v>
      </c>
    </row>
    <row r="712" spans="1:2" ht="12.5">
      <c r="A712" s="3" t="s">
        <v>968</v>
      </c>
      <c r="B712" s="4" t="str">
        <f ca="1">IFERROR(__xludf.DUMMYFUNCTION("IFERROR(ARRAYFORMULA(REGEXEXTRACT(A712,""^(?:https?:\/\/)?(?:[^@\n]+@)?(?:www\.)?([^:\/\n]+)"")),"""")"),"unitedairtemp.com")</f>
        <v>unitedairtemp.com</v>
      </c>
    </row>
    <row r="713" spans="1:2" ht="12.5">
      <c r="A713" s="3" t="s">
        <v>969</v>
      </c>
      <c r="B713" s="4" t="str">
        <f ca="1">IFERROR(__xludf.DUMMYFUNCTION("IFERROR(ARRAYFORMULA(REGEXEXTRACT(A713,""^(?:https?:\/\/)?(?:[^@\n]+@)?(?:www\.)?([^:\/\n]+)"")),"""")"),"uperfect.com")</f>
        <v>uperfect.com</v>
      </c>
    </row>
    <row r="714" spans="1:2" ht="12.5">
      <c r="A714" s="3" t="s">
        <v>970</v>
      </c>
      <c r="B714" s="4" t="str">
        <f ca="1">IFERROR(__xludf.DUMMYFUNCTION("IFERROR(ARRAYFORMULA(REGEXEXTRACT(A714,""^(?:https?:\/\/)?(?:[^@\n]+@)?(?:www\.)?([^:\/\n]+)"")),"""")"),"iconbydesign.com")</f>
        <v>iconbydesign.com</v>
      </c>
    </row>
    <row r="715" spans="1:2" ht="12.5">
      <c r="A715" s="3" t="s">
        <v>971</v>
      </c>
      <c r="B715" s="4" t="str">
        <f ca="1">IFERROR(__xludf.DUMMYFUNCTION("IFERROR(ARRAYFORMULA(REGEXEXTRACT(A715,""^(?:https?:\/\/)?(?:[^@\n]+@)?(?:www\.)?([^:\/\n]+)"")),"""")"),"discovertheburgh.com")</f>
        <v>discovertheburgh.com</v>
      </c>
    </row>
    <row r="716" spans="1:2" ht="12.5">
      <c r="A716" s="3" t="s">
        <v>972</v>
      </c>
      <c r="B716" s="4" t="str">
        <f ca="1">IFERROR(__xludf.DUMMYFUNCTION("IFERROR(ARRAYFORMULA(REGEXEXTRACT(A716,""^(?:https?:\/\/)?(?:[^@\n]+@)?(?:www\.)?([^:\/\n]+)"")),"""")"),"cullenjewellery.com")</f>
        <v>cullenjewellery.com</v>
      </c>
    </row>
    <row r="717" spans="1:2" ht="12.5">
      <c r="A717" s="3" t="s">
        <v>973</v>
      </c>
      <c r="B717" s="4" t="str">
        <f ca="1">IFERROR(__xludf.DUMMYFUNCTION("IFERROR(ARRAYFORMULA(REGEXEXTRACT(A717,""^(?:https?:\/\/)?(?:[^@\n]+@)?(?:www\.)?([^:\/\n]+)"")),"""")"),"ruvati.com")</f>
        <v>ruvati.com</v>
      </c>
    </row>
    <row r="718" spans="1:2" ht="12.5">
      <c r="A718" s="3" t="s">
        <v>974</v>
      </c>
      <c r="B718" s="4" t="str">
        <f ca="1">IFERROR(__xludf.DUMMYFUNCTION("IFERROR(ARRAYFORMULA(REGEXEXTRACT(A718,""^(?:https?:\/\/)?(?:[^@\n]+@)?(?:www\.)?([^:\/\n]+)"")),"""")"),"winnings.com.au")</f>
        <v>winnings.com.au</v>
      </c>
    </row>
    <row r="719" spans="1:2" ht="12.5">
      <c r="A719" s="3" t="s">
        <v>975</v>
      </c>
      <c r="B719" s="4" t="str">
        <f ca="1">IFERROR(__xludf.DUMMYFUNCTION("IFERROR(ARRAYFORMULA(REGEXEXTRACT(A719,""^(?:https?:\/\/)?(?:[^@\n]+@)?(?:www\.)?([^:\/\n]+)"")),"""")"),"woodshopdiaries.com")</f>
        <v>woodshopdiaries.com</v>
      </c>
    </row>
    <row r="720" spans="1:2" ht="12.5">
      <c r="A720" s="3" t="s">
        <v>976</v>
      </c>
      <c r="B720" s="4" t="str">
        <f ca="1">IFERROR(__xludf.DUMMYFUNCTION("IFERROR(ARRAYFORMULA(REGEXEXTRACT(A720,""^(?:https?:\/\/)?(?:[^@\n]+@)?(?:www\.)?([^:\/\n]+)"")),"""")"),"recostseg.com")</f>
        <v>recostseg.com</v>
      </c>
    </row>
    <row r="721" spans="1:2" ht="12.5">
      <c r="A721" s="3" t="s">
        <v>977</v>
      </c>
      <c r="B721" s="4" t="str">
        <f ca="1">IFERROR(__xludf.DUMMYFUNCTION("IFERROR(ARRAYFORMULA(REGEXEXTRACT(A721,""^(?:https?:\/\/)?(?:[^@\n]+@)?(?:www\.)?([^:\/\n]+)"")),"""")"),"ftcourygroup.com")</f>
        <v>ftcourygroup.com</v>
      </c>
    </row>
    <row r="722" spans="1:2" ht="12.5">
      <c r="A722" s="3" t="s">
        <v>978</v>
      </c>
      <c r="B722" s="4" t="str">
        <f ca="1">IFERROR(__xludf.DUMMYFUNCTION("IFERROR(ARRAYFORMULA(REGEXEXTRACT(A722,""^(?:https?:\/\/)?(?:[^@\n]+@)?(?:www\.)?([^:\/\n]+)"")),"""")"),"kdarchitects.net")</f>
        <v>kdarchitects.net</v>
      </c>
    </row>
    <row r="723" spans="1:2" ht="12.5">
      <c r="A723" s="3" t="s">
        <v>979</v>
      </c>
      <c r="B723" s="4" t="str">
        <f ca="1">IFERROR(__xludf.DUMMYFUNCTION("IFERROR(ARRAYFORMULA(REGEXEXTRACT(A723,""^(?:https?:\/\/)?(?:[^@\n]+@)?(?:www\.)?([^:\/\n]+)"")),"""")"),"nycsidewalkviolations.com")</f>
        <v>nycsidewalkviolations.com</v>
      </c>
    </row>
    <row r="724" spans="1:2" ht="12.5">
      <c r="A724" s="3" t="s">
        <v>980</v>
      </c>
      <c r="B724" s="4" t="str">
        <f ca="1">IFERROR(__xludf.DUMMYFUNCTION("IFERROR(ARRAYFORMULA(REGEXEXTRACT(A724,""^(?:https?:\/\/)?(?:[^@\n]+@)?(?:www\.)?([^:\/\n]+)"")),"""")"),"worldcoppersmith.com")</f>
        <v>worldcoppersmith.com</v>
      </c>
    </row>
    <row r="725" spans="1:2" ht="12.5">
      <c r="A725" s="3" t="s">
        <v>981</v>
      </c>
      <c r="B725" s="4" t="str">
        <f ca="1">IFERROR(__xludf.DUMMYFUNCTION("IFERROR(ARRAYFORMULA(REGEXEXTRACT(A725,""^(?:https?:\/\/)?(?:[^@\n]+@)?(?:www\.)?([^:\/\n]+)"")),"""")"),"heartlandflags.com")</f>
        <v>heartlandflags.com</v>
      </c>
    </row>
    <row r="726" spans="1:2" ht="12.5">
      <c r="A726" s="3" t="s">
        <v>982</v>
      </c>
      <c r="B726" s="4" t="str">
        <f ca="1">IFERROR(__xludf.DUMMYFUNCTION("IFERROR(ARRAYFORMULA(REGEXEXTRACT(A726,""^(?:https?:\/\/)?(?:[^@\n]+@)?(?:www\.)?([^:\/\n]+)"")),"""")"),"serviceprofessor.com")</f>
        <v>serviceprofessor.com</v>
      </c>
    </row>
    <row r="727" spans="1:2" ht="12.5">
      <c r="A727" s="3" t="s">
        <v>983</v>
      </c>
      <c r="B727" s="4" t="str">
        <f ca="1">IFERROR(__xludf.DUMMYFUNCTION("IFERROR(ARRAYFORMULA(REGEXEXTRACT(A727,""^(?:https?:\/\/)?(?:[^@\n]+@)?(?:www\.)?([^:\/\n]+)"")),"""")"),"jakemainesrealtor.com")</f>
        <v>jakemainesrealtor.com</v>
      </c>
    </row>
    <row r="728" spans="1:2" ht="12.5">
      <c r="A728" s="3" t="s">
        <v>984</v>
      </c>
      <c r="B728" s="4" t="str">
        <f ca="1">IFERROR(__xludf.DUMMYFUNCTION("IFERROR(ARRAYFORMULA(REGEXEXTRACT(A728,""^(?:https?:\/\/)?(?:[^@\n]+@)?(?:www\.)?([^:\/\n]+)"")),"""")"),"safetysourcellc.com")</f>
        <v>safetysourcellc.com</v>
      </c>
    </row>
    <row r="729" spans="1:2" ht="12.5">
      <c r="A729" s="3" t="s">
        <v>985</v>
      </c>
      <c r="B729" s="4" t="str">
        <f ca="1">IFERROR(__xludf.DUMMYFUNCTION("IFERROR(ARRAYFORMULA(REGEXEXTRACT(A729,""^(?:https?:\/\/)?(?:[^@\n]+@)?(?:www\.)?([^:\/\n]+)"")),"""")"),"hammerandhand.com")</f>
        <v>hammerandhand.com</v>
      </c>
    </row>
    <row r="730" spans="1:2" ht="12.5">
      <c r="A730" s="3" t="s">
        <v>986</v>
      </c>
      <c r="B730" s="4" t="str">
        <f ca="1">IFERROR(__xludf.DUMMYFUNCTION("IFERROR(ARRAYFORMULA(REGEXEXTRACT(A730,""^(?:https?:\/\/)?(?:[^@\n]+@)?(?:www\.)?([^:\/\n]+)"")),"""")"),"sunlightcleaningny.com")</f>
        <v>sunlightcleaningny.com</v>
      </c>
    </row>
    <row r="731" spans="1:2" ht="12.5">
      <c r="A731" s="3" t="s">
        <v>987</v>
      </c>
      <c r="B731" s="4" t="str">
        <f ca="1">IFERROR(__xludf.DUMMYFUNCTION("IFERROR(ARRAYFORMULA(REGEXEXTRACT(A731,""^(?:https?:\/\/)?(?:[^@\n]+@)?(?:www\.)?([^:\/\n]+)"")),"""")"),"fantasticservices.com")</f>
        <v>fantasticservices.com</v>
      </c>
    </row>
    <row r="732" spans="1:2" ht="12.5">
      <c r="A732" s="3" t="s">
        <v>988</v>
      </c>
      <c r="B732" s="4" t="str">
        <f ca="1">IFERROR(__xludf.DUMMYFUNCTION("IFERROR(ARRAYFORMULA(REGEXEXTRACT(A732,""^(?:https?:\/\/)?(?:[^@\n]+@)?(?:www\.)?([^:\/\n]+)"")),"""")"),"worldwidelandtransfer.com")</f>
        <v>worldwidelandtransfer.com</v>
      </c>
    </row>
    <row r="733" spans="1:2" ht="12.5">
      <c r="A733" s="3" t="s">
        <v>989</v>
      </c>
      <c r="B733" s="4" t="str">
        <f ca="1">IFERROR(__xludf.DUMMYFUNCTION("IFERROR(ARRAYFORMULA(REGEXEXTRACT(A733,""^(?:https?:\/\/)?(?:[^@\n]+@)?(?:www\.)?([^:\/\n]+)"")),"""")"),"faraneshlv.com")</f>
        <v>faraneshlv.com</v>
      </c>
    </row>
    <row r="734" spans="1:2" ht="12.5">
      <c r="A734" s="3" t="s">
        <v>990</v>
      </c>
      <c r="B734" s="4" t="str">
        <f ca="1">IFERROR(__xludf.DUMMYFUNCTION("IFERROR(ARRAYFORMULA(REGEXEXTRACT(A734,""^(?:https?:\/\/)?(?:[^@\n]+@)?(?:www\.)?([^:\/\n]+)"")),"""")"),"worldcoppersmith.com")</f>
        <v>worldcoppersmith.com</v>
      </c>
    </row>
    <row r="735" spans="1:2" ht="12.5">
      <c r="A735" s="3" t="s">
        <v>991</v>
      </c>
      <c r="B735" s="4" t="str">
        <f ca="1">IFERROR(__xludf.DUMMYFUNCTION("IFERROR(ARRAYFORMULA(REGEXEXTRACT(A735,""^(?:https?:\/\/)?(?:[^@\n]+@)?(?:www\.)?([^:\/\n]+)"")),"""")"),"titanroofingsolutions.com")</f>
        <v>titanroofingsolutions.com</v>
      </c>
    </row>
    <row r="736" spans="1:2" ht="12.5">
      <c r="A736" s="3" t="s">
        <v>992</v>
      </c>
      <c r="B736" s="4" t="str">
        <f ca="1">IFERROR(__xludf.DUMMYFUNCTION("IFERROR(ARRAYFORMULA(REGEXEXTRACT(A736,""^(?:https?:\/\/)?(?:[^@\n]+@)?(?:www\.)?([^:\/\n]+)"")),"""")"),"colemanallied.com")</f>
        <v>colemanallied.com</v>
      </c>
    </row>
    <row r="737" spans="1:2" ht="12.5">
      <c r="A737" s="3" t="s">
        <v>993</v>
      </c>
      <c r="B737" s="4" t="str">
        <f ca="1">IFERROR(__xludf.DUMMYFUNCTION("IFERROR(ARRAYFORMULA(REGEXEXTRACT(A737,""^(?:https?:\/\/)?(?:[^@\n]+@)?(?:www\.)?([^:\/\n]+)"")),"""")"),"ssrelocation.com")</f>
        <v>ssrelocation.com</v>
      </c>
    </row>
    <row r="738" spans="1:2" ht="12.5">
      <c r="A738" s="3" t="s">
        <v>994</v>
      </c>
      <c r="B738" s="4" t="str">
        <f ca="1">IFERROR(__xludf.DUMMYFUNCTION("IFERROR(ARRAYFORMULA(REGEXEXTRACT(A738,""^(?:https?:\/\/)?(?:[^@\n]+@)?(?:www\.)?([^:\/\n]+)"")),"""")"),"creditonebank.com")</f>
        <v>creditonebank.com</v>
      </c>
    </row>
    <row r="739" spans="1:2" ht="12.5">
      <c r="A739" s="3" t="s">
        <v>995</v>
      </c>
      <c r="B739" s="4" t="str">
        <f ca="1">IFERROR(__xludf.DUMMYFUNCTION("IFERROR(ARRAYFORMULA(REGEXEXTRACT(A739,""^(?:https?:\/\/)?(?:[^@\n]+@)?(?:www\.)?([^:\/\n]+)"")),"""")"),"perthwindowreplacement.com.au")</f>
        <v>perthwindowreplacement.com.au</v>
      </c>
    </row>
    <row r="740" spans="1:2" ht="12.5">
      <c r="A740" s="3" t="s">
        <v>996</v>
      </c>
      <c r="B740" s="4" t="str">
        <f ca="1">IFERROR(__xludf.DUMMYFUNCTION("IFERROR(ARRAYFORMULA(REGEXEXTRACT(A740,""^(?:https?:\/\/)?(?:[^@\n]+@)?(?:www\.)?([^:\/\n]+)"")),"""")"),"smartlifeco.com")</f>
        <v>smartlifeco.com</v>
      </c>
    </row>
    <row r="741" spans="1:2" ht="12.5">
      <c r="A741" s="3" t="s">
        <v>997</v>
      </c>
      <c r="B741" s="4" t="str">
        <f ca="1">IFERROR(__xludf.DUMMYFUNCTION("IFERROR(ARRAYFORMULA(REGEXEXTRACT(A741,""^(?:https?:\/\/)?(?:[^@\n]+@)?(?:www\.)?([^:\/\n]+)"")),"""")"),"octaneseating.com")</f>
        <v>octaneseating.com</v>
      </c>
    </row>
    <row r="742" spans="1:2" ht="12.5">
      <c r="A742" s="3" t="s">
        <v>998</v>
      </c>
      <c r="B742" s="4" t="str">
        <f ca="1">IFERROR(__xludf.DUMMYFUNCTION("IFERROR(ARRAYFORMULA(REGEXEXTRACT(A742,""^(?:https?:\/\/)?(?:[^@\n]+@)?(?:www\.)?([^:\/\n]+)"")),"""")"),"modani.com")</f>
        <v>modani.com</v>
      </c>
    </row>
    <row r="743" spans="1:2" ht="12.5">
      <c r="A743" s="3" t="s">
        <v>999</v>
      </c>
      <c r="B743" s="4" t="str">
        <f ca="1">IFERROR(__xludf.DUMMYFUNCTION("IFERROR(ARRAYFORMULA(REGEXEXTRACT(A743,""^(?:https?:\/\/)?(?:[^@\n]+@)?(?:www\.)?([^:\/\n]+)"")),"""")"),"wsri.org")</f>
        <v>wsri.org</v>
      </c>
    </row>
    <row r="744" spans="1:2" ht="12.5">
      <c r="A744" s="3" t="s">
        <v>1000</v>
      </c>
      <c r="B744" s="4" t="str">
        <f ca="1">IFERROR(__xludf.DUMMYFUNCTION("IFERROR(ARRAYFORMULA(REGEXEXTRACT(A744,""^(?:https?:\/\/)?(?:[^@\n]+@)?(?:www\.)?([^:\/\n]+)"")),"""")"),"ironcompany.com")</f>
        <v>ironcompany.com</v>
      </c>
    </row>
    <row r="745" spans="1:2" ht="12.5">
      <c r="A745" s="3" t="s">
        <v>1001</v>
      </c>
      <c r="B745" s="4" t="str">
        <f ca="1">IFERROR(__xludf.DUMMYFUNCTION("IFERROR(ARRAYFORMULA(REGEXEXTRACT(A745,""^(?:https?:\/\/)?(?:[^@\n]+@)?(?:www\.)?([^:\/\n]+)"")),"""")"),"montereycompany.com")</f>
        <v>montereycompany.com</v>
      </c>
    </row>
    <row r="746" spans="1:2" ht="12.5">
      <c r="A746" s="3" t="s">
        <v>1002</v>
      </c>
      <c r="B746" s="4" t="str">
        <f ca="1">IFERROR(__xludf.DUMMYFUNCTION("IFERROR(ARRAYFORMULA(REGEXEXTRACT(A746,""^(?:https?:\/\/)?(?:[^@\n]+@)?(?:www\.)?([^:\/\n]+)"")),"""")"),"traderadiators.com")</f>
        <v>traderadiators.com</v>
      </c>
    </row>
    <row r="747" spans="1:2" ht="12.5">
      <c r="A747" s="3" t="s">
        <v>1003</v>
      </c>
      <c r="B747" s="4" t="str">
        <f ca="1">IFERROR(__xludf.DUMMYFUNCTION("IFERROR(ARRAYFORMULA(REGEXEXTRACT(A747,""^(?:https?:\/\/)?(?:[^@\n]+@)?(?:www\.)?([^:\/\n]+)"")),"""")"),"discountfilters.com")</f>
        <v>discountfilters.com</v>
      </c>
    </row>
    <row r="748" spans="1:2" ht="12.5">
      <c r="A748" s="3" t="s">
        <v>1004</v>
      </c>
      <c r="B748" s="4" t="str">
        <f ca="1">IFERROR(__xludf.DUMMYFUNCTION("IFERROR(ARRAYFORMULA(REGEXEXTRACT(A748,""^(?:https?:\/\/)?(?:[^@\n]+@)?(?:www\.)?([^:\/\n]+)"")),"""")"),"letsgetmovingusa.com")</f>
        <v>letsgetmovingusa.com</v>
      </c>
    </row>
    <row r="749" spans="1:2" ht="12.5">
      <c r="A749" s="3" t="s">
        <v>1005</v>
      </c>
      <c r="B749" s="4" t="str">
        <f ca="1">IFERROR(__xludf.DUMMYFUNCTION("IFERROR(ARRAYFORMULA(REGEXEXTRACT(A749,""^(?:https?:\/\/)?(?:[^@\n]+@)?(?:www\.)?([^:\/\n]+)"")),"""")"),"leaserunner.com")</f>
        <v>leaserunner.com</v>
      </c>
    </row>
    <row r="750" spans="1:2" ht="12.5">
      <c r="A750" s="3" t="s">
        <v>1006</v>
      </c>
      <c r="B750" s="4" t="str">
        <f ca="1">IFERROR(__xludf.DUMMYFUNCTION("IFERROR(ARRAYFORMULA(REGEXEXTRACT(A750,""^(?:https?:\/\/)?(?:[^@\n]+@)?(?:www\.)?([^:\/\n]+)"")),"""")"),"leisurebuildings.com")</f>
        <v>leisurebuildings.com</v>
      </c>
    </row>
    <row r="751" spans="1:2" ht="12.5">
      <c r="A751" s="3" t="s">
        <v>1007</v>
      </c>
      <c r="B751" s="4" t="str">
        <f ca="1">IFERROR(__xludf.DUMMYFUNCTION("IFERROR(ARRAYFORMULA(REGEXEXTRACT(A751,""^(?:https?:\/\/)?(?:[^@\n]+@)?(?:www\.)?([^:\/\n]+)"")),"""")"),"dutchhausfurniture.com")</f>
        <v>dutchhausfurniture.com</v>
      </c>
    </row>
    <row r="752" spans="1:2" ht="12.5">
      <c r="A752" s="3" t="s">
        <v>1008</v>
      </c>
      <c r="B752" s="4" t="str">
        <f ca="1">IFERROR(__xludf.DUMMYFUNCTION("IFERROR(ARRAYFORMULA(REGEXEXTRACT(A752,""^(?:https?:\/\/)?(?:[^@\n]+@)?(?:www\.)?([^:\/\n]+)"")),"""")"),"lockandkeysheffield.co.uk")</f>
        <v>lockandkeysheffield.co.uk</v>
      </c>
    </row>
    <row r="753" spans="1:2" ht="12.5">
      <c r="A753" s="3" t="s">
        <v>1009</v>
      </c>
      <c r="B753" s="4" t="str">
        <f ca="1">IFERROR(__xludf.DUMMYFUNCTION("IFERROR(ARRAYFORMULA(REGEXEXTRACT(A753,""^(?:https?:\/\/)?(?:[^@\n]+@)?(?:www\.)?([^:\/\n]+)"")),"""")"),"pureecoinc.com")</f>
        <v>pureecoinc.com</v>
      </c>
    </row>
    <row r="754" spans="1:2" ht="12.5">
      <c r="A754" s="3" t="s">
        <v>1010</v>
      </c>
      <c r="B754" s="4" t="str">
        <f ca="1">IFERROR(__xludf.DUMMYFUNCTION("IFERROR(ARRAYFORMULA(REGEXEXTRACT(A754,""^(?:https?:\/\/)?(?:[^@\n]+@)?(?:www\.)?([^:\/\n]+)"")),"""")"),"keepsafestorage.com.au")</f>
        <v>keepsafestorage.com.au</v>
      </c>
    </row>
    <row r="755" spans="1:2" ht="12.5">
      <c r="A755" s="3" t="s">
        <v>1011</v>
      </c>
      <c r="B755" s="4" t="str">
        <f ca="1">IFERROR(__xludf.DUMMYFUNCTION("IFERROR(ARRAYFORMULA(REGEXEXTRACT(A755,""^(?:https?:\/\/)?(?:[^@\n]+@)?(?:www\.)?([^:\/\n]+)"")),"""")"),"puetzconstruction.com")</f>
        <v>puetzconstruction.com</v>
      </c>
    </row>
    <row r="756" spans="1:2" ht="12.5">
      <c r="A756" s="3" t="s">
        <v>1012</v>
      </c>
      <c r="B756" s="4" t="str">
        <f ca="1">IFERROR(__xludf.DUMMYFUNCTION("IFERROR(ARRAYFORMULA(REGEXEXTRACT(A756,""^(?:https?:\/\/)?(?:[^@\n]+@)?(?:www\.)?([^:\/\n]+)"")),"""")"),"niagaramachine.com")</f>
        <v>niagaramachine.com</v>
      </c>
    </row>
    <row r="757" spans="1:2" ht="12.5">
      <c r="A757" s="3" t="s">
        <v>1013</v>
      </c>
      <c r="B757" s="4" t="str">
        <f ca="1">IFERROR(__xludf.DUMMYFUNCTION("IFERROR(ARRAYFORMULA(REGEXEXTRACT(A757,""^(?:https?:\/\/)?(?:[^@\n]+@)?(?:www\.)?([^:\/\n]+)"")),"""")"),"hmworldgroup.com")</f>
        <v>hmworldgroup.com</v>
      </c>
    </row>
    <row r="758" spans="1:2" ht="12.5">
      <c r="A758" s="3" t="s">
        <v>1014</v>
      </c>
      <c r="B758" s="4" t="str">
        <f ca="1">IFERROR(__xludf.DUMMYFUNCTION("IFERROR(ARRAYFORMULA(REGEXEXTRACT(A758,""^(?:https?:\/\/)?(?:[^@\n]+@)?(?:www\.)?([^:\/\n]+)"")),"""")"),"protouchcleaners.com")</f>
        <v>protouchcleaners.com</v>
      </c>
    </row>
    <row r="759" spans="1:2" ht="12.5">
      <c r="A759" s="3" t="s">
        <v>1015</v>
      </c>
      <c r="B759" s="4" t="str">
        <f ca="1">IFERROR(__xludf.DUMMYFUNCTION("IFERROR(ARRAYFORMULA(REGEXEXTRACT(A759,""^(?:https?:\/\/)?(?:[^@\n]+@)?(?:www\.)?([^:\/\n]+)"")),"""")"),"alekoproducts.com")</f>
        <v>alekoproducts.com</v>
      </c>
    </row>
    <row r="760" spans="1:2" ht="12.5">
      <c r="A760" s="3" t="s">
        <v>1016</v>
      </c>
      <c r="B760" s="4" t="str">
        <f ca="1">IFERROR(__xludf.DUMMYFUNCTION("IFERROR(ARRAYFORMULA(REGEXEXTRACT(A760,""^(?:https?:\/\/)?(?:[^@\n]+@)?(?:www\.)?([^:\/\n]+)"")),"""")"),"render-vision.com")</f>
        <v>render-vision.com</v>
      </c>
    </row>
    <row r="761" spans="1:2" ht="12.5">
      <c r="A761" s="3" t="s">
        <v>1017</v>
      </c>
      <c r="B761" s="4" t="str">
        <f ca="1">IFERROR(__xludf.DUMMYFUNCTION("IFERROR(ARRAYFORMULA(REGEXEXTRACT(A761,""^(?:https?:\/\/)?(?:[^@\n]+@)?(?:www\.)?([^:\/\n]+)"")),"""")"),"roofsbywarren.com")</f>
        <v>roofsbywarren.com</v>
      </c>
    </row>
    <row r="762" spans="1:2" ht="12.5">
      <c r="A762" s="3" t="s">
        <v>1018</v>
      </c>
      <c r="B762" s="4" t="str">
        <f ca="1">IFERROR(__xludf.DUMMYFUNCTION("IFERROR(ARRAYFORMULA(REGEXEXTRACT(A762,""^(?:https?:\/\/)?(?:[^@\n]+@)?(?:www\.)?([^:\/\n]+)"")),"""")"),"gvdrenovationsinc.com")</f>
        <v>gvdrenovationsinc.com</v>
      </c>
    </row>
    <row r="763" spans="1:2" ht="12.5">
      <c r="A763" s="3" t="s">
        <v>1019</v>
      </c>
      <c r="B763" s="4" t="str">
        <f ca="1">IFERROR(__xludf.DUMMYFUNCTION("IFERROR(ARRAYFORMULA(REGEXEXTRACT(A763,""^(?:https?:\/\/)?(?:[^@\n]+@)?(?:www\.)?([^:\/\n]+)"")),"""")"),"firststarlogistics.com")</f>
        <v>firststarlogistics.com</v>
      </c>
    </row>
    <row r="764" spans="1:2" ht="12.5">
      <c r="A764" s="3" t="s">
        <v>1020</v>
      </c>
      <c r="B764" s="4" t="str">
        <f ca="1">IFERROR(__xludf.DUMMYFUNCTION("IFERROR(ARRAYFORMULA(REGEXEXTRACT(A764,""^(?:https?:\/\/)?(?:[^@\n]+@)?(?:www\.)?([^:\/\n]+)"")),"""")"),"hamilton-ex.com")</f>
        <v>hamilton-ex.com</v>
      </c>
    </row>
    <row r="765" spans="1:2" ht="12.5">
      <c r="A765" s="3" t="s">
        <v>1021</v>
      </c>
      <c r="B765" s="4" t="str">
        <f ca="1">IFERROR(__xludf.DUMMYFUNCTION("IFERROR(ARRAYFORMULA(REGEXEXTRACT(A765,""^(?:https?:\/\/)?(?:[^@\n]+@)?(?:www\.)?([^:\/\n]+)"")),"""")"),"tigermaterialhandling.com")</f>
        <v>tigermaterialhandling.com</v>
      </c>
    </row>
    <row r="766" spans="1:2" ht="12.5">
      <c r="A766" s="3" t="s">
        <v>1022</v>
      </c>
      <c r="B766" s="4" t="str">
        <f ca="1">IFERROR(__xludf.DUMMYFUNCTION("IFERROR(ARRAYFORMULA(REGEXEXTRACT(A766,""^(?:https?:\/\/)?(?:[^@\n]+@)?(?:www\.)?([^:\/\n]+)"")),"""")"),"ftworthrefinishing.com")</f>
        <v>ftworthrefinishing.com</v>
      </c>
    </row>
    <row r="767" spans="1:2" ht="12.5">
      <c r="A767" s="3" t="s">
        <v>1023</v>
      </c>
      <c r="B767" s="4" t="str">
        <f ca="1">IFERROR(__xludf.DUMMYFUNCTION("IFERROR(ARRAYFORMULA(REGEXEXTRACT(A767,""^(?:https?:\/\/)?(?:[^@\n]+@)?(?:www\.)?([^:\/\n]+)"")),"""")"),"rugsource.com")</f>
        <v>rugsource.com</v>
      </c>
    </row>
    <row r="768" spans="1:2" ht="12.5">
      <c r="A768" s="3" t="s">
        <v>1024</v>
      </c>
      <c r="B768" s="4" t="str">
        <f ca="1">IFERROR(__xludf.DUMMYFUNCTION("IFERROR(ARRAYFORMULA(REGEXEXTRACT(A768,""^(?:https?:\/\/)?(?:[^@\n]+@)?(?:www\.)?([^:\/\n]+)"")),"""")"),"floornmoresouthlake.com")</f>
        <v>floornmoresouthlake.com</v>
      </c>
    </row>
    <row r="769" spans="1:2" ht="12.5">
      <c r="A769" s="3" t="s">
        <v>1025</v>
      </c>
      <c r="B769" s="4" t="str">
        <f ca="1">IFERROR(__xludf.DUMMYFUNCTION("IFERROR(ARRAYFORMULA(REGEXEXTRACT(A769,""^(?:https?:\/\/)?(?:[^@\n]+@)?(?:www\.)?([^:\/\n]+)"")),"""")"),"limetreealfresco.com.au")</f>
        <v>limetreealfresco.com.au</v>
      </c>
    </row>
    <row r="770" spans="1:2" ht="12.5">
      <c r="A770" s="3" t="s">
        <v>1026</v>
      </c>
      <c r="B770" s="4" t="str">
        <f ca="1">IFERROR(__xludf.DUMMYFUNCTION("IFERROR(ARRAYFORMULA(REGEXEXTRACT(A770,""^(?:https?:\/\/)?(?:[^@\n]+@)?(?:www\.)?([^:\/\n]+)"")),"""")"),"sparefoot.com")</f>
        <v>sparefoot.com</v>
      </c>
    </row>
    <row r="771" spans="1:2" ht="12.5">
      <c r="A771" s="3" t="s">
        <v>1027</v>
      </c>
      <c r="B771" s="4" t="str">
        <f ca="1">IFERROR(__xludf.DUMMYFUNCTION("IFERROR(ARRAYFORMULA(REGEXEXTRACT(A771,""^(?:https?:\/\/)?(?:[^@\n]+@)?(?:www\.)?([^:\/\n]+)"")),"""")"),"snokingcarpets.com")</f>
        <v>snokingcarpets.com</v>
      </c>
    </row>
    <row r="772" spans="1:2" ht="12.5">
      <c r="A772" s="3" t="s">
        <v>1028</v>
      </c>
      <c r="B772" s="4" t="str">
        <f ca="1">IFERROR(__xludf.DUMMYFUNCTION("IFERROR(ARRAYFORMULA(REGEXEXTRACT(A772,""^(?:https?:\/\/)?(?:[^@\n]+@)?(?:www\.)?([^:\/\n]+)"")),"""")"),"pittsburghpowerwash.com")</f>
        <v>pittsburghpowerwash.com</v>
      </c>
    </row>
    <row r="773" spans="1:2" ht="12.5">
      <c r="A773" s="3" t="s">
        <v>1029</v>
      </c>
      <c r="B773" s="4" t="str">
        <f ca="1">IFERROR(__xludf.DUMMYFUNCTION("IFERROR(ARRAYFORMULA(REGEXEXTRACT(A773,""^(?:https?:\/\/)?(?:[^@\n]+@)?(?:www\.)?([^:\/\n]+)"")),"""")"),"insuranceclaimhq.com")</f>
        <v>insuranceclaimhq.com</v>
      </c>
    </row>
    <row r="774" spans="1:2" ht="12.5">
      <c r="A774" s="3" t="s">
        <v>1030</v>
      </c>
      <c r="B774" s="4" t="str">
        <f ca="1">IFERROR(__xludf.DUMMYFUNCTION("IFERROR(ARRAYFORMULA(REGEXEXTRACT(A774,""^(?:https?:\/\/)?(?:[^@\n]+@)?(?:www\.)?([^:\/\n]+)"")),"""")"),"clarksvilleconstruction.net")</f>
        <v>clarksvilleconstruction.net</v>
      </c>
    </row>
    <row r="775" spans="1:2" ht="12.5">
      <c r="A775" s="3" t="s">
        <v>1031</v>
      </c>
      <c r="B775" s="4" t="str">
        <f ca="1">IFERROR(__xludf.DUMMYFUNCTION("IFERROR(ARRAYFORMULA(REGEXEXTRACT(A775,""^(?:https?:\/\/)?(?:[^@\n]+@)?(?:www\.)?([^:\/\n]+)"")),"""")"),"cahillheating.com")</f>
        <v>cahillheating.com</v>
      </c>
    </row>
    <row r="776" spans="1:2" ht="12.5">
      <c r="A776" s="3" t="s">
        <v>1032</v>
      </c>
      <c r="B776" s="4" t="str">
        <f ca="1">IFERROR(__xludf.DUMMYFUNCTION("IFERROR(ARRAYFORMULA(REGEXEXTRACT(A776,""^(?:https?:\/\/)?(?:[^@\n]+@)?(?:www\.)?([^:\/\n]+)"")),"""")"),"nyceiling.com")</f>
        <v>nyceiling.com</v>
      </c>
    </row>
    <row r="777" spans="1:2" ht="12.5">
      <c r="A777" s="3" t="s">
        <v>1033</v>
      </c>
      <c r="B777" s="4" t="str">
        <f ca="1">IFERROR(__xludf.DUMMYFUNCTION("IFERROR(ARRAYFORMULA(REGEXEXTRACT(A777,""^(?:https?:\/\/)?(?:[^@\n]+@)?(?:www\.)?([^:\/\n]+)"")),"""")"),"familyleisure.com")</f>
        <v>familyleisure.com</v>
      </c>
    </row>
    <row r="778" spans="1:2" ht="12.5">
      <c r="A778" s="3" t="s">
        <v>1034</v>
      </c>
      <c r="B778" s="4" t="str">
        <f ca="1">IFERROR(__xludf.DUMMYFUNCTION("IFERROR(ARRAYFORMULA(REGEXEXTRACT(A778,""^(?:https?:\/\/)?(?:[^@\n]+@)?(?:www\.)?([^:\/\n]+)"")),"""")"),"essentialfoodhygiene.co.uk")</f>
        <v>essentialfoodhygiene.co.uk</v>
      </c>
    </row>
    <row r="779" spans="1:2" ht="12.5">
      <c r="A779" s="3" t="s">
        <v>1035</v>
      </c>
      <c r="B779" s="4" t="str">
        <f ca="1">IFERROR(__xludf.DUMMYFUNCTION("IFERROR(ARRAYFORMULA(REGEXEXTRACT(A779,""^(?:https?:\/\/)?(?:[^@\n]+@)?(?:www\.)?([^:\/\n]+)"")),"""")"),"doncasterlockandkey.co.uk")</f>
        <v>doncasterlockandkey.co.uk</v>
      </c>
    </row>
    <row r="780" spans="1:2" ht="12.5">
      <c r="A780" s="3" t="s">
        <v>1036</v>
      </c>
      <c r="B780" s="4" t="str">
        <f ca="1">IFERROR(__xludf.DUMMYFUNCTION("IFERROR(ARRAYFORMULA(REGEXEXTRACT(A780,""^(?:https?:\/\/)?(?:[^@\n]+@)?(?:www\.)?([^:\/\n]+)"")),"""")"),"bridgeloandirect.co.uk")</f>
        <v>bridgeloandirect.co.uk</v>
      </c>
    </row>
    <row r="781" spans="1:2" ht="12.5">
      <c r="A781" s="3" t="s">
        <v>1037</v>
      </c>
      <c r="B781" s="4" t="str">
        <f ca="1">IFERROR(__xludf.DUMMYFUNCTION("IFERROR(ARRAYFORMULA(REGEXEXTRACT(A781,""^(?:https?:\/\/)?(?:[^@\n]+@)?(?:www\.)?([^:\/\n]+)"")),"""")"),"inovayt.com.au")</f>
        <v>inovayt.com.au</v>
      </c>
    </row>
    <row r="782" spans="1:2" ht="12.5">
      <c r="A782" s="3" t="s">
        <v>1038</v>
      </c>
      <c r="B782" s="4" t="str">
        <f ca="1">IFERROR(__xludf.DUMMYFUNCTION("IFERROR(ARRAYFORMULA(REGEXEXTRACT(A782,""^(?:https?:\/\/)?(?:[^@\n]+@)?(?:www\.)?([^:\/\n]+)"")),"""")"),"coastalvanlines.com")</f>
        <v>coastalvanlines.com</v>
      </c>
    </row>
    <row r="783" spans="1:2" ht="12.5">
      <c r="A783" s="3" t="s">
        <v>1039</v>
      </c>
      <c r="B783" s="4" t="str">
        <f ca="1">IFERROR(__xludf.DUMMYFUNCTION("IFERROR(ARRAYFORMULA(REGEXEXTRACT(A783,""^(?:https?:\/\/)?(?:[^@\n]+@)?(?:www\.)?([^:\/\n]+)"")),"""")"),"aircontrolaz.com")</f>
        <v>aircontrolaz.com</v>
      </c>
    </row>
    <row r="784" spans="1:2" ht="12.5">
      <c r="A784" s="3" t="s">
        <v>1040</v>
      </c>
      <c r="B784" s="4" t="str">
        <f ca="1">IFERROR(__xludf.DUMMYFUNCTION("IFERROR(ARRAYFORMULA(REGEXEXTRACT(A784,""^(?:https?:\/\/)?(?:[^@\n]+@)?(?:www\.)?([^:\/\n]+)"")),"""")"),"azenco-outdoor.com")</f>
        <v>azenco-outdoor.com</v>
      </c>
    </row>
    <row r="785" spans="1:2" ht="12.5">
      <c r="A785" s="3" t="s">
        <v>1041</v>
      </c>
      <c r="B785" s="4" t="str">
        <f ca="1">IFERROR(__xludf.DUMMYFUNCTION("IFERROR(ARRAYFORMULA(REGEXEXTRACT(A785,""^(?:https?:\/\/)?(?:[^@\n]+@)?(?:www\.)?([^:\/\n]+)"")),"""")"),"americanvintagehome.com")</f>
        <v>americanvintagehome.com</v>
      </c>
    </row>
    <row r="786" spans="1:2" ht="12.5">
      <c r="A786" s="3" t="s">
        <v>1042</v>
      </c>
      <c r="B786" s="4" t="str">
        <f ca="1">IFERROR(__xludf.DUMMYFUNCTION("IFERROR(ARRAYFORMULA(REGEXEXTRACT(A786,""^(?:https?:\/\/)?(?:[^@\n]+@)?(?:www\.)?([^:\/\n]+)"")),"""")"),"posterstore.com")</f>
        <v>posterstore.com</v>
      </c>
    </row>
    <row r="787" spans="1:2" ht="12.5">
      <c r="A787" s="3" t="s">
        <v>1043</v>
      </c>
      <c r="B787" s="4" t="str">
        <f ca="1">IFERROR(__xludf.DUMMYFUNCTION("IFERROR(ARRAYFORMULA(REGEXEXTRACT(A787,""^(?:https?:\/\/)?(?:[^@\n]+@)?(?:www\.)?([^:\/\n]+)"")),"""")"),"butcherblockco.com")</f>
        <v>butcherblockco.com</v>
      </c>
    </row>
    <row r="788" spans="1:2" ht="12.5">
      <c r="A788" s="3" t="s">
        <v>1044</v>
      </c>
      <c r="B788" s="4" t="str">
        <f ca="1">IFERROR(__xludf.DUMMYFUNCTION("IFERROR(ARRAYFORMULA(REGEXEXTRACT(A788,""^(?:https?:\/\/)?(?:[^@\n]+@)?(?:www\.)?([^:\/\n]+)"")),"""")"),"goldcoastschools.com")</f>
        <v>goldcoastschools.com</v>
      </c>
    </row>
    <row r="789" spans="1:2" ht="12.5">
      <c r="A789" s="3" t="s">
        <v>1045</v>
      </c>
      <c r="B789" s="4" t="str">
        <f ca="1">IFERROR(__xludf.DUMMYFUNCTION("IFERROR(ARRAYFORMULA(REGEXEXTRACT(A789,""^(?:https?:\/\/)?(?:[^@\n]+@)?(?:www\.)?([^:\/\n]+)"")),"""")"),"ustoreit.ie")</f>
        <v>ustoreit.ie</v>
      </c>
    </row>
    <row r="790" spans="1:2" ht="12.5">
      <c r="A790" s="3" t="s">
        <v>1046</v>
      </c>
      <c r="B790" s="4" t="str">
        <f ca="1">IFERROR(__xludf.DUMMYFUNCTION("IFERROR(ARRAYFORMULA(REGEXEXTRACT(A790,""^(?:https?:\/\/)?(?:[^@\n]+@)?(?:www\.)?([^:\/\n]+)"")),"""")"),"thegoatwallart.com")</f>
        <v>thegoatwallart.com</v>
      </c>
    </row>
    <row r="791" spans="1:2" ht="12.5">
      <c r="A791" s="3" t="s">
        <v>1047</v>
      </c>
      <c r="B791" s="4" t="str">
        <f ca="1">IFERROR(__xludf.DUMMYFUNCTION("IFERROR(ARRAYFORMULA(REGEXEXTRACT(A791,""^(?:https?:\/\/)?(?:[^@\n]+@)?(?:www\.)?([^:\/\n]+)"")),"""")"),"boltstorage.com")</f>
        <v>boltstorage.com</v>
      </c>
    </row>
    <row r="792" spans="1:2" ht="12.5">
      <c r="A792" s="3" t="s">
        <v>1048</v>
      </c>
      <c r="B792" s="4" t="str">
        <f ca="1">IFERROR(__xludf.DUMMYFUNCTION("IFERROR(ARRAYFORMULA(REGEXEXTRACT(A792,""^(?:https?:\/\/)?(?:[^@\n]+@)?(?:www\.)?([^:\/\n]+)"")),"""")"),"thebedsupermarket.co.uk")</f>
        <v>thebedsupermarket.co.uk</v>
      </c>
    </row>
    <row r="793" spans="1:2" ht="12.5">
      <c r="A793" s="3" t="s">
        <v>1049</v>
      </c>
      <c r="B793" s="4" t="str">
        <f ca="1">IFERROR(__xludf.DUMMYFUNCTION("IFERROR(ARRAYFORMULA(REGEXEXTRACT(A793,""^(?:https?:\/\/)?(?:[^@\n]+@)?(?:www\.)?([^:\/\n]+)"")),"""")"),"patioproductions.com")</f>
        <v>patioproductions.com</v>
      </c>
    </row>
    <row r="794" spans="1:2" ht="12.5">
      <c r="A794" s="3" t="s">
        <v>1050</v>
      </c>
      <c r="B794" s="4" t="str">
        <f ca="1">IFERROR(__xludf.DUMMYFUNCTION("IFERROR(ARRAYFORMULA(REGEXEXTRACT(A794,""^(?:https?:\/\/)?(?:[^@\n]+@)?(?:www\.)?([^:\/\n]+)"")),"""")"),"houstoncapitalhomebuyers.com")</f>
        <v>houstoncapitalhomebuyers.com</v>
      </c>
    </row>
    <row r="795" spans="1:2" ht="12.5">
      <c r="A795" s="3" t="s">
        <v>1051</v>
      </c>
      <c r="B795" s="4" t="str">
        <f ca="1">IFERROR(__xludf.DUMMYFUNCTION("IFERROR(ARRAYFORMULA(REGEXEXTRACT(A795,""^(?:https?:\/\/)?(?:[^@\n]+@)?(?:www\.)?([^:\/\n]+)"")),"""")"),"rhinorooter.net")</f>
        <v>rhinorooter.net</v>
      </c>
    </row>
    <row r="796" spans="1:2" ht="12.5">
      <c r="A796" s="3" t="s">
        <v>1052</v>
      </c>
      <c r="B796" s="4" t="str">
        <f ca="1">IFERROR(__xludf.DUMMYFUNCTION("IFERROR(ARRAYFORMULA(REGEXEXTRACT(A796,""^(?:https?:\/\/)?(?:[^@\n]+@)?(?:www\.)?([^:\/\n]+)"")),"""")"),"trenchlesspedia.com")</f>
        <v>trenchlesspedia.com</v>
      </c>
    </row>
    <row r="797" spans="1:2" ht="12.5">
      <c r="A797" s="3" t="s">
        <v>1053</v>
      </c>
      <c r="B797" s="4" t="str">
        <f ca="1">IFERROR(__xludf.DUMMYFUNCTION("IFERROR(ARRAYFORMULA(REGEXEXTRACT(A797,""^(?:https?:\/\/)?(?:[^@\n]+@)?(?:www\.)?([^:\/\n]+)"")),"""")"),"roofomega.com")</f>
        <v>roofomega.com</v>
      </c>
    </row>
    <row r="798" spans="1:2" ht="12.5">
      <c r="A798" s="3" t="s">
        <v>1054</v>
      </c>
      <c r="B798" s="4" t="str">
        <f ca="1">IFERROR(__xludf.DUMMYFUNCTION("IFERROR(ARRAYFORMULA(REGEXEXTRACT(A798,""^(?:https?:\/\/)?(?:[^@\n]+@)?(?:www\.)?([^:\/\n]+)"")),"""")"),"aptnewsinc.com")</f>
        <v>aptnewsinc.com</v>
      </c>
    </row>
    <row r="799" spans="1:2" ht="12.5">
      <c r="A799" s="3" t="s">
        <v>1055</v>
      </c>
      <c r="B799" s="4" t="str">
        <f ca="1">IFERROR(__xludf.DUMMYFUNCTION("IFERROR(ARRAYFORMULA(REGEXEXTRACT(A799,""^(?:https?:\/\/)?(?:[^@\n]+@)?(?:www\.)?([^:\/\n]+)"")),"""")"),"smockhvac.com")</f>
        <v>smockhvac.com</v>
      </c>
    </row>
    <row r="800" spans="1:2" ht="12.5">
      <c r="A800" s="3" t="s">
        <v>1056</v>
      </c>
      <c r="B800" s="4" t="str">
        <f ca="1">IFERROR(__xludf.DUMMYFUNCTION("IFERROR(ARRAYFORMULA(REGEXEXTRACT(A800,""^(?:https?:\/\/)?(?:[^@\n]+@)?(?:www\.)?([^:\/\n]+)"")),"""")"),"buildinginstitute.edu.au")</f>
        <v>buildinginstitute.edu.au</v>
      </c>
    </row>
    <row r="801" spans="1:2" ht="12.5">
      <c r="A801" s="3" t="s">
        <v>1057</v>
      </c>
      <c r="B801" s="4" t="str">
        <f ca="1">IFERROR(__xludf.DUMMYFUNCTION("IFERROR(ARRAYFORMULA(REGEXEXTRACT(A801,""^(?:https?:\/\/)?(?:[^@\n]+@)?(?:www\.)?([^:\/\n]+)"")),"""")"),"lorenzphac.com")</f>
        <v>lorenzphac.com</v>
      </c>
    </row>
    <row r="802" spans="1:2" ht="12.5">
      <c r="A802" s="3" t="s">
        <v>1058</v>
      </c>
      <c r="B802" s="4" t="str">
        <f ca="1">IFERROR(__xludf.DUMMYFUNCTION("IFERROR(ARRAYFORMULA(REGEXEXTRACT(A802,""^(?:https?:\/\/)?(?:[^@\n]+@)?(?:www\.)?([^:\/\n]+)"")),"""")"),"ultimateflags.com")</f>
        <v>ultimateflags.com</v>
      </c>
    </row>
    <row r="803" spans="1:2" ht="12.5">
      <c r="A803" s="3" t="s">
        <v>1059</v>
      </c>
      <c r="B803" s="4" t="str">
        <f ca="1">IFERROR(__xludf.DUMMYFUNCTION("IFERROR(ARRAYFORMULA(REGEXEXTRACT(A803,""^(?:https?:\/\/)?(?:[^@\n]+@)?(?:www\.)?([^:\/\n]+)"")),"""")"),"trainingexpress.org.uk")</f>
        <v>trainingexpress.org.uk</v>
      </c>
    </row>
    <row r="804" spans="1:2" ht="12.5">
      <c r="A804" s="3" t="s">
        <v>1060</v>
      </c>
      <c r="B804" s="4" t="str">
        <f ca="1">IFERROR(__xludf.DUMMYFUNCTION("IFERROR(ARRAYFORMULA(REGEXEXTRACT(A804,""^(?:https?:\/\/)?(?:[^@\n]+@)?(?:www\.)?([^:\/\n]+)"")),"""")"),"watkinsheating.com")</f>
        <v>watkinsheating.com</v>
      </c>
    </row>
    <row r="805" spans="1:2" ht="12.5">
      <c r="A805" s="3" t="s">
        <v>1061</v>
      </c>
      <c r="B805" s="4" t="str">
        <f ca="1">IFERROR(__xludf.DUMMYFUNCTION("IFERROR(ARRAYFORMULA(REGEXEXTRACT(A805,""^(?:https?:\/\/)?(?:[^@\n]+@)?(?:www\.)?([^:\/\n]+)"")),"""")"),"shapescaper.com.au")</f>
        <v>shapescaper.com.au</v>
      </c>
    </row>
    <row r="806" spans="1:2" ht="12.5">
      <c r="A806" s="3" t="s">
        <v>1062</v>
      </c>
      <c r="B806" s="4" t="str">
        <f ca="1">IFERROR(__xludf.DUMMYFUNCTION("IFERROR(ARRAYFORMULA(REGEXEXTRACT(A806,""^(?:https?:\/\/)?(?:[^@\n]+@)?(?:www\.)?([^:\/\n]+)"")),"""")"),"goldstarbuildings.com")</f>
        <v>goldstarbuildings.com</v>
      </c>
    </row>
    <row r="807" spans="1:2" ht="12.5">
      <c r="A807" s="3" t="s">
        <v>1063</v>
      </c>
      <c r="B807" s="4" t="str">
        <f ca="1">IFERROR(__xludf.DUMMYFUNCTION("IFERROR(ARRAYFORMULA(REGEXEXTRACT(A807,""^(?:https?:\/\/)?(?:[^@\n]+@)?(?:www\.)?([^:\/\n]+)"")),"""")"),"propertymanagementto.com")</f>
        <v>propertymanagementto.com</v>
      </c>
    </row>
    <row r="808" spans="1:2" ht="12.5">
      <c r="A808" s="3" t="s">
        <v>1064</v>
      </c>
      <c r="B808" s="4" t="str">
        <f ca="1">IFERROR(__xludf.DUMMYFUNCTION("IFERROR(ARRAYFORMULA(REGEXEXTRACT(A808,""^(?:https?:\/\/)?(?:[^@\n]+@)?(?:www\.)?([^:\/\n]+)"")),"""")"),"desenio.com")</f>
        <v>desenio.com</v>
      </c>
    </row>
    <row r="809" spans="1:2" ht="12.5">
      <c r="A809" s="3" t="s">
        <v>1065</v>
      </c>
      <c r="B809" s="4" t="str">
        <f ca="1">IFERROR(__xludf.DUMMYFUNCTION("IFERROR(ARRAYFORMULA(REGEXEXTRACT(A809,""^(?:https?:\/\/)?(?:[^@\n]+@)?(?:www\.)?([^:\/\n]+)"")),"""")"),"reallycheapfloors.com")</f>
        <v>reallycheapfloors.com</v>
      </c>
    </row>
    <row r="810" spans="1:2" ht="12.5">
      <c r="A810" s="3" t="s">
        <v>1066</v>
      </c>
      <c r="B810" s="4" t="str">
        <f ca="1">IFERROR(__xludf.DUMMYFUNCTION("IFERROR(ARRAYFORMULA(REGEXEXTRACT(A810,""^(?:https?:\/\/)?(?:[^@\n]+@)?(?:www\.)?([^:\/\n]+)"")),"""")"),"abcfinance.co.uk")</f>
        <v>abcfinance.co.uk</v>
      </c>
    </row>
    <row r="811" spans="1:2" ht="12.5">
      <c r="A811" s="3" t="s">
        <v>1067</v>
      </c>
      <c r="B811" s="4" t="str">
        <f ca="1">IFERROR(__xludf.DUMMYFUNCTION("IFERROR(ARRAYFORMULA(REGEXEXTRACT(A811,""^(?:https?:\/\/)?(?:[^@\n]+@)?(?:www\.)?([^:\/\n]+)"")),"""")"),"lifespankids.com.au")</f>
        <v>lifespankids.com.au</v>
      </c>
    </row>
    <row r="812" spans="1:2" ht="12.5">
      <c r="A812" s="3" t="s">
        <v>1068</v>
      </c>
      <c r="B812" s="4" t="str">
        <f ca="1">IFERROR(__xludf.DUMMYFUNCTION("IFERROR(ARRAYFORMULA(REGEXEXTRACT(A812,""^(?:https?:\/\/)?(?:[^@\n]+@)?(?:www\.)?([^:\/\n]+)"")),"""")"),"granitegaragefloors.com")</f>
        <v>granitegaragefloors.com</v>
      </c>
    </row>
    <row r="813" spans="1:2" ht="12.5">
      <c r="A813" s="3" t="s">
        <v>1069</v>
      </c>
      <c r="B813" s="4" t="str">
        <f ca="1">IFERROR(__xludf.DUMMYFUNCTION("IFERROR(ARRAYFORMULA(REGEXEXTRACT(A813,""^(?:https?:\/\/)?(?:[^@\n]+@)?(?:www\.)?([^:\/\n]+)"")),"""")"),"simplelighting.co.uk")</f>
        <v>simplelighting.co.uk</v>
      </c>
    </row>
    <row r="814" spans="1:2" ht="12.5">
      <c r="A814" s="3" t="s">
        <v>1070</v>
      </c>
      <c r="B814" s="4" t="str">
        <f ca="1">IFERROR(__xludf.DUMMYFUNCTION("IFERROR(ARRAYFORMULA(REGEXEXTRACT(A814,""^(?:https?:\/\/)?(?:[^@\n]+@)?(?:www\.)?([^:\/\n]+)"")),"""")"),"andrewvannyplumbing.com.au")</f>
        <v>andrewvannyplumbing.com.au</v>
      </c>
    </row>
    <row r="815" spans="1:2" ht="12.5">
      <c r="A815" s="3" t="s">
        <v>1071</v>
      </c>
      <c r="B815" s="4" t="str">
        <f ca="1">IFERROR(__xludf.DUMMYFUNCTION("IFERROR(ARRAYFORMULA(REGEXEXTRACT(A815,""^(?:https?:\/\/)?(?:[^@\n]+@)?(?:www\.)?([^:\/\n]+)"")),"""")"),"theworkproject.com")</f>
        <v>theworkproject.com</v>
      </c>
    </row>
    <row r="816" spans="1:2" ht="12.5">
      <c r="A816" s="3" t="s">
        <v>1072</v>
      </c>
      <c r="B816" s="4" t="str">
        <f ca="1">IFERROR(__xludf.DUMMYFUNCTION("IFERROR(ARRAYFORMULA(REGEXEXTRACT(A816,""^(?:https?:\/\/)?(?:[^@\n]+@)?(?:www\.)?([^:\/\n]+)"")),"""")"),"justcoglobal.com")</f>
        <v>justcoglobal.com</v>
      </c>
    </row>
    <row r="817" spans="1:2" ht="12.5">
      <c r="A817" s="3" t="s">
        <v>1073</v>
      </c>
      <c r="B817" s="4" t="str">
        <f ca="1">IFERROR(__xludf.DUMMYFUNCTION("IFERROR(ARRAYFORMULA(REGEXEXTRACT(A817,""^(?:https?:\/\/)?(?:[^@\n]+@)?(?:www\.)?([^:\/\n]+)"")),"""")"),"proficientpatios.com")</f>
        <v>proficientpatios.com</v>
      </c>
    </row>
    <row r="818" spans="1:2" ht="12.5">
      <c r="A818" s="3" t="s">
        <v>1074</v>
      </c>
      <c r="B818" s="4" t="str">
        <f ca="1">IFERROR(__xludf.DUMMYFUNCTION("IFERROR(ARRAYFORMULA(REGEXEXTRACT(A818,""^(?:https?:\/\/)?(?:[^@\n]+@)?(?:www\.)?([^:\/\n]+)"")),"""")"),"roadhaugs.com")</f>
        <v>roadhaugs.com</v>
      </c>
    </row>
    <row r="819" spans="1:2" ht="12.5">
      <c r="A819" s="3" t="s">
        <v>1075</v>
      </c>
      <c r="B819" s="4" t="str">
        <f ca="1">IFERROR(__xludf.DUMMYFUNCTION("IFERROR(ARRAYFORMULA(REGEXEXTRACT(A819,""^(?:https?:\/\/)?(?:[^@\n]+@)?(?:www\.)?([^:\/\n]+)"")),"""")"),"foxmoving.com")</f>
        <v>foxmoving.com</v>
      </c>
    </row>
    <row r="820" spans="1:2" ht="12.5">
      <c r="A820" s="3" t="s">
        <v>1076</v>
      </c>
      <c r="B820" s="4" t="str">
        <f ca="1">IFERROR(__xludf.DUMMYFUNCTION("IFERROR(ARRAYFORMULA(REGEXEXTRACT(A820,""^(?:https?:\/\/)?(?:[^@\n]+@)?(?:www\.)?([^:\/\n]+)"")),"""")"),"olympiamoving.com")</f>
        <v>olympiamoving.com</v>
      </c>
    </row>
    <row r="821" spans="1:2" ht="12.5">
      <c r="A821" s="3" t="s">
        <v>1077</v>
      </c>
      <c r="B821" s="4" t="str">
        <f ca="1">IFERROR(__xludf.DUMMYFUNCTION("IFERROR(ARRAYFORMULA(REGEXEXTRACT(A821,""^(?:https?:\/\/)?(?:[^@\n]+@)?(?:www\.)?([^:\/\n]+)"")),"""")"),"eastatlanticplumbing.net")</f>
        <v>eastatlanticplumbing.net</v>
      </c>
    </row>
    <row r="822" spans="1:2" ht="12.5">
      <c r="A822" s="3" t="s">
        <v>1078</v>
      </c>
      <c r="B822" s="4" t="str">
        <f ca="1">IFERROR(__xludf.DUMMYFUNCTION("IFERROR(ARRAYFORMULA(REGEXEXTRACT(A822,""^(?:https?:\/\/)?(?:[^@\n]+@)?(?:www\.)?([^:\/\n]+)"")),"""")"),"kvconstruction.net")</f>
        <v>kvconstruction.net</v>
      </c>
    </row>
    <row r="823" spans="1:2" ht="12.5">
      <c r="A823" s="3" t="s">
        <v>1079</v>
      </c>
      <c r="B823" s="4" t="str">
        <f ca="1">IFERROR(__xludf.DUMMYFUNCTION("IFERROR(ARRAYFORMULA(REGEXEXTRACT(A823,""^(?:https?:\/\/)?(?:[^@\n]+@)?(?:www\.)?([^:\/\n]+)"")),"""")"),"pssremovals.com")</f>
        <v>pssremovals.com</v>
      </c>
    </row>
    <row r="824" spans="1:2" ht="12.5">
      <c r="A824" s="3" t="s">
        <v>1080</v>
      </c>
      <c r="B824" s="4" t="str">
        <f ca="1">IFERROR(__xludf.DUMMYFUNCTION("IFERROR(ARRAYFORMULA(REGEXEXTRACT(A824,""^(?:https?:\/\/)?(?:[^@\n]+@)?(?:www\.)?([^:\/\n]+)"")),"""")"),"audiovisualnation.com")</f>
        <v>audiovisualnation.com</v>
      </c>
    </row>
    <row r="825" spans="1:2" ht="12.5">
      <c r="A825" s="3" t="s">
        <v>1081</v>
      </c>
      <c r="B825" s="4" t="str">
        <f ca="1">IFERROR(__xludf.DUMMYFUNCTION("IFERROR(ARRAYFORMULA(REGEXEXTRACT(A825,""^(?:https?:\/\/)?(?:[^@\n]+@)?(?:www\.)?([^:\/\n]+)"")),"""")"),"securespace.com")</f>
        <v>securespace.com</v>
      </c>
    </row>
    <row r="826" spans="1:2" ht="12.5">
      <c r="A826" s="3" t="s">
        <v>1082</v>
      </c>
      <c r="B826" s="4" t="str">
        <f ca="1">IFERROR(__xludf.DUMMYFUNCTION("IFERROR(ARRAYFORMULA(REGEXEXTRACT(A826,""^(?:https?:\/\/)?(?:[^@\n]+@)?(?:www\.)?([^:\/\n]+)"")),"""")"),"hbno.com")</f>
        <v>hbno.com</v>
      </c>
    </row>
    <row r="827" spans="1:2" ht="12.5">
      <c r="A827" s="3" t="s">
        <v>1083</v>
      </c>
      <c r="B827" s="4" t="str">
        <f ca="1">IFERROR(__xludf.DUMMYFUNCTION("IFERROR(ARRAYFORMULA(REGEXEXTRACT(A827,""^(?:https?:\/\/)?(?:[^@\n]+@)?(?:www\.)?([^:\/\n]+)"")),"""")"),"southeastrigging.com")</f>
        <v>southeastrigging.com</v>
      </c>
    </row>
    <row r="828" spans="1:2" ht="12.5">
      <c r="A828" s="3" t="s">
        <v>1084</v>
      </c>
      <c r="B828" s="4" t="str">
        <f ca="1">IFERROR(__xludf.DUMMYFUNCTION("IFERROR(ARRAYFORMULA(REGEXEXTRACT(A828,""^(?:https?:\/\/)?(?:[^@\n]+@)?(?:www\.)?([^:\/\n]+)"")),"""")"),"notrianglestudio.com")</f>
        <v>notrianglestudio.com</v>
      </c>
    </row>
    <row r="829" spans="1:2" ht="12.5">
      <c r="A829" s="3" t="s">
        <v>1085</v>
      </c>
      <c r="B829" s="4" t="str">
        <f ca="1">IFERROR(__xludf.DUMMYFUNCTION("IFERROR(ARRAYFORMULA(REGEXEXTRACT(A829,""^(?:https?:\/\/)?(?:[^@\n]+@)?(?:www\.)?([^:\/\n]+)"")),"""")"),"planeks.net")</f>
        <v>planeks.net</v>
      </c>
    </row>
    <row r="830" spans="1:2" ht="12.5">
      <c r="A830" s="3" t="s">
        <v>1086</v>
      </c>
      <c r="B830" s="4" t="str">
        <f ca="1">IFERROR(__xludf.DUMMYFUNCTION("IFERROR(ARRAYFORMULA(REGEXEXTRACT(A830,""^(?:https?:\/\/)?(?:[^@\n]+@)?(?:www\.)?([^:\/\n]+)"")),"""")"),"machines4u.com.au")</f>
        <v>machines4u.com.au</v>
      </c>
    </row>
    <row r="831" spans="1:2" ht="12.5">
      <c r="A831" s="3" t="s">
        <v>1087</v>
      </c>
      <c r="B831" s="4" t="str">
        <f ca="1">IFERROR(__xludf.DUMMYFUNCTION("IFERROR(ARRAYFORMULA(REGEXEXTRACT(A831,""^(?:https?:\/\/)?(?:[^@\n]+@)?(?:www\.)?([^:\/\n]+)"")),"""")"),"oblist.com")</f>
        <v>oblist.com</v>
      </c>
    </row>
    <row r="832" spans="1:2" ht="12.5">
      <c r="A832" s="3" t="s">
        <v>1088</v>
      </c>
      <c r="B832" s="4" t="str">
        <f ca="1">IFERROR(__xludf.DUMMYFUNCTION("IFERROR(ARRAYFORMULA(REGEXEXTRACT(A832,""^(?:https?:\/\/)?(?:[^@\n]+@)?(?:www\.)?([^:\/\n]+)"")),"""")"),"impactsigns.com")</f>
        <v>impactsigns.com</v>
      </c>
    </row>
    <row r="833" spans="1:2" ht="12.5">
      <c r="A833" s="3" t="s">
        <v>1089</v>
      </c>
      <c r="B833" s="4" t="str">
        <f ca="1">IFERROR(__xludf.DUMMYFUNCTION("IFERROR(ARRAYFORMULA(REGEXEXTRACT(A833,""^(?:https?:\/\/)?(?:[^@\n]+@)?(?:www\.)?([^:\/\n]+)"")),"""")"),"sedarglobal.com")</f>
        <v>sedarglobal.com</v>
      </c>
    </row>
    <row r="834" spans="1:2" ht="12.5">
      <c r="A834" s="3" t="s">
        <v>1090</v>
      </c>
      <c r="B834" s="4" t="str">
        <f ca="1">IFERROR(__xludf.DUMMYFUNCTION("IFERROR(ARRAYFORMULA(REGEXEXTRACT(A834,""^(?:https?:\/\/)?(?:[^@\n]+@)?(?:www\.)?([^:\/\n]+)"")),"""")"),"unmask.com")</f>
        <v>unmask.com</v>
      </c>
    </row>
    <row r="835" spans="1:2" ht="12.5">
      <c r="A835" s="3" t="s">
        <v>1091</v>
      </c>
      <c r="B835" s="4" t="str">
        <f ca="1">IFERROR(__xludf.DUMMYFUNCTION("IFERROR(ARRAYFORMULA(REGEXEXTRACT(A835,""^(?:https?:\/\/)?(?:[^@\n]+@)?(?:www\.)?([^:\/\n]+)"")),"""")"),"supanet.com")</f>
        <v>supanet.com</v>
      </c>
    </row>
    <row r="836" spans="1:2" ht="12.5">
      <c r="A836" s="3" t="s">
        <v>1092</v>
      </c>
      <c r="B836" s="4" t="str">
        <f ca="1">IFERROR(__xludf.DUMMYFUNCTION("IFERROR(ARRAYFORMULA(REGEXEXTRACT(A836,""^(?:https?:\/\/)?(?:[^@\n]+@)?(?:www\.)?([^:\/\n]+)"")),"""")"),"neonsigns.com")</f>
        <v>neonsigns.com</v>
      </c>
    </row>
    <row r="837" spans="1:2" ht="12.5">
      <c r="A837" s="3" t="s">
        <v>1093</v>
      </c>
      <c r="B837" s="4" t="str">
        <f ca="1">IFERROR(__xludf.DUMMYFUNCTION("IFERROR(ARRAYFORMULA(REGEXEXTRACT(A837,""^(?:https?:\/\/)?(?:[^@\n]+@)?(?:www\.)?([^:\/\n]+)"")),"""")"),"mightydogroofing.com")</f>
        <v>mightydogroofing.com</v>
      </c>
    </row>
    <row r="838" spans="1:2" ht="12.5">
      <c r="A838" s="3" t="s">
        <v>1094</v>
      </c>
      <c r="B838" s="4" t="str">
        <f ca="1">IFERROR(__xludf.DUMMYFUNCTION("IFERROR(ARRAYFORMULA(REGEXEXTRACT(A838,""^(?:https?:\/\/)?(?:[^@\n]+@)?(?:www\.)?([^:\/\n]+)"")),"""")"),"groovyhues.com")</f>
        <v>groovyhues.com</v>
      </c>
    </row>
    <row r="839" spans="1:2" ht="12.5">
      <c r="A839" s="3" t="s">
        <v>1095</v>
      </c>
      <c r="B839" s="4" t="str">
        <f ca="1">IFERROR(__xludf.DUMMYFUNCTION("IFERROR(ARRAYFORMULA(REGEXEXTRACT(A839,""^(?:https?:\/\/)?(?:[^@\n]+@)?(?:www\.)?([^:\/\n]+)"")),"""")"),"heroeslawncare.com")</f>
        <v>heroeslawncare.com</v>
      </c>
    </row>
    <row r="840" spans="1:2" ht="12.5">
      <c r="A840" s="3" t="s">
        <v>1096</v>
      </c>
      <c r="B840" s="4" t="str">
        <f ca="1">IFERROR(__xludf.DUMMYFUNCTION("IFERROR(ARRAYFORMULA(REGEXEXTRACT(A840,""^(?:https?:\/\/)?(?:[^@\n]+@)?(?:www\.)?([^:\/\n]+)"")),"""")"),"bumblebeeblinds.com")</f>
        <v>bumblebeeblinds.com</v>
      </c>
    </row>
    <row r="841" spans="1:2" ht="12.5">
      <c r="A841" s="3" t="s">
        <v>1097</v>
      </c>
      <c r="B841" s="4" t="str">
        <f ca="1">IFERROR(__xludf.DUMMYFUNCTION("IFERROR(ARRAYFORMULA(REGEXEXTRACT(A841,""^(?:https?:\/\/)?(?:[^@\n]+@)?(?:www\.)?([^:\/\n]+)"")),"""")"),"ifoam.com")</f>
        <v>ifoam.com</v>
      </c>
    </row>
    <row r="842" spans="1:2" ht="12.5">
      <c r="A842" s="3" t="s">
        <v>1098</v>
      </c>
      <c r="B842" s="4" t="str">
        <f ca="1">IFERROR(__xludf.DUMMYFUNCTION("IFERROR(ARRAYFORMULA(REGEXEXTRACT(A842,""^(?:https?:\/\/)?(?:[^@\n]+@)?(?:www\.)?([^:\/\n]+)"")),"""")"),"westontable.com")</f>
        <v>westontable.com</v>
      </c>
    </row>
    <row r="843" spans="1:2" ht="12.5">
      <c r="A843" s="3" t="s">
        <v>1099</v>
      </c>
      <c r="B843" s="4" t="str">
        <f ca="1">IFERROR(__xludf.DUMMYFUNCTION("IFERROR(ARRAYFORMULA(REGEXEXTRACT(A843,""^(?:https?:\/\/)?(?:[^@\n]+@)?(?:www\.)?([^:\/\n]+)"")),"""")"),"zonlihome.com")</f>
        <v>zonlihome.com</v>
      </c>
    </row>
    <row r="844" spans="1:2" ht="12.5">
      <c r="A844" s="3" t="s">
        <v>1100</v>
      </c>
      <c r="B844" s="4" t="str">
        <f ca="1">IFERROR(__xludf.DUMMYFUNCTION("IFERROR(ARRAYFORMULA(REGEXEXTRACT(A844,""^(?:https?:\/\/)?(?:[^@\n]+@)?(?:www\.)?([^:\/\n]+)"")),"""")"),"thearchiology.com")</f>
        <v>thearchiology.com</v>
      </c>
    </row>
    <row r="845" spans="1:2" ht="12.5">
      <c r="A845" s="3" t="s">
        <v>1101</v>
      </c>
      <c r="B845" s="4" t="str">
        <f ca="1">IFERROR(__xludf.DUMMYFUNCTION("IFERROR(ARRAYFORMULA(REGEXEXTRACT(A845,""^(?:https?:\/\/)?(?:[^@\n]+@)?(?:www\.)?([^:\/\n]+)"")),"""")"),"ransfordpc.com")</f>
        <v>ransfordpc.com</v>
      </c>
    </row>
    <row r="846" spans="1:2" ht="12.5">
      <c r="A846" s="3" t="s">
        <v>1102</v>
      </c>
      <c r="B846" s="4" t="str">
        <f ca="1">IFERROR(__xludf.DUMMYFUNCTION("IFERROR(ARRAYFORMULA(REGEXEXTRACT(A846,""^(?:https?:\/\/)?(?:[^@\n]+@)?(?:www\.)?([^:\/\n]+)"")),"""")"),"youandmepps.com.au")</f>
        <v>youandmepps.com.au</v>
      </c>
    </row>
    <row r="847" spans="1:2" ht="12.5">
      <c r="A847" s="3" t="s">
        <v>1103</v>
      </c>
      <c r="B847" s="4" t="str">
        <f ca="1">IFERROR(__xludf.DUMMYFUNCTION("IFERROR(ARRAYFORMULA(REGEXEXTRACT(A847,""^(?:https?:\/\/)?(?:[^@\n]+@)?(?:www\.)?([^:\/\n]+)"")),"""")"),"toplineroofingflorida.com")</f>
        <v>toplineroofingflorida.com</v>
      </c>
    </row>
    <row r="848" spans="1:2" ht="12.5">
      <c r="A848" s="3" t="s">
        <v>1104</v>
      </c>
      <c r="B848" s="4" t="str">
        <f ca="1">IFERROR(__xludf.DUMMYFUNCTION("IFERROR(ARRAYFORMULA(REGEXEXTRACT(A848,""^(?:https?:\/\/)?(?:[^@\n]+@)?(?:www\.)?([^:\/\n]+)"")),"""")"),"fabricuk.com")</f>
        <v>fabricuk.com</v>
      </c>
    </row>
    <row r="849" spans="1:2" ht="12.5">
      <c r="A849" s="3" t="s">
        <v>1105</v>
      </c>
      <c r="B849" s="4" t="str">
        <f ca="1">IFERROR(__xludf.DUMMYFUNCTION("IFERROR(ARRAYFORMULA(REGEXEXTRACT(A849,""^(?:https?:\/\/)?(?:[^@\n]+@)?(?:www\.)?([^:\/\n]+)"")),"""")"),"fleecefun.com")</f>
        <v>fleecefun.com</v>
      </c>
    </row>
    <row r="850" spans="1:2" ht="12.5">
      <c r="A850" s="3" t="s">
        <v>1106</v>
      </c>
      <c r="B850" s="4" t="str">
        <f ca="1">IFERROR(__xludf.DUMMYFUNCTION("IFERROR(ARRAYFORMULA(REGEXEXTRACT(A850,""^(?:https?:\/\/)?(?:[^@\n]+@)?(?:www\.)?([^:\/\n]+)"")),"""")"),"mightydogroofing.com")</f>
        <v>mightydogroofing.com</v>
      </c>
    </row>
    <row r="851" spans="1:2" ht="12.5">
      <c r="A851" s="3" t="s">
        <v>1107</v>
      </c>
      <c r="B851" s="4" t="str">
        <f ca="1">IFERROR(__xludf.DUMMYFUNCTION("IFERROR(ARRAYFORMULA(REGEXEXTRACT(A851,""^(?:https?:\/\/)?(?:[^@\n]+@)?(?:www\.)?([^:\/\n]+)"")),"""")"),"affordable-dissertation.co.uk")</f>
        <v>affordable-dissertation.co.uk</v>
      </c>
    </row>
    <row r="852" spans="1:2" ht="12.5">
      <c r="A852" s="3" t="s">
        <v>1108</v>
      </c>
      <c r="B852" s="4" t="str">
        <f ca="1">IFERROR(__xludf.DUMMYFUNCTION("IFERROR(ARRAYFORMULA(REGEXEXTRACT(A852,""^(?:https?:\/\/)?(?:[^@\n]+@)?(?:www\.)?([^:\/\n]+)"")),"""")"),"theacademicpapers.co.uk")</f>
        <v>theacademicpapers.co.uk</v>
      </c>
    </row>
    <row r="853" spans="1:2" ht="12.5">
      <c r="A853" s="3" t="s">
        <v>1109</v>
      </c>
      <c r="B853" s="4" t="str">
        <f ca="1">IFERROR(__xludf.DUMMYFUNCTION("IFERROR(ARRAYFORMULA(REGEXEXTRACT(A853,""^(?:https?:\/\/)?(?:[^@\n]+@)?(?:www\.)?([^:\/\n]+)"")),"""")"),"kkbuysindyhomes.com")</f>
        <v>kkbuysindyhomes.com</v>
      </c>
    </row>
    <row r="854" spans="1:2" ht="12.5">
      <c r="A854" s="3" t="s">
        <v>1110</v>
      </c>
      <c r="B854" s="4" t="str">
        <f ca="1">IFERROR(__xludf.DUMMYFUNCTION("IFERROR(ARRAYFORMULA(REGEXEXTRACT(A854,""^(?:https?:\/\/)?(?:[^@\n]+@)?(?:www\.)?([^:\/\n]+)"")),"""")"),"trevorfulmerdesign.com")</f>
        <v>trevorfulmerdesign.com</v>
      </c>
    </row>
    <row r="855" spans="1:2" ht="12.5">
      <c r="A855" s="3" t="s">
        <v>1111</v>
      </c>
      <c r="B855" s="4" t="str">
        <f ca="1">IFERROR(__xludf.DUMMYFUNCTION("IFERROR(ARRAYFORMULA(REGEXEXTRACT(A855,""^(?:https?:\/\/)?(?:[^@\n]+@)?(?:www\.)?([^:\/\n]+)"")),"""")"),"giarenovations.com.au")</f>
        <v>giarenovations.com.au</v>
      </c>
    </row>
    <row r="856" spans="1:2" ht="12.5">
      <c r="A856" s="3" t="s">
        <v>1112</v>
      </c>
      <c r="B856" s="4" t="str">
        <f ca="1">IFERROR(__xludf.DUMMYFUNCTION("IFERROR(ARRAYFORMULA(REGEXEXTRACT(A856,""^(?:https?:\/\/)?(?:[^@\n]+@)?(?:www\.)?([^:\/\n]+)"")),"""")"),"fabricuk.com")</f>
        <v>fabricuk.com</v>
      </c>
    </row>
    <row r="857" spans="1:2" ht="12.5">
      <c r="A857" s="3" t="s">
        <v>1113</v>
      </c>
      <c r="B857" s="4" t="str">
        <f ca="1">IFERROR(__xludf.DUMMYFUNCTION("IFERROR(ARRAYFORMULA(REGEXEXTRACT(A857,""^(?:https?:\/\/)?(?:[^@\n]+@)?(?:www\.)?([^:\/\n]+)"")),"""")"),"sipthestyle.com")</f>
        <v>sipthestyle.com</v>
      </c>
    </row>
    <row r="858" spans="1:2" ht="12.5">
      <c r="A858" s="3" t="s">
        <v>1114</v>
      </c>
      <c r="B858" s="4" t="str">
        <f ca="1">IFERROR(__xludf.DUMMYFUNCTION("IFERROR(ARRAYFORMULA(REGEXEXTRACT(A858,""^(?:https?:\/\/)?(?:[^@\n]+@)?(?:www\.)?([^:\/\n]+)"")),"""")"),"thewhitewindowcurtains.co.uk")</f>
        <v>thewhitewindowcurtains.co.uk</v>
      </c>
    </row>
    <row r="859" spans="1:2" ht="12.5">
      <c r="A859" s="3" t="s">
        <v>1115</v>
      </c>
      <c r="B859" s="4" t="str">
        <f ca="1">IFERROR(__xludf.DUMMYFUNCTION("IFERROR(ARRAYFORMULA(REGEXEXTRACT(A859,""^(?:https?:\/\/)?(?:[^@\n]+@)?(?:www\.)?([^:\/\n]+)"")),"""")"),"rapidhomedirect.com")</f>
        <v>rapidhomedirect.com</v>
      </c>
    </row>
    <row r="860" spans="1:2" ht="12.5">
      <c r="A860" s="3" t="s">
        <v>1116</v>
      </c>
      <c r="B860" s="4" t="str">
        <f ca="1">IFERROR(__xludf.DUMMYFUNCTION("IFERROR(ARRAYFORMULA(REGEXEXTRACT(A860,""^(?:https?:\/\/)?(?:[^@\n]+@)?(?:www\.)?([^:\/\n]+)"")),"""")"),"rmfp.com")</f>
        <v>rmfp.com</v>
      </c>
    </row>
    <row r="861" spans="1:2" ht="12.5">
      <c r="A861" s="3" t="s">
        <v>1117</v>
      </c>
      <c r="B861" s="4" t="str">
        <f ca="1">IFERROR(__xludf.DUMMYFUNCTION("IFERROR(ARRAYFORMULA(REGEXEXTRACT(A861,""^(?:https?:\/\/)?(?:[^@\n]+@)?(?:www\.)?([^:\/\n]+)"")),"""")"),"decorhint.com")</f>
        <v>decorhint.com</v>
      </c>
    </row>
    <row r="862" spans="1:2" ht="12.5">
      <c r="A862" s="3" t="s">
        <v>1118</v>
      </c>
      <c r="B862" s="4" t="str">
        <f ca="1">IFERROR(__xludf.DUMMYFUNCTION("IFERROR(ARRAYFORMULA(REGEXEXTRACT(A862,""^(?:https?:\/\/)?(?:[^@\n]+@)?(?:www\.)?([^:\/\n]+)"")),"""")"),"mynd.co")</f>
        <v>mynd.co</v>
      </c>
    </row>
    <row r="863" spans="1:2" ht="12.5">
      <c r="A863" s="3" t="s">
        <v>1119</v>
      </c>
      <c r="B863" s="4" t="str">
        <f ca="1">IFERROR(__xludf.DUMMYFUNCTION("IFERROR(ARRAYFORMULA(REGEXEXTRACT(A863,""^(?:https?:\/\/)?(?:[^@\n]+@)?(?:www\.)?([^:\/\n]+)"")),"""")"),"thecuriouslycreative.com")</f>
        <v>thecuriouslycreative.com</v>
      </c>
    </row>
    <row r="864" spans="1:2" ht="12.5">
      <c r="A864" s="3" t="s">
        <v>1120</v>
      </c>
      <c r="B864" s="4" t="str">
        <f ca="1">IFERROR(__xludf.DUMMYFUNCTION("IFERROR(ARRAYFORMULA(REGEXEXTRACT(A864,""^(?:https?:\/\/)?(?:[^@\n]+@)?(?:www\.)?([^:\/\n]+)"")),"""")"),"ark7.com")</f>
        <v>ark7.com</v>
      </c>
    </row>
    <row r="865" spans="1:2" ht="12.5">
      <c r="A865" s="3" t="s">
        <v>1121</v>
      </c>
      <c r="B865" s="4" t="str">
        <f ca="1">IFERROR(__xludf.DUMMYFUNCTION("IFERROR(ARRAYFORMULA(REGEXEXTRACT(A865,""^(?:https?:\/\/)?(?:[^@\n]+@)?(?:www\.)?([^:\/\n]+)"")),"""")"),"steadily.com")</f>
        <v>steadily.com</v>
      </c>
    </row>
    <row r="866" spans="1:2" ht="12.5">
      <c r="A866" s="3" t="s">
        <v>1122</v>
      </c>
      <c r="B866" s="4" t="str">
        <f ca="1">IFERROR(__xludf.DUMMYFUNCTION("IFERROR(ARRAYFORMULA(REGEXEXTRACT(A866,""^(?:https?:\/\/)?(?:[^@\n]+@)?(?:www\.)?([^:\/\n]+)"")),"""")"),"scubby.com")</f>
        <v>scubby.com</v>
      </c>
    </row>
    <row r="867" spans="1:2" ht="12.5">
      <c r="A867" s="3" t="s">
        <v>1123</v>
      </c>
      <c r="B867" s="4" t="str">
        <f ca="1">IFERROR(__xludf.DUMMYFUNCTION("IFERROR(ARRAYFORMULA(REGEXEXTRACT(A867,""^(?:https?:\/\/)?(?:[^@\n]+@)?(?:www\.)?([^:\/\n]+)"")),"""")"),"lemongrovelane.com")</f>
        <v>lemongrovelane.com</v>
      </c>
    </row>
    <row r="868" spans="1:2" ht="12.5">
      <c r="A868" s="3" t="s">
        <v>1124</v>
      </c>
      <c r="B868" s="4" t="str">
        <f ca="1">IFERROR(__xludf.DUMMYFUNCTION("IFERROR(ARRAYFORMULA(REGEXEXTRACT(A868,""^(?:https?:\/\/)?(?:[^@\n]+@)?(?:www\.)?([^:\/\n]+)"")),"""")"),"homejab.com")</f>
        <v>homejab.com</v>
      </c>
    </row>
    <row r="869" spans="1:2" ht="12.5">
      <c r="A869" s="3" t="s">
        <v>1125</v>
      </c>
      <c r="B869" s="4" t="str">
        <f ca="1">IFERROR(__xludf.DUMMYFUNCTION("IFERROR(ARRAYFORMULA(REGEXEXTRACT(A869,""^(?:https?:\/\/)?(?:[^@\n]+@)?(?:www\.)?([^:\/\n]+)"")),"""")"),"stlouismaidservice.com")</f>
        <v>stlouismaidservice.com</v>
      </c>
    </row>
    <row r="870" spans="1:2" ht="12.5">
      <c r="A870" s="3" t="s">
        <v>1126</v>
      </c>
      <c r="B870" s="4" t="str">
        <f ca="1">IFERROR(__xludf.DUMMYFUNCTION("IFERROR(ARRAYFORMULA(REGEXEXTRACT(A870,""^(?:https?:\/\/)?(?:[^@\n]+@)?(?:www\.)?([^:\/\n]+)"")),"""")"),"keystonecustomdeckstn.com")</f>
        <v>keystonecustomdeckstn.com</v>
      </c>
    </row>
    <row r="871" spans="1:2" ht="12.5">
      <c r="A871" s="3" t="s">
        <v>1127</v>
      </c>
      <c r="B871" s="4" t="str">
        <f ca="1">IFERROR(__xludf.DUMMYFUNCTION("IFERROR(ARRAYFORMULA(REGEXEXTRACT(A871,""^(?:https?:\/\/)?(?:[^@\n]+@)?(?:www\.)?([^:\/\n]+)"")),"""")"),"lancasterlogcabins.com")</f>
        <v>lancasterlogcabins.com</v>
      </c>
    </row>
    <row r="872" spans="1:2" ht="12.5">
      <c r="A872" s="3" t="s">
        <v>1128</v>
      </c>
      <c r="B872" s="4" t="str">
        <f ca="1">IFERROR(__xludf.DUMMYFUNCTION("IFERROR(ARRAYFORMULA(REGEXEXTRACT(A872,""^(?:https?:\/\/)?(?:[^@\n]+@)?(?:www\.)?([^:\/\n]+)"")),"""")"),"griffinfunding.com")</f>
        <v>griffinfunding.com</v>
      </c>
    </row>
    <row r="873" spans="1:2" ht="12.5">
      <c r="A873" s="3" t="s">
        <v>1129</v>
      </c>
      <c r="B873" s="4" t="str">
        <f ca="1">IFERROR(__xludf.DUMMYFUNCTION("IFERROR(ARRAYFORMULA(REGEXEXTRACT(A873,""^(?:https?:\/\/)?(?:[^@\n]+@)?(?:www\.)?([^:\/\n]+)"")),"""")"),"beca.com")</f>
        <v>beca.com</v>
      </c>
    </row>
    <row r="874" spans="1:2" ht="12.5">
      <c r="A874" s="3" t="s">
        <v>1130</v>
      </c>
      <c r="B874" s="4" t="str">
        <f ca="1">IFERROR(__xludf.DUMMYFUNCTION("IFERROR(ARRAYFORMULA(REGEXEXTRACT(A874,""^(?:https?:\/\/)?(?:[^@\n]+@)?(?:www\.)?([^:\/\n]+)"")),"""")"),"crownroofing.com")</f>
        <v>crownroofing.com</v>
      </c>
    </row>
    <row r="875" spans="1:2" ht="12.5">
      <c r="A875" s="3" t="s">
        <v>1131</v>
      </c>
      <c r="B875" s="4" t="str">
        <f ca="1">IFERROR(__xludf.DUMMYFUNCTION("IFERROR(ARRAYFORMULA(REGEXEXTRACT(A875,""^(?:https?:\/\/)?(?:[^@\n]+@)?(?:www\.)?([^:\/\n]+)"")),"""")"),"quickpickmovers.com.au")</f>
        <v>quickpickmovers.com.au</v>
      </c>
    </row>
    <row r="876" spans="1:2" ht="12.5">
      <c r="A876" s="3" t="s">
        <v>1132</v>
      </c>
      <c r="B876" s="4" t="str">
        <f ca="1">IFERROR(__xludf.DUMMYFUNCTION("IFERROR(ARRAYFORMULA(REGEXEXTRACT(A876,""^(?:https?:\/\/)?(?:[^@\n]+@)?(?:www\.)?([^:\/\n]+)"")),"""")"),"insofast.com")</f>
        <v>insofast.com</v>
      </c>
    </row>
    <row r="877" spans="1:2" ht="12.5">
      <c r="A877" s="3" t="s">
        <v>1133</v>
      </c>
      <c r="B877" s="4" t="str">
        <f ca="1">IFERROR(__xludf.DUMMYFUNCTION("IFERROR(ARRAYFORMULA(REGEXEXTRACT(A877,""^(?:https?:\/\/)?(?:[^@\n]+@)?(?:www\.)?([^:\/\n]+)"")),"""")"),"madisoncountyhousebuyers.com")</f>
        <v>madisoncountyhousebuyers.com</v>
      </c>
    </row>
    <row r="878" spans="1:2" ht="12.5">
      <c r="A878" s="3" t="s">
        <v>1134</v>
      </c>
      <c r="B878" s="4" t="str">
        <f ca="1">IFERROR(__xludf.DUMMYFUNCTION("IFERROR(ARRAYFORMULA(REGEXEXTRACT(A878,""^(?:https?:\/\/)?(?:[^@\n]+@)?(?:www\.)?([^:\/\n]+)"")),"""")"),"garagedoorrepairsindy.com")</f>
        <v>garagedoorrepairsindy.com</v>
      </c>
    </row>
    <row r="879" spans="1:2" ht="12.5">
      <c r="A879" s="3" t="s">
        <v>1135</v>
      </c>
      <c r="B879" s="4" t="str">
        <f ca="1">IFERROR(__xludf.DUMMYFUNCTION("IFERROR(ARRAYFORMULA(REGEXEXTRACT(A879,""^(?:https?:\/\/)?(?:[^@\n]+@)?(?:www\.)?([^:\/\n]+)"")),"""")"),"realnyproperties.com")</f>
        <v>realnyproperties.com</v>
      </c>
    </row>
    <row r="880" spans="1:2" ht="12.5">
      <c r="A880" s="3" t="s">
        <v>1136</v>
      </c>
      <c r="B880" s="4" t="str">
        <f ca="1">IFERROR(__xludf.DUMMYFUNCTION("IFERROR(ARRAYFORMULA(REGEXEXTRACT(A880,""^(?:https?:\/\/)?(?:[^@\n]+@)?(?:www\.)?([^:\/\n]+)"")),"""")"),"pauldavis.com")</f>
        <v>pauldavis.com</v>
      </c>
    </row>
    <row r="881" spans="1:2" ht="12.5">
      <c r="A881" s="3" t="s">
        <v>1137</v>
      </c>
      <c r="B881" s="4" t="str">
        <f ca="1">IFERROR(__xludf.DUMMYFUNCTION("IFERROR(ARRAYFORMULA(REGEXEXTRACT(A881,""^(?:https?:\/\/)?(?:[^@\n]+@)?(?:www\.)?([^:\/\n]+)"")),"""")"),"mojogaragedoors.com")</f>
        <v>mojogaragedoors.com</v>
      </c>
    </row>
    <row r="882" spans="1:2" ht="12.5">
      <c r="A882" s="3" t="s">
        <v>1138</v>
      </c>
      <c r="B882" s="4" t="str">
        <f ca="1">IFERROR(__xludf.DUMMYFUNCTION("IFERROR(ARRAYFORMULA(REGEXEXTRACT(A882,""^(?:https?:\/\/)?(?:[^@\n]+@)?(?:www\.)?([^:\/\n]+)"")),"""")"),"trentonroofing.com")</f>
        <v>trentonroofing.com</v>
      </c>
    </row>
    <row r="883" spans="1:2" ht="12.5">
      <c r="A883" s="3" t="s">
        <v>1139</v>
      </c>
      <c r="B883" s="4" t="str">
        <f ca="1">IFERROR(__xludf.DUMMYFUNCTION("IFERROR(ARRAYFORMULA(REGEXEXTRACT(A883,""^(?:https?:\/\/)?(?:[^@\n]+@)?(?:www\.)?([^:\/\n]+)"")),"""")"),"thegreenfortune.com")</f>
        <v>thegreenfortune.com</v>
      </c>
    </row>
    <row r="884" spans="1:2" ht="12.5">
      <c r="A884" s="3" t="s">
        <v>1140</v>
      </c>
      <c r="B884" s="4" t="str">
        <f ca="1">IFERROR(__xludf.DUMMYFUNCTION("IFERROR(ARRAYFORMULA(REGEXEXTRACT(A884,""^(?:https?:\/\/)?(?:[^@\n]+@)?(?:www\.)?([^:\/\n]+)"")),"""")"),"morrisjenkins.com")</f>
        <v>morrisjenkins.com</v>
      </c>
    </row>
    <row r="885" spans="1:2" ht="12.5">
      <c r="A885" s="3" t="s">
        <v>1141</v>
      </c>
      <c r="B885" s="4" t="str">
        <f ca="1">IFERROR(__xludf.DUMMYFUNCTION("IFERROR(ARRAYFORMULA(REGEXEXTRACT(A885,""^(?:https?:\/\/)?(?:[^@\n]+@)?(?:www\.)?([^:\/\n]+)"")),"""")"),"tylerestimating.com")</f>
        <v>tylerestimating.com</v>
      </c>
    </row>
    <row r="886" spans="1:2" ht="12.5">
      <c r="A886" s="3" t="s">
        <v>1142</v>
      </c>
      <c r="B886" s="4" t="str">
        <f ca="1">IFERROR(__xludf.DUMMYFUNCTION("IFERROR(ARRAYFORMULA(REGEXEXTRACT(A886,""^(?:https?:\/\/)?(?:[^@\n]+@)?(?:www\.)?([^:\/\n]+)"")),"""")"),"appleroof.com")</f>
        <v>appleroof.com</v>
      </c>
    </row>
    <row r="887" spans="1:2" ht="12.5">
      <c r="A887" s="3" t="s">
        <v>1143</v>
      </c>
      <c r="B887" s="4" t="str">
        <f ca="1">IFERROR(__xludf.DUMMYFUNCTION("IFERROR(ARRAYFORMULA(REGEXEXTRACT(A887,""^(?:https?:\/\/)?(?:[^@\n]+@)?(?:www\.)?([^:\/\n]+)"")),"""")"),"unitedairtemp.com")</f>
        <v>unitedairtemp.com</v>
      </c>
    </row>
    <row r="888" spans="1:2" ht="12.5">
      <c r="A888" s="3" t="s">
        <v>1144</v>
      </c>
      <c r="B888" s="4" t="str">
        <f ca="1">IFERROR(__xludf.DUMMYFUNCTION("IFERROR(ARRAYFORMULA(REGEXEXTRACT(A888,""^(?:https?:\/\/)?(?:[^@\n]+@)?(?:www\.)?([^:\/\n]+)"")),"""")"),"lbcmortgage.com")</f>
        <v>lbcmortgage.com</v>
      </c>
    </row>
    <row r="889" spans="1:2" ht="12.5">
      <c r="A889" s="3" t="s">
        <v>1145</v>
      </c>
      <c r="B889" s="4" t="str">
        <f ca="1">IFERROR(__xludf.DUMMYFUNCTION("IFERROR(ARRAYFORMULA(REGEXEXTRACT(A889,""^(?:https?:\/\/)?(?:[^@\n]+@)?(?:www\.)?([^:\/\n]+)"")),"""")"),"bizcover.com.au")</f>
        <v>bizcover.com.au</v>
      </c>
    </row>
    <row r="890" spans="1:2" ht="12.5">
      <c r="A890" s="3" t="s">
        <v>1146</v>
      </c>
      <c r="B890" s="4" t="str">
        <f ca="1">IFERROR(__xludf.DUMMYFUNCTION("IFERROR(ARRAYFORMULA(REGEXEXTRACT(A890,""^(?:https?:\/\/)?(?:[^@\n]+@)?(?:www\.)?([^:\/\n]+)"")),"""")"),"theladcollective.com")</f>
        <v>theladcollective.com</v>
      </c>
    </row>
    <row r="891" spans="1:2" ht="12.5">
      <c r="A891" s="3" t="s">
        <v>1147</v>
      </c>
      <c r="B891" s="4" t="str">
        <f ca="1">IFERROR(__xludf.DUMMYFUNCTION("IFERROR(ARRAYFORMULA(REGEXEXTRACT(A891,""^(?:https?:\/\/)?(?:[^@\n]+@)?(?:www\.)?([^:\/\n]+)"")),"""")"),"buildops.com")</f>
        <v>buildops.com</v>
      </c>
    </row>
    <row r="892" spans="1:2" ht="12.5">
      <c r="A892" s="3" t="s">
        <v>1148</v>
      </c>
      <c r="B892" s="4" t="str">
        <f ca="1">IFERROR(__xludf.DUMMYFUNCTION("IFERROR(ARRAYFORMULA(REGEXEXTRACT(A892,""^(?:https?:\/\/)?(?:[^@\n]+@)?(?:www\.)?([^:\/\n]+)"")),"""")"),"americanstoragenc.com")</f>
        <v>americanstoragenc.com</v>
      </c>
    </row>
    <row r="893" spans="1:2" ht="12.5">
      <c r="A893" s="3" t="s">
        <v>1149</v>
      </c>
      <c r="B893" s="4" t="str">
        <f ca="1">IFERROR(__xludf.DUMMYFUNCTION("IFERROR(ARRAYFORMULA(REGEXEXTRACT(A893,""^(?:https?:\/\/)?(?:[^@\n]+@)?(?:www\.)?([^:\/\n]+)"")),"""")"),"storeallpurpose.com")</f>
        <v>storeallpurpose.com</v>
      </c>
    </row>
    <row r="894" spans="1:2" ht="12.5">
      <c r="A894" s="3" t="s">
        <v>1150</v>
      </c>
      <c r="B894" s="4" t="str">
        <f ca="1">IFERROR(__xludf.DUMMYFUNCTION("IFERROR(ARRAYFORMULA(REGEXEXTRACT(A894,""^(?:https?:\/\/)?(?:[^@\n]+@)?(?:www\.)?([^:\/\n]+)"")),"""")"),"activedoor.ca")</f>
        <v>activedoor.ca</v>
      </c>
    </row>
    <row r="895" spans="1:2" ht="12.5">
      <c r="A895" s="3" t="s">
        <v>1151</v>
      </c>
      <c r="B895" s="4" t="str">
        <f ca="1">IFERROR(__xludf.DUMMYFUNCTION("IFERROR(ARRAYFORMULA(REGEXEXTRACT(A895,""^(?:https?:\/\/)?(?:[^@\n]+@)?(?:www\.)?([^:\/\n]+)"")),"""")"),"reconroof.com")</f>
        <v>reconroof.com</v>
      </c>
    </row>
    <row r="896" spans="1:2" ht="12.5">
      <c r="A896" s="3" t="s">
        <v>1152</v>
      </c>
      <c r="B896" s="4" t="str">
        <f ca="1">IFERROR(__xludf.DUMMYFUNCTION("IFERROR(ARRAYFORMULA(REGEXEXTRACT(A896,""^(?:https?:\/\/)?(?:[^@\n]+@)?(?:www\.)?([^:\/\n]+)"")),"""")"),"sanaliving.com.au")</f>
        <v>sanaliving.com.au</v>
      </c>
    </row>
    <row r="897" spans="1:2" ht="12.5">
      <c r="A897" s="3" t="s">
        <v>1153</v>
      </c>
      <c r="B897" s="4" t="str">
        <f ca="1">IFERROR(__xludf.DUMMYFUNCTION("IFERROR(ARRAYFORMULA(REGEXEXTRACT(A897,""^(?:https?:\/\/)?(?:[^@\n]+@)?(?:www\.)?([^:\/\n]+)"")),"""")"),"salazarroofing.com")</f>
        <v>salazarroofing.com</v>
      </c>
    </row>
    <row r="898" spans="1:2" ht="12.5">
      <c r="A898" s="3" t="s">
        <v>1154</v>
      </c>
      <c r="B898" s="4" t="str">
        <f ca="1">IFERROR(__xludf.DUMMYFUNCTION("IFERROR(ARRAYFORMULA(REGEXEXTRACT(A898,""^(?:https?:\/\/)?(?:[^@\n]+@)?(?:www\.)?([^:\/\n]+)"")),"""")"),"richardharrislaw.com")</f>
        <v>richardharrislaw.com</v>
      </c>
    </row>
    <row r="899" spans="1:2" ht="12.5">
      <c r="A899" s="3" t="s">
        <v>1155</v>
      </c>
      <c r="B899" s="4" t="str">
        <f ca="1">IFERROR(__xludf.DUMMYFUNCTION("IFERROR(ARRAYFORMULA(REGEXEXTRACT(A899,""^(?:https?:\/\/)?(?:[^@\n]+@)?(?:www\.)?([^:\/\n]+)"")),"""")"),"homefrontbuys.com")</f>
        <v>homefrontbuys.com</v>
      </c>
    </row>
    <row r="900" spans="1:2" ht="12.5">
      <c r="A900" s="3" t="s">
        <v>1156</v>
      </c>
      <c r="B900" s="4" t="str">
        <f ca="1">IFERROR(__xludf.DUMMYFUNCTION("IFERROR(ARRAYFORMULA(REGEXEXTRACT(A900,""^(?:https?:\/\/)?(?:[^@\n]+@)?(?:www\.)?([^:\/\n]+)"")),"""")"),"phinmaproperties.com")</f>
        <v>phinmaproperties.com</v>
      </c>
    </row>
    <row r="901" spans="1:2" ht="12.5">
      <c r="A901" s="3" t="s">
        <v>1157</v>
      </c>
      <c r="B901" s="4" t="str">
        <f ca="1">IFERROR(__xludf.DUMMYFUNCTION("IFERROR(ARRAYFORMULA(REGEXEXTRACT(A901,""^(?:https?:\/\/)?(?:[^@\n]+@)?(?:www\.)?([^:\/\n]+)"")),"""")"),"mydirectblinds.com.au")</f>
        <v>mydirectblinds.com.au</v>
      </c>
    </row>
    <row r="902" spans="1:2" ht="12.5">
      <c r="A902" s="3" t="s">
        <v>1158</v>
      </c>
      <c r="B902" s="4" t="str">
        <f ca="1">IFERROR(__xludf.DUMMYFUNCTION("IFERROR(ARRAYFORMULA(REGEXEXTRACT(A902,""^(?:https?:\/\/)?(?:[^@\n]+@)?(?:www\.)?([^:\/\n]+)"")),"""")"),"stpro.com.au")</f>
        <v>stpro.com.au</v>
      </c>
    </row>
    <row r="903" spans="1:2" ht="12.5">
      <c r="A903" s="3" t="s">
        <v>1159</v>
      </c>
      <c r="B903" s="4" t="str">
        <f ca="1">IFERROR(__xludf.DUMMYFUNCTION("IFERROR(ARRAYFORMULA(REGEXEXTRACT(A903,""^(?:https?:\/\/)?(?:[^@\n]+@)?(?:www\.)?([^:\/\n]+)"")),"""")"),"homeofcozy.com")</f>
        <v>homeofcozy.com</v>
      </c>
    </row>
    <row r="904" spans="1:2" ht="12.5">
      <c r="A904" s="3" t="s">
        <v>1160</v>
      </c>
      <c r="B904" s="4" t="str">
        <f ca="1">IFERROR(__xludf.DUMMYFUNCTION("IFERROR(ARRAYFORMULA(REGEXEXTRACT(A904,""^(?:https?:\/\/)?(?:[^@\n]+@)?(?:www\.)?([^:\/\n]+)"")),"""")"),"searchnwa.com")</f>
        <v>searchnwa.com</v>
      </c>
    </row>
    <row r="905" spans="1:2" ht="12.5">
      <c r="A905" s="3" t="s">
        <v>1161</v>
      </c>
      <c r="B905" s="4" t="str">
        <f ca="1">IFERROR(__xludf.DUMMYFUNCTION("IFERROR(ARRAYFORMULA(REGEXEXTRACT(A905,""^(?:https?:\/\/)?(?:[^@\n]+@)?(?:www\.)?([^:\/\n]+)"")),"""")"),"jll.co.uk")</f>
        <v>jll.co.uk</v>
      </c>
    </row>
    <row r="906" spans="1:2" ht="12.5">
      <c r="A906" s="3" t="s">
        <v>1162</v>
      </c>
      <c r="B906" s="4" t="str">
        <f ca="1">IFERROR(__xludf.DUMMYFUNCTION("IFERROR(ARRAYFORMULA(REGEXEXTRACT(A906,""^(?:https?:\/\/)?(?:[^@\n]+@)?(?:www\.)?([^:\/\n]+)"")),"""")"),"auctionhousenorthwest.co.uk")</f>
        <v>auctionhousenorthwest.co.uk</v>
      </c>
    </row>
    <row r="907" spans="1:2" ht="12.5">
      <c r="A907" s="3" t="s">
        <v>1163</v>
      </c>
      <c r="B907" s="4" t="str">
        <f ca="1">IFERROR(__xludf.DUMMYFUNCTION("IFERROR(ARRAYFORMULA(REGEXEXTRACT(A907,""^(?:https?:\/\/)?(?:[^@\n]+@)?(?:www\.)?([^:\/\n]+)"")),"""")"),"lioxclean.com")</f>
        <v>lioxclean.com</v>
      </c>
    </row>
    <row r="908" spans="1:2" ht="12.5">
      <c r="A908" s="3" t="s">
        <v>1164</v>
      </c>
      <c r="B908" s="4" t="str">
        <f ca="1">IFERROR(__xludf.DUMMYFUNCTION("IFERROR(ARRAYFORMULA(REGEXEXTRACT(A908,""^(?:https?:\/\/)?(?:[^@\n]+@)?(?:www\.)?([^:\/\n]+)"")),"""")"),"1thrive.com")</f>
        <v>1thrive.com</v>
      </c>
    </row>
    <row r="909" spans="1:2" ht="12.5">
      <c r="A909" s="3" t="s">
        <v>1165</v>
      </c>
      <c r="B909" s="4" t="str">
        <f ca="1">IFERROR(__xludf.DUMMYFUNCTION("IFERROR(ARRAYFORMULA(REGEXEXTRACT(A909,""^(?:https?:\/\/)?(?:[^@\n]+@)?(?:www\.)?([^:\/\n]+)"")),"""")"),"kitchencabinetkings.com")</f>
        <v>kitchencabinetkings.com</v>
      </c>
    </row>
    <row r="910" spans="1:2" ht="12.5">
      <c r="A910" s="3" t="s">
        <v>1166</v>
      </c>
      <c r="B910" s="4" t="str">
        <f ca="1">IFERROR(__xludf.DUMMYFUNCTION("IFERROR(ARRAYFORMULA(REGEXEXTRACT(A910,""^(?:https?:\/\/)?(?:[^@\n]+@)?(?:www\.)?([^:\/\n]+)"")),"""")"),"res-qlocksmiths.com.au")</f>
        <v>res-qlocksmiths.com.au</v>
      </c>
    </row>
    <row r="911" spans="1:2" ht="12.5">
      <c r="A911" s="3" t="s">
        <v>1167</v>
      </c>
      <c r="B911" s="4" t="str">
        <f ca="1">IFERROR(__xludf.DUMMYFUNCTION("IFERROR(ARRAYFORMULA(REGEXEXTRACT(A911,""^(?:https?:\/\/)?(?:[^@\n]+@)?(?:www\.)?([^:\/\n]+)"")),"""")"),"cleanzen.com")</f>
        <v>cleanzen.com</v>
      </c>
    </row>
    <row r="912" spans="1:2" ht="12.5">
      <c r="A912" s="3" t="s">
        <v>1168</v>
      </c>
      <c r="B912" s="4" t="str">
        <f ca="1">IFERROR(__xludf.DUMMYFUNCTION("IFERROR(ARRAYFORMULA(REGEXEXTRACT(A912,""^(?:https?:\/\/)?(?:[^@\n]+@)?(?:www\.)?([^:\/\n]+)"")),"""")"),"allmastersplumbing.com")</f>
        <v>allmastersplumbing.com</v>
      </c>
    </row>
    <row r="913" spans="1:2" ht="12.5">
      <c r="A913" s="3" t="s">
        <v>1169</v>
      </c>
      <c r="B913" s="4" t="str">
        <f ca="1">IFERROR(__xludf.DUMMYFUNCTION("IFERROR(ARRAYFORMULA(REGEXEXTRACT(A913,""^(?:https?:\/\/)?(?:[^@\n]+@)?(?:www\.)?([^:\/\n]+)"")),"""")"),"pinpointcres.com")</f>
        <v>pinpointcres.com</v>
      </c>
    </row>
    <row r="914" spans="1:2" ht="12.5">
      <c r="A914" s="3" t="s">
        <v>1170</v>
      </c>
      <c r="B914" s="4" t="str">
        <f ca="1">IFERROR(__xludf.DUMMYFUNCTION("IFERROR(ARRAYFORMULA(REGEXEXTRACT(A914,""^(?:https?:\/\/)?(?:[^@\n]+@)?(?:www\.)?([^:\/\n]+)"")),"""")"),"atlascredit.com")</f>
        <v>atlascredit.com</v>
      </c>
    </row>
    <row r="915" spans="1:2" ht="12.5">
      <c r="A915" s="3" t="s">
        <v>1171</v>
      </c>
      <c r="B915" s="4" t="str">
        <f ca="1">IFERROR(__xludf.DUMMYFUNCTION("IFERROR(ARRAYFORMULA(REGEXEXTRACT(A915,""^(?:https?:\/\/)?(?:[^@\n]+@)?(?:www\.)?([^:\/\n]+)"")),"""")"),"conradmartens.com.au")</f>
        <v>conradmartens.com.au</v>
      </c>
    </row>
    <row r="916" spans="1:2" ht="12.5">
      <c r="A916" s="3" t="s">
        <v>1172</v>
      </c>
      <c r="B916" s="4" t="str">
        <f ca="1">IFERROR(__xludf.DUMMYFUNCTION("IFERROR(ARRAYFORMULA(REGEXEXTRACT(A916,""^(?:https?:\/\/)?(?:[^@\n]+@)?(?:www\.)?([^:\/\n]+)"")),"""")"),"myopenadvisors.com")</f>
        <v>myopenadvisors.com</v>
      </c>
    </row>
    <row r="917" spans="1:2" ht="12.5">
      <c r="A917" s="3" t="s">
        <v>1173</v>
      </c>
      <c r="B917" s="4" t="str">
        <f ca="1">IFERROR(__xludf.DUMMYFUNCTION("IFERROR(ARRAYFORMULA(REGEXEXTRACT(A917,""^(?:https?:\/\/)?(?:[^@\n]+@)?(?:www\.)?([^:\/\n]+)"")),"""")"),"spoolah.com")</f>
        <v>spoolah.com</v>
      </c>
    </row>
    <row r="918" spans="1:2" ht="12.5">
      <c r="A918" s="3" t="s">
        <v>1174</v>
      </c>
      <c r="B918" s="4" t="str">
        <f ca="1">IFERROR(__xludf.DUMMYFUNCTION("IFERROR(ARRAYFORMULA(REGEXEXTRACT(A918,""^(?:https?:\/\/)?(?:[^@\n]+@)?(?:www\.)?([^:\/\n]+)"")),"""")"),"polstontax.com")</f>
        <v>polstontax.com</v>
      </c>
    </row>
    <row r="919" spans="1:2" ht="12.5">
      <c r="A919" s="3" t="s">
        <v>1175</v>
      </c>
      <c r="B919" s="4" t="str">
        <f ca="1">IFERROR(__xludf.DUMMYFUNCTION("IFERROR(ARRAYFORMULA(REGEXEXTRACT(A919,""^(?:https?:\/\/)?(?:[^@\n]+@)?(?:www\.)?([^:\/\n]+)"")),"""")"),"h2hmovers.com")</f>
        <v>h2hmovers.com</v>
      </c>
    </row>
    <row r="920" spans="1:2" ht="12.5">
      <c r="A920" s="3" t="s">
        <v>1176</v>
      </c>
      <c r="B920" s="4" t="str">
        <f ca="1">IFERROR(__xludf.DUMMYFUNCTION("IFERROR(ARRAYFORMULA(REGEXEXTRACT(A920,""^(?:https?:\/\/)?(?:[^@\n]+@)?(?:www\.)?([^:\/\n]+)"")),"""")"),"apexelectricms.com")</f>
        <v>apexelectricms.com</v>
      </c>
    </row>
    <row r="921" spans="1:2" ht="12.5">
      <c r="A921" s="3" t="s">
        <v>1177</v>
      </c>
      <c r="B921" s="4" t="str">
        <f ca="1">IFERROR(__xludf.DUMMYFUNCTION("IFERROR(ARRAYFORMULA(REGEXEXTRACT(A921,""^(?:https?:\/\/)?(?:[^@\n]+@)?(?:www\.)?([^:\/\n]+)"")),"""")"),"completedetail.net")</f>
        <v>completedetail.net</v>
      </c>
    </row>
    <row r="922" spans="1:2" ht="12.5">
      <c r="A922" s="3" t="s">
        <v>1178</v>
      </c>
      <c r="B922" s="4" t="str">
        <f ca="1">IFERROR(__xludf.DUMMYFUNCTION("IFERROR(ARRAYFORMULA(REGEXEXTRACT(A922,""^(?:https?:\/\/)?(?:[^@\n]+@)?(?:www\.)?([^:\/\n]+)"")),"""")"),"betterhousebuyers.com")</f>
        <v>betterhousebuyers.com</v>
      </c>
    </row>
    <row r="923" spans="1:2" ht="12.5">
      <c r="A923" s="3" t="s">
        <v>1179</v>
      </c>
      <c r="B923" s="4" t="str">
        <f ca="1">IFERROR(__xludf.DUMMYFUNCTION("IFERROR(ARRAYFORMULA(REGEXEXTRACT(A923,""^(?:https?:\/\/)?(?:[^@\n]+@)?(?:www\.)?([^:\/\n]+)"")),"""")"),"metrovancouverhomesource.com")</f>
        <v>metrovancouverhomesource.com</v>
      </c>
    </row>
    <row r="924" spans="1:2" ht="12.5">
      <c r="A924" s="3" t="s">
        <v>1180</v>
      </c>
      <c r="B924" s="4" t="str">
        <f ca="1">IFERROR(__xludf.DUMMYFUNCTION("IFERROR(ARRAYFORMULA(REGEXEXTRACT(A924,""^(?:https?:\/\/)?(?:[^@\n]+@)?(?:www\.)?([^:\/\n]+)"")),"""")"),"27estore.com")</f>
        <v>27estore.com</v>
      </c>
    </row>
    <row r="925" spans="1:2" ht="12.5">
      <c r="A925" s="3" t="s">
        <v>1181</v>
      </c>
      <c r="B925" s="4" t="str">
        <f ca="1">IFERROR(__xludf.DUMMYFUNCTION("IFERROR(ARRAYFORMULA(REGEXEXTRACT(A925,""^(?:https?:\/\/)?(?:[^@\n]+@)?(?:www\.)?([^:\/\n]+)"")),"""")"),"newmanilasanjuan.com")</f>
        <v>newmanilasanjuan.com</v>
      </c>
    </row>
    <row r="926" spans="1:2" ht="12.5">
      <c r="A926" s="3" t="s">
        <v>1182</v>
      </c>
      <c r="B926" s="4" t="str">
        <f ca="1">IFERROR(__xludf.DUMMYFUNCTION("IFERROR(ARRAYFORMULA(REGEXEXTRACT(A926,""^(?:https?:\/\/)?(?:[^@\n]+@)?(?:www\.)?([^:\/\n]+)"")),"""")"),"sweetrefinishing.com")</f>
        <v>sweetrefinishing.com</v>
      </c>
    </row>
    <row r="927" spans="1:2" ht="12.5">
      <c r="A927" s="3" t="s">
        <v>1183</v>
      </c>
      <c r="B927" s="4" t="str">
        <f ca="1">IFERROR(__xludf.DUMMYFUNCTION("IFERROR(ARRAYFORMULA(REGEXEXTRACT(A927,""^(?:https?:\/\/)?(?:[^@\n]+@)?(?:www\.)?([^:\/\n]+)"")),"""")"),"pbphomerepair.com")</f>
        <v>pbphomerepair.com</v>
      </c>
    </row>
    <row r="928" spans="1:2" ht="12.5">
      <c r="A928" s="3" t="s">
        <v>1184</v>
      </c>
      <c r="B928" s="4" t="str">
        <f ca="1">IFERROR(__xludf.DUMMYFUNCTION("IFERROR(ARRAYFORMULA(REGEXEXTRACT(A928,""^(?:https?:\/\/)?(?:[^@\n]+@)?(?:www\.)?([^:\/\n]+)"")),"""")"),"ppssa.com.au")</f>
        <v>ppssa.com.au</v>
      </c>
    </row>
    <row r="929" spans="1:2" ht="12.5">
      <c r="A929" s="3" t="s">
        <v>1185</v>
      </c>
      <c r="B929" s="4" t="str">
        <f ca="1">IFERROR(__xludf.DUMMYFUNCTION("IFERROR(ARRAYFORMULA(REGEXEXTRACT(A929,""^(?:https?:\/\/)?(?:[^@\n]+@)?(?:www\.)?([^:\/\n]+)"")),"""")"),"wendysrealestate.com")</f>
        <v>wendysrealestate.com</v>
      </c>
    </row>
    <row r="930" spans="1:2" ht="12.5">
      <c r="A930" s="3" t="s">
        <v>1186</v>
      </c>
      <c r="B930" s="4" t="str">
        <f ca="1">IFERROR(__xludf.DUMMYFUNCTION("IFERROR(ARRAYFORMULA(REGEXEXTRACT(A930,""^(?:https?:\/\/)?(?:[^@\n]+@)?(?:www\.)?([^:\/\n]+)"")),"""")"),"doorpros.com")</f>
        <v>doorpros.com</v>
      </c>
    </row>
    <row r="931" spans="1:2" ht="12.5">
      <c r="A931" s="3" t="s">
        <v>1187</v>
      </c>
      <c r="B931" s="4" t="str">
        <f ca="1">IFERROR(__xludf.DUMMYFUNCTION("IFERROR(ARRAYFORMULA(REGEXEXTRACT(A931,""^(?:https?:\/\/)?(?:[^@\n]+@)?(?:www\.)?([^:\/\n]+)"")),"""")"),"raylyonrealty.com")</f>
        <v>raylyonrealty.com</v>
      </c>
    </row>
    <row r="932" spans="1:2" ht="12.5">
      <c r="A932" s="3" t="s">
        <v>1188</v>
      </c>
      <c r="B932" s="4" t="str">
        <f ca="1">IFERROR(__xludf.DUMMYFUNCTION("IFERROR(ARRAYFORMULA(REGEXEXTRACT(A932,""^(?:https?:\/\/)?(?:[^@\n]+@)?(?:www\.)?([^:\/\n]+)"")),"""")"),"mdsquaredpropertygroup.com")</f>
        <v>mdsquaredpropertygroup.com</v>
      </c>
    </row>
    <row r="933" spans="1:2" ht="12.5">
      <c r="A933" s="3" t="s">
        <v>1189</v>
      </c>
      <c r="B933" s="7" t="str">
        <f ca="1">IFERROR(__xludf.DUMMYFUNCTION("IFERROR(ARRAYFORMULA(REGEXEXTRACT(A933,""^(?:https?:\/\/)?(?:[^@\n]+@)?(?:www\.)?([^:\/\n]+)"")),"""")"),"cwarch.design")</f>
        <v>cwarch.design</v>
      </c>
    </row>
    <row r="934" spans="1:2" ht="12.5">
      <c r="A934" s="3" t="s">
        <v>1190</v>
      </c>
      <c r="B934" s="4" t="str">
        <f ca="1">IFERROR(__xludf.DUMMYFUNCTION("IFERROR(ARRAYFORMULA(REGEXEXTRACT(A934,""^(?:https?:\/\/)?(?:[^@\n]+@)?(?:www\.)?([^:\/\n]+)"")),"""")"),"spvmortgages.co.uk")</f>
        <v>spvmortgages.co.uk</v>
      </c>
    </row>
    <row r="935" spans="1:2" ht="12.5">
      <c r="A935" s="3" t="s">
        <v>1191</v>
      </c>
      <c r="B935" s="4" t="str">
        <f ca="1">IFERROR(__xludf.DUMMYFUNCTION("IFERROR(ARRAYFORMULA(REGEXEXTRACT(A935,""^(?:https?:\/\/)?(?:[^@\n]+@)?(?:www\.)?([^:\/\n]+)"")),"""")"),"tinyhousefor.us")</f>
        <v>tinyhousefor.us</v>
      </c>
    </row>
    <row r="936" spans="1:2" ht="12.5">
      <c r="A936" s="3" t="s">
        <v>1192</v>
      </c>
      <c r="B936" s="4" t="str">
        <f ca="1">IFERROR(__xludf.DUMMYFUNCTION("IFERROR(ARRAYFORMULA(REGEXEXTRACT(A936,""^(?:https?:\/\/)?(?:[^@\n]+@)?(?:www\.)?([^:\/\n]+)"")),"""")"),"calalaw.com")</f>
        <v>calalaw.com</v>
      </c>
    </row>
    <row r="937" spans="1:2" ht="12.5">
      <c r="A937" s="3" t="s">
        <v>1193</v>
      </c>
      <c r="B937" s="4" t="str">
        <f ca="1">IFERROR(__xludf.DUMMYFUNCTION("IFERROR(ARRAYFORMULA(REGEXEXTRACT(A937,""^(?:https?:\/\/)?(?:[^@\n]+@)?(?:www\.)?([^:\/\n]+)"")),"""")"),"elitedesigngroup.com")</f>
        <v>elitedesigngroup.com</v>
      </c>
    </row>
    <row r="938" spans="1:2" ht="12.5">
      <c r="A938" s="3" t="s">
        <v>1194</v>
      </c>
      <c r="B938" s="4" t="str">
        <f ca="1">IFERROR(__xludf.DUMMYFUNCTION("IFERROR(ARRAYFORMULA(REGEXEXTRACT(A938,""^(?:https?:\/\/)?(?:[^@\n]+@)?(?:www\.)?([^:\/\n]+)"")),"""")"),"homeaglow.com")</f>
        <v>homeaglow.com</v>
      </c>
    </row>
    <row r="939" spans="1:2" ht="12.5">
      <c r="A939" s="3" t="s">
        <v>1195</v>
      </c>
      <c r="B939" s="4" t="str">
        <f ca="1">IFERROR(__xludf.DUMMYFUNCTION("IFERROR(ARRAYFORMULA(REGEXEXTRACT(A939,""^(?:https?:\/\/)?(?:[^@\n]+@)?(?:www\.)?([^:\/\n]+)"")),"""")"),"chadschwendeman.com")</f>
        <v>chadschwendeman.com</v>
      </c>
    </row>
    <row r="940" spans="1:2" ht="12.5">
      <c r="A940" s="3" t="s">
        <v>1196</v>
      </c>
      <c r="B940" s="4" t="str">
        <f ca="1">IFERROR(__xludf.DUMMYFUNCTION("IFERROR(ARRAYFORMULA(REGEXEXTRACT(A940,""^(?:https?:\/\/)?(?:[^@\n]+@)?(?:www\.)?([^:\/\n]+)"")),"""")"),"lanewaymagazine.com.au")</f>
        <v>lanewaymagazine.com.au</v>
      </c>
    </row>
    <row r="941" spans="1:2" ht="12.5">
      <c r="A941" s="3" t="s">
        <v>1197</v>
      </c>
      <c r="B941" s="4" t="str">
        <f ca="1">IFERROR(__xludf.DUMMYFUNCTION("IFERROR(ARRAYFORMULA(REGEXEXTRACT(A941,""^(?:https?:\/\/)?(?:[^@\n]+@)?(?:www\.)?([^:\/\n]+)"")),"""")"),"bondi38.com.au")</f>
        <v>bondi38.com.au</v>
      </c>
    </row>
    <row r="942" spans="1:2" ht="12.5">
      <c r="A942" s="3" t="s">
        <v>1198</v>
      </c>
      <c r="B942" s="4" t="str">
        <f ca="1">IFERROR(__xludf.DUMMYFUNCTION("IFERROR(ARRAYFORMULA(REGEXEXTRACT(A942,""^(?:https?:\/\/)?(?:[^@\n]+@)?(?:www\.)?([^:\/\n]+)"")),"""")"),"homeinsurancerates.com")</f>
        <v>homeinsurancerates.com</v>
      </c>
    </row>
    <row r="943" spans="1:2" ht="12.5">
      <c r="A943" s="3" t="s">
        <v>1199</v>
      </c>
      <c r="B943" s="4" t="str">
        <f ca="1">IFERROR(__xludf.DUMMYFUNCTION("IFERROR(ARRAYFORMULA(REGEXEXTRACT(A943,""^(?:https?:\/\/)?(?:[^@\n]+@)?(?:www\.)?([^:\/\n]+)"")),"""")"),"coregonbuildingcompany.com")</f>
        <v>coregonbuildingcompany.com</v>
      </c>
    </row>
    <row r="944" spans="1:2" ht="12.5">
      <c r="A944" s="3" t="s">
        <v>1200</v>
      </c>
      <c r="B944" s="4" t="str">
        <f ca="1">IFERROR(__xludf.DUMMYFUNCTION("IFERROR(ARRAYFORMULA(REGEXEXTRACT(A944,""^(?:https?:\/\/)?(?:[^@\n]+@)?(?:www\.)?([^:\/\n]+)"")),"""")"),"chadschwendeman.com")</f>
        <v>chadschwendeman.com</v>
      </c>
    </row>
    <row r="945" spans="1:2" ht="12.5">
      <c r="A945" s="3" t="s">
        <v>1201</v>
      </c>
      <c r="B945" s="4" t="str">
        <f ca="1">IFERROR(__xludf.DUMMYFUNCTION("IFERROR(ARRAYFORMULA(REGEXEXTRACT(A945,""^(?:https?:\/\/)?(?:[^@\n]+@)?(?:www\.)?([^:\/\n]+)"")),"""")"),"myfinancialshape.com")</f>
        <v>myfinancialshape.com</v>
      </c>
    </row>
    <row r="946" spans="1:2" ht="12.5">
      <c r="A946" s="3" t="s">
        <v>1202</v>
      </c>
      <c r="B946" s="4" t="str">
        <f ca="1">IFERROR(__xludf.DUMMYFUNCTION("IFERROR(ARRAYFORMULA(REGEXEXTRACT(A946,""^(?:https?:\/\/)?(?:[^@\n]+@)?(?:www\.)?([^:\/\n]+)"")),"""")"),"heathersellshouses.com")</f>
        <v>heathersellshouses.com</v>
      </c>
    </row>
    <row r="947" spans="1:2" ht="12.5">
      <c r="A947" s="3" t="s">
        <v>1203</v>
      </c>
      <c r="B947" s="4" t="str">
        <f ca="1">IFERROR(__xludf.DUMMYFUNCTION("IFERROR(ARRAYFORMULA(REGEXEXTRACT(A947,""^(?:https?:\/\/)?(?:[^@\n]+@)?(?:www\.)?([^:\/\n]+)"")),"""")"),"ownerly.com")</f>
        <v>ownerly.com</v>
      </c>
    </row>
    <row r="948" spans="1:2" ht="12.5">
      <c r="A948" s="3" t="s">
        <v>1204</v>
      </c>
      <c r="B948" s="4" t="str">
        <f ca="1">IFERROR(__xludf.DUMMYFUNCTION("IFERROR(ARRAYFORMULA(REGEXEXTRACT(A948,""^(?:https?:\/\/)?(?:[^@\n]+@)?(?:www\.)?([^:\/\n]+)"")),"""")"),"friendsfamilyhomecare.com")</f>
        <v>friendsfamilyhomecare.com</v>
      </c>
    </row>
    <row r="949" spans="1:2" ht="12.5">
      <c r="A949" s="3" t="s">
        <v>1205</v>
      </c>
      <c r="B949" s="4" t="str">
        <f ca="1">IFERROR(__xludf.DUMMYFUNCTION("IFERROR(ARRAYFORMULA(REGEXEXTRACT(A949,""^(?:https?:\/\/)?(?:[^@\n]+@)?(?:www\.)?([^:\/\n]+)"")),"""")"),"foldingdoors.com.au")</f>
        <v>foldingdoors.com.au</v>
      </c>
    </row>
    <row r="950" spans="1:2" ht="12.5">
      <c r="A950" s="3" t="s">
        <v>1206</v>
      </c>
      <c r="B950" s="4" t="str">
        <f ca="1">IFERROR(__xludf.DUMMYFUNCTION("IFERROR(ARRAYFORMULA(REGEXEXTRACT(A950,""^(?:https?:\/\/)?(?:[^@\n]+@)?(?:www\.)?([^:\/\n]+)"")),"""")"),"kelownahomes.com")</f>
        <v>kelownahomes.com</v>
      </c>
    </row>
    <row r="951" spans="1:2" ht="12.5">
      <c r="A951" s="3" t="s">
        <v>1207</v>
      </c>
      <c r="B951" s="4" t="str">
        <f ca="1">IFERROR(__xludf.DUMMYFUNCTION("IFERROR(ARRAYFORMULA(REGEXEXTRACT(A951,""^(?:https?:\/\/)?(?:[^@\n]+@)?(?:www\.)?([^:\/\n]+)"")),"""")"),"hiltonheadrealtysales.com")</f>
        <v>hiltonheadrealtysales.com</v>
      </c>
    </row>
    <row r="952" spans="1:2" ht="12.5">
      <c r="A952" s="3" t="s">
        <v>1208</v>
      </c>
      <c r="B952" s="7" t="str">
        <f ca="1">IFERROR(__xludf.DUMMYFUNCTION("IFERROR(ARRAYFORMULA(REGEXEXTRACT(A952,""^(?:https?:\/\/)?(?:[^@\n]+@)?(?:www\.)?([^:\/\n]+)"")),"""")"),"homecleaning.nyc")</f>
        <v>homecleaning.nyc</v>
      </c>
    </row>
    <row r="953" spans="1:2" ht="12.5">
      <c r="A953" s="3" t="s">
        <v>1209</v>
      </c>
      <c r="B953" s="4" t="str">
        <f ca="1">IFERROR(__xludf.DUMMYFUNCTION("IFERROR(ARRAYFORMULA(REGEXEXTRACT(A953,""^(?:https?:\/\/)?(?:[^@\n]+@)?(?:www\.)?([^:\/\n]+)"")),"""")"),"loans2go.co.uk")</f>
        <v>loans2go.co.uk</v>
      </c>
    </row>
    <row r="954" spans="1:2" ht="12.5">
      <c r="A954" s="3" t="s">
        <v>1210</v>
      </c>
      <c r="B954" s="4" t="str">
        <f ca="1">IFERROR(__xludf.DUMMYFUNCTION("IFERROR(ARRAYFORMULA(REGEXEXTRACT(A954,""^(?:https?:\/\/)?(?:[^@\n]+@)?(?:www\.)?([^:\/\n]+)"")),"""")"),"cabinetiq.com")</f>
        <v>cabinetiq.com</v>
      </c>
    </row>
    <row r="955" spans="1:2" ht="12.5">
      <c r="A955" s="3" t="s">
        <v>1211</v>
      </c>
      <c r="B955" s="4" t="str">
        <f ca="1">IFERROR(__xludf.DUMMYFUNCTION("IFERROR(ARRAYFORMULA(REGEXEXTRACT(A955,""^(?:https?:\/\/)?(?:[^@\n]+@)?(?:www\.)?([^:\/\n]+)"")),"""")"),"absoluteestatesales.net")</f>
        <v>absoluteestatesales.net</v>
      </c>
    </row>
    <row r="956" spans="1:2" ht="12.5">
      <c r="A956" s="3" t="s">
        <v>1212</v>
      </c>
      <c r="B956" s="4" t="str">
        <f ca="1">IFERROR(__xludf.DUMMYFUNCTION("IFERROR(ARRAYFORMULA(REGEXEXTRACT(A956,""^(?:https?:\/\/)?(?:[^@\n]+@)?(?:www\.)?([^:\/\n]+)"")),"""")"),"safestorecontainers.co.nz")</f>
        <v>safestorecontainers.co.nz</v>
      </c>
    </row>
    <row r="957" spans="1:2" ht="12.5">
      <c r="A957" s="3" t="s">
        <v>1213</v>
      </c>
      <c r="B957" s="4" t="str">
        <f ca="1">IFERROR(__xludf.DUMMYFUNCTION("IFERROR(ARRAYFORMULA(REGEXEXTRACT(A957,""^(?:https?:\/\/)?(?:[^@\n]+@)?(?:www\.)?([^:\/\n]+)"")),"""")"),"levinrinkerealty.com")</f>
        <v>levinrinkerealty.com</v>
      </c>
    </row>
    <row r="958" spans="1:2" ht="12.5">
      <c r="A958" s="3" t="s">
        <v>1214</v>
      </c>
      <c r="B958" s="4" t="str">
        <f ca="1">IFERROR(__xludf.DUMMYFUNCTION("IFERROR(ARRAYFORMULA(REGEXEXTRACT(A958,""^(?:https?:\/\/)?(?:[^@\n]+@)?(?:www\.)?([^:\/\n]+)"")),"""")"),"edensstructural.com")</f>
        <v>edensstructural.com</v>
      </c>
    </row>
    <row r="959" spans="1:2" ht="12.5">
      <c r="A959" s="3" t="s">
        <v>1215</v>
      </c>
      <c r="B959" s="4" t="str">
        <f ca="1">IFERROR(__xludf.DUMMYFUNCTION("IFERROR(ARRAYFORMULA(REGEXEXTRACT(A959,""^(?:https?:\/\/)?(?:[^@\n]+@)?(?:www\.)?([^:\/\n]+)"")),"""")"),"colibrirealestate.com")</f>
        <v>colibrirealestate.com</v>
      </c>
    </row>
    <row r="960" spans="1:2" ht="12.5">
      <c r="A960" s="3" t="s">
        <v>1216</v>
      </c>
      <c r="B960" s="4" t="str">
        <f ca="1">IFERROR(__xludf.DUMMYFUNCTION("IFERROR(ARRAYFORMULA(REGEXEXTRACT(A960,""^(?:https?:\/\/)?(?:[^@\n]+@)?(?:www\.)?([^:\/\n]+)"")),"""")"),"henrybuyshomes.com")</f>
        <v>henrybuyshomes.com</v>
      </c>
    </row>
    <row r="961" spans="1:2" ht="12.5">
      <c r="A961" s="3" t="s">
        <v>1217</v>
      </c>
      <c r="B961" s="4" t="str">
        <f ca="1">IFERROR(__xludf.DUMMYFUNCTION("IFERROR(ARRAYFORMULA(REGEXEXTRACT(A961,""^(?:https?:\/\/)?(?:[^@\n]+@)?(?:www\.)?([^:\/\n]+)"")),"""")"),"pavelbuyshouses.com")</f>
        <v>pavelbuyshouses.com</v>
      </c>
    </row>
    <row r="962" spans="1:2" ht="12.5">
      <c r="A962" s="3" t="s">
        <v>1218</v>
      </c>
      <c r="B962" s="4" t="str">
        <f ca="1">IFERROR(__xludf.DUMMYFUNCTION("IFERROR(ARRAYFORMULA(REGEXEXTRACT(A962,""^(?:https?:\/\/)?(?:[^@\n]+@)?(?:www\.)?([^:\/\n]+)"")),"""")"),"miramarspeedcircuit.com")</f>
        <v>miramarspeedcircuit.com</v>
      </c>
    </row>
    <row r="963" spans="1:2" ht="12.5">
      <c r="A963" s="3" t="s">
        <v>1219</v>
      </c>
      <c r="B963" s="4" t="str">
        <f ca="1">IFERROR(__xludf.DUMMYFUNCTION("IFERROR(ARRAYFORMULA(REGEXEXTRACT(A963,""^(?:https?:\/\/)?(?:[^@\n]+@)?(?:www\.)?([^:\/\n]+)"")),"""")"),"steamboatsprings-realestate.com")</f>
        <v>steamboatsprings-realestate.com</v>
      </c>
    </row>
    <row r="964" spans="1:2" ht="12.5">
      <c r="A964" s="3" t="s">
        <v>1220</v>
      </c>
      <c r="B964" s="4" t="str">
        <f ca="1">IFERROR(__xludf.DUMMYFUNCTION("IFERROR(ARRAYFORMULA(REGEXEXTRACT(A964,""^(?:https?:\/\/)?(?:[^@\n]+@)?(?:www\.)?([^:\/\n]+)"")),"""")"),"realestatehudsonvalleyny.com")</f>
        <v>realestatehudsonvalleyny.com</v>
      </c>
    </row>
    <row r="965" spans="1:2" ht="12.5">
      <c r="A965" s="3" t="s">
        <v>1221</v>
      </c>
      <c r="B965" s="4" t="str">
        <f ca="1">IFERROR(__xludf.DUMMYFUNCTION("IFERROR(ARRAYFORMULA(REGEXEXTRACT(A965,""^(?:https?:\/\/)?(?:[^@\n]+@)?(?:www\.)?([^:\/\n]+)"")),"""")"),"allhomeslasvegas.com")</f>
        <v>allhomeslasvegas.com</v>
      </c>
    </row>
    <row r="966" spans="1:2" ht="12.5">
      <c r="A966" s="3" t="s">
        <v>1222</v>
      </c>
      <c r="B966" s="4" t="str">
        <f ca="1">IFERROR(__xludf.DUMMYFUNCTION("IFERROR(ARRAYFORMULA(REGEXEXTRACT(A966,""^(?:https?:\/\/)?(?:[^@\n]+@)?(?:www\.)?([^:\/\n]+)"")),"""")"),"okcrestorations.com")</f>
        <v>okcrestorations.com</v>
      </c>
    </row>
    <row r="967" spans="1:2" ht="12.5">
      <c r="A967" s="3" t="s">
        <v>1223</v>
      </c>
      <c r="B967" s="4" t="str">
        <f ca="1">IFERROR(__xludf.DUMMYFUNCTION("IFERROR(ARRAYFORMULA(REGEXEXTRACT(A967,""^(?:https?:\/\/)?(?:[^@\n]+@)?(?:www\.)?([^:\/\n]+)"")),"""")"),"meridiantrust.com")</f>
        <v>meridiantrust.com</v>
      </c>
    </row>
    <row r="968" spans="1:2" ht="12.5">
      <c r="A968" s="3" t="s">
        <v>1224</v>
      </c>
      <c r="B968" s="4" t="str">
        <f ca="1">IFERROR(__xludf.DUMMYFUNCTION("IFERROR(ARRAYFORMULA(REGEXEXTRACT(A968,""^(?:https?:\/\/)?(?:[^@\n]+@)?(?:www\.)?([^:\/\n]+)"")),"""")"),"safestore.co.uk")</f>
        <v>safestore.co.uk</v>
      </c>
    </row>
    <row r="969" spans="1:2" ht="12.5">
      <c r="A969" s="3" t="s">
        <v>1225</v>
      </c>
      <c r="B969" s="4" t="str">
        <f ca="1">IFERROR(__xludf.DUMMYFUNCTION("IFERROR(ARRAYFORMULA(REGEXEXTRACT(A969,""^(?:https?:\/\/)?(?:[^@\n]+@)?(?:www\.)?([^:\/\n]+)"")),"""")"),"vracommercial.com")</f>
        <v>vracommercial.com</v>
      </c>
    </row>
    <row r="970" spans="1:2" ht="12.5">
      <c r="A970" s="3" t="s">
        <v>1226</v>
      </c>
      <c r="B970" s="4" t="str">
        <f ca="1">IFERROR(__xludf.DUMMYFUNCTION("IFERROR(ARRAYFORMULA(REGEXEXTRACT(A970,""^(?:https?:\/\/)?(?:[^@\n]+@)?(?:www\.)?([^:\/\n]+)"")),"""")"),"luckyalan.com")</f>
        <v>luckyalan.com</v>
      </c>
    </row>
    <row r="971" spans="1:2" ht="12.5">
      <c r="A971" s="3" t="s">
        <v>1227</v>
      </c>
      <c r="B971" s="4" t="str">
        <f ca="1">IFERROR(__xludf.DUMMYFUNCTION("IFERROR(ARRAYFORMULA(REGEXEXTRACT(A971,""^(?:https?:\/\/)?(?:[^@\n]+@)?(?:www\.)?([^:\/\n]+)"")),"""")"),"moversdev.com")</f>
        <v>moversdev.com</v>
      </c>
    </row>
    <row r="972" spans="1:2" ht="12.5">
      <c r="A972" s="3" t="s">
        <v>1228</v>
      </c>
      <c r="B972" s="4" t="str">
        <f ca="1">IFERROR(__xludf.DUMMYFUNCTION("IFERROR(ARRAYFORMULA(REGEXEXTRACT(A972,""^(?:https?:\/\/)?(?:[^@\n]+@)?(?:www\.)?([^:\/\n]+)"")),"""")"),"kiavi.com")</f>
        <v>kiavi.com</v>
      </c>
    </row>
    <row r="973" spans="1:2" ht="12.5">
      <c r="A973" s="3" t="s">
        <v>1229</v>
      </c>
      <c r="B973" s="4" t="str">
        <f ca="1">IFERROR(__xludf.DUMMYFUNCTION("IFERROR(ARRAYFORMULA(REGEXEXTRACT(A973,""^(?:https?:\/\/)?(?:[^@\n]+@)?(?:www\.)?([^:\/\n]+)"")),"""")"),"bigtrailerrentals.com")</f>
        <v>bigtrailerrentals.com</v>
      </c>
    </row>
    <row r="974" spans="1:2" ht="12.5">
      <c r="A974" s="3" t="s">
        <v>1230</v>
      </c>
      <c r="B974" s="4" t="str">
        <f ca="1">IFERROR(__xludf.DUMMYFUNCTION("IFERROR(ARRAYFORMULA(REGEXEXTRACT(A974,""^(?:https?:\/\/)?(?:[^@\n]+@)?(?:www\.)?([^:\/\n]+)"")),"""")"),"addressscoop.com")</f>
        <v>addressscoop.com</v>
      </c>
    </row>
    <row r="975" spans="1:2" ht="12.5">
      <c r="A975" s="3" t="s">
        <v>1231</v>
      </c>
      <c r="B975" s="4" t="str">
        <f ca="1">IFERROR(__xludf.DUMMYFUNCTION("IFERROR(ARRAYFORMULA(REGEXEXTRACT(A975,""^(?:https?:\/\/)?(?:[^@\n]+@)?(?:www\.)?([^:\/\n]+)"")),"""")"),"ndms.com")</f>
        <v>ndms.com</v>
      </c>
    </row>
    <row r="976" spans="1:2" ht="12.5">
      <c r="A976" s="3" t="s">
        <v>1232</v>
      </c>
      <c r="B976" s="4" t="str">
        <f ca="1">IFERROR(__xludf.DUMMYFUNCTION("IFERROR(ARRAYFORMULA(REGEXEXTRACT(A976,""^(?:https?:\/\/)?(?:[^@\n]+@)?(?:www\.)?([^:\/\n]+)"")),"""")"),"acarchitects.biz")</f>
        <v>acarchitects.biz</v>
      </c>
    </row>
    <row r="977" spans="1:2" ht="12.5">
      <c r="A977" s="3" t="s">
        <v>1233</v>
      </c>
      <c r="B977" s="4" t="str">
        <f ca="1">IFERROR(__xludf.DUMMYFUNCTION("IFERROR(ARRAYFORMULA(REGEXEXTRACT(A977,""^(?:https?:\/\/)?(?:[^@\n]+@)?(?:www\.)?([^:\/\n]+)"")),"""")"),"swankyden.com")</f>
        <v>swankyden.com</v>
      </c>
    </row>
    <row r="978" spans="1:2" ht="12.5">
      <c r="A978" s="3" t="s">
        <v>1234</v>
      </c>
      <c r="B978" s="4" t="str">
        <f ca="1">IFERROR(__xludf.DUMMYFUNCTION("IFERROR(ARRAYFORMULA(REGEXEXTRACT(A978,""^(?:https?:\/\/)?(?:[^@\n]+@)?(?:www\.)?([^:\/\n]+)"")),"""")"),"kelownahomes.ca")</f>
        <v>kelownahomes.ca</v>
      </c>
    </row>
    <row r="979" spans="1:2" ht="12.5">
      <c r="A979" s="3" t="s">
        <v>1235</v>
      </c>
      <c r="B979" s="4" t="str">
        <f ca="1">IFERROR(__xludf.DUMMYFUNCTION("IFERROR(ARRAYFORMULA(REGEXEXTRACT(A979,""^(?:https?:\/\/)?(?:[^@\n]+@)?(?:www\.)?([^:\/\n]+)"")),"""")"),"sammamishmortgage.com")</f>
        <v>sammamishmortgage.com</v>
      </c>
    </row>
    <row r="980" spans="1:2" ht="12.5">
      <c r="A980" s="3" t="s">
        <v>1236</v>
      </c>
      <c r="B980" s="4" t="str">
        <f ca="1">IFERROR(__xludf.DUMMYFUNCTION("IFERROR(ARRAYFORMULA(REGEXEXTRACT(A980,""^(?:https?:\/\/)?(?:[^@\n]+@)?(?:www\.)?([^:\/\n]+)"")),"""")"),"3menmovers.com")</f>
        <v>3menmovers.com</v>
      </c>
    </row>
    <row r="981" spans="1:2" ht="12.5">
      <c r="A981" s="3" t="s">
        <v>1237</v>
      </c>
      <c r="B981" s="4" t="str">
        <f ca="1">IFERROR(__xludf.DUMMYFUNCTION("IFERROR(ARRAYFORMULA(REGEXEXTRACT(A981,""^(?:https?:\/\/)?(?:[^@\n]+@)?(?:www\.)?([^:\/\n]+)"")),"""")"),"teamenoch.com")</f>
        <v>teamenoch.com</v>
      </c>
    </row>
    <row r="982" spans="1:2" ht="12.5">
      <c r="A982" s="3" t="s">
        <v>1238</v>
      </c>
      <c r="B982" s="4" t="str">
        <f ca="1">IFERROR(__xludf.DUMMYFUNCTION("IFERROR(ARRAYFORMULA(REGEXEXTRACT(A982,""^(?:https?:\/\/)?(?:[^@\n]+@)?(?:www\.)?([^:\/\n]+)"")),"""")"),"breezeful.com")</f>
        <v>breezeful.com</v>
      </c>
    </row>
    <row r="983" spans="1:2" ht="12.5">
      <c r="A983" s="3" t="s">
        <v>1239</v>
      </c>
      <c r="B983" s="4" t="str">
        <f ca="1">IFERROR(__xludf.DUMMYFUNCTION("IFERROR(ARRAYFORMULA(REGEXEXTRACT(A983,""^(?:https?:\/\/)?(?:[^@\n]+@)?(?:www\.)?([^:\/\n]+)"")),"""")"),"singletonschreiber.com")</f>
        <v>singletonschreiber.com</v>
      </c>
    </row>
    <row r="984" spans="1:2" ht="12.5">
      <c r="A984" s="3" t="s">
        <v>1240</v>
      </c>
      <c r="B984" s="4" t="str">
        <f ca="1">IFERROR(__xludf.DUMMYFUNCTION("IFERROR(ARRAYFORMULA(REGEXEXTRACT(A984,""^(?:https?:\/\/)?(?:[^@\n]+@)?(?:www\.)?([^:\/\n]+)"")),"""")"),"techvestor.com")</f>
        <v>techvestor.com</v>
      </c>
    </row>
    <row r="985" spans="1:2" ht="12.5">
      <c r="A985" s="3" t="s">
        <v>1241</v>
      </c>
      <c r="B985" s="4" t="str">
        <f ca="1">IFERROR(__xludf.DUMMYFUNCTION("IFERROR(ARRAYFORMULA(REGEXEXTRACT(A985,""^(?:https?:\/\/)?(?:[^@\n]+@)?(?:www\.)?([^:\/\n]+)"")),"""")"),"aguirrelawpllc.com")</f>
        <v>aguirrelawpllc.com</v>
      </c>
    </row>
    <row r="986" spans="1:2" ht="12.5">
      <c r="A986" s="3" t="s">
        <v>1242</v>
      </c>
      <c r="B986" s="4" t="str">
        <f ca="1">IFERROR(__xludf.DUMMYFUNCTION("IFERROR(ARRAYFORMULA(REGEXEXTRACT(A986,""^(?:https?:\/\/)?(?:[^@\n]+@)?(?:www\.)?([^:\/\n]+)"")),"""")"),"hensleylegal.com")</f>
        <v>hensleylegal.com</v>
      </c>
    </row>
    <row r="987" spans="1:2" ht="12.5">
      <c r="A987" s="3" t="s">
        <v>1243</v>
      </c>
      <c r="B987" s="4" t="str">
        <f ca="1">IFERROR(__xludf.DUMMYFUNCTION("IFERROR(ARRAYFORMULA(REGEXEXTRACT(A987,""^(?:https?:\/\/)?(?:[^@\n]+@)?(?:www\.)?([^:\/\n]+)"")),"""")"),"gihaul.com")</f>
        <v>gihaul.com</v>
      </c>
    </row>
    <row r="988" spans="1:2" ht="12.5">
      <c r="A988" s="3" t="s">
        <v>1244</v>
      </c>
      <c r="B988" s="4" t="str">
        <f ca="1">IFERROR(__xludf.DUMMYFUNCTION("IFERROR(ARRAYFORMULA(REGEXEXTRACT(A988,""^(?:https?:\/\/)?(?:[^@\n]+@)?(?:www\.)?([^:\/\n]+)"")),"""")"),"seattlegreencleaningfairy.com")</f>
        <v>seattlegreencleaningfairy.com</v>
      </c>
    </row>
    <row r="989" spans="1:2" ht="12.5">
      <c r="A989" s="3" t="s">
        <v>1245</v>
      </c>
      <c r="B989" s="4" t="str">
        <f ca="1">IFERROR(__xludf.DUMMYFUNCTION("IFERROR(ARRAYFORMULA(REGEXEXTRACT(A989,""^(?:https?:\/\/)?(?:[^@\n]+@)?(?:www\.)?([^:\/\n]+)"")),"""")"),"nybrite.com")</f>
        <v>nybrite.com</v>
      </c>
    </row>
    <row r="990" spans="1:2" ht="12.5">
      <c r="A990" s="3" t="s">
        <v>1246</v>
      </c>
      <c r="B990" s="4" t="str">
        <f ca="1">IFERROR(__xludf.DUMMYFUNCTION("IFERROR(ARRAYFORMULA(REGEXEXTRACT(A990,""^(?:https?:\/\/)?(?:[^@\n]+@)?(?:www\.)?([^:\/\n]+)"")),"""")"),"ars.com")</f>
        <v>ars.com</v>
      </c>
    </row>
    <row r="991" spans="1:2" ht="12.5">
      <c r="A991" s="3" t="s">
        <v>1247</v>
      </c>
      <c r="B991" s="4" t="str">
        <f ca="1">IFERROR(__xludf.DUMMYFUNCTION("IFERROR(ARRAYFORMULA(REGEXEXTRACT(A991,""^(?:https?:\/\/)?(?:[^@\n]+@)?(?:www\.)?([^:\/\n]+)"")),"""")"),"sakamotoproperties.com")</f>
        <v>sakamotoproperties.com</v>
      </c>
    </row>
    <row r="992" spans="1:2" ht="12.5">
      <c r="A992" s="3" t="s">
        <v>1248</v>
      </c>
      <c r="B992" s="4" t="str">
        <f ca="1">IFERROR(__xludf.DUMMYFUNCTION("IFERROR(ARRAYFORMULA(REGEXEXTRACT(A992,""^(?:https?:\/\/)?(?:[^@\n]+@)?(?:www\.)?([^:\/\n]+)"")),"""")"),"move-central.com")</f>
        <v>move-central.com</v>
      </c>
    </row>
    <row r="993" spans="1:2" ht="12.5">
      <c r="A993" s="3" t="s">
        <v>1249</v>
      </c>
      <c r="B993" s="4" t="str">
        <f ca="1">IFERROR(__xludf.DUMMYFUNCTION("IFERROR(ARRAYFORMULA(REGEXEXTRACT(A993,""^(?:https?:\/\/)?(?:[^@\n]+@)?(?:www\.)?([^:\/\n]+)"")),"""")"),"durangohomesforsale.com")</f>
        <v>durangohomesforsale.com</v>
      </c>
    </row>
    <row r="994" spans="1:2" ht="12.5">
      <c r="A994" s="3" t="s">
        <v>1250</v>
      </c>
      <c r="B994" s="4" t="str">
        <f ca="1">IFERROR(__xludf.DUMMYFUNCTION("IFERROR(ARRAYFORMULA(REGEXEXTRACT(A994,""^(?:https?:\/\/)?(?:[^@\n]+@)?(?:www\.)?([^:\/\n]+)"")),"""")"),"entrepreneurshiplife.com")</f>
        <v>entrepreneurshiplife.com</v>
      </c>
    </row>
    <row r="995" spans="1:2" ht="12.5">
      <c r="A995" s="3" t="s">
        <v>1251</v>
      </c>
      <c r="B995" s="4" t="str">
        <f ca="1">IFERROR(__xludf.DUMMYFUNCTION("IFERROR(ARRAYFORMULA(REGEXEXTRACT(A995,""^(?:https?:\/\/)?(?:[^@\n]+@)?(?:www\.)?([^:\/\n]+)"")),"""")"),"roboticpoolcleanerscompared.com")</f>
        <v>roboticpoolcleanerscompared.com</v>
      </c>
    </row>
    <row r="996" spans="1:2" ht="12.5">
      <c r="A996" s="3" t="s">
        <v>1252</v>
      </c>
      <c r="B996" s="4" t="str">
        <f ca="1">IFERROR(__xludf.DUMMYFUNCTION("IFERROR(ARRAYFORMULA(REGEXEXTRACT(A996,""^(?:https?:\/\/)?(?:[^@\n]+@)?(?:www\.)?([^:\/\n]+)"")),"""")"),"breathemaids.com")</f>
        <v>breathemaids.com</v>
      </c>
    </row>
    <row r="997" spans="1:2" ht="12.5">
      <c r="A997" s="3" t="s">
        <v>1253</v>
      </c>
      <c r="B997" s="4" t="str">
        <f ca="1">IFERROR(__xludf.DUMMYFUNCTION("IFERROR(ARRAYFORMULA(REGEXEXTRACT(A997,""^(?:https?:\/\/)?(?:[^@\n]+@)?(?:www\.)?([^:\/\n]+)"")),"""")"),"gokcecapital.com")</f>
        <v>gokcecapital.com</v>
      </c>
    </row>
    <row r="998" spans="1:2" ht="12.5">
      <c r="A998" s="3" t="s">
        <v>1254</v>
      </c>
      <c r="B998" s="4" t="str">
        <f ca="1">IFERROR(__xludf.DUMMYFUNCTION("IFERROR(ARRAYFORMULA(REGEXEXTRACT(A998,""^(?:https?:\/\/)?(?:[^@\n]+@)?(?:www\.)?([^:\/\n]+)"")),"""")"),"stoprentingperth.com")</f>
        <v>stoprentingperth.com</v>
      </c>
    </row>
    <row r="999" spans="1:2" ht="12.5">
      <c r="A999" s="3" t="s">
        <v>1255</v>
      </c>
      <c r="B999" s="4" t="str">
        <f ca="1">IFERROR(__xludf.DUMMYFUNCTION("IFERROR(ARRAYFORMULA(REGEXEXTRACT(A999,""^(?:https?:\/\/)?(?:[^@\n]+@)?(?:www\.)?([^:\/\n]+)"")),"""")"),"henfieldstorage.co.uk")</f>
        <v>henfieldstorage.co.uk</v>
      </c>
    </row>
    <row r="1000" spans="1:2" ht="12.5">
      <c r="A1000" s="3" t="s">
        <v>1256</v>
      </c>
      <c r="B1000" s="4" t="str">
        <f ca="1">IFERROR(__xludf.DUMMYFUNCTION("IFERROR(ARRAYFORMULA(REGEXEXTRACT(A1000,""^(?:https?:\/\/)?(?:[^@\n]+@)?(?:www\.)?([^:\/\n]+)"")),"""")"),"revealhomestyle.com")</f>
        <v>revealhomestyle.com</v>
      </c>
    </row>
    <row r="1001" spans="1:2" ht="12.5">
      <c r="A1001" s="3" t="s">
        <v>1257</v>
      </c>
      <c r="B1001" s="4" t="str">
        <f ca="1">IFERROR(__xludf.DUMMYFUNCTION("IFERROR(ARRAYFORMULA(REGEXEXTRACT(A1001,""^(?:https?:\/\/)?(?:[^@\n]+@)?(?:www\.)?([^:\/\n]+)"")),"""")"),"calibrecleaning.com.au")</f>
        <v>calibrecleaning.com.au</v>
      </c>
    </row>
    <row r="1002" spans="1:2" ht="12.5">
      <c r="A1002" s="3" t="s">
        <v>1258</v>
      </c>
      <c r="B1002" s="4" t="str">
        <f ca="1">IFERROR(__xludf.DUMMYFUNCTION("IFERROR(ARRAYFORMULA(REGEXEXTRACT(A1002,""^(?:https?:\/\/)?(?:[^@\n]+@)?(?:www\.)?([^:\/\n]+)"")),"""")"),"getbellhops.com")</f>
        <v>getbellhops.com</v>
      </c>
    </row>
    <row r="1003" spans="1:2" ht="12.5">
      <c r="A1003" s="3" t="s">
        <v>1259</v>
      </c>
      <c r="B1003" s="4" t="str">
        <f ca="1">IFERROR(__xludf.DUMMYFUNCTION("IFERROR(ARRAYFORMULA(REGEXEXTRACT(A1003,""^(?:https?:\/\/)?(?:[^@\n]+@)?(?:www\.)?([^:\/\n]+)"")),"""")"),"austinrenc.com")</f>
        <v>austinrenc.com</v>
      </c>
    </row>
    <row r="1004" spans="1:2" ht="12.5">
      <c r="A1004" s="3" t="s">
        <v>1260</v>
      </c>
      <c r="B1004" s="4" t="str">
        <f ca="1">IFERROR(__xludf.DUMMYFUNCTION("IFERROR(ARRAYFORMULA(REGEXEXTRACT(A1004,""^(?:https?:\/\/)?(?:[^@\n]+@)?(?:www\.)?([^:\/\n]+)"")),"""")"),"reiadallas.com")</f>
        <v>reiadallas.com</v>
      </c>
    </row>
    <row r="1005" spans="1:2" ht="12.5">
      <c r="A1005" s="3" t="s">
        <v>1261</v>
      </c>
      <c r="B1005" s="4" t="str">
        <f ca="1">IFERROR(__xludf.DUMMYFUNCTION("IFERROR(ARRAYFORMULA(REGEXEXTRACT(A1005,""^(?:https?:\/\/)?(?:[^@\n]+@)?(?:www\.)?([^:\/\n]+)"")),"""")"),"landlordtips.com")</f>
        <v>landlordtips.com</v>
      </c>
    </row>
    <row r="1006" spans="1:2" ht="12.5">
      <c r="A1006" s="3" t="s">
        <v>1262</v>
      </c>
      <c r="B1006" s="4" t="str">
        <f ca="1">IFERROR(__xludf.DUMMYFUNCTION("IFERROR(ARRAYFORMULA(REGEXEXTRACT(A1006,""^(?:https?:\/\/)?(?:[^@\n]+@)?(?:www\.)?([^:\/\n]+)"")),"""")"),"solidconstructiondesign.com")</f>
        <v>solidconstructiondesign.com</v>
      </c>
    </row>
    <row r="1007" spans="1:2" ht="12.5">
      <c r="A1007" s="3" t="s">
        <v>1263</v>
      </c>
      <c r="B1007" s="4" t="str">
        <f ca="1">IFERROR(__xludf.DUMMYFUNCTION("IFERROR(ARRAYFORMULA(REGEXEXTRACT(A1007,""^(?:https?:\/\/)?(?:[^@\n]+@)?(?:www\.)?([^:\/\n]+)"")),"""")"),"starvingstudents.com")</f>
        <v>starvingstudents.com</v>
      </c>
    </row>
    <row r="1008" spans="1:2" ht="12.5">
      <c r="A1008" s="3" t="s">
        <v>1264</v>
      </c>
      <c r="B1008" s="4" t="str">
        <f ca="1">IFERROR(__xludf.DUMMYFUNCTION("IFERROR(ARRAYFORMULA(REGEXEXTRACT(A1008,""^(?:https?:\/\/)?(?:[^@\n]+@)?(?:www\.)?([^:\/\n]+)"")),"""")"),"beautifultouches.com")</f>
        <v>beautifultouches.com</v>
      </c>
    </row>
    <row r="1009" spans="1:2" ht="12.5">
      <c r="A1009" s="3" t="s">
        <v>1265</v>
      </c>
      <c r="B1009" s="4" t="str">
        <f ca="1">IFERROR(__xludf.DUMMYFUNCTION("IFERROR(ARRAYFORMULA(REGEXEXTRACT(A1009,""^(?:https?:\/\/)?(?:[^@\n]+@)?(?:www\.)?([^:\/\n]+)"")),"""")"),"readysteadysell.co.uk")</f>
        <v>readysteadysell.co.uk</v>
      </c>
    </row>
    <row r="1010" spans="1:2" ht="12.5">
      <c r="A1010" s="3" t="s">
        <v>1266</v>
      </c>
      <c r="B1010" s="4" t="str">
        <f ca="1">IFERROR(__xludf.DUMMYFUNCTION("IFERROR(ARRAYFORMULA(REGEXEXTRACT(A1010,""^(?:https?:\/\/)?(?:[^@\n]+@)?(?:www\.)?([^:\/\n]+)"")),"""")"),"johnsontaylorlaw.com")</f>
        <v>johnsontaylorlaw.com</v>
      </c>
    </row>
    <row r="1011" spans="1:2" ht="12.5">
      <c r="A1011" s="3" t="s">
        <v>1267</v>
      </c>
      <c r="B1011" s="4" t="str">
        <f ca="1">IFERROR(__xludf.DUMMYFUNCTION("IFERROR(ARRAYFORMULA(REGEXEXTRACT(A1011,""^(?:https?:\/\/)?(?:[^@\n]+@)?(?:www\.)?([^:\/\n]+)"")),"""")"),"vaughanandvaughan.com")</f>
        <v>vaughanandvaughan.com</v>
      </c>
    </row>
    <row r="1012" spans="1:2" ht="12.5">
      <c r="A1012" s="3" t="s">
        <v>1268</v>
      </c>
      <c r="B1012" s="4" t="str">
        <f ca="1">IFERROR(__xludf.DUMMYFUNCTION("IFERROR(ARRAYFORMULA(REGEXEXTRACT(A1012,""^(?:https?:\/\/)?(?:[^@\n]+@)?(?:www\.)?([^:\/\n]+)"")),"""")"),"texasrealestate.com")</f>
        <v>texasrealestate.com</v>
      </c>
    </row>
    <row r="1013" spans="1:2" ht="12.5">
      <c r="A1013" s="3" t="s">
        <v>1269</v>
      </c>
      <c r="B1013" s="4" t="str">
        <f ca="1">IFERROR(__xludf.DUMMYFUNCTION("IFERROR(ARRAYFORMULA(REGEXEXTRACT(A1013,""^(?:https?:\/\/)?(?:[^@\n]+@)?(?:www\.)?([^:\/\n]+)"")),"""")"),"restrightmattress.com")</f>
        <v>restrightmattress.com</v>
      </c>
    </row>
    <row r="1014" spans="1:2" ht="12.5">
      <c r="A1014" s="3" t="s">
        <v>1270</v>
      </c>
      <c r="B1014" s="4" t="str">
        <f ca="1">IFERROR(__xludf.DUMMYFUNCTION("IFERROR(ARRAYFORMULA(REGEXEXTRACT(A1014,""^(?:https?:\/\/)?(?:[^@\n]+@)?(?:www\.)?([^:\/\n]+)"")),"""")"),"expatriatehealthcare.com")</f>
        <v>expatriatehealthcare.com</v>
      </c>
    </row>
    <row r="1015" spans="1:2" ht="12.5">
      <c r="A1015" s="3" t="s">
        <v>1271</v>
      </c>
      <c r="B1015" s="4" t="str">
        <f ca="1">IFERROR(__xludf.DUMMYFUNCTION("IFERROR(ARRAYFORMULA(REGEXEXTRACT(A1015,""^(?:https?:\/\/)?(?:[^@\n]+@)?(?:www\.)?([^:\/\n]+)"")),"""")"),"thecotocongroup.com")</f>
        <v>thecotocongroup.com</v>
      </c>
    </row>
    <row r="1016" spans="1:2" ht="12.5">
      <c r="A1016" s="3" t="s">
        <v>1272</v>
      </c>
      <c r="B1016" s="4" t="str">
        <f ca="1">IFERROR(__xludf.DUMMYFUNCTION("IFERROR(ARRAYFORMULA(REGEXEXTRACT(A1016,""^(?:https?:\/\/)?(?:[^@\n]+@)?(?:www\.)?([^:\/\n]+)"")),"""")"),"plexusrd.com")</f>
        <v>plexusrd.com</v>
      </c>
    </row>
    <row r="1017" spans="1:2" ht="12.5">
      <c r="A1017" s="3" t="s">
        <v>1273</v>
      </c>
      <c r="B1017" s="4" t="str">
        <f ca="1">IFERROR(__xludf.DUMMYFUNCTION("IFERROR(ARRAYFORMULA(REGEXEXTRACT(A1017,""^(?:https?:\/\/)?(?:[^@\n]+@)?(?:www\.)?([^:\/\n]+)"")),"""")"),"simplyspotless.com.au")</f>
        <v>simplyspotless.com.au</v>
      </c>
    </row>
    <row r="1018" spans="1:2" ht="12.5">
      <c r="A1018" s="3" t="s">
        <v>1274</v>
      </c>
      <c r="B1018" s="4" t="str">
        <f ca="1">IFERROR(__xludf.DUMMYFUNCTION("IFERROR(ARRAYFORMULA(REGEXEXTRACT(A1018,""^(?:https?:\/\/)?(?:[^@\n]+@)?(?:www\.)?([^:\/\n]+)"")),"""")"),"theurbanavenue.com")</f>
        <v>theurbanavenue.com</v>
      </c>
    </row>
    <row r="1019" spans="1:2" ht="12.5">
      <c r="A1019" s="3" t="s">
        <v>1275</v>
      </c>
      <c r="B1019" s="4" t="str">
        <f ca="1">IFERROR(__xludf.DUMMYFUNCTION("IFERROR(ARRAYFORMULA(REGEXEXTRACT(A1019,""^(?:https?:\/\/)?(?:[^@\n]+@)?(?:www\.)?([^:\/\n]+)"")),"""")"),"kentremovalsstorage.com.au")</f>
        <v>kentremovalsstorage.com.au</v>
      </c>
    </row>
    <row r="1020" spans="1:2" ht="12.5">
      <c r="A1020" s="3" t="s">
        <v>1276</v>
      </c>
      <c r="B1020" s="4" t="str">
        <f ca="1">IFERROR(__xludf.DUMMYFUNCTION("IFERROR(ARRAYFORMULA(REGEXEXTRACT(A1020,""^(?:https?:\/\/)?(?:[^@\n]+@)?(?:www\.)?([^:\/\n]+)"")),"""")"),"artilux.com.au")</f>
        <v>artilux.com.au</v>
      </c>
    </row>
    <row r="1021" spans="1:2" ht="12.5">
      <c r="A1021" s="3" t="s">
        <v>1277</v>
      </c>
      <c r="B1021" s="4" t="str">
        <f ca="1">IFERROR(__xludf.DUMMYFUNCTION("IFERROR(ARRAYFORMULA(REGEXEXTRACT(A1021,""^(?:https?:\/\/)?(?:[^@\n]+@)?(?:www\.)?([^:\/\n]+)"")),"""")"),"rosenbauminjuryfirm.com")</f>
        <v>rosenbauminjuryfirm.com</v>
      </c>
    </row>
    <row r="1022" spans="1:2" ht="12.5">
      <c r="A1022" s="3" t="s">
        <v>1278</v>
      </c>
      <c r="B1022" s="4" t="str">
        <f ca="1">IFERROR(__xludf.DUMMYFUNCTION("IFERROR(ARRAYFORMULA(REGEXEXTRACT(A1022,""^(?:https?:\/\/)?(?:[^@\n]+@)?(?:www\.)?([^:\/\n]+)"")),"""")"),"leavethekey.com")</f>
        <v>leavethekey.com</v>
      </c>
    </row>
    <row r="1023" spans="1:2" ht="12.5">
      <c r="A1023" s="3" t="s">
        <v>1279</v>
      </c>
      <c r="B1023" s="4" t="str">
        <f ca="1">IFERROR(__xludf.DUMMYFUNCTION("IFERROR(ARRAYFORMULA(REGEXEXTRACT(A1023,""^(?:https?:\/\/)?(?:[^@\n]+@)?(?:www\.)?([^:\/\n]+)"")),"""")"),"interest.com")</f>
        <v>interest.com</v>
      </c>
    </row>
    <row r="1024" spans="1:2" ht="12.5">
      <c r="A1024" s="3" t="s">
        <v>1280</v>
      </c>
      <c r="B1024" s="4" t="str">
        <f ca="1">IFERROR(__xludf.DUMMYFUNCTION("IFERROR(ARRAYFORMULA(REGEXEXTRACT(A1024,""^(?:https?:\/\/)?(?:[^@\n]+@)?(?:www\.)?([^:\/\n]+)"")),"""")"),"superstormrestoration.com")</f>
        <v>superstormrestoration.com</v>
      </c>
    </row>
    <row r="1025" spans="1:2" ht="12.5">
      <c r="A1025" s="3" t="s">
        <v>1281</v>
      </c>
      <c r="B1025" s="4" t="str">
        <f ca="1">IFERROR(__xludf.DUMMYFUNCTION("IFERROR(ARRAYFORMULA(REGEXEXTRACT(A1025,""^(?:https?:\/\/)?(?:[^@\n]+@)?(?:www\.)?([^:\/\n]+)"")),"""")"),"hometownstructures.com")</f>
        <v>hometownstructures.com</v>
      </c>
    </row>
    <row r="1026" spans="1:2" ht="12.5">
      <c r="A1026" s="3" t="s">
        <v>1282</v>
      </c>
      <c r="B1026" s="4" t="str">
        <f ca="1">IFERROR(__xludf.DUMMYFUNCTION("IFERROR(ARRAYFORMULA(REGEXEXTRACT(A1026,""^(?:https?:\/\/)?(?:[^@\n]+@)?(?:www\.)?([^:\/\n]+)"")),"""")"),"didyouknowhomes.com")</f>
        <v>didyouknowhomes.com</v>
      </c>
    </row>
    <row r="1027" spans="1:2" ht="12.5">
      <c r="A1027" s="3" t="s">
        <v>1283</v>
      </c>
      <c r="B1027" s="4" t="str">
        <f ca="1">IFERROR(__xludf.DUMMYFUNCTION("IFERROR(ARRAYFORMULA(REGEXEXTRACT(A1027,""^(?:https?:\/\/)?(?:[^@\n]+@)?(?:www\.)?([^:\/\n]+)"")),"""")"),"web-don.com")</f>
        <v>web-don.com</v>
      </c>
    </row>
    <row r="1028" spans="1:2" ht="12.5">
      <c r="A1028" s="3" t="s">
        <v>1284</v>
      </c>
      <c r="B1028" s="4" t="str">
        <f ca="1">IFERROR(__xludf.DUMMYFUNCTION("IFERROR(ARRAYFORMULA(REGEXEXTRACT(A1028,""^(?:https?:\/\/)?(?:[^@\n]+@)?(?:www\.)?([^:\/\n]+)"")),"""")"),"creativemetalmd.com")</f>
        <v>creativemetalmd.com</v>
      </c>
    </row>
    <row r="1029" spans="1:2" ht="12.5">
      <c r="A1029" s="3" t="s">
        <v>1285</v>
      </c>
      <c r="B1029" s="4" t="str">
        <f ca="1">IFERROR(__xludf.DUMMYFUNCTION("IFERROR(ARRAYFORMULA(REGEXEXTRACT(A1029,""^(?:https?:\/\/)?(?:[^@\n]+@)?(?:www\.)?([^:\/\n]+)"")),"""")"),"carolinarealestatecentral.com")</f>
        <v>carolinarealestatecentral.com</v>
      </c>
    </row>
    <row r="1030" spans="1:2" ht="12.5">
      <c r="A1030" s="3" t="s">
        <v>1286</v>
      </c>
      <c r="B1030" s="4" t="str">
        <f ca="1">IFERROR(__xludf.DUMMYFUNCTION("IFERROR(ARRAYFORMULA(REGEXEXTRACT(A1030,""^(?:https?:\/\/)?(?:[^@\n]+@)?(?:www\.)?([^:\/\n]+)"")),"""")"),"theearnesthomes.com")</f>
        <v>theearnesthomes.com</v>
      </c>
    </row>
    <row r="1031" spans="1:2" ht="12.5">
      <c r="A1031" s="3" t="s">
        <v>1287</v>
      </c>
      <c r="B1031" s="4" t="str">
        <f ca="1">IFERROR(__xludf.DUMMYFUNCTION("IFERROR(ARRAYFORMULA(REGEXEXTRACT(A1031,""^(?:https?:\/\/)?(?:[^@\n]+@)?(?:www\.)?([^:\/\n]+)"")),"""")"),"cmc-realty.com")</f>
        <v>cmc-realty.com</v>
      </c>
    </row>
    <row r="1032" spans="1:2" ht="12.5">
      <c r="A1032" s="3" t="s">
        <v>1288</v>
      </c>
      <c r="B1032" s="4" t="str">
        <f ca="1">IFERROR(__xludf.DUMMYFUNCTION("IFERROR(ARRAYFORMULA(REGEXEXTRACT(A1032,""^(?:https?:\/\/)?(?:[^@\n]+@)?(?:www\.)?([^:\/\n]+)"")),"""")"),"hatchrealty.com")</f>
        <v>hatchrealty.com</v>
      </c>
    </row>
    <row r="1033" spans="1:2" ht="12.5">
      <c r="A1033" s="3" t="s">
        <v>1289</v>
      </c>
      <c r="B1033" s="4" t="str">
        <f ca="1">IFERROR(__xludf.DUMMYFUNCTION("IFERROR(ARRAYFORMULA(REGEXEXTRACT(A1033,""^(?:https?:\/\/)?(?:[^@\n]+@)?(?:www\.)?([^:\/\n]+)"")),"""")"),"horizonmoversqc.com")</f>
        <v>horizonmoversqc.com</v>
      </c>
    </row>
    <row r="1034" spans="1:2" ht="12.5">
      <c r="A1034" s="3" t="s">
        <v>1290</v>
      </c>
      <c r="B1034" s="4" t="str">
        <f ca="1">IFERROR(__xludf.DUMMYFUNCTION("IFERROR(ARRAYFORMULA(REGEXEXTRACT(A1034,""^(?:https?:\/\/)?(?:[^@\n]+@)?(?:www\.)?([^:\/\n]+)"")),"""")"),"gotartwork.com")</f>
        <v>gotartwork.com</v>
      </c>
    </row>
    <row r="1035" spans="1:2" ht="12.5">
      <c r="A1035" s="3" t="s">
        <v>1291</v>
      </c>
      <c r="B1035" s="4" t="str">
        <f ca="1">IFERROR(__xludf.DUMMYFUNCTION("IFERROR(ARRAYFORMULA(REGEXEXTRACT(A1035,""^(?:https?:\/\/)?(?:[^@\n]+@)?(?:www\.)?([^:\/\n]+)"")),"""")"),"landhub.com")</f>
        <v>landhub.com</v>
      </c>
    </row>
    <row r="1036" spans="1:2" ht="12.5">
      <c r="A1036" s="3" t="s">
        <v>1292</v>
      </c>
      <c r="B1036" s="4" t="str">
        <f ca="1">IFERROR(__xludf.DUMMYFUNCTION("IFERROR(ARRAYFORMULA(REGEXEXTRACT(A1036,""^(?:https?:\/\/)?(?:[^@\n]+@)?(?:www\.)?([^:\/\n]+)"")),"""")"),"saintinvestment.com")</f>
        <v>saintinvestment.com</v>
      </c>
    </row>
    <row r="1037" spans="1:2" ht="12.5">
      <c r="A1037" s="3" t="s">
        <v>1293</v>
      </c>
      <c r="B1037" s="4" t="str">
        <f ca="1">IFERROR(__xludf.DUMMYFUNCTION("IFERROR(ARRAYFORMULA(REGEXEXTRACT(A1037,""^(?:https?:\/\/)?(?:[^@\n]+@)?(?:www\.)?([^:\/\n]+)"")),"""")"),"myhomemyglobe.com")</f>
        <v>myhomemyglobe.com</v>
      </c>
    </row>
    <row r="1038" spans="1:2" ht="12.5">
      <c r="A1038" s="3" t="s">
        <v>1294</v>
      </c>
      <c r="B1038" s="4" t="str">
        <f ca="1">IFERROR(__xludf.DUMMYFUNCTION("IFERROR(ARRAYFORMULA(REGEXEXTRACT(A1038,""^(?:https?:\/\/)?(?:[^@\n]+@)?(?:www\.)?([^:\/\n]+)"")),"""")"),"storagecafe.com")</f>
        <v>storagecafe.com</v>
      </c>
    </row>
    <row r="1039" spans="1:2" ht="12.5">
      <c r="A1039" s="3" t="s">
        <v>1295</v>
      </c>
      <c r="B1039" s="4" t="str">
        <f ca="1">IFERROR(__xludf.DUMMYFUNCTION("IFERROR(ARRAYFORMULA(REGEXEXTRACT(A1039,""^(?:https?:\/\/)?(?:[^@\n]+@)?(?:www\.)?([^:\/\n]+)"")),"""")"),"bighornirondoors.com")</f>
        <v>bighornirondoors.com</v>
      </c>
    </row>
    <row r="1040" spans="1:2" ht="12.5">
      <c r="A1040" s="3" t="s">
        <v>1296</v>
      </c>
      <c r="B1040" s="4" t="str">
        <f ca="1">IFERROR(__xludf.DUMMYFUNCTION("IFERROR(ARRAYFORMULA(REGEXEXTRACT(A1040,""^(?:https?:\/\/)?(?:[^@\n]+@)?(?:www\.)?([^:\/\n]+)"")),"""")"),"restanddigest.com.au")</f>
        <v>restanddigest.com.au</v>
      </c>
    </row>
    <row r="1041" spans="1:2" ht="12.5">
      <c r="A1041" s="3" t="s">
        <v>1297</v>
      </c>
      <c r="B1041" s="4" t="str">
        <f ca="1">IFERROR(__xludf.DUMMYFUNCTION("IFERROR(ARRAYFORMULA(REGEXEXTRACT(A1041,""^(?:https?:\/\/)?(?:[^@\n]+@)?(?:www\.)?([^:\/\n]+)"")),"""")"),"sellwithstroud.com")</f>
        <v>sellwithstroud.com</v>
      </c>
    </row>
    <row r="1042" spans="1:2" ht="12.5">
      <c r="A1042" s="3" t="s">
        <v>1298</v>
      </c>
      <c r="B1042" s="4" t="str">
        <f ca="1">IFERROR(__xludf.DUMMYFUNCTION("IFERROR(ARRAYFORMULA(REGEXEXTRACT(A1042,""^(?:https?:\/\/)?(?:[^@\n]+@)?(?:www\.)?([^:\/\n]+)"")),"""")"),"jome.com")</f>
        <v>jome.com</v>
      </c>
    </row>
    <row r="1043" spans="1:2" ht="12.5">
      <c r="A1043" s="3" t="s">
        <v>1299</v>
      </c>
      <c r="B1043" s="4" t="str">
        <f ca="1">IFERROR(__xludf.DUMMYFUNCTION("IFERROR(ARRAYFORMULA(REGEXEXTRACT(A1043,""^(?:https?:\/\/)?(?:[^@\n]+@)?(?:www\.)?([^:\/\n]+)"")),"""")"),"getmultifamily.com")</f>
        <v>getmultifamily.com</v>
      </c>
    </row>
    <row r="1044" spans="1:2" ht="12.5">
      <c r="A1044" s="3" t="s">
        <v>1300</v>
      </c>
      <c r="B1044" s="4" t="str">
        <f ca="1">IFERROR(__xludf.DUMMYFUNCTION("IFERROR(ARRAYFORMULA(REGEXEXTRACT(A1044,""^(?:https?:\/\/)?(?:[^@\n]+@)?(?:www\.)?([^:\/\n]+)"")),"""")"),"provincialhomes.com.au")</f>
        <v>provincialhomes.com.au</v>
      </c>
    </row>
    <row r="1045" spans="1:2" ht="12.5">
      <c r="A1045" s="3" t="s">
        <v>1301</v>
      </c>
      <c r="B1045" s="4" t="str">
        <f ca="1">IFERROR(__xludf.DUMMYFUNCTION("IFERROR(ARRAYFORMULA(REGEXEXTRACT(A1045,""^(?:https?:\/\/)?(?:[^@\n]+@)?(?:www\.)?([^:\/\n]+)"")),"""")"),"residedfw.com")</f>
        <v>residedfw.com</v>
      </c>
    </row>
    <row r="1046" spans="1:2" ht="12.5">
      <c r="A1046" s="3" t="s">
        <v>1302</v>
      </c>
      <c r="B1046" s="4" t="str">
        <f ca="1">IFERROR(__xludf.DUMMYFUNCTION("IFERROR(ARRAYFORMULA(REGEXEXTRACT(A1046,""^(?:https?:\/\/)?(?:[^@\n]+@)?(?:www\.)?([^:\/\n]+)"")),"""")"),"dakineservicesinc.com")</f>
        <v>dakineservicesinc.com</v>
      </c>
    </row>
    <row r="1047" spans="1:2" ht="12.5">
      <c r="A1047" s="3" t="s">
        <v>1303</v>
      </c>
      <c r="B1047" s="4" t="str">
        <f ca="1">IFERROR(__xludf.DUMMYFUNCTION("IFERROR(ARRAYFORMULA(REGEXEXTRACT(A1047,""^(?:https?:\/\/)?(?:[^@\n]+@)?(?:www\.)?([^:\/\n]+)"")),"""")"),"smartbox.com.au")</f>
        <v>smartbox.com.au</v>
      </c>
    </row>
    <row r="1048" spans="1:2" ht="12.5">
      <c r="A1048" s="3" t="s">
        <v>1304</v>
      </c>
      <c r="B1048" s="4" t="str">
        <f ca="1">IFERROR(__xludf.DUMMYFUNCTION("IFERROR(ARRAYFORMULA(REGEXEXTRACT(A1048,""^(?:https?:\/\/)?(?:[^@\n]+@)?(?:www\.)?([^:\/\n]+)"")),"""")"),"belonghome.com")</f>
        <v>belonghome.com</v>
      </c>
    </row>
    <row r="1049" spans="1:2" ht="12.5">
      <c r="A1049" s="3" t="s">
        <v>1305</v>
      </c>
      <c r="B1049" s="4" t="str">
        <f ca="1">IFERROR(__xludf.DUMMYFUNCTION("IFERROR(ARRAYFORMULA(REGEXEXTRACT(A1049,""^(?:https?:\/\/)?(?:[^@\n]+@)?(?:www\.)?([^:\/\n]+)"")),"""")"),"budgetdumpster.com")</f>
        <v>budgetdumpster.com</v>
      </c>
    </row>
    <row r="1050" spans="1:2" ht="12.5">
      <c r="A1050" s="3" t="s">
        <v>1306</v>
      </c>
      <c r="B1050" s="4" t="str">
        <f ca="1">IFERROR(__xludf.DUMMYFUNCTION("IFERROR(ARRAYFORMULA(REGEXEXTRACT(A1050,""^(?:https?:\/\/)?(?:[^@\n]+@)?(?:www\.)?([^:\/\n]+)"")),"""")"),"zipmoving.us")</f>
        <v>zipmoving.us</v>
      </c>
    </row>
    <row r="1051" spans="1:2" ht="12.5">
      <c r="A1051" s="3" t="s">
        <v>1307</v>
      </c>
      <c r="B1051" s="4" t="str">
        <f ca="1">IFERROR(__xludf.DUMMYFUNCTION("IFERROR(ARRAYFORMULA(REGEXEXTRACT(A1051,""^(?:https?:\/\/)?(?:[^@\n]+@)?(?:www\.)?([^:\/\n]+)"")),"""")"),"hippo.com")</f>
        <v>hippo.com</v>
      </c>
    </row>
    <row r="1052" spans="1:2" ht="12.5">
      <c r="A1052" s="3" t="s">
        <v>1308</v>
      </c>
      <c r="B1052" s="4" t="str">
        <f ca="1">IFERROR(__xludf.DUMMYFUNCTION("IFERROR(ARRAYFORMULA(REGEXEXTRACT(A1052,""^(?:https?:\/\/)?(?:[^@\n]+@)?(?:www\.)?([^:\/\n]+)"")),"""")"),"oahumilitaryrealestate.com")</f>
        <v>oahumilitaryrealestate.com</v>
      </c>
    </row>
    <row r="1053" spans="1:2" ht="12.5">
      <c r="A1053" s="3" t="s">
        <v>1309</v>
      </c>
      <c r="B1053" s="4" t="str">
        <f ca="1">IFERROR(__xludf.DUMMYFUNCTION("IFERROR(ARRAYFORMULA(REGEXEXTRACT(A1053,""^(?:https?:\/\/)?(?:[^@\n]+@)?(?:www\.)?([^:\/\n]+)"")),"""")"),"theblueground.com")</f>
        <v>theblueground.com</v>
      </c>
    </row>
    <row r="1054" spans="1:2" ht="12.5">
      <c r="A1054" s="3" t="s">
        <v>1310</v>
      </c>
      <c r="B1054" s="4" t="str">
        <f ca="1">IFERROR(__xludf.DUMMYFUNCTION("IFERROR(ARRAYFORMULA(REGEXEXTRACT(A1054,""^(?:https?:\/\/)?(?:[^@\n]+@)?(?:www\.)?([^:\/\n]+)"")),"""")"),"homego.com")</f>
        <v>homego.com</v>
      </c>
    </row>
    <row r="1055" spans="1:2" ht="12.5">
      <c r="A1055" s="3" t="s">
        <v>1311</v>
      </c>
      <c r="B1055" s="4" t="str">
        <f ca="1">IFERROR(__xludf.DUMMYFUNCTION("IFERROR(ARRAYFORMULA(REGEXEXTRACT(A1055,""^(?:https?:\/\/)?(?:[^@\n]+@)?(?:www\.)?([^:\/\n]+)"")),"""")"),"thehomeloanexpert.com")</f>
        <v>thehomeloanexpert.com</v>
      </c>
    </row>
    <row r="1056" spans="1:2" ht="12.5">
      <c r="A1056" s="3" t="s">
        <v>1312</v>
      </c>
      <c r="B1056" s="4" t="str">
        <f ca="1">IFERROR(__xludf.DUMMYFUNCTION("IFERROR(ARRAYFORMULA(REGEXEXTRACT(A1056,""^(?:https?:\/\/)?(?:[^@\n]+@)?(?:www\.)?([^:\/\n]+)"")),"""")"),"mainlinephillyhomes.com")</f>
        <v>mainlinephillyhomes.com</v>
      </c>
    </row>
    <row r="1057" spans="1:2" ht="12.5">
      <c r="A1057" s="3" t="s">
        <v>1313</v>
      </c>
      <c r="B1057" s="4" t="str">
        <f ca="1">IFERROR(__xludf.DUMMYFUNCTION("IFERROR(ARRAYFORMULA(REGEXEXTRACT(A1057,""^(?:https?:\/\/)?(?:[^@\n]+@)?(?:www\.)?([^:\/\n]+)"")),"""")"),"ecmservice.com")</f>
        <v>ecmservice.com</v>
      </c>
    </row>
    <row r="1058" spans="1:2" ht="12.5">
      <c r="A1058" s="3" t="s">
        <v>1314</v>
      </c>
      <c r="B1058" s="4" t="str">
        <f ca="1">IFERROR(__xludf.DUMMYFUNCTION("IFERROR(ARRAYFORMULA(REGEXEXTRACT(A1058,""^(?:https?:\/\/)?(?:[^@\n]+@)?(?:www\.)?([^:\/\n]+)"")),"""")"),"robbrealtyatlanta.com")</f>
        <v>robbrealtyatlanta.com</v>
      </c>
    </row>
    <row r="1059" spans="1:2" ht="12.5">
      <c r="A1059" s="3" t="s">
        <v>1315</v>
      </c>
      <c r="B1059" s="4" t="str">
        <f ca="1">IFERROR(__xludf.DUMMYFUNCTION("IFERROR(ARRAYFORMULA(REGEXEXTRACT(A1059,""^(?:https?:\/\/)?(?:[^@\n]+@)?(?:www\.)?([^:\/\n]+)"")),"""")"),"bensiggins.co.uk")</f>
        <v>bensiggins.co.uk</v>
      </c>
    </row>
    <row r="1060" spans="1:2" ht="12.5">
      <c r="A1060" s="3" t="s">
        <v>1316</v>
      </c>
      <c r="B1060" s="4" t="str">
        <f ca="1">IFERROR(__xludf.DUMMYFUNCTION("IFERROR(ARRAYFORMULA(REGEXEXTRACT(A1060,""^(?:https?:\/\/)?(?:[^@\n]+@)?(?:www\.)?([^:\/\n]+)"")),"""")"),"iamcashbuyer.com")</f>
        <v>iamcashbuyer.com</v>
      </c>
    </row>
    <row r="1061" spans="1:2" ht="12.5">
      <c r="A1061" s="3" t="s">
        <v>1317</v>
      </c>
      <c r="B1061" s="4" t="str">
        <f ca="1">IFERROR(__xludf.DUMMYFUNCTION("IFERROR(ARRAYFORMULA(REGEXEXTRACT(A1061,""^(?:https?:\/\/)?(?:[^@\n]+@)?(?:www\.)?([^:\/\n]+)"")),"""")"),"justo.ca")</f>
        <v>justo.ca</v>
      </c>
    </row>
    <row r="1062" spans="1:2" ht="12.5">
      <c r="A1062" s="3" t="s">
        <v>1318</v>
      </c>
      <c r="B1062" s="4" t="str">
        <f ca="1">IFERROR(__xludf.DUMMYFUNCTION("IFERROR(ARRAYFORMULA(REGEXEXTRACT(A1062,""^(?:https?:\/\/)?(?:[^@\n]+@)?(?:www\.)?([^:\/\n]+)"")),"""")"),"manhattanmiami.com")</f>
        <v>manhattanmiami.com</v>
      </c>
    </row>
    <row r="1063" spans="1:2" ht="12.5">
      <c r="A1063" s="3" t="s">
        <v>1319</v>
      </c>
      <c r="B1063" s="4" t="str">
        <f ca="1">IFERROR(__xludf.DUMMYFUNCTION("IFERROR(ARRAYFORMULA(REGEXEXTRACT(A1063,""^(?:https?:\/\/)?(?:[^@\n]+@)?(?:www\.)?([^:\/\n]+)"")),"""")"),"aireserv.com")</f>
        <v>aireserv.com</v>
      </c>
    </row>
    <row r="1064" spans="1:2" ht="12.5">
      <c r="A1064" s="3" t="s">
        <v>1320</v>
      </c>
      <c r="B1064" s="4" t="str">
        <f ca="1">IFERROR(__xludf.DUMMYFUNCTION("IFERROR(ARRAYFORMULA(REGEXEXTRACT(A1064,""^(?:https?:\/\/)?(?:[^@\n]+@)?(?:www\.)?([^:\/\n]+)"")),"""")"),"lemonlawlawyerscalifornia.com")</f>
        <v>lemonlawlawyerscalifornia.com</v>
      </c>
    </row>
    <row r="1065" spans="1:2" ht="12.5">
      <c r="A1065" s="3" t="s">
        <v>1321</v>
      </c>
      <c r="B1065" s="4" t="str">
        <f ca="1">IFERROR(__xludf.DUMMYFUNCTION("IFERROR(ARRAYFORMULA(REGEXEXTRACT(A1065,""^(?:https?:\/\/)?(?:[^@\n]+@)?(?:www\.)?([^:\/\n]+)"")),"""")"),"moverscrosscanada.ca")</f>
        <v>moverscrosscanada.ca</v>
      </c>
    </row>
    <row r="1066" spans="1:2" ht="12.5">
      <c r="A1066" s="3" t="s">
        <v>1322</v>
      </c>
      <c r="B1066" s="4" t="str">
        <f ca="1">IFERROR(__xludf.DUMMYFUNCTION("IFERROR(ARRAYFORMULA(REGEXEXTRACT(A1066,""^(?:https?:\/\/)?(?:[^@\n]+@)?(?:www\.)?([^:\/\n]+)"")),"""")"),"homes-for-sale.smokymountainhomesforsale.com")</f>
        <v>homes-for-sale.smokymountainhomesforsale.com</v>
      </c>
    </row>
    <row r="1067" spans="1:2" ht="12.5">
      <c r="A1067" s="3" t="s">
        <v>1323</v>
      </c>
      <c r="B1067" s="4" t="str">
        <f ca="1">IFERROR(__xludf.DUMMYFUNCTION("IFERROR(ARRAYFORMULA(REGEXEXTRACT(A1067,""^(?:https?:\/\/)?(?:[^@\n]+@)?(?:www\.)?([^:\/\n]+)"")),"""")"),"junkmastersmn.com")</f>
        <v>junkmastersmn.com</v>
      </c>
    </row>
    <row r="1068" spans="1:2" ht="12.5">
      <c r="A1068" s="3" t="s">
        <v>1324</v>
      </c>
      <c r="B1068" s="4" t="str">
        <f ca="1">IFERROR(__xludf.DUMMYFUNCTION("IFERROR(ARRAYFORMULA(REGEXEXTRACT(A1068,""^(?:https?:\/\/)?(?:[^@\n]+@)?(?:www\.)?([^:\/\n]+)"")),"""")"),"101apartmentforrent.com")</f>
        <v>101apartmentforrent.com</v>
      </c>
    </row>
    <row r="1069" spans="1:2" ht="12.5">
      <c r="A1069" s="3" t="s">
        <v>1325</v>
      </c>
      <c r="B1069" s="4" t="str">
        <f ca="1">IFERROR(__xludf.DUMMYFUNCTION("IFERROR(ARRAYFORMULA(REGEXEXTRACT(A1069,""^(?:https?:\/\/)?(?:[^@\n]+@)?(?:www\.)?([^:\/\n]+)"")),"""")"),"packagingmidlands.co.uk")</f>
        <v>packagingmidlands.co.uk</v>
      </c>
    </row>
    <row r="1070" spans="1:2" ht="12.5">
      <c r="A1070" s="3" t="s">
        <v>1326</v>
      </c>
      <c r="B1070" s="4" t="str">
        <f ca="1">IFERROR(__xludf.DUMMYFUNCTION("IFERROR(ARRAYFORMULA(REGEXEXTRACT(A1070,""^(?:https?:\/\/)?(?:[^@\n]+@)?(?:www\.)?([^:\/\n]+)"")),"""")"),"handykith.com")</f>
        <v>handykith.com</v>
      </c>
    </row>
    <row r="1071" spans="1:2" ht="12.5">
      <c r="A1071" s="3" t="s">
        <v>1327</v>
      </c>
      <c r="B1071" s="4" t="str">
        <f ca="1">IFERROR(__xludf.DUMMYFUNCTION("IFERROR(ARRAYFORMULA(REGEXEXTRACT(A1071,""^(?:https?:\/\/)?(?:[^@\n]+@)?(?:www\.)?([^:\/\n]+)"")),"""")"),"storagebuildingcentral.com")</f>
        <v>storagebuildingcentral.com</v>
      </c>
    </row>
    <row r="1072" spans="1:2" ht="12.5">
      <c r="A1072" s="3" t="s">
        <v>1328</v>
      </c>
      <c r="B1072" s="4" t="str">
        <f ca="1">IFERROR(__xludf.DUMMYFUNCTION("IFERROR(ARRAYFORMULA(REGEXEXTRACT(A1072,""^(?:https?:\/\/)?(?:[^@\n]+@)?(?:www\.)?([^:\/\n]+)"")),"""")"),"crosscountrymovers.com")</f>
        <v>crosscountrymovers.com</v>
      </c>
    </row>
    <row r="1073" spans="1:2" ht="12.5">
      <c r="A1073" s="3" t="s">
        <v>1329</v>
      </c>
      <c r="B1073" s="4" t="str">
        <f ca="1">IFERROR(__xludf.DUMMYFUNCTION("IFERROR(ARRAYFORMULA(REGEXEXTRACT(A1073,""^(?:https?:\/\/)?(?:[^@\n]+@)?(?:www\.)?([^:\/\n]+)"")),"""")"),"moveonremovals.com.au")</f>
        <v>moveonremovals.com.au</v>
      </c>
    </row>
    <row r="1074" spans="1:2" ht="12.5">
      <c r="A1074" s="3" t="s">
        <v>1330</v>
      </c>
      <c r="B1074" s="4" t="str">
        <f ca="1">IFERROR(__xludf.DUMMYFUNCTION("IFERROR(ARRAYFORMULA(REGEXEXTRACT(A1074,""^(?:https?:\/\/)?(?:[^@\n]+@)?(?:www\.)?([^:\/\n]+)"")),"""")"),"thestoragebox.com")</f>
        <v>thestoragebox.com</v>
      </c>
    </row>
    <row r="1075" spans="1:2" ht="12.5">
      <c r="A1075" s="3" t="s">
        <v>1331</v>
      </c>
      <c r="B1075" s="4" t="str">
        <f ca="1">IFERROR(__xludf.DUMMYFUNCTION("IFERROR(ARRAYFORMULA(REGEXEXTRACT(A1075,""^(?:https?:\/\/)?(?:[^@\n]+@)?(?:www\.)?([^:\/\n]+)"")),"""")"),"atoallinks.com")</f>
        <v>atoallinks.com</v>
      </c>
    </row>
    <row r="1076" spans="1:2" ht="12.5">
      <c r="A1076" s="3" t="s">
        <v>1332</v>
      </c>
      <c r="B1076" s="4" t="str">
        <f ca="1">IFERROR(__xludf.DUMMYFUNCTION("IFERROR(ARRAYFORMULA(REGEXEXTRACT(A1076,""^(?:https?:\/\/)?(?:[^@\n]+@)?(?:www\.)?([^:\/\n]+)"")),"""")"),"oldeworldmovers.com")</f>
        <v>oldeworldmovers.com</v>
      </c>
    </row>
    <row r="1077" spans="1:2" ht="12.5">
      <c r="A1077" s="3" t="s">
        <v>1333</v>
      </c>
      <c r="B1077" s="4" t="str">
        <f ca="1">IFERROR(__xludf.DUMMYFUNCTION("IFERROR(ARRAYFORMULA(REGEXEXTRACT(A1077,""^(?:https?:\/\/)?(?:[^@\n]+@)?(?:www\.)?([^:\/\n]+)"")),"""")"),"realestateagent.com")</f>
        <v>realestateagent.com</v>
      </c>
    </row>
    <row r="1078" spans="1:2" ht="12.5">
      <c r="A1078" s="3" t="s">
        <v>1334</v>
      </c>
      <c r="B1078" s="4" t="str">
        <f ca="1">IFERROR(__xludf.DUMMYFUNCTION("IFERROR(ARRAYFORMULA(REGEXEXTRACT(A1078,""^(?:https?:\/\/)?(?:[^@\n]+@)?(?:www\.)?([^:\/\n]+)"")),"""")"),"discountdumpsterco.com")</f>
        <v>discountdumpsterco.com</v>
      </c>
    </row>
    <row r="1079" spans="1:2" ht="12.5">
      <c r="A1079" s="3" t="s">
        <v>1335</v>
      </c>
      <c r="B1079" s="4" t="str">
        <f ca="1">IFERROR(__xludf.DUMMYFUNCTION("IFERROR(ARRAYFORMULA(REGEXEXTRACT(A1079,""^(?:https?:\/\/)?(?:[^@\n]+@)?(?:www\.)?([^:\/\n]+)"")),"""")"),"mattwardhomes.com")</f>
        <v>mattwardhomes.com</v>
      </c>
    </row>
    <row r="1080" spans="1:2" ht="12.5">
      <c r="A1080" s="3" t="s">
        <v>1336</v>
      </c>
      <c r="B1080" s="4" t="str">
        <f ca="1">IFERROR(__xludf.DUMMYFUNCTION("IFERROR(ARRAYFORMULA(REGEXEXTRACT(A1080,""^(?:https?:\/\/)?(?:[^@\n]+@)?(?:www\.)?([^:\/\n]+)"")),"""")"),"contractorbond.org")</f>
        <v>contractorbond.org</v>
      </c>
    </row>
    <row r="1081" spans="1:2" ht="12.5">
      <c r="A1081" s="3" t="s">
        <v>1337</v>
      </c>
      <c r="B1081" s="7" t="str">
        <f ca="1">IFERROR(__xludf.DUMMYFUNCTION("IFERROR(ARRAYFORMULA(REGEXEXTRACT(A1081,""^(?:https?:\/\/)?(?:[^@\n]+@)?(?:www\.)?([^:\/\n]+)"")),"""")"),"cyprus-real.estate")</f>
        <v>cyprus-real.estate</v>
      </c>
    </row>
    <row r="1082" spans="1:2" ht="12.5">
      <c r="A1082" s="3" t="s">
        <v>1338</v>
      </c>
      <c r="B1082" s="4" t="str">
        <f ca="1">IFERROR(__xludf.DUMMYFUNCTION("IFERROR(ARRAYFORMULA(REGEXEXTRACT(A1082,""^(?:https?:\/\/)?(?:[^@\n]+@)?(?:www\.)?([^:\/\n]+)"")),"""")"),"houseofcoco.net")</f>
        <v>houseofcoco.net</v>
      </c>
    </row>
    <row r="1083" spans="1:2" ht="12.5">
      <c r="A1083" s="3" t="s">
        <v>1339</v>
      </c>
      <c r="B1083" s="4" t="str">
        <f ca="1">IFERROR(__xludf.DUMMYFUNCTION("IFERROR(ARRAYFORMULA(REGEXEXTRACT(A1083,""^(?:https?:\/\/)?(?:[^@\n]+@)?(?:www\.)?([^:\/\n]+)"")),"""")"),"homebusinessmag.com")</f>
        <v>homebusinessmag.com</v>
      </c>
    </row>
    <row r="1084" spans="1:2" ht="12.5">
      <c r="A1084" s="3" t="s">
        <v>1340</v>
      </c>
      <c r="B1084" s="4" t="str">
        <f ca="1">IFERROR(__xludf.DUMMYFUNCTION("IFERROR(ARRAYFORMULA(REGEXEXTRACT(A1084,""^(?:https?:\/\/)?(?:[^@\n]+@)?(?:www\.)?([^:\/\n]+)"")),"""")"),"marbellapropertysrm.com")</f>
        <v>marbellapropertysrm.com</v>
      </c>
    </row>
    <row r="1085" spans="1:2" ht="12.5">
      <c r="A1085" s="3" t="s">
        <v>1341</v>
      </c>
      <c r="B1085" s="4" t="str">
        <f ca="1">IFERROR(__xludf.DUMMYFUNCTION("IFERROR(ARRAYFORMULA(REGEXEXTRACT(A1085,""^(?:https?:\/\/)?(?:[^@\n]+@)?(?:www\.)?([^:\/\n]+)"")),"""")"),"sellitmike.com")</f>
        <v>sellitmike.com</v>
      </c>
    </row>
    <row r="1086" spans="1:2" ht="12.5">
      <c r="A1086" s="3" t="s">
        <v>1342</v>
      </c>
      <c r="B1086" s="4" t="str">
        <f ca="1">IFERROR(__xludf.DUMMYFUNCTION("IFERROR(ARRAYFORMULA(REGEXEXTRACT(A1086,""^(?:https?:\/\/)?(?:[^@\n]+@)?(?:www\.)?([^:\/\n]+)"")),"""")"),"shedplans.org")</f>
        <v>shedplans.org</v>
      </c>
    </row>
    <row r="1087" spans="1:2" ht="12.5">
      <c r="A1087" s="3" t="s">
        <v>1343</v>
      </c>
      <c r="B1087" s="4" t="str">
        <f ca="1">IFERROR(__xludf.DUMMYFUNCTION("IFERROR(ARRAYFORMULA(REGEXEXTRACT(A1087,""^(?:https?:\/\/)?(?:[^@\n]+@)?(?:www\.)?([^:\/\n]+)"")),"""")"),"thepackagingcompany.com")</f>
        <v>thepackagingcompany.com</v>
      </c>
    </row>
    <row r="1088" spans="1:2" ht="12.5">
      <c r="A1088" s="3" t="s">
        <v>1344</v>
      </c>
      <c r="B1088" s="4" t="str">
        <f ca="1">IFERROR(__xludf.DUMMYFUNCTION("IFERROR(ARRAYFORMULA(REGEXEXTRACT(A1088,""^(?:https?:\/\/)?(?:[^@\n]+@)?(?:www\.)?([^:\/\n]+)"")),"""")"),"earnest.com")</f>
        <v>earnest.com</v>
      </c>
    </row>
    <row r="1089" spans="1:2" ht="12.5">
      <c r="A1089" s="3" t="s">
        <v>1345</v>
      </c>
      <c r="B1089" s="4" t="str">
        <f ca="1">IFERROR(__xludf.DUMMYFUNCTION("IFERROR(ARRAYFORMULA(REGEXEXTRACT(A1089,""^(?:https?:\/\/)?(?:[^@\n]+@)?(?:www\.)?([^:\/\n]+)"")),"""")"),"fundingguru.com")</f>
        <v>fundingguru.com</v>
      </c>
    </row>
    <row r="1090" spans="1:2" ht="12.5">
      <c r="A1090" s="3" t="s">
        <v>1346</v>
      </c>
      <c r="B1090" s="4" t="str">
        <f ca="1">IFERROR(__xludf.DUMMYFUNCTION("IFERROR(ARRAYFORMULA(REGEXEXTRACT(A1090,""^(?:https?:\/\/)?(?:[^@\n]+@)?(?:www\.)?([^:\/\n]+)"")),"""")"),"storquest.com")</f>
        <v>storquest.com</v>
      </c>
    </row>
    <row r="1091" spans="1:2" ht="12.5">
      <c r="A1091" s="3" t="s">
        <v>1347</v>
      </c>
      <c r="B1091" s="4" t="str">
        <f ca="1">IFERROR(__xludf.DUMMYFUNCTION("IFERROR(ARRAYFORMULA(REGEXEXTRACT(A1091,""^(?:https?:\/\/)?(?:[^@\n]+@)?(?:www\.)?([^:\/\n]+)"")),"""")"),"flexstorage.com")</f>
        <v>flexstorage.com</v>
      </c>
    </row>
    <row r="1092" spans="1:2" ht="12.5">
      <c r="A1092" s="3" t="s">
        <v>1348</v>
      </c>
      <c r="B1092" s="4" t="str">
        <f ca="1">IFERROR(__xludf.DUMMYFUNCTION("IFERROR(ARRAYFORMULA(REGEXEXTRACT(A1092,""^(?:https?:\/\/)?(?:[^@\n]+@)?(?:www\.)?([^:\/\n]+)"")),"""")"),"boltstorage.com")</f>
        <v>boltstorage.com</v>
      </c>
    </row>
    <row r="1093" spans="1:2" ht="12.5">
      <c r="A1093" s="3" t="s">
        <v>1349</v>
      </c>
      <c r="B1093" s="4" t="str">
        <f ca="1">IFERROR(__xludf.DUMMYFUNCTION("IFERROR(ARRAYFORMULA(REGEXEXTRACT(A1093,""^(?:https?:\/\/)?(?:[^@\n]+@)?(?:www\.)?([^:\/\n]+)"")),"""")"),"theinvestorsedge.com")</f>
        <v>theinvestorsedge.com</v>
      </c>
    </row>
    <row r="1094" spans="1:2" ht="12.5">
      <c r="A1094" s="3" t="s">
        <v>1350</v>
      </c>
      <c r="B1094" s="4" t="str">
        <f ca="1">IFERROR(__xludf.DUMMYFUNCTION("IFERROR(ARRAYFORMULA(REGEXEXTRACT(A1094,""^(?:https?:\/\/)?(?:[^@\n]+@)?(?:www\.)?([^:\/\n]+)"")),"""")"),"credello.com")</f>
        <v>credello.com</v>
      </c>
    </row>
    <row r="1095" spans="1:2" ht="12.5">
      <c r="A1095" s="3" t="s">
        <v>1351</v>
      </c>
      <c r="B1095" s="4" t="str">
        <f ca="1">IFERROR(__xludf.DUMMYFUNCTION("IFERROR(ARRAYFORMULA(REGEXEXTRACT(A1095,""^(?:https?:\/\/)?(?:[^@\n]+@)?(?:www\.)?([^:\/\n]+)"")),"""")"),"1firstcashadvance.org")</f>
        <v>1firstcashadvance.org</v>
      </c>
    </row>
    <row r="1096" spans="1:2" ht="12.5">
      <c r="A1096" s="3" t="s">
        <v>1352</v>
      </c>
      <c r="B1096" s="4" t="str">
        <f ca="1">IFERROR(__xludf.DUMMYFUNCTION("IFERROR(ARRAYFORMULA(REGEXEXTRACT(A1096,""^(?:https?:\/\/)?(?:[^@\n]+@)?(?:www\.)?([^:\/\n]+)"")),"""")"),"cashforhomesarizona.com")</f>
        <v>cashforhomesarizona.com</v>
      </c>
    </row>
    <row r="1097" spans="1:2" ht="12.5">
      <c r="A1097" s="3" t="s">
        <v>1353</v>
      </c>
      <c r="B1097" s="4" t="str">
        <f ca="1">IFERROR(__xludf.DUMMYFUNCTION("IFERROR(ARRAYFORMULA(REGEXEXTRACT(A1097,""^(?:https?:\/\/)?(?:[^@\n]+@)?(?:www\.)?([^:\/\n]+)"")),"""")"),"gudcapital.com")</f>
        <v>gudcapital.com</v>
      </c>
    </row>
    <row r="1098" spans="1:2" ht="12.5">
      <c r="A1098" s="3" t="s">
        <v>1354</v>
      </c>
      <c r="B1098" s="4" t="str">
        <f ca="1">IFERROR(__xludf.DUMMYFUNCTION("IFERROR(ARRAYFORMULA(REGEXEXTRACT(A1098,""^(?:https?:\/\/)?(?:[^@\n]+@)?(?:www\.)?([^:\/\n]+)"")),"""")"),"hardmoneyhome.com")</f>
        <v>hardmoneyhome.com</v>
      </c>
    </row>
    <row r="1099" spans="1:2" ht="12.5">
      <c r="A1099" s="3" t="s">
        <v>1355</v>
      </c>
      <c r="B1099" s="4" t="str">
        <f ca="1">IFERROR(__xludf.DUMMYFUNCTION("IFERROR(ARRAYFORMULA(REGEXEXTRACT(A1099,""^(?:https?:\/\/)?(?:[^@\n]+@)?(?:www\.)?([^:\/\n]+)"")),"""")"),"rateseeker.com.au")</f>
        <v>rateseeker.com.au</v>
      </c>
    </row>
    <row r="1100" spans="1:2" ht="12.5">
      <c r="A1100" s="3" t="s">
        <v>1356</v>
      </c>
      <c r="B1100" s="4" t="str">
        <f ca="1">IFERROR(__xludf.DUMMYFUNCTION("IFERROR(ARRAYFORMULA(REGEXEXTRACT(A1100,""^(?:https?:\/\/)?(?:[^@\n]+@)?(?:www\.)?([^:\/\n]+)"")),"""")"),"intipainting.com")</f>
        <v>intipainting.com</v>
      </c>
    </row>
    <row r="1101" spans="1:2" ht="12.5">
      <c r="A1101" s="3" t="s">
        <v>1357</v>
      </c>
      <c r="B1101" s="4" t="str">
        <f ca="1">IFERROR(__xludf.DUMMYFUNCTION("IFERROR(ARRAYFORMULA(REGEXEXTRACT(A1101,""^(?:https?:\/\/)?(?:[^@\n]+@)?(?:www\.)?([^:\/\n]+)"")),"""")"),"georgeapapinc.com")</f>
        <v>georgeapapinc.com</v>
      </c>
    </row>
    <row r="1102" spans="1:2" ht="12.5">
      <c r="A1102" s="3" t="s">
        <v>1358</v>
      </c>
      <c r="B1102" s="4" t="str">
        <f ca="1">IFERROR(__xludf.DUMMYFUNCTION("IFERROR(ARRAYFORMULA(REGEXEXTRACT(A1102,""^(?:https?:\/\/)?(?:[^@\n]+@)?(?:www\.)?([^:\/\n]+)"")),"""")"),"housedigest.com")</f>
        <v>housedigest.com</v>
      </c>
    </row>
    <row r="1103" spans="1:2" ht="12.5">
      <c r="A1103" s="3" t="s">
        <v>1359</v>
      </c>
      <c r="B1103" s="4" t="str">
        <f ca="1">IFERROR(__xludf.DUMMYFUNCTION("IFERROR(ARRAYFORMULA(REGEXEXTRACT(A1103,""^(?:https?:\/\/)?(?:[^@\n]+@)?(?:www\.)?([^:\/\n]+)"")),"""")"),"empowerhome-team.com")</f>
        <v>empowerhome-team.com</v>
      </c>
    </row>
    <row r="1104" spans="1:2" ht="12.5">
      <c r="A1104" s="3" t="s">
        <v>1360</v>
      </c>
      <c r="B1104" s="4" t="str">
        <f ca="1">IFERROR(__xludf.DUMMYFUNCTION("IFERROR(ARRAYFORMULA(REGEXEXTRACT(A1104,""^(?:https?:\/\/)?(?:[^@\n]+@)?(?:www\.)?([^:\/\n]+)"")),"""")"),"wemertgrouprealty.com")</f>
        <v>wemertgrouprealty.com</v>
      </c>
    </row>
    <row r="1105" spans="1:2" ht="12.5">
      <c r="A1105" s="3" t="s">
        <v>1361</v>
      </c>
      <c r="B1105" s="4" t="str">
        <f ca="1">IFERROR(__xludf.DUMMYFUNCTION("IFERROR(ARRAYFORMULA(REGEXEXTRACT(A1105,""^(?:https?:\/\/)?(?:[^@\n]+@)?(?:www\.)?([^:\/\n]+)"")),"""")"),"dsldmortgage.com")</f>
        <v>dsldmortgage.com</v>
      </c>
    </row>
    <row r="1106" spans="1:2" ht="12.5">
      <c r="A1106" s="3" t="s">
        <v>1362</v>
      </c>
      <c r="B1106" s="4" t="str">
        <f ca="1">IFERROR(__xludf.DUMMYFUNCTION("IFERROR(ARRAYFORMULA(REGEXEXTRACT(A1106,""^(?:https?:\/\/)?(?:[^@\n]+@)?(?:www\.)?([^:\/\n]+)"")),"""")"),"mypaydayloan.com")</f>
        <v>mypaydayloan.com</v>
      </c>
    </row>
    <row r="1107" spans="1:2" ht="12.5">
      <c r="A1107" s="3" t="s">
        <v>1363</v>
      </c>
      <c r="B1107" s="4" t="str">
        <f ca="1">IFERROR(__xludf.DUMMYFUNCTION("IFERROR(ARRAYFORMULA(REGEXEXTRACT(A1107,""^(?:https?:\/\/)?(?:[^@\n]+@)?(?:www\.)?([^:\/\n]+)"")),"""")"),"maidtoplease.com")</f>
        <v>maidtoplease.com</v>
      </c>
    </row>
    <row r="1108" spans="1:2" ht="12.5">
      <c r="A1108" s="3" t="s">
        <v>1364</v>
      </c>
      <c r="B1108" s="4" t="str">
        <f ca="1">IFERROR(__xludf.DUMMYFUNCTION("IFERROR(ARRAYFORMULA(REGEXEXTRACT(A1108,""^(?:https?:\/\/)?(?:[^@\n]+@)?(?:www\.)?([^:\/\n]+)"")),"""")"),"honestpainters.co.nz")</f>
        <v>honestpainters.co.nz</v>
      </c>
    </row>
    <row r="1109" spans="1:2" ht="12.5">
      <c r="A1109" s="3" t="s">
        <v>1365</v>
      </c>
      <c r="B1109" s="4" t="str">
        <f ca="1">IFERROR(__xludf.DUMMYFUNCTION("IFERROR(ARRAYFORMULA(REGEXEXTRACT(A1109,""^(?:https?:\/\/)?(?:[^@\n]+@)?(?:www\.)?([^:\/\n]+)"")),"""")"),"volcanobuilders.com")</f>
        <v>volcanobuilders.com</v>
      </c>
    </row>
    <row r="1110" spans="1:2" ht="12.5">
      <c r="A1110" s="3" t="s">
        <v>1366</v>
      </c>
      <c r="B1110" s="4" t="str">
        <f ca="1">IFERROR(__xludf.DUMMYFUNCTION("IFERROR(ARRAYFORMULA(REGEXEXTRACT(A1110,""^(?:https?:\/\/)?(?:[^@\n]+@)?(?:www\.)?([^:\/\n]+)"")),"""")"),"southernillinoisepoxy.com")</f>
        <v>southernillinoisepoxy.com</v>
      </c>
    </row>
    <row r="1111" spans="1:2" ht="12.5">
      <c r="A1111" s="3" t="s">
        <v>1367</v>
      </c>
      <c r="B1111" s="4" t="str">
        <f ca="1">IFERROR(__xludf.DUMMYFUNCTION("IFERROR(ARRAYFORMULA(REGEXEXTRACT(A1111,""^(?:https?:\/\/)?(?:[^@\n]+@)?(?:www\.)?([^:\/\n]+)"")),"""")"),"ourhumbleabodeblog.com")</f>
        <v>ourhumbleabodeblog.com</v>
      </c>
    </row>
    <row r="1112" spans="1:2" ht="12.5">
      <c r="A1112" s="3" t="s">
        <v>1368</v>
      </c>
      <c r="B1112" s="4" t="str">
        <f ca="1">IFERROR(__xludf.DUMMYFUNCTION("IFERROR(ARRAYFORMULA(REGEXEXTRACT(A1112,""^(?:https?:\/\/)?(?:[^@\n]+@)?(?:www\.)?([^:\/\n]+)"")),"""")"),"premiumhardware.net")</f>
        <v>premiumhardware.net</v>
      </c>
    </row>
    <row r="1113" spans="1:2" ht="12.5">
      <c r="A1113" s="3" t="s">
        <v>1369</v>
      </c>
      <c r="B1113" s="4" t="str">
        <f ca="1">IFERROR(__xludf.DUMMYFUNCTION("IFERROR(ARRAYFORMULA(REGEXEXTRACT(A1113,""^(?:https?:\/\/)?(?:[^@\n]+@)?(?:www\.)?([^:\/\n]+)"")),"""")"),"landofrugs.com")</f>
        <v>landofrugs.com</v>
      </c>
    </row>
    <row r="1114" spans="1:2" ht="12.5">
      <c r="A1114" s="3" t="s">
        <v>35</v>
      </c>
      <c r="B1114" s="4" t="str">
        <f ca="1">IFERROR(__xludf.DUMMYFUNCTION("IFERROR(ARRAYFORMULA(REGEXEXTRACT(A1114,""^(?:https?:\/\/)?(?:[^@\n]+@)?(?:www\.)?([^:\/\n]+)"")),"""")"),"lorddecor.com")</f>
        <v>lorddecor.com</v>
      </c>
    </row>
    <row r="1115" spans="1:2" ht="12.5">
      <c r="A1115" s="3" t="s">
        <v>1370</v>
      </c>
      <c r="B1115" s="4" t="str">
        <f ca="1">IFERROR(__xludf.DUMMYFUNCTION("IFERROR(ARRAYFORMULA(REGEXEXTRACT(A1115,""^(?:https?:\/\/)?(?:[^@\n]+@)?(?:www\.)?([^:\/\n]+)"")),"""")"),"artisticstoneinc.com")</f>
        <v>artisticstoneinc.com</v>
      </c>
    </row>
    <row r="1116" spans="1:2" ht="12.5">
      <c r="A1116" s="3" t="s">
        <v>1371</v>
      </c>
      <c r="B1116" s="4" t="str">
        <f ca="1">IFERROR(__xludf.DUMMYFUNCTION("IFERROR(ARRAYFORMULA(REGEXEXTRACT(A1116,""^(?:https?:\/\/)?(?:[^@\n]+@)?(?:www\.)?([^:\/\n]+)"")),"""")"),"shedsunlimited.net")</f>
        <v>shedsunlimited.net</v>
      </c>
    </row>
    <row r="1117" spans="1:2" ht="12.5">
      <c r="A1117" s="3" t="s">
        <v>1372</v>
      </c>
      <c r="B1117" s="4" t="str">
        <f ca="1">IFERROR(__xludf.DUMMYFUNCTION("IFERROR(ARRAYFORMULA(REGEXEXTRACT(A1117,""^(?:https?:\/\/)?(?:[^@\n]+@)?(?:www\.)?([^:\/\n]+)"")),"""")"),"fixifyappliancerepair.com")</f>
        <v>fixifyappliancerepair.com</v>
      </c>
    </row>
    <row r="1118" spans="1:2" ht="12.5">
      <c r="A1118" s="3" t="s">
        <v>1373</v>
      </c>
      <c r="B1118" s="4" t="str">
        <f ca="1">IFERROR(__xludf.DUMMYFUNCTION("IFERROR(ARRAYFORMULA(REGEXEXTRACT(A1118,""^(?:https?:\/\/)?(?:[^@\n]+@)?(?:www\.)?([^:\/\n]+)"")),"""")"),"realestate-idahofalls.com")</f>
        <v>realestate-idahofalls.com</v>
      </c>
    </row>
    <row r="1119" spans="1:2" ht="12.5">
      <c r="A1119" s="3" t="s">
        <v>1374</v>
      </c>
      <c r="B1119" s="4" t="str">
        <f ca="1">IFERROR(__xludf.DUMMYFUNCTION("IFERROR(ARRAYFORMULA(REGEXEXTRACT(A1119,""^(?:https?:\/\/)?(?:[^@\n]+@)?(?:www\.)?([^:\/\n]+)"")),"""")"),"livelovemissouri.com")</f>
        <v>livelovemissouri.com</v>
      </c>
    </row>
    <row r="1120" spans="1:2" ht="12.5">
      <c r="A1120" s="3" t="s">
        <v>1375</v>
      </c>
      <c r="B1120" s="4" t="str">
        <f ca="1">IFERROR(__xludf.DUMMYFUNCTION("IFERROR(ARRAYFORMULA(REGEXEXTRACT(A1120,""^(?:https?:\/\/)?(?:[^@\n]+@)?(?:www\.)?([^:\/\n]+)"")),"""")"),"perthcheapmovers.com.au")</f>
        <v>perthcheapmovers.com.au</v>
      </c>
    </row>
    <row r="1121" spans="1:2" ht="12.5">
      <c r="A1121" s="3" t="s">
        <v>1376</v>
      </c>
      <c r="B1121" s="4" t="str">
        <f ca="1">IFERROR(__xludf.DUMMYFUNCTION("IFERROR(ARRAYFORMULA(REGEXEXTRACT(A1121,""^(?:https?:\/\/)?(?:[^@\n]+@)?(?:www\.)?([^:\/\n]+)"")),"""")"),"handymantips.org")</f>
        <v>handymantips.org</v>
      </c>
    </row>
    <row r="1122" spans="1:2" ht="12.5">
      <c r="A1122" s="3" t="s">
        <v>1377</v>
      </c>
      <c r="B1122" s="4" t="str">
        <f ca="1">IFERROR(__xludf.DUMMYFUNCTION("IFERROR(ARRAYFORMULA(REGEXEXTRACT(A1122,""^(?:https?:\/\/)?(?:[^@\n]+@)?(?:www\.)?([^:\/\n]+)"")),"""")"),"northamerican.com")</f>
        <v>northamerican.com</v>
      </c>
    </row>
    <row r="1123" spans="1:2" ht="12.5">
      <c r="A1123" s="3" t="s">
        <v>1378</v>
      </c>
      <c r="B1123" s="4" t="str">
        <f ca="1">IFERROR(__xludf.DUMMYFUNCTION("IFERROR(ARRAYFORMULA(REGEXEXTRACT(A1123,""^(?:https?:\/\/)?(?:[^@\n]+@)?(?:www\.)?([^:\/\n]+)"")),"""")"),"rtcfencing.co.uk")</f>
        <v>rtcfencing.co.uk</v>
      </c>
    </row>
    <row r="1124" spans="1:2" ht="12.5">
      <c r="A1124" s="3" t="s">
        <v>1379</v>
      </c>
      <c r="B1124" s="4" t="str">
        <f ca="1">IFERROR(__xludf.DUMMYFUNCTION("IFERROR(ARRAYFORMULA(REGEXEXTRACT(A1124,""^(?:https?:\/\/)?(?:[^@\n]+@)?(?:www\.)?([^:\/\n]+)"")),"""")"),"growingseedsofchange.com")</f>
        <v>growingseedsofchange.com</v>
      </c>
    </row>
    <row r="1125" spans="1:2" ht="12.5">
      <c r="A1125" s="3" t="s">
        <v>1380</v>
      </c>
      <c r="B1125" s="4" t="str">
        <f ca="1">IFERROR(__xludf.DUMMYFUNCTION("IFERROR(ARRAYFORMULA(REGEXEXTRACT(A1125,""^(?:https?:\/\/)?(?:[^@\n]+@)?(?:www\.)?([^:\/\n]+)"")),"""")"),"welovejunkphilly.com")</f>
        <v>welovejunkphilly.com</v>
      </c>
    </row>
    <row r="1126" spans="1:2" ht="12.5">
      <c r="A1126" s="3" t="s">
        <v>1381</v>
      </c>
      <c r="B1126" s="4" t="str">
        <f ca="1">IFERROR(__xludf.DUMMYFUNCTION("IFERROR(ARRAYFORMULA(REGEXEXTRACT(A1126,""^(?:https?:\/\/)?(?:[^@\n]+@)?(?:www\.)?([^:\/\n]+)"")),"""")"),"penn-jersey.com")</f>
        <v>penn-jersey.com</v>
      </c>
    </row>
    <row r="1127" spans="1:2" ht="12.5">
      <c r="A1127" s="3" t="s">
        <v>1382</v>
      </c>
      <c r="B1127" s="4" t="str">
        <f ca="1">IFERROR(__xludf.DUMMYFUNCTION("IFERROR(ARRAYFORMULA(REGEXEXTRACT(A1127,""^(?:https?:\/\/)?(?:[^@\n]+@)?(?:www\.)?([^:\/\n]+)"")),"""")"),"sanibelrealestateguide.com")</f>
        <v>sanibelrealestateguide.com</v>
      </c>
    </row>
    <row r="1128" spans="1:2" ht="12.5">
      <c r="A1128" s="3" t="s">
        <v>1383</v>
      </c>
      <c r="B1128" s="4" t="str">
        <f ca="1">IFERROR(__xludf.DUMMYFUNCTION("IFERROR(ARRAYFORMULA(REGEXEXTRACT(A1128,""^(?:https?:\/\/)?(?:[^@\n]+@)?(?:www\.)?([^:\/\n]+)"")),"""")"),"visionretirement.com")</f>
        <v>visionretirement.com</v>
      </c>
    </row>
    <row r="1129" spans="1:2" ht="12.5">
      <c r="A1129" s="3" t="s">
        <v>1384</v>
      </c>
      <c r="B1129" s="4" t="str">
        <f ca="1">IFERROR(__xludf.DUMMYFUNCTION("IFERROR(ARRAYFORMULA(REGEXEXTRACT(A1129,""^(?:https?:\/\/)?(?:[^@\n]+@)?(?:www\.)?([^:\/\n]+)"")),"""")"),"top10.com")</f>
        <v>top10.com</v>
      </c>
    </row>
    <row r="1130" spans="1:2" ht="12.5">
      <c r="A1130" s="3" t="s">
        <v>1385</v>
      </c>
      <c r="B1130" s="4" t="str">
        <f ca="1">IFERROR(__xludf.DUMMYFUNCTION("IFERROR(ARRAYFORMULA(REGEXEXTRACT(A1130,""^(?:https?:\/\/)?(?:[^@\n]+@)?(?:www\.)?([^:\/\n]+)"")),"""")"),"robertjfischer.com")</f>
        <v>robertjfischer.com</v>
      </c>
    </row>
    <row r="1131" spans="1:2" ht="12.5">
      <c r="A1131" s="3" t="s">
        <v>1386</v>
      </c>
      <c r="B1131" s="7" t="str">
        <f ca="1">IFERROR(__xludf.DUMMYFUNCTION("IFERROR(ARRAYFORMULA(REGEXEXTRACT(A1131,""^(?:https?:\/\/)?(?:[^@\n]+@)?(?:www\.)?([^:\/\n]+)"")),"""")"),"metropolitan.realestate")</f>
        <v>metropolitan.realestate</v>
      </c>
    </row>
    <row r="1132" spans="1:2" ht="12.5">
      <c r="A1132" s="3" t="s">
        <v>1387</v>
      </c>
      <c r="B1132" s="4" t="str">
        <f ca="1">IFERROR(__xludf.DUMMYFUNCTION("IFERROR(ARRAYFORMULA(REGEXEXTRACT(A1132,""^(?:https?:\/\/)?(?:[^@\n]+@)?(?:www\.)?([^:\/\n]+)"")),"""")"),"deluxemovingsolutions.com")</f>
        <v>deluxemovingsolutions.com</v>
      </c>
    </row>
    <row r="1133" spans="1:2" ht="12.5">
      <c r="A1133" s="3" t="s">
        <v>1388</v>
      </c>
      <c r="B1133" s="4" t="str">
        <f ca="1">IFERROR(__xludf.DUMMYFUNCTION("IFERROR(ARRAYFORMULA(REGEXEXTRACT(A1133,""^(?:https?:\/\/)?(?:[^@\n]+@)?(?:www\.)?([^:\/\n]+)"")),"""")"),"stuccco.com")</f>
        <v>stuccco.com</v>
      </c>
    </row>
    <row r="1134" spans="1:2" ht="12.5">
      <c r="A1134" s="3" t="s">
        <v>1389</v>
      </c>
      <c r="B1134" s="4" t="str">
        <f ca="1">IFERROR(__xludf.DUMMYFUNCTION("IFERROR(ARRAYFORMULA(REGEXEXTRACT(A1134,""^(?:https?:\/\/)?(?:[^@\n]+@)?(?:www\.)?([^:\/\n]+)"")),"""")"),"moneytips.com")</f>
        <v>moneytips.com</v>
      </c>
    </row>
    <row r="1135" spans="1:2" ht="12.5">
      <c r="A1135" s="3" t="s">
        <v>1390</v>
      </c>
      <c r="B1135" s="4" t="str">
        <f ca="1">IFERROR(__xludf.DUMMYFUNCTION("IFERROR(ARRAYFORMULA(REGEXEXTRACT(A1135,""^(?:https?:\/\/)?(?:[^@\n]+@)?(?:www\.)?([^:\/\n]+)"")),"""")"),"cincinkyrealestate.com")</f>
        <v>cincinkyrealestate.com</v>
      </c>
    </row>
    <row r="1136" spans="1:2" ht="12.5">
      <c r="A1136" s="3" t="s">
        <v>1391</v>
      </c>
      <c r="B1136" s="4" t="str">
        <f ca="1">IFERROR(__xludf.DUMMYFUNCTION("IFERROR(ARRAYFORMULA(REGEXEXTRACT(A1136,""^(?:https?:\/\/)?(?:[^@\n]+@)?(?:www\.)?([^:\/\n]+)"")),"""")"),"merrimackvalleymarealestate.com")</f>
        <v>merrimackvalleymarealestate.com</v>
      </c>
    </row>
    <row r="1137" spans="1:2" ht="12.5">
      <c r="A1137" s="3" t="s">
        <v>1392</v>
      </c>
      <c r="B1137" s="4" t="str">
        <f ca="1">IFERROR(__xludf.DUMMYFUNCTION("IFERROR(ARRAYFORMULA(REGEXEXTRACT(A1137,""^(?:https?:\/\/)?(?:[^@\n]+@)?(?:www\.)?([^:\/\n]+)"")),"""")"),"fhfca.org")</f>
        <v>fhfca.org</v>
      </c>
    </row>
    <row r="1138" spans="1:2" ht="12.5">
      <c r="A1138" s="3" t="s">
        <v>1393</v>
      </c>
      <c r="B1138" s="4" t="str">
        <f ca="1">IFERROR(__xludf.DUMMYFUNCTION("IFERROR(ARRAYFORMULA(REGEXEXTRACT(A1138,""^(?:https?:\/\/)?(?:[^@\n]+@)?(?:www\.)?([^:\/\n]+)"")),"""")"),"attorneysre.com")</f>
        <v>attorneysre.com</v>
      </c>
    </row>
    <row r="1139" spans="1:2" ht="12.5">
      <c r="A1139" s="3" t="s">
        <v>1394</v>
      </c>
      <c r="B1139" s="7" t="str">
        <f ca="1">IFERROR(__xludf.DUMMYFUNCTION("IFERROR(ARRAYFORMULA(REGEXEXTRACT(A1139,""^(?:https?:\/\/)?(?:[^@\n]+@)?(?:www\.)?([^:\/\n]+)"")),"""")"),"underwood.law")</f>
        <v>underwood.law</v>
      </c>
    </row>
    <row r="1140" spans="1:2" ht="12.5">
      <c r="A1140" s="3" t="s">
        <v>1395</v>
      </c>
      <c r="B1140" s="4" t="str">
        <f ca="1">IFERROR(__xludf.DUMMYFUNCTION("IFERROR(ARRAYFORMULA(REGEXEXTRACT(A1140,""^(?:https?:\/\/)?(?:[^@\n]+@)?(?:www\.)?([^:\/\n]+)"")),"""")"),"amazingmoves.com")</f>
        <v>amazingmoves.com</v>
      </c>
    </row>
    <row r="1141" spans="1:2" ht="12.5">
      <c r="A1141" s="3" t="s">
        <v>1396</v>
      </c>
      <c r="B1141" s="4" t="str">
        <f ca="1">IFERROR(__xludf.DUMMYFUNCTION("IFERROR(ARRAYFORMULA(REGEXEXTRACT(A1141,""^(?:https?:\/\/)?(?:[^@\n]+@)?(?:www\.)?([^:\/\n]+)"")),"""")"),"divorcenet.com")</f>
        <v>divorcenet.com</v>
      </c>
    </row>
    <row r="1142" spans="1:2" ht="12.5">
      <c r="A1142" s="3" t="s">
        <v>1397</v>
      </c>
      <c r="B1142" s="4" t="str">
        <f ca="1">IFERROR(__xludf.DUMMYFUNCTION("IFERROR(ARRAYFORMULA(REGEXEXTRACT(A1142,""^(?:https?:\/\/)?(?:[^@\n]+@)?(?:www\.)?([^:\/\n]+)"")),"""")"),"innova-pm.com")</f>
        <v>innova-pm.com</v>
      </c>
    </row>
    <row r="1143" spans="1:2" ht="12.5">
      <c r="A1143" s="3" t="s">
        <v>1398</v>
      </c>
      <c r="B1143" s="4" t="str">
        <f ca="1">IFERROR(__xludf.DUMMYFUNCTION("IFERROR(ARRAYFORMULA(REGEXEXTRACT(A1143,""^(?:https?:\/\/)?(?:[^@\n]+@)?(?:www\.)?([^:\/\n]+)"")),"""")"),"tampabuyersbroker.com")</f>
        <v>tampabuyersbroker.com</v>
      </c>
    </row>
    <row r="1144" spans="1:2" ht="12.5">
      <c r="A1144" s="3" t="s">
        <v>1399</v>
      </c>
      <c r="B1144" s="4" t="str">
        <f ca="1">IFERROR(__xludf.DUMMYFUNCTION("IFERROR(ARRAYFORMULA(REGEXEXTRACT(A1144,""^(?:https?:\/\/)?(?:[^@\n]+@)?(?:www\.)?([^:\/\n]+)"")),"""")"),"madisonmortgageguys.com")</f>
        <v>madisonmortgageguys.com</v>
      </c>
    </row>
    <row r="1145" spans="1:2" ht="12.5">
      <c r="A1145" s="3" t="s">
        <v>1400</v>
      </c>
      <c r="B1145" s="4" t="str">
        <f ca="1">IFERROR(__xludf.DUMMYFUNCTION("IFERROR(ARRAYFORMULA(REGEXEXTRACT(A1145,""^(?:https?:\/\/)?(?:[^@\n]+@)?(?:www\.)?([^:\/\n]+)"")),"""")"),"westromgroup.com")</f>
        <v>westromgroup.com</v>
      </c>
    </row>
    <row r="1146" spans="1:2" ht="12.5">
      <c r="A1146" s="3" t="s">
        <v>1401</v>
      </c>
      <c r="B1146" s="4" t="str">
        <f ca="1">IFERROR(__xludf.DUMMYFUNCTION("IFERROR(ARRAYFORMULA(REGEXEXTRACT(A1146,""^(?:https?:\/\/)?(?:[^@\n]+@)?(?:www\.)?([^:\/\n]+)"")),"""")"),"ironhorsepropertymanagement.com")</f>
        <v>ironhorsepropertymanagement.com</v>
      </c>
    </row>
    <row r="1147" spans="1:2" ht="12.5">
      <c r="A1147" s="3" t="s">
        <v>1402</v>
      </c>
      <c r="B1147" s="4" t="str">
        <f ca="1">IFERROR(__xludf.DUMMYFUNCTION("IFERROR(ARRAYFORMULA(REGEXEXTRACT(A1147,""^(?:https?:\/\/)?(?:[^@\n]+@)?(?:www\.)?([^:\/\n]+)"")),"""")"),"handle.com")</f>
        <v>handle.com</v>
      </c>
    </row>
    <row r="1148" spans="1:2" ht="12.5">
      <c r="A1148" s="3" t="s">
        <v>1403</v>
      </c>
      <c r="B1148" s="4" t="str">
        <f ca="1">IFERROR(__xludf.DUMMYFUNCTION("IFERROR(ARRAYFORMULA(REGEXEXTRACT(A1148,""^(?:https?:\/\/)?(?:[^@\n]+@)?(?:www\.)?([^:\/\n]+)"")),"""")"),"useelko.com")</f>
        <v>useelko.com</v>
      </c>
    </row>
    <row r="1149" spans="1:2" ht="12.5">
      <c r="A1149" s="3" t="s">
        <v>1404</v>
      </c>
      <c r="B1149" s="4" t="str">
        <f ca="1">IFERROR(__xludf.DUMMYFUNCTION("IFERROR(ARRAYFORMULA(REGEXEXTRACT(A1149,""^(?:https?:\/\/)?(?:[^@\n]+@)?(?:www\.)?([^:\/\n]+)"")),"""")"),"rochesterrealestateblog.com")</f>
        <v>rochesterrealestateblog.com</v>
      </c>
    </row>
    <row r="1150" spans="1:2" ht="12.5">
      <c r="A1150" s="3" t="s">
        <v>1405</v>
      </c>
      <c r="B1150" s="4" t="str">
        <f ca="1">IFERROR(__xludf.DUMMYFUNCTION("IFERROR(ARRAYFORMULA(REGEXEXTRACT(A1150,""^(?:https?:\/\/)?(?:[^@\n]+@)?(?:www\.)?([^:\/\n]+)"")),"""")"),"springshomesforrent.com")</f>
        <v>springshomesforrent.com</v>
      </c>
    </row>
    <row r="1151" spans="1:2" ht="12.5">
      <c r="A1151" s="3" t="s">
        <v>1406</v>
      </c>
      <c r="B1151" s="4" t="str">
        <f ca="1">IFERROR(__xludf.DUMMYFUNCTION("IFERROR(ARRAYFORMULA(REGEXEXTRACT(A1151,""^(?:https?:\/\/)?(?:[^@\n]+@)?(?:www\.)?([^:\/\n]+)"")),"""")"),"rentspree.com")</f>
        <v>rentspree.com</v>
      </c>
    </row>
    <row r="1152" spans="1:2" ht="12.5">
      <c r="A1152" s="3" t="s">
        <v>1407</v>
      </c>
      <c r="B1152" s="4" t="str">
        <f ca="1">IFERROR(__xludf.DUMMYFUNCTION("IFERROR(ARRAYFORMULA(REGEXEXTRACT(A1152,""^(?:https?:\/\/)?(?:[^@\n]+@)?(?:www\.)?([^:\/\n]+)"")),"""")"),"quadwalls.com")</f>
        <v>quadwalls.com</v>
      </c>
    </row>
    <row r="1153" spans="1:2" ht="12.5">
      <c r="A1153" s="3" t="s">
        <v>1408</v>
      </c>
      <c r="B1153" s="4" t="str">
        <f ca="1">IFERROR(__xludf.DUMMYFUNCTION("IFERROR(ARRAYFORMULA(REGEXEXTRACT(A1153,""^(?:https?:\/\/)?(?:[^@\n]+@)?(?:www\.)?([^:\/\n]+)"")),"""")"),"lajolla.com")</f>
        <v>lajolla.com</v>
      </c>
    </row>
    <row r="1154" spans="1:2" ht="12.5">
      <c r="A1154" s="3" t="s">
        <v>1409</v>
      </c>
      <c r="B1154" s="4" t="str">
        <f ca="1">IFERROR(__xludf.DUMMYFUNCTION("IFERROR(ARRAYFORMULA(REGEXEXTRACT(A1154,""^(?:https?:\/\/)?(?:[^@\n]+@)?(?:www\.)?([^:\/\n]+)"")),"""")"),"pacificalocals.com")</f>
        <v>pacificalocals.com</v>
      </c>
    </row>
    <row r="1155" spans="1:2" ht="12.5">
      <c r="A1155" s="3" t="s">
        <v>1410</v>
      </c>
      <c r="B1155" s="4" t="str">
        <f ca="1">IFERROR(__xludf.DUMMYFUNCTION("IFERROR(ARRAYFORMULA(REGEXEXTRACT(A1155,""^(?:https?:\/\/)?(?:[^@\n]+@)?(?:www\.)?([^:\/\n]+)"")),"""")"),"homebay.com")</f>
        <v>homebay.com</v>
      </c>
    </row>
    <row r="1156" spans="1:2" ht="12.5">
      <c r="A1156" s="3" t="s">
        <v>1411</v>
      </c>
      <c r="B1156" s="4" t="str">
        <f ca="1">IFERROR(__xludf.DUMMYFUNCTION("IFERROR(ARRAYFORMULA(REGEXEXTRACT(A1156,""^(?:https?:\/\/)?(?:[^@\n]+@)?(?:www\.)?([^:\/\n]+)"")),"""")"),"frederickrealestateonline.com")</f>
        <v>frederickrealestateonline.com</v>
      </c>
    </row>
    <row r="1157" spans="1:2" ht="12.5">
      <c r="A1157" s="3" t="s">
        <v>1412</v>
      </c>
      <c r="B1157" s="4" t="str">
        <f ca="1">IFERROR(__xludf.DUMMYFUNCTION("IFERROR(ARRAYFORMULA(REGEXEXTRACT(A1157,""^(?:https?:\/\/)?(?:[^@\n]+@)?(?:www\.)?([^:\/\n]+)"")),"""")"),"springshomes.com")</f>
        <v>springshomes.com</v>
      </c>
    </row>
    <row r="1158" spans="1:2" ht="12.5">
      <c r="A1158" s="3" t="s">
        <v>1413</v>
      </c>
      <c r="B1158" s="4" t="str">
        <f ca="1">IFERROR(__xludf.DUMMYFUNCTION("IFERROR(ARRAYFORMULA(REGEXEXTRACT(A1158,""^(?:https?:\/\/)?(?:[^@\n]+@)?(?:www\.)?([^:\/\n]+)"")),"""")"),"seascapecapital.com")</f>
        <v>seascapecapital.com</v>
      </c>
    </row>
    <row r="1159" spans="1:2" ht="12.5">
      <c r="A1159" s="3" t="s">
        <v>1414</v>
      </c>
      <c r="B1159" s="4" t="str">
        <f ca="1">IFERROR(__xludf.DUMMYFUNCTION("IFERROR(ARRAYFORMULA(REGEXEXTRACT(A1159,""^(?:https?:\/\/)?(?:[^@\n]+@)?(?:www\.)?([^:\/\n]+)"")),"""")"),"wellingtonhometeam.com")</f>
        <v>wellingtonhometeam.com</v>
      </c>
    </row>
    <row r="1160" spans="1:2" ht="12.5">
      <c r="A1160" s="3" t="s">
        <v>1415</v>
      </c>
      <c r="B1160" s="4" t="str">
        <f ca="1">IFERROR(__xludf.DUMMYFUNCTION("IFERROR(ARRAYFORMULA(REGEXEXTRACT(A1160,""^(?:https?:\/\/)?(?:[^@\n]+@)?(?:www\.)?([^:\/\n]+)"")),"""")"),"myseattlehomesearch.com")</f>
        <v>myseattlehomesearch.com</v>
      </c>
    </row>
    <row r="1161" spans="1:2" ht="12.5">
      <c r="A1161" s="3" t="s">
        <v>1416</v>
      </c>
      <c r="B1161" s="4" t="str">
        <f ca="1">IFERROR(__xludf.DUMMYFUNCTION("IFERROR(ARRAYFORMULA(REGEXEXTRACT(A1161,""^(?:https?:\/\/)?(?:[^@\n]+@)?(?:www\.)?([^:\/\n]+)"")),"""")"),"grantsseptictechs.com")</f>
        <v>grantsseptictechs.com</v>
      </c>
    </row>
    <row r="1162" spans="1:2" ht="12.5">
      <c r="A1162" s="3" t="s">
        <v>1417</v>
      </c>
      <c r="B1162" s="4" t="str">
        <f ca="1">IFERROR(__xludf.DUMMYFUNCTION("IFERROR(ARRAYFORMULA(REGEXEXTRACT(A1162,""^(?:https?:\/\/)?(?:[^@\n]+@)?(?:www\.)?([^:\/\n]+)"")),"""")"),"petesoutflow.com")</f>
        <v>petesoutflow.com</v>
      </c>
    </row>
    <row r="1163" spans="1:2" ht="12.5">
      <c r="A1163" s="3" t="s">
        <v>1418</v>
      </c>
      <c r="B1163" s="4" t="str">
        <f ca="1">IFERROR(__xludf.DUMMYFUNCTION("IFERROR(ARRAYFORMULA(REGEXEXTRACT(A1163,""^(?:https?:\/\/)?(?:[^@\n]+@)?(?:www\.)?([^:\/\n]+)"")),"""")"),"alldrybearriver.com")</f>
        <v>alldrybearriver.com</v>
      </c>
    </row>
    <row r="1164" spans="1:2" ht="12.5">
      <c r="A1164" s="3" t="s">
        <v>1419</v>
      </c>
      <c r="B1164" s="4" t="str">
        <f ca="1">IFERROR(__xludf.DUMMYFUNCTION("IFERROR(ARRAYFORMULA(REGEXEXTRACT(A1164,""^(?:https?:\/\/)?(?:[^@\n]+@)?(?:www\.)?([^:\/\n]+)"")),"""")"),"upnest.com")</f>
        <v>upnest.com</v>
      </c>
    </row>
    <row r="1165" spans="1:2" ht="12.5">
      <c r="A1165" s="3" t="s">
        <v>1420</v>
      </c>
      <c r="B1165" s="4" t="str">
        <f ca="1">IFERROR(__xludf.DUMMYFUNCTION("IFERROR(ARRAYFORMULA(REGEXEXTRACT(A1165,""^(?:https?:\/\/)?(?:[^@\n]+@)?(?:www\.)?([^:\/\n]+)"")),"""")"),"fastexpert.com")</f>
        <v>fastexpert.com</v>
      </c>
    </row>
    <row r="1166" spans="1:2" ht="12.5">
      <c r="A1166" s="3" t="s">
        <v>1421</v>
      </c>
      <c r="B1166" s="4" t="str">
        <f ca="1">IFERROR(__xludf.DUMMYFUNCTION("IFERROR(ARRAYFORMULA(REGEXEXTRACT(A1166,""^(?:https?:\/\/)?(?:[^@\n]+@)?(?:www\.)?([^:\/\n]+)"")),"""")"),"michaelegerbercompanies.com")</f>
        <v>michaelegerbercompanies.com</v>
      </c>
    </row>
    <row r="1167" spans="1:2" ht="12.5">
      <c r="A1167" s="3" t="s">
        <v>1422</v>
      </c>
      <c r="B1167" s="4" t="str">
        <f ca="1">IFERROR(__xludf.DUMMYFUNCTION("IFERROR(ARRAYFORMULA(REGEXEXTRACT(A1167,""^(?:https?:\/\/)?(?:[^@\n]+@)?(?:www\.)?([^:\/\n]+)"")),"""")"),"dallairerealty.com")</f>
        <v>dallairerealty.com</v>
      </c>
    </row>
    <row r="1168" spans="1:2" ht="12.5">
      <c r="A1168" s="3" t="s">
        <v>1423</v>
      </c>
      <c r="B1168" s="4" t="str">
        <f ca="1">IFERROR(__xludf.DUMMYFUNCTION("IFERROR(ARRAYFORMULA(REGEXEXTRACT(A1168,""^(?:https?:\/\/)?(?:[^@\n]+@)?(?:www\.)?([^:\/\n]+)"")),"""")"),"newportbeachrealestatecafe.com")</f>
        <v>newportbeachrealestatecafe.com</v>
      </c>
    </row>
    <row r="1169" spans="1:2" ht="12.5">
      <c r="A1169" s="3" t="s">
        <v>1424</v>
      </c>
      <c r="B1169" s="4" t="str">
        <f ca="1">IFERROR(__xludf.DUMMYFUNCTION("IFERROR(ARRAYFORMULA(REGEXEXTRACT(A1169,""^(?:https?:\/\/)?(?:[^@\n]+@)?(?:www\.)?([^:\/\n]+)"")),"""")"),"realestatewords.com")</f>
        <v>realestatewords.com</v>
      </c>
    </row>
    <row r="1170" spans="1:2" ht="12.5">
      <c r="A1170" s="3" t="s">
        <v>1425</v>
      </c>
      <c r="B1170" s="4" t="str">
        <f ca="1">IFERROR(__xludf.DUMMYFUNCTION("IFERROR(ARRAYFORMULA(REGEXEXTRACT(A1170,""^(?:https?:\/\/)?(?:[^@\n]+@)?(?:www\.)?([^:\/\n]+)"")),"""")"),"destinpropertyexpert.com")</f>
        <v>destinpropertyexpert.com</v>
      </c>
    </row>
    <row r="1171" spans="1:2" ht="12.5">
      <c r="A1171" s="3" t="s">
        <v>1426</v>
      </c>
      <c r="B1171" s="4" t="str">
        <f ca="1">IFERROR(__xludf.DUMMYFUNCTION("IFERROR(ARRAYFORMULA(REGEXEXTRACT(A1171,""^(?:https?:\/\/)?(?:[^@\n]+@)?(?:www\.)?([^:\/\n]+)"")),"""")"),"servpro.com")</f>
        <v>servpro.com</v>
      </c>
    </row>
    <row r="1172" spans="1:2" ht="12.5">
      <c r="A1172" s="3" t="s">
        <v>1427</v>
      </c>
      <c r="B1172" s="4" t="str">
        <f ca="1">IFERROR(__xludf.DUMMYFUNCTION("IFERROR(ARRAYFORMULA(REGEXEXTRACT(A1172,""^(?:https?:\/\/)?(?:[^@\n]+@)?(?:www\.)?([^:\/\n]+)"")),"""")"),"homeserve.com")</f>
        <v>homeserve.com</v>
      </c>
    </row>
    <row r="1173" spans="1:2" ht="12.5">
      <c r="A1173" s="3" t="s">
        <v>1428</v>
      </c>
      <c r="B1173" s="4" t="str">
        <f ca="1">IFERROR(__xludf.DUMMYFUNCTION("IFERROR(ARRAYFORMULA(REGEXEXTRACT(A1173,""^(?:https?:\/\/)?(?:[^@\n]+@)?(?:www\.)?([^:\/\n]+)"")),"""")"),"baeareaandbeyond.com")</f>
        <v>baeareaandbeyond.com</v>
      </c>
    </row>
    <row r="1174" spans="1:2" ht="12.5">
      <c r="A1174" s="3" t="s">
        <v>1429</v>
      </c>
      <c r="B1174" s="4" t="str">
        <f ca="1">IFERROR(__xludf.DUMMYFUNCTION("IFERROR(ARRAYFORMULA(REGEXEXTRACT(A1174,""^(?:https?:\/\/)?(?:[^@\n]+@)?(?:www\.)?([^:\/\n]+)"")),"""")"),"listwithclever.com")</f>
        <v>listwithclever.com</v>
      </c>
    </row>
    <row r="1175" spans="1:2" ht="12.5">
      <c r="A1175" s="3" t="s">
        <v>1430</v>
      </c>
      <c r="B1175" s="4" t="str">
        <f ca="1">IFERROR(__xludf.DUMMYFUNCTION("IFERROR(ARRAYFORMULA(REGEXEXTRACT(A1175,""^(?:https?:\/\/)?(?:[^@\n]+@)?(?:www\.)?([^:\/\n]+)"")),"""")"),"calassoc-hoa.com")</f>
        <v>calassoc-hoa.com</v>
      </c>
    </row>
    <row r="1176" spans="1:2" ht="12.5">
      <c r="A1176" s="3" t="s">
        <v>1431</v>
      </c>
      <c r="B1176" s="4" t="str">
        <f ca="1">IFERROR(__xludf.DUMMYFUNCTION("IFERROR(ARRAYFORMULA(REGEXEXTRACT(A1176,""^(?:https?:\/\/)?(?:[^@\n]+@)?(?:www\.)?([^:\/\n]+)"")),"""")"),"reeapartments.com")</f>
        <v>reeapartments.com</v>
      </c>
    </row>
    <row r="1177" spans="1:2" ht="12.5">
      <c r="A1177" s="3" t="s">
        <v>1432</v>
      </c>
      <c r="B1177" s="4" t="str">
        <f ca="1">IFERROR(__xludf.DUMMYFUNCTION("IFERROR(ARRAYFORMULA(REGEXEXTRACT(A1177,""^(?:https?:\/\/)?(?:[^@\n]+@)?(?:www\.)?([^:\/\n]+)"")),"""")"),"fordhamobserver.com")</f>
        <v>fordhamobserver.com</v>
      </c>
    </row>
    <row r="1178" spans="1:2" ht="12.5">
      <c r="A1178" s="3" t="s">
        <v>1433</v>
      </c>
      <c r="B1178" s="4" t="str">
        <f ca="1">IFERROR(__xludf.DUMMYFUNCTION("IFERROR(ARRAYFORMULA(REGEXEXTRACT(A1178,""^(?:https?:\/\/)?(?:[^@\n]+@)?(?:www\.)?([^:\/\n]+)"")),"""")"),"organisemyhouse.com")</f>
        <v>organisemyhouse.com</v>
      </c>
    </row>
    <row r="1179" spans="1:2" ht="12.5">
      <c r="A1179" s="3" t="s">
        <v>1434</v>
      </c>
      <c r="B1179" s="4" t="str">
        <f ca="1">IFERROR(__xludf.DUMMYFUNCTION("IFERROR(ARRAYFORMULA(REGEXEXTRACT(A1179,""^(?:https?:\/\/)?(?:[^@\n]+@)?(?:www\.)?([^:\/\n]+)"")),"""")"),"getflex.com")</f>
        <v>getflex.com</v>
      </c>
    </row>
    <row r="1180" spans="1:2" ht="12.5">
      <c r="A1180" s="3" t="s">
        <v>1435</v>
      </c>
      <c r="B1180" s="4" t="str">
        <f ca="1">IFERROR(__xludf.DUMMYFUNCTION("IFERROR(ARRAYFORMULA(REGEXEXTRACT(A1180,""^(?:https?:\/\/)?(?:[^@\n]+@)?(?:www\.)?([^:\/\n]+)"")),"""")"),"americanratcontrol.com")</f>
        <v>americanratcontrol.com</v>
      </c>
    </row>
    <row r="1181" spans="1:2" ht="12.5">
      <c r="A1181" s="3" t="s">
        <v>1436</v>
      </c>
      <c r="B1181" s="4" t="str">
        <f ca="1">IFERROR(__xludf.DUMMYFUNCTION("IFERROR(ARRAYFORMULA(REGEXEXTRACT(A1181,""^(?:https?:\/\/)?(?:[^@\n]+@)?(?:www\.)?([^:\/\n]+)"")),"""")"),"tinyhouseallianceusa.org")</f>
        <v>tinyhouseallianceusa.org</v>
      </c>
    </row>
    <row r="1182" spans="1:2" ht="12.5">
      <c r="A1182" s="3" t="s">
        <v>1437</v>
      </c>
      <c r="B1182" s="4" t="str">
        <f ca="1">IFERROR(__xludf.DUMMYFUNCTION("IFERROR(ARRAYFORMULA(REGEXEXTRACT(A1182,""^(?:https?:\/\/)?(?:[^@\n]+@)?(?:www\.)?([^:\/\n]+)"")),"""")"),"california.com")</f>
        <v>california.com</v>
      </c>
    </row>
    <row r="1183" spans="1:2" ht="12.5">
      <c r="A1183" s="3" t="s">
        <v>1438</v>
      </c>
      <c r="B1183" s="4" t="str">
        <f ca="1">IFERROR(__xludf.DUMMYFUNCTION("IFERROR(ARRAYFORMULA(REGEXEXTRACT(A1183,""^(?:https?:\/\/)?(?:[^@\n]+@)?(?:www\.)?([^:\/\n]+)"")),"""")"),"pashafunding.com")</f>
        <v>pashafunding.com</v>
      </c>
    </row>
    <row r="1184" spans="1:2" ht="12.5">
      <c r="A1184" s="3" t="s">
        <v>1439</v>
      </c>
      <c r="B1184" s="4" t="str">
        <f ca="1">IFERROR(__xludf.DUMMYFUNCTION("IFERROR(ARRAYFORMULA(REGEXEXTRACT(A1184,""^(?:https?:\/\/)?(?:[^@\n]+@)?(?:www\.)?([^:\/\n]+)"")),"""")"),"sheahomes.com")</f>
        <v>sheahomes.com</v>
      </c>
    </row>
    <row r="1185" spans="1:2" ht="12.5">
      <c r="A1185" s="3" t="s">
        <v>1440</v>
      </c>
      <c r="B1185" s="4" t="str">
        <f ca="1">IFERROR(__xludf.DUMMYFUNCTION("IFERROR(ARRAYFORMULA(REGEXEXTRACT(A1185,""^(?:https?:\/\/)?(?:[^@\n]+@)?(?:www\.)?([^:\/\n]+)"")),"""")"),"blueheron.com")</f>
        <v>blueheron.com</v>
      </c>
    </row>
    <row r="1186" spans="1:2" ht="12.5">
      <c r="A1186" s="3" t="s">
        <v>1441</v>
      </c>
      <c r="B1186" s="4" t="str">
        <f ca="1">IFERROR(__xludf.DUMMYFUNCTION("IFERROR(ARRAYFORMULA(REGEXEXTRACT(A1186,""^(?:https?:\/\/)?(?:[^@\n]+@)?(?:www\.)?([^:\/\n]+)"")),"""")"),"rentecdirect.com")</f>
        <v>rentecdirect.com</v>
      </c>
    </row>
    <row r="1187" spans="1:2" ht="12.5">
      <c r="A1187" s="3" t="s">
        <v>1442</v>
      </c>
      <c r="B1187" s="4" t="str">
        <f ca="1">IFERROR(__xludf.DUMMYFUNCTION("IFERROR(ARRAYFORMULA(REGEXEXTRACT(A1187,""^(?:https?:\/\/)?(?:[^@\n]+@)?(?:www\.)?([^:\/\n]+)"")),"""")"),"noradarealestate.com")</f>
        <v>noradarealestate.com</v>
      </c>
    </row>
    <row r="1188" spans="1:2" ht="12.5">
      <c r="A1188" s="3" t="s">
        <v>1443</v>
      </c>
      <c r="B1188" s="4" t="str">
        <f ca="1">IFERROR(__xludf.DUMMYFUNCTION("IFERROR(ARRAYFORMULA(REGEXEXTRACT(A1188,""^(?:https?:\/\/)?(?:[^@\n]+@)?(?:www\.)?([^:\/\n]+)"")),"""")"),"phyxter.ai")</f>
        <v>phyxter.ai</v>
      </c>
    </row>
    <row r="1189" spans="1:2" ht="12.5">
      <c r="A1189" s="3" t="s">
        <v>1444</v>
      </c>
      <c r="B1189" s="4" t="str">
        <f ca="1">IFERROR(__xludf.DUMMYFUNCTION("IFERROR(ARRAYFORMULA(REGEXEXTRACT(A1189,""^(?:https?:\/\/)?(?:[^@\n]+@)?(?:www\.)?([^:\/\n]+)"")),"""")"),"airandenergynwfl.com")</f>
        <v>airandenergynwfl.com</v>
      </c>
    </row>
    <row r="1190" spans="1:2" ht="12.5">
      <c r="A1190" s="3" t="s">
        <v>1445</v>
      </c>
      <c r="B1190" s="4" t="str">
        <f ca="1">IFERROR(__xludf.DUMMYFUNCTION("IFERROR(ARRAYFORMULA(REGEXEXTRACT(A1190,""^(?:https?:\/\/)?(?:[^@\n]+@)?(?:www\.)?([^:\/\n]+)"")),"""")"),"greenleafair.com")</f>
        <v>greenleafair.com</v>
      </c>
    </row>
    <row r="1191" spans="1:2" ht="12.5">
      <c r="A1191" s="3" t="s">
        <v>1446</v>
      </c>
      <c r="B1191" s="4" t="str">
        <f ca="1">IFERROR(__xludf.DUMMYFUNCTION("IFERROR(ARRAYFORMULA(REGEXEXTRACT(A1191,""^(?:https?:\/\/)?(?:[^@\n]+@)?(?:www\.)?([^:\/\n]+)"")),"""")"),"bardi.com")</f>
        <v>bardi.com</v>
      </c>
    </row>
    <row r="1192" spans="1:2" ht="12.5">
      <c r="A1192" s="3" t="s">
        <v>1447</v>
      </c>
      <c r="B1192" s="4" t="str">
        <f ca="1">IFERROR(__xludf.DUMMYFUNCTION("IFERROR(ARRAYFORMULA(REGEXEXTRACT(A1192,""^(?:https?:\/\/)?(?:[^@\n]+@)?(?:www\.)?([^:\/\n]+)"")),"""")"),"abestroofing.com")</f>
        <v>abestroofing.com</v>
      </c>
    </row>
    <row r="1193" spans="1:2" ht="12.5">
      <c r="A1193" s="3" t="s">
        <v>1448</v>
      </c>
      <c r="B1193" s="4" t="str">
        <f ca="1">IFERROR(__xludf.DUMMYFUNCTION("IFERROR(ARRAYFORMULA(REGEXEXTRACT(A1193,""^(?:https?:\/\/)?(?:[^@\n]+@)?(?:www\.)?([^:\/\n]+)"")),"""")"),"premiergrouproofs.com")</f>
        <v>premiergrouproofs.com</v>
      </c>
    </row>
    <row r="1194" spans="1:2" ht="12.5">
      <c r="A1194" s="3" t="s">
        <v>1449</v>
      </c>
      <c r="B1194" s="4" t="str">
        <f ca="1">IFERROR(__xludf.DUMMYFUNCTION("IFERROR(ARRAYFORMULA(REGEXEXTRACT(A1194,""^(?:https?:\/\/)?(?:[^@\n]+@)?(?:www\.)?([^:\/\n]+)"")),"""")"),"newheightsroofing.com")</f>
        <v>newheightsroofing.com</v>
      </c>
    </row>
    <row r="1195" spans="1:2" ht="12.5">
      <c r="A1195" s="3" t="s">
        <v>1450</v>
      </c>
      <c r="B1195" s="4" t="str">
        <f ca="1">IFERROR(__xludf.DUMMYFUNCTION("IFERROR(ARRAYFORMULA(REGEXEXTRACT(A1195,""^(?:https?:\/\/)?(?:[^@\n]+@)?(?:www\.)?([^:\/\n]+)"")),"""")"),"globalexteriorexperts.com")</f>
        <v>globalexteriorexperts.com</v>
      </c>
    </row>
    <row r="1196" spans="1:2" ht="12.5">
      <c r="A1196" s="3" t="s">
        <v>1451</v>
      </c>
      <c r="B1196" s="4" t="str">
        <f ca="1">IFERROR(__xludf.DUMMYFUNCTION("IFERROR(ARRAYFORMULA(REGEXEXTRACT(A1196,""^(?:https?:\/\/)?(?:[^@\n]+@)?(?:www\.)?([^:\/\n]+)"")),"""")"),"seadmokwater.com")</f>
        <v>seadmokwater.com</v>
      </c>
    </row>
    <row r="1197" spans="1:2" ht="12.5">
      <c r="A1197" s="3" t="s">
        <v>1452</v>
      </c>
      <c r="B1197" s="4" t="str">
        <f ca="1">IFERROR(__xludf.DUMMYFUNCTION("IFERROR(ARRAYFORMULA(REGEXEXTRACT(A1197,""^(?:https?:\/\/)?(?:[^@\n]+@)?(?:www\.)?([^:\/\n]+)"")),"""")"),"boboates.com")</f>
        <v>boboates.com</v>
      </c>
    </row>
    <row r="1198" spans="1:2" ht="12.5">
      <c r="A1198" s="3" t="s">
        <v>1453</v>
      </c>
      <c r="B1198" s="4" t="str">
        <f ca="1">IFERROR(__xludf.DUMMYFUNCTION("IFERROR(ARRAYFORMULA(REGEXEXTRACT(A1198,""^(?:https?:\/\/)?(?:[^@\n]+@)?(?:www\.)?([^:\/\n]+)"")),"""")"),"archicgi.com")</f>
        <v>archicgi.com</v>
      </c>
    </row>
    <row r="1199" spans="1:2" ht="12.5">
      <c r="A1199" s="3" t="s">
        <v>1454</v>
      </c>
      <c r="B1199" s="4" t="str">
        <f ca="1">IFERROR(__xludf.DUMMYFUNCTION("IFERROR(ARRAYFORMULA(REGEXEXTRACT(A1199,""^(?:https?:\/\/)?(?:[^@\n]+@)?(?:www\.)?([^:\/\n]+)"")),"""")"),"flcselect.com")</f>
        <v>flcselect.com</v>
      </c>
    </row>
    <row r="1200" spans="1:2" ht="12.5">
      <c r="A1200" s="3" t="s">
        <v>1455</v>
      </c>
      <c r="B1200" s="4" t="str">
        <f ca="1">IFERROR(__xludf.DUMMYFUNCTION("IFERROR(ARRAYFORMULA(REGEXEXTRACT(A1200,""^(?:https?:\/\/)?(?:[^@\n]+@)?(?:www\.)?([^:\/\n]+)"")),"""")"),"salmonhealth.com")</f>
        <v>salmonhealth.com</v>
      </c>
    </row>
    <row r="1201" spans="1:2" ht="12.5">
      <c r="A1201" s="3" t="s">
        <v>1456</v>
      </c>
      <c r="B1201" s="4" t="str">
        <f ca="1">IFERROR(__xludf.DUMMYFUNCTION("IFERROR(ARRAYFORMULA(REGEXEXTRACT(A1201,""^(?:https?:\/\/)?(?:[^@\n]+@)?(?:www\.)?([^:\/\n]+)"")),"""")"),"rivergumhomes.com.au")</f>
        <v>rivergumhomes.com.au</v>
      </c>
    </row>
    <row r="1202" spans="1:2" ht="12.5">
      <c r="A1202" s="3" t="s">
        <v>1457</v>
      </c>
      <c r="B1202" s="7" t="str">
        <f ca="1">IFERROR(__xludf.DUMMYFUNCTION("IFERROR(ARRAYFORMULA(REGEXEXTRACT(A1202,""^(?:https?:\/\/)?(?:[^@\n]+@)?(?:www\.)?([^:\/\n]+)"")),"""")"),"gropius.house")</f>
        <v>gropius.house</v>
      </c>
    </row>
    <row r="1203" spans="1:2" ht="12.5">
      <c r="A1203" s="3" t="s">
        <v>1458</v>
      </c>
      <c r="B1203" s="4" t="str">
        <f ca="1">IFERROR(__xludf.DUMMYFUNCTION("IFERROR(ARRAYFORMULA(REGEXEXTRACT(A1203,""^(?:https?:\/\/)?(?:[^@\n]+@)?(?:www\.)?([^:\/\n]+)"")),"""")"),"freedesstudio.com")</f>
        <v>freedesstudio.com</v>
      </c>
    </row>
    <row r="1204" spans="1:2" ht="12.5">
      <c r="A1204" s="3" t="s">
        <v>1459</v>
      </c>
      <c r="B1204" s="4" t="str">
        <f ca="1">IFERROR(__xludf.DUMMYFUNCTION("IFERROR(ARRAYFORMULA(REGEXEXTRACT(A1204,""^(?:https?:\/\/)?(?:[^@\n]+@)?(?:www\.)?([^:\/\n]+)"")),"""")"),"simplicitybath.com")</f>
        <v>simplicitybath.com</v>
      </c>
    </row>
    <row r="1205" spans="1:2" ht="12.5">
      <c r="A1205" s="3" t="s">
        <v>1460</v>
      </c>
      <c r="B1205" s="4" t="str">
        <f ca="1">IFERROR(__xludf.DUMMYFUNCTION("IFERROR(ARRAYFORMULA(REGEXEXTRACT(A1205,""^(?:https?:\/\/)?(?:[^@\n]+@)?(?:www\.)?([^:\/\n]+)"")),"""")"),"johntheplumber.ca")</f>
        <v>johntheplumber.ca</v>
      </c>
    </row>
    <row r="1206" spans="1:2" ht="12.5">
      <c r="A1206" s="3" t="s">
        <v>1461</v>
      </c>
      <c r="B1206" s="4" t="str">
        <f ca="1">IFERROR(__xludf.DUMMYFUNCTION("IFERROR(ARRAYFORMULA(REGEXEXTRACT(A1206,""^(?:https?:\/\/)?(?:[^@\n]+@)?(?:www\.)?([^:\/\n]+)"")),"""")"),"voyagemaison.com")</f>
        <v>voyagemaison.com</v>
      </c>
    </row>
    <row r="1207" spans="1:2" ht="12.5">
      <c r="A1207" s="3" t="s">
        <v>1462</v>
      </c>
      <c r="B1207" s="4" t="str">
        <f ca="1">IFERROR(__xludf.DUMMYFUNCTION("IFERROR(ARRAYFORMULA(REGEXEXTRACT(A1207,""^(?:https?:\/\/)?(?:[^@\n]+@)?(?:www\.)?([^:\/\n]+)"")),"""")"),"thedgbuilders.com")</f>
        <v>thedgbuilders.com</v>
      </c>
    </row>
    <row r="1208" spans="1:2" ht="12.5">
      <c r="A1208" s="3" t="s">
        <v>1463</v>
      </c>
      <c r="B1208" s="4" t="str">
        <f ca="1">IFERROR(__xludf.DUMMYFUNCTION("IFERROR(ARRAYFORMULA(REGEXEXTRACT(A1208,""^(?:https?:\/\/)?(?:[^@\n]+@)?(?:www\.)?([^:\/\n]+)"")),"""")"),"gbdmagazine.com")</f>
        <v>gbdmagazine.com</v>
      </c>
    </row>
    <row r="1209" spans="1:2" ht="12.5">
      <c r="A1209" s="3" t="s">
        <v>1464</v>
      </c>
      <c r="B1209" s="4" t="str">
        <f ca="1">IFERROR(__xludf.DUMMYFUNCTION("IFERROR(ARRAYFORMULA(REGEXEXTRACT(A1209,""^(?:https?:\/\/)?(?:[^@\n]+@)?(?:www\.)?([^:\/\n]+)"")),"""")"),"nulookhomedesign.com")</f>
        <v>nulookhomedesign.com</v>
      </c>
    </row>
    <row r="1210" spans="1:2" ht="12.5">
      <c r="A1210" s="3" t="s">
        <v>1465</v>
      </c>
      <c r="B1210" s="4" t="str">
        <f ca="1">IFERROR(__xludf.DUMMYFUNCTION("IFERROR(ARRAYFORMULA(REGEXEXTRACT(A1210,""^(?:https?:\/\/)?(?:[^@\n]+@)?(?:www\.)?([^:\/\n]+)"")),"""")"),"movingmountainsdesign.com")</f>
        <v>movingmountainsdesign.com</v>
      </c>
    </row>
    <row r="1211" spans="1:2" ht="12.5">
      <c r="A1211" s="3" t="s">
        <v>1466</v>
      </c>
      <c r="B1211" s="4" t="str">
        <f ca="1">IFERROR(__xludf.DUMMYFUNCTION("IFERROR(ARRAYFORMULA(REGEXEXTRACT(A1211,""^(?:https?:\/\/)?(?:[^@\n]+@)?(?:www\.)?([^:\/\n]+)"")),"""")"),"renovationfind.com")</f>
        <v>renovationfind.com</v>
      </c>
    </row>
    <row r="1212" spans="1:2" ht="12.5">
      <c r="A1212" s="3" t="s">
        <v>1467</v>
      </c>
      <c r="B1212" s="4" t="str">
        <f ca="1">IFERROR(__xludf.DUMMYFUNCTION("IFERROR(ARRAYFORMULA(REGEXEXTRACT(A1212,""^(?:https?:\/\/)?(?:[^@\n]+@)?(?:www\.)?([^:\/\n]+)"")),"""")"),"kay2.ca")</f>
        <v>kay2.ca</v>
      </c>
    </row>
    <row r="1213" spans="1:2" ht="12.5">
      <c r="A1213" s="3" t="s">
        <v>1468</v>
      </c>
      <c r="B1213" s="4" t="str">
        <f ca="1">IFERROR(__xludf.DUMMYFUNCTION("IFERROR(ARRAYFORMULA(REGEXEXTRACT(A1213,""^(?:https?:\/\/)?(?:[^@\n]+@)?(?:www\.)?([^:\/\n]+)"")),"""")"),"exclusivemetalroofing.com.au")</f>
        <v>exclusivemetalroofing.com.au</v>
      </c>
    </row>
    <row r="1214" spans="1:2" ht="12.5">
      <c r="A1214" s="3" t="s">
        <v>1469</v>
      </c>
      <c r="B1214" s="4" t="str">
        <f ca="1">IFERROR(__xludf.DUMMYFUNCTION("IFERROR(ARRAYFORMULA(REGEXEXTRACT(A1214,""^(?:https?:\/\/)?(?:[^@\n]+@)?(?:www\.)?([^:\/\n]+)"")),"""")"),"prairieexteriors.com")</f>
        <v>prairieexteriors.com</v>
      </c>
    </row>
    <row r="1215" spans="1:2" ht="12.5">
      <c r="A1215" s="3" t="s">
        <v>1470</v>
      </c>
      <c r="B1215" s="4" t="str">
        <f ca="1">IFERROR(__xludf.DUMMYFUNCTION("IFERROR(ARRAYFORMULA(REGEXEXTRACT(A1215,""^(?:https?:\/\/)?(?:[^@\n]+@)?(?:www\.)?([^:\/\n]+)"")),"""")"),"hardwaresource.com")</f>
        <v>hardwaresource.com</v>
      </c>
    </row>
    <row r="1216" spans="1:2" ht="12.5">
      <c r="A1216" s="3" t="s">
        <v>1471</v>
      </c>
      <c r="B1216" s="4" t="str">
        <f ca="1">IFERROR(__xludf.DUMMYFUNCTION("IFERROR(ARRAYFORMULA(REGEXEXTRACT(A1216,""^(?:https?:\/\/)?(?:[^@\n]+@)?(?:www\.)?([^:\/\n]+)"")),"""")"),"dupaint.com.au")</f>
        <v>dupaint.com.au</v>
      </c>
    </row>
    <row r="1217" spans="1:2" ht="12.5">
      <c r="A1217" s="3" t="s">
        <v>1472</v>
      </c>
      <c r="B1217" s="4" t="str">
        <f ca="1">IFERROR(__xludf.DUMMYFUNCTION("IFERROR(ARRAYFORMULA(REGEXEXTRACT(A1217,""^(?:https?:\/\/)?(?:[^@\n]+@)?(?:www\.)?([^:\/\n]+)"")),"""")"),"marylandrealestateadvantage.com")</f>
        <v>marylandrealestateadvantage.com</v>
      </c>
    </row>
    <row r="1218" spans="1:2" ht="12.5">
      <c r="A1218" s="3" t="s">
        <v>1473</v>
      </c>
      <c r="B1218" s="4" t="str">
        <f ca="1">IFERROR(__xludf.DUMMYFUNCTION("IFERROR(ARRAYFORMULA(REGEXEXTRACT(A1218,""^(?:https?:\/\/)?(?:[^@\n]+@)?(?:www\.)?([^:\/\n]+)"")),"""")"),"excelbuilders.com")</f>
        <v>excelbuilders.com</v>
      </c>
    </row>
    <row r="1219" spans="1:2" ht="12.5">
      <c r="A1219" s="3" t="s">
        <v>1474</v>
      </c>
      <c r="B1219" s="4" t="str">
        <f ca="1">IFERROR(__xludf.DUMMYFUNCTION("IFERROR(ARRAYFORMULA(REGEXEXTRACT(A1219,""^(?:https?:\/\/)?(?:[^@\n]+@)?(?:www\.)?([^:\/\n]+)"")),"""")"),"21oak.com")</f>
        <v>21oak.com</v>
      </c>
    </row>
    <row r="1220" spans="1:2" ht="12.5">
      <c r="A1220" s="3" t="s">
        <v>1475</v>
      </c>
      <c r="B1220" s="4" t="str">
        <f ca="1">IFERROR(__xludf.DUMMYFUNCTION("IFERROR(ARRAYFORMULA(REGEXEXTRACT(A1220,""^(?:https?:\/\/)?(?:[^@\n]+@)?(?:www\.)?([^:\/\n]+)"")),"""")"),"thrivepest.com")</f>
        <v>thrivepest.com</v>
      </c>
    </row>
    <row r="1221" spans="1:2" ht="12.5">
      <c r="A1221" s="3" t="s">
        <v>1476</v>
      </c>
      <c r="B1221" s="4" t="str">
        <f ca="1">IFERROR(__xludf.DUMMYFUNCTION("IFERROR(ARRAYFORMULA(REGEXEXTRACT(A1221,""^(?:https?:\/\/)?(?:[^@\n]+@)?(?:www\.)?([^:\/\n]+)"")),"""")"),"architecturebeast.com")</f>
        <v>architecturebeast.com</v>
      </c>
    </row>
    <row r="1222" spans="1:2" ht="12.5">
      <c r="A1222" s="3" t="s">
        <v>1477</v>
      </c>
      <c r="B1222" s="4" t="str">
        <f ca="1">IFERROR(__xludf.DUMMYFUNCTION("IFERROR(ARRAYFORMULA(REGEXEXTRACT(A1222,""^(?:https?:\/\/)?(?:[^@\n]+@)?(?:www\.)?([^:\/\n]+)"")),"""")"),"guardianplumbing.net.au")</f>
        <v>guardianplumbing.net.au</v>
      </c>
    </row>
    <row r="1223" spans="1:2" ht="12.5">
      <c r="A1223" s="3" t="s">
        <v>1478</v>
      </c>
      <c r="B1223" s="4" t="str">
        <f ca="1">IFERROR(__xludf.DUMMYFUNCTION("IFERROR(ARRAYFORMULA(REGEXEXTRACT(A1223,""^(?:https?:\/\/)?(?:[^@\n]+@)?(?:www\.)?([^:\/\n]+)"")),"""")"),"noeljones.com.au")</f>
        <v>noeljones.com.au</v>
      </c>
    </row>
    <row r="1224" spans="1:2" ht="12.5">
      <c r="A1224" s="3" t="s">
        <v>1479</v>
      </c>
      <c r="B1224" s="4" t="str">
        <f ca="1">IFERROR(__xludf.DUMMYFUNCTION("IFERROR(ARRAYFORMULA(REGEXEXTRACT(A1224,""^(?:https?:\/\/)?(?:[^@\n]+@)?(?:www\.)?([^:\/\n]+)"")),"""")"),"charmedbycamille.com")</f>
        <v>charmedbycamille.com</v>
      </c>
    </row>
    <row r="1225" spans="1:2" ht="12.5">
      <c r="A1225" s="3" t="s">
        <v>1480</v>
      </c>
      <c r="B1225" s="4" t="str">
        <f ca="1">IFERROR(__xludf.DUMMYFUNCTION("IFERROR(ARRAYFORMULA(REGEXEXTRACT(A1225,""^(?:https?:\/\/)?(?:[^@\n]+@)?(?:www\.)?([^:\/\n]+)"")),"""")"),"snooze.com.au")</f>
        <v>snooze.com.au</v>
      </c>
    </row>
    <row r="1226" spans="1:2" ht="12.5">
      <c r="A1226" s="3" t="s">
        <v>1481</v>
      </c>
      <c r="B1226" s="4" t="str">
        <f ca="1">IFERROR(__xludf.DUMMYFUNCTION("IFERROR(ARRAYFORMULA(REGEXEXTRACT(A1226,""^(?:https?:\/\/)?(?:[^@\n]+@)?(?:www\.)?([^:\/\n]+)"")),"""")"),"americanbestlocksmith.com")</f>
        <v>americanbestlocksmith.com</v>
      </c>
    </row>
    <row r="1227" spans="1:2" ht="12.5">
      <c r="A1227" s="3" t="s">
        <v>1482</v>
      </c>
      <c r="B1227" s="4" t="str">
        <f ca="1">IFERROR(__xludf.DUMMYFUNCTION("IFERROR(ARRAYFORMULA(REGEXEXTRACT(A1227,""^(?:https?:\/\/)?(?:[^@\n]+@)?(?:www\.)?([^:\/\n]+)"")),"""")"),"blueandgreentomorrow.com")</f>
        <v>blueandgreentomorrow.com</v>
      </c>
    </row>
    <row r="1228" spans="1:2" ht="12.5">
      <c r="A1228" s="3" t="s">
        <v>1483</v>
      </c>
      <c r="B1228" s="4" t="str">
        <f ca="1">IFERROR(__xludf.DUMMYFUNCTION("IFERROR(ARRAYFORMULA(REGEXEXTRACT(A1228,""^(?:https?:\/\/)?(?:[^@\n]+@)?(?:www\.)?([^:\/\n]+)"")),"""")"),"prepsmartpainting.com")</f>
        <v>prepsmartpainting.com</v>
      </c>
    </row>
    <row r="1229" spans="1:2" ht="12.5">
      <c r="A1229" s="3" t="s">
        <v>1484</v>
      </c>
      <c r="B1229" s="4" t="str">
        <f ca="1">IFERROR(__xludf.DUMMYFUNCTION("IFERROR(ARRAYFORMULA(REGEXEXTRACT(A1229,""^(?:https?:\/\/)?(?:[^@\n]+@)?(?:www\.)?([^:\/\n]+)"")),"""")"),"urbankitchens.co.uk")</f>
        <v>urbankitchens.co.uk</v>
      </c>
    </row>
    <row r="1230" spans="1:2" ht="12.5">
      <c r="A1230" s="3" t="s">
        <v>1485</v>
      </c>
      <c r="B1230" s="4" t="str">
        <f ca="1">IFERROR(__xludf.DUMMYFUNCTION("IFERROR(ARRAYFORMULA(REGEXEXTRACT(A1230,""^(?:https?:\/\/)?(?:[^@\n]+@)?(?:www\.)?([^:\/\n]+)"")),"""")"),"mjengineeringprojects.com.au")</f>
        <v>mjengineeringprojects.com.au</v>
      </c>
    </row>
    <row r="1231" spans="1:2" ht="12.5">
      <c r="A1231" s="3" t="s">
        <v>1486</v>
      </c>
      <c r="B1231" s="4" t="str">
        <f ca="1">IFERROR(__xludf.DUMMYFUNCTION("IFERROR(ARRAYFORMULA(REGEXEXTRACT(A1231,""^(?:https?:\/\/)?(?:[^@\n]+@)?(?:www\.)?([^:\/\n]+)"")),"""")"),"pinkelephantsonthemove.com")</f>
        <v>pinkelephantsonthemove.com</v>
      </c>
    </row>
    <row r="1232" spans="1:2" ht="12.5">
      <c r="A1232" s="3" t="s">
        <v>1487</v>
      </c>
      <c r="B1232" s="4" t="str">
        <f ca="1">IFERROR(__xludf.DUMMYFUNCTION("IFERROR(ARRAYFORMULA(REGEXEXTRACT(A1232,""^(?:https?:\/\/)?(?:[^@\n]+@)?(?:www\.)?([^:\/\n]+)"")),"""")"),"mtcopeland.com")</f>
        <v>mtcopeland.com</v>
      </c>
    </row>
    <row r="1233" spans="1:2" ht="12.5">
      <c r="A1233" s="3" t="s">
        <v>1488</v>
      </c>
      <c r="B1233" s="4" t="str">
        <f ca="1">IFERROR(__xludf.DUMMYFUNCTION("IFERROR(ARRAYFORMULA(REGEXEXTRACT(A1233,""^(?:https?:\/\/)?(?:[^@\n]+@)?(?:www\.)?([^:\/\n]+)"")),"""")"),"revivalist.com")</f>
        <v>revivalist.com</v>
      </c>
    </row>
    <row r="1234" spans="1:2" ht="12.5">
      <c r="A1234" s="3" t="s">
        <v>1489</v>
      </c>
      <c r="B1234" s="4" t="str">
        <f ca="1">IFERROR(__xludf.DUMMYFUNCTION("IFERROR(ARRAYFORMULA(REGEXEXTRACT(A1234,""^(?:https?:\/\/)?(?:[^@\n]+@)?(?:www\.)?([^:\/\n]+)"")),"""")"),"vacuumelevators.com")</f>
        <v>vacuumelevators.com</v>
      </c>
    </row>
    <row r="1235" spans="1:2" ht="12.5">
      <c r="A1235" s="3" t="s">
        <v>1490</v>
      </c>
      <c r="B1235" s="4" t="str">
        <f ca="1">IFERROR(__xludf.DUMMYFUNCTION("IFERROR(ARRAYFORMULA(REGEXEXTRACT(A1235,""^(?:https?:\/\/)?(?:[^@\n]+@)?(?:www\.)?([^:\/\n]+)"")),"""")"),"renovationcapital.com.au")</f>
        <v>renovationcapital.com.au</v>
      </c>
    </row>
    <row r="1236" spans="1:2" ht="12.5">
      <c r="A1236" s="3" t="s">
        <v>1491</v>
      </c>
      <c r="B1236" s="4" t="str">
        <f ca="1">IFERROR(__xludf.DUMMYFUNCTION("IFERROR(ARRAYFORMULA(REGEXEXTRACT(A1236,""^(?:https?:\/\/)?(?:[^@\n]+@)?(?:www\.)?([^:\/\n]+)"")),"""")"),"eyringmovers.com")</f>
        <v>eyringmovers.com</v>
      </c>
    </row>
    <row r="1237" spans="1:2" ht="12.5">
      <c r="A1237" s="3" t="s">
        <v>1492</v>
      </c>
      <c r="B1237" s="4" t="str">
        <f ca="1">IFERROR(__xludf.DUMMYFUNCTION("IFERROR(ARRAYFORMULA(REGEXEXTRACT(A1237,""^(?:https?:\/\/)?(?:[^@\n]+@)?(?:www\.)?([^:\/\n]+)"")),"""")"),"cavaliermoving.com")</f>
        <v>cavaliermoving.com</v>
      </c>
    </row>
    <row r="1238" spans="1:2" ht="12.5">
      <c r="A1238" s="3" t="s">
        <v>1493</v>
      </c>
      <c r="B1238" s="4" t="str">
        <f ca="1">IFERROR(__xludf.DUMMYFUNCTION("IFERROR(ARRAYFORMULA(REGEXEXTRACT(A1238,""^(?:https?:\/\/)?(?:[^@\n]+@)?(?:www\.)?([^:\/\n]+)"")),"""")"),"thecoolingco.com")</f>
        <v>thecoolingco.com</v>
      </c>
    </row>
    <row r="1239" spans="1:2" ht="12.5">
      <c r="A1239" s="3" t="s">
        <v>1494</v>
      </c>
      <c r="B1239" s="4" t="str">
        <f ca="1">IFERROR(__xludf.DUMMYFUNCTION("IFERROR(ARRAYFORMULA(REGEXEXTRACT(A1239,""^(?:https?:\/\/)?(?:[^@\n]+@)?(?:www\.)?([^:\/\n]+)"")),"""")"),"majesticcabinetsllc.com")</f>
        <v>majesticcabinetsllc.com</v>
      </c>
    </row>
    <row r="1240" spans="1:2" ht="12.5">
      <c r="A1240" s="3" t="s">
        <v>1495</v>
      </c>
      <c r="B1240" s="4" t="str">
        <f ca="1">IFERROR(__xludf.DUMMYFUNCTION("IFERROR(ARRAYFORMULA(REGEXEXTRACT(A1240,""^(?:https?:\/\/)?(?:[^@\n]+@)?(?:www\.)?([^:\/\n]+)"")),"""")"),"happilyinspired.com")</f>
        <v>happilyinspired.com</v>
      </c>
    </row>
    <row r="1241" spans="1:2" ht="12.5">
      <c r="A1241" s="3" t="s">
        <v>1496</v>
      </c>
      <c r="B1241" s="4" t="str">
        <f ca="1">IFERROR(__xludf.DUMMYFUNCTION("IFERROR(ARRAYFORMULA(REGEXEXTRACT(A1241,""^(?:https?:\/\/)?(?:[^@\n]+@)?(?:www\.)?([^:\/\n]+)"")),"""")"),"mauieliteproperty.com")</f>
        <v>mauieliteproperty.com</v>
      </c>
    </row>
    <row r="1242" spans="1:2" ht="12.5">
      <c r="A1242" s="3" t="s">
        <v>1497</v>
      </c>
      <c r="B1242" s="4" t="str">
        <f ca="1">IFERROR(__xludf.DUMMYFUNCTION("IFERROR(ARRAYFORMULA(REGEXEXTRACT(A1242,""^(?:https?:\/\/)?(?:[^@\n]+@)?(?:www\.)?([^:\/\n]+)"")),"""")"),"kgraberco.com")</f>
        <v>kgraberco.com</v>
      </c>
    </row>
    <row r="1243" spans="1:2" ht="12.5">
      <c r="A1243" s="3" t="s">
        <v>1498</v>
      </c>
      <c r="B1243" s="4" t="str">
        <f ca="1">IFERROR(__xludf.DUMMYFUNCTION("IFERROR(ARRAYFORMULA(REGEXEXTRACT(A1243,""^(?:https?:\/\/)?(?:[^@\n]+@)?(?:www\.)?([^:\/\n]+)"")),"""")"),"homebuilding.co.uk")</f>
        <v>homebuilding.co.uk</v>
      </c>
    </row>
    <row r="1244" spans="1:2" ht="12.5">
      <c r="A1244" s="3" t="s">
        <v>1499</v>
      </c>
      <c r="B1244" s="4" t="str">
        <f ca="1">IFERROR(__xludf.DUMMYFUNCTION("IFERROR(ARRAYFORMULA(REGEXEXTRACT(A1244,""^(?:https?:\/\/)?(?:[^@\n]+@)?(?:www\.)?([^:\/\n]+)"")),"""")"),"highstuff.com")</f>
        <v>highstuff.com</v>
      </c>
    </row>
    <row r="1245" spans="1:2" ht="12.5">
      <c r="A1245" s="3" t="s">
        <v>1500</v>
      </c>
      <c r="B1245" s="4" t="str">
        <f ca="1">IFERROR(__xludf.DUMMYFUNCTION("IFERROR(ARRAYFORMULA(REGEXEXTRACT(A1245,""^(?:https?:\/\/)?(?:[^@\n]+@)?(?:www\.)?([^:\/\n]+)"")),"""")"),"masterclasskitchens.co.uk")</f>
        <v>masterclasskitchens.co.uk</v>
      </c>
    </row>
    <row r="1246" spans="1:2" ht="12.5">
      <c r="A1246" s="3" t="s">
        <v>1501</v>
      </c>
      <c r="B1246" s="4" t="str">
        <f ca="1">IFERROR(__xludf.DUMMYFUNCTION("IFERROR(ARRAYFORMULA(REGEXEXTRACT(A1246,""^(?:https?:\/\/)?(?:[^@\n]+@)?(?:www\.)?([^:\/\n]+)"")),"""")"),"livingetc.com")</f>
        <v>livingetc.com</v>
      </c>
    </row>
    <row r="1247" spans="1:2" ht="12.5">
      <c r="A1247" s="3" t="s">
        <v>1502</v>
      </c>
      <c r="B1247" s="4" t="str">
        <f ca="1">IFERROR(__xludf.DUMMYFUNCTION("IFERROR(ARRAYFORMULA(REGEXEXTRACT(A1247,""^(?:https?:\/\/)?(?:[^@\n]+@)?(?:www\.)?([^:\/\n]+)"")),"""")"),"goldencoastroofing.com")</f>
        <v>goldencoastroofing.com</v>
      </c>
    </row>
    <row r="1248" spans="1:2" ht="12.5">
      <c r="A1248" s="3" t="s">
        <v>1503</v>
      </c>
      <c r="B1248" s="4" t="str">
        <f ca="1">IFERROR(__xludf.DUMMYFUNCTION("IFERROR(ARRAYFORMULA(REGEXEXTRACT(A1248,""^(?:https?:\/\/)?(?:[^@\n]+@)?(?:www\.)?([^:\/\n]+)"")),"""")"),"honestaberoofing.com")</f>
        <v>honestaberoofing.com</v>
      </c>
    </row>
    <row r="1249" spans="1:2" ht="12.5">
      <c r="A1249" s="3" t="s">
        <v>1504</v>
      </c>
      <c r="B1249" s="4" t="str">
        <f ca="1">IFERROR(__xludf.DUMMYFUNCTION("IFERROR(ARRAYFORMULA(REGEXEXTRACT(A1249,""^(?:https?:\/\/)?(?:[^@\n]+@)?(?:www\.)?([^:\/\n]+)"")),"""")"),"sheds.com.au")</f>
        <v>sheds.com.au</v>
      </c>
    </row>
    <row r="1250" spans="1:2" ht="12.5">
      <c r="A1250" s="3" t="s">
        <v>1505</v>
      </c>
      <c r="B1250" s="4" t="str">
        <f ca="1">IFERROR(__xludf.DUMMYFUNCTION("IFERROR(ARRAYFORMULA(REGEXEXTRACT(A1250,""^(?:https?:\/\/)?(?:[^@\n]+@)?(?:www\.)?([^:\/\n]+)"")),"""")"),"redstickroofing.com")</f>
        <v>redstickroofing.com</v>
      </c>
    </row>
    <row r="1251" spans="1:2" ht="12.5">
      <c r="A1251" s="3" t="s">
        <v>1506</v>
      </c>
      <c r="B1251" s="4" t="str">
        <f ca="1">IFERROR(__xludf.DUMMYFUNCTION("IFERROR(ARRAYFORMULA(REGEXEXTRACT(A1251,""^(?:https?:\/\/)?(?:[^@\n]+@)?(?:www\.)?([^:\/\n]+)"")),"""")"),"fairdinkumbuilds.com.au")</f>
        <v>fairdinkumbuilds.com.au</v>
      </c>
    </row>
    <row r="1252" spans="1:2" ht="12.5">
      <c r="A1252" s="3" t="s">
        <v>1507</v>
      </c>
      <c r="B1252" s="4" t="str">
        <f ca="1">IFERROR(__xludf.DUMMYFUNCTION("IFERROR(ARRAYFORMULA(REGEXEXTRACT(A1252,""^(?:https?:\/\/)?(?:[^@\n]+@)?(?:www\.)?([^:\/\n]+)"")),"""")"),"openpropertygroup.com")</f>
        <v>openpropertygroup.com</v>
      </c>
    </row>
    <row r="1253" spans="1:2" ht="12.5">
      <c r="A1253" s="3" t="s">
        <v>1508</v>
      </c>
      <c r="B1253" s="4" t="str">
        <f ca="1">IFERROR(__xludf.DUMMYFUNCTION("IFERROR(ARRAYFORMULA(REGEXEXTRACT(A1253,""^(?:https?:\/\/)?(?:[^@\n]+@)?(?:www\.)?([^:\/\n]+)"")),"""")"),"bluebirdcfw.com")</f>
        <v>bluebirdcfw.com</v>
      </c>
    </row>
    <row r="1254" spans="1:2" ht="12.5">
      <c r="A1254" s="3" t="s">
        <v>1509</v>
      </c>
      <c r="B1254" s="4" t="str">
        <f ca="1">IFERROR(__xludf.DUMMYFUNCTION("IFERROR(ARRAYFORMULA(REGEXEXTRACT(A1254,""^(?:https?:\/\/)?(?:[^@\n]+@)?(?:www\.)?([^:\/\n]+)"")),"""")"),"aaagaragedoorswa.com")</f>
        <v>aaagaragedoorswa.com</v>
      </c>
    </row>
    <row r="1255" spans="1:2" ht="12.5">
      <c r="A1255" s="3" t="s">
        <v>1510</v>
      </c>
      <c r="B1255" s="4" t="str">
        <f ca="1">IFERROR(__xludf.DUMMYFUNCTION("IFERROR(ARRAYFORMULA(REGEXEXTRACT(A1255,""^(?:https?:\/\/)?(?:[^@\n]+@)?(?:www\.)?([^:\/\n]+)"")),"""")"),"simpletankservices.com")</f>
        <v>simpletankservices.com</v>
      </c>
    </row>
    <row r="1256" spans="1:2" ht="12.5">
      <c r="A1256" s="3" t="s">
        <v>1511</v>
      </c>
      <c r="B1256" s="4" t="str">
        <f ca="1">IFERROR(__xludf.DUMMYFUNCTION("IFERROR(ARRAYFORMULA(REGEXEXTRACT(A1256,""^(?:https?:\/\/)?(?:[^@\n]+@)?(?:www\.)?([^:\/\n]+)"")),"""")"),"tubchairs.com")</f>
        <v>tubchairs.com</v>
      </c>
    </row>
    <row r="1257" spans="1:2" ht="12.5">
      <c r="A1257" s="3" t="s">
        <v>1512</v>
      </c>
      <c r="B1257" s="4" t="str">
        <f ca="1">IFERROR(__xludf.DUMMYFUNCTION("IFERROR(ARRAYFORMULA(REGEXEXTRACT(A1257,""^(?:https?:\/\/)?(?:[^@\n]+@)?(?:www\.)?([^:\/\n]+)"")),"""")"),"paramountbuilders.com")</f>
        <v>paramountbuilders.com</v>
      </c>
    </row>
    <row r="1258" spans="1:2" ht="12.5">
      <c r="A1258" s="3" t="s">
        <v>1513</v>
      </c>
      <c r="B1258" s="4" t="str">
        <f ca="1">IFERROR(__xludf.DUMMYFUNCTION("IFERROR(ARRAYFORMULA(REGEXEXTRACT(A1258,""^(?:https?:\/\/)?(?:[^@\n]+@)?(?:www\.)?([^:\/\n]+)"")),"""")"),"haltonstairliftsltd.co.uk")</f>
        <v>haltonstairliftsltd.co.uk</v>
      </c>
    </row>
    <row r="1259" spans="1:2" ht="12.5">
      <c r="A1259" s="3" t="s">
        <v>1514</v>
      </c>
      <c r="B1259" s="4" t="str">
        <f ca="1">IFERROR(__xludf.DUMMYFUNCTION("IFERROR(ARRAYFORMULA(REGEXEXTRACT(A1259,""^(?:https?:\/\/)?(?:[^@\n]+@)?(?:www\.)?([^:\/\n]+)"")),"""")"),"prosourcewholesale.com")</f>
        <v>prosourcewholesale.com</v>
      </c>
    </row>
    <row r="1260" spans="1:2" ht="12.5">
      <c r="A1260" s="3" t="s">
        <v>1515</v>
      </c>
      <c r="B1260" s="4" t="str">
        <f ca="1">IFERROR(__xludf.DUMMYFUNCTION("IFERROR(ARRAYFORMULA(REGEXEXTRACT(A1260,""^(?:https?:\/\/)?(?:[^@\n]+@)?(?:www\.)?([^:\/\n]+)"")),"""")"),"okcroofers.com")</f>
        <v>okcroofers.com</v>
      </c>
    </row>
    <row r="1261" spans="1:2" ht="12.5">
      <c r="A1261" s="3" t="s">
        <v>1516</v>
      </c>
      <c r="B1261" s="4" t="str">
        <f ca="1">IFERROR(__xludf.DUMMYFUNCTION("IFERROR(ARRAYFORMULA(REGEXEXTRACT(A1261,""^(?:https?:\/\/)?(?:[^@\n]+@)?(?:www\.)?([^:\/\n]+)"")),"""")"),"rubyhome.com")</f>
        <v>rubyhome.com</v>
      </c>
    </row>
    <row r="1262" spans="1:2" ht="12.5">
      <c r="A1262" s="3" t="s">
        <v>1517</v>
      </c>
      <c r="B1262" s="4" t="str">
        <f ca="1">IFERROR(__xludf.DUMMYFUNCTION("IFERROR(ARRAYFORMULA(REGEXEXTRACT(A1262,""^(?:https?:\/\/)?(?:[^@\n]+@)?(?:www\.)?([^:\/\n]+)"")),"""")"),"okfoundationsolutions.com")</f>
        <v>okfoundationsolutions.com</v>
      </c>
    </row>
    <row r="1263" spans="1:2" ht="12.5">
      <c r="A1263" s="3" t="s">
        <v>1518</v>
      </c>
      <c r="B1263" s="4" t="str">
        <f ca="1">IFERROR(__xludf.DUMMYFUNCTION("IFERROR(ARRAYFORMULA(REGEXEXTRACT(A1263,""^(?:https?:\/\/)?(?:[^@\n]+@)?(?:www\.)?([^:\/\n]+)"")),"""")"),"expressgaragedoordfw.com")</f>
        <v>expressgaragedoordfw.com</v>
      </c>
    </row>
    <row r="1264" spans="1:2" ht="12.5">
      <c r="A1264" s="3" t="s">
        <v>1519</v>
      </c>
      <c r="B1264" s="4" t="str">
        <f ca="1">IFERROR(__xludf.DUMMYFUNCTION("IFERROR(ARRAYFORMULA(REGEXEXTRACT(A1264,""^(?:https?:\/\/)?(?:[^@\n]+@)?(?:www\.)?([^:\/\n]+)"")),"""")"),"lamunyon.com")</f>
        <v>lamunyon.com</v>
      </c>
    </row>
    <row r="1265" spans="1:2" ht="12.5">
      <c r="A1265" s="3" t="s">
        <v>1520</v>
      </c>
      <c r="B1265" s="4" t="str">
        <f ca="1">IFERROR(__xludf.DUMMYFUNCTION("IFERROR(ARRAYFORMULA(REGEXEXTRACT(A1265,""^(?:https?:\/\/)?(?:[^@\n]+@)?(?:www\.)?([^:\/\n]+)"")),"""")"),"serenitymovingservices.com")</f>
        <v>serenitymovingservices.com</v>
      </c>
    </row>
    <row r="1266" spans="1:2" ht="12.5">
      <c r="A1266" s="3" t="s">
        <v>1521</v>
      </c>
      <c r="B1266" s="4" t="str">
        <f ca="1">IFERROR(__xludf.DUMMYFUNCTION("IFERROR(ARRAYFORMULA(REGEXEXTRACT(A1266,""^(?:https?:\/\/)?(?:[^@\n]+@)?(?:www\.)?([^:\/\n]+)"")),"""")"),"affordablewindowscreens.com")</f>
        <v>affordablewindowscreens.com</v>
      </c>
    </row>
    <row r="1267" spans="1:2" ht="12.5">
      <c r="A1267" s="3" t="s">
        <v>1522</v>
      </c>
      <c r="B1267" s="4" t="str">
        <f ca="1">IFERROR(__xludf.DUMMYFUNCTION("IFERROR(ARRAYFORMULA(REGEXEXTRACT(A1267,""^(?:https?:\/\/)?(?:[^@\n]+@)?(?:www\.)?([^:\/\n]+)"")),"""")"),"fullcolorcleaners.com")</f>
        <v>fullcolorcleaners.com</v>
      </c>
    </row>
    <row r="1268" spans="1:2" ht="12.5">
      <c r="A1268" s="3" t="s">
        <v>1523</v>
      </c>
      <c r="B1268" s="4" t="str">
        <f ca="1">IFERROR(__xludf.DUMMYFUNCTION("IFERROR(ARRAYFORMULA(REGEXEXTRACT(A1268,""^(?:https?:\/\/)?(?:[^@\n]+@)?(?:www\.)?([^:\/\n]+)"")),"""")"),"metal-building-homes.com")</f>
        <v>metal-building-homes.com</v>
      </c>
    </row>
    <row r="1269" spans="1:2" ht="12.5">
      <c r="A1269" s="3" t="s">
        <v>1524</v>
      </c>
      <c r="B1269" s="4" t="str">
        <f ca="1">IFERROR(__xludf.DUMMYFUNCTION("IFERROR(ARRAYFORMULA(REGEXEXTRACT(A1269,""^(?:https?:\/\/)?(?:[^@\n]+@)?(?:www\.)?([^:\/\n]+)"")),"""")"),"metrie.com")</f>
        <v>metrie.com</v>
      </c>
    </row>
    <row r="1270" spans="1:2" ht="12.5">
      <c r="A1270" s="3" t="s">
        <v>1525</v>
      </c>
      <c r="B1270" s="4" t="str">
        <f ca="1">IFERROR(__xludf.DUMMYFUNCTION("IFERROR(ARRAYFORMULA(REGEXEXTRACT(A1270,""^(?:https?:\/\/)?(?:[^@\n]+@)?(?:www\.)?([^:\/\n]+)"")),"""")"),"moderndane.com")</f>
        <v>moderndane.com</v>
      </c>
    </row>
    <row r="1271" spans="1:2" ht="12.5">
      <c r="A1271" s="3" t="s">
        <v>1526</v>
      </c>
      <c r="B1271" s="4" t="str">
        <f ca="1">IFERROR(__xludf.DUMMYFUNCTION("IFERROR(ARRAYFORMULA(REGEXEXTRACT(A1271,""^(?:https?:\/\/)?(?:[^@\n]+@)?(?:www\.)?([^:\/\n]+)"")),"""")"),"ismartgate.com")</f>
        <v>ismartgate.com</v>
      </c>
    </row>
    <row r="1272" spans="1:2" ht="12.5">
      <c r="A1272" s="3" t="s">
        <v>1527</v>
      </c>
      <c r="B1272" s="4" t="str">
        <f ca="1">IFERROR(__xludf.DUMMYFUNCTION("IFERROR(ARRAYFORMULA(REGEXEXTRACT(A1272,""^(?:https?:\/\/)?(?:[^@\n]+@)?(?:www\.)?([^:\/\n]+)"")),"""")"),"replacewindowslimited.co.uk")</f>
        <v>replacewindowslimited.co.uk</v>
      </c>
    </row>
    <row r="1273" spans="1:2" ht="12.5">
      <c r="A1273" s="3" t="s">
        <v>1528</v>
      </c>
      <c r="B1273" s="4" t="str">
        <f ca="1">IFERROR(__xludf.DUMMYFUNCTION("IFERROR(ARRAYFORMULA(REGEXEXTRACT(A1273,""^(?:https?:\/\/)?(?:[^@\n]+@)?(?:www\.)?([^:\/\n]+)"")),"""")"),"sohopainters.com")</f>
        <v>sohopainters.com</v>
      </c>
    </row>
    <row r="1274" spans="1:2" ht="12.5">
      <c r="A1274" s="3" t="s">
        <v>1529</v>
      </c>
      <c r="B1274" s="4" t="str">
        <f ca="1">IFERROR(__xludf.DUMMYFUNCTION("IFERROR(ARRAYFORMULA(REGEXEXTRACT(A1274,""^(?:https?:\/\/)?(?:[^@\n]+@)?(?:www\.)?([^:\/\n]+)"")),"""")"),"alderandtweed.com")</f>
        <v>alderandtweed.com</v>
      </c>
    </row>
    <row r="1275" spans="1:2" ht="12.5">
      <c r="A1275" s="3" t="s">
        <v>1530</v>
      </c>
      <c r="B1275" s="4" t="str">
        <f ca="1">IFERROR(__xludf.DUMMYFUNCTION("IFERROR(ARRAYFORMULA(REGEXEXTRACT(A1275,""^(?:https?:\/\/)?(?:[^@\n]+@)?(?:www\.)?([^:\/\n]+)"")),"""")"),"ocusafe.com")</f>
        <v>ocusafe.com</v>
      </c>
    </row>
    <row r="1276" spans="1:2" ht="12.5">
      <c r="A1276" s="3" t="s">
        <v>1531</v>
      </c>
      <c r="B1276" s="4" t="str">
        <f ca="1">IFERROR(__xludf.DUMMYFUNCTION("IFERROR(ARRAYFORMULA(REGEXEXTRACT(A1276,""^(?:https?:\/\/)?(?:[^@\n]+@)?(?:www\.)?([^:\/\n]+)"")),"""")"),"calgary.com")</f>
        <v>calgary.com</v>
      </c>
    </row>
    <row r="1277" spans="1:2" ht="12.5">
      <c r="A1277" s="3" t="s">
        <v>1532</v>
      </c>
      <c r="B1277" s="4" t="str">
        <f ca="1">IFERROR(__xludf.DUMMYFUNCTION("IFERROR(ARRAYFORMULA(REGEXEXTRACT(A1277,""^(?:https?:\/\/)?(?:[^@\n]+@)?(?:www\.)?([^:\/\n]+)"")),"""")"),"acremodeling.com")</f>
        <v>acremodeling.com</v>
      </c>
    </row>
    <row r="1278" spans="1:2" ht="12.5">
      <c r="A1278" s="3" t="s">
        <v>1533</v>
      </c>
      <c r="B1278" s="4" t="str">
        <f ca="1">IFERROR(__xludf.DUMMYFUNCTION("IFERROR(ARRAYFORMULA(REGEXEXTRACT(A1278,""^(?:https?:\/\/)?(?:[^@\n]+@)?(?:www\.)?([^:\/\n]+)"")),"""")"),"newjerseyrealestatenetwork.com")</f>
        <v>newjerseyrealestatenetwork.com</v>
      </c>
    </row>
    <row r="1279" spans="1:2" ht="12.5">
      <c r="A1279" s="3" t="s">
        <v>1534</v>
      </c>
      <c r="B1279" s="4" t="str">
        <f ca="1">IFERROR(__xludf.DUMMYFUNCTION("IFERROR(ARRAYFORMULA(REGEXEXTRACT(A1279,""^(?:https?:\/\/)?(?:[^@\n]+@)?(?:www\.)?([^:\/\n]+)"")),"""")"),"renovationkingdom.com.au")</f>
        <v>renovationkingdom.com.au</v>
      </c>
    </row>
    <row r="1280" spans="1:2" ht="12.5">
      <c r="A1280" s="3" t="s">
        <v>1535</v>
      </c>
      <c r="B1280" s="4" t="str">
        <f ca="1">IFERROR(__xludf.DUMMYFUNCTION("IFERROR(ARRAYFORMULA(REGEXEXTRACT(A1280,""^(?:https?:\/\/)?(?:[^@\n]+@)?(?:www\.)?([^:\/\n]+)"")),"""")"),"the-tech-trend.com")</f>
        <v>the-tech-trend.com</v>
      </c>
    </row>
    <row r="1281" spans="1:2" ht="12.5">
      <c r="A1281" s="3" t="s">
        <v>1536</v>
      </c>
      <c r="B1281" s="4" t="str">
        <f ca="1">IFERROR(__xludf.DUMMYFUNCTION("IFERROR(ARRAYFORMULA(REGEXEXTRACT(A1281,""^(?:https?:\/\/)?(?:[^@\n]+@)?(?:www\.)?([^:\/\n]+)"")),"""")"),"freshspacecleaning.com")</f>
        <v>freshspacecleaning.com</v>
      </c>
    </row>
    <row r="1282" spans="1:2" ht="12.5">
      <c r="A1282" s="3" t="s">
        <v>1537</v>
      </c>
      <c r="B1282" s="4" t="str">
        <f ca="1">IFERROR(__xludf.DUMMYFUNCTION("IFERROR(ARRAYFORMULA(REGEXEXTRACT(A1282,""^(?:https?:\/\/)?(?:[^@\n]+@)?(?:www\.)?([^:\/\n]+)"")),"""")"),"lawdistrict.com")</f>
        <v>lawdistrict.com</v>
      </c>
    </row>
    <row r="1283" spans="1:2" ht="12.5">
      <c r="A1283" s="3" t="s">
        <v>1538</v>
      </c>
      <c r="B1283" s="7" t="str">
        <f ca="1">IFERROR(__xludf.DUMMYFUNCTION("IFERROR(ARRAYFORMULA(REGEXEXTRACT(A1283,""^(?:https?:\/\/)?(?:[^@\n]+@)?(?:www\.)?([^:\/\n]+)"")),"""")"),"florida.realestate")</f>
        <v>florida.realestate</v>
      </c>
    </row>
    <row r="1284" spans="1:2" ht="12.5">
      <c r="A1284" s="3" t="s">
        <v>1539</v>
      </c>
      <c r="B1284" s="4" t="str">
        <f ca="1">IFERROR(__xludf.DUMMYFUNCTION("IFERROR(ARRAYFORMULA(REGEXEXTRACT(A1284,""^(?:https?:\/\/)?(?:[^@\n]+@)?(?:www\.)?([^:\/\n]+)"")),"""")"),"cutmy.co.uk")</f>
        <v>cutmy.co.uk</v>
      </c>
    </row>
    <row r="1285" spans="1:2" ht="12.5">
      <c r="A1285" s="3" t="s">
        <v>1540</v>
      </c>
      <c r="B1285" s="4" t="str">
        <f ca="1">IFERROR(__xludf.DUMMYFUNCTION("IFERROR(ARRAYFORMULA(REGEXEXTRACT(A1285,""^(?:https?:\/\/)?(?:[^@\n]+@)?(?:www\.)?([^:\/\n]+)"")),"""")"),"homesteadsupplier.com")</f>
        <v>homesteadsupplier.com</v>
      </c>
    </row>
    <row r="1286" spans="1:2" ht="12.5">
      <c r="A1286" s="3" t="s">
        <v>1541</v>
      </c>
      <c r="B1286" s="4" t="str">
        <f ca="1">IFERROR(__xludf.DUMMYFUNCTION("IFERROR(ARRAYFORMULA(REGEXEXTRACT(A1286,""^(?:https?:\/\/)?(?:[^@\n]+@)?(?:www\.)?([^:\/\n]+)"")),"""")"),"divinemagazine.biz")</f>
        <v>divinemagazine.biz</v>
      </c>
    </row>
    <row r="1287" spans="1:2" ht="12.5">
      <c r="A1287" s="3" t="s">
        <v>1542</v>
      </c>
      <c r="B1287" s="4" t="str">
        <f ca="1">IFERROR(__xludf.DUMMYFUNCTION("IFERROR(ARRAYFORMULA(REGEXEXTRACT(A1287,""^(?:https?:\/\/)?(?:[^@\n]+@)?(?:www\.)?([^:\/\n]+)"")),"""")"),"bigdaddykreativ.ca")</f>
        <v>bigdaddykreativ.ca</v>
      </c>
    </row>
    <row r="1288" spans="1:2" ht="12.5">
      <c r="A1288" s="3" t="s">
        <v>1543</v>
      </c>
      <c r="B1288" s="4" t="str">
        <f ca="1">IFERROR(__xludf.DUMMYFUNCTION("IFERROR(ARRAYFORMULA(REGEXEXTRACT(A1288,""^(?:https?:\/\/)?(?:[^@\n]+@)?(?:www\.)?([^:\/\n]+)"")),"""")"),"cricketpavers.com")</f>
        <v>cricketpavers.com</v>
      </c>
    </row>
    <row r="1289" spans="1:2" ht="12.5">
      <c r="A1289" s="3" t="s">
        <v>1544</v>
      </c>
      <c r="B1289" s="4" t="str">
        <f ca="1">IFERROR(__xludf.DUMMYFUNCTION("IFERROR(ARRAYFORMULA(REGEXEXTRACT(A1289,""^(?:https?:\/\/)?(?:[^@\n]+@)?(?:www\.)?([^:\/\n]+)"")),"""")"),"nourishyourglow.com")</f>
        <v>nourishyourglow.com</v>
      </c>
    </row>
    <row r="1290" spans="1:2" ht="12.5">
      <c r="A1290" s="3" t="s">
        <v>1545</v>
      </c>
      <c r="B1290" s="4" t="str">
        <f ca="1">IFERROR(__xludf.DUMMYFUNCTION("IFERROR(ARRAYFORMULA(REGEXEXTRACT(A1290,""^(?:https?:\/\/)?(?:[^@\n]+@)?(?:www\.)?([^:\/\n]+)"")),"""")"),"puckermob.com")</f>
        <v>puckermob.com</v>
      </c>
    </row>
    <row r="1291" spans="1:2" ht="12.5">
      <c r="A1291" s="3" t="s">
        <v>1546</v>
      </c>
      <c r="B1291" s="4" t="str">
        <f ca="1">IFERROR(__xludf.DUMMYFUNCTION("IFERROR(ARRAYFORMULA(REGEXEXTRACT(A1291,""^(?:https?:\/\/)?(?:[^@\n]+@)?(?:www\.)?([^:\/\n]+)"")),"""")"),"capitalupvc.co.uk")</f>
        <v>capitalupvc.co.uk</v>
      </c>
    </row>
    <row r="1292" spans="1:2" ht="12.5">
      <c r="A1292" s="3" t="s">
        <v>1547</v>
      </c>
      <c r="B1292" s="4" t="str">
        <f ca="1">IFERROR(__xludf.DUMMYFUNCTION("IFERROR(ARRAYFORMULA(REGEXEXTRACT(A1292,""^(?:https?:\/\/)?(?:[^@\n]+@)?(?:www\.)?([^:\/\n]+)"")),"""")"),"actionairduct.net")</f>
        <v>actionairduct.net</v>
      </c>
    </row>
    <row r="1293" spans="1:2" ht="12.5">
      <c r="A1293" s="3" t="s">
        <v>1548</v>
      </c>
      <c r="B1293" s="4" t="str">
        <f ca="1">IFERROR(__xludf.DUMMYFUNCTION("IFERROR(ARRAYFORMULA(REGEXEXTRACT(A1293,""^(?:https?:\/\/)?(?:[^@\n]+@)?(?:www\.)?([^:\/\n]+)"")),"""")"),"thededicatedhouse.com")</f>
        <v>thededicatedhouse.com</v>
      </c>
    </row>
    <row r="1294" spans="1:2" ht="12.5">
      <c r="A1294" s="3" t="s">
        <v>1549</v>
      </c>
      <c r="B1294" s="4" t="str">
        <f ca="1">IFERROR(__xludf.DUMMYFUNCTION("IFERROR(ARRAYFORMULA(REGEXEXTRACT(A1294,""^(?:https?:\/\/)?(?:[^@\n]+@)?(?:www\.)?([^:\/\n]+)"")),"""")"),"braytoninteriors.com")</f>
        <v>braytoninteriors.com</v>
      </c>
    </row>
    <row r="1295" spans="1:2" ht="12.5">
      <c r="A1295" s="3" t="s">
        <v>1550</v>
      </c>
      <c r="B1295" s="4" t="str">
        <f ca="1">IFERROR(__xludf.DUMMYFUNCTION("IFERROR(ARRAYFORMULA(REGEXEXTRACT(A1295,""^(?:https?:\/\/)?(?:[^@\n]+@)?(?:www\.)?([^:\/\n]+)"")),"""")"),"clden.com")</f>
        <v>clden.com</v>
      </c>
    </row>
    <row r="1296" spans="1:2" ht="12.5">
      <c r="A1296" s="3" t="s">
        <v>1551</v>
      </c>
      <c r="B1296" s="4" t="str">
        <f ca="1">IFERROR(__xludf.DUMMYFUNCTION("IFERROR(ARRAYFORMULA(REGEXEXTRACT(A1296,""^(?:https?:\/\/)?(?:[^@\n]+@)?(?:www\.)?([^:\/\n]+)"")),"""")"),"vacayaz.com")</f>
        <v>vacayaz.com</v>
      </c>
    </row>
    <row r="1297" spans="1:2" ht="12.5">
      <c r="A1297" s="3" t="s">
        <v>1552</v>
      </c>
      <c r="B1297" s="4" t="str">
        <f ca="1">IFERROR(__xludf.DUMMYFUNCTION("IFERROR(ARRAYFORMULA(REGEXEXTRACT(A1297,""^(?:https?:\/\/)?(?:[^@\n]+@)?(?:www\.)?([^:\/\n]+)"")),"""")"),"outbackfencing.com.au")</f>
        <v>outbackfencing.com.au</v>
      </c>
    </row>
    <row r="1298" spans="1:2" ht="12.5">
      <c r="A1298" s="3" t="s">
        <v>1553</v>
      </c>
      <c r="B1298" s="4" t="str">
        <f ca="1">IFERROR(__xludf.DUMMYFUNCTION("IFERROR(ARRAYFORMULA(REGEXEXTRACT(A1298,""^(?:https?:\/\/)?(?:[^@\n]+@)?(?:www\.)?([^:\/\n]+)"")),"""")"),"blingle.com")</f>
        <v>blingle.com</v>
      </c>
    </row>
    <row r="1299" spans="1:2" ht="12.5">
      <c r="A1299" s="3" t="s">
        <v>1554</v>
      </c>
      <c r="B1299" s="4" t="str">
        <f ca="1">IFERROR(__xludf.DUMMYFUNCTION("IFERROR(ARRAYFORMULA(REGEXEXTRACT(A1299,""^(?:https?:\/\/)?(?:[^@\n]+@)?(?:www\.)?([^:\/\n]+)"")),"""")"),"atlantacommercialroofingcontractors.com")</f>
        <v>atlantacommercialroofingcontractors.com</v>
      </c>
    </row>
    <row r="1300" spans="1:2" ht="12.5">
      <c r="A1300" s="3" t="s">
        <v>1555</v>
      </c>
      <c r="B1300" s="4" t="str">
        <f ca="1">IFERROR(__xludf.DUMMYFUNCTION("IFERROR(ARRAYFORMULA(REGEXEXTRACT(A1300,""^(?:https?:\/\/)?(?:[^@\n]+@)?(?:www\.)?([^:\/\n]+)"")),"""")"),"sdhstudio.com")</f>
        <v>sdhstudio.com</v>
      </c>
    </row>
    <row r="1301" spans="1:2" ht="12.5">
      <c r="A1301" s="3" t="s">
        <v>1556</v>
      </c>
      <c r="B1301" s="4" t="str">
        <f ca="1">IFERROR(__xludf.DUMMYFUNCTION("IFERROR(ARRAYFORMULA(REGEXEXTRACT(A1301,""^(?:https?:\/\/)?(?:[^@\n]+@)?(?:www\.)?([^:\/\n]+)"")),"""")"),"bolsterbuilt.com")</f>
        <v>bolsterbuilt.com</v>
      </c>
    </row>
    <row r="1302" spans="1:2" ht="12.5">
      <c r="A1302" s="3" t="s">
        <v>1557</v>
      </c>
      <c r="B1302" s="4" t="str">
        <f ca="1">IFERROR(__xludf.DUMMYFUNCTION("IFERROR(ARRAYFORMULA(REGEXEXTRACT(A1302,""^(?:https?:\/\/)?(?:[^@\n]+@)?(?:www\.)?([^:\/\n]+)"")),"""")"),"nicetown.com")</f>
        <v>nicetown.com</v>
      </c>
    </row>
    <row r="1303" spans="1:2" ht="12.5">
      <c r="A1303" s="3" t="s">
        <v>1558</v>
      </c>
      <c r="B1303" s="4" t="str">
        <f ca="1">IFERROR(__xludf.DUMMYFUNCTION("IFERROR(ARRAYFORMULA(REGEXEXTRACT(A1303,""^(?:https?:\/\/)?(?:[^@\n]+@)?(?:www\.)?([^:\/\n]+)"")),"""")"),"canadoorsystems.com")</f>
        <v>canadoorsystems.com</v>
      </c>
    </row>
    <row r="1304" spans="1:2" ht="12.5">
      <c r="A1304" s="3" t="s">
        <v>1559</v>
      </c>
      <c r="B1304" s="4" t="str">
        <f ca="1">IFERROR(__xludf.DUMMYFUNCTION("IFERROR(ARRAYFORMULA(REGEXEXTRACT(A1304,""^(?:https?:\/\/)?(?:[^@\n]+@)?(?:www\.)?([^:\/\n]+)"")),"""")"),"goallinemoving.com")</f>
        <v>goallinemoving.com</v>
      </c>
    </row>
    <row r="1305" spans="1:2" ht="12.5">
      <c r="A1305" s="3" t="s">
        <v>1560</v>
      </c>
      <c r="B1305" s="4" t="str">
        <f ca="1">IFERROR(__xludf.DUMMYFUNCTION("IFERROR(ARRAYFORMULA(REGEXEXTRACT(A1305,""^(?:https?:\/\/)?(?:[^@\n]+@)?(?:www\.)?([^:\/\n]+)"")),"""")"),"settmovers.com")</f>
        <v>settmovers.com</v>
      </c>
    </row>
    <row r="1306" spans="1:2" ht="12.5">
      <c r="A1306" s="3" t="s">
        <v>1561</v>
      </c>
      <c r="B1306" s="4" t="str">
        <f ca="1">IFERROR(__xludf.DUMMYFUNCTION("IFERROR(ARRAYFORMULA(REGEXEXTRACT(A1306,""^(?:https?:\/\/)?(?:[^@\n]+@)?(?:www\.)?([^:\/\n]+)"")),"""")"),"cottonable.com")</f>
        <v>cottonable.com</v>
      </c>
    </row>
    <row r="1307" spans="1:2" ht="12.5">
      <c r="A1307" s="3" t="s">
        <v>1562</v>
      </c>
      <c r="B1307" s="4" t="str">
        <f ca="1">IFERROR(__xludf.DUMMYFUNCTION("IFERROR(ARRAYFORMULA(REGEXEXTRACT(A1307,""^(?:https?:\/\/)?(?:[^@\n]+@)?(?:www\.)?([^:\/\n]+)"")),"""")"),"eloquence.com")</f>
        <v>eloquence.com</v>
      </c>
    </row>
    <row r="1308" spans="1:2" ht="12.5">
      <c r="A1308" s="3" t="s">
        <v>1563</v>
      </c>
      <c r="B1308" s="4" t="str">
        <f ca="1">IFERROR(__xludf.DUMMYFUNCTION("IFERROR(ARRAYFORMULA(REGEXEXTRACT(A1308,""^(?:https?:\/\/)?(?:[^@\n]+@)?(?:www\.)?([^:\/\n]+)"")),"""")"),"progressivedesk.com")</f>
        <v>progressivedesk.com</v>
      </c>
    </row>
    <row r="1309" spans="1:2" ht="12.5">
      <c r="A1309" s="3" t="s">
        <v>1564</v>
      </c>
      <c r="B1309" s="4" t="str">
        <f ca="1">IFERROR(__xludf.DUMMYFUNCTION("IFERROR(ARRAYFORMULA(REGEXEXTRACT(A1309,""^(?:https?:\/\/)?(?:[^@\n]+@)?(?:www\.)?([^:\/\n]+)"")),"""")"),"traviscountyappliancerepair.com")</f>
        <v>traviscountyappliancerepair.com</v>
      </c>
    </row>
    <row r="1310" spans="1:2" ht="12.5">
      <c r="A1310" s="3" t="s">
        <v>1565</v>
      </c>
      <c r="B1310" s="4" t="str">
        <f ca="1">IFERROR(__xludf.DUMMYFUNCTION("IFERROR(ARRAYFORMULA(REGEXEXTRACT(A1310,""^(?:https?:\/\/)?(?:[^@\n]+@)?(?:www\.)?([^:\/\n]+)"")),"""")"),"missamara.com.au")</f>
        <v>missamara.com.au</v>
      </c>
    </row>
    <row r="1311" spans="1:2" ht="12.5">
      <c r="A1311" s="3" t="s">
        <v>1566</v>
      </c>
      <c r="B1311" s="4" t="str">
        <f ca="1">IFERROR(__xludf.DUMMYFUNCTION("IFERROR(ARRAYFORMULA(REGEXEXTRACT(A1311,""^(?:https?:\/\/)?(?:[^@\n]+@)?(?:www\.)?([^:\/\n]+)"")),"""")"),"joywallet.com")</f>
        <v>joywallet.com</v>
      </c>
    </row>
    <row r="1312" spans="1:2" ht="12.5">
      <c r="A1312" s="3" t="s">
        <v>1567</v>
      </c>
      <c r="B1312" s="4" t="str">
        <f ca="1">IFERROR(__xludf.DUMMYFUNCTION("IFERROR(ARRAYFORMULA(REGEXEXTRACT(A1312,""^(?:https?:\/\/)?(?:[^@\n]+@)?(?:www\.)?([^:\/\n]+)"")),"""")"),"thefurnituregallery.com.au")</f>
        <v>thefurnituregallery.com.au</v>
      </c>
    </row>
    <row r="1313" spans="1:2" ht="12.5">
      <c r="A1313" s="3" t="s">
        <v>1568</v>
      </c>
      <c r="B1313" s="4" t="str">
        <f ca="1">IFERROR(__xludf.DUMMYFUNCTION("IFERROR(ARRAYFORMULA(REGEXEXTRACT(A1313,""^(?:https?:\/\/)?(?:[^@\n]+@)?(?:www\.)?([^:\/\n]+)"")),"""")"),"neotimber.com")</f>
        <v>neotimber.com</v>
      </c>
    </row>
    <row r="1314" spans="1:2" ht="12.5">
      <c r="A1314" s="3" t="s">
        <v>1569</v>
      </c>
      <c r="B1314" s="4" t="str">
        <f ca="1">IFERROR(__xludf.DUMMYFUNCTION("IFERROR(ARRAYFORMULA(REGEXEXTRACT(A1314,""^(?:https?:\/\/)?(?:[^@\n]+@)?(?:www\.)?([^:\/\n]+)"")),"""")"),"cmichaelexteriors.com")</f>
        <v>cmichaelexteriors.com</v>
      </c>
    </row>
    <row r="1315" spans="1:2" ht="12.5">
      <c r="A1315" s="3" t="s">
        <v>1570</v>
      </c>
      <c r="B1315" s="4" t="str">
        <f ca="1">IFERROR(__xludf.DUMMYFUNCTION("IFERROR(ARRAYFORMULA(REGEXEXTRACT(A1315,""^(?:https?:\/\/)?(?:[^@\n]+@)?(?:www\.)?([^:\/\n]+)"")),"""")"),"rmcpainting.co.nz")</f>
        <v>rmcpainting.co.nz</v>
      </c>
    </row>
    <row r="1316" spans="1:2" ht="12.5">
      <c r="A1316" s="3" t="s">
        <v>1571</v>
      </c>
      <c r="B1316" s="4" t="str">
        <f ca="1">IFERROR(__xludf.DUMMYFUNCTION("IFERROR(ARRAYFORMULA(REGEXEXTRACT(A1316,""^(?:https?:\/\/)?(?:[^@\n]+@)?(?:www\.)?([^:\/\n]+)"")),"""")"),"matrak.com")</f>
        <v>matrak.com</v>
      </c>
    </row>
    <row r="1317" spans="1:2" ht="12.5">
      <c r="A1317" s="3" t="s">
        <v>1572</v>
      </c>
      <c r="B1317" s="4" t="str">
        <f ca="1">IFERROR(__xludf.DUMMYFUNCTION("IFERROR(ARRAYFORMULA(REGEXEXTRACT(A1317,""^(?:https?:\/\/)?(?:[^@\n]+@)?(?:www\.)?([^:\/\n]+)"")),"""")"),"homedesigns.ai")</f>
        <v>homedesigns.ai</v>
      </c>
    </row>
    <row r="1318" spans="1:2" ht="12.5">
      <c r="A1318" s="3" t="s">
        <v>1573</v>
      </c>
      <c r="B1318" s="4" t="str">
        <f ca="1">IFERROR(__xludf.DUMMYFUNCTION("IFERROR(ARRAYFORMULA(REGEXEXTRACT(A1318,""^(?:https?:\/\/)?(?:[^@\n]+@)?(?:www\.)?([^:\/\n]+)"")),"""")"),"iheat.co.uk")</f>
        <v>iheat.co.uk</v>
      </c>
    </row>
    <row r="1319" spans="1:2" ht="12.5">
      <c r="A1319" s="3" t="s">
        <v>1574</v>
      </c>
      <c r="B1319" s="4" t="str">
        <f ca="1">IFERROR(__xludf.DUMMYFUNCTION("IFERROR(ARRAYFORMULA(REGEXEXTRACT(A1319,""^(?:https?:\/\/)?(?:[^@\n]+@)?(?:www\.)?([^:\/\n]+)"")),"""")"),"fabglassandmirror.com")</f>
        <v>fabglassandmirror.com</v>
      </c>
    </row>
    <row r="1320" spans="1:2" ht="12.5">
      <c r="A1320" s="3" t="s">
        <v>1575</v>
      </c>
      <c r="B1320" s="4" t="str">
        <f ca="1">IFERROR(__xludf.DUMMYFUNCTION("IFERROR(ARRAYFORMULA(REGEXEXTRACT(A1320,""^(?:https?:\/\/)?(?:[^@\n]+@)?(?:www\.)?([^:\/\n]+)"")),"""")"),"makeanentrance.com")</f>
        <v>makeanentrance.com</v>
      </c>
    </row>
    <row r="1321" spans="1:2" ht="12.5">
      <c r="A1321" s="3" t="s">
        <v>1576</v>
      </c>
      <c r="B1321" s="4" t="str">
        <f ca="1">IFERROR(__xludf.DUMMYFUNCTION("IFERROR(ARRAYFORMULA(REGEXEXTRACT(A1321,""^(?:https?:\/\/)?(?:[^@\n]+@)?(?:www\.)?([^:\/\n]+)"")),"""")"),"stelrad.com")</f>
        <v>stelrad.com</v>
      </c>
    </row>
    <row r="1322" spans="1:2" ht="12.5">
      <c r="A1322" s="3" t="s">
        <v>1577</v>
      </c>
      <c r="B1322" s="4" t="str">
        <f ca="1">IFERROR(__xludf.DUMMYFUNCTION("IFERROR(ARRAYFORMULA(REGEXEXTRACT(A1322,""^(?:https?:\/\/)?(?:[^@\n]+@)?(?:www\.)?([^:\/\n]+)"")),"""")"),"letstalkmommy.com")</f>
        <v>letstalkmommy.com</v>
      </c>
    </row>
    <row r="1323" spans="1:2" ht="12.5">
      <c r="A1323" s="3" t="s">
        <v>1578</v>
      </c>
      <c r="B1323" s="4" t="str">
        <f ca="1">IFERROR(__xludf.DUMMYFUNCTION("IFERROR(ARRAYFORMULA(REGEXEXTRACT(A1323,""^(?:https?:\/\/)?(?:[^@\n]+@)?(?:www\.)?([^:\/\n]+)"")),"""")"),"housepro.net")</f>
        <v>housepro.net</v>
      </c>
    </row>
    <row r="1324" spans="1:2" ht="12.5">
      <c r="A1324" s="3" t="s">
        <v>1579</v>
      </c>
      <c r="B1324" s="4" t="str">
        <f ca="1">IFERROR(__xludf.DUMMYFUNCTION("IFERROR(ARRAYFORMULA(REGEXEXTRACT(A1324,""^(?:https?:\/\/)?(?:[^@\n]+@)?(?:www\.)?([^:\/\n]+)"")),"""")"),"whytile.com")</f>
        <v>whytile.com</v>
      </c>
    </row>
    <row r="1325" spans="1:2" ht="12.5">
      <c r="A1325" s="3" t="s">
        <v>1580</v>
      </c>
      <c r="B1325" s="4" t="str">
        <f ca="1">IFERROR(__xludf.DUMMYFUNCTION("IFERROR(ARRAYFORMULA(REGEXEXTRACT(A1325,""^(?:https?:\/\/)?(?:[^@\n]+@)?(?:www\.)?([^:\/\n]+)"")),"""")"),"welchdesignstudio.com")</f>
        <v>welchdesignstudio.com</v>
      </c>
    </row>
    <row r="1326" spans="1:2" ht="12.5">
      <c r="A1326" s="3" t="s">
        <v>1581</v>
      </c>
      <c r="B1326" s="4" t="str">
        <f ca="1">IFERROR(__xludf.DUMMYFUNCTION("IFERROR(ARRAYFORMULA(REGEXEXTRACT(A1326,""^(?:https?:\/\/)?(?:[^@\n]+@)?(?:www\.)?([^:\/\n]+)"")),"""")"),"belledorm.co.uk")</f>
        <v>belledorm.co.uk</v>
      </c>
    </row>
    <row r="1327" spans="1:2" ht="12.5">
      <c r="A1327" s="3" t="s">
        <v>1582</v>
      </c>
      <c r="B1327" s="4" t="str">
        <f ca="1">IFERROR(__xludf.DUMMYFUNCTION("IFERROR(ARRAYFORMULA(REGEXEXTRACT(A1327,""^(?:https?:\/\/)?(?:[^@\n]+@)?(?:www\.)?([^:\/\n]+)"")),"""")"),"sembrodesigns.com")</f>
        <v>sembrodesigns.com</v>
      </c>
    </row>
    <row r="1328" spans="1:2" ht="12.5">
      <c r="A1328" s="3" t="s">
        <v>1583</v>
      </c>
      <c r="B1328" s="4" t="str">
        <f ca="1">IFERROR(__xludf.DUMMYFUNCTION("IFERROR(ARRAYFORMULA(REGEXEXTRACT(A1328,""^(?:https?:\/\/)?(?:[^@\n]+@)?(?:www\.)?([^:\/\n]+)"")),"""")"),"fixappliances.ca")</f>
        <v>fixappliances.ca</v>
      </c>
    </row>
    <row r="1329" spans="1:2" ht="12.5">
      <c r="A1329" s="3" t="s">
        <v>1584</v>
      </c>
      <c r="B1329" s="4" t="str">
        <f ca="1">IFERROR(__xludf.DUMMYFUNCTION("IFERROR(ARRAYFORMULA(REGEXEXTRACT(A1329,""^(?:https?:\/\/)?(?:[^@\n]+@)?(?:www\.)?([^:\/\n]+)"")),"""")"),"fixgaragedoors.ca")</f>
        <v>fixgaragedoors.ca</v>
      </c>
    </row>
    <row r="1330" spans="1:2" ht="12.5">
      <c r="A1330" s="3" t="s">
        <v>1585</v>
      </c>
      <c r="B1330" s="4" t="str">
        <f ca="1">IFERROR(__xludf.DUMMYFUNCTION("IFERROR(ARRAYFORMULA(REGEXEXTRACT(A1330,""^(?:https?:\/\/)?(?:[^@\n]+@)?(?:www\.)?([^:\/\n]+)"")),"""")"),"parachutehome.com")</f>
        <v>parachutehome.com</v>
      </c>
    </row>
    <row r="1331" spans="1:2" ht="12.5">
      <c r="A1331" s="3" t="s">
        <v>1586</v>
      </c>
      <c r="B1331" s="4" t="str">
        <f ca="1">IFERROR(__xludf.DUMMYFUNCTION("IFERROR(ARRAYFORMULA(REGEXEXTRACT(A1331,""^(?:https?:\/\/)?(?:[^@\n]+@)?(?:www\.)?([^:\/\n]+)"")),"""")"),"nationalappliancerepairs.com.au")</f>
        <v>nationalappliancerepairs.com.au</v>
      </c>
    </row>
    <row r="1332" spans="1:2" ht="12.5">
      <c r="A1332" s="3" t="s">
        <v>1587</v>
      </c>
      <c r="B1332" s="4" t="str">
        <f ca="1">IFERROR(__xludf.DUMMYFUNCTION("IFERROR(ARRAYFORMULA(REGEXEXTRACT(A1332,""^(?:https?:\/\/)?(?:[^@\n]+@)?(?:www\.)?([^:\/\n]+)"")),"""")"),"apexwindowwerks.com")</f>
        <v>apexwindowwerks.com</v>
      </c>
    </row>
    <row r="1333" spans="1:2" ht="12.5">
      <c r="A1333" s="3" t="s">
        <v>1588</v>
      </c>
      <c r="B1333" s="4" t="str">
        <f ca="1">IFERROR(__xludf.DUMMYFUNCTION("IFERROR(ARRAYFORMULA(REGEXEXTRACT(A1333,""^(?:https?:\/\/)?(?:[^@\n]+@)?(?:www\.)?([^:\/\n]+)"")),"""")"),"absolutehomeservices.ca")</f>
        <v>absolutehomeservices.ca</v>
      </c>
    </row>
    <row r="1334" spans="1:2" ht="12.5">
      <c r="A1334" s="3" t="s">
        <v>1589</v>
      </c>
      <c r="B1334" s="4" t="str">
        <f ca="1">IFERROR(__xludf.DUMMYFUNCTION("IFERROR(ARRAYFORMULA(REGEXEXTRACT(A1334,""^(?:https?:\/\/)?(?:[^@\n]+@)?(?:www\.)?([^:\/\n]+)"")),"""")"),"mystonefloor.com")</f>
        <v>mystonefloor.com</v>
      </c>
    </row>
    <row r="1335" spans="1:2" ht="12.5">
      <c r="A1335" s="3" t="s">
        <v>1590</v>
      </c>
      <c r="B1335" s="4" t="str">
        <f ca="1">IFERROR(__xludf.DUMMYFUNCTION("IFERROR(ARRAYFORMULA(REGEXEXTRACT(A1335,""^(?:https?:\/\/)?(?:[^@\n]+@)?(?:www\.)?([^:\/\n]+)"")),"""")"),"windowscanada.com")</f>
        <v>windowscanada.com</v>
      </c>
    </row>
    <row r="1336" spans="1:2" ht="12.5">
      <c r="A1336" s="3" t="s">
        <v>1591</v>
      </c>
      <c r="B1336" s="4" t="str">
        <f ca="1">IFERROR(__xludf.DUMMYFUNCTION("IFERROR(ARRAYFORMULA(REGEXEXTRACT(A1336,""^(?:https?:\/\/)?(?:[^@\n]+@)?(?:www\.)?([^:\/\n]+)"")),"""")"),"bigcitywindows.com")</f>
        <v>bigcitywindows.com</v>
      </c>
    </row>
    <row r="1337" spans="1:2" ht="12.5">
      <c r="A1337" s="3" t="s">
        <v>1592</v>
      </c>
      <c r="B1337" s="4" t="str">
        <f ca="1">IFERROR(__xludf.DUMMYFUNCTION("IFERROR(ARRAYFORMULA(REGEXEXTRACT(A1337,""^(?:https?:\/\/)?(?:[^@\n]+@)?(?:www\.)?([^:\/\n]+)"")),"""")"),"bellacontractingservices.com")</f>
        <v>bellacontractingservices.com</v>
      </c>
    </row>
    <row r="1338" spans="1:2" ht="12.5">
      <c r="A1338" s="3" t="s">
        <v>1593</v>
      </c>
      <c r="B1338" s="4" t="str">
        <f ca="1">IFERROR(__xludf.DUMMYFUNCTION("IFERROR(ARRAYFORMULA(REGEXEXTRACT(A1338,""^(?:https?:\/\/)?(?:[^@\n]+@)?(?:www\.)?([^:\/\n]+)"")),"""")"),"extensionarchitecture.co.uk")</f>
        <v>extensionarchitecture.co.uk</v>
      </c>
    </row>
    <row r="1339" spans="1:2" ht="12.5">
      <c r="A1339" s="3" t="s">
        <v>1594</v>
      </c>
      <c r="B1339" s="4" t="str">
        <f ca="1">IFERROR(__xludf.DUMMYFUNCTION("IFERROR(ARRAYFORMULA(REGEXEXTRACT(A1339,""^(?:https?:\/\/)?(?:[^@\n]+@)?(?:www\.)?([^:\/\n]+)"")),"""")"),"artleon.com")</f>
        <v>artleon.com</v>
      </c>
    </row>
    <row r="1340" spans="1:2" ht="12.5">
      <c r="A1340" s="3" t="s">
        <v>1595</v>
      </c>
      <c r="B1340" s="4" t="str">
        <f ca="1">IFERROR(__xludf.DUMMYFUNCTION("IFERROR(ARRAYFORMULA(REGEXEXTRACT(A1340,""^(?:https?:\/\/)?(?:[^@\n]+@)?(?:www\.)?([^:\/\n]+)"")),"""")"),"slghomebuyer.ca")</f>
        <v>slghomebuyer.ca</v>
      </c>
    </row>
    <row r="1341" spans="1:2" ht="12.5">
      <c r="A1341" s="3" t="s">
        <v>1596</v>
      </c>
      <c r="B1341" s="4" t="str">
        <f ca="1">IFERROR(__xludf.DUMMYFUNCTION("IFERROR(ARRAYFORMULA(REGEXEXTRACT(A1341,""^(?:https?:\/\/)?(?:[^@\n]+@)?(?:www\.)?([^:\/\n]+)"")),"""")"),"zenithdesignbuild.com")</f>
        <v>zenithdesignbuild.com</v>
      </c>
    </row>
    <row r="1342" spans="1:2" ht="12.5">
      <c r="A1342" s="3" t="s">
        <v>1597</v>
      </c>
      <c r="B1342" s="4" t="str">
        <f ca="1">IFERROR(__xludf.DUMMYFUNCTION("IFERROR(ARRAYFORMULA(REGEXEXTRACT(A1342,""^(?:https?:\/\/)?(?:[^@\n]+@)?(?:www\.)?([^:\/\n]+)"")),"""")"),"zen-renovations.com")</f>
        <v>zen-renovations.com</v>
      </c>
    </row>
    <row r="1343" spans="1:2" ht="12.5">
      <c r="A1343" s="3" t="s">
        <v>1598</v>
      </c>
      <c r="B1343" s="4" t="str">
        <f ca="1">IFERROR(__xludf.DUMMYFUNCTION("IFERROR(ARRAYFORMULA(REGEXEXTRACT(A1343,""^(?:https?:\/\/)?(?:[^@\n]+@)?(?:www\.)?([^:\/\n]+)"")),"""")"),"weathertightcorp.com")</f>
        <v>weathertightcorp.com</v>
      </c>
    </row>
    <row r="1344" spans="1:2" ht="12.5">
      <c r="A1344" s="3" t="s">
        <v>1599</v>
      </c>
      <c r="B1344" s="4" t="str">
        <f ca="1">IFERROR(__xludf.DUMMYFUNCTION("IFERROR(ARRAYFORMULA(REGEXEXTRACT(A1344,""^(?:https?:\/\/)?(?:[^@\n]+@)?(?:www\.)?([^:\/\n]+)"")),"""")"),"artisanmovers.com")</f>
        <v>artisanmovers.com</v>
      </c>
    </row>
    <row r="1345" spans="1:2" ht="12.5">
      <c r="A1345" s="3" t="s">
        <v>1600</v>
      </c>
      <c r="B1345" s="4" t="str">
        <f ca="1">IFERROR(__xludf.DUMMYFUNCTION("IFERROR(ARRAYFORMULA(REGEXEXTRACT(A1345,""^(?:https?:\/\/)?(?:[^@\n]+@)?(?:www\.)?([^:\/\n]+)"")),"""")"),"fittra.co.uk")</f>
        <v>fittra.co.uk</v>
      </c>
    </row>
    <row r="1346" spans="1:2" ht="12.5">
      <c r="A1346" s="3" t="s">
        <v>1601</v>
      </c>
      <c r="B1346" s="4" t="str">
        <f ca="1">IFERROR(__xludf.DUMMYFUNCTION("IFERROR(ARRAYFORMULA(REGEXEXTRACT(A1346,""^(?:https?:\/\/)?(?:[^@\n]+@)?(?:www\.)?([^:\/\n]+)"")),"""")"),"advancedrestorationcolorado.com")</f>
        <v>advancedrestorationcolorado.com</v>
      </c>
    </row>
    <row r="1347" spans="1:2" ht="12.5">
      <c r="A1347" s="3" t="s">
        <v>1602</v>
      </c>
      <c r="B1347" s="4" t="str">
        <f ca="1">IFERROR(__xludf.DUMMYFUNCTION("IFERROR(ARRAYFORMULA(REGEXEXTRACT(A1347,""^(?:https?:\/\/)?(?:[^@\n]+@)?(?:www\.)?([^:\/\n]+)"")),"""")"),"centralglass.com")</f>
        <v>centralglass.com</v>
      </c>
    </row>
    <row r="1348" spans="1:2" ht="12.5">
      <c r="A1348" s="3" t="s">
        <v>1603</v>
      </c>
      <c r="B1348" s="4" t="str">
        <f ca="1">IFERROR(__xludf.DUMMYFUNCTION("IFERROR(ARRAYFORMULA(REGEXEXTRACT(A1348,""^(?:https?:\/\/)?(?:[^@\n]+@)?(?:www\.)?([^:\/\n]+)"")),"""")"),"brisklandscaping.com.au")</f>
        <v>brisklandscaping.com.au</v>
      </c>
    </row>
    <row r="1349" spans="1:2" ht="12.5">
      <c r="A1349" s="3" t="s">
        <v>1604</v>
      </c>
      <c r="B1349" s="4" t="str">
        <f ca="1">IFERROR(__xludf.DUMMYFUNCTION("IFERROR(ARRAYFORMULA(REGEXEXTRACT(A1349,""^(?:https?:\/\/)?(?:[^@\n]+@)?(?:www\.)?([^:\/\n]+)"")),"""")"),"thefirebird.com")</f>
        <v>thefirebird.com</v>
      </c>
    </row>
    <row r="1350" spans="1:2" ht="12.5">
      <c r="A1350" s="3" t="s">
        <v>1605</v>
      </c>
      <c r="B1350" s="4" t="str">
        <f ca="1">IFERROR(__xludf.DUMMYFUNCTION("IFERROR(ARRAYFORMULA(REGEXEXTRACT(A1350,""^(?:https?:\/\/)?(?:[^@\n]+@)?(?:www\.)?([^:\/\n]+)"")),"""")"),"trendstyle.com.au")</f>
        <v>trendstyle.com.au</v>
      </c>
    </row>
    <row r="1351" spans="1:2" ht="12.5">
      <c r="A1351" s="3" t="s">
        <v>1606</v>
      </c>
      <c r="B1351" s="4" t="str">
        <f ca="1">IFERROR(__xludf.DUMMYFUNCTION("IFERROR(ARRAYFORMULA(REGEXEXTRACT(A1351,""^(?:https?:\/\/)?(?:[^@\n]+@)?(?:www\.)?([^:\/\n]+)"")),"""")"),"cut2size.ca")</f>
        <v>cut2size.ca</v>
      </c>
    </row>
    <row r="1352" spans="1:2" ht="12.5">
      <c r="A1352" s="3" t="s">
        <v>1607</v>
      </c>
      <c r="B1352" s="4" t="str">
        <f ca="1">IFERROR(__xludf.DUMMYFUNCTION("IFERROR(ARRAYFORMULA(REGEXEXTRACT(A1352,""^(?:https?:\/\/)?(?:[^@\n]+@)?(?:www\.)?([^:\/\n]+)"")),"""")"),"allcountyexteriors.com")</f>
        <v>allcountyexteriors.com</v>
      </c>
    </row>
    <row r="1353" spans="1:2" ht="12.5">
      <c r="A1353" s="3" t="s">
        <v>1608</v>
      </c>
      <c r="B1353" s="4" t="str">
        <f ca="1">IFERROR(__xludf.DUMMYFUNCTION("IFERROR(ARRAYFORMULA(REGEXEXTRACT(A1353,""^(?:https?:\/\/)?(?:[^@\n]+@)?(?:www\.)?([^:\/\n]+)"")),"""")"),"judgemobilewash.com")</f>
        <v>judgemobilewash.com</v>
      </c>
    </row>
    <row r="1354" spans="1:2" ht="12.5">
      <c r="A1354" s="3" t="s">
        <v>1609</v>
      </c>
      <c r="B1354" s="4" t="str">
        <f ca="1">IFERROR(__xludf.DUMMYFUNCTION("IFERROR(ARRAYFORMULA(REGEXEXTRACT(A1354,""^(?:https?:\/\/)?(?:[^@\n]+@)?(?:www\.)?([^:\/\n]+)"")),"""")"),"ozlighting.com.au")</f>
        <v>ozlighting.com.au</v>
      </c>
    </row>
    <row r="1355" spans="1:2" ht="12.5">
      <c r="A1355" s="3" t="s">
        <v>1610</v>
      </c>
      <c r="B1355" s="4" t="str">
        <f ca="1">IFERROR(__xludf.DUMMYFUNCTION("IFERROR(ARRAYFORMULA(REGEXEXTRACT(A1355,""^(?:https?:\/\/)?(?:[^@\n]+@)?(?:www\.)?([^:\/\n]+)"")),"""")"),"hanselstone.com")</f>
        <v>hanselstone.com</v>
      </c>
    </row>
    <row r="1356" spans="1:2" ht="12.5">
      <c r="A1356" s="3" t="s">
        <v>1611</v>
      </c>
      <c r="B1356" s="4" t="str">
        <f ca="1">IFERROR(__xludf.DUMMYFUNCTION("IFERROR(ARRAYFORMULA(REGEXEXTRACT(A1356,""^(?:https?:\/\/)?(?:[^@\n]+@)?(?:www\.)?([^:\/\n]+)"")),"""")"),"mammamiacovers.com")</f>
        <v>mammamiacovers.com</v>
      </c>
    </row>
    <row r="1357" spans="1:2" ht="12.5">
      <c r="A1357" s="3" t="s">
        <v>1612</v>
      </c>
      <c r="B1357" s="4" t="str">
        <f ca="1">IFERROR(__xludf.DUMMYFUNCTION("IFERROR(ARRAYFORMULA(REGEXEXTRACT(A1357,""^(?:https?:\/\/)?(?:[^@\n]+@)?(?:www\.)?([^:\/\n]+)"")),"""")"),"armstrongwatermoldcleanup.com")</f>
        <v>armstrongwatermoldcleanup.com</v>
      </c>
    </row>
    <row r="1358" spans="1:2" ht="12.5">
      <c r="A1358" s="3" t="s">
        <v>1613</v>
      </c>
      <c r="B1358" s="4" t="str">
        <f ca="1">IFERROR(__xludf.DUMMYFUNCTION("IFERROR(ARRAYFORMULA(REGEXEXTRACT(A1358,""^(?:https?:\/\/)?(?:[^@\n]+@)?(?:www\.)?([^:\/\n]+)"")),"""")"),"designandbuild.co.uk")</f>
        <v>designandbuild.co.uk</v>
      </c>
    </row>
    <row r="1359" spans="1:2" ht="12.5">
      <c r="A1359" s="3" t="s">
        <v>1614</v>
      </c>
      <c r="B1359" s="4" t="str">
        <f ca="1">IFERROR(__xludf.DUMMYFUNCTION("IFERROR(ARRAYFORMULA(REGEXEXTRACT(A1359,""^(?:https?:\/\/)?(?:[^@\n]+@)?(?:www\.)?([^:\/\n]+)"")),"""")"),"london-refurbishment-company.co.uk")</f>
        <v>london-refurbishment-company.co.uk</v>
      </c>
    </row>
    <row r="1360" spans="1:2" ht="12.5">
      <c r="A1360" s="3" t="s">
        <v>1615</v>
      </c>
      <c r="B1360" s="4" t="str">
        <f ca="1">IFERROR(__xludf.DUMMYFUNCTION("IFERROR(ARRAYFORMULA(REGEXEXTRACT(A1360,""^(?:https?:\/\/)?(?:[^@\n]+@)?(?:www\.)?([^:\/\n]+)"")),"""")"),"reeveandco.com")</f>
        <v>reeveandco.com</v>
      </c>
    </row>
    <row r="1361" spans="1:2" ht="12.5">
      <c r="A1361" s="3" t="s">
        <v>1616</v>
      </c>
      <c r="B1361" s="4" t="str">
        <f ca="1">IFERROR(__xludf.DUMMYFUNCTION("IFERROR(ARRAYFORMULA(REGEXEXTRACT(A1361,""^(?:https?:\/\/)?(?:[^@\n]+@)?(?:www\.)?([^:\/\n]+)"")),"""")"),"inhomeflooring.com")</f>
        <v>inhomeflooring.com</v>
      </c>
    </row>
    <row r="1362" spans="1:2" ht="12.5">
      <c r="A1362" s="3" t="s">
        <v>1617</v>
      </c>
      <c r="B1362" s="4" t="str">
        <f ca="1">IFERROR(__xludf.DUMMYFUNCTION("IFERROR(ARRAYFORMULA(REGEXEXTRACT(A1362,""^(?:https?:\/\/)?(?:[^@\n]+@)?(?:www\.)?([^:\/\n]+)"")),"""")"),"mastermaid.ca")</f>
        <v>mastermaid.ca</v>
      </c>
    </row>
    <row r="1363" spans="1:2" ht="12.5">
      <c r="A1363" s="3" t="s">
        <v>1618</v>
      </c>
      <c r="B1363" s="4" t="str">
        <f ca="1">IFERROR(__xludf.DUMMYFUNCTION("IFERROR(ARRAYFORMULA(REGEXEXTRACT(A1363,""^(?:https?:\/\/)?(?:[^@\n]+@)?(?:www\.)?([^:\/\n]+)"")),"""")"),"allied.com")</f>
        <v>allied.com</v>
      </c>
    </row>
    <row r="1364" spans="1:2" ht="12.5">
      <c r="A1364" s="3" t="s">
        <v>1619</v>
      </c>
      <c r="B1364" s="4" t="str">
        <f ca="1">IFERROR(__xludf.DUMMYFUNCTION("IFERROR(ARRAYFORMULA(REGEXEXTRACT(A1364,""^(?:https?:\/\/)?(?:[^@\n]+@)?(?:www\.)?([^:\/\n]+)"")),"""")"),"greenchildmagazine.com")</f>
        <v>greenchildmagazine.com</v>
      </c>
    </row>
    <row r="1365" spans="1:2" ht="12.5">
      <c r="A1365" s="3" t="s">
        <v>1620</v>
      </c>
      <c r="B1365" s="4" t="str">
        <f ca="1">IFERROR(__xludf.DUMMYFUNCTION("IFERROR(ARRAYFORMULA(REGEXEXTRACT(A1365,""^(?:https?:\/\/)?(?:[^@\n]+@)?(?:www\.)?([^:\/\n]+)"")),"""")"),"vanisleglass.com")</f>
        <v>vanisleglass.com</v>
      </c>
    </row>
    <row r="1366" spans="1:2" ht="12.5">
      <c r="A1366" s="3" t="s">
        <v>1621</v>
      </c>
      <c r="B1366" s="4" t="str">
        <f ca="1">IFERROR(__xludf.DUMMYFUNCTION("IFERROR(ARRAYFORMULA(REGEXEXTRACT(A1366,""^(?:https?:\/\/)?(?:[^@\n]+@)?(?:www\.)?([^:\/\n]+)"")),"""")"),"aquarescue.ca")</f>
        <v>aquarescue.ca</v>
      </c>
    </row>
    <row r="1367" spans="1:2" ht="12.5">
      <c r="A1367" s="3" t="s">
        <v>1622</v>
      </c>
      <c r="B1367" s="4" t="str">
        <f ca="1">IFERROR(__xludf.DUMMYFUNCTION("IFERROR(ARRAYFORMULA(REGEXEXTRACT(A1367,""^(?:https?:\/\/)?(?:[^@\n]+@)?(?:www\.)?([^:\/\n]+)"")),"""")"),"apopsiclestand.com")</f>
        <v>apopsiclestand.com</v>
      </c>
    </row>
    <row r="1368" spans="1:2" ht="12.5">
      <c r="A1368" s="3" t="s">
        <v>1623</v>
      </c>
      <c r="B1368" s="4" t="str">
        <f ca="1">IFERROR(__xludf.DUMMYFUNCTION("IFERROR(ARRAYFORMULA(REGEXEXTRACT(A1368,""^(?:https?:\/\/)?(?:[^@\n]+@)?(?:www\.)?([^:\/\n]+)"")),"""")"),"thetruecolors.org")</f>
        <v>thetruecolors.org</v>
      </c>
    </row>
    <row r="1369" spans="1:2" ht="12.5">
      <c r="A1369" s="3" t="s">
        <v>1624</v>
      </c>
      <c r="B1369" s="4" t="str">
        <f ca="1">IFERROR(__xludf.DUMMYFUNCTION("IFERROR(ARRAYFORMULA(REGEXEXTRACT(A1369,""^(?:https?:\/\/)?(?:[^@\n]+@)?(?:www\.)?([^:\/\n]+)"")),"""")"),"cabinetset.com")</f>
        <v>cabinetset.com</v>
      </c>
    </row>
    <row r="1370" spans="1:2" ht="12.5">
      <c r="A1370" s="3" t="s">
        <v>1625</v>
      </c>
      <c r="B1370" s="4" t="str">
        <f ca="1">IFERROR(__xludf.DUMMYFUNCTION("IFERROR(ARRAYFORMULA(REGEXEXTRACT(A1370,""^(?:https?:\/\/)?(?:[^@\n]+@)?(?:www\.)?([^:\/\n]+)"")),"""")"),"happly.com.au")</f>
        <v>happly.com.au</v>
      </c>
    </row>
    <row r="1371" spans="1:2" ht="12.5">
      <c r="A1371" s="3" t="s">
        <v>1626</v>
      </c>
      <c r="B1371" s="4" t="str">
        <f ca="1">IFERROR(__xludf.DUMMYFUNCTION("IFERROR(ARRAYFORMULA(REGEXEXTRACT(A1371,""^(?:https?:\/\/)?(?:[^@\n]+@)?(?:www\.)?([^:\/\n]+)"")),"""")"),"milkcan.com.au")</f>
        <v>milkcan.com.au</v>
      </c>
    </row>
    <row r="1372" spans="1:2" ht="12.5">
      <c r="A1372" s="3" t="s">
        <v>1627</v>
      </c>
      <c r="B1372" s="4" t="str">
        <f ca="1">IFERROR(__xludf.DUMMYFUNCTION("IFERROR(ARRAYFORMULA(REGEXEXTRACT(A1372,""^(?:https?:\/\/)?(?:[^@\n]+@)?(?:www\.)?([^:\/\n]+)"")),"""")"),"belmontsolar.com")</f>
        <v>belmontsolar.com</v>
      </c>
    </row>
    <row r="1373" spans="1:2" ht="12.5">
      <c r="A1373" s="3" t="s">
        <v>1628</v>
      </c>
      <c r="B1373" s="4" t="str">
        <f ca="1">IFERROR(__xludf.DUMMYFUNCTION("IFERROR(ARRAYFORMULA(REGEXEXTRACT(A1373,""^(?:https?:\/\/)?(?:[^@\n]+@)?(?:www\.)?([^:\/\n]+)"")),"""")"),"plumberoftucson.com")</f>
        <v>plumberoftucson.com</v>
      </c>
    </row>
    <row r="1374" spans="1:2" ht="12.5">
      <c r="A1374" s="3" t="s">
        <v>1629</v>
      </c>
      <c r="B1374" s="4" t="str">
        <f ca="1">IFERROR(__xludf.DUMMYFUNCTION("IFERROR(ARRAYFORMULA(REGEXEXTRACT(A1374,""^(?:https?:\/\/)?(?:[^@\n]+@)?(?:www\.)?([^:\/\n]+)"")),"""")"),"cliftonpf.co.uk")</f>
        <v>cliftonpf.co.uk</v>
      </c>
    </row>
    <row r="1375" spans="1:2" ht="12.5">
      <c r="A1375" s="3" t="s">
        <v>1630</v>
      </c>
      <c r="B1375" s="4" t="str">
        <f ca="1">IFERROR(__xludf.DUMMYFUNCTION("IFERROR(ARRAYFORMULA(REGEXEXTRACT(A1375,""^(?:https?:\/\/)?(?:[^@\n]+@)?(?:www\.)?([^:\/\n]+)"")),"""")"),"atlanticbay.com")</f>
        <v>atlanticbay.com</v>
      </c>
    </row>
    <row r="1376" spans="1:2" ht="12.5">
      <c r="A1376" s="3" t="s">
        <v>1631</v>
      </c>
      <c r="B1376" s="4" t="str">
        <f ca="1">IFERROR(__xludf.DUMMYFUNCTION("IFERROR(ARRAYFORMULA(REGEXEXTRACT(A1376,""^(?:https?:\/\/)?(?:[^@\n]+@)?(?:www\.)?([^:\/\n]+)"")),"""")"),"fencingquotesonline.com.au")</f>
        <v>fencingquotesonline.com.au</v>
      </c>
    </row>
    <row r="1377" spans="1:2" ht="12.5">
      <c r="A1377" s="3" t="s">
        <v>1632</v>
      </c>
      <c r="B1377" s="4" t="str">
        <f ca="1">IFERROR(__xludf.DUMMYFUNCTION("IFERROR(ARRAYFORMULA(REGEXEXTRACT(A1377,""^(?:https?:\/\/)?(?:[^@\n]+@)?(?:www\.)?([^:\/\n]+)"")),"""")"),"kitchenmore.com")</f>
        <v>kitchenmore.com</v>
      </c>
    </row>
    <row r="1378" spans="1:2" ht="12.5">
      <c r="A1378" s="3" t="s">
        <v>1633</v>
      </c>
      <c r="B1378" s="4" t="str">
        <f ca="1">IFERROR(__xludf.DUMMYFUNCTION("IFERROR(ARRAYFORMULA(REGEXEXTRACT(A1378,""^(?:https?:\/\/)?(?:[^@\n]+@)?(?:www\.)?([^:\/\n]+)"")),"""")"),"834hans.com")</f>
        <v>834hans.com</v>
      </c>
    </row>
    <row r="1379" spans="1:2" ht="12.5">
      <c r="A1379" s="3" t="s">
        <v>1634</v>
      </c>
      <c r="B1379" s="4" t="str">
        <f ca="1">IFERROR(__xludf.DUMMYFUNCTION("IFERROR(ARRAYFORMULA(REGEXEXTRACT(A1379,""^(?:https?:\/\/)?(?:[^@\n]+@)?(?:www\.)?([^:\/\n]+)"")),"""")"),"qanvast.com")</f>
        <v>qanvast.com</v>
      </c>
    </row>
    <row r="1380" spans="1:2" ht="12.5">
      <c r="A1380" s="3" t="s">
        <v>1635</v>
      </c>
      <c r="B1380" s="4" t="str">
        <f ca="1">IFERROR(__xludf.DUMMYFUNCTION("IFERROR(ARRAYFORMULA(REGEXEXTRACT(A1380,""^(?:https?:\/\/)?(?:[^@\n]+@)?(?:www\.)?([^:\/\n]+)"")),"""")"),"wickerpark.ca")</f>
        <v>wickerpark.ca</v>
      </c>
    </row>
    <row r="1381" spans="1:2" ht="12.5">
      <c r="A1381" s="3" t="s">
        <v>1636</v>
      </c>
      <c r="B1381" s="4" t="str">
        <f ca="1">IFERROR(__xludf.DUMMYFUNCTION("IFERROR(ARRAYFORMULA(REGEXEXTRACT(A1381,""^(?:https?:\/\/)?(?:[^@\n]+@)?(?:www\.)?([^:\/\n]+)"")),"""")"),"doughtysfurniture.net")</f>
        <v>doughtysfurniture.net</v>
      </c>
    </row>
    <row r="1382" spans="1:2" ht="12.5">
      <c r="A1382" s="3" t="s">
        <v>1637</v>
      </c>
      <c r="B1382" s="4" t="str">
        <f ca="1">IFERROR(__xludf.DUMMYFUNCTION("IFERROR(ARRAYFORMULA(REGEXEXTRACT(A1382,""^(?:https?:\/\/)?(?:[^@\n]+@)?(?:www\.)?([^:\/\n]+)"")),"""")"),"sunvek.com")</f>
        <v>sunvek.com</v>
      </c>
    </row>
    <row r="1383" spans="1:2" ht="12.5">
      <c r="A1383" s="3" t="s">
        <v>1638</v>
      </c>
      <c r="B1383" s="4" t="str">
        <f ca="1">IFERROR(__xludf.DUMMYFUNCTION("IFERROR(ARRAYFORMULA(REGEXEXTRACT(A1383,""^(?:https?:\/\/)?(?:[^@\n]+@)?(?:www\.)?([^:\/\n]+)"")),"""")"),"permasol.ca")</f>
        <v>permasol.ca</v>
      </c>
    </row>
    <row r="1384" spans="1:2" ht="12.5">
      <c r="A1384" s="3" t="s">
        <v>1639</v>
      </c>
      <c r="B1384" s="4" t="str">
        <f ca="1">IFERROR(__xludf.DUMMYFUNCTION("IFERROR(ARRAYFORMULA(REGEXEXTRACT(A1384,""^(?:https?:\/\/)?(?:[^@\n]+@)?(?:www\.)?([^:\/\n]+)"")),"""")"),"mymoonstonekitchen.com")</f>
        <v>mymoonstonekitchen.com</v>
      </c>
    </row>
    <row r="1385" spans="1:2" ht="12.5">
      <c r="A1385" s="3" t="s">
        <v>1640</v>
      </c>
      <c r="B1385" s="4" t="str">
        <f ca="1">IFERROR(__xludf.DUMMYFUNCTION("IFERROR(ARRAYFORMULA(REGEXEXTRACT(A1385,""^(?:https?:\/\/)?(?:[^@\n]+@)?(?:www\.)?([^:\/\n]+)"")),"""")"),"nordicinformer.com")</f>
        <v>nordicinformer.com</v>
      </c>
    </row>
    <row r="1386" spans="1:2" ht="12.5">
      <c r="A1386" s="3" t="s">
        <v>1641</v>
      </c>
      <c r="B1386" s="4" t="str">
        <f ca="1">IFERROR(__xludf.DUMMYFUNCTION("IFERROR(ARRAYFORMULA(REGEXEXTRACT(A1386,""^(?:https?:\/\/)?(?:[^@\n]+@)?(?:www\.)?([^:\/\n]+)"")),"""")"),"millcityhomebuyers.com")</f>
        <v>millcityhomebuyers.com</v>
      </c>
    </row>
    <row r="1387" spans="1:2" ht="12.5">
      <c r="A1387" s="3" t="s">
        <v>1642</v>
      </c>
      <c r="B1387" s="4" t="str">
        <f ca="1">IFERROR(__xludf.DUMMYFUNCTION("IFERROR(ARRAYFORMULA(REGEXEXTRACT(A1387,""^(?:https?:\/\/)?(?:[^@\n]+@)?(?:www\.)?([^:\/\n]+)"")),"""")"),"h2hmove.com")</f>
        <v>h2hmove.com</v>
      </c>
    </row>
    <row r="1388" spans="1:2" ht="12.5">
      <c r="A1388" s="3" t="s">
        <v>1643</v>
      </c>
      <c r="B1388" s="4" t="str">
        <f ca="1">IFERROR(__xludf.DUMMYFUNCTION("IFERROR(ARRAYFORMULA(REGEXEXTRACT(A1388,""^(?:https?:\/\/)?(?:[^@\n]+@)?(?:www\.)?([^:\/\n]+)"")),"""")"),"mywindowwashing.com")</f>
        <v>mywindowwashing.com</v>
      </c>
    </row>
    <row r="1389" spans="1:2" ht="12.5">
      <c r="A1389" s="3" t="s">
        <v>1644</v>
      </c>
      <c r="B1389" s="4" t="str">
        <f ca="1">IFERROR(__xludf.DUMMYFUNCTION("IFERROR(ARRAYFORMULA(REGEXEXTRACT(A1389,""^(?:https?:\/\/)?(?:[^@\n]+@)?(?:www\.)?([^:\/\n]+)"")),"""")"),"frelanhardware.co.uk")</f>
        <v>frelanhardware.co.uk</v>
      </c>
    </row>
    <row r="1390" spans="1:2" ht="12.5">
      <c r="A1390" s="3" t="s">
        <v>1645</v>
      </c>
      <c r="B1390" s="4" t="str">
        <f ca="1">IFERROR(__xludf.DUMMYFUNCTION("IFERROR(ARRAYFORMULA(REGEXEXTRACT(A1390,""^(?:https?:\/\/)?(?:[^@\n]+@)?(?:www\.)?([^:\/\n]+)"")),"""")"),"chainsawspares.com.au")</f>
        <v>chainsawspares.com.au</v>
      </c>
    </row>
    <row r="1391" spans="1:2" ht="12.5">
      <c r="A1391" s="3" t="s">
        <v>1646</v>
      </c>
      <c r="B1391" s="4" t="str">
        <f ca="1">IFERROR(__xludf.DUMMYFUNCTION("IFERROR(ARRAYFORMULA(REGEXEXTRACT(A1391,""^(?:https?:\/\/)?(?:[^@\n]+@)?(?:www\.)?([^:\/\n]+)"")),"""")"),"evolutionmoney.co.uk")</f>
        <v>evolutionmoney.co.uk</v>
      </c>
    </row>
    <row r="1392" spans="1:2" ht="12.5">
      <c r="A1392" s="3" t="s">
        <v>1647</v>
      </c>
      <c r="B1392" s="4" t="str">
        <f ca="1">IFERROR(__xludf.DUMMYFUNCTION("IFERROR(ARRAYFORMULA(REGEXEXTRACT(A1392,""^(?:https?:\/\/)?(?:[^@\n]+@)?(?:www\.)?([^:\/\n]+)"")),"""")"),"sumerinnovations.com")</f>
        <v>sumerinnovations.com</v>
      </c>
    </row>
    <row r="1393" spans="1:2" ht="12.5">
      <c r="A1393" s="3" t="s">
        <v>1648</v>
      </c>
      <c r="B1393" s="4" t="str">
        <f ca="1">IFERROR(__xludf.DUMMYFUNCTION("IFERROR(ARRAYFORMULA(REGEXEXTRACT(A1393,""^(?:https?:\/\/)?(?:[^@\n]+@)?(?:www\.)?([^:\/\n]+)"")),"""")"),"trusttiger.com")</f>
        <v>trusttiger.com</v>
      </c>
    </row>
    <row r="1394" spans="1:2" ht="12.5">
      <c r="A1394" s="3" t="s">
        <v>1649</v>
      </c>
      <c r="B1394" s="4" t="str">
        <f ca="1">IFERROR(__xludf.DUMMYFUNCTION("IFERROR(ARRAYFORMULA(REGEXEXTRACT(A1394,""^(?:https?:\/\/)?(?:[^@\n]+@)?(?:www\.)?([^:\/\n]+)"")),"""")"),"meatheadmovers.com")</f>
        <v>meatheadmovers.com</v>
      </c>
    </row>
    <row r="1395" spans="1:2" ht="12.5">
      <c r="A1395" s="3" t="s">
        <v>1650</v>
      </c>
      <c r="B1395" s="4" t="str">
        <f ca="1">IFERROR(__xludf.DUMMYFUNCTION("IFERROR(ARRAYFORMULA(REGEXEXTRACT(A1395,""^(?:https?:\/\/)?(?:[^@\n]+@)?(?:www\.)?([^:\/\n]+)"")),"""")"),"ondemandpestcontrol.com")</f>
        <v>ondemandpestcontrol.com</v>
      </c>
    </row>
    <row r="1396" spans="1:2" ht="12.5">
      <c r="A1396" s="3" t="s">
        <v>1651</v>
      </c>
      <c r="B1396" s="4" t="str">
        <f ca="1">IFERROR(__xludf.DUMMYFUNCTION("IFERROR(ARRAYFORMULA(REGEXEXTRACT(A1396,""^(?:https?:\/\/)?(?:[^@\n]+@)?(?:www\.)?([^:\/\n]+)"")),"""")"),"bicconstructionllc.com")</f>
        <v>bicconstructionllc.com</v>
      </c>
    </row>
    <row r="1397" spans="1:2" ht="12.5">
      <c r="A1397" s="3" t="s">
        <v>1652</v>
      </c>
      <c r="B1397" s="4" t="str">
        <f ca="1">IFERROR(__xludf.DUMMYFUNCTION("IFERROR(ARRAYFORMULA(REGEXEXTRACT(A1397,""^(?:https?:\/\/)?(?:[^@\n]+@)?(?:www\.)?([^:\/\n]+)"")),"""")"),"kcwaterproofing.com")</f>
        <v>kcwaterproofing.com</v>
      </c>
    </row>
    <row r="1398" spans="1:2" ht="12.5">
      <c r="A1398" s="3" t="s">
        <v>1653</v>
      </c>
      <c r="B1398" s="4" t="str">
        <f ca="1">IFERROR(__xludf.DUMMYFUNCTION("IFERROR(ARRAYFORMULA(REGEXEXTRACT(A1398,""^(?:https?:\/\/)?(?:[^@\n]+@)?(?:www\.)?([^:\/\n]+)"")),"""")"),"rochestercp.com")</f>
        <v>rochestercp.com</v>
      </c>
    </row>
    <row r="1399" spans="1:2" ht="12.5">
      <c r="A1399" s="3" t="s">
        <v>1654</v>
      </c>
      <c r="B1399" s="4" t="str">
        <f ca="1">IFERROR(__xludf.DUMMYFUNCTION("IFERROR(ARRAYFORMULA(REGEXEXTRACT(A1399,""^(?:https?:\/\/)?(?:[^@\n]+@)?(?:www\.)?([^:\/\n]+)"")),"""")"),"nazmiyalantiquerugs.com")</f>
        <v>nazmiyalantiquerugs.com</v>
      </c>
    </row>
    <row r="1400" spans="1:2" ht="12.5">
      <c r="A1400" s="3" t="s">
        <v>1655</v>
      </c>
      <c r="B1400" s="4" t="str">
        <f ca="1">IFERROR(__xludf.DUMMYFUNCTION("IFERROR(ARRAYFORMULA(REGEXEXTRACT(A1400,""^(?:https?:\/\/)?(?:[^@\n]+@)?(?:www\.)?([^:\/\n]+)"")),"""")"),"therugdistrict.ca")</f>
        <v>therugdistrict.ca</v>
      </c>
    </row>
    <row r="1401" spans="1:2" ht="12.5">
      <c r="A1401" s="3" t="s">
        <v>1656</v>
      </c>
      <c r="B1401" s="4" t="str">
        <f ca="1">IFERROR(__xludf.DUMMYFUNCTION("IFERROR(ARRAYFORMULA(REGEXEXTRACT(A1401,""^(?:https?:\/\/)?(?:[^@\n]+@)?(?:www\.)?([^:\/\n]+)"")),"""")"),"nextdimensionroofing.com")</f>
        <v>nextdimensionroofing.com</v>
      </c>
    </row>
    <row r="1402" spans="1:2" ht="12.5">
      <c r="A1402" s="3" t="s">
        <v>1657</v>
      </c>
      <c r="B1402" s="4" t="str">
        <f ca="1">IFERROR(__xludf.DUMMYFUNCTION("IFERROR(ARRAYFORMULA(REGEXEXTRACT(A1402,""^(?:https?:\/\/)?(?:[^@\n]+@)?(?:www\.)?([^:\/\n]+)"")),"""")"),"cherryandclarkroofing.ca")</f>
        <v>cherryandclarkroofing.ca</v>
      </c>
    </row>
    <row r="1403" spans="1:2" ht="12.5">
      <c r="A1403" s="3" t="s">
        <v>1658</v>
      </c>
      <c r="B1403" s="4" t="str">
        <f ca="1">IFERROR(__xludf.DUMMYFUNCTION("IFERROR(ARRAYFORMULA(REGEXEXTRACT(A1403,""^(?:https?:\/\/)?(?:[^@\n]+@)?(?:www\.)?([^:\/\n]+)"")),"""")"),"zomasleep.com")</f>
        <v>zomasleep.com</v>
      </c>
    </row>
    <row r="1404" spans="1:2" ht="12.5">
      <c r="A1404" s="3" t="s">
        <v>1659</v>
      </c>
      <c r="B1404" s="4" t="str">
        <f ca="1">IFERROR(__xludf.DUMMYFUNCTION("IFERROR(ARRAYFORMULA(REGEXEXTRACT(A1404,""^(?:https?:\/\/)?(?:[^@\n]+@)?(?:www\.)?([^:\/\n]+)"")),"""")"),"keen-clean.co.uk")</f>
        <v>keen-clean.co.uk</v>
      </c>
    </row>
    <row r="1405" spans="1:2" ht="12.5">
      <c r="A1405" s="3" t="s">
        <v>1660</v>
      </c>
      <c r="B1405" s="4" t="str">
        <f ca="1">IFERROR(__xludf.DUMMYFUNCTION("IFERROR(ARRAYFORMULA(REGEXEXTRACT(A1405,""^(?:https?:\/\/)?(?:[^@\n]+@)?(?:www\.)?([^:\/\n]+)"")),"""")"),"vodaland.ca")</f>
        <v>vodaland.ca</v>
      </c>
    </row>
    <row r="1406" spans="1:2" ht="12.5">
      <c r="A1406" s="3" t="s">
        <v>1661</v>
      </c>
      <c r="B1406" s="4" t="str">
        <f ca="1">IFERROR(__xludf.DUMMYFUNCTION("IFERROR(ARRAYFORMULA(REGEXEXTRACT(A1406,""^(?:https?:\/\/)?(?:[^@\n]+@)?(?:www\.)?([^:\/\n]+)"")),"""")"),"closetamerica.com")</f>
        <v>closetamerica.com</v>
      </c>
    </row>
    <row r="1407" spans="1:2" ht="12.5">
      <c r="A1407" s="3" t="s">
        <v>1662</v>
      </c>
      <c r="B1407" s="4" t="str">
        <f ca="1">IFERROR(__xludf.DUMMYFUNCTION("IFERROR(ARRAYFORMULA(REGEXEXTRACT(A1407,""^(?:https?:\/\/)?(?:[^@\n]+@)?(?:www\.)?([^:\/\n]+)"")),"""")"),"factorypoolsperth.com.au")</f>
        <v>factorypoolsperth.com.au</v>
      </c>
    </row>
    <row r="1408" spans="1:2" ht="12.5">
      <c r="A1408" s="3" t="s">
        <v>1663</v>
      </c>
      <c r="B1408" s="4" t="str">
        <f ca="1">IFERROR(__xludf.DUMMYFUNCTION("IFERROR(ARRAYFORMULA(REGEXEXTRACT(A1408,""^(?:https?:\/\/)?(?:[^@\n]+@)?(?:www\.)?([^:\/\n]+)"")),"""")"),"tantiv4.com")</f>
        <v>tantiv4.com</v>
      </c>
    </row>
    <row r="1409" spans="1:2" ht="12.5">
      <c r="A1409" s="3" t="s">
        <v>1664</v>
      </c>
      <c r="B1409" s="4" t="str">
        <f ca="1">IFERROR(__xludf.DUMMYFUNCTION("IFERROR(ARRAYFORMULA(REGEXEXTRACT(A1409,""^(?:https?:\/\/)?(?:[^@\n]+@)?(?:www\.)?([^:\/\n]+)"")),"""")"),"kitchendistributors.com")</f>
        <v>kitchendistributors.com</v>
      </c>
    </row>
    <row r="1410" spans="1:2" ht="12.5">
      <c r="A1410" s="3" t="s">
        <v>1665</v>
      </c>
      <c r="B1410" s="4" t="str">
        <f ca="1">IFERROR(__xludf.DUMMYFUNCTION("IFERROR(ARRAYFORMULA(REGEXEXTRACT(A1410,""^(?:https?:\/\/)?(?:[^@\n]+@)?(?:www\.)?([^:\/\n]+)"")),"""")"),"austinfenceanddeck.com")</f>
        <v>austinfenceanddeck.com</v>
      </c>
    </row>
    <row r="1411" spans="1:2" ht="12.5">
      <c r="A1411" s="3" t="s">
        <v>1666</v>
      </c>
      <c r="B1411" s="4" t="str">
        <f ca="1">IFERROR(__xludf.DUMMYFUNCTION("IFERROR(ARRAYFORMULA(REGEXEXTRACT(A1411,""^(?:https?:\/\/)?(?:[^@\n]+@)?(?:www\.)?([^:\/\n]+)"")),"""")"),"fhiaremodeling.com")</f>
        <v>fhiaremodeling.com</v>
      </c>
    </row>
    <row r="1412" spans="1:2" ht="12.5">
      <c r="A1412" s="3" t="s">
        <v>1667</v>
      </c>
      <c r="B1412" s="4" t="str">
        <f ca="1">IFERROR(__xludf.DUMMYFUNCTION("IFERROR(ARRAYFORMULA(REGEXEXTRACT(A1412,""^(?:https?:\/\/)?(?:[^@\n]+@)?(?:www\.)?([^:\/\n]+)"")),"""")"),"austinroofingandwaterdamage.com")</f>
        <v>austinroofingandwaterdamage.com</v>
      </c>
    </row>
    <row r="1413" spans="1:2" ht="12.5">
      <c r="A1413" s="3" t="s">
        <v>1668</v>
      </c>
      <c r="B1413" s="4" t="str">
        <f ca="1">IFERROR(__xludf.DUMMYFUNCTION("IFERROR(ARRAYFORMULA(REGEXEXTRACT(A1413,""^(?:https?:\/\/)?(?:[^@\n]+@)?(?:www\.)?([^:\/\n]+)"")),"""")"),"clearchoiceroofingatx.com")</f>
        <v>clearchoiceroofingatx.com</v>
      </c>
    </row>
    <row r="1414" spans="1:2" ht="12.5">
      <c r="A1414" s="3" t="s">
        <v>1669</v>
      </c>
      <c r="B1414" s="4" t="str">
        <f ca="1">IFERROR(__xludf.DUMMYFUNCTION("IFERROR(ARRAYFORMULA(REGEXEXTRACT(A1414,""^(?:https?:\/\/)?(?:[^@\n]+@)?(?:www\.)?([^:\/\n]+)"")),"""")"),"advisorhub.com")</f>
        <v>advisorhub.com</v>
      </c>
    </row>
    <row r="1415" spans="1:2" ht="12.5">
      <c r="A1415" s="3" t="s">
        <v>1670</v>
      </c>
      <c r="B1415" s="4" t="str">
        <f ca="1">IFERROR(__xludf.DUMMYFUNCTION("IFERROR(ARRAYFORMULA(REGEXEXTRACT(A1415,""^(?:https?:\/\/)?(?:[^@\n]+@)?(?:www\.)?([^:\/\n]+)"")),"""")"),"decasacollections.com")</f>
        <v>decasacollections.com</v>
      </c>
    </row>
    <row r="1416" spans="1:2" ht="12.5">
      <c r="A1416" s="3" t="s">
        <v>1671</v>
      </c>
      <c r="B1416" s="4" t="str">
        <f ca="1">IFERROR(__xludf.DUMMYFUNCTION("IFERROR(ARRAYFORMULA(REGEXEXTRACT(A1416,""^(?:https?:\/\/)?(?:[^@\n]+@)?(?:www\.)?([^:\/\n]+)"")),"""")"),"reliaheat.co.uk")</f>
        <v>reliaheat.co.uk</v>
      </c>
    </row>
    <row r="1417" spans="1:2" ht="12.5">
      <c r="A1417" s="3" t="s">
        <v>1672</v>
      </c>
      <c r="B1417" s="4" t="str">
        <f ca="1">IFERROR(__xludf.DUMMYFUNCTION("IFERROR(ARRAYFORMULA(REGEXEXTRACT(A1417,""^(?:https?:\/\/)?(?:[^@\n]+@)?(?:www\.)?([^:\/\n]+)"")),"""")"),"americanvanlines.com")</f>
        <v>americanvanlines.com</v>
      </c>
    </row>
    <row r="1418" spans="1:2" ht="12.5">
      <c r="A1418" s="3" t="s">
        <v>1673</v>
      </c>
      <c r="B1418" s="4" t="str">
        <f ca="1">IFERROR(__xludf.DUMMYFUNCTION("IFERROR(ARRAYFORMULA(REGEXEXTRACT(A1418,""^(?:https?:\/\/)?(?:[^@\n]+@)?(?:www\.)?([^:\/\n]+)"")),"""")"),"tilecloud.com.au")</f>
        <v>tilecloud.com.au</v>
      </c>
    </row>
    <row r="1419" spans="1:2" ht="12.5">
      <c r="A1419" s="3" t="s">
        <v>1674</v>
      </c>
      <c r="B1419" s="4" t="str">
        <f ca="1">IFERROR(__xludf.DUMMYFUNCTION("IFERROR(ARRAYFORMULA(REGEXEXTRACT(A1419,""^(?:https?:\/\/)?(?:[^@\n]+@)?(?:www\.)?([^:\/\n]+)"")),"""")"),"aegissafe.com.au")</f>
        <v>aegissafe.com.au</v>
      </c>
    </row>
    <row r="1420" spans="1:2" ht="12.5">
      <c r="A1420" s="3" t="s">
        <v>1675</v>
      </c>
      <c r="B1420" s="4" t="str">
        <f ca="1">IFERROR(__xludf.DUMMYFUNCTION("IFERROR(ARRAYFORMULA(REGEXEXTRACT(A1420,""^(?:https?:\/\/)?(?:[^@\n]+@)?(?:www\.)?([^:\/\n]+)"")),"""")"),"aurafiresafety.com")</f>
        <v>aurafiresafety.com</v>
      </c>
    </row>
    <row r="1421" spans="1:2" ht="12.5">
      <c r="A1421" s="3" t="s">
        <v>1676</v>
      </c>
      <c r="B1421" s="4" t="str">
        <f ca="1">IFERROR(__xludf.DUMMYFUNCTION("IFERROR(ARRAYFORMULA(REGEXEXTRACT(A1421,""^(?:https?:\/\/)?(?:[^@\n]+@)?(?:www\.)?([^:\/\n]+)"")),"""")"),"barrierreefpools.com")</f>
        <v>barrierreefpools.com</v>
      </c>
    </row>
    <row r="1422" spans="1:2" ht="12.5">
      <c r="A1422" s="3" t="s">
        <v>1677</v>
      </c>
      <c r="B1422" s="4" t="str">
        <f ca="1">IFERROR(__xludf.DUMMYFUNCTION("IFERROR(ARRAYFORMULA(REGEXEXTRACT(A1422,""^(?:https?:\/\/)?(?:[^@\n]+@)?(?:www\.)?([^:\/\n]+)"")),"""")"),"precisionlandscaping.ca")</f>
        <v>precisionlandscaping.ca</v>
      </c>
    </row>
    <row r="1423" spans="1:2" ht="12.5">
      <c r="A1423" s="3" t="s">
        <v>1678</v>
      </c>
      <c r="B1423" s="4" t="str">
        <f ca="1">IFERROR(__xludf.DUMMYFUNCTION("IFERROR(ARRAYFORMULA(REGEXEXTRACT(A1423,""^(?:https?:\/\/)?(?:[^@\n]+@)?(?:www\.)?([^:\/\n]+)"")),"""")"),"alpinefencing.co")</f>
        <v>alpinefencing.co</v>
      </c>
    </row>
    <row r="1424" spans="1:2" ht="12.5">
      <c r="A1424" s="3" t="s">
        <v>1679</v>
      </c>
      <c r="B1424" s="4" t="str">
        <f ca="1">IFERROR(__xludf.DUMMYFUNCTION("IFERROR(ARRAYFORMULA(REGEXEXTRACT(A1424,""^(?:https?:\/\/)?(?:[^@\n]+@)?(?:www\.)?([^:\/\n]+)"")),"""")"),"standstrongfencing.com")</f>
        <v>standstrongfencing.com</v>
      </c>
    </row>
    <row r="1425" spans="1:2" ht="12.5">
      <c r="A1425" s="3" t="s">
        <v>1680</v>
      </c>
      <c r="B1425" s="4" t="str">
        <f ca="1">IFERROR(__xludf.DUMMYFUNCTION("IFERROR(ARRAYFORMULA(REGEXEXTRACT(A1425,""^(?:https?:\/\/)?(?:[^@\n]+@)?(?:www\.)?([^:\/\n]+)"")),"""")"),"alliancemoving.com")</f>
        <v>alliancemoving.com</v>
      </c>
    </row>
    <row r="1426" spans="1:2" ht="12.5">
      <c r="A1426" s="3" t="s">
        <v>1681</v>
      </c>
      <c r="B1426" s="4" t="str">
        <f ca="1">IFERROR(__xludf.DUMMYFUNCTION("IFERROR(ARRAYFORMULA(REGEXEXTRACT(A1426,""^(?:https?:\/\/)?(?:[^@\n]+@)?(?:www\.)?([^:\/\n]+)"")),"""")"),"locate2u.com")</f>
        <v>locate2u.com</v>
      </c>
    </row>
    <row r="1427" spans="1:2" ht="12.5">
      <c r="A1427" s="3" t="s">
        <v>1682</v>
      </c>
      <c r="B1427" s="4" t="str">
        <f ca="1">IFERROR(__xludf.DUMMYFUNCTION("IFERROR(ARRAYFORMULA(REGEXEXTRACT(A1427,""^(?:https?:\/\/)?(?:[^@\n]+@)?(?:www\.)?([^:\/\n]+)"")),"""")"),"ryanoldplumbing.com.au")</f>
        <v>ryanoldplumbing.com.au</v>
      </c>
    </row>
    <row r="1428" spans="1:2" ht="12.5">
      <c r="A1428" s="3" t="s">
        <v>1683</v>
      </c>
      <c r="B1428" s="4" t="str">
        <f ca="1">IFERROR(__xludf.DUMMYFUNCTION("IFERROR(ARRAYFORMULA(REGEXEXTRACT(A1428,""^(?:https?:\/\/)?(?:[^@\n]+@)?(?:www\.)?([^:\/\n]+)"")),"""")"),"forrestsmallhomes.com.au")</f>
        <v>forrestsmallhomes.com.au</v>
      </c>
    </row>
    <row r="1429" spans="1:2" ht="12.5">
      <c r="A1429" s="3" t="s">
        <v>1684</v>
      </c>
      <c r="B1429" s="4" t="str">
        <f ca="1">IFERROR(__xludf.DUMMYFUNCTION("IFERROR(ARRAYFORMULA(REGEXEXTRACT(A1429,""^(?:https?:\/\/)?(?:[^@\n]+@)?(?:www\.)?([^:\/\n]+)"")),"""")"),"edenconstructionny.com")</f>
        <v>edenconstructionny.com</v>
      </c>
    </row>
    <row r="1430" spans="1:2" ht="12.5">
      <c r="A1430" s="3" t="s">
        <v>1685</v>
      </c>
      <c r="B1430" s="4" t="str">
        <f ca="1">IFERROR(__xludf.DUMMYFUNCTION("IFERROR(ARRAYFORMULA(REGEXEXTRACT(A1430,""^(?:https?:\/\/)?(?:[^@\n]+@)?(?:www\.)?([^:\/\n]+)"")),"""")"),"that1painter.com")</f>
        <v>that1painter.com</v>
      </c>
    </row>
    <row r="1431" spans="1:2" ht="12.5">
      <c r="A1431" s="3" t="s">
        <v>1686</v>
      </c>
      <c r="B1431" s="4" t="str">
        <f ca="1">IFERROR(__xludf.DUMMYFUNCTION("IFERROR(ARRAYFORMULA(REGEXEXTRACT(A1431,""^(?:https?:\/\/)?(?:[^@\n]+@)?(?:www\.)?([^:\/\n]+)"")),"""")"),"poshtradingcompany.com")</f>
        <v>poshtradingcompany.com</v>
      </c>
    </row>
    <row r="1432" spans="1:2" ht="12.5">
      <c r="A1432" s="3" t="s">
        <v>1687</v>
      </c>
      <c r="B1432" s="4" t="str">
        <f ca="1">IFERROR(__xludf.DUMMYFUNCTION("IFERROR(ARRAYFORMULA(REGEXEXTRACT(A1432,""^(?:https?:\/\/)?(?:[^@\n]+@)?(?:www\.)?([^:\/\n]+)"")),"""")"),"openpropertygroup.com")</f>
        <v>openpropertygroup.com</v>
      </c>
    </row>
    <row r="1433" spans="1:2" ht="12.5">
      <c r="A1433" s="3" t="s">
        <v>1688</v>
      </c>
      <c r="B1433" s="4" t="str">
        <f ca="1">IFERROR(__xludf.DUMMYFUNCTION("IFERROR(ARRAYFORMULA(REGEXEXTRACT(A1433,""^(?:https?:\/\/)?(?:[^@\n]+@)?(?:www\.)?([^:\/\n]+)"")),"""")"),"selcobw.com")</f>
        <v>selcobw.com</v>
      </c>
    </row>
    <row r="1434" spans="1:2" ht="12.5">
      <c r="A1434" s="3" t="s">
        <v>1689</v>
      </c>
      <c r="B1434" s="4" t="str">
        <f ca="1">IFERROR(__xludf.DUMMYFUNCTION("IFERROR(ARRAYFORMULA(REGEXEXTRACT(A1434,""^(?:https?:\/\/)?(?:[^@\n]+@)?(?:www\.)?([^:\/\n]+)"")),"""")"),"windowscanada.com")</f>
        <v>windowscanada.com</v>
      </c>
    </row>
    <row r="1435" spans="1:2" ht="12.5">
      <c r="A1435" s="3" t="s">
        <v>1690</v>
      </c>
      <c r="B1435" s="4" t="str">
        <f ca="1">IFERROR(__xludf.DUMMYFUNCTION("IFERROR(ARRAYFORMULA(REGEXEXTRACT(A1435,""^(?:https?:\/\/)?(?:[^@\n]+@)?(?:www\.)?([^:\/\n]+)"")),"""")"),"cladcodecking.co.uk")</f>
        <v>cladcodecking.co.uk</v>
      </c>
    </row>
    <row r="1436" spans="1:2" ht="12.5">
      <c r="A1436" s="3" t="s">
        <v>1691</v>
      </c>
      <c r="B1436" s="4" t="str">
        <f ca="1">IFERROR(__xludf.DUMMYFUNCTION("IFERROR(ARRAYFORMULA(REGEXEXTRACT(A1436,""^(?:https?:\/\/)?(?:[^@\n]+@)?(?:www\.)?([^:\/\n]+)"")),"""")"),"cworkshop.co.uk")</f>
        <v>cworkshop.co.uk</v>
      </c>
    </row>
    <row r="1437" spans="1:2" ht="12.5">
      <c r="A1437" s="3" t="s">
        <v>1692</v>
      </c>
      <c r="B1437" s="4" t="str">
        <f ca="1">IFERROR(__xludf.DUMMYFUNCTION("IFERROR(ARRAYFORMULA(REGEXEXTRACT(A1437,""^(?:https?:\/\/)?(?:[^@\n]+@)?(?:www\.)?([^:\/\n]+)"")),"""")"),"hgtv.co.uk")</f>
        <v>hgtv.co.uk</v>
      </c>
    </row>
    <row r="1438" spans="1:2" ht="12.5">
      <c r="A1438" s="3" t="s">
        <v>1693</v>
      </c>
      <c r="B1438" s="4" t="str">
        <f ca="1">IFERROR(__xludf.DUMMYFUNCTION("IFERROR(ARRAYFORMULA(REGEXEXTRACT(A1438,""^(?:https?:\/\/)?(?:[^@\n]+@)?(?:www\.)?([^:\/\n]+)"")),"""")"),"thehirerealty.com")</f>
        <v>thehirerealty.com</v>
      </c>
    </row>
    <row r="1439" spans="1:2" ht="12.5">
      <c r="A1439" s="3" t="s">
        <v>1694</v>
      </c>
      <c r="B1439" s="4" t="str">
        <f ca="1">IFERROR(__xludf.DUMMYFUNCTION("IFERROR(ARRAYFORMULA(REGEXEXTRACT(A1439,""^(?:https?:\/\/)?(?:[^@\n]+@)?(?:www\.)?([^:\/\n]+)"")),"""")"),"royaloakstair.ca")</f>
        <v>royaloakstair.ca</v>
      </c>
    </row>
    <row r="1440" spans="1:2" ht="12.5">
      <c r="A1440" s="3" t="s">
        <v>1695</v>
      </c>
      <c r="B1440" s="4" t="str">
        <f ca="1">IFERROR(__xludf.DUMMYFUNCTION("IFERROR(ARRAYFORMULA(REGEXEXTRACT(A1440,""^(?:https?:\/\/)?(?:[^@\n]+@)?(?:www\.)?([^:\/\n]+)"")),"""")"),"verifiedmovers.com")</f>
        <v>verifiedmovers.com</v>
      </c>
    </row>
    <row r="1441" spans="1:2" ht="12.5">
      <c r="A1441" s="3" t="s">
        <v>1696</v>
      </c>
      <c r="B1441" s="4" t="str">
        <f ca="1">IFERROR(__xludf.DUMMYFUNCTION("IFERROR(ARRAYFORMULA(REGEXEXTRACT(A1441,""^(?:https?:\/\/)?(?:[^@\n]+@)?(?:www\.)?([^:\/\n]+)"")),"""")"),"grenadier.co.nz")</f>
        <v>grenadier.co.nz</v>
      </c>
    </row>
    <row r="1442" spans="1:2" ht="12.5">
      <c r="A1442" s="3" t="s">
        <v>1697</v>
      </c>
      <c r="B1442" s="4" t="str">
        <f ca="1">IFERROR(__xludf.DUMMYFUNCTION("IFERROR(ARRAYFORMULA(REGEXEXTRACT(A1442,""^(?:https?:\/\/)?(?:[^@\n]+@)?(?:www\.)?([^:\/\n]+)"")),"""")"),"martinsflooring.com")</f>
        <v>martinsflooring.com</v>
      </c>
    </row>
    <row r="1443" spans="1:2" ht="12.5">
      <c r="A1443" s="3" t="s">
        <v>1698</v>
      </c>
      <c r="B1443" s="4" t="str">
        <f ca="1">IFERROR(__xludf.DUMMYFUNCTION("IFERROR(ARRAYFORMULA(REGEXEXTRACT(A1443,""^(?:https?:\/\/)?(?:[^@\n]+@)?(?:www\.)?([^:\/\n]+)"")),"""")"),"tusseylandscaping.com")</f>
        <v>tusseylandscaping.com</v>
      </c>
    </row>
    <row r="1444" spans="1:2" ht="12.5">
      <c r="A1444" s="3" t="s">
        <v>1699</v>
      </c>
      <c r="B1444" s="4" t="str">
        <f ca="1">IFERROR(__xludf.DUMMYFUNCTION("IFERROR(ARRAYFORMULA(REGEXEXTRACT(A1444,""^(?:https?:\/\/)?(?:[^@\n]+@)?(?:www\.)?([^:\/\n]+)"")),"""")"),"thinkaidium.com")</f>
        <v>thinkaidium.com</v>
      </c>
    </row>
    <row r="1445" spans="1:2" ht="12.5">
      <c r="A1445" s="3" t="s">
        <v>1700</v>
      </c>
      <c r="B1445" s="4" t="str">
        <f ca="1">IFERROR(__xludf.DUMMYFUNCTION("IFERROR(ARRAYFORMULA(REGEXEXTRACT(A1445,""^(?:https?:\/\/)?(?:[^@\n]+@)?(?:www\.)?([^:\/\n]+)"")),"""")"),"lakegenevaarearealty.com")</f>
        <v>lakegenevaarearealty.com</v>
      </c>
    </row>
    <row r="1446" spans="1:2" ht="12.5">
      <c r="A1446" s="3" t="s">
        <v>1701</v>
      </c>
      <c r="B1446" s="4" t="str">
        <f ca="1">IFERROR(__xludf.DUMMYFUNCTION("IFERROR(ARRAYFORMULA(REGEXEXTRACT(A1446,""^(?:https?:\/\/)?(?:[^@\n]+@)?(?:www\.)?([^:\/\n]+)"")),"""")"),"loaconstruction.com")</f>
        <v>loaconstruction.com</v>
      </c>
    </row>
    <row r="1447" spans="1:2" ht="12.5">
      <c r="A1447" s="3" t="s">
        <v>1702</v>
      </c>
      <c r="B1447" s="4" t="str">
        <f ca="1">IFERROR(__xludf.DUMMYFUNCTION("IFERROR(ARRAYFORMULA(REGEXEXTRACT(A1447,""^(?:https?:\/\/)?(?:[^@\n]+@)?(?:www\.)?([^:\/\n]+)"")),"""")"),"instantroofer.com")</f>
        <v>instantroofer.com</v>
      </c>
    </row>
    <row r="1448" spans="1:2" ht="12.5">
      <c r="A1448" s="3" t="s">
        <v>1703</v>
      </c>
      <c r="B1448" s="4" t="str">
        <f ca="1">IFERROR(__xludf.DUMMYFUNCTION("IFERROR(ARRAYFORMULA(REGEXEXTRACT(A1448,""^(?:https?:\/\/)?(?:[^@\n]+@)?(?:www\.)?([^:\/\n]+)"")),"""")"),"elegantkitchenbath.com")</f>
        <v>elegantkitchenbath.com</v>
      </c>
    </row>
    <row r="1449" spans="1:2" ht="12.5">
      <c r="A1449" s="3" t="s">
        <v>1704</v>
      </c>
      <c r="B1449" s="4" t="str">
        <f ca="1">IFERROR(__xludf.DUMMYFUNCTION("IFERROR(ARRAYFORMULA(REGEXEXTRACT(A1449,""^(?:https?:\/\/)?(?:[^@\n]+@)?(?:www\.)?([^:\/\n]+)"")),"""")"),"ssrelocation.com")</f>
        <v>ssrelocation.com</v>
      </c>
    </row>
    <row r="1450" spans="1:2" ht="12.5">
      <c r="A1450" s="3" t="s">
        <v>1705</v>
      </c>
      <c r="B1450" s="4" t="str">
        <f ca="1">IFERROR(__xludf.DUMMYFUNCTION("IFERROR(ARRAYFORMULA(REGEXEXTRACT(A1450,""^(?:https?:\/\/)?(?:[^@\n]+@)?(?:www\.)?([^:\/\n]+)"")),"""")"),"joist.com")</f>
        <v>joist.com</v>
      </c>
    </row>
    <row r="1451" spans="1:2" ht="12.5">
      <c r="A1451" s="3" t="s">
        <v>1706</v>
      </c>
      <c r="B1451" s="4" t="str">
        <f ca="1">IFERROR(__xludf.DUMMYFUNCTION("IFERROR(ARRAYFORMULA(REGEXEXTRACT(A1451,""^(?:https?:\/\/)?(?:[^@\n]+@)?(?:www\.)?([^:\/\n]+)"")),"""")"),"mobilehomebuyerfl.com")</f>
        <v>mobilehomebuyerfl.com</v>
      </c>
    </row>
    <row r="1452" spans="1:2" ht="12.5">
      <c r="A1452" s="3" t="s">
        <v>1707</v>
      </c>
      <c r="B1452" s="4" t="str">
        <f ca="1">IFERROR(__xludf.DUMMYFUNCTION("IFERROR(ARRAYFORMULA(REGEXEXTRACT(A1452,""^(?:https?:\/\/)?(?:[^@\n]+@)?(?:www\.)?([^:\/\n]+)"")),"""")"),"moneylion.com")</f>
        <v>moneylion.com</v>
      </c>
    </row>
    <row r="1453" spans="1:2" ht="12.5">
      <c r="A1453" s="3" t="s">
        <v>1708</v>
      </c>
      <c r="B1453" s="4" t="str">
        <f ca="1">IFERROR(__xludf.DUMMYFUNCTION("IFERROR(ARRAYFORMULA(REGEXEXTRACT(A1453,""^(?:https?:\/\/)?(?:[^@\n]+@)?(?:www\.)?([^:\/\n]+)"")),"""")"),"voyagemaison.com")</f>
        <v>voyagemaison.com</v>
      </c>
    </row>
    <row r="1454" spans="1:2" ht="12.5">
      <c r="A1454" s="3" t="s">
        <v>1709</v>
      </c>
      <c r="B1454" s="4" t="str">
        <f ca="1">IFERROR(__xludf.DUMMYFUNCTION("IFERROR(ARRAYFORMULA(REGEXEXTRACT(A1454,""^(?:https?:\/\/)?(?:[^@\n]+@)?(?:www\.)?([^:\/\n]+)"")),"""")"),"landofrugs.com")</f>
        <v>landofrugs.com</v>
      </c>
    </row>
    <row r="1455" spans="1:2" ht="12.5">
      <c r="A1455" s="3" t="s">
        <v>1710</v>
      </c>
      <c r="B1455" s="4" t="str">
        <f ca="1">IFERROR(__xludf.DUMMYFUNCTION("IFERROR(ARRAYFORMULA(REGEXEXTRACT(A1455,""^(?:https?:\/\/)?(?:[^@\n]+@)?(?:www\.)?([^:\/\n]+)"")),"""")"),"cartonhouse.com")</f>
        <v>cartonhouse.com</v>
      </c>
    </row>
    <row r="1456" spans="1:2" ht="12.5">
      <c r="A1456" s="3" t="s">
        <v>1711</v>
      </c>
      <c r="B1456" s="4" t="str">
        <f ca="1">IFERROR(__xludf.DUMMYFUNCTION("IFERROR(ARRAYFORMULA(REGEXEXTRACT(A1456,""^(?:https?:\/\/)?(?:[^@\n]+@)?(?:www\.)?([^:\/\n]+)"")),"""")"),"capstgeorges.com")</f>
        <v>capstgeorges.com</v>
      </c>
    </row>
    <row r="1457" spans="1:2" ht="12.5">
      <c r="A1457" s="3" t="s">
        <v>1712</v>
      </c>
      <c r="B1457" s="4" t="str">
        <f ca="1">IFERROR(__xludf.DUMMYFUNCTION("IFERROR(ARRAYFORMULA(REGEXEXTRACT(A1457,""^(?:https?:\/\/)?(?:[^@\n]+@)?(?:www\.)?([^:\/\n]+)"")),"""")"),"hunterhome.co.nz")</f>
        <v>hunterhome.co.nz</v>
      </c>
    </row>
    <row r="1458" spans="1:2" ht="12.5">
      <c r="A1458" s="3" t="s">
        <v>1713</v>
      </c>
      <c r="B1458" s="4" t="str">
        <f ca="1">IFERROR(__xludf.DUMMYFUNCTION("IFERROR(ARRAYFORMULA(REGEXEXTRACT(A1458,""^(?:https?:\/\/)?(?:[^@\n]+@)?(?:www\.)?([^:\/\n]+)"")),"""")"),"nucleuscommercialfinance.com")</f>
        <v>nucleuscommercialfinance.com</v>
      </c>
    </row>
    <row r="1459" spans="1:2" ht="12.5">
      <c r="A1459" s="3" t="s">
        <v>1714</v>
      </c>
      <c r="B1459" s="4" t="str">
        <f ca="1">IFERROR(__xludf.DUMMYFUNCTION("IFERROR(ARRAYFORMULA(REGEXEXTRACT(A1459,""^(?:https?:\/\/)?(?:[^@\n]+@)?(?:www\.)?([^:\/\n]+)"")),"""")"),"pricebailey.co.uk")</f>
        <v>pricebailey.co.uk</v>
      </c>
    </row>
    <row r="1460" spans="1:2" ht="12.5">
      <c r="A1460" s="3" t="s">
        <v>1715</v>
      </c>
      <c r="B1460" s="4" t="str">
        <f ca="1">IFERROR(__xludf.DUMMYFUNCTION("IFERROR(ARRAYFORMULA(REGEXEXTRACT(A1460,""^(?:https?:\/\/)?(?:[^@\n]+@)?(?:www\.)?([^:\/\n]+)"")),"""")"),"northamerican.com")</f>
        <v>northamerican.com</v>
      </c>
    </row>
    <row r="1461" spans="1:2" ht="12.5">
      <c r="A1461" s="3" t="s">
        <v>1716</v>
      </c>
      <c r="B1461" s="4" t="str">
        <f ca="1">IFERROR(__xludf.DUMMYFUNCTION("IFERROR(ARRAYFORMULA(REGEXEXTRACT(A1461,""^(?:https?:\/\/)?(?:[^@\n]+@)?(?:www\.)?([^:\/\n]+)"")),"""")"),"luxuryflooring.co.uk")</f>
        <v>luxuryflooring.co.uk</v>
      </c>
    </row>
    <row r="1462" spans="1:2" ht="12.5">
      <c r="A1462" s="3" t="s">
        <v>1717</v>
      </c>
      <c r="B1462" s="4" t="str">
        <f ca="1">IFERROR(__xludf.DUMMYFUNCTION("IFERROR(ARRAYFORMULA(REGEXEXTRACT(A1462,""^(?:https?:\/\/)?(?:[^@\n]+@)?(?:www\.)?([^:\/\n]+)"")),"""")"),"lionsgatecapital.com")</f>
        <v>lionsgatecapital.com</v>
      </c>
    </row>
    <row r="1463" spans="1:2" ht="12.5">
      <c r="A1463" s="3" t="s">
        <v>1718</v>
      </c>
      <c r="B1463" s="4" t="str">
        <f ca="1">IFERROR(__xludf.DUMMYFUNCTION("IFERROR(ARRAYFORMULA(REGEXEXTRACT(A1463,""^(?:https?:\/\/)?(?:[^@\n]+@)?(?:www\.)?([^:\/\n]+)"")),"""")"),"theperfectrug.com")</f>
        <v>theperfectrug.com</v>
      </c>
    </row>
    <row r="1464" spans="1:2" ht="12.5">
      <c r="A1464" s="3" t="s">
        <v>1719</v>
      </c>
      <c r="B1464" s="4" t="str">
        <f ca="1">IFERROR(__xludf.DUMMYFUNCTION("IFERROR(ARRAYFORMULA(REGEXEXTRACT(A1464,""^(?:https?:\/\/)?(?:[^@\n]+@)?(?:www\.)?([^:\/\n]+)"")),"""")"),"ceoweekly.com")</f>
        <v>ceoweekly.com</v>
      </c>
    </row>
    <row r="1465" spans="1:2" ht="12.5">
      <c r="A1465" s="3" t="s">
        <v>1720</v>
      </c>
      <c r="B1465" s="4" t="str">
        <f ca="1">IFERROR(__xludf.DUMMYFUNCTION("IFERROR(ARRAYFORMULA(REGEXEXTRACT(A1465,""^(?:https?:\/\/)?(?:[^@\n]+@)?(?:www\.)?([^:\/\n]+)"")),"""")"),"floridahomefinder.com")</f>
        <v>floridahomefinder.com</v>
      </c>
    </row>
    <row r="1466" spans="1:2" ht="12.5">
      <c r="A1466" s="3" t="s">
        <v>1721</v>
      </c>
      <c r="B1466" s="4" t="str">
        <f ca="1">IFERROR(__xludf.DUMMYFUNCTION("IFERROR(ARRAYFORMULA(REGEXEXTRACT(A1466,""^(?:https?:\/\/)?(?:[^@\n]+@)?(?:www\.)?([^:\/\n]+)"")),"""")"),"mauieliteproperty.com")</f>
        <v>mauieliteproperty.com</v>
      </c>
    </row>
    <row r="1467" spans="1:2" ht="12.5">
      <c r="A1467" s="3" t="s">
        <v>1722</v>
      </c>
      <c r="B1467" s="4" t="str">
        <f ca="1">IFERROR(__xludf.DUMMYFUNCTION("IFERROR(ARRAYFORMULA(REGEXEXTRACT(A1467,""^(?:https?:\/\/)?(?:[^@\n]+@)?(?:www\.)?([^:\/\n]+)"")),"""")"),"allied.com")</f>
        <v>allied.com</v>
      </c>
    </row>
    <row r="1468" spans="1:2" ht="12.5">
      <c r="A1468" s="3" t="s">
        <v>1723</v>
      </c>
      <c r="B1468" s="4" t="str">
        <f ca="1">IFERROR(__xludf.DUMMYFUNCTION("IFERROR(ARRAYFORMULA(REGEXEXTRACT(A1468,""^(?:https?:\/\/)?(?:[^@\n]+@)?(?:www\.)?([^:\/\n]+)"")),"""")"),"marygrove.com")</f>
        <v>marygrove.com</v>
      </c>
    </row>
    <row r="1469" spans="1:2" ht="12.5">
      <c r="A1469" s="3" t="s">
        <v>1724</v>
      </c>
      <c r="B1469" s="4" t="str">
        <f ca="1">IFERROR(__xludf.DUMMYFUNCTION("IFERROR(ARRAYFORMULA(REGEXEXTRACT(A1469,""^(?:https?:\/\/)?(?:[^@\n]+@)?(?:www\.)?([^:\/\n]+)"")),"""")"),"maxwellrealty.com")</f>
        <v>maxwellrealty.com</v>
      </c>
    </row>
    <row r="1470" spans="1:2" ht="12.5">
      <c r="A1470" s="3" t="s">
        <v>1725</v>
      </c>
      <c r="B1470" s="4" t="str">
        <f ca="1">IFERROR(__xludf.DUMMYFUNCTION("IFERROR(ARRAYFORMULA(REGEXEXTRACT(A1470,""^(?:https?:\/\/)?(?:[^@\n]+@)?(?:www\.)?([^:\/\n]+)"")),"""")"),"highlandcabinetry.com")</f>
        <v>highlandcabinetry.com</v>
      </c>
    </row>
    <row r="1471" spans="1:2" ht="12.5">
      <c r="A1471" s="3" t="s">
        <v>1726</v>
      </c>
      <c r="B1471" s="4" t="str">
        <f ca="1">IFERROR(__xludf.DUMMYFUNCTION("IFERROR(ARRAYFORMULA(REGEXEXTRACT(A1471,""^(?:https?:\/\/)?(?:[^@\n]+@)?(?:www\.)?([^:\/\n]+)"")),"""")"),"yabby.com.au")</f>
        <v>yabby.com.au</v>
      </c>
    </row>
    <row r="1472" spans="1:2" ht="12.5">
      <c r="A1472" s="3" t="s">
        <v>1727</v>
      </c>
      <c r="B1472" s="4" t="str">
        <f ca="1">IFERROR(__xludf.DUMMYFUNCTION("IFERROR(ARRAYFORMULA(REGEXEXTRACT(A1472,""^(?:https?:\/\/)?(?:[^@\n]+@)?(?:www\.)?([^:\/\n]+)"")),"""")"),"newportrentals.com")</f>
        <v>newportrentals.com</v>
      </c>
    </row>
    <row r="1473" spans="1:2" ht="12.5">
      <c r="A1473" s="3" t="s">
        <v>1728</v>
      </c>
      <c r="B1473" s="4" t="str">
        <f ca="1">IFERROR(__xludf.DUMMYFUNCTION("IFERROR(ARRAYFORMULA(REGEXEXTRACT(A1473,""^(?:https?:\/\/)?(?:[^@\n]+@)?(?:www\.)?([^:\/\n]+)"")),"""")"),"neatbeach.com")</f>
        <v>neatbeach.com</v>
      </c>
    </row>
    <row r="1474" spans="1:2" ht="12.5">
      <c r="A1474" s="3" t="s">
        <v>1729</v>
      </c>
      <c r="B1474" s="4" t="str">
        <f ca="1">IFERROR(__xludf.DUMMYFUNCTION("IFERROR(ARRAYFORMULA(REGEXEXTRACT(A1474,""^(?:https?:\/\/)?(?:[^@\n]+@)?(?:www\.)?([^:\/\n]+)"")),"""")"),"luxuriavacations.com")</f>
        <v>luxuriavacations.com</v>
      </c>
    </row>
    <row r="1475" spans="1:2" ht="12.5">
      <c r="A1475" s="3" t="s">
        <v>1730</v>
      </c>
      <c r="B1475" s="4" t="str">
        <f ca="1">IFERROR(__xludf.DUMMYFUNCTION("IFERROR(ARRAYFORMULA(REGEXEXTRACT(A1475,""^(?:https?:\/\/)?(?:[^@\n]+@)?(?:www\.)?([^:\/\n]+)"")),"""")"),"exotiqproperty.com")</f>
        <v>exotiqproperty.com</v>
      </c>
    </row>
    <row r="1476" spans="1:2" ht="12.5">
      <c r="A1476" s="3" t="s">
        <v>1731</v>
      </c>
      <c r="B1476" s="4" t="str">
        <f ca="1">IFERROR(__xludf.DUMMYFUNCTION("IFERROR(ARRAYFORMULA(REGEXEXTRACT(A1476,""^(?:https?:\/\/)?(?:[^@\n]+@)?(?:www\.)?([^:\/\n]+)"")),"""")"),"revivalhomebuyers.com")</f>
        <v>revivalhomebuyers.com</v>
      </c>
    </row>
    <row r="1477" spans="1:2" ht="12.5">
      <c r="A1477" s="3" t="s">
        <v>1732</v>
      </c>
      <c r="B1477" s="4" t="str">
        <f ca="1">IFERROR(__xludf.DUMMYFUNCTION("IFERROR(ARRAYFORMULA(REGEXEXTRACT(A1477,""^(?:https?:\/\/)?(?:[^@\n]+@)?(?:www\.)?([^:\/\n]+)"")),"""")"),"speedysalehomebuyers.com")</f>
        <v>speedysalehomebuyers.com</v>
      </c>
    </row>
    <row r="1478" spans="1:2" ht="12.5">
      <c r="A1478" s="3" t="s">
        <v>1733</v>
      </c>
      <c r="B1478" s="4" t="str">
        <f ca="1">IFERROR(__xludf.DUMMYFUNCTION("IFERROR(ARRAYFORMULA(REGEXEXTRACT(A1478,""^(?:https?:\/\/)?(?:[^@\n]+@)?(?:www\.)?([^:\/\n]+)"")),"""")"),"hapahomebuyers.com")</f>
        <v>hapahomebuyers.com</v>
      </c>
    </row>
    <row r="1479" spans="1:2" ht="12.5">
      <c r="A1479" s="3" t="s">
        <v>1734</v>
      </c>
      <c r="B1479" s="4" t="str">
        <f ca="1">IFERROR(__xludf.DUMMYFUNCTION("IFERROR(ARRAYFORMULA(REGEXEXTRACT(A1479,""^(?:https?:\/\/)?(?:[^@\n]+@)?(?:www\.)?([^:\/\n]+)"")),"""")"),"activemetal.com.au")</f>
        <v>activemetal.com.au</v>
      </c>
    </row>
    <row r="1480" spans="1:2" ht="12.5">
      <c r="A1480" s="3" t="s">
        <v>1735</v>
      </c>
      <c r="B1480" s="4" t="str">
        <f ca="1">IFERROR(__xludf.DUMMYFUNCTION("IFERROR(ARRAYFORMULA(REGEXEXTRACT(A1480,""^(?:https?:\/\/)?(?:[^@\n]+@)?(?:www\.)?([^:\/\n]+)"")),"""")"),"1428brickell.com")</f>
        <v>1428brickell.com</v>
      </c>
    </row>
    <row r="1481" spans="1:2" ht="12.5">
      <c r="A1481" s="3" t="s">
        <v>1736</v>
      </c>
      <c r="B1481" s="4" t="str">
        <f ca="1">IFERROR(__xludf.DUMMYFUNCTION("IFERROR(ARRAYFORMULA(REGEXEXTRACT(A1481,""^(?:https?:\/\/)?(?:[^@\n]+@)?(?:www\.)?([^:\/\n]+)"")),"""")"),"ytech.com")</f>
        <v>ytech.com</v>
      </c>
    </row>
    <row r="1482" spans="1:2" ht="12.5">
      <c r="A1482" s="3" t="s">
        <v>1737</v>
      </c>
      <c r="B1482" s="4" t="str">
        <f ca="1">IFERROR(__xludf.DUMMYFUNCTION("IFERROR(ARRAYFORMULA(REGEXEXTRACT(A1482,""^(?:https?:\/\/)?(?:[^@\n]+@)?(?:www\.)?([^:\/\n]+)"")),"""")"),"rockwellgroup.com")</f>
        <v>rockwellgroup.com</v>
      </c>
    </row>
    <row r="1483" spans="1:2" ht="12.5">
      <c r="A1483" s="3" t="s">
        <v>1738</v>
      </c>
      <c r="B1483" s="4" t="str">
        <f ca="1">IFERROR(__xludf.DUMMYFUNCTION("IFERROR(ARRAYFORMULA(REGEXEXTRACT(A1483,""^(?:https?:\/\/)?(?:[^@\n]+@)?(?:www\.)?([^:\/\n]+)"")),"""")"),"naftaligroup.com")</f>
        <v>naftaligroup.com</v>
      </c>
    </row>
    <row r="1484" spans="1:2" ht="12.5">
      <c r="A1484" s="3" t="s">
        <v>1739</v>
      </c>
      <c r="B1484" s="4" t="str">
        <f ca="1">IFERROR(__xludf.DUMMYFUNCTION("IFERROR(ARRAYFORMULA(REGEXEXTRACT(A1484,""^(?:https?:\/\/)?(?:[^@\n]+@)?(?:www\.)?([^:\/\n]+)"")),"""")"),"integrafl.com")</f>
        <v>integrafl.com</v>
      </c>
    </row>
    <row r="1485" spans="1:2" ht="12.5">
      <c r="A1485" s="3" t="s">
        <v>1740</v>
      </c>
      <c r="B1485" s="4" t="str">
        <f ca="1">IFERROR(__xludf.DUMMYFUNCTION("IFERROR(ARRAYFORMULA(REGEXEXTRACT(A1485,""^(?:https?:\/\/)?(?:[^@\n]+@)?(?:www\.)?([^:\/\n]+)"")),"""")"),"onesothebysrealty.com")</f>
        <v>onesothebysrealty.com</v>
      </c>
    </row>
    <row r="1486" spans="1:2" ht="12.5">
      <c r="A1486" s="3" t="s">
        <v>1741</v>
      </c>
      <c r="B1486" s="4" t="str">
        <f ca="1">IFERROR(__xludf.DUMMYFUNCTION("IFERROR(ARRAYFORMULA(REGEXEXTRACT(A1486,""^(?:https?:\/\/)?(?:[^@\n]+@)?(?:www\.)?([^:\/\n]+)"")),"""")"),"1508london.com")</f>
        <v>1508london.com</v>
      </c>
    </row>
    <row r="1487" spans="1:2" ht="12.5">
      <c r="A1487" s="3" t="s">
        <v>1742</v>
      </c>
      <c r="B1487" s="4" t="str">
        <f ca="1">IFERROR(__xludf.DUMMYFUNCTION("IFERROR(ARRAYFORMULA(REGEXEXTRACT(A1487,""^(?:https?:\/\/)?(?:[^@\n]+@)?(?:www\.)?([^:\/\n]+)"")),"""")"),"clfarchitects.com")</f>
        <v>clfarchitects.com</v>
      </c>
    </row>
    <row r="1488" spans="1:2" ht="12.5">
      <c r="A1488" s="3" t="s">
        <v>1743</v>
      </c>
      <c r="B1488" s="4" t="str">
        <f ca="1">IFERROR(__xludf.DUMMYFUNCTION("IFERROR(ARRAYFORMULA(REGEXEXTRACT(A1488,""^(?:https?:\/\/)?(?:[^@\n]+@)?(?:www\.)?([^:\/\n]+)"")),"""")"),"studiomunge.com")</f>
        <v>studiomunge.com</v>
      </c>
    </row>
    <row r="1489" spans="1:2" ht="12.5">
      <c r="A1489" s="3" t="s">
        <v>1744</v>
      </c>
      <c r="B1489" s="4" t="str">
        <f ca="1">IFERROR(__xludf.DUMMYFUNCTION("IFERROR(ARRAYFORMULA(REGEXEXTRACT(A1489,""^(?:https?:\/\/)?(?:[^@\n]+@)?(?:www\.)?([^:\/\n]+)"")),"""")"),"flagluxury.com")</f>
        <v>flagluxury.com</v>
      </c>
    </row>
    <row r="1490" spans="1:2" ht="12.5">
      <c r="A1490" s="3" t="s">
        <v>1745</v>
      </c>
      <c r="B1490" s="4" t="str">
        <f ca="1">IFERROR(__xludf.DUMMYFUNCTION("IFERROR(ARRAYFORMULA(REGEXEXTRACT(A1490,""^(?:https?:\/\/)?(?:[^@\n]+@)?(?:www\.)?([^:\/\n]+)"")),"""")"),"buildmat.com.au")</f>
        <v>buildmat.com.au</v>
      </c>
    </row>
    <row r="1491" spans="1:2" ht="12.5">
      <c r="A1491" s="3" t="s">
        <v>1746</v>
      </c>
      <c r="B1491" s="4" t="str">
        <f ca="1">IFERROR(__xludf.DUMMYFUNCTION("IFERROR(ARRAYFORMULA(REGEXEXTRACT(A1491,""^(?:https?:\/\/)?(?:[^@\n]+@)?(?:www\.)?([^:\/\n]+)"")),"""")"),"multiplanream.com")</f>
        <v>multiplanream.com</v>
      </c>
    </row>
    <row r="1492" spans="1:2" ht="12.5">
      <c r="A1492" s="3" t="s">
        <v>1747</v>
      </c>
      <c r="B1492" s="4" t="str">
        <f ca="1">IFERROR(__xludf.DUMMYFUNCTION("IFERROR(ARRAYFORMULA(REGEXEXTRACT(A1492,""^(?:https?:\/\/)?(?:[^@\n]+@)?(?:www\.)?([^:\/\n]+)"")),"""")"),"bh-3.com")</f>
        <v>bh-3.com</v>
      </c>
    </row>
    <row r="1493" spans="1:2" ht="12.5">
      <c r="A1493" s="3" t="s">
        <v>1748</v>
      </c>
      <c r="B1493" s="4" t="str">
        <f ca="1">IFERROR(__xludf.DUMMYFUNCTION("IFERROR(ARRAYFORMULA(REGEXEXTRACT(A1493,""^(?:https?:\/\/)?(?:[^@\n]+@)?(?:www\.)?([^:\/\n]+)"")),"""")"),"arclinea.com")</f>
        <v>arclinea.com</v>
      </c>
    </row>
    <row r="1494" spans="1:2" ht="12.5">
      <c r="A1494" s="3" t="s">
        <v>1749</v>
      </c>
      <c r="B1494" s="4" t="str">
        <f ca="1">IFERROR(__xludf.DUMMYFUNCTION("IFERROR(ARRAYFORMULA(REGEXEXTRACT(A1494,""^(?:https?:\/\/)?(?:[^@\n]+@)?(?:www\.)?([^:\/\n]+)"")),"""")"),"kipsbaydecoratorshowhouse.org")</f>
        <v>kipsbaydecoratorshowhouse.org</v>
      </c>
    </row>
    <row r="1495" spans="1:2" ht="12.5">
      <c r="A1495" s="3" t="s">
        <v>1750</v>
      </c>
      <c r="B1495" s="4" t="str">
        <f ca="1">IFERROR(__xludf.DUMMYFUNCTION("IFERROR(ARRAYFORMULA(REGEXEXTRACT(A1495,""^(?:https?:\/\/)?(?:[^@\n]+@)?(?:www\.)?([^:\/\n]+)"")),"""")"),"paintit.ai")</f>
        <v>paintit.ai</v>
      </c>
    </row>
    <row r="1496" spans="1:2" ht="12.5">
      <c r="A1496" s="3" t="s">
        <v>1751</v>
      </c>
      <c r="B1496" s="4" t="str">
        <f ca="1">IFERROR(__xludf.DUMMYFUNCTION("IFERROR(ARRAYFORMULA(REGEXEXTRACT(A1496,""^(?:https?:\/\/)?(?:[^@\n]+@)?(?:www\.)?([^:\/\n]+)"")),"""")"),"serhant.com")</f>
        <v>serhant.com</v>
      </c>
    </row>
    <row r="1497" spans="1:2" ht="12.5">
      <c r="A1497" s="3" t="s">
        <v>1752</v>
      </c>
      <c r="B1497" s="4" t="str">
        <f ca="1">IFERROR(__xludf.DUMMYFUNCTION("IFERROR(ARRAYFORMULA(REGEXEXTRACT(A1497,""^(?:https?:\/\/)?(?:[^@\n]+@)?(?:www\.)?([^:\/\n]+)"")),"""")"),"relatedgroup.com")</f>
        <v>relatedgroup.com</v>
      </c>
    </row>
    <row r="1498" spans="1:2" ht="12.5">
      <c r="A1498" s="3" t="s">
        <v>1753</v>
      </c>
      <c r="B1498" s="4" t="str">
        <f ca="1">IFERROR(__xludf.DUMMYFUNCTION("IFERROR(ARRAYFORMULA(REGEXEXTRACT(A1498,""^(?:https?:\/\/)?(?:[^@\n]+@)?(?:www\.)?([^:\/\n]+)"")),"""")"),"greenleafair.com")</f>
        <v>greenleafair.com</v>
      </c>
    </row>
    <row r="1499" spans="1:2" ht="12.5">
      <c r="A1499" s="3" t="s">
        <v>1754</v>
      </c>
      <c r="B1499" s="4" t="str">
        <f ca="1">IFERROR(__xludf.DUMMYFUNCTION("IFERROR(ARRAYFORMULA(REGEXEXTRACT(A1499,""^(?:https?:\/\/)?(?:[^@\n]+@)?(?:www\.)?([^:\/\n]+)"")),"""")"),"matouk.com")</f>
        <v>matouk.com</v>
      </c>
    </row>
    <row r="1500" spans="1:2" ht="12.5">
      <c r="A1500" s="3" t="s">
        <v>1755</v>
      </c>
      <c r="B1500" s="4" t="str">
        <f ca="1">IFERROR(__xludf.DUMMYFUNCTION("IFERROR(ARRAYFORMULA(REGEXEXTRACT(A1500,""^(?:https?:\/\/)?(?:[^@\n]+@)?(?:www\.)?([^:\/\n]+)"")),"""")"),"ezstorit.com")</f>
        <v>ezstorit.com</v>
      </c>
    </row>
    <row r="1501" spans="1:2" ht="12.5">
      <c r="A1501" s="3" t="s">
        <v>1756</v>
      </c>
      <c r="B1501" s="4" t="str">
        <f ca="1">IFERROR(__xludf.DUMMYFUNCTION("IFERROR(ARRAYFORMULA(REGEXEXTRACT(A1501,""^(?:https?:\/\/)?(?:[^@\n]+@)?(?:www\.)?([^:\/\n]+)"")),"""")"),"chiswickplumbing.com.au")</f>
        <v>chiswickplumbing.com.au</v>
      </c>
    </row>
    <row r="1502" spans="1:2" ht="12.5">
      <c r="A1502" s="3" t="s">
        <v>1757</v>
      </c>
      <c r="B1502" s="4" t="str">
        <f ca="1">IFERROR(__xludf.DUMMYFUNCTION("IFERROR(ARRAYFORMULA(REGEXEXTRACT(A1502,""^(?:https?:\/\/)?(?:[^@\n]+@)?(?:www\.)?([^:\/\n]+)"")),"""")"),"securespace.com")</f>
        <v>securespace.com</v>
      </c>
    </row>
    <row r="1503" spans="1:2" ht="12.5">
      <c r="A1503" s="3" t="s">
        <v>1758</v>
      </c>
      <c r="B1503" s="4" t="str">
        <f ca="1">IFERROR(__xludf.DUMMYFUNCTION("IFERROR(ARRAYFORMULA(REGEXEXTRACT(A1503,""^(?:https?:\/\/)?(?:[^@\n]+@)?(?:www\.)?([^:\/\n]+)"")),"""")"),"companionmaids.com")</f>
        <v>companionmaids.com</v>
      </c>
    </row>
    <row r="1504" spans="1:2" ht="12.5">
      <c r="A1504" s="3" t="s">
        <v>1759</v>
      </c>
      <c r="B1504" s="4" t="str">
        <f ca="1">IFERROR(__xludf.DUMMYFUNCTION("IFERROR(ARRAYFORMULA(REGEXEXTRACT(A1504,""^(?:https?:\/\/)?(?:[^@\n]+@)?(?:www\.)?([^:\/\n]+)"")),"""")"),"brisbaneplumbinganddrainage.com.au")</f>
        <v>brisbaneplumbinganddrainage.com.au</v>
      </c>
    </row>
    <row r="1505" spans="1:2" ht="12.5">
      <c r="A1505" s="3" t="s">
        <v>1760</v>
      </c>
      <c r="B1505" s="4" t="str">
        <f ca="1">IFERROR(__xludf.DUMMYFUNCTION("IFERROR(ARRAYFORMULA(REGEXEXTRACT(A1505,""^(?:https?:\/\/)?(?:[^@\n]+@)?(?:www\.)?([^:\/\n]+)"")),"""")"),"dltinteriordesigns.com")</f>
        <v>dltinteriordesigns.com</v>
      </c>
    </row>
    <row r="1506" spans="1:2" ht="12.5">
      <c r="A1506" s="3" t="s">
        <v>1761</v>
      </c>
      <c r="B1506" s="4" t="str">
        <f ca="1">IFERROR(__xludf.DUMMYFUNCTION("IFERROR(ARRAYFORMULA(REGEXEXTRACT(A1506,""^(?:https?:\/\/)?(?:[^@\n]+@)?(?:www\.)?([^:\/\n]+)"")),"""")"),"creditninja.com")</f>
        <v>creditninja.com</v>
      </c>
    </row>
    <row r="1507" spans="1:2" ht="12.5">
      <c r="A1507" s="3" t="s">
        <v>1762</v>
      </c>
      <c r="B1507" s="4" t="str">
        <f ca="1">IFERROR(__xludf.DUMMYFUNCTION("IFERROR(ARRAYFORMULA(REGEXEXTRACT(A1507,""^(?:https?:\/\/)?(?:[^@\n]+@)?(?:www\.)?([^:\/\n]+)"")),"""")"),"doradobeach.com")</f>
        <v>doradobeach.com</v>
      </c>
    </row>
    <row r="1508" spans="1:2" ht="12.5">
      <c r="A1508" s="3" t="s">
        <v>1763</v>
      </c>
      <c r="B1508" s="4" t="str">
        <f ca="1">IFERROR(__xludf.DUMMYFUNCTION("IFERROR(ARRAYFORMULA(REGEXEXTRACT(A1508,""^(?:https?:\/\/)?(?:[^@\n]+@)?(?:www\.)?([^:\/\n]+)"")),"""")"),"alliance-investments.com")</f>
        <v>alliance-investments.com</v>
      </c>
    </row>
    <row r="1509" spans="1:2" ht="12.5">
      <c r="A1509" s="3" t="s">
        <v>1764</v>
      </c>
      <c r="B1509" s="4" t="str">
        <f ca="1">IFERROR(__xludf.DUMMYFUNCTION("IFERROR(ARRAYFORMULA(REGEXEXTRACT(A1509,""^(?:https?:\/\/)?(?:[^@\n]+@)?(?:www\.)?([^:\/\n]+)"")),"""")"),"ranchroofing.com")</f>
        <v>ranchroofing.com</v>
      </c>
    </row>
    <row r="1510" spans="1:2" ht="12.5">
      <c r="A1510" s="3" t="s">
        <v>1765</v>
      </c>
      <c r="B1510" s="4" t="str">
        <f ca="1">IFERROR(__xludf.DUMMYFUNCTION("IFERROR(ARRAYFORMULA(REGEXEXTRACT(A1510,""^(?:https?:\/\/)?(?:[^@\n]+@)?(?:www\.)?([^:\/\n]+)"")),"""")"),"mycoastalwindows.com")</f>
        <v>mycoastalwindows.com</v>
      </c>
    </row>
    <row r="1511" spans="1:2" ht="12.5">
      <c r="A1511" s="3" t="s">
        <v>1766</v>
      </c>
      <c r="B1511" s="4" t="str">
        <f ca="1">IFERROR(__xludf.DUMMYFUNCTION("IFERROR(ARRAYFORMULA(REGEXEXTRACT(A1511,""^(?:https?:\/\/)?(?:[^@\n]+@)?(?:www\.)?([^:\/\n]+)"")),"""")"),"v1tours.com")</f>
        <v>v1tours.com</v>
      </c>
    </row>
    <row r="1512" spans="1:2" ht="12.5">
      <c r="A1512" s="3" t="s">
        <v>1767</v>
      </c>
      <c r="B1512" s="4" t="str">
        <f ca="1">IFERROR(__xludf.DUMMYFUNCTION("IFERROR(ARRAYFORMULA(REGEXEXTRACT(A1512,""^(?:https?:\/\/)?(?:[^@\n]+@)?(?:www\.)?([^:\/\n]+)"")),"""")"),"newearthres.com")</f>
        <v>newearthres.com</v>
      </c>
    </row>
    <row r="1513" spans="1:2" ht="12.5">
      <c r="A1513" s="3" t="s">
        <v>1768</v>
      </c>
      <c r="B1513" s="4" t="str">
        <f ca="1">IFERROR(__xludf.DUMMYFUNCTION("IFERROR(ARRAYFORMULA(REGEXEXTRACT(A1513,""^(?:https?:\/\/)?(?:[^@\n]+@)?(?:www\.)?([^:\/\n]+)"")),"""")"),"surfcorestoration.com")</f>
        <v>surfcorestoration.com</v>
      </c>
    </row>
    <row r="1514" spans="1:2" ht="12.5">
      <c r="A1514" s="3" t="s">
        <v>1769</v>
      </c>
      <c r="B1514" s="4" t="str">
        <f ca="1">IFERROR(__xludf.DUMMYFUNCTION("IFERROR(ARRAYFORMULA(REGEXEXTRACT(A1514,""^(?:https?:\/\/)?(?:[^@\n]+@)?(?:www\.)?([^:\/\n]+)"")),"""")"),"fidi.org")</f>
        <v>fidi.org</v>
      </c>
    </row>
    <row r="1515" spans="1:2" ht="12.5">
      <c r="A1515" s="3" t="s">
        <v>1770</v>
      </c>
      <c r="B1515" s="4" t="str">
        <f ca="1">IFERROR(__xludf.DUMMYFUNCTION("IFERROR(ARRAYFORMULA(REGEXEXTRACT(A1515,""^(?:https?:\/\/)?(?:[^@\n]+@)?(?:www\.)?([^:\/\n]+)"")),"""")"),"berganco.com")</f>
        <v>berganco.com</v>
      </c>
    </row>
    <row r="1516" spans="1:2" ht="12.5">
      <c r="A1516" s="3" t="s">
        <v>1771</v>
      </c>
      <c r="B1516" s="4" t="str">
        <f ca="1">IFERROR(__xludf.DUMMYFUNCTION("IFERROR(ARRAYFORMULA(REGEXEXTRACT(A1516,""^(?:https?:\/\/)?(?:[^@\n]+@)?(?:www\.)?([^:\/\n]+)"")),"""")"),"biggerequity.com")</f>
        <v>biggerequity.com</v>
      </c>
    </row>
    <row r="1517" spans="1:2" ht="12.5">
      <c r="A1517" s="3" t="s">
        <v>1772</v>
      </c>
      <c r="B1517" s="4" t="str">
        <f ca="1">IFERROR(__xludf.DUMMYFUNCTION("IFERROR(ARRAYFORMULA(REGEXEXTRACT(A1517,""^(?:https?:\/\/)?(?:[^@\n]+@)?(?:www\.)?([^:\/\n]+)"")),"""")"),"cincinnatihistorichomes.com")</f>
        <v>cincinnatihistorichomes.com</v>
      </c>
    </row>
    <row r="1518" spans="1:2" ht="12.5">
      <c r="A1518" s="5" t="s">
        <v>1773</v>
      </c>
      <c r="B1518" s="7" t="str">
        <f ca="1">IFERROR(__xludf.DUMMYFUNCTION("IFERROR(ARRAYFORMULA(REGEXEXTRACT(A1518,""^(?:https?:\/\/)?(?:[^@\n]+@)?(?:www\.)?([^:\/\n]+)"")),"""")"),"oceanpoint.claims")</f>
        <v>oceanpoint.claims</v>
      </c>
    </row>
    <row r="1519" spans="1:2" ht="12.5">
      <c r="A1519" s="3" t="s">
        <v>1774</v>
      </c>
      <c r="B1519" s="4" t="str">
        <f ca="1">IFERROR(__xludf.DUMMYFUNCTION("IFERROR(ARRAYFORMULA(REGEXEXTRACT(A1519,""^(?:https?:\/\/)?(?:[^@\n]+@)?(?:www\.)?([^:\/\n]+)"")),"""")"),"sanibel-captiva.org")</f>
        <v>sanibel-captiva.org</v>
      </c>
    </row>
    <row r="1520" spans="1:2" ht="12.5">
      <c r="A1520" s="3" t="s">
        <v>1775</v>
      </c>
      <c r="B1520" s="4" t="str">
        <f ca="1">IFERROR(__xludf.DUMMYFUNCTION("IFERROR(ARRAYFORMULA(REGEXEXTRACT(A1520,""^(?:https?:\/\/)?(?:[^@\n]+@)?(?:www\.)?([^:\/\n]+)"")),"""")"),"paystubcreator.net")</f>
        <v>paystubcreator.net</v>
      </c>
    </row>
    <row r="1521" spans="1:2" ht="12.5">
      <c r="A1521" s="3" t="s">
        <v>1776</v>
      </c>
      <c r="B1521" s="4" t="str">
        <f ca="1">IFERROR(__xludf.DUMMYFUNCTION("IFERROR(ARRAYFORMULA(REGEXEXTRACT(A1521,""^(?:https?:\/\/)?(?:[^@\n]+@)?(?:www\.)?([^:\/\n]+)"")),"""")"),"samedayrubbishremoval.com.au")</f>
        <v>samedayrubbishremoval.com.au</v>
      </c>
    </row>
    <row r="1522" spans="1:2" ht="12.5">
      <c r="A1522" s="3" t="s">
        <v>1777</v>
      </c>
      <c r="B1522" s="4" t="str">
        <f ca="1">IFERROR(__xludf.DUMMYFUNCTION("IFERROR(ARRAYFORMULA(REGEXEXTRACT(A1522,""^(?:https?:\/\/)?(?:[^@\n]+@)?(?:www\.)?([^:\/\n]+)"")),"""")"),"alltechappliance.com")</f>
        <v>alltechappliance.com</v>
      </c>
    </row>
    <row r="1523" spans="1:2" ht="12.5">
      <c r="A1523" s="3" t="s">
        <v>1778</v>
      </c>
      <c r="B1523" s="4" t="str">
        <f ca="1">IFERROR(__xludf.DUMMYFUNCTION("IFERROR(ARRAYFORMULA(REGEXEXTRACT(A1523,""^(?:https?:\/\/)?(?:[^@\n]+@)?(?:www\.)?([^:\/\n]+)"")),"""")"),"secondopinionplumbingaz.com")</f>
        <v>secondopinionplumbingaz.com</v>
      </c>
    </row>
    <row r="1524" spans="1:2" ht="12.5">
      <c r="A1524" s="3" t="s">
        <v>1779</v>
      </c>
      <c r="B1524" s="4" t="str">
        <f ca="1">IFERROR(__xludf.DUMMYFUNCTION("IFERROR(ARRAYFORMULA(REGEXEXTRACT(A1524,""^(?:https?:\/\/)?(?:[^@\n]+@)?(?:www\.)?([^:\/\n]+)"")),"""")"),"ageinplace.com")</f>
        <v>ageinplace.com</v>
      </c>
    </row>
    <row r="1525" spans="1:2" ht="12.5">
      <c r="A1525" s="3" t="s">
        <v>1780</v>
      </c>
      <c r="B1525" s="4" t="str">
        <f ca="1">IFERROR(__xludf.DUMMYFUNCTION("IFERROR(ARRAYFORMULA(REGEXEXTRACT(A1525,""^(?:https?:\/\/)?(?:[^@\n]+@)?(?:www\.)?([^:\/\n]+)"")),"""")"),"theseniorlist.com")</f>
        <v>theseniorlist.com</v>
      </c>
    </row>
    <row r="1526" spans="1:2" ht="12.5">
      <c r="A1526" s="3" t="s">
        <v>1781</v>
      </c>
      <c r="B1526" s="4" t="str">
        <f ca="1">IFERROR(__xludf.DUMMYFUNCTION("IFERROR(ARRAYFORMULA(REGEXEXTRACT(A1526,""^(?:https?:\/\/)?(?:[^@\n]+@)?(?:www\.)?([^:\/\n]+)"")),"""")"),"fairpricehousesale.com")</f>
        <v>fairpricehousesale.com</v>
      </c>
    </row>
    <row r="1527" spans="1:2" ht="12.5">
      <c r="A1527" s="3" t="s">
        <v>1782</v>
      </c>
      <c r="B1527" s="4" t="str">
        <f ca="1">IFERROR(__xludf.DUMMYFUNCTION("IFERROR(ARRAYFORMULA(REGEXEXTRACT(A1527,""^(?:https?:\/\/)?(?:[^@\n]+@)?(?:www\.)?([^:\/\n]+)"")),"""")"),"benjaminfranklinplumbing.com")</f>
        <v>benjaminfranklinplumbing.com</v>
      </c>
    </row>
    <row r="1528" spans="1:2" ht="12.5">
      <c r="A1528" s="3" t="s">
        <v>1783</v>
      </c>
      <c r="B1528" s="4" t="str">
        <f ca="1">IFERROR(__xludf.DUMMYFUNCTION("IFERROR(ARRAYFORMULA(REGEXEXTRACT(A1528,""^(?:https?:\/\/)?(?:[^@\n]+@)?(?:www\.)?([^:\/\n]+)"")),"""")"),"officialpestprevention.com")</f>
        <v>officialpestprevention.com</v>
      </c>
    </row>
    <row r="1529" spans="1:2" ht="12.5">
      <c r="A1529" s="3" t="s">
        <v>1784</v>
      </c>
      <c r="B1529" s="4" t="str">
        <f ca="1">IFERROR(__xludf.DUMMYFUNCTION("IFERROR(ARRAYFORMULA(REGEXEXTRACT(A1529,""^(?:https?:\/\/)?(?:[^@\n]+@)?(?:www\.)?([^:\/\n]+)"")),"""")"),"samedayrubbishremovalmelbourne.com.au")</f>
        <v>samedayrubbishremovalmelbourne.com.au</v>
      </c>
    </row>
    <row r="1530" spans="1:2" ht="12.5">
      <c r="A1530" s="3" t="s">
        <v>1785</v>
      </c>
      <c r="B1530" s="4" t="str">
        <f ca="1">IFERROR(__xludf.DUMMYFUNCTION("IFERROR(ARRAYFORMULA(REGEXEXTRACT(A1530,""^(?:https?:\/\/)?(?:[^@\n]+@)?(?:www\.)?([^:\/\n]+)"")),"""")"),"moderndigsfurniture.com")</f>
        <v>moderndigsfurniture.com</v>
      </c>
    </row>
    <row r="1531" spans="1:2" ht="12.5">
      <c r="A1531" s="3" t="s">
        <v>1786</v>
      </c>
      <c r="B1531" s="4" t="str">
        <f ca="1">IFERROR(__xludf.DUMMYFUNCTION("IFERROR(ARRAYFORMULA(REGEXEXTRACT(A1531,""^(?:https?:\/\/)?(?:[^@\n]+@)?(?:www\.)?([^:\/\n]+)"")),"""")"),"blueravensolar.com")</f>
        <v>blueravensolar.com</v>
      </c>
    </row>
    <row r="1532" spans="1:2" ht="12.5">
      <c r="A1532" s="3" t="s">
        <v>1787</v>
      </c>
      <c r="B1532" s="4" t="str">
        <f ca="1">IFERROR(__xludf.DUMMYFUNCTION("IFERROR(ARRAYFORMULA(REGEXEXTRACT(A1532,""^(?:https?:\/\/)?(?:[^@\n]+@)?(?:www\.)?([^:\/\n]+)"")),"""")"),"bayshorehomesales.com")</f>
        <v>bayshorehomesales.com</v>
      </c>
    </row>
    <row r="1533" spans="1:2" ht="12.5">
      <c r="A1533" s="3" t="s">
        <v>1788</v>
      </c>
      <c r="B1533" s="4" t="str">
        <f ca="1">IFERROR(__xludf.DUMMYFUNCTION("IFERROR(ARRAYFORMULA(REGEXEXTRACT(A1533,""^(?:https?:\/\/)?(?:[^@\n]+@)?(?:www\.)?([^:\/\n]+)"")),"""")"),"levelyourhouse.com")</f>
        <v>levelyourhouse.com</v>
      </c>
    </row>
    <row r="1534" spans="1:2" ht="12.5">
      <c r="A1534" s="3" t="s">
        <v>1789</v>
      </c>
      <c r="B1534" s="4" t="str">
        <f ca="1">IFERROR(__xludf.DUMMYFUNCTION("IFERROR(ARRAYFORMULA(REGEXEXTRACT(A1534,""^(?:https?:\/\/)?(?:[^@\n]+@)?(?:www\.)?([^:\/\n]+)"")),"""")"),"buellelectric.com")</f>
        <v>buellelectric.com</v>
      </c>
    </row>
    <row r="1535" spans="1:2" ht="12.5">
      <c r="A1535" s="3" t="s">
        <v>1790</v>
      </c>
      <c r="B1535" s="4" t="str">
        <f ca="1">IFERROR(__xludf.DUMMYFUNCTION("IFERROR(ARRAYFORMULA(REGEXEXTRACT(A1535,""^(?:https?:\/\/)?(?:[^@\n]+@)?(?:www\.)?([^:\/\n]+)"")),"""")"),"paystubs.net")</f>
        <v>paystubs.net</v>
      </c>
    </row>
    <row r="1536" spans="1:2" ht="12.5">
      <c r="A1536" s="3" t="s">
        <v>1791</v>
      </c>
      <c r="B1536" s="4" t="str">
        <f ca="1">IFERROR(__xludf.DUMMYFUNCTION("IFERROR(ARRAYFORMULA(REGEXEXTRACT(A1536,""^(?:https?:\/\/)?(?:[^@\n]+@)?(?:www\.)?([^:\/\n]+)"")),"""")"),"roadhaugs.com")</f>
        <v>roadhaugs.com</v>
      </c>
    </row>
    <row r="1537" spans="1:2" ht="12.5">
      <c r="A1537" s="3" t="s">
        <v>1792</v>
      </c>
      <c r="B1537" s="4" t="str">
        <f ca="1">IFERROR(__xludf.DUMMYFUNCTION("IFERROR(ARRAYFORMULA(REGEXEXTRACT(A1537,""^(?:https?:\/\/)?(?:[^@\n]+@)?(?:www\.)?([^:\/\n]+)"")),"""")"),"jmsgroundservices.com")</f>
        <v>jmsgroundservices.com</v>
      </c>
    </row>
    <row r="1538" spans="1:2" ht="12.5">
      <c r="A1538" s="3" t="s">
        <v>1793</v>
      </c>
      <c r="B1538" s="4" t="str">
        <f ca="1">IFERROR(__xludf.DUMMYFUNCTION("IFERROR(ARRAYFORMULA(REGEXEXTRACT(A1538,""^(?:https?:\/\/)?(?:[^@\n]+@)?(?:www\.)?([^:\/\n]+)"")),"""")"),"innercitymoving.ca")</f>
        <v>innercitymoving.ca</v>
      </c>
    </row>
    <row r="1539" spans="1:2" ht="12.5">
      <c r="A1539" s="3" t="s">
        <v>1794</v>
      </c>
      <c r="B1539" s="4" t="str">
        <f ca="1">IFERROR(__xludf.DUMMYFUNCTION("IFERROR(ARRAYFORMULA(REGEXEXTRACT(A1539,""^(?:https?:\/\/)?(?:[^@\n]+@)?(?:www\.)?([^:\/\n]+)"")),"""")"),"potempateam.com")</f>
        <v>potempateam.com</v>
      </c>
    </row>
    <row r="1540" spans="1:2" ht="12.5">
      <c r="A1540" s="3" t="s">
        <v>1795</v>
      </c>
      <c r="B1540" s="4" t="str">
        <f ca="1">IFERROR(__xludf.DUMMYFUNCTION("IFERROR(ARRAYFORMULA(REGEXEXTRACT(A1540,""^(?:https?:\/\/)?(?:[^@\n]+@)?(?:www\.)?([^:\/\n]+)"")),"""")"),"comfortecphc.com")</f>
        <v>comfortecphc.com</v>
      </c>
    </row>
    <row r="1541" spans="1:2" ht="12.5">
      <c r="A1541" s="3" t="s">
        <v>1796</v>
      </c>
      <c r="B1541" s="4" t="str">
        <f ca="1">IFERROR(__xludf.DUMMYFUNCTION("IFERROR(ARRAYFORMULA(REGEXEXTRACT(A1541,""^(?:https?:\/\/)?(?:[^@\n]+@)?(?:www\.)?([^:\/\n]+)"")),"""")"),"royalnettoyage.com")</f>
        <v>royalnettoyage.com</v>
      </c>
    </row>
    <row r="1542" spans="1:2" ht="12.5">
      <c r="A1542" s="3" t="s">
        <v>1797</v>
      </c>
      <c r="B1542" s="4" t="str">
        <f ca="1">IFERROR(__xludf.DUMMYFUNCTION("IFERROR(ARRAYFORMULA(REGEXEXTRACT(A1542,""^(?:https?:\/\/)?(?:[^@\n]+@)?(?:www\.)?([^:\/\n]+)"")),"""")"),"stephaniekratzinteriors.co")</f>
        <v>stephaniekratzinteriors.co</v>
      </c>
    </row>
    <row r="1543" spans="1:2" ht="12.5">
      <c r="A1543" s="3" t="s">
        <v>1798</v>
      </c>
      <c r="B1543" s="4" t="str">
        <f ca="1">IFERROR(__xludf.DUMMYFUNCTION("IFERROR(ARRAYFORMULA(REGEXEXTRACT(A1543,""^(?:https?:\/\/)?(?:[^@\n]+@)?(?:www\.)?([^:\/\n]+)"")),"""")"),"verraterra.com")</f>
        <v>verraterra.com</v>
      </c>
    </row>
    <row r="1544" spans="1:2" ht="12.5">
      <c r="A1544" s="3" t="s">
        <v>1799</v>
      </c>
      <c r="B1544" s="4" t="str">
        <f ca="1">IFERROR(__xludf.DUMMYFUNCTION("IFERROR(ARRAYFORMULA(REGEXEXTRACT(A1544,""^(?:https?:\/\/)?(?:[^@\n]+@)?(?:www\.)?([^:\/\n]+)"")),"""")"),"dengarden.com")</f>
        <v>dengarden.com</v>
      </c>
    </row>
    <row r="1545" spans="1:2" ht="12.5">
      <c r="A1545" s="3" t="s">
        <v>1800</v>
      </c>
      <c r="B1545" s="4" t="str">
        <f ca="1">IFERROR(__xludf.DUMMYFUNCTION("IFERROR(ARRAYFORMULA(REGEXEXTRACT(A1545,""^(?:https?:\/\/)?(?:[^@\n]+@)?(?:www\.)?([^:\/\n]+)"")),"""")"),"phyxter.ai")</f>
        <v>phyxter.ai</v>
      </c>
    </row>
    <row r="1546" spans="1:2" ht="12.5">
      <c r="A1546" s="3" t="s">
        <v>1801</v>
      </c>
      <c r="B1546" s="4" t="str">
        <f ca="1">IFERROR(__xludf.DUMMYFUNCTION("IFERROR(ARRAYFORMULA(REGEXEXTRACT(A1546,""^(?:https?:\/\/)?(?:[^@\n]+@)?(?:www\.)?([^:\/\n]+)"")),"""")"),"multiglassoftexas.com")</f>
        <v>multiglassoftexas.com</v>
      </c>
    </row>
    <row r="1547" spans="1:2" ht="12.5">
      <c r="A1547" s="3" t="s">
        <v>1802</v>
      </c>
      <c r="B1547" s="4" t="str">
        <f ca="1">IFERROR(__xludf.DUMMYFUNCTION("IFERROR(ARRAYFORMULA(REGEXEXTRACT(A1547,""^(?:https?:\/\/)?(?:[^@\n]+@)?(?:www\.)?([^:\/\n]+)"")),"""")"),"zoocasa.com")</f>
        <v>zoocasa.com</v>
      </c>
    </row>
    <row r="1548" spans="1:2" ht="12.5">
      <c r="A1548" s="3" t="s">
        <v>1803</v>
      </c>
      <c r="B1548" s="4" t="str">
        <f ca="1">IFERROR(__xludf.DUMMYFUNCTION("IFERROR(ARRAYFORMULA(REGEXEXTRACT(A1548,""^(?:https?:\/\/)?(?:[^@\n]+@)?(?:www\.)?([^:\/\n]+)"")),"""")"),"northeastfactorydirect.com")</f>
        <v>northeastfactorydirect.com</v>
      </c>
    </row>
    <row r="1549" spans="1:2" ht="12.5">
      <c r="A1549" s="3" t="s">
        <v>1804</v>
      </c>
      <c r="B1549" s="4" t="str">
        <f ca="1">IFERROR(__xludf.DUMMYFUNCTION("IFERROR(ARRAYFORMULA(REGEXEXTRACT(A1549,""^(?:https?:\/\/)?(?:[^@\n]+@)?(?:www\.)?([^:\/\n]+)"")),"""")"),"display-cabinets-direct.co.uk")</f>
        <v>display-cabinets-direct.co.uk</v>
      </c>
    </row>
    <row r="1550" spans="1:2" ht="12.5">
      <c r="A1550" s="3" t="s">
        <v>1805</v>
      </c>
      <c r="B1550" s="4" t="str">
        <f ca="1">IFERROR(__xludf.DUMMYFUNCTION("IFERROR(ARRAYFORMULA(REGEXEXTRACT(A1550,""^(?:https?:\/\/)?(?:[^@\n]+@)?(?:www\.)?([^:\/\n]+)"")),"""")"),"austinroofingandconstruction.com")</f>
        <v>austinroofingandconstruction.com</v>
      </c>
    </row>
    <row r="1551" spans="1:2" ht="12.5">
      <c r="A1551" s="3" t="s">
        <v>1806</v>
      </c>
      <c r="B1551" s="4" t="str">
        <f ca="1">IFERROR(__xludf.DUMMYFUNCTION("IFERROR(ARRAYFORMULA(REGEXEXTRACT(A1551,""^(?:https?:\/\/)?(?:[^@\n]+@)?(?:www\.)?([^:\/\n]+)"")),"""")"),"palmerrealty.net")</f>
        <v>palmerrealty.net</v>
      </c>
    </row>
    <row r="1552" spans="1:2" ht="12.5">
      <c r="A1552" s="3" t="s">
        <v>1807</v>
      </c>
      <c r="B1552" s="4" t="str">
        <f ca="1">IFERROR(__xludf.DUMMYFUNCTION("IFERROR(ARRAYFORMULA(REGEXEXTRACT(A1552,""^(?:https?:\/\/)?(?:[^@\n]+@)?(?:www\.)?([^:\/\n]+)"")),"""")"),"procleanairductcleaning.com")</f>
        <v>procleanairductcleaning.com</v>
      </c>
    </row>
    <row r="1553" spans="1:2" ht="12.5">
      <c r="A1553" s="3" t="s">
        <v>1808</v>
      </c>
      <c r="B1553" s="4" t="str">
        <f ca="1">IFERROR(__xludf.DUMMYFUNCTION("IFERROR(ARRAYFORMULA(REGEXEXTRACT(A1553,""^(?:https?:\/\/)?(?:[^@\n]+@)?(?:www\.)?([^:\/\n]+)"")),"""")"),"sandiegopaintingcompany.com")</f>
        <v>sandiegopaintingcompany.com</v>
      </c>
    </row>
    <row r="1554" spans="1:2" ht="12.5">
      <c r="A1554" s="3" t="s">
        <v>1809</v>
      </c>
      <c r="B1554" s="4" t="str">
        <f ca="1">IFERROR(__xludf.DUMMYFUNCTION("IFERROR(ARRAYFORMULA(REGEXEXTRACT(A1554,""^(?:https?:\/\/)?(?:[^@\n]+@)?(?:www\.)?([^:\/\n]+)"")),"""")"),"apexwindows.info")</f>
        <v>apexwindows.info</v>
      </c>
    </row>
    <row r="1555" spans="1:2" ht="12.5">
      <c r="A1555" s="3" t="s">
        <v>1810</v>
      </c>
      <c r="B1555" s="4" t="str">
        <f ca="1">IFERROR(__xludf.DUMMYFUNCTION("IFERROR(ARRAYFORMULA(REGEXEXTRACT(A1555,""^(?:https?:\/\/)?(?:[^@\n]+@)?(?:www\.)?([^:\/\n]+)"")),"""")"),"pittsburghcashhomebuyers.com")</f>
        <v>pittsburghcashhomebuyers.com</v>
      </c>
    </row>
    <row r="1556" spans="1:2" ht="12.5">
      <c r="A1556" s="3" t="s">
        <v>1811</v>
      </c>
      <c r="B1556" s="4" t="str">
        <f ca="1">IFERROR(__xludf.DUMMYFUNCTION("IFERROR(ARRAYFORMULA(REGEXEXTRACT(A1556,""^(?:https?:\/\/)?(?:[^@\n]+@)?(?:www\.)?([^:\/\n]+)"")),"""")"),"cityhomecomfort.ca")</f>
        <v>cityhomecomfort.ca</v>
      </c>
    </row>
    <row r="1557" spans="1:2" ht="12.5">
      <c r="A1557" s="3" t="s">
        <v>1812</v>
      </c>
      <c r="B1557" s="4" t="str">
        <f ca="1">IFERROR(__xludf.DUMMYFUNCTION("IFERROR(ARRAYFORMULA(REGEXEXTRACT(A1557,""^(?:https?:\/\/)?(?:[^@\n]+@)?(?:www\.)?([^:\/\n]+)"")),"""")"),"premiercabinetpainting.com")</f>
        <v>premiercabinetpainting.com</v>
      </c>
    </row>
    <row r="1558" spans="1:2" ht="12.5">
      <c r="A1558" s="3" t="s">
        <v>1813</v>
      </c>
      <c r="B1558" s="4" t="str">
        <f ca="1">IFERROR(__xludf.DUMMYFUNCTION("IFERROR(ARRAYFORMULA(REGEXEXTRACT(A1558,""^(?:https?:\/\/)?(?:[^@\n]+@)?(?:www\.)?([^:\/\n]+)"")),"""")"),"riverpoolsandspas.com")</f>
        <v>riverpoolsandspas.com</v>
      </c>
    </row>
    <row r="1559" spans="1:2" ht="12.5">
      <c r="A1559" s="3" t="s">
        <v>1814</v>
      </c>
      <c r="B1559" s="4" t="str">
        <f ca="1">IFERROR(__xludf.DUMMYFUNCTION("IFERROR(ARRAYFORMULA(REGEXEXTRACT(A1559,""^(?:https?:\/\/)?(?:[^@\n]+@)?(?:www\.)?([^:\/\n]+)"")),"""")"),"familyhomeplans.com")</f>
        <v>familyhomeplans.com</v>
      </c>
    </row>
    <row r="1560" spans="1:2" ht="12.5">
      <c r="A1560" s="3" t="s">
        <v>1815</v>
      </c>
      <c r="B1560" s="4" t="str">
        <f ca="1">IFERROR(__xludf.DUMMYFUNCTION("IFERROR(ARRAYFORMULA(REGEXEXTRACT(A1560,""^(?:https?:\/\/)?(?:[^@\n]+@)?(?:www\.)?([^:\/\n]+)"")),"""")"),"theconcretemakeover.com")</f>
        <v>theconcretemakeover.com</v>
      </c>
    </row>
    <row r="1561" spans="1:2" ht="12.5">
      <c r="A1561" s="3" t="s">
        <v>1816</v>
      </c>
      <c r="B1561" s="4" t="str">
        <f ca="1">IFERROR(__xludf.DUMMYFUNCTION("IFERROR(ARRAYFORMULA(REGEXEXTRACT(A1561,""^(?:https?:\/\/)?(?:[^@\n]+@)?(?:www\.)?([^:\/\n]+)"")),"""")"),"ragsdaleroofing.com")</f>
        <v>ragsdaleroofing.com</v>
      </c>
    </row>
    <row r="1562" spans="1:2" ht="12.5">
      <c r="A1562" s="3" t="s">
        <v>1817</v>
      </c>
      <c r="B1562" s="4" t="str">
        <f ca="1">IFERROR(__xludf.DUMMYFUNCTION("IFERROR(ARRAYFORMULA(REGEXEXTRACT(A1562,""^(?:https?:\/\/)?(?:[^@\n]+@)?(?:www\.)?([^:\/\n]+)"")),"""")"),"organizedinteriors.com")</f>
        <v>organizedinteriors.com</v>
      </c>
    </row>
    <row r="1563" spans="1:2" ht="12.5">
      <c r="A1563" s="3" t="s">
        <v>1818</v>
      </c>
      <c r="B1563" s="4" t="str">
        <f ca="1">IFERROR(__xludf.DUMMYFUNCTION("IFERROR(ARRAYFORMULA(REGEXEXTRACT(A1563,""^(?:https?:\/\/)?(?:[^@\n]+@)?(?:www\.)?([^:\/\n]+)"")),"""")"),"expresspropertysolutions.com")</f>
        <v>expresspropertysolutions.com</v>
      </c>
    </row>
    <row r="1564" spans="1:2" ht="12.5">
      <c r="A1564" s="3" t="s">
        <v>1819</v>
      </c>
      <c r="B1564" s="4" t="str">
        <f ca="1">IFERROR(__xludf.DUMMYFUNCTION("IFERROR(ARRAYFORMULA(REGEXEXTRACT(A1564,""^(?:https?:\/\/)?(?:[^@\n]+@)?(?:www\.)?([^:\/\n]+)"")),"""")"),"benjaminfranklinplumbing.com")</f>
        <v>benjaminfranklinplumbing.com</v>
      </c>
    </row>
    <row r="1565" spans="1:2" ht="12.5">
      <c r="A1565" s="3" t="s">
        <v>1820</v>
      </c>
      <c r="B1565" s="4" t="str">
        <f ca="1">IFERROR(__xludf.DUMMYFUNCTION("IFERROR(ARRAYFORMULA(REGEXEXTRACT(A1565,""^(?:https?:\/\/)?(?:[^@\n]+@)?(?:www\.)?([^:\/\n]+)"")),"""")"),"east-westelectric.com")</f>
        <v>east-westelectric.com</v>
      </c>
    </row>
    <row r="1566" spans="1:2" ht="12.5">
      <c r="A1566" s="3" t="s">
        <v>1821</v>
      </c>
      <c r="B1566" s="4" t="str">
        <f ca="1">IFERROR(__xludf.DUMMYFUNCTION("IFERROR(ARRAYFORMULA(REGEXEXTRACT(A1566,""^(?:https?:\/\/)?(?:[^@\n]+@)?(?:www\.)?([^:\/\n]+)"")),"""")"),"surepropainting.com")</f>
        <v>surepropainting.com</v>
      </c>
    </row>
    <row r="1567" spans="1:2" ht="12.5">
      <c r="A1567" s="3" t="s">
        <v>1822</v>
      </c>
      <c r="B1567" s="4" t="str">
        <f ca="1">IFERROR(__xludf.DUMMYFUNCTION("IFERROR(ARRAYFORMULA(REGEXEXTRACT(A1567,""^(?:https?:\/\/)?(?:[^@\n]+@)?(?:www\.)?([^:\/\n]+)"")),"""")"),"fcprop.net")</f>
        <v>fcprop.net</v>
      </c>
    </row>
    <row r="1568" spans="1:2" ht="12.5">
      <c r="A1568" s="3" t="s">
        <v>1823</v>
      </c>
      <c r="B1568" s="4" t="str">
        <f ca="1">IFERROR(__xludf.DUMMYFUNCTION("IFERROR(ARRAYFORMULA(REGEXEXTRACT(A1568,""^(?:https?:\/\/)?(?:[^@\n]+@)?(?:www\.)?([^:\/\n]+)"")),"""")"),"beaconlending.com")</f>
        <v>beaconlending.com</v>
      </c>
    </row>
    <row r="1569" spans="1:2" ht="12.5">
      <c r="A1569" s="3" t="s">
        <v>1824</v>
      </c>
      <c r="B1569" s="4" t="str">
        <f ca="1">IFERROR(__xludf.DUMMYFUNCTION("IFERROR(ARRAYFORMULA(REGEXEXTRACT(A1569,""^(?:https?:\/\/)?(?:[^@\n]+@)?(?:www\.)?([^:\/\n]+)"")),"""")"),"mcmahonagency.com")</f>
        <v>mcmahonagency.com</v>
      </c>
    </row>
    <row r="1570" spans="1:2" ht="12.5">
      <c r="A1570" s="3" t="s">
        <v>1825</v>
      </c>
      <c r="B1570" s="4" t="str">
        <f ca="1">IFERROR(__xludf.DUMMYFUNCTION("IFERROR(ARRAYFORMULA(REGEXEXTRACT(A1570,""^(?:https?:\/\/)?(?:[^@\n]+@)?(?:www\.)?([^:\/\n]+)"")),"""")"),"getencircle.com")</f>
        <v>getencircle.com</v>
      </c>
    </row>
    <row r="1571" spans="1:2" ht="12.5">
      <c r="A1571" s="3" t="s">
        <v>1826</v>
      </c>
      <c r="B1571" s="4" t="str">
        <f ca="1">IFERROR(__xludf.DUMMYFUNCTION("IFERROR(ARRAYFORMULA(REGEXEXTRACT(A1571,""^(?:https?:\/\/)?(?:[^@\n]+@)?(?:www\.)?([^:\/\n]+)"")),"""")"),"dardenbuildingmaterial.com")</f>
        <v>dardenbuildingmaterial.com</v>
      </c>
    </row>
    <row r="1572" spans="1:2" ht="12.5">
      <c r="A1572" s="3" t="s">
        <v>1827</v>
      </c>
      <c r="B1572" s="4" t="str">
        <f ca="1">IFERROR(__xludf.DUMMYFUNCTION("IFERROR(ARRAYFORMULA(REGEXEXTRACT(A1572,""^(?:https?:\/\/)?(?:[^@\n]+@)?(?:www\.)?([^:\/\n]+)"")),"""")"),"mywindowwashing.com")</f>
        <v>mywindowwashing.com</v>
      </c>
    </row>
    <row r="1573" spans="1:2" ht="12.5">
      <c r="A1573" s="3" t="s">
        <v>1828</v>
      </c>
      <c r="B1573" s="4" t="str">
        <f ca="1">IFERROR(__xludf.DUMMYFUNCTION("IFERROR(ARRAYFORMULA(REGEXEXTRACT(A1573,""^(?:https?:\/\/)?(?:[^@\n]+@)?(?:www\.)?([^:\/\n]+)"")),"""")"),"americanhomecontractors.com")</f>
        <v>americanhomecontractors.com</v>
      </c>
    </row>
    <row r="1574" spans="1:2" ht="12.5">
      <c r="A1574" s="3" t="s">
        <v>1829</v>
      </c>
      <c r="B1574" s="4" t="str">
        <f ca="1">IFERROR(__xludf.DUMMYFUNCTION("IFERROR(ARRAYFORMULA(REGEXEXTRACT(A1574,""^(?:https?:\/\/)?(?:[^@\n]+@)?(?:www\.)?([^:\/\n]+)"")),"""")"),"the-insurance-outlet.com")</f>
        <v>the-insurance-outlet.com</v>
      </c>
    </row>
    <row r="1575" spans="1:2" ht="12.5">
      <c r="A1575" s="3" t="s">
        <v>1830</v>
      </c>
      <c r="B1575" s="4" t="str">
        <f ca="1">IFERROR(__xludf.DUMMYFUNCTION("IFERROR(ARRAYFORMULA(REGEXEXTRACT(A1575,""^(?:https?:\/\/)?(?:[^@\n]+@)?(?:www\.)?([^:\/\n]+)"")),"""")"),"nationalfloorsdirect.com")</f>
        <v>nationalfloorsdirect.com</v>
      </c>
    </row>
    <row r="1576" spans="1:2" ht="12.5">
      <c r="A1576" s="3" t="s">
        <v>1831</v>
      </c>
      <c r="B1576" s="4" t="str">
        <f ca="1">IFERROR(__xludf.DUMMYFUNCTION("IFERROR(ARRAYFORMULA(REGEXEXTRACT(A1576,""^(?:https?:\/\/)?(?:[^@\n]+@)?(?:www\.)?([^:\/\n]+)"")),"""")"),"fordewindowsandremodeling.com")</f>
        <v>fordewindowsandremodeling.com</v>
      </c>
    </row>
    <row r="1577" spans="1:2" ht="12.5">
      <c r="A1577" s="3" t="s">
        <v>1832</v>
      </c>
      <c r="B1577" s="4" t="str">
        <f ca="1">IFERROR(__xludf.DUMMYFUNCTION("IFERROR(ARRAYFORMULA(REGEXEXTRACT(A1577,""^(?:https?:\/\/)?(?:[^@\n]+@)?(?:www\.)?([^:\/\n]+)"")),"""")"),"floridacashhomebuyers.com")</f>
        <v>floridacashhomebuyers.com</v>
      </c>
    </row>
    <row r="1578" spans="1:2" ht="12.5">
      <c r="A1578" s="3" t="s">
        <v>1833</v>
      </c>
      <c r="B1578" s="4" t="str">
        <f ca="1">IFERROR(__xludf.DUMMYFUNCTION("IFERROR(ARRAYFORMULA(REGEXEXTRACT(A1578,""^(?:https?:\/\/)?(?:[^@\n]+@)?(?:www\.)?([^:\/\n]+)"")),"""")"),"abis.com.au")</f>
        <v>abis.com.au</v>
      </c>
    </row>
    <row r="1579" spans="1:2" ht="12.5">
      <c r="A1579" s="3" t="s">
        <v>1834</v>
      </c>
      <c r="B1579" s="4" t="str">
        <f ca="1">IFERROR(__xludf.DUMMYFUNCTION("IFERROR(ARRAYFORMULA(REGEXEXTRACT(A1579,""^(?:https?:\/\/)?(?:[^@\n]+@)?(?:www\.)?([^:\/\n]+)"")),"""")"),"budgetdumpster.com")</f>
        <v>budgetdumpster.com</v>
      </c>
    </row>
    <row r="1580" spans="1:2" ht="12.5">
      <c r="A1580" s="3" t="s">
        <v>1835</v>
      </c>
      <c r="B1580" s="4" t="str">
        <f ca="1">IFERROR(__xludf.DUMMYFUNCTION("IFERROR(ARRAYFORMULA(REGEXEXTRACT(A1580,""^(?:https?:\/\/)?(?:[^@\n]+@)?(?:www\.)?([^:\/\n]+)"")),"""")"),"creamcityhomebuyers.com")</f>
        <v>creamcityhomebuyers.com</v>
      </c>
    </row>
    <row r="1581" spans="1:2" ht="12.5">
      <c r="A1581" s="3" t="s">
        <v>1836</v>
      </c>
      <c r="B1581" s="4" t="str">
        <f ca="1">IFERROR(__xludf.DUMMYFUNCTION("IFERROR(ARRAYFORMULA(REGEXEXTRACT(A1581,""^(?:https?:\/\/)?(?:[^@\n]+@)?(?:www\.)?([^:\/\n]+)"")),"""")"),"sonshineroofing.com")</f>
        <v>sonshineroofing.com</v>
      </c>
    </row>
    <row r="1582" spans="1:2" ht="12.5">
      <c r="A1582" s="3" t="s">
        <v>1837</v>
      </c>
      <c r="B1582" s="4" t="str">
        <f ca="1">IFERROR(__xludf.DUMMYFUNCTION("IFERROR(ARRAYFORMULA(REGEXEXTRACT(A1582,""^(?:https?:\/\/)?(?:[^@\n]+@)?(?:www\.)?([^:\/\n]+)"")),"""")"),"ezhangdoor.com")</f>
        <v>ezhangdoor.com</v>
      </c>
    </row>
    <row r="1583" spans="1:2" ht="12.5">
      <c r="A1583" s="3" t="s">
        <v>1838</v>
      </c>
      <c r="B1583" s="4" t="str">
        <f ca="1">IFERROR(__xludf.DUMMYFUNCTION("IFERROR(ARRAYFORMULA(REGEXEXTRACT(A1583,""^(?:https?:\/\/)?(?:[^@\n]+@)?(?:www\.)?([^:\/\n]+)"")),"""")"),"mrrogerswindows.com")</f>
        <v>mrrogerswindows.com</v>
      </c>
    </row>
    <row r="1584" spans="1:2" ht="12.5">
      <c r="A1584" s="3" t="s">
        <v>1839</v>
      </c>
      <c r="B1584" s="4" t="str">
        <f ca="1">IFERROR(__xludf.DUMMYFUNCTION("IFERROR(ARRAYFORMULA(REGEXEXTRACT(A1584,""^(?:https?:\/\/)?(?:[^@\n]+@)?(?:www\.)?([^:\/\n]+)"")),"""")"),"kindhousebuyers.com")</f>
        <v>kindhousebuyers.com</v>
      </c>
    </row>
    <row r="1585" spans="1:2" ht="12.5">
      <c r="A1585" s="3" t="s">
        <v>1840</v>
      </c>
      <c r="B1585" s="4" t="str">
        <f ca="1">IFERROR(__xludf.DUMMYFUNCTION("IFERROR(ARRAYFORMULA(REGEXEXTRACT(A1585,""^(?:https?:\/\/)?(?:[^@\n]+@)?(?:www\.)?([^:\/\n]+)"")),"""")"),"millerpublicadjusters.com")</f>
        <v>millerpublicadjusters.com</v>
      </c>
    </row>
    <row r="1586" spans="1:2" ht="12.5">
      <c r="A1586" s="3" t="s">
        <v>1841</v>
      </c>
      <c r="B1586" s="4" t="str">
        <f ca="1">IFERROR(__xludf.DUMMYFUNCTION("IFERROR(ARRAYFORMULA(REGEXEXTRACT(A1586,""^(?:https?:\/\/)?(?:[^@\n]+@)?(?:www\.)?([^:\/\n]+)"")),"""")"),"trilliumteam.ca")</f>
        <v>trilliumteam.ca</v>
      </c>
    </row>
    <row r="1587" spans="1:2" ht="12.5">
      <c r="A1587" s="3" t="s">
        <v>1842</v>
      </c>
      <c r="B1587" s="4" t="str">
        <f ca="1">IFERROR(__xludf.DUMMYFUNCTION("IFERROR(ARRAYFORMULA(REGEXEXTRACT(A1587,""^(?:https?:\/\/)?(?:[^@\n]+@)?(?:www\.)?([^:\/\n]+)"")),"""")"),"mymortgageinsider.com")</f>
        <v>mymortgageinsider.com</v>
      </c>
    </row>
    <row r="1588" spans="1:2" ht="12.5">
      <c r="A1588" s="3" t="s">
        <v>1843</v>
      </c>
      <c r="B1588" s="4" t="str">
        <f ca="1">IFERROR(__xludf.DUMMYFUNCTION("IFERROR(ARRAYFORMULA(REGEXEXTRACT(A1588,""^(?:https?:\/\/)?(?:[^@\n]+@)?(?:www\.)?([^:\/\n]+)"")),"""")"),"jlconline.com")</f>
        <v>jlconline.com</v>
      </c>
    </row>
    <row r="1589" spans="1:2" ht="12.5">
      <c r="A1589" s="3" t="s">
        <v>1844</v>
      </c>
      <c r="B1589" s="4" t="str">
        <f ca="1">IFERROR(__xludf.DUMMYFUNCTION("IFERROR(ARRAYFORMULA(REGEXEXTRACT(A1589,""^(?:https?:\/\/)?(?:[^@\n]+@)?(?:www\.)?([^:\/\n]+)"")),"""")"),"ohanagaragedoorrepair.com")</f>
        <v>ohanagaragedoorrepair.com</v>
      </c>
    </row>
    <row r="1590" spans="1:2" ht="12.5">
      <c r="A1590" s="3" t="s">
        <v>1845</v>
      </c>
      <c r="B1590" s="4" t="str">
        <f ca="1">IFERROR(__xludf.DUMMYFUNCTION("IFERROR(ARRAYFORMULA(REGEXEXTRACT(A1590,""^(?:https?:\/\/)?(?:[^@\n]+@)?(?:www\.)?([^:\/\n]+)"")),"""")"),"ontopoftheworldcommunities.com")</f>
        <v>ontopoftheworldcommunities.com</v>
      </c>
    </row>
    <row r="1591" spans="1:2" ht="12.5">
      <c r="A1591" s="3" t="s">
        <v>1846</v>
      </c>
      <c r="B1591" s="4" t="str">
        <f ca="1">IFERROR(__xludf.DUMMYFUNCTION("IFERROR(ARRAYFORMULA(REGEXEXTRACT(A1591,""^(?:https?:\/\/)?(?:[^@\n]+@)?(?:www\.)?([^:\/\n]+)"")),"""")"),"globalsteelbuildings.ca")</f>
        <v>globalsteelbuildings.ca</v>
      </c>
    </row>
    <row r="1592" spans="1:2" ht="12.5">
      <c r="A1592" s="3" t="s">
        <v>1847</v>
      </c>
      <c r="B1592" s="4" t="str">
        <f ca="1">IFERROR(__xludf.DUMMYFUNCTION("IFERROR(ARRAYFORMULA(REGEXEXTRACT(A1592,""^(?:https?:\/\/)?(?:[^@\n]+@)?(?:www\.)?([^:\/\n]+)"")),"""")"),"myelitemetalstructures.com")</f>
        <v>myelitemetalstructures.com</v>
      </c>
    </row>
    <row r="1593" spans="1:2" ht="12.5">
      <c r="A1593" s="3" t="s">
        <v>1848</v>
      </c>
      <c r="B1593" s="4" t="str">
        <f ca="1">IFERROR(__xludf.DUMMYFUNCTION("IFERROR(ARRAYFORMULA(REGEXEXTRACT(A1593,""^(?:https?:\/\/)?(?:[^@\n]+@)?(?:www\.)?([^:\/\n]+)"")),"""")"),"trubilt.com.au")</f>
        <v>trubilt.com.au</v>
      </c>
    </row>
    <row r="1594" spans="1:2" ht="12.5">
      <c r="A1594" s="3" t="s">
        <v>1849</v>
      </c>
      <c r="B1594" s="4" t="str">
        <f ca="1">IFERROR(__xludf.DUMMYFUNCTION("IFERROR(ARRAYFORMULA(REGEXEXTRACT(A1594,""^(?:https?:\/\/)?(?:[^@\n]+@)?(?:www\.)?([^:\/\n]+)"")),"""")"),"freemangeneralcontracting.com")</f>
        <v>freemangeneralcontracting.com</v>
      </c>
    </row>
    <row r="1595" spans="1:2" ht="12.5">
      <c r="A1595" s="3" t="s">
        <v>1850</v>
      </c>
      <c r="B1595" s="4" t="str">
        <f ca="1">IFERROR(__xludf.DUMMYFUNCTION("IFERROR(ARRAYFORMULA(REGEXEXTRACT(A1595,""^(?:https?:\/\/)?(?:[^@\n]+@)?(?:www\.)?([^:\/\n]+)"")),"""")"),"littlefishproperties.com.au")</f>
        <v>littlefishproperties.com.au</v>
      </c>
    </row>
    <row r="1596" spans="1:2" ht="12.5">
      <c r="A1596" s="3" t="s">
        <v>1851</v>
      </c>
      <c r="B1596" s="4" t="str">
        <f ca="1">IFERROR(__xludf.DUMMYFUNCTION("IFERROR(ARRAYFORMULA(REGEXEXTRACT(A1596,""^(?:https?:\/\/)?(?:[^@\n]+@)?(?:www\.)?([^:\/\n]+)"")),"""")"),"understandconstruction.com")</f>
        <v>understandconstruction.com</v>
      </c>
    </row>
    <row r="1597" spans="1:2" ht="12.5">
      <c r="A1597" s="3" t="s">
        <v>1852</v>
      </c>
      <c r="B1597" s="4" t="str">
        <f ca="1">IFERROR(__xludf.DUMMYFUNCTION("IFERROR(ARRAYFORMULA(REGEXEXTRACT(A1597,""^(?:https?:\/\/)?(?:[^@\n]+@)?(?:www\.)?([^:\/\n]+)"")),"""")"),"goldengatehomeinspections.com")</f>
        <v>goldengatehomeinspections.com</v>
      </c>
    </row>
    <row r="1598" spans="1:2" ht="12.5">
      <c r="A1598" s="3" t="s">
        <v>1853</v>
      </c>
      <c r="B1598" s="4" t="str">
        <f ca="1">IFERROR(__xludf.DUMMYFUNCTION("IFERROR(ARRAYFORMULA(REGEXEXTRACT(A1598,""^(?:https?:\/\/)?(?:[^@\n]+@)?(?:www\.)?([^:\/\n]+)"")),"""")"),"lisabuysaustinhouses.com")</f>
        <v>lisabuysaustinhouses.com</v>
      </c>
    </row>
    <row r="1599" spans="1:2" ht="12.5">
      <c r="A1599" s="3" t="s">
        <v>1854</v>
      </c>
      <c r="B1599" s="4" t="str">
        <f ca="1">IFERROR(__xludf.DUMMYFUNCTION("IFERROR(ARRAYFORMULA(REGEXEXTRACT(A1599,""^(?:https?:\/\/)?(?:[^@\n]+@)?(?:www\.)?([^:\/\n]+)"")),"""")"),"aboveroofing.com")</f>
        <v>aboveroofing.com</v>
      </c>
    </row>
    <row r="1600" spans="1:2" ht="12.5">
      <c r="A1600" s="3" t="s">
        <v>1855</v>
      </c>
      <c r="B1600" s="4" t="str">
        <f ca="1">IFERROR(__xludf.DUMMYFUNCTION("IFERROR(ARRAYFORMULA(REGEXEXTRACT(A1600,""^(?:https?:\/\/)?(?:[^@\n]+@)?(?:www\.)?([^:\/\n]+)"")),"""")"),"homehelpersgroup.com")</f>
        <v>homehelpersgroup.com</v>
      </c>
    </row>
    <row r="1601" spans="1:2" ht="12.5">
      <c r="A1601" s="3" t="s">
        <v>1856</v>
      </c>
      <c r="B1601" s="4" t="str">
        <f ca="1">IFERROR(__xludf.DUMMYFUNCTION("IFERROR(ARRAYFORMULA(REGEXEXTRACT(A1601,""^(?:https?:\/\/)?(?:[^@\n]+@)?(?:www\.)?([^:\/\n]+)"")),"""")"),"detailcleanings.com")</f>
        <v>detailcleanings.com</v>
      </c>
    </row>
    <row r="1602" spans="1:2" ht="12.5">
      <c r="A1602" s="3" t="s">
        <v>1857</v>
      </c>
      <c r="B1602" s="4" t="str">
        <f ca="1">IFERROR(__xludf.DUMMYFUNCTION("IFERROR(ARRAYFORMULA(REGEXEXTRACT(A1602,""^(?:https?:\/\/)?(?:[^@\n]+@)?(?:www\.)?([^:\/\n]+)"")),"""")"),"heinscontracting.com")</f>
        <v>heinscontracting.com</v>
      </c>
    </row>
    <row r="1603" spans="1:2" ht="12.5">
      <c r="A1603" s="3" t="s">
        <v>1858</v>
      </c>
      <c r="B1603" s="4" t="str">
        <f ca="1">IFERROR(__xludf.DUMMYFUNCTION("IFERROR(ARRAYFORMULA(REGEXEXTRACT(A1603,""^(?:https?:\/\/)?(?:[^@\n]+@)?(?:www\.)?([^:\/\n]+)"")),"""")"),"mikeotranto.com")</f>
        <v>mikeotranto.com</v>
      </c>
    </row>
    <row r="1604" spans="1:2" ht="12.5">
      <c r="A1604" s="3" t="s">
        <v>1859</v>
      </c>
      <c r="B1604" s="4" t="str">
        <f ca="1">IFERROR(__xludf.DUMMYFUNCTION("IFERROR(ARRAYFORMULA(REGEXEXTRACT(A1604,""^(?:https?:\/\/)?(?:[^@\n]+@)?(?:www\.)?([^:\/\n]+)"")),"""")"),"carmackmoving.com")</f>
        <v>carmackmoving.com</v>
      </c>
    </row>
    <row r="1605" spans="1:2" ht="12.5">
      <c r="A1605" s="3" t="s">
        <v>1860</v>
      </c>
      <c r="B1605" s="4" t="str">
        <f ca="1">IFERROR(__xludf.DUMMYFUNCTION("IFERROR(ARRAYFORMULA(REGEXEXTRACT(A1605,""^(?:https?:\/\/)?(?:[^@\n]+@)?(?:www\.)?([^:\/\n]+)"")),"""")"),"thediyplaybook.com")</f>
        <v>thediyplaybook.com</v>
      </c>
    </row>
    <row r="1606" spans="1:2" ht="12.5">
      <c r="A1606" s="3" t="s">
        <v>1861</v>
      </c>
      <c r="B1606" s="4" t="str">
        <f ca="1">IFERROR(__xludf.DUMMYFUNCTION("IFERROR(ARRAYFORMULA(REGEXEXTRACT(A1606,""^(?:https?:\/\/)?(?:[^@\n]+@)?(?:www\.)?([^:\/\n]+)"")),"""")"),"waterwisegroup.com")</f>
        <v>waterwisegroup.com</v>
      </c>
    </row>
    <row r="1607" spans="1:2" ht="12.5">
      <c r="A1607" s="3" t="s">
        <v>1862</v>
      </c>
      <c r="B1607" s="4" t="str">
        <f ca="1">IFERROR(__xludf.DUMMYFUNCTION("IFERROR(ARRAYFORMULA(REGEXEXTRACT(A1607,""^(?:https?:\/\/)?(?:[^@\n]+@)?(?:www\.)?([^:\/\n]+)"")),"""")"),"servpro.com")</f>
        <v>servpro.com</v>
      </c>
    </row>
    <row r="1608" spans="1:2" ht="12.5">
      <c r="A1608" s="3" t="s">
        <v>1863</v>
      </c>
      <c r="B1608" s="4" t="str">
        <f ca="1">IFERROR(__xludf.DUMMYFUNCTION("IFERROR(ARRAYFORMULA(REGEXEXTRACT(A1608,""^(?:https?:\/\/)?(?:[^@\n]+@)?(?:www\.)?([^:\/\n]+)"")),"""")"),"jacobrealtytx.com")</f>
        <v>jacobrealtytx.com</v>
      </c>
    </row>
    <row r="1609" spans="1:2" ht="12.5">
      <c r="A1609" s="3" t="s">
        <v>1864</v>
      </c>
      <c r="B1609" s="4" t="str">
        <f ca="1">IFERROR(__xludf.DUMMYFUNCTION("IFERROR(ARRAYFORMULA(REGEXEXTRACT(A1609,""^(?:https?:\/\/)?(?:[^@\n]+@)?(?:www\.)?([^:\/\n]+)"")),"""")"),"earnest.com")</f>
        <v>earnest.com</v>
      </c>
    </row>
    <row r="1610" spans="1:2" ht="12.5">
      <c r="A1610" s="3" t="s">
        <v>1865</v>
      </c>
      <c r="B1610" s="4" t="str">
        <f ca="1">IFERROR(__xludf.DUMMYFUNCTION("IFERROR(ARRAYFORMULA(REGEXEXTRACT(A1610,""^(?:https?:\/\/)?(?:[^@\n]+@)?(?:www\.)?([^:\/\n]+)"")),"""")"),"buildmykitchen.com")</f>
        <v>buildmykitchen.com</v>
      </c>
    </row>
    <row r="1611" spans="1:2" ht="12.5">
      <c r="A1611" s="3" t="s">
        <v>1866</v>
      </c>
      <c r="B1611" s="4" t="str">
        <f ca="1">IFERROR(__xludf.DUMMYFUNCTION("IFERROR(ARRAYFORMULA(REGEXEXTRACT(A1611,""^(?:https?:\/\/)?(?:[^@\n]+@)?(?:www\.)?([^:\/\n]+)"")),"""")"),"adlamtransport.com.au")</f>
        <v>adlamtransport.com.au</v>
      </c>
    </row>
    <row r="1612" spans="1:2" ht="12.5">
      <c r="A1612" s="3" t="s">
        <v>1867</v>
      </c>
      <c r="B1612" s="4" t="str">
        <f ca="1">IFERROR(__xludf.DUMMYFUNCTION("IFERROR(ARRAYFORMULA(REGEXEXTRACT(A1612,""^(?:https?:\/\/)?(?:[^@\n]+@)?(?:www\.)?([^:\/\n]+)"")),"""")"),"kelownahomes.ca")</f>
        <v>kelownahomes.ca</v>
      </c>
    </row>
    <row r="1613" spans="1:2" ht="12.5">
      <c r="A1613" s="3" t="s">
        <v>1868</v>
      </c>
      <c r="B1613" s="4" t="str">
        <f ca="1">IFERROR(__xludf.DUMMYFUNCTION("IFERROR(ARRAYFORMULA(REGEXEXTRACT(A1613,""^(?:https?:\/\/)?(?:[^@\n]+@)?(?:www\.)?([^:\/\n]+)"")),"""")"),"lauriereader.com")</f>
        <v>lauriereader.com</v>
      </c>
    </row>
    <row r="1614" spans="1:2" ht="12.5">
      <c r="A1614" s="3" t="s">
        <v>1869</v>
      </c>
      <c r="B1614" s="4" t="str">
        <f ca="1">IFERROR(__xludf.DUMMYFUNCTION("IFERROR(ARRAYFORMULA(REGEXEXTRACT(A1614,""^(?:https?:\/\/)?(?:[^@\n]+@)?(?:www\.)?([^:\/\n]+)"")),"""")"),"blythwoodhomes.ca")</f>
        <v>blythwoodhomes.ca</v>
      </c>
    </row>
    <row r="1615" spans="1:2" ht="12.5">
      <c r="A1615" s="3" t="s">
        <v>1870</v>
      </c>
      <c r="B1615" s="4" t="str">
        <f ca="1">IFERROR(__xludf.DUMMYFUNCTION("IFERROR(ARRAYFORMULA(REGEXEXTRACT(A1615,""^(?:https?:\/\/)?(?:[^@\n]+@)?(?:www\.)?([^:\/\n]+)"")),"""")"),"propertymanagementto.com")</f>
        <v>propertymanagementto.com</v>
      </c>
    </row>
    <row r="1616" spans="1:2" ht="12.5">
      <c r="A1616" s="3" t="s">
        <v>1871</v>
      </c>
      <c r="B1616" s="4" t="str">
        <f ca="1">IFERROR(__xludf.DUMMYFUNCTION("IFERROR(ARRAYFORMULA(REGEXEXTRACT(A1616,""^(?:https?:\/\/)?(?:[^@\n]+@)?(?:www\.)?([^:\/\n]+)"")),"""")"),"justo.ca")</f>
        <v>justo.ca</v>
      </c>
    </row>
    <row r="1617" spans="1:2" ht="12.5">
      <c r="A1617" s="3" t="s">
        <v>1872</v>
      </c>
      <c r="B1617" s="4" t="str">
        <f ca="1">IFERROR(__xludf.DUMMYFUNCTION("IFERROR(ARRAYFORMULA(REGEXEXTRACT(A1617,""^(?:https?:\/\/)?(?:[^@\n]+@)?(?:www\.)?([^:\/\n]+)"")),"""")"),"hammer-services.com")</f>
        <v>hammer-services.com</v>
      </c>
    </row>
    <row r="1618" spans="1:2" ht="12.5">
      <c r="A1618" s="3" t="s">
        <v>1873</v>
      </c>
      <c r="B1618" s="4" t="str">
        <f ca="1">IFERROR(__xludf.DUMMYFUNCTION("IFERROR(ARRAYFORMULA(REGEXEXTRACT(A1618,""^(?:https?:\/\/)?(?:[^@\n]+@)?(?:www\.)?([^:\/\n]+)"")),"""")"),"maserat.ca")</f>
        <v>maserat.ca</v>
      </c>
    </row>
    <row r="1619" spans="1:2" ht="12.5">
      <c r="A1619" s="3" t="s">
        <v>1874</v>
      </c>
      <c r="B1619" s="4" t="str">
        <f ca="1">IFERROR(__xludf.DUMMYFUNCTION("IFERROR(ARRAYFORMULA(REGEXEXTRACT(A1619,""^(?:https?:\/\/)?(?:[^@\n]+@)?(?:www\.)?([^:\/\n]+)"")),"""")"),"shawnlepp.com")</f>
        <v>shawnlepp.com</v>
      </c>
    </row>
    <row r="1620" spans="1:2" ht="12.5">
      <c r="A1620" s="3" t="s">
        <v>1875</v>
      </c>
      <c r="B1620" s="4" t="str">
        <f ca="1">IFERROR(__xludf.DUMMYFUNCTION("IFERROR(ARRAYFORMULA(REGEXEXTRACT(A1620,""^(?:https?:\/\/)?(?:[^@\n]+@)?(?:www\.)?([^:\/\n]+)"")),"""")"),"finimpact.com")</f>
        <v>finimpact.com</v>
      </c>
    </row>
    <row r="1621" spans="1:2" ht="12.5">
      <c r="A1621" s="3" t="s">
        <v>1876</v>
      </c>
      <c r="B1621" s="4" t="str">
        <f ca="1">IFERROR(__xludf.DUMMYFUNCTION("IFERROR(ARRAYFORMULA(REGEXEXTRACT(A1621,""^(?:https?:\/\/)?(?:[^@\n]+@)?(?:www\.)?([^:\/\n]+)"")),"""")"),"prosourcehomebuyers.com")</f>
        <v>prosourcehomebuyers.com</v>
      </c>
    </row>
    <row r="1622" spans="1:2" ht="12.5">
      <c r="A1622" s="3" t="s">
        <v>1877</v>
      </c>
      <c r="B1622" s="4" t="str">
        <f ca="1">IFERROR(__xludf.DUMMYFUNCTION("IFERROR(ARRAYFORMULA(REGEXEXTRACT(A1622,""^(?:https?:\/\/)?(?:[^@\n]+@)?(?:www\.)?([^:\/\n]+)"")),"""")"),"newamericanfunding.com")</f>
        <v>newamericanfunding.com</v>
      </c>
    </row>
    <row r="1623" spans="1:2" ht="12.5">
      <c r="A1623" s="3" t="s">
        <v>1878</v>
      </c>
      <c r="B1623" s="4" t="str">
        <f ca="1">IFERROR(__xludf.DUMMYFUNCTION("IFERROR(ARRAYFORMULA(REGEXEXTRACT(A1623,""^(?:https?:\/\/)?(?:[^@\n]+@)?(?:www\.)?([^:\/\n]+)"")),"""")"),"williamscomfortair.com")</f>
        <v>williamscomfortair.com</v>
      </c>
    </row>
    <row r="1624" spans="1:2" ht="12.5">
      <c r="A1624" s="3" t="s">
        <v>1879</v>
      </c>
      <c r="B1624" s="4" t="str">
        <f ca="1">IFERROR(__xludf.DUMMYFUNCTION("IFERROR(ARRAYFORMULA(REGEXEXTRACT(A1624,""^(?:https?:\/\/)?(?:[^@\n]+@)?(?:www\.)?([^:\/\n]+)"")),"""")"),"teamgoran.com")</f>
        <v>teamgoran.com</v>
      </c>
    </row>
    <row r="1625" spans="1:2" ht="12.5">
      <c r="A1625" s="3" t="s">
        <v>1880</v>
      </c>
      <c r="B1625" s="4" t="str">
        <f ca="1">IFERROR(__xludf.DUMMYFUNCTION("IFERROR(ARRAYFORMULA(REGEXEXTRACT(A1625,""^(?:https?:\/\/)?(?:[^@\n]+@)?(?:www\.)?([^:\/\n]+)"")),"""")"),"cabinetset.com")</f>
        <v>cabinetset.com</v>
      </c>
    </row>
    <row r="1626" spans="1:2" ht="12.5">
      <c r="A1626" s="3" t="s">
        <v>1881</v>
      </c>
      <c r="B1626" s="4" t="str">
        <f ca="1">IFERROR(__xludf.DUMMYFUNCTION("IFERROR(ARRAYFORMULA(REGEXEXTRACT(A1626,""^(?:https?:\/\/)?(?:[^@\n]+@)?(?:www\.)?([^:\/\n]+)"")),"""")"),"willowdaleequity.com")</f>
        <v>willowdaleequity.com</v>
      </c>
    </row>
    <row r="1627" spans="1:2" ht="12.5">
      <c r="A1627" s="3" t="s">
        <v>1882</v>
      </c>
      <c r="B1627" s="4" t="str">
        <f ca="1">IFERROR(__xludf.DUMMYFUNCTION("IFERROR(ARRAYFORMULA(REGEXEXTRACT(A1627,""^(?:https?:\/\/)?(?:[^@\n]+@)?(?:www\.)?([^:\/\n]+)"")),"""")"),"apmgpainting.com")</f>
        <v>apmgpainting.com</v>
      </c>
    </row>
    <row r="1628" spans="1:2" ht="12.5">
      <c r="A1628" s="3" t="s">
        <v>1883</v>
      </c>
      <c r="B1628" s="4" t="str">
        <f ca="1">IFERROR(__xludf.DUMMYFUNCTION("IFERROR(ARRAYFORMULA(REGEXEXTRACT(A1628,""^(?:https?:\/\/)?(?:[^@\n]+@)?(?:www\.)?([^:\/\n]+)"")),"""")"),"homeguidemyrtlebeach.com")</f>
        <v>homeguidemyrtlebeach.com</v>
      </c>
    </row>
    <row r="1629" spans="1:2" ht="12.5">
      <c r="A1629" s="3" t="s">
        <v>1884</v>
      </c>
      <c r="B1629" s="4" t="str">
        <f ca="1">IFERROR(__xludf.DUMMYFUNCTION("IFERROR(ARRAYFORMULA(REGEXEXTRACT(A1629,""^(?:https?:\/\/)?(?:[^@\n]+@)?(?:www\.)?([^:\/\n]+)"")),"""")"),"groundsguys.ca")</f>
        <v>groundsguys.ca</v>
      </c>
    </row>
    <row r="1630" spans="1:2" ht="12.5">
      <c r="A1630" s="3" t="s">
        <v>1885</v>
      </c>
      <c r="B1630" s="4" t="str">
        <f ca="1">IFERROR(__xludf.DUMMYFUNCTION("IFERROR(ARRAYFORMULA(REGEXEXTRACT(A1630,""^(?:https?:\/\/)?(?:[^@\n]+@)?(?:www\.)?([^:\/\n]+)"")),"""")"),"home-security.com")</f>
        <v>home-security.com</v>
      </c>
    </row>
    <row r="1631" spans="1:2" ht="12.5">
      <c r="A1631" s="3" t="s">
        <v>1886</v>
      </c>
      <c r="B1631" s="4" t="str">
        <f ca="1">IFERROR(__xludf.DUMMYFUNCTION("IFERROR(ARRAYFORMULA(REGEXEXTRACT(A1631,""^(?:https?:\/\/)?(?:[^@\n]+@)?(?:www\.)?([^:\/\n]+)"")),"""")"),"ozclean.com.au")</f>
        <v>ozclean.com.au</v>
      </c>
    </row>
    <row r="1632" spans="1:2" ht="12.5">
      <c r="A1632" s="3" t="s">
        <v>1887</v>
      </c>
      <c r="B1632" s="4" t="str">
        <f ca="1">IFERROR(__xludf.DUMMYFUNCTION("IFERROR(ARRAYFORMULA(REGEXEXTRACT(A1632,""^(?:https?:\/\/)?(?:[^@\n]+@)?(?:www\.)?([^:\/\n]+)"")),"""")"),"lgihomes.com")</f>
        <v>lgihomes.com</v>
      </c>
    </row>
    <row r="1633" spans="1:2" ht="12.5">
      <c r="A1633" s="3" t="s">
        <v>1888</v>
      </c>
      <c r="B1633" s="4" t="str">
        <f ca="1">IFERROR(__xludf.DUMMYFUNCTION("IFERROR(ARRAYFORMULA(REGEXEXTRACT(A1633,""^(?:https?:\/\/)?(?:[^@\n]+@)?(?:www\.)?([^:\/\n]+)"")),"""")"),"lasvegasrealestate.org")</f>
        <v>lasvegasrealestate.org</v>
      </c>
    </row>
    <row r="1634" spans="1:2" ht="12.5">
      <c r="A1634" s="3" t="s">
        <v>1889</v>
      </c>
      <c r="B1634" s="4" t="str">
        <f ca="1">IFERROR(__xludf.DUMMYFUNCTION("IFERROR(ARRAYFORMULA(REGEXEXTRACT(A1634,""^(?:https?:\/\/)?(?:[^@\n]+@)?(?:www\.)?([^:\/\n]+)"")),"""")"),"brizolisjanzen.com")</f>
        <v>brizolisjanzen.com</v>
      </c>
    </row>
    <row r="1635" spans="1:2" ht="12.5">
      <c r="A1635" s="3" t="s">
        <v>1890</v>
      </c>
      <c r="B1635" s="4" t="str">
        <f ca="1">IFERROR(__xludf.DUMMYFUNCTION("IFERROR(ARRAYFORMULA(REGEXEXTRACT(A1635,""^(?:https?:\/\/)?(?:[^@\n]+@)?(?:www\.)?([^:\/\n]+)"")),"""")"),"osmonmoving.com")</f>
        <v>osmonmoving.com</v>
      </c>
    </row>
    <row r="1636" spans="1:2" ht="12.5">
      <c r="A1636" s="3" t="s">
        <v>1891</v>
      </c>
      <c r="B1636" s="4" t="str">
        <f ca="1">IFERROR(__xludf.DUMMYFUNCTION("IFERROR(ARRAYFORMULA(REGEXEXTRACT(A1636,""^(?:https?:\/\/)?(?:[^@\n]+@)?(?:www\.)?([^:\/\n]+)"")),"""")"),"modscape.com.au")</f>
        <v>modscape.com.au</v>
      </c>
    </row>
    <row r="1637" spans="1:2" ht="12.5">
      <c r="A1637" s="3" t="s">
        <v>1892</v>
      </c>
      <c r="B1637" s="4" t="str">
        <f ca="1">IFERROR(__xludf.DUMMYFUNCTION("IFERROR(ARRAYFORMULA(REGEXEXTRACT(A1637,""^(?:https?:\/\/)?(?:[^@\n]+@)?(?:www\.)?([^:\/\n]+)"")),"""")"),"asbestosaustraliaremovalist.com.au")</f>
        <v>asbestosaustraliaremovalist.com.au</v>
      </c>
    </row>
    <row r="1638" spans="1:2" ht="12.5">
      <c r="A1638" s="3" t="s">
        <v>1893</v>
      </c>
      <c r="B1638" s="4" t="str">
        <f ca="1">IFERROR(__xludf.DUMMYFUNCTION("IFERROR(ARRAYFORMULA(REGEXEXTRACT(A1638,""^(?:https?:\/\/)?(?:[^@\n]+@)?(?:www\.)?([^:\/\n]+)"")),"""")"),"kanga-roof.com")</f>
        <v>kanga-roof.com</v>
      </c>
    </row>
    <row r="1639" spans="1:2" ht="12.5">
      <c r="A1639" s="3" t="s">
        <v>1894</v>
      </c>
      <c r="B1639" s="4" t="str">
        <f ca="1">IFERROR(__xludf.DUMMYFUNCTION("IFERROR(ARRAYFORMULA(REGEXEXTRACT(A1639,""^(?:https?:\/\/)?(?:[^@\n]+@)?(?:www\.)?([^:\/\n]+)"")),"""")"),"roofadvisor.com")</f>
        <v>roofadvisor.com</v>
      </c>
    </row>
    <row r="1640" spans="1:2" ht="12.5">
      <c r="A1640" s="3" t="s">
        <v>1895</v>
      </c>
      <c r="B1640" s="4" t="str">
        <f ca="1">IFERROR(__xludf.DUMMYFUNCTION("IFERROR(ARRAYFORMULA(REGEXEXTRACT(A1640,""^(?:https?:\/\/)?(?:[^@\n]+@)?(?:www\.)?([^:\/\n]+)"")),"""")"),"pickardroofing.com")</f>
        <v>pickardroofing.com</v>
      </c>
    </row>
    <row r="1641" spans="1:2" ht="12.5">
      <c r="A1641" s="3" t="s">
        <v>1896</v>
      </c>
      <c r="B1641" s="4" t="str">
        <f ca="1">IFERROR(__xludf.DUMMYFUNCTION("IFERROR(ARRAYFORMULA(REGEXEXTRACT(A1641,""^(?:https?:\/\/)?(?:[^@\n]+@)?(?:www\.)?([^:\/\n]+)"")),"""")"),"landbrokermls.com")</f>
        <v>landbrokermls.com</v>
      </c>
    </row>
    <row r="1642" spans="1:2" ht="12.5">
      <c r="A1642" s="3" t="s">
        <v>1897</v>
      </c>
      <c r="B1642" s="4" t="str">
        <f ca="1">IFERROR(__xludf.DUMMYFUNCTION("IFERROR(ARRAYFORMULA(REGEXEXTRACT(A1642,""^(?:https?:\/\/)?(?:[^@\n]+@)?(?:www\.)?([^:\/\n]+)"")),"""")"),"neatspaces.ca")</f>
        <v>neatspaces.ca</v>
      </c>
    </row>
    <row r="1643" spans="1:2" ht="12.5">
      <c r="A1643" s="3" t="s">
        <v>1898</v>
      </c>
      <c r="B1643" s="4" t="str">
        <f ca="1">IFERROR(__xludf.DUMMYFUNCTION("IFERROR(ARRAYFORMULA(REGEXEXTRACT(A1643,""^(?:https?:\/\/)?(?:[^@\n]+@)?(?:www\.)?([^:\/\n]+)"")),"""")"),"leehvac.com")</f>
        <v>leehvac.com</v>
      </c>
    </row>
    <row r="1644" spans="1:2" ht="12.5">
      <c r="A1644" s="3" t="s">
        <v>1899</v>
      </c>
      <c r="B1644" s="4" t="str">
        <f ca="1">IFERROR(__xludf.DUMMYFUNCTION("IFERROR(ARRAYFORMULA(REGEXEXTRACT(A1644,""^(?:https?:\/\/)?(?:[^@\n]+@)?(?:www\.)?([^:\/\n]+)"")),"""")"),"triodoors.ca")</f>
        <v>triodoors.ca</v>
      </c>
    </row>
    <row r="1645" spans="1:2" ht="12.5">
      <c r="A1645" s="3" t="s">
        <v>1900</v>
      </c>
      <c r="B1645" s="4" t="str">
        <f ca="1">IFERROR(__xludf.DUMMYFUNCTION("IFERROR(ARRAYFORMULA(REGEXEXTRACT(A1645,""^(?:https?:\/\/)?(?:[^@\n]+@)?(?:www\.)?([^:\/\n]+)"")),"""")"),"skyblinds.ca")</f>
        <v>skyblinds.ca</v>
      </c>
    </row>
    <row r="1646" spans="1:2" ht="12.5">
      <c r="A1646" s="3" t="s">
        <v>1901</v>
      </c>
      <c r="B1646" s="4" t="str">
        <f ca="1">IFERROR(__xludf.DUMMYFUNCTION("IFERROR(ARRAYFORMULA(REGEXEXTRACT(A1646,""^(?:https?:\/\/)?(?:[^@\n]+@)?(?:www\.)?([^:\/\n]+)"")),"""")"),"windowcitypros.com")</f>
        <v>windowcitypros.com</v>
      </c>
    </row>
    <row r="1647" spans="1:2" ht="12.5">
      <c r="A1647" s="3" t="s">
        <v>1902</v>
      </c>
      <c r="B1647" s="4" t="str">
        <f ca="1">IFERROR(__xludf.DUMMYFUNCTION("IFERROR(ARRAYFORMULA(REGEXEXTRACT(A1647,""^(?:https?:\/\/)?(?:[^@\n]+@)?(?:www\.)?([^:\/\n]+)"")),"""")"),"getcashfairoffernc.com")</f>
        <v>getcashfairoffernc.com</v>
      </c>
    </row>
    <row r="1648" spans="1:2" ht="12.5">
      <c r="A1648" s="3" t="s">
        <v>1903</v>
      </c>
      <c r="B1648" s="4" t="str">
        <f ca="1">IFERROR(__xludf.DUMMYFUNCTION("IFERROR(ARRAYFORMULA(REGEXEXTRACT(A1648,""^(?:https?:\/\/)?(?:[^@\n]+@)?(?:www\.)?([^:\/\n]+)"")),"""")"),"maxfunding.com.au")</f>
        <v>maxfunding.com.au</v>
      </c>
    </row>
    <row r="1649" spans="1:2" ht="12.5">
      <c r="A1649" s="3" t="s">
        <v>1904</v>
      </c>
      <c r="B1649" s="4" t="str">
        <f ca="1">IFERROR(__xludf.DUMMYFUNCTION("IFERROR(ARRAYFORMULA(REGEXEXTRACT(A1649,""^(?:https?:\/\/)?(?:[^@\n]+@)?(?:www\.)?([^:\/\n]+)"")),"""")"),"goodbyejunk.com.au")</f>
        <v>goodbyejunk.com.au</v>
      </c>
    </row>
    <row r="1650" spans="1:2" ht="12.5">
      <c r="A1650" s="3" t="s">
        <v>1905</v>
      </c>
      <c r="B1650" s="4" t="str">
        <f ca="1">IFERROR(__xludf.DUMMYFUNCTION("IFERROR(ARRAYFORMULA(REGEXEXTRACT(A1650,""^(?:https?:\/\/)?(?:[^@\n]+@)?(?:www\.)?([^:\/\n]+)"")),"""")"),"standupguys.biz")</f>
        <v>standupguys.biz</v>
      </c>
    </row>
    <row r="1651" spans="1:2" ht="12.5">
      <c r="A1651" s="3" t="s">
        <v>1906</v>
      </c>
      <c r="B1651" s="4" t="str">
        <f ca="1">IFERROR(__xludf.DUMMYFUNCTION("IFERROR(ARRAYFORMULA(REGEXEXTRACT(A1651,""^(?:https?:\/\/)?(?:[^@\n]+@)?(?:www\.)?([^:\/\n]+)"")),"""")"),"premiersothebysrealty.com")</f>
        <v>premiersothebysrealty.com</v>
      </c>
    </row>
    <row r="1652" spans="1:2" ht="12.5">
      <c r="A1652" s="3" t="s">
        <v>1907</v>
      </c>
      <c r="B1652" s="4" t="str">
        <f ca="1">IFERROR(__xludf.DUMMYFUNCTION("IFERROR(ARRAYFORMULA(REGEXEXTRACT(A1652,""^(?:https?:\/\/)?(?:[^@\n]+@)?(?:www\.)?([^:\/\n]+)"")),"""")"),"beachlifeoceancity.com")</f>
        <v>beachlifeoceancity.com</v>
      </c>
    </row>
    <row r="1653" spans="1:2" ht="12.5">
      <c r="A1653" s="3" t="s">
        <v>1908</v>
      </c>
      <c r="B1653" s="4" t="str">
        <f ca="1">IFERROR(__xludf.DUMMYFUNCTION("IFERROR(ARRAYFORMULA(REGEXEXTRACT(A1653,""^(?:https?:\/\/)?(?:[^@\n]+@)?(?:www\.)?([^:\/\n]+)"")),"""")"),"movingastute.com")</f>
        <v>movingastute.com</v>
      </c>
    </row>
    <row r="1654" spans="1:2" ht="12.5">
      <c r="A1654" s="3" t="s">
        <v>1909</v>
      </c>
      <c r="B1654" s="4" t="str">
        <f ca="1">IFERROR(__xludf.DUMMYFUNCTION("IFERROR(ARRAYFORMULA(REGEXEXTRACT(A1654,""^(?:https?:\/\/)?(?:[^@\n]+@)?(?:www\.)?([^:\/\n]+)"")),"""")"),"contentrally.com")</f>
        <v>contentrally.com</v>
      </c>
    </row>
    <row r="1655" spans="1:2" ht="12.5">
      <c r="A1655" s="3" t="s">
        <v>1910</v>
      </c>
      <c r="B1655" s="4" t="str">
        <f ca="1">IFERROR(__xludf.DUMMYFUNCTION("IFERROR(ARRAYFORMULA(REGEXEXTRACT(A1655,""^(?:https?:\/\/)?(?:[^@\n]+@)?(?:www\.)?([^:\/\n]+)"")),"""")"),"civilmart.com.au")</f>
        <v>civilmart.com.au</v>
      </c>
    </row>
    <row r="1656" spans="1:2" ht="12.5">
      <c r="A1656" s="3" t="s">
        <v>1911</v>
      </c>
      <c r="B1656" s="4" t="str">
        <f ca="1">IFERROR(__xludf.DUMMYFUNCTION("IFERROR(ARRAYFORMULA(REGEXEXTRACT(A1656,""^(?:https?:\/\/)?(?:[^@\n]+@)?(?:www\.)?([^:\/\n]+)"")),"""")"),"expressglass.com.au")</f>
        <v>expressglass.com.au</v>
      </c>
    </row>
    <row r="1657" spans="1:2" ht="12.5">
      <c r="A1657" s="3" t="s">
        <v>1912</v>
      </c>
      <c r="B1657" s="4" t="str">
        <f ca="1">IFERROR(__xludf.DUMMYFUNCTION("IFERROR(ARRAYFORMULA(REGEXEXTRACT(A1657,""^(?:https?:\/\/)?(?:[^@\n]+@)?(?:www\.)?([^:\/\n]+)"")),"""")"),"harcourtspurbabali.com")</f>
        <v>harcourtspurbabali.com</v>
      </c>
    </row>
    <row r="1658" spans="1:2" ht="12.5">
      <c r="A1658" s="3" t="s">
        <v>1913</v>
      </c>
      <c r="B1658" s="4" t="str">
        <f ca="1">IFERROR(__xludf.DUMMYFUNCTION("IFERROR(ARRAYFORMULA(REGEXEXTRACT(A1658,""^(?:https?:\/\/)?(?:[^@\n]+@)?(?:www\.)?([^:\/\n]+)"")),"""")"),"thepropertybuyingcompany.co.uk")</f>
        <v>thepropertybuyingcompany.co.uk</v>
      </c>
    </row>
    <row r="1659" spans="1:2" ht="12.5">
      <c r="A1659" s="3" t="s">
        <v>1914</v>
      </c>
      <c r="B1659" s="4" t="str">
        <f ca="1">IFERROR(__xludf.DUMMYFUNCTION("IFERROR(ARRAYFORMULA(REGEXEXTRACT(A1659,""^(?:https?:\/\/)?(?:[^@\n]+@)?(?:www\.)?([^:\/\n]+)"")),"""")"),"certifiedmortgagebroker.com")</f>
        <v>certifiedmortgagebroker.com</v>
      </c>
    </row>
    <row r="1660" spans="1:2" ht="12.5">
      <c r="A1660" s="3" t="s">
        <v>1915</v>
      </c>
      <c r="B1660" s="4" t="str">
        <f ca="1">IFERROR(__xludf.DUMMYFUNCTION("IFERROR(ARRAYFORMULA(REGEXEXTRACT(A1660,""^(?:https?:\/\/)?(?:[^@\n]+@)?(?:www\.)?([^:\/\n]+)"")),"""")"),"easyrenovation.ca")</f>
        <v>easyrenovation.ca</v>
      </c>
    </row>
    <row r="1661" spans="1:2" ht="12.5">
      <c r="A1661" s="3" t="s">
        <v>1916</v>
      </c>
      <c r="B1661" s="4" t="str">
        <f ca="1">IFERROR(__xludf.DUMMYFUNCTION("IFERROR(ARRAYFORMULA(REGEXEXTRACT(A1661,""^(?:https?:\/\/)?(?:[^@\n]+@)?(?:www\.)?([^:\/\n]+)"")),"""")"),"highgrovebathrooms.com.au")</f>
        <v>highgrovebathrooms.com.au</v>
      </c>
    </row>
    <row r="1662" spans="1:2" ht="12.5">
      <c r="A1662" s="3" t="s">
        <v>1917</v>
      </c>
      <c r="B1662" s="4" t="str">
        <f ca="1">IFERROR(__xludf.DUMMYFUNCTION("IFERROR(ARRAYFORMULA(REGEXEXTRACT(A1662,""^(?:https?:\/\/)?(?:[^@\n]+@)?(?:www\.)?([^:\/\n]+)"")),"""")"),"kuester.com")</f>
        <v>kuester.com</v>
      </c>
    </row>
    <row r="1663" spans="1:2" ht="12.5">
      <c r="A1663" s="3" t="s">
        <v>1918</v>
      </c>
      <c r="B1663" s="4" t="str">
        <f ca="1">IFERROR(__xludf.DUMMYFUNCTION("IFERROR(ARRAYFORMULA(REGEXEXTRACT(A1663,""^(?:https?:\/\/)?(?:[^@\n]+@)?(?:www\.)?([^:\/\n]+)"")),"""")"),"mystonefloor.com")</f>
        <v>mystonefloor.com</v>
      </c>
    </row>
    <row r="1664" spans="1:2" ht="12.5">
      <c r="A1664" s="3" t="s">
        <v>1919</v>
      </c>
      <c r="B1664" s="4" t="str">
        <f ca="1">IFERROR(__xludf.DUMMYFUNCTION("IFERROR(ARRAYFORMULA(REGEXEXTRACT(A1664,""^(?:https?:\/\/)?(?:[^@\n]+@)?(?:www\.)?([^:\/\n]+)"")),"""")"),"greenhomegnome.com")</f>
        <v>greenhomegnome.com</v>
      </c>
    </row>
    <row r="1665" spans="1:2" ht="12.5">
      <c r="A1665" s="3" t="s">
        <v>1920</v>
      </c>
      <c r="B1665" s="4" t="str">
        <f ca="1">IFERROR(__xludf.DUMMYFUNCTION("IFERROR(ARRAYFORMULA(REGEXEXTRACT(A1665,""^(?:https?:\/\/)?(?:[^@\n]+@)?(?:www\.)?([^:\/\n]+)"")),"""")"),"homeflippers.ca")</f>
        <v>homeflippers.ca</v>
      </c>
    </row>
    <row r="1666" spans="1:2" ht="12.5">
      <c r="A1666" s="3" t="s">
        <v>1921</v>
      </c>
      <c r="B1666" s="4" t="str">
        <f ca="1">IFERROR(__xludf.DUMMYFUNCTION("IFERROR(ARRAYFORMULA(REGEXEXTRACT(A1666,""^(?:https?:\/\/)?(?:[^@\n]+@)?(?:www\.)?([^:\/\n]+)"")),"""")"),"professionalroofers.com")</f>
        <v>professionalroofers.com</v>
      </c>
    </row>
    <row r="1667" spans="1:2" ht="12.5">
      <c r="A1667" s="3" t="s">
        <v>1922</v>
      </c>
      <c r="B1667" s="4" t="str">
        <f ca="1">IFERROR(__xludf.DUMMYFUNCTION("IFERROR(ARRAYFORMULA(REGEXEXTRACT(A1667,""^(?:https?:\/\/)?(?:[^@\n]+@)?(?:www\.)?([^:\/\n]+)"")),"""")"),"onepointpartitions.com")</f>
        <v>onepointpartitions.com</v>
      </c>
    </row>
    <row r="1668" spans="1:2" ht="12.5">
      <c r="A1668" s="3" t="s">
        <v>1923</v>
      </c>
      <c r="B1668" s="4" t="str">
        <f ca="1">IFERROR(__xludf.DUMMYFUNCTION("IFERROR(ARRAYFORMULA(REGEXEXTRACT(A1668,""^(?:https?:\/\/)?(?:[^@\n]+@)?(?:www\.)?([^:\/\n]+)"")),"""")"),"doorsplus.com.au")</f>
        <v>doorsplus.com.au</v>
      </c>
    </row>
    <row r="1669" spans="1:2" ht="12.5">
      <c r="A1669" s="3" t="s">
        <v>1924</v>
      </c>
      <c r="B1669" s="4" t="str">
        <f ca="1">IFERROR(__xludf.DUMMYFUNCTION("IFERROR(ARRAYFORMULA(REGEXEXTRACT(A1669,""^(?:https?:\/\/)?(?:[^@\n]+@)?(?:www\.)?([^:\/\n]+)"")),"""")"),"clarkroofingandsiding.com")</f>
        <v>clarkroofingandsiding.com</v>
      </c>
    </row>
    <row r="1670" spans="1:2" ht="12.5">
      <c r="A1670" s="3" t="s">
        <v>1925</v>
      </c>
      <c r="B1670" s="4" t="str">
        <f ca="1">IFERROR(__xludf.DUMMYFUNCTION("IFERROR(ARRAYFORMULA(REGEXEXTRACT(A1670,""^(?:https?:\/\/)?(?:[^@\n]+@)?(?:www\.)?([^:\/\n]+)"")),"""")"),"greenleafpestcontrol.com")</f>
        <v>greenleafpestcontrol.com</v>
      </c>
    </row>
    <row r="1671" spans="1:2" ht="12.5">
      <c r="A1671" s="5" t="s">
        <v>1926</v>
      </c>
      <c r="B1671" s="7" t="str">
        <f ca="1">IFERROR(__xludf.DUMMYFUNCTION("IFERROR(ARRAYFORMULA(REGEXEXTRACT(A1671,""^(?:https?:\/\/)?(?:[^@\n]+@)?(?:www\.)?([^:\/\n]+)"")),"""")"),"florida.realestate")</f>
        <v>florida.realestate</v>
      </c>
    </row>
    <row r="1672" spans="1:2" ht="12.5">
      <c r="A1672" s="3" t="s">
        <v>1927</v>
      </c>
      <c r="B1672" s="4" t="str">
        <f ca="1">IFERROR(__xludf.DUMMYFUNCTION("IFERROR(ARRAYFORMULA(REGEXEXTRACT(A1672,""^(?:https?:\/\/)?(?:[^@\n]+@)?(?:www\.)?([^:\/\n]+)"")),"""")"),"steamboatsprings-realestate.com")</f>
        <v>steamboatsprings-realestate.com</v>
      </c>
    </row>
    <row r="1673" spans="1:2" ht="12.5">
      <c r="A1673" s="3" t="s">
        <v>1928</v>
      </c>
      <c r="B1673" s="4" t="str">
        <f ca="1">IFERROR(__xludf.DUMMYFUNCTION("IFERROR(ARRAYFORMULA(REGEXEXTRACT(A1673,""^(?:https?:\/\/)?(?:[^@\n]+@)?(?:www\.)?([^:\/\n]+)"")),"""")"),"sterlingedmonton.com")</f>
        <v>sterlingedmonton.com</v>
      </c>
    </row>
    <row r="1674" spans="1:2" ht="12.5">
      <c r="A1674" s="3" t="s">
        <v>1929</v>
      </c>
      <c r="B1674" s="4" t="str">
        <f ca="1">IFERROR(__xludf.DUMMYFUNCTION("IFERROR(ARRAYFORMULA(REGEXEXTRACT(A1674,""^(?:https?:\/\/)?(?:[^@\n]+@)?(?:www\.)?([^:\/\n]+)"")),"""")"),"delrentals.com")</f>
        <v>delrentals.com</v>
      </c>
    </row>
    <row r="1675" spans="1:2" ht="12.5">
      <c r="A1675" s="3" t="s">
        <v>1930</v>
      </c>
      <c r="B1675" s="4" t="str">
        <f ca="1">IFERROR(__xludf.DUMMYFUNCTION("IFERROR(ARRAYFORMULA(REGEXEXTRACT(A1675,""^(?:https?:\/\/)?(?:[^@\n]+@)?(?:www\.)?([^:\/\n]+)"")),"""")"),"lancasterlogcabins.com")</f>
        <v>lancasterlogcabins.com</v>
      </c>
    </row>
    <row r="1676" spans="1:2" ht="12.5">
      <c r="A1676" s="3" t="s">
        <v>1931</v>
      </c>
      <c r="B1676" s="4" t="str">
        <f ca="1">IFERROR(__xludf.DUMMYFUNCTION("IFERROR(ARRAYFORMULA(REGEXEXTRACT(A1676,""^(?:https?:\/\/)?(?:[^@\n]+@)?(?:www\.)?([^:\/\n]+)"")),"""")"),"fantastic-removals.co.uk")</f>
        <v>fantastic-removals.co.uk</v>
      </c>
    </row>
    <row r="1677" spans="1:2" ht="12.5">
      <c r="A1677" s="3" t="s">
        <v>1932</v>
      </c>
      <c r="B1677" s="4" t="str">
        <f ca="1">IFERROR(__xludf.DUMMYFUNCTION("IFERROR(ARRAYFORMULA(REGEXEXTRACT(A1677,""^(?:https?:\/\/)?(?:[^@\n]+@)?(?:www\.)?([^:\/\n]+)"")),"""")"),"citiquiet.com")</f>
        <v>citiquiet.com</v>
      </c>
    </row>
    <row r="1678" spans="1:2" ht="12.5">
      <c r="A1678" s="3" t="s">
        <v>1933</v>
      </c>
      <c r="B1678" s="4" t="str">
        <f ca="1">IFERROR(__xludf.DUMMYFUNCTION("IFERROR(ARRAYFORMULA(REGEXEXTRACT(A1678,""^(?:https?:\/\/)?(?:[^@\n]+@)?(?:www\.)?([^:\/\n]+)"")),"""")"),"promenaid.com")</f>
        <v>promenaid.com</v>
      </c>
    </row>
    <row r="1679" spans="1:2" ht="12.5">
      <c r="A1679" s="3" t="s">
        <v>1934</v>
      </c>
      <c r="B1679" s="4" t="str">
        <f ca="1">IFERROR(__xludf.DUMMYFUNCTION("IFERROR(ARRAYFORMULA(REGEXEXTRACT(A1679,""^(?:https?:\/\/)?(?:[^@\n]+@)?(?:www\.)?([^:\/\n]+)"")),"""")"),"andrewgconstruction.com")</f>
        <v>andrewgconstruction.com</v>
      </c>
    </row>
    <row r="1680" spans="1:2" ht="12.5">
      <c r="A1680" s="3" t="s">
        <v>1935</v>
      </c>
      <c r="B1680" s="4" t="str">
        <f ca="1">IFERROR(__xludf.DUMMYFUNCTION("IFERROR(ARRAYFORMULA(REGEXEXTRACT(A1680,""^(?:https?:\/\/)?(?:[^@\n]+@)?(?:www\.)?([^:\/\n]+)"")),"""")"),"zandawealth.com.au")</f>
        <v>zandawealth.com.au</v>
      </c>
    </row>
    <row r="1681" spans="1:2" ht="12.5">
      <c r="A1681" s="3" t="s">
        <v>1936</v>
      </c>
      <c r="B1681" s="4" t="str">
        <f ca="1">IFERROR(__xludf.DUMMYFUNCTION("IFERROR(ARRAYFORMULA(REGEXEXTRACT(A1681,""^(?:https?:\/\/)?(?:[^@\n]+@)?(?:www\.)?([^:\/\n]+)"")),"""")"),"luxurybathnjpa.com")</f>
        <v>luxurybathnjpa.com</v>
      </c>
    </row>
    <row r="1682" spans="1:2" ht="12.5">
      <c r="A1682" s="3" t="s">
        <v>1937</v>
      </c>
      <c r="B1682" s="4" t="str">
        <f ca="1">IFERROR(__xludf.DUMMYFUNCTION("IFERROR(ARRAYFORMULA(REGEXEXTRACT(A1682,""^(?:https?:\/\/)?(?:[^@\n]+@)?(?:www\.)?([^:\/\n]+)"")),"""")"),"dspacestudio.com")</f>
        <v>dspacestudio.com</v>
      </c>
    </row>
    <row r="1683" spans="1:2" ht="12.5">
      <c r="A1683" s="3" t="s">
        <v>1938</v>
      </c>
      <c r="B1683" s="4" t="str">
        <f ca="1">IFERROR(__xludf.DUMMYFUNCTION("IFERROR(ARRAYFORMULA(REGEXEXTRACT(A1683,""^(?:https?:\/\/)?(?:[^@\n]+@)?(?:www\.)?([^:\/\n]+)"")),"""")"),"hellamaid.ca")</f>
        <v>hellamaid.ca</v>
      </c>
    </row>
    <row r="1684" spans="1:2" ht="12.5">
      <c r="A1684" s="3" t="s">
        <v>1939</v>
      </c>
      <c r="B1684" s="4" t="str">
        <f ca="1">IFERROR(__xludf.DUMMYFUNCTION("IFERROR(ARRAYFORMULA(REGEXEXTRACT(A1684,""^(?:https?:\/\/)?(?:[^@\n]+@)?(?:www\.)?([^:\/\n]+)"")),"""")"),"fantasticcleaners.com")</f>
        <v>fantasticcleaners.com</v>
      </c>
    </row>
    <row r="1685" spans="1:2" ht="12.5">
      <c r="A1685" s="3" t="s">
        <v>1940</v>
      </c>
      <c r="B1685" s="4" t="str">
        <f ca="1">IFERROR(__xludf.DUMMYFUNCTION("IFERROR(ARRAYFORMULA(REGEXEXTRACT(A1685,""^(?:https?:\/\/)?(?:[^@\n]+@)?(?:www\.)?([^:\/\n]+)"")),"""")"),"sellingwarnerrobins.com")</f>
        <v>sellingwarnerrobins.com</v>
      </c>
    </row>
    <row r="1686" spans="1:2" ht="12.5">
      <c r="A1686" s="3" t="s">
        <v>1941</v>
      </c>
      <c r="B1686" s="4" t="str">
        <f ca="1">IFERROR(__xludf.DUMMYFUNCTION("IFERROR(ARRAYFORMULA(REGEXEXTRACT(A1686,""^(?:https?:\/\/)?(?:[^@\n]+@)?(?:www\.)?([^:\/\n]+)"")),"""")"),"getbellhops.com")</f>
        <v>getbellhops.com</v>
      </c>
    </row>
    <row r="1687" spans="1:2" ht="12.5">
      <c r="A1687" s="3" t="s">
        <v>1942</v>
      </c>
      <c r="B1687" s="4" t="str">
        <f ca="1">IFERROR(__xludf.DUMMYFUNCTION("IFERROR(ARRAYFORMULA(REGEXEXTRACT(A1687,""^(?:https?:\/\/)?(?:[^@\n]+@)?(?:www\.)?([^:\/\n]+)"")),"""")"),"bostonbestrate.com")</f>
        <v>bostonbestrate.com</v>
      </c>
    </row>
    <row r="1688" spans="1:2" ht="12.5">
      <c r="A1688" s="3" t="s">
        <v>1943</v>
      </c>
      <c r="B1688" s="4" t="str">
        <f ca="1">IFERROR(__xludf.DUMMYFUNCTION("IFERROR(ARRAYFORMULA(REGEXEXTRACT(A1688,""^(?:https?:\/\/)?(?:[^@\n]+@)?(?:www\.)?([^:\/\n]+)"")),"""")"),"lawdepot.com")</f>
        <v>lawdepot.com</v>
      </c>
    </row>
    <row r="1689" spans="1:2" ht="12.5">
      <c r="A1689" s="3" t="s">
        <v>1944</v>
      </c>
      <c r="B1689" s="4" t="str">
        <f ca="1">IFERROR(__xludf.DUMMYFUNCTION("IFERROR(ARRAYFORMULA(REGEXEXTRACT(A1689,""^(?:https?:\/\/)?(?:[^@\n]+@)?(?:www\.)?([^:\/\n]+)"")),"""")"),"realpropertymgt.com")</f>
        <v>realpropertymgt.com</v>
      </c>
    </row>
    <row r="1690" spans="1:2" ht="12.5">
      <c r="A1690" s="3" t="s">
        <v>1945</v>
      </c>
      <c r="B1690" s="4" t="str">
        <f ca="1">IFERROR(__xludf.DUMMYFUNCTION("IFERROR(ARRAYFORMULA(REGEXEXTRACT(A1690,""^(?:https?:\/\/)?(?:[^@\n]+@)?(?:www\.)?([^:\/\n]+)"")),"""")"),"1dayrefinishing.com")</f>
        <v>1dayrefinishing.com</v>
      </c>
    </row>
    <row r="1691" spans="1:2" ht="12.5">
      <c r="A1691" s="3" t="s">
        <v>1946</v>
      </c>
      <c r="B1691" s="4" t="str">
        <f ca="1">IFERROR(__xludf.DUMMYFUNCTION("IFERROR(ARRAYFORMULA(REGEXEXTRACT(A1691,""^(?:https?:\/\/)?(?:[^@\n]+@)?(?:www\.)?([^:\/\n]+)"")),"""")"),"rent360.com.au")</f>
        <v>rent360.com.au</v>
      </c>
    </row>
    <row r="1692" spans="1:2" ht="12.5">
      <c r="A1692" s="3" t="s">
        <v>1947</v>
      </c>
      <c r="B1692" s="4" t="str">
        <f ca="1">IFERROR(__xludf.DUMMYFUNCTION("IFERROR(ARRAYFORMULA(REGEXEXTRACT(A1692,""^(?:https?:\/\/)?(?:[^@\n]+@)?(?:www\.)?([^:\/\n]+)"")),"""")"),"thelockup.com")</f>
        <v>thelockup.com</v>
      </c>
    </row>
    <row r="1693" spans="1:2" ht="12.5">
      <c r="A1693" s="3" t="s">
        <v>1948</v>
      </c>
      <c r="B1693" s="4" t="str">
        <f ca="1">IFERROR(__xludf.DUMMYFUNCTION("IFERROR(ARRAYFORMULA(REGEXEXTRACT(A1693,""^(?:https?:\/\/)?(?:[^@\n]+@)?(?:www\.)?([^:\/\n]+)"")),"""")"),"notarize.com")</f>
        <v>notarize.com</v>
      </c>
    </row>
    <row r="1694" spans="1:2" ht="12.5">
      <c r="A1694" s="3" t="s">
        <v>1949</v>
      </c>
      <c r="B1694" s="4" t="str">
        <f ca="1">IFERROR(__xludf.DUMMYFUNCTION("IFERROR(ARRAYFORMULA(REGEXEXTRACT(A1694,""^(?:https?:\/\/)?(?:[^@\n]+@)?(?:www\.)?([^:\/\n]+)"")),"""")"),"getmovedtoday.com")</f>
        <v>getmovedtoday.com</v>
      </c>
    </row>
    <row r="1695" spans="1:2" ht="12.5">
      <c r="A1695" s="3" t="s">
        <v>1950</v>
      </c>
      <c r="B1695" s="4" t="str">
        <f ca="1">IFERROR(__xludf.DUMMYFUNCTION("IFERROR(ARRAYFORMULA(REGEXEXTRACT(A1695,""^(?:https?:\/\/)?(?:[^@\n]+@)?(?:www\.)?([^:\/\n]+)"")),"""")"),"libertyhousebuyinggroup.com")</f>
        <v>libertyhousebuyinggroup.com</v>
      </c>
    </row>
    <row r="1696" spans="1:2" ht="12.5">
      <c r="A1696" s="3" t="s">
        <v>1951</v>
      </c>
      <c r="B1696" s="4" t="str">
        <f ca="1">IFERROR(__xludf.DUMMYFUNCTION("IFERROR(ARRAYFORMULA(REGEXEXTRACT(A1696,""^(?:https?:\/\/)?(?:[^@\n]+@)?(?:www\.)?([^:\/\n]+)"")),"""")"),"movesandmore.com")</f>
        <v>movesandmore.com</v>
      </c>
    </row>
    <row r="1697" spans="1:2" ht="12.5">
      <c r="A1697" s="3" t="s">
        <v>1952</v>
      </c>
      <c r="B1697" s="4" t="str">
        <f ca="1">IFERROR(__xludf.DUMMYFUNCTION("IFERROR(ARRAYFORMULA(REGEXEXTRACT(A1697,""^(?:https?:\/\/)?(?:[^@\n]+@)?(?:www\.)?([^:\/\n]+)"")),"""")"),"kenlow.com.au")</f>
        <v>kenlow.com.au</v>
      </c>
    </row>
    <row r="1698" spans="1:2" ht="12.5">
      <c r="A1698" s="3" t="s">
        <v>1953</v>
      </c>
      <c r="B1698" s="4" t="str">
        <f ca="1">IFERROR(__xludf.DUMMYFUNCTION("IFERROR(ARRAYFORMULA(REGEXEXTRACT(A1698,""^(?:https?:\/\/)?(?:[^@\n]+@)?(?:www\.)?([^:\/\n]+)"")),"""")"),"magnushomeproducts.com")</f>
        <v>magnushomeproducts.com</v>
      </c>
    </row>
    <row r="1699" spans="1:2" ht="12.5">
      <c r="A1699" s="3" t="s">
        <v>1954</v>
      </c>
      <c r="B1699" s="4" t="str">
        <f ca="1">IFERROR(__xludf.DUMMYFUNCTION("IFERROR(ARRAYFORMULA(REGEXEXTRACT(A1699,""^(?:https?:\/\/)?(?:[^@\n]+@)?(?:www\.)?([^:\/\n]+)"")),"""")"),"goodmove.co.uk")</f>
        <v>goodmove.co.uk</v>
      </c>
    </row>
    <row r="1700" spans="1:2" ht="12.5">
      <c r="A1700" s="3" t="s">
        <v>1955</v>
      </c>
      <c r="B1700" s="4" t="str">
        <f ca="1">IFERROR(__xludf.DUMMYFUNCTION("IFERROR(ARRAYFORMULA(REGEXEXTRACT(A1700,""^(?:https?:\/\/)?(?:[^@\n]+@)?(?:www\.)?([^:\/\n]+)"")),"""")"),"hugeecorporation.com")</f>
        <v>hugeecorporation.com</v>
      </c>
    </row>
    <row r="1701" spans="1:2" ht="12.5">
      <c r="A1701" s="3" t="s">
        <v>1956</v>
      </c>
      <c r="B1701" s="4" t="str">
        <f ca="1">IFERROR(__xludf.DUMMYFUNCTION("IFERROR(ARRAYFORMULA(REGEXEXTRACT(A1701,""^(?:https?:\/\/)?(?:[^@\n]+@)?(?:www\.)?([^:\/\n]+)"")),"""")"),"spacerefinery.com")</f>
        <v>spacerefinery.com</v>
      </c>
    </row>
    <row r="1702" spans="1:2" ht="12.5">
      <c r="A1702" s="3" t="s">
        <v>1957</v>
      </c>
      <c r="B1702" s="4" t="str">
        <f ca="1">IFERROR(__xludf.DUMMYFUNCTION("IFERROR(ARRAYFORMULA(REGEXEXTRACT(A1702,""^(?:https?:\/\/)?(?:[^@\n]+@)?(?:www\.)?([^:\/\n]+)"")),"""")"),"vmcstone.com")</f>
        <v>vmcstone.com</v>
      </c>
    </row>
    <row r="1703" spans="1:2" ht="12.5">
      <c r="A1703" s="3" t="s">
        <v>1958</v>
      </c>
      <c r="B1703" s="4" t="str">
        <f ca="1">IFERROR(__xludf.DUMMYFUNCTION("IFERROR(ARRAYFORMULA(REGEXEXTRACT(A1703,""^(?:https?:\/\/)?(?:[^@\n]+@)?(?:www\.)?([^:\/\n]+)"")),"""")"),"gowellnest.com")</f>
        <v>gowellnest.com</v>
      </c>
    </row>
    <row r="1704" spans="1:2" ht="12.5">
      <c r="A1704" s="3" t="s">
        <v>1959</v>
      </c>
      <c r="B1704" s="4" t="str">
        <f ca="1">IFERROR(__xludf.DUMMYFUNCTION("IFERROR(ARRAYFORMULA(REGEXEXTRACT(A1704,""^(?:https?:\/\/)?(?:[^@\n]+@)?(?:www\.)?([^:\/\n]+)"")),"""")"),"heatherallendesigngroup.com")</f>
        <v>heatherallendesigngroup.com</v>
      </c>
    </row>
    <row r="1705" spans="1:2" ht="12.5">
      <c r="A1705" s="3" t="s">
        <v>1960</v>
      </c>
      <c r="B1705" s="4" t="str">
        <f ca="1">IFERROR(__xludf.DUMMYFUNCTION("IFERROR(ARRAYFORMULA(REGEXEXTRACT(A1705,""^(?:https?:\/\/)?(?:[^@\n]+@)?(?:www\.)?([^:\/\n]+)"")),"""")"),"iwillbuyyourhouseforcash.com")</f>
        <v>iwillbuyyourhouseforcash.com</v>
      </c>
    </row>
    <row r="1706" spans="1:2" ht="12.5">
      <c r="A1706" s="3" t="s">
        <v>1961</v>
      </c>
      <c r="B1706" s="4" t="str">
        <f ca="1">IFERROR(__xludf.DUMMYFUNCTION("IFERROR(ARRAYFORMULA(REGEXEXTRACT(A1706,""^(?:https?:\/\/)?(?:[^@\n]+@)?(?:www\.)?([^:\/\n]+)"")),"""")"),"kitsaphomepro.com")</f>
        <v>kitsaphomepro.com</v>
      </c>
    </row>
    <row r="1707" spans="1:2" ht="12.5">
      <c r="A1707" s="3" t="s">
        <v>1962</v>
      </c>
      <c r="B1707" s="4" t="str">
        <f ca="1">IFERROR(__xludf.DUMMYFUNCTION("IFERROR(ARRAYFORMULA(REGEXEXTRACT(A1707,""^(?:https?:\/\/)?(?:[^@\n]+@)?(?:www\.)?([^:\/\n]+)"")),"""")"),"superbrothers.com")</f>
        <v>superbrothers.com</v>
      </c>
    </row>
    <row r="1708" spans="1:2" ht="12.5">
      <c r="A1708" s="3" t="s">
        <v>1963</v>
      </c>
      <c r="B1708" s="4" t="str">
        <f ca="1">IFERROR(__xludf.DUMMYFUNCTION("IFERROR(ARRAYFORMULA(REGEXEXTRACT(A1708,""^(?:https?:\/\/)?(?:[^@\n]+@)?(?:www\.)?([^:\/\n]+)"")),"""")"),"tubcoaters.com")</f>
        <v>tubcoaters.com</v>
      </c>
    </row>
    <row r="1709" spans="1:2" ht="12.5">
      <c r="A1709" s="3" t="s">
        <v>1964</v>
      </c>
      <c r="B1709" s="4" t="str">
        <f ca="1">IFERROR(__xludf.DUMMYFUNCTION("IFERROR(ARRAYFORMULA(REGEXEXTRACT(A1709,""^(?:https?:\/\/)?(?:[^@\n]+@)?(?:www\.)?([^:\/\n]+)"")),"""")"),"eclisse.co.uk")</f>
        <v>eclisse.co.uk</v>
      </c>
    </row>
    <row r="1710" spans="1:2" ht="12.5">
      <c r="A1710" s="3" t="s">
        <v>1965</v>
      </c>
      <c r="B1710" s="4" t="str">
        <f ca="1">IFERROR(__xludf.DUMMYFUNCTION("IFERROR(ARRAYFORMULA(REGEXEXTRACT(A1710,""^(?:https?:\/\/)?(?:[^@\n]+@)?(?:www\.)?([^:\/\n]+)"")),"""")"),"keystonecustomhome.com")</f>
        <v>keystonecustomhome.com</v>
      </c>
    </row>
    <row r="1711" spans="1:2" ht="12.5">
      <c r="A1711" s="3" t="s">
        <v>1966</v>
      </c>
      <c r="B1711" s="4" t="str">
        <f ca="1">IFERROR(__xludf.DUMMYFUNCTION("IFERROR(ARRAYFORMULA(REGEXEXTRACT(A1711,""^(?:https?:\/\/)?(?:[^@\n]+@)?(?:www\.)?([^:\/\n]+)"")),"""")"),"wrenkitchens.com")</f>
        <v>wrenkitchens.com</v>
      </c>
    </row>
    <row r="1712" spans="1:2" ht="12.5">
      <c r="A1712" s="3" t="s">
        <v>1967</v>
      </c>
      <c r="B1712" s="4" t="str">
        <f ca="1">IFERROR(__xludf.DUMMYFUNCTION("IFERROR(ARRAYFORMULA(REGEXEXTRACT(A1712,""^(?:https?:\/\/)?(?:[^@\n]+@)?(?:www\.)?([^:\/\n]+)"")),"""")"),"kitchensredefined.com")</f>
        <v>kitchensredefined.com</v>
      </c>
    </row>
    <row r="1713" spans="1:2" ht="12.5">
      <c r="A1713" s="3" t="s">
        <v>1968</v>
      </c>
      <c r="B1713" s="4" t="str">
        <f ca="1">IFERROR(__xludf.DUMMYFUNCTION("IFERROR(ARRAYFORMULA(REGEXEXTRACT(A1713,""^(?:https?:\/\/)?(?:[^@\n]+@)?(?:www\.)?([^:\/\n]+)"")),"""")"),"flooringking.co.uk")</f>
        <v>flooringking.co.uk</v>
      </c>
    </row>
    <row r="1714" spans="1:2" ht="12.5">
      <c r="A1714" s="3" t="s">
        <v>1969</v>
      </c>
      <c r="B1714" s="4" t="str">
        <f ca="1">IFERROR(__xludf.DUMMYFUNCTION("IFERROR(ARRAYFORMULA(REGEXEXTRACT(A1714,""^(?:https?:\/\/)?(?:[^@\n]+@)?(?:www\.)?([^:\/\n]+)"")),"""")"),"barkerandstonehouse.co.uk")</f>
        <v>barkerandstonehouse.co.uk</v>
      </c>
    </row>
    <row r="1715" spans="1:2" ht="12.5">
      <c r="A1715" s="3" t="s">
        <v>1970</v>
      </c>
      <c r="B1715" s="4" t="str">
        <f ca="1">IFERROR(__xludf.DUMMYFUNCTION("IFERROR(ARRAYFORMULA(REGEXEXTRACT(A1715,""^(?:https?:\/\/)?(?:[^@\n]+@)?(?:www\.)?([^:\/\n]+)"")),"""")"),"stonesuperstore.co.uk")</f>
        <v>stonesuperstore.co.uk</v>
      </c>
    </row>
    <row r="1716" spans="1:2" ht="12.5">
      <c r="A1716" s="3" t="s">
        <v>1971</v>
      </c>
      <c r="B1716" s="4" t="str">
        <f ca="1">IFERROR(__xludf.DUMMYFUNCTION("IFERROR(ARRAYFORMULA(REGEXEXTRACT(A1716,""^(?:https?:\/\/)?(?:[^@\n]+@)?(?:www\.)?([^:\/\n]+)"")),"""")"),"thelivinghouse.co.uk")</f>
        <v>thelivinghouse.co.uk</v>
      </c>
    </row>
    <row r="1717" spans="1:2" ht="12.5">
      <c r="A1717" s="3" t="s">
        <v>1972</v>
      </c>
      <c r="B1717" s="4" t="str">
        <f ca="1">IFERROR(__xludf.DUMMYFUNCTION("IFERROR(ARRAYFORMULA(REGEXEXTRACT(A1717,""^(?:https?:\/\/)?(?:[^@\n]+@)?(?:www\.)?([^:\/\n]+)"")),"""")"),"eaglecarports.com")</f>
        <v>eaglecarports.com</v>
      </c>
    </row>
    <row r="1718" spans="1:2" ht="12.5">
      <c r="A1718" s="3" t="s">
        <v>1973</v>
      </c>
      <c r="B1718" s="4" t="str">
        <f ca="1">IFERROR(__xludf.DUMMYFUNCTION("IFERROR(ARRAYFORMULA(REGEXEXTRACT(A1718,""^(?:https?:\/\/)?(?:[^@\n]+@)?(?:www\.)?([^:\/\n]+)"")),"""")"),"metthermwindows.co.uk")</f>
        <v>metthermwindows.co.uk</v>
      </c>
    </row>
    <row r="1719" spans="1:2" ht="12.5">
      <c r="A1719" s="3" t="s">
        <v>1974</v>
      </c>
      <c r="B1719" s="4" t="str">
        <f ca="1">IFERROR(__xludf.DUMMYFUNCTION("IFERROR(ARRAYFORMULA(REGEXEXTRACT(A1719,""^(?:https?:\/\/)?(?:[^@\n]+@)?(?:www\.)?([^:\/\n]+)"")),"""")"),"bagnalls.co.uk")</f>
        <v>bagnalls.co.uk</v>
      </c>
    </row>
    <row r="1720" spans="1:2" ht="12.5">
      <c r="A1720" s="3" t="s">
        <v>1975</v>
      </c>
      <c r="B1720" s="4" t="str">
        <f ca="1">IFERROR(__xludf.DUMMYFUNCTION("IFERROR(ARRAYFORMULA(REGEXEXTRACT(A1720,""^(?:https?:\/\/)?(?:[^@\n]+@)?(?:www\.)?([^:\/\n]+)"")),"""")"),"propertywire.com")</f>
        <v>propertywire.com</v>
      </c>
    </row>
    <row r="1721" spans="1:2" ht="12.5">
      <c r="A1721" s="3" t="s">
        <v>1976</v>
      </c>
      <c r="B1721" s="4" t="str">
        <f ca="1">IFERROR(__xludf.DUMMYFUNCTION("IFERROR(ARRAYFORMULA(REGEXEXTRACT(A1721,""^(?:https?:\/\/)?(?:[^@\n]+@)?(?:www\.)?([^:\/\n]+)"")),"""")"),"tapi.co.uk")</f>
        <v>tapi.co.uk</v>
      </c>
    </row>
    <row r="1722" spans="1:2" ht="12.5">
      <c r="A1722" s="3" t="s">
        <v>1977</v>
      </c>
      <c r="B1722" s="4" t="str">
        <f ca="1">IFERROR(__xludf.DUMMYFUNCTION("IFERROR(ARRAYFORMULA(REGEXEXTRACT(A1722,""^(?:https?:\/\/)?(?:[^@\n]+@)?(?:www\.)?([^:\/\n]+)"")),"""")"),"louvretec.com.au")</f>
        <v>louvretec.com.au</v>
      </c>
    </row>
    <row r="1723" spans="1:2" ht="12.5">
      <c r="A1723" s="3" t="s">
        <v>1978</v>
      </c>
      <c r="B1723" s="4" t="str">
        <f ca="1">IFERROR(__xludf.DUMMYFUNCTION("IFERROR(ARRAYFORMULA(REGEXEXTRACT(A1723,""^(?:https?:\/\/)?(?:[^@\n]+@)?(?:www\.)?([^:\/\n]+)"")),"""")"),"nthdegree.co.uk")</f>
        <v>nthdegree.co.uk</v>
      </c>
    </row>
    <row r="1724" spans="1:2" ht="12.5">
      <c r="A1724" s="3" t="s">
        <v>1979</v>
      </c>
      <c r="B1724" s="4" t="str">
        <f ca="1">IFERROR(__xludf.DUMMYFUNCTION("IFERROR(ARRAYFORMULA(REGEXEXTRACT(A1724,""^(?:https?:\/\/)?(?:[^@\n]+@)?(?:www\.)?([^:\/\n]+)"")),"""")"),"lussostone.com")</f>
        <v>lussostone.com</v>
      </c>
    </row>
    <row r="1725" spans="1:2" ht="12.5">
      <c r="A1725" s="3" t="s">
        <v>1980</v>
      </c>
      <c r="B1725" s="4" t="str">
        <f ca="1">IFERROR(__xludf.DUMMYFUNCTION("IFERROR(ARRAYFORMULA(REGEXEXTRACT(A1725,""^(?:https?:\/\/)?(?:[^@\n]+@)?(?:www\.)?([^:\/\n]+)"")),"""")"),"comparemymove.com")</f>
        <v>comparemymove.com</v>
      </c>
    </row>
    <row r="1726" spans="1:2" ht="12.5">
      <c r="A1726" s="3" t="s">
        <v>1981</v>
      </c>
      <c r="B1726" s="4" t="str">
        <f ca="1">IFERROR(__xludf.DUMMYFUNCTION("IFERROR(ARRAYFORMULA(REGEXEXTRACT(A1726,""^(?:https?:\/\/)?(?:[^@\n]+@)?(?:www\.)?([^:\/\n]+)"")),"""")"),"buildguardian.com")</f>
        <v>buildguardian.com</v>
      </c>
    </row>
    <row r="1727" spans="1:2" ht="12.5">
      <c r="A1727" s="3" t="s">
        <v>1982</v>
      </c>
      <c r="B1727" s="4" t="str">
        <f ca="1">IFERROR(__xludf.DUMMYFUNCTION("IFERROR(ARRAYFORMULA(REGEXEXTRACT(A1727,""^(?:https?:\/\/)?(?:[^@\n]+@)?(?:www\.)?([^:\/\n]+)"")),"""")"),"bigcabin.com")</f>
        <v>bigcabin.com</v>
      </c>
    </row>
    <row r="1728" spans="1:2" ht="12.5">
      <c r="A1728" s="3" t="s">
        <v>1983</v>
      </c>
      <c r="B1728" s="4" t="str">
        <f ca="1">IFERROR(__xludf.DUMMYFUNCTION("IFERROR(ARRAYFORMULA(REGEXEXTRACT(A1728,""^(?:https?:\/\/)?(?:[^@\n]+@)?(?:www\.)?([^:\/\n]+)"")),"""")"),"architectsjournal.co.uk")</f>
        <v>architectsjournal.co.uk</v>
      </c>
    </row>
    <row r="1729" spans="1:2" ht="12.5">
      <c r="A1729" s="3" t="s">
        <v>1984</v>
      </c>
      <c r="B1729" s="4" t="str">
        <f ca="1">IFERROR(__xludf.DUMMYFUNCTION("IFERROR(ARRAYFORMULA(REGEXEXTRACT(A1729,""^(?:https?:\/\/)?(?:[^@\n]+@)?(?:www\.)?([^:\/\n]+)"")),"""")"),"propertytaxloanpros.com")</f>
        <v>propertytaxloanpros.com</v>
      </c>
    </row>
    <row r="1730" spans="1:2" ht="12.5">
      <c r="A1730" s="3" t="s">
        <v>1985</v>
      </c>
      <c r="B1730" s="4" t="str">
        <f ca="1">IFERROR(__xludf.DUMMYFUNCTION("IFERROR(ARRAYFORMULA(REGEXEXTRACT(A1730,""^(?:https?:\/\/)?(?:[^@\n]+@)?(?:www\.)?([^:\/\n]+)"")),"""")"),"armstone.com.au")</f>
        <v>armstone.com.au</v>
      </c>
    </row>
    <row r="1731" spans="1:2" ht="12.5">
      <c r="A1731" s="3" t="s">
        <v>1986</v>
      </c>
      <c r="B1731" s="4" t="str">
        <f ca="1">IFERROR(__xludf.DUMMYFUNCTION("IFERROR(ARRAYFORMULA(REGEXEXTRACT(A1731,""^(?:https?:\/\/)?(?:[^@\n]+@)?(?:www\.)?([^:\/\n]+)"")),"""")"),"windows-doors-uk.co.uk")</f>
        <v>windows-doors-uk.co.uk</v>
      </c>
    </row>
    <row r="1732" spans="1:2" ht="12.5">
      <c r="A1732" s="3" t="s">
        <v>1987</v>
      </c>
      <c r="B1732" s="4" t="str">
        <f ca="1">IFERROR(__xludf.DUMMYFUNCTION("IFERROR(ARRAYFORMULA(REGEXEXTRACT(A1732,""^(?:https?:\/\/)?(?:[^@\n]+@)?(?:www\.)?([^:\/\n]+)"")),"""")"),"contractornerd.com")</f>
        <v>contractornerd.com</v>
      </c>
    </row>
    <row r="1733" spans="1:2" ht="12.5">
      <c r="A1733" s="3" t="s">
        <v>1988</v>
      </c>
      <c r="B1733" s="4" t="str">
        <f ca="1">IFERROR(__xludf.DUMMYFUNCTION("IFERROR(ARRAYFORMULA(REGEXEXTRACT(A1733,""^(?:https?:\/\/)?(?:[^@\n]+@)?(?:www\.)?([^:\/\n]+)"")),"""")"),"greenroofs.org")</f>
        <v>greenroofs.org</v>
      </c>
    </row>
    <row r="1734" spans="1:2" ht="12.5">
      <c r="A1734" s="3" t="s">
        <v>1989</v>
      </c>
      <c r="B1734" s="4" t="str">
        <f ca="1">IFERROR(__xludf.DUMMYFUNCTION("IFERROR(ARRAYFORMULA(REGEXEXTRACT(A1734,""^(?:https?:\/\/)?(?:[^@\n]+@)?(?:www\.)?([^:\/\n]+)"")),"""")"),"revolutionized.com")</f>
        <v>revolutionized.com</v>
      </c>
    </row>
    <row r="1735" spans="1:2" ht="12.5">
      <c r="A1735" s="3" t="s">
        <v>1990</v>
      </c>
      <c r="B1735" s="4" t="str">
        <f ca="1">IFERROR(__xludf.DUMMYFUNCTION("IFERROR(ARRAYFORMULA(REGEXEXTRACT(A1735,""^(?:https?:\/\/)?(?:[^@\n]+@)?(?:www\.)?([^:\/\n]+)"")),"""")"),"smartpm.com")</f>
        <v>smartpm.com</v>
      </c>
    </row>
    <row r="1736" spans="1:2" ht="12.5">
      <c r="A1736" s="3" t="s">
        <v>1991</v>
      </c>
      <c r="B1736" s="4" t="str">
        <f ca="1">IFERROR(__xludf.DUMMYFUNCTION("IFERROR(ARRAYFORMULA(REGEXEXTRACT(A1736,""^(?:https?:\/\/)?(?:[^@\n]+@)?(?:www\.)?([^:\/\n]+)"")),"""")"),"redskyit.com")</f>
        <v>redskyit.com</v>
      </c>
    </row>
    <row r="1737" spans="1:2" ht="12.5">
      <c r="A1737" s="3" t="s">
        <v>1992</v>
      </c>
      <c r="B1737" s="4" t="str">
        <f ca="1">IFERROR(__xludf.DUMMYFUNCTION("IFERROR(ARRAYFORMULA(REGEXEXTRACT(A1737,""^(?:https?:\/\/)?(?:[^@\n]+@)?(?:www\.)?([^:\/\n]+)"")),"""")"),"dotsidewalkrepairnyc.com")</f>
        <v>dotsidewalkrepairnyc.com</v>
      </c>
    </row>
    <row r="1738" spans="1:2" ht="12.5">
      <c r="A1738" s="3" t="s">
        <v>1993</v>
      </c>
      <c r="B1738" s="4" t="str">
        <f ca="1">IFERROR(__xludf.DUMMYFUNCTION("IFERROR(ARRAYFORMULA(REGEXEXTRACT(A1738,""^(?:https?:\/\/)?(?:[^@\n]+@)?(?:www\.)?([^:\/\n]+)"")),"""")"),"erectarack.com.au")</f>
        <v>erectarack.com.au</v>
      </c>
    </row>
    <row r="1739" spans="1:2" ht="12.5">
      <c r="A1739" s="3" t="s">
        <v>1994</v>
      </c>
      <c r="B1739" s="4" t="str">
        <f ca="1">IFERROR(__xludf.DUMMYFUNCTION("IFERROR(ARRAYFORMULA(REGEXEXTRACT(A1739,""^(?:https?:\/\/)?(?:[^@\n]+@)?(?:www\.)?([^:\/\n]+)"")),"""")"),"homehow.co.uk")</f>
        <v>homehow.co.uk</v>
      </c>
    </row>
    <row r="1740" spans="1:2" ht="12.5">
      <c r="A1740" s="3" t="s">
        <v>1995</v>
      </c>
      <c r="B1740" s="4" t="str">
        <f ca="1">IFERROR(__xludf.DUMMYFUNCTION("IFERROR(ARRAYFORMULA(REGEXEXTRACT(A1740,""^(?:https?:\/\/)?(?:[^@\n]+@)?(?:www\.)?([^:\/\n]+)"")),"""")"),"homeadviceguide.com")</f>
        <v>homeadviceguide.com</v>
      </c>
    </row>
    <row r="1741" spans="1:2" ht="12.5">
      <c r="A1741" s="3" t="s">
        <v>1996</v>
      </c>
      <c r="B1741" s="4" t="str">
        <f ca="1">IFERROR(__xludf.DUMMYFUNCTION("IFERROR(ARRAYFORMULA(REGEXEXTRACT(A1741,""^(?:https?:\/\/)?(?:[^@\n]+@)?(?:www\.)?([^:\/\n]+)"")),"""")"),"pbctoday.co.uk")</f>
        <v>pbctoday.co.uk</v>
      </c>
    </row>
    <row r="1742" spans="1:2" ht="12.5">
      <c r="A1742" s="3" t="s">
        <v>1997</v>
      </c>
      <c r="B1742" s="4" t="str">
        <f ca="1">IFERROR(__xludf.DUMMYFUNCTION("IFERROR(ARRAYFORMULA(REGEXEXTRACT(A1742,""^(?:https?:\/\/)?(?:[^@\n]+@)?(?:www\.)?([^:\/\n]+)"")),"""")"),"aluprof.com")</f>
        <v>aluprof.com</v>
      </c>
    </row>
    <row r="1743" spans="1:2" ht="12.5">
      <c r="A1743" s="3" t="s">
        <v>1998</v>
      </c>
      <c r="B1743" s="4" t="str">
        <f ca="1">IFERROR(__xludf.DUMMYFUNCTION("IFERROR(ARRAYFORMULA(REGEXEXTRACT(A1743,""^(?:https?:\/\/)?(?:[^@\n]+@)?(?:www\.)?([^:\/\n]+)"")),"""")"),"salvoweb.com")</f>
        <v>salvoweb.com</v>
      </c>
    </row>
    <row r="1744" spans="1:2" ht="12.5">
      <c r="A1744" s="3" t="s">
        <v>1999</v>
      </c>
      <c r="B1744" s="4" t="str">
        <f ca="1">IFERROR(__xludf.DUMMYFUNCTION("IFERROR(ARRAYFORMULA(REGEXEXTRACT(A1744,""^(?:https?:\/\/)?(?:[^@\n]+@)?(?:www\.)?([^:\/\n]+)"")),"""")"),"jrcglasssolutions.com")</f>
        <v>jrcglasssolutions.com</v>
      </c>
    </row>
    <row r="1745" spans="1:2" ht="12.5">
      <c r="A1745" s="3" t="s">
        <v>2000</v>
      </c>
      <c r="B1745" s="4" t="str">
        <f ca="1">IFERROR(__xludf.DUMMYFUNCTION("IFERROR(ARRAYFORMULA(REGEXEXTRACT(A1745,""^(?:https?:\/\/)?(?:[^@\n]+@)?(?:www\.)?([^:\/\n]+)"")),"""")"),"newwaveav.co.uk")</f>
        <v>newwaveav.co.uk</v>
      </c>
    </row>
    <row r="1746" spans="1:2" ht="12.5">
      <c r="A1746" s="3" t="s">
        <v>2001</v>
      </c>
      <c r="B1746" s="4" t="str">
        <f ca="1">IFERROR(__xludf.DUMMYFUNCTION("IFERROR(ARRAYFORMULA(REGEXEXTRACT(A1746,""^(?:https?:\/\/)?(?:[^@\n]+@)?(?:www\.)?([^:\/\n]+)"")),"""")"),"wpldesign.com")</f>
        <v>wpldesign.com</v>
      </c>
    </row>
    <row r="1747" spans="1:2" ht="12.5">
      <c r="A1747" s="3" t="s">
        <v>2002</v>
      </c>
      <c r="B1747" s="4" t="str">
        <f ca="1">IFERROR(__xludf.DUMMYFUNCTION("IFERROR(ARRAYFORMULA(REGEXEXTRACT(A1747,""^(?:https?:\/\/)?(?:[^@\n]+@)?(?:www\.)?([^:\/\n]+)"")),"""")"),"almadeluce.com")</f>
        <v>almadeluce.com</v>
      </c>
    </row>
    <row r="1748" spans="1:2" ht="12.5">
      <c r="A1748" s="3" t="s">
        <v>2003</v>
      </c>
      <c r="B1748" s="4" t="str">
        <f ca="1">IFERROR(__xludf.DUMMYFUNCTION("IFERROR(ARRAYFORMULA(REGEXEXTRACT(A1748,""^(?:https?:\/\/)?(?:[^@\n]+@)?(?:www\.)?([^:\/\n]+)"")),"""")"),"inmotionrealestate.com")</f>
        <v>inmotionrealestate.com</v>
      </c>
    </row>
    <row r="1749" spans="1:2" ht="12.5">
      <c r="A1749" s="3" t="s">
        <v>2004</v>
      </c>
      <c r="B1749" s="4" t="str">
        <f ca="1">IFERROR(__xludf.DUMMYFUNCTION("IFERROR(ARRAYFORMULA(REGEXEXTRACT(A1749,""^(?:https?:\/\/)?(?:[^@\n]+@)?(?:www\.)?([^:\/\n]+)"")),"""")"),"kbbonline.com")</f>
        <v>kbbonline.com</v>
      </c>
    </row>
    <row r="1750" spans="1:2" ht="12.5">
      <c r="A1750" s="3" t="s">
        <v>2005</v>
      </c>
      <c r="B1750" s="4" t="str">
        <f ca="1">IFERROR(__xludf.DUMMYFUNCTION("IFERROR(ARRAYFORMULA(REGEXEXTRACT(A1750,""^(?:https?:\/\/)?(?:[^@\n]+@)?(?:www\.)?([^:\/\n]+)"")),"""")"),"a-abel.com")</f>
        <v>a-abel.com</v>
      </c>
    </row>
    <row r="1751" spans="1:2" ht="12.5">
      <c r="A1751" s="3" t="s">
        <v>2006</v>
      </c>
      <c r="B1751" s="4" t="str">
        <f ca="1">IFERROR(__xludf.DUMMYFUNCTION("IFERROR(ARRAYFORMULA(REGEXEXTRACT(A1751,""^(?:https?:\/\/)?(?:[^@\n]+@)?(?:www\.)?([^:\/\n]+)"")),"""")"),"epoxyguys.com")</f>
        <v>epoxyguys.com</v>
      </c>
    </row>
    <row r="1752" spans="1:2" ht="12.5">
      <c r="A1752" s="3" t="s">
        <v>2007</v>
      </c>
      <c r="B1752" s="4" t="str">
        <f ca="1">IFERROR(__xludf.DUMMYFUNCTION("IFERROR(ARRAYFORMULA(REGEXEXTRACT(A1752,""^(?:https?:\/\/)?(?:[^@\n]+@)?(?:www\.)?([^:\/\n]+)"")),"""")"),"sgaltd.co.nz")</f>
        <v>sgaltd.co.nz</v>
      </c>
    </row>
    <row r="1753" spans="1:2" ht="12.5">
      <c r="A1753" s="3" t="s">
        <v>2008</v>
      </c>
      <c r="B1753" s="4" t="str">
        <f ca="1">IFERROR(__xludf.DUMMYFUNCTION("IFERROR(ARRAYFORMULA(REGEXEXTRACT(A1753,""^(?:https?:\/\/)?(?:[^@\n]+@)?(?:www\.)?([^:\/\n]+)"")),"""")"),"goawaypestcontrol.com")</f>
        <v>goawaypestcontrol.com</v>
      </c>
    </row>
    <row r="1754" spans="1:2" ht="12.5">
      <c r="A1754" s="3" t="s">
        <v>2009</v>
      </c>
      <c r="B1754" s="4" t="str">
        <f ca="1">IFERROR(__xludf.DUMMYFUNCTION("IFERROR(ARRAYFORMULA(REGEXEXTRACT(A1754,""^(?:https?:\/\/)?(?:[^@\n]+@)?(?:www\.)?([^:\/\n]+)"")),"""")"),"rakkausfurniture.co.uk")</f>
        <v>rakkausfurniture.co.uk</v>
      </c>
    </row>
    <row r="1755" spans="1:2" ht="12.5">
      <c r="A1755" s="3" t="s">
        <v>2010</v>
      </c>
      <c r="B1755" s="4" t="str">
        <f ca="1">IFERROR(__xludf.DUMMYFUNCTION("IFERROR(ARRAYFORMULA(REGEXEXTRACT(A1755,""^(?:https?:\/\/)?(?:[^@\n]+@)?(?:www\.)?([^:\/\n]+)"")),"""")"),"hornetpestcontrol.net")</f>
        <v>hornetpestcontrol.net</v>
      </c>
    </row>
    <row r="1756" spans="1:2" ht="12.5">
      <c r="A1756" s="3" t="s">
        <v>2011</v>
      </c>
      <c r="B1756" s="4" t="str">
        <f ca="1">IFERROR(__xludf.DUMMYFUNCTION("IFERROR(ARRAYFORMULA(REGEXEXTRACT(A1756,""^(?:https?:\/\/)?(?:[^@\n]+@)?(?:www\.)?([^:\/\n]+)"")),"""")"),"mortgagesolutions.net")</f>
        <v>mortgagesolutions.net</v>
      </c>
    </row>
    <row r="1757" spans="1:2" ht="12.5">
      <c r="A1757" s="3" t="s">
        <v>2012</v>
      </c>
      <c r="B1757" s="4" t="str">
        <f ca="1">IFERROR(__xludf.DUMMYFUNCTION("IFERROR(ARRAYFORMULA(REGEXEXTRACT(A1757,""^(?:https?:\/\/)?(?:[^@\n]+@)?(?:www\.)?([^:\/\n]+)"")),"""")"),"homefire.co.uk")</f>
        <v>homefire.co.uk</v>
      </c>
    </row>
    <row r="1758" spans="1:2" ht="12.5">
      <c r="A1758" s="3" t="s">
        <v>2013</v>
      </c>
      <c r="B1758" s="4" t="str">
        <f ca="1">IFERROR(__xludf.DUMMYFUNCTION("IFERROR(ARRAYFORMULA(REGEXEXTRACT(A1758,""^(?:https?:\/\/)?(?:[^@\n]+@)?(?:www\.)?([^:\/\n]+)"")),"""")"),"armstrongflooring.au")</f>
        <v>armstrongflooring.au</v>
      </c>
    </row>
    <row r="1759" spans="1:2" ht="12.5">
      <c r="A1759" s="3" t="s">
        <v>2014</v>
      </c>
      <c r="B1759" s="4" t="str">
        <f ca="1">IFERROR(__xludf.DUMMYFUNCTION("IFERROR(ARRAYFORMULA(REGEXEXTRACT(A1759,""^(?:https?:\/\/)?(?:[^@\n]+@)?(?:www\.)?([^:\/\n]+)"")),"""")"),"freedomroofingmaine.com")</f>
        <v>freedomroofingmaine.com</v>
      </c>
    </row>
    <row r="1760" spans="1:2" ht="12.5">
      <c r="A1760" s="3" t="s">
        <v>2015</v>
      </c>
      <c r="B1760" s="4" t="str">
        <f ca="1">IFERROR(__xludf.DUMMYFUNCTION("IFERROR(ARRAYFORMULA(REGEXEXTRACT(A1760,""^(?:https?:\/\/)?(?:[^@\n]+@)?(?:www\.)?([^:\/\n]+)"")),"""")"),"gocamsolar.com")</f>
        <v>gocamsolar.com</v>
      </c>
    </row>
    <row r="1761" spans="1:2" ht="12.5">
      <c r="A1761" s="3" t="s">
        <v>2016</v>
      </c>
      <c r="B1761" s="4" t="str">
        <f ca="1">IFERROR(__xludf.DUMMYFUNCTION("IFERROR(ARRAYFORMULA(REGEXEXTRACT(A1761,""^(?:https?:\/\/)?(?:[^@\n]+@)?(?:www\.)?([^:\/\n]+)"")),"""")"),"kin.com")</f>
        <v>kin.com</v>
      </c>
    </row>
    <row r="1762" spans="1:2" ht="12.5">
      <c r="A1762" s="3" t="s">
        <v>2017</v>
      </c>
      <c r="B1762" s="4" t="str">
        <f ca="1">IFERROR(__xludf.DUMMYFUNCTION("IFERROR(ARRAYFORMULA(REGEXEXTRACT(A1762,""^(?:https?:\/\/)?(?:[^@\n]+@)?(?:www\.)?([^:\/\n]+)"")),"""")"),"clbarchitects.com")</f>
        <v>clbarchitects.com</v>
      </c>
    </row>
    <row r="1763" spans="1:2" ht="12.5">
      <c r="A1763" s="3" t="s">
        <v>2018</v>
      </c>
      <c r="B1763" s="4" t="str">
        <f ca="1">IFERROR(__xludf.DUMMYFUNCTION("IFERROR(ARRAYFORMULA(REGEXEXTRACT(A1763,""^(?:https?:\/\/)?(?:[^@\n]+@)?(?:www\.)?([^:\/\n]+)"")),"""")"),"blackhawkfloors.com")</f>
        <v>blackhawkfloors.com</v>
      </c>
    </row>
    <row r="1764" spans="1:2" ht="12.5">
      <c r="A1764" s="3" t="s">
        <v>2019</v>
      </c>
      <c r="B1764" s="4" t="str">
        <f ca="1">IFERROR(__xludf.DUMMYFUNCTION("IFERROR(ARRAYFORMULA(REGEXEXTRACT(A1764,""^(?:https?:\/\/)?(?:[^@\n]+@)?(?:www\.)?([^:\/\n]+)"")),"""")"),"phta.org")</f>
        <v>phta.org</v>
      </c>
    </row>
    <row r="1765" spans="1:2" ht="12.5">
      <c r="A1765" s="3" t="s">
        <v>2020</v>
      </c>
      <c r="B1765" s="4" t="str">
        <f ca="1">IFERROR(__xludf.DUMMYFUNCTION("IFERROR(ARRAYFORMULA(REGEXEXTRACT(A1765,""^(?:https?:\/\/)?(?:[^@\n]+@)?(?:www\.)?([^:\/\n]+)"")),"""")"),"harlowbros.co.uk")</f>
        <v>harlowbros.co.uk</v>
      </c>
    </row>
    <row r="1766" spans="1:2" ht="12.5">
      <c r="A1766" s="3" t="s">
        <v>2021</v>
      </c>
      <c r="B1766" s="4" t="str">
        <f ca="1">IFERROR(__xludf.DUMMYFUNCTION("IFERROR(ARRAYFORMULA(REGEXEXTRACT(A1766,""^(?:https?:\/\/)?(?:[^@\n]+@)?(?:www\.)?([^:\/\n]+)"")),"""")"),"montanstahl.com")</f>
        <v>montanstahl.com</v>
      </c>
    </row>
    <row r="1767" spans="1:2" ht="12.5">
      <c r="A1767" s="3" t="s">
        <v>2022</v>
      </c>
      <c r="B1767" s="4" t="str">
        <f ca="1">IFERROR(__xludf.DUMMYFUNCTION("IFERROR(ARRAYFORMULA(REGEXEXTRACT(A1767,""^(?:https?:\/\/)?(?:[^@\n]+@)?(?:www\.)?([^:\/\n]+)"")),"""")"),"crddesignbuild.com")</f>
        <v>crddesignbuild.com</v>
      </c>
    </row>
    <row r="1768" spans="1:2" ht="12.5">
      <c r="A1768" s="3" t="s">
        <v>2023</v>
      </c>
      <c r="B1768" s="4" t="str">
        <f ca="1">IFERROR(__xludf.DUMMYFUNCTION("IFERROR(ARRAYFORMULA(REGEXEXTRACT(A1768,""^(?:https?:\/\/)?(?:[^@\n]+@)?(?:www\.)?([^:\/\n]+)"")),"""")"),"azobuild.com")</f>
        <v>azobuild.com</v>
      </c>
    </row>
    <row r="1769" spans="1:2" ht="12.5">
      <c r="A1769" s="3" t="s">
        <v>2024</v>
      </c>
      <c r="B1769" s="4" t="str">
        <f ca="1">IFERROR(__xludf.DUMMYFUNCTION("IFERROR(ARRAYFORMULA(REGEXEXTRACT(A1769,""^(?:https?:\/\/)?(?:[^@\n]+@)?(?:www\.)?([^:\/\n]+)"")),"""")"),"socaldirtbroker.com")</f>
        <v>socaldirtbroker.com</v>
      </c>
    </row>
    <row r="1770" spans="1:2" ht="12.5">
      <c r="A1770" s="3" t="s">
        <v>2025</v>
      </c>
      <c r="B1770" s="4" t="str">
        <f ca="1">IFERROR(__xludf.DUMMYFUNCTION("IFERROR(ARRAYFORMULA(REGEXEXTRACT(A1770,""^(?:https?:\/\/)?(?:[^@\n]+@)?(?:www\.)?([^:\/\n]+)"")),"""")"),"americanpavingtn.com")</f>
        <v>americanpavingtn.com</v>
      </c>
    </row>
    <row r="1771" spans="1:2" ht="12.5">
      <c r="A1771" s="3" t="s">
        <v>2026</v>
      </c>
      <c r="B1771" s="4" t="str">
        <f ca="1">IFERROR(__xludf.DUMMYFUNCTION("IFERROR(ARRAYFORMULA(REGEXEXTRACT(A1771,""^(?:https?:\/\/)?(?:[^@\n]+@)?(?:www\.)?([^:\/\n]+)"")),"""")"),"auramodernhome.com")</f>
        <v>auramodernhome.com</v>
      </c>
    </row>
    <row r="1772" spans="1:2" ht="12.5">
      <c r="A1772" s="3" t="s">
        <v>2027</v>
      </c>
      <c r="B1772" s="4" t="str">
        <f ca="1">IFERROR(__xludf.DUMMYFUNCTION("IFERROR(ARRAYFORMULA(REGEXEXTRACT(A1772,""^(?:https?:\/\/)?(?:[^@\n]+@)?(?:www\.)?([^:\/\n]+)"")),"""")"),"cdgai.com")</f>
        <v>cdgai.com</v>
      </c>
    </row>
    <row r="1773" spans="1:2" ht="12.5">
      <c r="A1773" s="3" t="s">
        <v>2028</v>
      </c>
      <c r="B1773" s="4" t="str">
        <f ca="1">IFERROR(__xludf.DUMMYFUNCTION("IFERROR(ARRAYFORMULA(REGEXEXTRACT(A1773,""^(?:https?:\/\/)?(?:[^@\n]+@)?(?:www\.)?([^:\/\n]+)"")),"""")"),"solartexinc.com")</f>
        <v>solartexinc.com</v>
      </c>
    </row>
    <row r="1774" spans="1:2" ht="12.5">
      <c r="A1774" s="3" t="s">
        <v>2029</v>
      </c>
      <c r="B1774" s="4" t="str">
        <f ca="1">IFERROR(__xludf.DUMMYFUNCTION("IFERROR(ARRAYFORMULA(REGEXEXTRACT(A1774,""^(?:https?:\/\/)?(?:[^@\n]+@)?(?:www\.)?([^:\/\n]+)"")),"""")"),"osheaplumbing.com.au")</f>
        <v>osheaplumbing.com.au</v>
      </c>
    </row>
    <row r="1775" spans="1:2" ht="12.5">
      <c r="A1775" s="3" t="s">
        <v>2030</v>
      </c>
      <c r="B1775" s="4" t="str">
        <f ca="1">IFERROR(__xludf.DUMMYFUNCTION("IFERROR(ARRAYFORMULA(REGEXEXTRACT(A1775,""^(?:https?:\/\/)?(?:[^@\n]+@)?(?:www\.)?([^:\/\n]+)"")),"""")"),"roofresto.com.au")</f>
        <v>roofresto.com.au</v>
      </c>
    </row>
    <row r="1776" spans="1:2" ht="12.5">
      <c r="A1776" s="3" t="s">
        <v>2031</v>
      </c>
      <c r="B1776" s="4" t="str">
        <f ca="1">IFERROR(__xludf.DUMMYFUNCTION("IFERROR(ARRAYFORMULA(REGEXEXTRACT(A1776,""^(?:https?:\/\/)?(?:[^@\n]+@)?(?:www\.)?([^:\/\n]+)"")),"""")"),"homestolove.com.au")</f>
        <v>homestolove.com.au</v>
      </c>
    </row>
    <row r="1777" spans="1:2" ht="12.5">
      <c r="A1777" s="3" t="s">
        <v>2032</v>
      </c>
      <c r="B1777" s="4" t="str">
        <f ca="1">IFERROR(__xludf.DUMMYFUNCTION("IFERROR(ARRAYFORMULA(REGEXEXTRACT(A1777,""^(?:https?:\/\/)?(?:[^@\n]+@)?(?:www\.)?([^:\/\n]+)"")),"""")"),"dandenonggaragedoors.com.au")</f>
        <v>dandenonggaragedoors.com.au</v>
      </c>
    </row>
    <row r="1778" spans="1:2" ht="12.5">
      <c r="A1778" s="3" t="s">
        <v>2033</v>
      </c>
      <c r="B1778" s="4" t="str">
        <f ca="1">IFERROR(__xludf.DUMMYFUNCTION("IFERROR(ARRAYFORMULA(REGEXEXTRACT(A1778,""^(?:https?:\/\/)?(?:[^@\n]+@)?(?:www\.)?([^:\/\n]+)"")),"""")"),"longdistancemoving.com")</f>
        <v>longdistancemoving.com</v>
      </c>
    </row>
    <row r="1779" spans="1:2" ht="12.5">
      <c r="A1779" s="3" t="s">
        <v>2034</v>
      </c>
      <c r="B1779" s="4" t="str">
        <f ca="1">IFERROR(__xludf.DUMMYFUNCTION("IFERROR(ARRAYFORMULA(REGEXEXTRACT(A1779,""^(?:https?:\/\/)?(?:[^@\n]+@)?(?:www\.)?([^:\/\n]+)"")),"""")"),"uniquevanities.com")</f>
        <v>uniquevanities.com</v>
      </c>
    </row>
    <row r="1780" spans="1:2" ht="12.5">
      <c r="A1780" s="3" t="s">
        <v>2035</v>
      </c>
      <c r="B1780" s="4" t="str">
        <f ca="1">IFERROR(__xludf.DUMMYFUNCTION("IFERROR(ARRAYFORMULA(REGEXEXTRACT(A1780,""^(?:https?:\/\/)?(?:[^@\n]+@)?(?:www\.)?([^:\/\n]+)"")),"""")"),"renterswarehouse.com")</f>
        <v>renterswarehouse.com</v>
      </c>
    </row>
    <row r="1781" spans="1:2" ht="12.5">
      <c r="A1781" s="3" t="s">
        <v>2036</v>
      </c>
      <c r="B1781" s="4" t="str">
        <f ca="1">IFERROR(__xludf.DUMMYFUNCTION("IFERROR(ARRAYFORMULA(REGEXEXTRACT(A1781,""^(?:https?:\/\/)?(?:[^@\n]+@)?(?:www\.)?([^:\/\n]+)"")),"""")"),"smelscerplumbing.com")</f>
        <v>smelscerplumbing.com</v>
      </c>
    </row>
    <row r="1782" spans="1:2" ht="12.5">
      <c r="A1782" s="3" t="s">
        <v>2037</v>
      </c>
      <c r="B1782" s="4" t="str">
        <f ca="1">IFERROR(__xludf.DUMMYFUNCTION("IFERROR(ARRAYFORMULA(REGEXEXTRACT(A1782,""^(?:https?:\/\/)?(?:[^@\n]+@)?(?:www\.)?([^:\/\n]+)"")),"""")"),"denelli.co.uk")</f>
        <v>denelli.co.uk</v>
      </c>
    </row>
    <row r="1783" spans="1:2" ht="12.5">
      <c r="A1783" s="3" t="s">
        <v>2038</v>
      </c>
      <c r="B1783" s="4" t="str">
        <f ca="1">IFERROR(__xludf.DUMMYFUNCTION("IFERROR(ARRAYFORMULA(REGEXEXTRACT(A1783,""^(?:https?:\/\/)?(?:[^@\n]+@)?(?:www\.)?([^:\/\n]+)"")),"""")"),"sena-homefurniture.co.uk")</f>
        <v>sena-homefurniture.co.uk</v>
      </c>
    </row>
    <row r="1784" spans="1:2" ht="12.5">
      <c r="A1784" s="3" t="s">
        <v>2039</v>
      </c>
      <c r="B1784" s="4" t="str">
        <f ca="1">IFERROR(__xludf.DUMMYFUNCTION("IFERROR(ARRAYFORMULA(REGEXEXTRACT(A1784,""^(?:https?:\/\/)?(?:[^@\n]+@)?(?:www\.)?([^:\/\n]+)"")),"""")"),"tuffxglass.co.uk")</f>
        <v>tuffxglass.co.uk</v>
      </c>
    </row>
    <row r="1785" spans="1:2" ht="12.5">
      <c r="A1785" s="3" t="s">
        <v>2040</v>
      </c>
      <c r="B1785" s="4" t="str">
        <f ca="1">IFERROR(__xludf.DUMMYFUNCTION("IFERROR(ARRAYFORMULA(REGEXEXTRACT(A1785,""^(?:https?:\/\/)?(?:[^@\n]+@)?(?:www\.)?([^:\/\n]+)"")),"""")"),"slidingdoorwardrobe.uk")</f>
        <v>slidingdoorwardrobe.uk</v>
      </c>
    </row>
    <row r="1786" spans="1:2" ht="12.5">
      <c r="A1786" s="3" t="s">
        <v>2041</v>
      </c>
      <c r="B1786" s="4" t="str">
        <f ca="1">IFERROR(__xludf.DUMMYFUNCTION("IFERROR(ARRAYFORMULA(REGEXEXTRACT(A1786,""^(?:https?:\/\/)?(?:[^@\n]+@)?(?:www\.)?([^:\/\n]+)"")),"""")"),"tulipinterior.co.uk")</f>
        <v>tulipinterior.co.uk</v>
      </c>
    </row>
    <row r="1787" spans="1:2" ht="12.5">
      <c r="A1787" s="3" t="s">
        <v>2042</v>
      </c>
      <c r="B1787" s="4" t="str">
        <f ca="1">IFERROR(__xludf.DUMMYFUNCTION("IFERROR(ARRAYFORMULA(REGEXEXTRACT(A1787,""^(?:https?:\/\/)?(?:[^@\n]+@)?(?:www\.)?([^:\/\n]+)"")),"""")"),"vekauk.com")</f>
        <v>vekauk.com</v>
      </c>
    </row>
    <row r="1788" spans="1:2" ht="12.5">
      <c r="A1788" s="3" t="s">
        <v>2043</v>
      </c>
      <c r="B1788" s="4" t="str">
        <f ca="1">IFERROR(__xludf.DUMMYFUNCTION("IFERROR(ARRAYFORMULA(REGEXEXTRACT(A1788,""^(?:https?:\/\/)?(?:[^@\n]+@)?(?:www\.)?([^:\/\n]+)"")),"""")"),"luxaflex.co.uk")</f>
        <v>luxaflex.co.uk</v>
      </c>
    </row>
    <row r="1789" spans="1:2" ht="12.5">
      <c r="A1789" s="3" t="s">
        <v>2044</v>
      </c>
      <c r="B1789" s="4" t="str">
        <f ca="1">IFERROR(__xludf.DUMMYFUNCTION("IFERROR(ARRAYFORMULA(REGEXEXTRACT(A1789,""^(?:https?:\/\/)?(?:[^@\n]+@)?(?:www\.)?([^:\/\n]+)"")),"""")"),"compusoftgroup.com")</f>
        <v>compusoftgroup.com</v>
      </c>
    </row>
    <row r="1790" spans="1:2" ht="12.5">
      <c r="A1790" s="3" t="s">
        <v>2045</v>
      </c>
      <c r="B1790" s="4" t="str">
        <f ca="1">IFERROR(__xludf.DUMMYFUNCTION("IFERROR(ARRAYFORMULA(REGEXEXTRACT(A1790,""^(?:https?:\/\/)?(?:[^@\n]+@)?(?:www\.)?([^:\/\n]+)"")),"""")"),"foryourlittleone.com")</f>
        <v>foryourlittleone.com</v>
      </c>
    </row>
    <row r="1791" spans="1:2" ht="12.5">
      <c r="A1791" s="3" t="s">
        <v>2046</v>
      </c>
      <c r="B1791" s="4" t="str">
        <f ca="1">IFERROR(__xludf.DUMMYFUNCTION("IFERROR(ARRAYFORMULA(REGEXEXTRACT(A1791,""^(?:https?:\/\/)?(?:[^@\n]+@)?(?:www\.)?([^:\/\n]+)"")),"""")"),"finebedding.co.uk")</f>
        <v>finebedding.co.uk</v>
      </c>
    </row>
    <row r="1792" spans="1:2" ht="12.5">
      <c r="A1792" s="3" t="s">
        <v>2047</v>
      </c>
      <c r="B1792" s="4" t="str">
        <f ca="1">IFERROR(__xludf.DUMMYFUNCTION("IFERROR(ARRAYFORMULA(REGEXEXTRACT(A1792,""^(?:https?:\/\/)?(?:[^@\n]+@)?(?:www\.)?([^:\/\n]+)"")),"""")"),"simplifystuff.co.uk")</f>
        <v>simplifystuff.co.uk</v>
      </c>
    </row>
    <row r="1793" spans="1:2" ht="12.5">
      <c r="A1793" s="3" t="s">
        <v>2048</v>
      </c>
      <c r="B1793" s="4" t="str">
        <f ca="1">IFERROR(__xludf.DUMMYFUNCTION("IFERROR(ARRAYFORMULA(REGEXEXTRACT(A1793,""^(?:https?:\/\/)?(?:[^@\n]+@)?(?:www\.)?([^:\/\n]+)"")),"""")"),"granitetransformations.co.uk")</f>
        <v>granitetransformations.co.uk</v>
      </c>
    </row>
    <row r="1794" spans="1:2" ht="12.5">
      <c r="A1794" s="3" t="s">
        <v>2049</v>
      </c>
      <c r="B1794" s="4" t="str">
        <f ca="1">IFERROR(__xludf.DUMMYFUNCTION("IFERROR(ARRAYFORMULA(REGEXEXTRACT(A1794,""^(?:https?:\/\/)?(?:[^@\n]+@)?(?:www\.)?([^:\/\n]+)"")),"""")"),"floorstowalls.co.uk")</f>
        <v>floorstowalls.co.uk</v>
      </c>
    </row>
    <row r="1795" spans="1:2" ht="12.5">
      <c r="A1795" s="3" t="s">
        <v>2050</v>
      </c>
      <c r="B1795" s="4" t="str">
        <f ca="1">IFERROR(__xludf.DUMMYFUNCTION("IFERROR(ARRAYFORMULA(REGEXEXTRACT(A1795,""^(?:https?:\/\/)?(?:[^@\n]+@)?(?:www\.)?([^:\/\n]+)"")),"""")"),"thewoodveneerhub.co.uk")</f>
        <v>thewoodveneerhub.co.uk</v>
      </c>
    </row>
    <row r="1796" spans="1:2" ht="12.5">
      <c r="A1796" s="3" t="s">
        <v>2051</v>
      </c>
      <c r="B1796" s="4" t="str">
        <f ca="1">IFERROR(__xludf.DUMMYFUNCTION("IFERROR(ARRAYFORMULA(REGEXEXTRACT(A1796,""^(?:https?:\/\/)?(?:[^@\n]+@)?(?:www\.)?([^:\/\n]+)"")),"""")"),"cbsolarshading.co.uk")</f>
        <v>cbsolarshading.co.uk</v>
      </c>
    </row>
    <row r="1797" spans="1:2" ht="12.5">
      <c r="A1797" s="3" t="s">
        <v>2052</v>
      </c>
      <c r="B1797" s="4" t="str">
        <f ca="1">IFERROR(__xludf.DUMMYFUNCTION("IFERROR(ARRAYFORMULA(REGEXEXTRACT(A1797,""^(?:https?:\/\/)?(?:[^@\n]+@)?(?:www\.)?([^:\/\n]+)"")),"""")"),"retractableawnings.com")</f>
        <v>retractableawnings.com</v>
      </c>
    </row>
    <row r="1798" spans="1:2" ht="12.5">
      <c r="A1798" s="3" t="s">
        <v>2053</v>
      </c>
      <c r="B1798" s="4" t="str">
        <f ca="1">IFERROR(__xludf.DUMMYFUNCTION("IFERROR(ARRAYFORMULA(REGEXEXTRACT(A1798,""^(?:https?:\/\/)?(?:[^@\n]+@)?(?:www\.)?([^:\/\n]+)"")),"""")"),"richardsonandstarling.co.uk")</f>
        <v>richardsonandstarling.co.uk</v>
      </c>
    </row>
    <row r="1799" spans="1:2" ht="12.5">
      <c r="A1799" s="3" t="s">
        <v>2054</v>
      </c>
      <c r="B1799" s="4" t="str">
        <f ca="1">IFERROR(__xludf.DUMMYFUNCTION("IFERROR(ARRAYFORMULA(REGEXEXTRACT(A1799,""^(?:https?:\/\/)?(?:[^@\n]+@)?(?:www\.)?([^:\/\n]+)"")),"""")"),"onlyradiators.co.uk")</f>
        <v>onlyradiators.co.uk</v>
      </c>
    </row>
    <row r="1800" spans="1:2" ht="12.5">
      <c r="A1800" s="3" t="s">
        <v>2055</v>
      </c>
      <c r="B1800" s="4" t="str">
        <f ca="1">IFERROR(__xludf.DUMMYFUNCTION("IFERROR(ARRAYFORMULA(REGEXEXTRACT(A1800,""^(?:https?:\/\/)?(?:[^@\n]+@)?(?:www\.)?([^:\/\n]+)"")),"""")"),"moneyfarm.com")</f>
        <v>moneyfarm.com</v>
      </c>
    </row>
    <row r="1801" spans="1:2" ht="12.5">
      <c r="A1801" s="3" t="s">
        <v>2056</v>
      </c>
      <c r="B1801" s="4" t="str">
        <f ca="1">IFERROR(__xludf.DUMMYFUNCTION("IFERROR(ARRAYFORMULA(REGEXEXTRACT(A1801,""^(?:https?:\/\/)?(?:[^@\n]+@)?(?:www\.)?([^:\/\n]+)"")),"""")"),"rebornrenovations.com")</f>
        <v>rebornrenovations.com</v>
      </c>
    </row>
    <row r="1802" spans="1:2" ht="12.5">
      <c r="A1802" s="3" t="s">
        <v>2057</v>
      </c>
      <c r="B1802" s="4" t="str">
        <f ca="1">IFERROR(__xludf.DUMMYFUNCTION("IFERROR(ARRAYFORMULA(REGEXEXTRACT(A1802,""^(?:https?:\/\/)?(?:[^@\n]+@)?(?:www\.)?([^:\/\n]+)"")),"""")"),"little-loans.com")</f>
        <v>little-loans.com</v>
      </c>
    </row>
    <row r="1803" spans="1:2" ht="12.5">
      <c r="A1803" s="3" t="s">
        <v>2058</v>
      </c>
      <c r="B1803" s="4" t="str">
        <f ca="1">IFERROR(__xludf.DUMMYFUNCTION("IFERROR(ARRAYFORMULA(REGEXEXTRACT(A1803,""^(?:https?:\/\/)?(?:[^@\n]+@)?(?:www\.)?([^:\/\n]+)"")),"""")"),"keystonecustomdecks.com")</f>
        <v>keystonecustomdecks.com</v>
      </c>
    </row>
    <row r="1804" spans="1:2" ht="12.5">
      <c r="A1804" s="3" t="s">
        <v>2059</v>
      </c>
      <c r="B1804" s="4" t="str">
        <f ca="1">IFERROR(__xludf.DUMMYFUNCTION("IFERROR(ARRAYFORMULA(REGEXEXTRACT(A1804,""^(?:https?:\/\/)?(?:[^@\n]+@)?(?:www\.)?([^:\/\n]+)"")),"""")"),"cypruspropertygallery.com")</f>
        <v>cypruspropertygallery.com</v>
      </c>
    </row>
    <row r="1805" spans="1:2" ht="12.5">
      <c r="A1805" s="3" t="s">
        <v>2060</v>
      </c>
      <c r="B1805" s="4" t="str">
        <f ca="1">IFERROR(__xludf.DUMMYFUNCTION("IFERROR(ARRAYFORMULA(REGEXEXTRACT(A1805,""^(?:https?:\/\/)?(?:[^@\n]+@)?(?:www\.)?([^:\/\n]+)"")),"""")"),"financialmirror.com")</f>
        <v>financialmirror.com</v>
      </c>
    </row>
    <row r="1806" spans="1:2" ht="12.5">
      <c r="A1806" s="3" t="s">
        <v>2061</v>
      </c>
      <c r="B1806" s="4" t="str">
        <f ca="1">IFERROR(__xludf.DUMMYFUNCTION("IFERROR(ARRAYFORMULA(REGEXEXTRACT(A1806,""^(?:https?:\/\/)?(?:[^@\n]+@)?(?:www\.)?([^:\/\n]+)"")),"""")"),"everythingbutordinary.co.uk")</f>
        <v>everythingbutordinary.co.uk</v>
      </c>
    </row>
    <row r="1807" spans="1:2" ht="12.5">
      <c r="A1807" s="3" t="s">
        <v>2062</v>
      </c>
      <c r="B1807" s="4" t="str">
        <f ca="1">IFERROR(__xludf.DUMMYFUNCTION("IFERROR(ARRAYFORMULA(REGEXEXTRACT(A1807,""^(?:https?:\/\/)?(?:[^@\n]+@)?(?:www\.)?([^:\/\n]+)"")),"""")"),"sellinboston.com")</f>
        <v>sellinboston.com</v>
      </c>
    </row>
    <row r="1808" spans="1:2" ht="12.5">
      <c r="A1808" s="3" t="s">
        <v>2063</v>
      </c>
      <c r="B1808" s="4" t="str">
        <f ca="1">IFERROR(__xludf.DUMMYFUNCTION("IFERROR(ARRAYFORMULA(REGEXEXTRACT(A1808,""^(?:https?:\/\/)?(?:[^@\n]+@)?(?:www\.)?([^:\/\n]+)"")),"""")"),"innago.com")</f>
        <v>innago.com</v>
      </c>
    </row>
    <row r="1809" spans="1:2" ht="12.5">
      <c r="A1809" s="3" t="s">
        <v>2064</v>
      </c>
      <c r="B1809" s="4" t="str">
        <f ca="1">IFERROR(__xludf.DUMMYFUNCTION("IFERROR(ARRAYFORMULA(REGEXEXTRACT(A1809,""^(?:https?:\/\/)?(?:[^@\n]+@)?(?:www\.)?([^:\/\n]+)"")),"""")"),"omfurniture.co.uk")</f>
        <v>omfurniture.co.uk</v>
      </c>
    </row>
    <row r="1810" spans="1:2" ht="12.5">
      <c r="A1810" s="3" t="s">
        <v>2065</v>
      </c>
      <c r="B1810" s="4" t="str">
        <f ca="1">IFERROR(__xludf.DUMMYFUNCTION("IFERROR(ARRAYFORMULA(REGEXEXTRACT(A1810,""^(?:https?:\/\/)?(?:[^@\n]+@)?(?:www\.)?([^:\/\n]+)"")),"""")"),"orchard.com")</f>
        <v>orchard.com</v>
      </c>
    </row>
    <row r="1811" spans="1:2" ht="12.5">
      <c r="A1811" s="3" t="s">
        <v>2066</v>
      </c>
      <c r="B1811" s="4" t="str">
        <f ca="1">IFERROR(__xludf.DUMMYFUNCTION("IFERROR(ARRAYFORMULA(REGEXEXTRACT(A1811,""^(?:https?:\/\/)?(?:[^@\n]+@)?(?:www\.)?([^:\/\n]+)"")),"""")"),"glassexpertsfl.com")</f>
        <v>glassexpertsfl.com</v>
      </c>
    </row>
    <row r="1812" spans="1:2" ht="12.5">
      <c r="A1812" s="3" t="s">
        <v>2067</v>
      </c>
      <c r="B1812" s="4" t="str">
        <f ca="1">IFERROR(__xludf.DUMMYFUNCTION("IFERROR(ARRAYFORMULA(REGEXEXTRACT(A1812,""^(?:https?:\/\/)?(?:[^@\n]+@)?(?:www\.)?([^:\/\n]+)"")),"""")"),"fabcosanctuary.com")</f>
        <v>fabcosanctuary.com</v>
      </c>
    </row>
    <row r="1813" spans="1:2" ht="12.5">
      <c r="A1813" s="3" t="s">
        <v>2068</v>
      </c>
      <c r="B1813" s="4" t="str">
        <f ca="1">IFERROR(__xludf.DUMMYFUNCTION("IFERROR(ARRAYFORMULA(REGEXEXTRACT(A1813,""^(?:https?:\/\/)?(?:[^@\n]+@)?(?:www\.)?([^:\/\n]+)"")),"""")"),"mortgagelane.com")</f>
        <v>mortgagelane.com</v>
      </c>
    </row>
    <row r="1814" spans="1:2" ht="12.5">
      <c r="A1814" s="3" t="s">
        <v>2069</v>
      </c>
      <c r="B1814" s="4" t="str">
        <f ca="1">IFERROR(__xludf.DUMMYFUNCTION("IFERROR(ARRAYFORMULA(REGEXEXTRACT(A1814,""^(?:https?:\/\/)?(?:[^@\n]+@)?(?:www\.)?([^:\/\n]+)"")),"""")"),"atlantapropertymanagement.com")</f>
        <v>atlantapropertymanagement.com</v>
      </c>
    </row>
    <row r="1815" spans="1:2" ht="12.5">
      <c r="A1815" s="3" t="s">
        <v>2070</v>
      </c>
      <c r="B1815" s="4" t="str">
        <f ca="1">IFERROR(__xludf.DUMMYFUNCTION("IFERROR(ARRAYFORMULA(REGEXEXTRACT(A1815,""^(?:https?:\/\/)?(?:[^@\n]+@)?(?:www\.)?([^:\/\n]+)"")),"""")"),"joycefactorydirect.com")</f>
        <v>joycefactorydirect.com</v>
      </c>
    </row>
    <row r="1816" spans="1:2" ht="12.5">
      <c r="A1816" s="3" t="s">
        <v>2071</v>
      </c>
      <c r="B1816" s="4" t="str">
        <f ca="1">IFERROR(__xludf.DUMMYFUNCTION("IFERROR(ARRAYFORMULA(REGEXEXTRACT(A1816,""^(?:https?:\/\/)?(?:[^@\n]+@)?(?:www\.)?([^:\/\n]+)"")),"""")"),"luxurybathcfl.com")</f>
        <v>luxurybathcfl.com</v>
      </c>
    </row>
    <row r="1817" spans="1:2" ht="12.5">
      <c r="A1817" s="3" t="s">
        <v>2072</v>
      </c>
      <c r="B1817" s="4" t="str">
        <f ca="1">IFERROR(__xludf.DUMMYFUNCTION("IFERROR(ARRAYFORMULA(REGEXEXTRACT(A1817,""^(?:https?:\/\/)?(?:[^@\n]+@)?(?:www\.)?([^:\/\n]+)"")),"""")"),"hiltonheadrealtysales.com")</f>
        <v>hiltonheadrealtysales.com</v>
      </c>
    </row>
    <row r="1818" spans="1:2" ht="12.5">
      <c r="A1818" s="3" t="s">
        <v>2073</v>
      </c>
      <c r="B1818" s="4" t="str">
        <f ca="1">IFERROR(__xludf.DUMMYFUNCTION("IFERROR(ARRAYFORMULA(REGEXEXTRACT(A1818,""^(?:https?:\/\/)?(?:[^@\n]+@)?(?:www\.)?([^:\/\n]+)"")),"""")"),"interiormoderna.com")</f>
        <v>interiormoderna.com</v>
      </c>
    </row>
    <row r="1819" spans="1:2" ht="12.5">
      <c r="A1819" s="3" t="s">
        <v>2074</v>
      </c>
      <c r="B1819" s="4" t="str">
        <f ca="1">IFERROR(__xludf.DUMMYFUNCTION("IFERROR(ARRAYFORMULA(REGEXEXTRACT(A1819,""^(?:https?:\/\/)?(?:[^@\n]+@)?(?:www\.)?([^:\/\n]+)"")),"""")"),"dreamvillarentals.com")</f>
        <v>dreamvillarentals.com</v>
      </c>
    </row>
    <row r="1820" spans="1:2" ht="12.5">
      <c r="A1820" s="3" t="s">
        <v>2075</v>
      </c>
      <c r="B1820" s="4" t="str">
        <f ca="1">IFERROR(__xludf.DUMMYFUNCTION("IFERROR(ARRAYFORMULA(REGEXEXTRACT(A1820,""^(?:https?:\/\/)?(?:[^@\n]+@)?(?:www\.)?([^:\/\n]+)"")),"""")"),"1stprioritymortgage.com")</f>
        <v>1stprioritymortgage.com</v>
      </c>
    </row>
    <row r="1821" spans="1:2" ht="12.5">
      <c r="A1821" s="3" t="s">
        <v>2076</v>
      </c>
      <c r="B1821" s="4" t="str">
        <f ca="1">IFERROR(__xludf.DUMMYFUNCTION("IFERROR(ARRAYFORMULA(REGEXEXTRACT(A1821,""^(?:https?:\/\/)?(?:[^@\n]+@)?(?:www\.)?([^:\/\n]+)"")),"""")"),"skyrun.com")</f>
        <v>skyrun.com</v>
      </c>
    </row>
    <row r="1822" spans="1:2" ht="12.5">
      <c r="A1822" s="3" t="s">
        <v>2077</v>
      </c>
      <c r="B1822" s="4" t="str">
        <f ca="1">IFERROR(__xludf.DUMMYFUNCTION("IFERROR(ARRAYFORMULA(REGEXEXTRACT(A1822,""^(?:https?:\/\/)?(?:[^@\n]+@)?(?:www\.)?([^:\/\n]+)"")),"""")"),"tsimpsonroofing.ca")</f>
        <v>tsimpsonroofing.ca</v>
      </c>
    </row>
    <row r="1823" spans="1:2" ht="12.5">
      <c r="A1823" s="3" t="s">
        <v>2078</v>
      </c>
      <c r="B1823" s="4" t="str">
        <f ca="1">IFERROR(__xludf.DUMMYFUNCTION("IFERROR(ARRAYFORMULA(REGEXEXTRACT(A1823,""^(?:https?:\/\/)?(?:[^@\n]+@)?(?:www\.)?([^:\/\n]+)"")),"""")"),"affordablecomfort.org")</f>
        <v>affordablecomfort.org</v>
      </c>
    </row>
    <row r="1824" spans="1:2" ht="12.5">
      <c r="A1824" s="3" t="s">
        <v>2079</v>
      </c>
      <c r="B1824" s="4" t="str">
        <f ca="1">IFERROR(__xludf.DUMMYFUNCTION("IFERROR(ARRAYFORMULA(REGEXEXTRACT(A1824,""^(?:https?:\/\/)?(?:[^@\n]+@)?(?:www\.)?([^:\/\n]+)"")),"""")"),"fastenmaster.com")</f>
        <v>fastenmaster.com</v>
      </c>
    </row>
    <row r="1825" spans="1:2" ht="12.5">
      <c r="A1825" s="3" t="s">
        <v>2080</v>
      </c>
      <c r="B1825" s="4" t="str">
        <f ca="1">IFERROR(__xludf.DUMMYFUNCTION("IFERROR(ARRAYFORMULA(REGEXEXTRACT(A1825,""^(?:https?:\/\/)?(?:[^@\n]+@)?(?:www\.)?([^:\/\n]+)"")),"""")"),"hemlane.com")</f>
        <v>hemlane.com</v>
      </c>
    </row>
    <row r="1826" spans="1:2" ht="12.5">
      <c r="A1826" s="3" t="s">
        <v>2081</v>
      </c>
      <c r="B1826" s="4" t="str">
        <f ca="1">IFERROR(__xludf.DUMMYFUNCTION("IFERROR(ARRAYFORMULA(REGEXEXTRACT(A1826,""^(?:https?:\/\/)?(?:[^@\n]+@)?(?:www\.)?([^:\/\n]+)"")),"""")"),"bates-electric.com")</f>
        <v>bates-electric.com</v>
      </c>
    </row>
    <row r="1827" spans="1:2" ht="12.5">
      <c r="A1827" s="3" t="s">
        <v>2082</v>
      </c>
      <c r="B1827" s="4" t="str">
        <f ca="1">IFERROR(__xludf.DUMMYFUNCTION("IFERROR(ARRAYFORMULA(REGEXEXTRACT(A1827,""^(?:https?:\/\/)?(?:[^@\n]+@)?(?:www\.)?([^:\/\n]+)"")),"""")"),"macfineart.com")</f>
        <v>macfineart.com</v>
      </c>
    </row>
    <row r="1828" spans="1:2" ht="12.5">
      <c r="A1828" s="3" t="s">
        <v>2083</v>
      </c>
      <c r="B1828" s="4" t="str">
        <f ca="1">IFERROR(__xludf.DUMMYFUNCTION("IFERROR(ARRAYFORMULA(REGEXEXTRACT(A1828,""^(?:https?:\/\/)?(?:[^@\n]+@)?(?:www\.)?([^:\/\n]+)"")),"""")"),"tomadamswc.com")</f>
        <v>tomadamswc.com</v>
      </c>
    </row>
    <row r="1829" spans="1:2" ht="12.5">
      <c r="A1829" s="3" t="s">
        <v>2084</v>
      </c>
      <c r="B1829" s="4" t="str">
        <f ca="1">IFERROR(__xludf.DUMMYFUNCTION("IFERROR(ARRAYFORMULA(REGEXEXTRACT(A1829,""^(?:https?:\/\/)?(?:[^@\n]+@)?(?:www\.)?([^:\/\n]+)"")),"""")"),"discovervail.com")</f>
        <v>discovervail.com</v>
      </c>
    </row>
    <row r="1830" spans="1:2" ht="12.5">
      <c r="A1830" s="3" t="s">
        <v>2085</v>
      </c>
      <c r="B1830" s="4" t="str">
        <f ca="1">IFERROR(__xludf.DUMMYFUNCTION("IFERROR(ARRAYFORMULA(REGEXEXTRACT(A1830,""^(?:https?:\/\/)?(?:[^@\n]+@)?(?:www\.)?([^:\/\n]+)"")),"""")"),"withroam.com")</f>
        <v>withroam.com</v>
      </c>
    </row>
    <row r="1831" spans="1:2" ht="12.5">
      <c r="A1831" s="3" t="s">
        <v>2086</v>
      </c>
      <c r="B1831" s="4" t="str">
        <f ca="1">IFERROR(__xludf.DUMMYFUNCTION("IFERROR(ARRAYFORMULA(REGEXEXTRACT(A1831,""^(?:https?:\/\/)?(?:[^@\n]+@)?(?:www\.)?([^:\/\n]+)"")),"""")"),"aptivepestcontrol.com")</f>
        <v>aptivepestcontrol.com</v>
      </c>
    </row>
    <row r="1832" spans="1:2" ht="12.5">
      <c r="A1832" s="3" t="s">
        <v>2087</v>
      </c>
      <c r="B1832" s="4" t="str">
        <f ca="1">IFERROR(__xludf.DUMMYFUNCTION("IFERROR(ARRAYFORMULA(REGEXEXTRACT(A1832,""^(?:https?:\/\/)?(?:[^@\n]+@)?(?:www\.)?([^:\/\n]+)"")),"""")"),"panes.com")</f>
        <v>panes.com</v>
      </c>
    </row>
    <row r="1833" spans="1:2" ht="12.5">
      <c r="A1833" s="3" t="s">
        <v>2088</v>
      </c>
      <c r="B1833" s="4" t="str">
        <f ca="1">IFERROR(__xludf.DUMMYFUNCTION("IFERROR(ARRAYFORMULA(REGEXEXTRACT(A1833,""^(?:https?:\/\/)?(?:[^@\n]+@)?(?:www\.)?([^:\/\n]+)"")),"""")"),"flexfence.com")</f>
        <v>flexfence.com</v>
      </c>
    </row>
    <row r="1834" spans="1:2" ht="12.5">
      <c r="A1834" s="3" t="s">
        <v>2089</v>
      </c>
      <c r="B1834" s="4" t="str">
        <f ca="1">IFERROR(__xludf.DUMMYFUNCTION("IFERROR(ARRAYFORMULA(REGEXEXTRACT(A1834,""^(?:https?:\/\/)?(?:[^@\n]+@)?(?:www\.)?([^:\/\n]+)"")),"""")"),"premierevanlines.com")</f>
        <v>premierevanlines.com</v>
      </c>
    </row>
    <row r="1835" spans="1:2" ht="12.5">
      <c r="A1835" s="3" t="s">
        <v>2090</v>
      </c>
      <c r="B1835" s="4" t="str">
        <f ca="1">IFERROR(__xludf.DUMMYFUNCTION("IFERROR(ARRAYFORMULA(REGEXEXTRACT(A1835,""^(?:https?:\/\/)?(?:[^@\n]+@)?(?:www\.)?([^:\/\n]+)"")),"""")"),"taxsaleshub.ca")</f>
        <v>taxsaleshub.ca</v>
      </c>
    </row>
    <row r="1836" spans="1:2" ht="12.5">
      <c r="A1836" s="3" t="s">
        <v>2091</v>
      </c>
      <c r="B1836" s="4" t="str">
        <f ca="1">IFERROR(__xludf.DUMMYFUNCTION("IFERROR(ARRAYFORMULA(REGEXEXTRACT(A1836,""^(?:https?:\/\/)?(?:[^@\n]+@)?(?:www\.)?([^:\/\n]+)"")),"""")"),"jonasconstruction.com")</f>
        <v>jonasconstruction.com</v>
      </c>
    </row>
    <row r="1837" spans="1:2" ht="12.5">
      <c r="A1837" s="3" t="s">
        <v>2092</v>
      </c>
      <c r="B1837" s="4" t="str">
        <f ca="1">IFERROR(__xludf.DUMMYFUNCTION("IFERROR(ARRAYFORMULA(REGEXEXTRACT(A1837,""^(?:https?:\/\/)?(?:[^@\n]+@)?(?:www\.)?([^:\/\n]+)"")),"""")"),"slghomebuyer.ca")</f>
        <v>slghomebuyer.ca</v>
      </c>
    </row>
    <row r="1838" spans="1:2" ht="12.5">
      <c r="A1838" s="3" t="s">
        <v>2093</v>
      </c>
      <c r="B1838" s="4" t="str">
        <f ca="1">IFERROR(__xludf.DUMMYFUNCTION("IFERROR(ARRAYFORMULA(REGEXEXTRACT(A1838,""^(?:https?:\/\/)?(?:[^@\n]+@)?(?:www\.)?([^:\/\n]+)"")),"""")"),"cmsmortgages.ca")</f>
        <v>cmsmortgages.ca</v>
      </c>
    </row>
    <row r="1839" spans="1:2" ht="12.5">
      <c r="A1839" s="3" t="s">
        <v>2094</v>
      </c>
      <c r="B1839" s="4" t="str">
        <f ca="1">IFERROR(__xludf.DUMMYFUNCTION("IFERROR(ARRAYFORMULA(REGEXEXTRACT(A1839,""^(?:https?:\/\/)?(?:[^@\n]+@)?(?:www\.)?([^:\/\n]+)"")),"""")"),"justenergy.com")</f>
        <v>justenergy.com</v>
      </c>
    </row>
    <row r="1840" spans="1:2" ht="12.5">
      <c r="A1840" s="3" t="s">
        <v>2095</v>
      </c>
      <c r="B1840" s="4" t="str">
        <f ca="1">IFERROR(__xludf.DUMMYFUNCTION("IFERROR(ARRAYFORMULA(REGEXEXTRACT(A1840,""^(?:https?:\/\/)?(?:[^@\n]+@)?(?:www\.)?([^:\/\n]+)"")),"""")"),"samara.com")</f>
        <v>samara.com</v>
      </c>
    </row>
    <row r="1841" spans="1:2" ht="12.5">
      <c r="A1841" s="3" t="s">
        <v>2096</v>
      </c>
      <c r="B1841" s="4" t="str">
        <f ca="1">IFERROR(__xludf.DUMMYFUNCTION("IFERROR(ARRAYFORMULA(REGEXEXTRACT(A1841,""^(?:https?:\/\/)?(?:[^@\n]+@)?(?:www\.)?([^:\/\n]+)"")),"""")"),"iopsa.org")</f>
        <v>iopsa.org</v>
      </c>
    </row>
    <row r="1842" spans="1:2" ht="12.5">
      <c r="A1842" s="3" t="s">
        <v>2097</v>
      </c>
      <c r="B1842" s="4" t="str">
        <f ca="1">IFERROR(__xludf.DUMMYFUNCTION("IFERROR(ARRAYFORMULA(REGEXEXTRACT(A1842,""^(?:https?:\/\/)?(?:[^@\n]+@)?(?:www\.)?([^:\/\n]+)"")),"""")"),"ritzplumbing.com")</f>
        <v>ritzplumbing.com</v>
      </c>
    </row>
    <row r="1843" spans="1:2" ht="12.5">
      <c r="A1843" s="3" t="s">
        <v>2098</v>
      </c>
      <c r="B1843" s="4" t="str">
        <f ca="1">IFERROR(__xludf.DUMMYFUNCTION("IFERROR(ARRAYFORMULA(REGEXEXTRACT(A1843,""^(?:https?:\/\/)?(?:[^@\n]+@)?(?:www\.)?([^:\/\n]+)"")),"""")"),"pssremovals.com")</f>
        <v>pssremovals.com</v>
      </c>
    </row>
    <row r="1844" spans="1:2" ht="12.5">
      <c r="A1844" s="3" t="s">
        <v>2099</v>
      </c>
      <c r="B1844" s="4" t="str">
        <f ca="1">IFERROR(__xludf.DUMMYFUNCTION("IFERROR(ARRAYFORMULA(REGEXEXTRACT(A1844,""^(?:https?:\/\/)?(?:[^@\n]+@)?(?:www\.)?([^:\/\n]+)"")),"""")"),"keensbuildings.com")</f>
        <v>keensbuildings.com</v>
      </c>
    </row>
    <row r="1845" spans="1:2" ht="12.5">
      <c r="A1845" s="3" t="s">
        <v>2100</v>
      </c>
      <c r="B1845" s="4" t="str">
        <f ca="1">IFERROR(__xludf.DUMMYFUNCTION("IFERROR(ARRAYFORMULA(REGEXEXTRACT(A1845,""^(?:https?:\/\/)?(?:[^@\n]+@)?(?:www\.)?([^:\/\n]+)"")),"""")"),"mnnice.com")</f>
        <v>mnnice.com</v>
      </c>
    </row>
    <row r="1846" spans="1:2" ht="12.5">
      <c r="A1846" s="3" t="s">
        <v>2101</v>
      </c>
      <c r="B1846" s="4" t="str">
        <f ca="1">IFERROR(__xludf.DUMMYFUNCTION("IFERROR(ARRAYFORMULA(REGEXEXTRACT(A1846,""^(?:https?:\/\/)?(?:[^@\n]+@)?(?:www\.)?([^:\/\n]+)"")),"""")"),"infinitybuildersaz.com")</f>
        <v>infinitybuildersaz.com</v>
      </c>
    </row>
    <row r="1847" spans="1:2" ht="12.5">
      <c r="A1847" s="3" t="s">
        <v>2102</v>
      </c>
      <c r="B1847" s="4" t="str">
        <f ca="1">IFERROR(__xludf.DUMMYFUNCTION("IFERROR(ARRAYFORMULA(REGEXEXTRACT(A1847,""^(?:https?:\/\/)?(?:[^@\n]+@)?(?:www\.)?([^:\/\n]+)"")),"""")"),"apollopatios.com.au")</f>
        <v>apollopatios.com.au</v>
      </c>
    </row>
    <row r="1848" spans="1:2" ht="12.5">
      <c r="A1848" s="3" t="s">
        <v>2103</v>
      </c>
      <c r="B1848" s="4" t="str">
        <f ca="1">IFERROR(__xludf.DUMMYFUNCTION("IFERROR(ARRAYFORMULA(REGEXEXTRACT(A1848,""^(?:https?:\/\/)?(?:[^@\n]+@)?(?:www\.)?([^:\/\n]+)"")),"""")"),"911applianceemt.com")</f>
        <v>911applianceemt.com</v>
      </c>
    </row>
    <row r="1849" spans="1:2" ht="12.5">
      <c r="A1849" s="3" t="s">
        <v>2104</v>
      </c>
      <c r="B1849" s="4" t="str">
        <f ca="1">IFERROR(__xludf.DUMMYFUNCTION("IFERROR(ARRAYFORMULA(REGEXEXTRACT(A1849,""^(?:https?:\/\/)?(?:[^@\n]+@)?(?:www\.)?([^:\/\n]+)"")),"""")"),"bedkingdom.co.uk")</f>
        <v>bedkingdom.co.uk</v>
      </c>
    </row>
    <row r="1850" spans="1:2" ht="12.5">
      <c r="A1850" s="3" t="s">
        <v>2105</v>
      </c>
      <c r="B1850" s="4" t="str">
        <f ca="1">IFERROR(__xludf.DUMMYFUNCTION("IFERROR(ARRAYFORMULA(REGEXEXTRACT(A1850,""^(?:https?:\/\/)?(?:[^@\n]+@)?(?:www\.)?([^:\/\n]+)"")),"""")"),"attomdata.com")</f>
        <v>attomdata.com</v>
      </c>
    </row>
    <row r="1851" spans="1:2" ht="12.5">
      <c r="A1851" s="3" t="s">
        <v>2106</v>
      </c>
      <c r="B1851" s="4" t="str">
        <f ca="1">IFERROR(__xludf.DUMMYFUNCTION("IFERROR(ARRAYFORMULA(REGEXEXTRACT(A1851,""^(?:https?:\/\/)?(?:[^@\n]+@)?(?:www\.)?([^:\/\n]+)"")),"""")"),"adventurouskate.com")</f>
        <v>adventurouskate.com</v>
      </c>
    </row>
    <row r="1852" spans="1:2" ht="12.5">
      <c r="A1852" s="3" t="s">
        <v>2107</v>
      </c>
      <c r="B1852" s="4" t="str">
        <f ca="1">IFERROR(__xludf.DUMMYFUNCTION("IFERROR(ARRAYFORMULA(REGEXEXTRACT(A1852,""^(?:https?:\/\/)?(?:[^@\n]+@)?(?:www\.)?([^:\/\n]+)"")),"""")"),"primestreet.io")</f>
        <v>primestreet.io</v>
      </c>
    </row>
    <row r="1853" spans="1:2" ht="12.5">
      <c r="A1853" s="3" t="s">
        <v>2108</v>
      </c>
      <c r="B1853" s="4" t="str">
        <f ca="1">IFERROR(__xludf.DUMMYFUNCTION("IFERROR(ARRAYFORMULA(REGEXEXTRACT(A1853,""^(?:https?:\/\/)?(?:[^@\n]+@)?(?:www\.)?([^:\/\n]+)"")),"""")"),"ownup.com")</f>
        <v>ownup.com</v>
      </c>
    </row>
    <row r="1854" spans="1:2" ht="12.5">
      <c r="A1854" s="3" t="s">
        <v>2109</v>
      </c>
      <c r="B1854" s="4" t="str">
        <f ca="1">IFERROR(__xludf.DUMMYFUNCTION("IFERROR(ARRAYFORMULA(REGEXEXTRACT(A1854,""^(?:https?:\/\/)?(?:[^@\n]+@)?(?:www\.)?([^:\/\n]+)"")),"""")"),"lopriore.com")</f>
        <v>lopriore.com</v>
      </c>
    </row>
    <row r="1855" spans="1:2" ht="12.5">
      <c r="A1855" s="3" t="s">
        <v>2110</v>
      </c>
      <c r="B1855" s="4" t="str">
        <f ca="1">IFERROR(__xludf.DUMMYFUNCTION("IFERROR(ARRAYFORMULA(REGEXEXTRACT(A1855,""^(?:https?:\/\/)?(?:[^@\n]+@)?(?:www\.)?([^:\/\n]+)"")),"""")"),"huntergalloway.com.au")</f>
        <v>huntergalloway.com.au</v>
      </c>
    </row>
    <row r="1856" spans="1:2" ht="12.5">
      <c r="A1856" s="3" t="s">
        <v>2111</v>
      </c>
      <c r="B1856" s="4" t="str">
        <f ca="1">IFERROR(__xludf.DUMMYFUNCTION("IFERROR(ARRAYFORMULA(REGEXEXTRACT(A1856,""^(?:https?:\/\/)?(?:[^@\n]+@)?(?:www\.)?([^:\/\n]+)"")),"""")"),"woodworkersuk.co.uk")</f>
        <v>woodworkersuk.co.uk</v>
      </c>
    </row>
    <row r="1857" spans="1:2" ht="12.5">
      <c r="A1857" s="3" t="s">
        <v>2112</v>
      </c>
      <c r="B1857" s="4" t="str">
        <f ca="1">IFERROR(__xludf.DUMMYFUNCTION("IFERROR(ARRAYFORMULA(REGEXEXTRACT(A1857,""^(?:https?:\/\/)?(?:[^@\n]+@)?(?:www\.)?([^:\/\n]+)"")),"""")"),"srhomes.com")</f>
        <v>srhomes.com</v>
      </c>
    </row>
    <row r="1858" spans="1:2" ht="12.5">
      <c r="A1858" s="3" t="s">
        <v>2113</v>
      </c>
      <c r="B1858" s="4" t="str">
        <f ca="1">IFERROR(__xludf.DUMMYFUNCTION("IFERROR(ARRAYFORMULA(REGEXEXTRACT(A1858,""^(?:https?:\/\/)?(?:[^@\n]+@)?(?:www\.)?([^:\/\n]+)"")),"""")"),"endpovertynowinc.org")</f>
        <v>endpovertynowinc.org</v>
      </c>
    </row>
    <row r="1859" spans="1:2" ht="12.5">
      <c r="A1859" s="3" t="s">
        <v>2114</v>
      </c>
      <c r="B1859" s="4" t="str">
        <f ca="1">IFERROR(__xludf.DUMMYFUNCTION("IFERROR(ARRAYFORMULA(REGEXEXTRACT(A1859,""^(?:https?:\/\/)?(?:[^@\n]+@)?(?:www\.)?([^:\/\n]+)"")),"""")"),"andalusiacc.com")</f>
        <v>andalusiacc.com</v>
      </c>
    </row>
    <row r="1860" spans="1:2" ht="12.5">
      <c r="A1860" s="3" t="s">
        <v>2115</v>
      </c>
      <c r="B1860" s="4" t="str">
        <f ca="1">IFERROR(__xludf.DUMMYFUNCTION("IFERROR(ARRAYFORMULA(REGEXEXTRACT(A1860,""^(?:https?:\/\/)?(?:[^@\n]+@)?(?:www\.)?([^:\/\n]+)"")),"""")"),"rowlandbroughton.com")</f>
        <v>rowlandbroughton.com</v>
      </c>
    </row>
    <row r="1861" spans="1:2" ht="12.5">
      <c r="A1861" s="3" t="s">
        <v>2116</v>
      </c>
      <c r="B1861" s="4" t="str">
        <f ca="1">IFERROR(__xludf.DUMMYFUNCTION("IFERROR(ARRAYFORMULA(REGEXEXTRACT(A1861,""^(?:https?:\/\/)?(?:[^@\n]+@)?(?:www\.)?([^:\/\n]+)"")),"""")"),"houseandgarden.co.uk")</f>
        <v>houseandgarden.co.uk</v>
      </c>
    </row>
    <row r="1862" spans="1:2" ht="12.5">
      <c r="A1862" s="3" t="s">
        <v>2117</v>
      </c>
      <c r="B1862" s="4" t="str">
        <f ca="1">IFERROR(__xludf.DUMMYFUNCTION("IFERROR(ARRAYFORMULA(REGEXEXTRACT(A1862,""^(?:https?:\/\/)?(?:[^@\n]+@)?(?:www\.)?([^:\/\n]+)"")),"""")"),"storiesflooring.co.uk")</f>
        <v>storiesflooring.co.uk</v>
      </c>
    </row>
    <row r="1863" spans="1:2" ht="12.5">
      <c r="A1863" s="3" t="s">
        <v>2118</v>
      </c>
      <c r="B1863" s="4" t="str">
        <f ca="1">IFERROR(__xludf.DUMMYFUNCTION("IFERROR(ARRAYFORMULA(REGEXEXTRACT(A1863,""^(?:https?:\/\/)?(?:[^@\n]+@)?(?:www\.)?([^:\/\n]+)"")),"""")"),"virginiacashrealestate.com")</f>
        <v>virginiacashrealestate.com</v>
      </c>
    </row>
    <row r="1864" spans="1:2" ht="12.5">
      <c r="A1864" s="3" t="s">
        <v>2119</v>
      </c>
      <c r="B1864" s="4" t="str">
        <f ca="1">IFERROR(__xludf.DUMMYFUNCTION("IFERROR(ARRAYFORMULA(REGEXEXTRACT(A1864,""^(?:https?:\/\/)?(?:[^@\n]+@)?(?:www\.)?([^:\/\n]+)"")),"""")"),"nextdoorpropertycompany.com")</f>
        <v>nextdoorpropertycompany.com</v>
      </c>
    </row>
    <row r="1865" spans="1:2" ht="12.5">
      <c r="A1865" s="3" t="s">
        <v>2120</v>
      </c>
      <c r="B1865" s="4" t="str">
        <f ca="1">IFERROR(__xludf.DUMMYFUNCTION("IFERROR(ARRAYFORMULA(REGEXEXTRACT(A1865,""^(?:https?:\/\/)?(?:[^@\n]+@)?(?:www\.)?([^:\/\n]+)"")),"""")"),"sellyourhousetogreg.com")</f>
        <v>sellyourhousetogreg.com</v>
      </c>
    </row>
    <row r="1866" spans="1:2" ht="12.5">
      <c r="A1866" s="3" t="s">
        <v>2121</v>
      </c>
      <c r="B1866" s="4" t="str">
        <f ca="1">IFERROR(__xludf.DUMMYFUNCTION("IFERROR(ARRAYFORMULA(REGEXEXTRACT(A1866,""^(?:https?:\/\/)?(?:[^@\n]+@)?(?:www\.)?([^:\/\n]+)"")),"""")"),"essentialequityrealestate.com")</f>
        <v>essentialequityrealestate.com</v>
      </c>
    </row>
    <row r="1867" spans="1:2" ht="12.5">
      <c r="A1867" s="3" t="s">
        <v>2122</v>
      </c>
      <c r="B1867" s="4" t="str">
        <f ca="1">IFERROR(__xludf.DUMMYFUNCTION("IFERROR(ARRAYFORMULA(REGEXEXTRACT(A1867,""^(?:https?:\/\/)?(?:[^@\n]+@)?(?:www\.)?([^:\/\n]+)"")),"""")"),"realestatestagingassociation.com")</f>
        <v>realestatestagingassociation.com</v>
      </c>
    </row>
    <row r="1868" spans="1:2" ht="12.5">
      <c r="A1868" s="3" t="s">
        <v>2123</v>
      </c>
      <c r="B1868" s="4" t="str">
        <f ca="1">IFERROR(__xludf.DUMMYFUNCTION("IFERROR(ARRAYFORMULA(REGEXEXTRACT(A1868,""^(?:https?:\/\/)?(?:[^@\n]+@)?(?:www\.)?([^:\/\n]+)"")),"""")"),"martinlegacyholdings.com")</f>
        <v>martinlegacyholdings.com</v>
      </c>
    </row>
    <row r="1869" spans="1:2" ht="12.5">
      <c r="A1869" s="3" t="s">
        <v>2124</v>
      </c>
      <c r="B1869" s="4" t="str">
        <f ca="1">IFERROR(__xludf.DUMMYFUNCTION("IFERROR(ARRAYFORMULA(REGEXEXTRACT(A1869,""^(?:https?:\/\/)?(?:[^@\n]+@)?(?:www\.)?([^:\/\n]+)"")),"""")"),"pezonproperties.com")</f>
        <v>pezonproperties.com</v>
      </c>
    </row>
    <row r="1870" spans="1:2" ht="12.5">
      <c r="A1870" s="3" t="s">
        <v>2125</v>
      </c>
      <c r="B1870" s="4" t="str">
        <f ca="1">IFERROR(__xludf.DUMMYFUNCTION("IFERROR(ARRAYFORMULA(REGEXEXTRACT(A1870,""^(?:https?:\/\/)?(?:[^@\n]+@)?(?:www\.)?([^:\/\n]+)"")),"""")"),"associateshomeloan.com")</f>
        <v>associateshomeloan.com</v>
      </c>
    </row>
    <row r="1871" spans="1:2" ht="12.5">
      <c r="A1871" s="3" t="s">
        <v>2126</v>
      </c>
      <c r="B1871" s="4" t="str">
        <f ca="1">IFERROR(__xludf.DUMMYFUNCTION("IFERROR(ARRAYFORMULA(REGEXEXTRACT(A1871,""^(?:https?:\/\/)?(?:[^@\n]+@)?(?:www\.)?([^:\/\n]+)"")),"""")"),"alabamarealestateclass.com")</f>
        <v>alabamarealestateclass.com</v>
      </c>
    </row>
    <row r="1872" spans="1:2" ht="12.5">
      <c r="A1872" s="3" t="s">
        <v>2127</v>
      </c>
      <c r="B1872" s="4" t="str">
        <f ca="1">IFERROR(__xludf.DUMMYFUNCTION("IFERROR(ARRAYFORMULA(REGEXEXTRACT(A1872,""^(?:https?:\/\/)?(?:[^@\n]+@)?(?:www\.)?([^:\/\n]+)"")),"""")"),"branchright.com")</f>
        <v>branchright.com</v>
      </c>
    </row>
    <row r="1873" spans="1:2" ht="12.5">
      <c r="A1873" s="3" t="s">
        <v>2128</v>
      </c>
      <c r="B1873" s="4" t="str">
        <f ca="1">IFERROR(__xludf.DUMMYFUNCTION("IFERROR(ARRAYFORMULA(REGEXEXTRACT(A1873,""^(?:https?:\/\/)?(?:[^@\n]+@)?(?:www\.)?([^:\/\n]+)"")),"""")"),"elevateconstructionil.com")</f>
        <v>elevateconstructionil.com</v>
      </c>
    </row>
    <row r="1874" spans="1:2" ht="12.5">
      <c r="A1874" s="3" t="s">
        <v>2129</v>
      </c>
      <c r="B1874" s="4" t="str">
        <f ca="1">IFERROR(__xludf.DUMMYFUNCTION("IFERROR(ARRAYFORMULA(REGEXEXTRACT(A1874,""^(?:https?:\/\/)?(?:[^@\n]+@)?(?:www\.)?([^:\/\n]+)"")),"""")"),"sunseekerdoors.co.uk")</f>
        <v>sunseekerdoors.co.uk</v>
      </c>
    </row>
    <row r="1875" spans="1:2" ht="12.5">
      <c r="A1875" s="3" t="s">
        <v>2130</v>
      </c>
      <c r="B1875" s="4" t="str">
        <f ca="1">IFERROR(__xludf.DUMMYFUNCTION("IFERROR(ARRAYFORMULA(REGEXEXTRACT(A1875,""^(?:https?:\/\/)?(?:[^@\n]+@)?(?:www\.)?([^:\/\n]+)"")),"""")"),"allcountyprop.com")</f>
        <v>allcountyprop.com</v>
      </c>
    </row>
    <row r="1876" spans="1:2" ht="12.5">
      <c r="A1876" s="3" t="s">
        <v>2131</v>
      </c>
      <c r="B1876" s="4" t="str">
        <f ca="1">IFERROR(__xludf.DUMMYFUNCTION("IFERROR(ARRAYFORMULA(REGEXEXTRACT(A1876,""^(?:https?:\/\/)?(?:[^@\n]+@)?(?:www\.)?([^:\/\n]+)"")),"""")"),"1031crowdfunding.com")</f>
        <v>1031crowdfunding.com</v>
      </c>
    </row>
    <row r="1877" spans="1:2" ht="12.5">
      <c r="A1877" s="3" t="s">
        <v>2132</v>
      </c>
      <c r="B1877" s="4" t="str">
        <f ca="1">IFERROR(__xludf.DUMMYFUNCTION("IFERROR(ARRAYFORMULA(REGEXEXTRACT(A1877,""^(?:https?:\/\/)?(?:[^@\n]+@)?(?:www\.)?([^:\/\n]+)"")),"""")"),"servicemarket.com")</f>
        <v>servicemarket.com</v>
      </c>
    </row>
    <row r="1878" spans="1:2" ht="12.5">
      <c r="A1878" s="3" t="s">
        <v>2133</v>
      </c>
      <c r="B1878" s="4" t="str">
        <f ca="1">IFERROR(__xludf.DUMMYFUNCTION("IFERROR(ARRAYFORMULA(REGEXEXTRACT(A1878,""^(?:https?:\/\/)?(?:[^@\n]+@)?(?:www\.)?([^:\/\n]+)"")),"""")"),"truebluesheds.com.au")</f>
        <v>truebluesheds.com.au</v>
      </c>
    </row>
    <row r="1879" spans="1:2" ht="12.5">
      <c r="A1879" s="3" t="s">
        <v>2134</v>
      </c>
      <c r="B1879" s="4" t="str">
        <f ca="1">IFERROR(__xludf.DUMMYFUNCTION("IFERROR(ARRAYFORMULA(REGEXEXTRACT(A1879,""^(?:https?:\/\/)?(?:[^@\n]+@)?(?:www\.)?([^:\/\n]+)"")),"""")"),"securityamericamortgage.com")</f>
        <v>securityamericamortgage.com</v>
      </c>
    </row>
    <row r="1880" spans="1:2" ht="12.5">
      <c r="A1880" s="3" t="s">
        <v>2135</v>
      </c>
      <c r="B1880" s="4" t="str">
        <f ca="1">IFERROR(__xludf.DUMMYFUNCTION("IFERROR(ARRAYFORMULA(REGEXEXTRACT(A1880,""^(?:https?:\/\/)?(?:[^@\n]+@)?(?:www\.)?([^:\/\n]+)"")),"""")"),"got2move.com")</f>
        <v>got2move.com</v>
      </c>
    </row>
    <row r="1881" spans="1:2" ht="12.5">
      <c r="A1881" s="3" t="s">
        <v>2136</v>
      </c>
      <c r="B1881" s="4" t="str">
        <f ca="1">IFERROR(__xludf.DUMMYFUNCTION("IFERROR(ARRAYFORMULA(REGEXEXTRACT(A1881,""^(?:https?:\/\/)?(?:[^@\n]+@)?(?:www\.)?([^:\/\n]+)"")),"""")"),"zakladyboleslawiec.com")</f>
        <v>zakladyboleslawiec.com</v>
      </c>
    </row>
    <row r="1882" spans="1:2" ht="12.5">
      <c r="A1882" s="3" t="s">
        <v>2137</v>
      </c>
      <c r="B1882" s="4" t="str">
        <f ca="1">IFERROR(__xludf.DUMMYFUNCTION("IFERROR(ARRAYFORMULA(REGEXEXTRACT(A1882,""^(?:https?:\/\/)?(?:[^@\n]+@)?(?:www\.)?([^:\/\n]+)"")),"""")"),"logan-inc.com")</f>
        <v>logan-inc.com</v>
      </c>
    </row>
    <row r="1883" spans="1:2" ht="12.5">
      <c r="A1883" s="3" t="s">
        <v>2138</v>
      </c>
      <c r="B1883" s="4" t="str">
        <f ca="1">IFERROR(__xludf.DUMMYFUNCTION("IFERROR(ARRAYFORMULA(REGEXEXTRACT(A1883,""^(?:https?:\/\/)?(?:[^@\n]+@)?(?:www\.)?([^:\/\n]+)"")),"""")"),"daraagrussdesign.com")</f>
        <v>daraagrussdesign.com</v>
      </c>
    </row>
    <row r="1884" spans="1:2" ht="12.5">
      <c r="A1884" s="3" t="s">
        <v>2139</v>
      </c>
      <c r="B1884" s="4" t="str">
        <f ca="1">IFERROR(__xludf.DUMMYFUNCTION("IFERROR(ARRAYFORMULA(REGEXEXTRACT(A1884,""^(?:https?:\/\/)?(?:[^@\n]+@)?(?:www\.)?([^:\/\n]+)"")),"""")"),"watsons.com")</f>
        <v>watsons.com</v>
      </c>
    </row>
    <row r="1885" spans="1:2" ht="12.5">
      <c r="A1885" s="3" t="s">
        <v>2140</v>
      </c>
      <c r="B1885" s="4" t="str">
        <f ca="1">IFERROR(__xludf.DUMMYFUNCTION("IFERROR(ARRAYFORMULA(REGEXEXTRACT(A1885,""^(?:https?:\/\/)?(?:[^@\n]+@)?(?:www\.)?([^:\/\n]+)"")),"""")"),"travelers.com")</f>
        <v>travelers.com</v>
      </c>
    </row>
    <row r="1886" spans="1:2" ht="12.5">
      <c r="A1886" s="3" t="s">
        <v>2141</v>
      </c>
      <c r="B1886" s="4" t="str">
        <f ca="1">IFERROR(__xludf.DUMMYFUNCTION("IFERROR(ARRAYFORMULA(REGEXEXTRACT(A1886,""^(?:https?:\/\/)?(?:[^@\n]+@)?(?:www\.)?([^:\/\n]+)"")),"""")"),"realtytimes.com")</f>
        <v>realtytimes.com</v>
      </c>
    </row>
    <row r="1887" spans="1:2" ht="12.5">
      <c r="A1887" s="3" t="s">
        <v>2142</v>
      </c>
      <c r="B1887" s="4" t="str">
        <f ca="1">IFERROR(__xludf.DUMMYFUNCTION("IFERROR(ARRAYFORMULA(REGEXEXTRACT(A1887,""^(?:https?:\/\/)?(?:[^@\n]+@)?(?:www\.)?([^:\/\n]+)"")),"""")"),"reolink.com")</f>
        <v>reolink.com</v>
      </c>
    </row>
    <row r="1888" spans="1:2" ht="12.5">
      <c r="A1888" s="3" t="s">
        <v>2143</v>
      </c>
      <c r="B1888" s="4" t="str">
        <f ca="1">IFERROR(__xludf.DUMMYFUNCTION("IFERROR(ARRAYFORMULA(REGEXEXTRACT(A1888,""^(?:https?:\/\/)?(?:[^@\n]+@)?(?:www\.)?([^:\/\n]+)"")),"""")"),"movebms.com")</f>
        <v>movebms.com</v>
      </c>
    </row>
    <row r="1889" spans="1:2" ht="12.5">
      <c r="A1889" s="3" t="s">
        <v>2144</v>
      </c>
      <c r="B1889" s="4" t="str">
        <f ca="1">IFERROR(__xludf.DUMMYFUNCTION("IFERROR(ARRAYFORMULA(REGEXEXTRACT(A1889,""^(?:https?:\/\/)?(?:[^@\n]+@)?(?:www\.)?([^:\/\n]+)"")),"""")"),"cabolaestancia.com")</f>
        <v>cabolaestancia.com</v>
      </c>
    </row>
    <row r="1890" spans="1:2" ht="12.5">
      <c r="A1890" s="3" t="s">
        <v>2145</v>
      </c>
      <c r="B1890" s="4" t="str">
        <f ca="1">IFERROR(__xludf.DUMMYFUNCTION("IFERROR(ARRAYFORMULA(REGEXEXTRACT(A1890,""^(?:https?:\/\/)?(?:[^@\n]+@)?(?:www\.)?([^:\/\n]+)"")),"""")"),"humberviewinsurance.ca")</f>
        <v>humberviewinsurance.ca</v>
      </c>
    </row>
    <row r="1891" spans="1:2" ht="12.5">
      <c r="A1891" s="3" t="s">
        <v>2146</v>
      </c>
      <c r="B1891" s="4" t="str">
        <f ca="1">IFERROR(__xludf.DUMMYFUNCTION("IFERROR(ARRAYFORMULA(REGEXEXTRACT(A1891,""^(?:https?:\/\/)?(?:[^@\n]+@)?(?:www\.)?([^:\/\n]+)"")),"""")"),"gitnux.org")</f>
        <v>gitnux.org</v>
      </c>
    </row>
    <row r="1892" spans="1:2" ht="12.5">
      <c r="A1892" s="3" t="s">
        <v>2147</v>
      </c>
      <c r="B1892" s="4" t="str">
        <f ca="1">IFERROR(__xludf.DUMMYFUNCTION("IFERROR(ARRAYFORMULA(REGEXEXTRACT(A1892,""^(?:https?:\/\/)?(?:[^@\n]+@)?(?:www\.)?([^:\/\n]+)"")),"""")"),"verifiedmarketreports.com")</f>
        <v>verifiedmarketreports.com</v>
      </c>
    </row>
    <row r="1893" spans="1:2" ht="12.5">
      <c r="A1893" s="3" t="s">
        <v>2148</v>
      </c>
      <c r="B1893" s="4" t="str">
        <f ca="1">IFERROR(__xludf.DUMMYFUNCTION("IFERROR(ARRAYFORMULA(REGEXEXTRACT(A1893,""^(?:https?:\/\/)?(?:[^@\n]+@)?(?:www\.)?([^:\/\n]+)"")),"""")"),"sunsetpools-spas.com")</f>
        <v>sunsetpools-spas.com</v>
      </c>
    </row>
    <row r="1894" spans="1:2" ht="12.5">
      <c r="A1894" s="3" t="s">
        <v>2149</v>
      </c>
      <c r="B1894" s="4" t="str">
        <f ca="1">IFERROR(__xludf.DUMMYFUNCTION("IFERROR(ARRAYFORMULA(REGEXEXTRACT(A1894,""^(?:https?:\/\/)?(?:[^@\n]+@)?(?:www\.)?([^:\/\n]+)"")),"""")"),"magiclinen.com")</f>
        <v>magiclinen.com</v>
      </c>
    </row>
    <row r="1895" spans="1:2" ht="12.5">
      <c r="A1895" s="3" t="s">
        <v>2150</v>
      </c>
      <c r="B1895" s="4" t="str">
        <f ca="1">IFERROR(__xludf.DUMMYFUNCTION("IFERROR(ARRAYFORMULA(REGEXEXTRACT(A1895,""^(?:https?:\/\/)?(?:[^@\n]+@)?(?:www\.)?([^:\/\n]+)"")),"""")"),"ezlandlordforms.com")</f>
        <v>ezlandlordforms.com</v>
      </c>
    </row>
    <row r="1896" spans="1:2" ht="12.5">
      <c r="A1896" s="3" t="s">
        <v>2151</v>
      </c>
      <c r="B1896" s="4" t="str">
        <f ca="1">IFERROR(__xludf.DUMMYFUNCTION("IFERROR(ARRAYFORMULA(REGEXEXTRACT(A1896,""^(?:https?:\/\/)?(?:[^@\n]+@)?(?:www\.)?([^:\/\n]+)"")),"""")"),"trustedstays.co.uk")</f>
        <v>trustedstays.co.uk</v>
      </c>
    </row>
    <row r="1897" spans="1:2" ht="12.5">
      <c r="A1897" s="3" t="s">
        <v>2152</v>
      </c>
      <c r="B1897" s="4" t="str">
        <f ca="1">IFERROR(__xludf.DUMMYFUNCTION("IFERROR(ARRAYFORMULA(REGEXEXTRACT(A1897,""^(?:https?:\/\/)?(?:[^@\n]+@)?(?:www\.)?([^:\/\n]+)"")),"""")"),"getgenea.com")</f>
        <v>getgenea.com</v>
      </c>
    </row>
    <row r="1898" spans="1:2" ht="12.5">
      <c r="A1898" s="3" t="s">
        <v>2153</v>
      </c>
      <c r="B1898" s="4" t="str">
        <f ca="1">IFERROR(__xludf.DUMMYFUNCTION("IFERROR(ARRAYFORMULA(REGEXEXTRACT(A1898,""^(?:https?:\/\/)?(?:[^@\n]+@)?(?:www\.)?([^:\/\n]+)"")),"""")"),"obieinsurance.com")</f>
        <v>obieinsurance.com</v>
      </c>
    </row>
    <row r="1899" spans="1:2" ht="12.5">
      <c r="A1899" s="3" t="s">
        <v>2154</v>
      </c>
      <c r="B1899" s="4" t="str">
        <f ca="1">IFERROR(__xludf.DUMMYFUNCTION("IFERROR(ARRAYFORMULA(REGEXEXTRACT(A1899,""^(?:https?:\/\/)?(?:[^@\n]+@)?(?:www\.)?([^:\/\n]+)"")),"""")"),"rocketmortgage.com")</f>
        <v>rocketmortgage.com</v>
      </c>
    </row>
    <row r="1900" spans="1:2" ht="12.5">
      <c r="A1900" s="3" t="s">
        <v>2155</v>
      </c>
      <c r="B1900" s="4" t="str">
        <f ca="1">IFERROR(__xludf.DUMMYFUNCTION("IFERROR(ARRAYFORMULA(REGEXEXTRACT(A1900,""^(?:https?:\/\/)?(?:[^@\n]+@)?(?:www\.)?([^:\/\n]+)"")),"""")"),"movinghub.com")</f>
        <v>movinghub.com</v>
      </c>
    </row>
    <row r="1901" spans="1:2" ht="12.5">
      <c r="A1901" s="3" t="s">
        <v>2156</v>
      </c>
      <c r="B1901" s="4" t="str">
        <f ca="1">IFERROR(__xludf.DUMMYFUNCTION("IFERROR(ARRAYFORMULA(REGEXEXTRACT(A1901,""^(?:https?:\/\/)?(?:[^@\n]+@)?(?:www\.)?([^:\/\n]+)"")),"""")"),"threemovers.com")</f>
        <v>threemovers.com</v>
      </c>
    </row>
    <row r="1902" spans="1:2" ht="12.5">
      <c r="A1902" s="3" t="s">
        <v>2157</v>
      </c>
      <c r="B1902" s="4" t="str">
        <f ca="1">IFERROR(__xludf.DUMMYFUNCTION("IFERROR(ARRAYFORMULA(REGEXEXTRACT(A1902,""^(?:https?:\/\/)?(?:[^@\n]+@)?(?:www\.)?([^:\/\n]+)"")),"""")"),"nextinsurance.com")</f>
        <v>nextinsurance.com</v>
      </c>
    </row>
    <row r="1903" spans="1:2" ht="12.5">
      <c r="A1903" s="3" t="s">
        <v>2158</v>
      </c>
      <c r="B1903" s="4" t="str">
        <f ca="1">IFERROR(__xludf.DUMMYFUNCTION("IFERROR(ARRAYFORMULA(REGEXEXTRACT(A1903,""^(?:https?:\/\/)?(?:[^@\n]+@)?(?:www\.)?([^:\/\n]+)"")),"""")"),"mymove.com")</f>
        <v>mymove.com</v>
      </c>
    </row>
    <row r="1904" spans="1:2" ht="12.5">
      <c r="A1904" s="3" t="s">
        <v>2159</v>
      </c>
      <c r="B1904" s="4" t="str">
        <f ca="1">IFERROR(__xludf.DUMMYFUNCTION("IFERROR(ARRAYFORMULA(REGEXEXTRACT(A1904,""^(?:https?:\/\/)?(?:[^@\n]+@)?(?:www\.)?([^:\/\n]+)"")),"""")"),"homestarfinance.com.au")</f>
        <v>homestarfinance.com.au</v>
      </c>
    </row>
    <row r="1905" spans="1:2" ht="12.5">
      <c r="A1905" s="3" t="s">
        <v>2160</v>
      </c>
      <c r="B1905" s="4" t="str">
        <f ca="1">IFERROR(__xludf.DUMMYFUNCTION("IFERROR(ARRAYFORMULA(REGEXEXTRACT(A1905,""^(?:https?:\/\/)?(?:[^@\n]+@)?(?:www\.)?([^:\/\n]+)"")),"""")"),"levelengineering.com")</f>
        <v>levelengineering.com</v>
      </c>
    </row>
    <row r="1906" spans="1:2" ht="12.5">
      <c r="A1906" s="3" t="s">
        <v>2161</v>
      </c>
      <c r="B1906" s="4" t="str">
        <f ca="1">IFERROR(__xludf.DUMMYFUNCTION("IFERROR(ARRAYFORMULA(REGEXEXTRACT(A1906,""^(?:https?:\/\/)?(?:[^@\n]+@)?(?:www\.)?([^:\/\n]+)"")),"""")"),"landmarkroof.com")</f>
        <v>landmarkroof.com</v>
      </c>
    </row>
    <row r="1907" spans="1:2" ht="12.5">
      <c r="A1907" s="3" t="s">
        <v>2162</v>
      </c>
      <c r="B1907" s="4" t="str">
        <f ca="1">IFERROR(__xludf.DUMMYFUNCTION("IFERROR(ARRAYFORMULA(REGEXEXTRACT(A1907,""^(?:https?:\/\/)?(?:[^@\n]+@)?(?:www\.)?([^:\/\n]+)"")),"""")"),"texasrealestatesource.com")</f>
        <v>texasrealestatesource.com</v>
      </c>
    </row>
    <row r="1908" spans="1:2" ht="12.5">
      <c r="A1908" s="3" t="s">
        <v>2163</v>
      </c>
      <c r="B1908" s="4" t="str">
        <f ca="1">IFERROR(__xludf.DUMMYFUNCTION("IFERROR(ARRAYFORMULA(REGEXEXTRACT(A1908,""^(?:https?:\/\/)?(?:[^@\n]+@)?(?:www\.)?([^:\/\n]+)"")),"""")"),"hineighbor.com")</f>
        <v>hineighbor.com</v>
      </c>
    </row>
    <row r="1909" spans="1:2" ht="12.5">
      <c r="A1909" s="3" t="s">
        <v>2164</v>
      </c>
      <c r="B1909" s="4" t="str">
        <f ca="1">IFERROR(__xludf.DUMMYFUNCTION("IFERROR(ARRAYFORMULA(REGEXEXTRACT(A1909,""^(?:https?:\/\/)?(?:[^@\n]+@)?(?:www\.)?([^:\/\n]+)"")),"""")"),"visiolending.com")</f>
        <v>visiolending.com</v>
      </c>
    </row>
    <row r="1910" spans="1:2" ht="12.5">
      <c r="A1910" s="3" t="s">
        <v>2165</v>
      </c>
      <c r="B1910" s="4" t="str">
        <f ca="1">IFERROR(__xludf.DUMMYFUNCTION("IFERROR(ARRAYFORMULA(REGEXEXTRACT(A1910,""^(?:https?:\/\/)?(?:[^@\n]+@)?(?:www\.)?([^:\/\n]+)"")),"""")"),"twomenandatruck.com")</f>
        <v>twomenandatruck.com</v>
      </c>
    </row>
    <row r="1911" spans="1:2" ht="12.5">
      <c r="A1911" s="3" t="s">
        <v>2166</v>
      </c>
      <c r="B1911" s="4" t="str">
        <f ca="1">IFERROR(__xludf.DUMMYFUNCTION("IFERROR(ARRAYFORMULA(REGEXEXTRACT(A1911,""^(?:https?:\/\/)?(?:[^@\n]+@)?(?:www\.)?([^:\/\n]+)"")),"""")"),"pinetreebarn.com")</f>
        <v>pinetreebarn.com</v>
      </c>
    </row>
    <row r="1912" spans="1:2" ht="12.5">
      <c r="A1912" s="3" t="s">
        <v>2167</v>
      </c>
      <c r="B1912" s="4" t="str">
        <f ca="1">IFERROR(__xludf.DUMMYFUNCTION("IFERROR(ARRAYFORMULA(REGEXEXTRACT(A1912,""^(?:https?:\/\/)?(?:[^@\n]+@)?(?:www\.)?([^:\/\n]+)"")),"""")"),"rebusinessonline.com")</f>
        <v>rebusinessonline.com</v>
      </c>
    </row>
    <row r="1913" spans="1:2" ht="12.5">
      <c r="A1913" s="3" t="s">
        <v>2168</v>
      </c>
      <c r="B1913" s="4" t="str">
        <f ca="1">IFERROR(__xludf.DUMMYFUNCTION("IFERROR(ARRAYFORMULA(REGEXEXTRACT(A1913,""^(?:https?:\/\/)?(?:[^@\n]+@)?(?:www\.)?([^:\/\n]+)"")),"""")"),"storagecafe.com")</f>
        <v>storagecafe.com</v>
      </c>
    </row>
    <row r="1914" spans="1:2" ht="12.5">
      <c r="A1914" s="3" t="s">
        <v>2169</v>
      </c>
      <c r="B1914" s="4" t="str">
        <f ca="1">IFERROR(__xludf.DUMMYFUNCTION("IFERROR(ARRAYFORMULA(REGEXEXTRACT(A1914,""^(?:https?:\/\/)?(?:[^@\n]+@)?(?:www\.)?([^:\/\n]+)"")),"""")"),"gatsbyinvestment.com")</f>
        <v>gatsbyinvestment.com</v>
      </c>
    </row>
    <row r="1915" spans="1:2" ht="12.5">
      <c r="A1915" s="3" t="s">
        <v>2170</v>
      </c>
      <c r="B1915" s="4" t="str">
        <f ca="1">IFERROR(__xludf.DUMMYFUNCTION("IFERROR(ARRAYFORMULA(REGEXEXTRACT(A1915,""^(?:https?:\/\/)?(?:[^@\n]+@)?(?:www\.)?([^:\/\n]+)"")),"""")"),"thanmerrill.com")</f>
        <v>thanmerrill.com</v>
      </c>
    </row>
    <row r="1916" spans="1:2" ht="12.5">
      <c r="A1916" s="3" t="s">
        <v>2171</v>
      </c>
      <c r="B1916" s="4" t="str">
        <f ca="1">IFERROR(__xludf.DUMMYFUNCTION("IFERROR(ARRAYFORMULA(REGEXEXTRACT(A1916,""^(?:https?:\/\/)?(?:[^@\n]+@)?(?:www\.)?([^:\/\n]+)"")),"""")"),"greatguysmove.com")</f>
        <v>greatguysmove.com</v>
      </c>
    </row>
    <row r="1917" spans="1:2" ht="12.5">
      <c r="A1917" s="3" t="s">
        <v>2172</v>
      </c>
      <c r="B1917" s="4" t="str">
        <f ca="1">IFERROR(__xludf.DUMMYFUNCTION("IFERROR(ARRAYFORMULA(REGEXEXTRACT(A1917,""^(?:https?:\/\/)?(?:[^@\n]+@)?(?:www\.)?([^:\/\n]+)"")),"""")"),"apartmentguide.com")</f>
        <v>apartmentguide.com</v>
      </c>
    </row>
    <row r="1918" spans="1:2" ht="12.5">
      <c r="A1918" s="3" t="s">
        <v>2173</v>
      </c>
      <c r="B1918" s="4" t="str">
        <f ca="1">IFERROR(__xludf.DUMMYFUNCTION("IFERROR(ARRAYFORMULA(REGEXEXTRACT(A1918,""^(?:https?:\/\/)?(?:[^@\n]+@)?(?:www\.)?([^:\/\n]+)"")),"""")"),"move.org")</f>
        <v>move.org</v>
      </c>
    </row>
    <row r="1919" spans="1:2" ht="12.5">
      <c r="A1919" s="3" t="s">
        <v>2174</v>
      </c>
      <c r="B1919" s="4" t="str">
        <f ca="1">IFERROR(__xludf.DUMMYFUNCTION("IFERROR(ARRAYFORMULA(REGEXEXTRACT(A1919,""^(?:https?:\/\/)?(?:[^@\n]+@)?(?:www\.)?([^:\/\n]+)"")),"""")"),"heersmanagement.com")</f>
        <v>heersmanagement.com</v>
      </c>
    </row>
    <row r="1920" spans="1:2" ht="12.5">
      <c r="A1920" s="3" t="s">
        <v>2175</v>
      </c>
      <c r="B1920" s="4" t="str">
        <f ca="1">IFERROR(__xludf.DUMMYFUNCTION("IFERROR(ARRAYFORMULA(REGEXEXTRACT(A1920,""^(?:https?:\/\/)?(?:[^@\n]+@)?(?:www\.)?([^:\/\n]+)"")),"""")"),"loanbase.com")</f>
        <v>loanbase.com</v>
      </c>
    </row>
    <row r="1921" spans="1:2" ht="12.5">
      <c r="A1921" s="3" t="s">
        <v>2176</v>
      </c>
      <c r="B1921" s="4" t="str">
        <f ca="1">IFERROR(__xludf.DUMMYFUNCTION("IFERROR(ARRAYFORMULA(REGEXEXTRACT(A1921,""^(?:https?:\/\/)?(?:[^@\n]+@)?(?:www\.)?([^:\/\n]+)"")),"""")"),"appraisalbuzz.com")</f>
        <v>appraisalbuzz.com</v>
      </c>
    </row>
    <row r="1922" spans="1:2" ht="12.5">
      <c r="A1922" s="3" t="s">
        <v>2177</v>
      </c>
      <c r="B1922" s="4" t="str">
        <f ca="1">IFERROR(__xludf.DUMMYFUNCTION("IFERROR(ARRAYFORMULA(REGEXEXTRACT(A1922,""^(?:https?:\/\/)?(?:[^@\n]+@)?(?:www\.)?([^:\/\n]+)"")),"""")"),"dayton247now.com")</f>
        <v>dayton247now.com</v>
      </c>
    </row>
    <row r="1923" spans="1:2" ht="12.5">
      <c r="A1923" s="3" t="s">
        <v>2178</v>
      </c>
      <c r="B1923" s="4" t="str">
        <f ca="1">IFERROR(__xludf.DUMMYFUNCTION("IFERROR(ARRAYFORMULA(REGEXEXTRACT(A1923,""^(?:https?:\/\/)?(?:[^@\n]+@)?(?:www\.)?([^:\/\n]+)"")),"""")"),"northernpatio.com")</f>
        <v>northernpatio.com</v>
      </c>
    </row>
    <row r="1924" spans="1:2" ht="12.5">
      <c r="A1924" s="3" t="s">
        <v>2179</v>
      </c>
      <c r="B1924" s="4" t="str">
        <f ca="1">IFERROR(__xludf.DUMMYFUNCTION("IFERROR(ARRAYFORMULA(REGEXEXTRACT(A1924,""^(?:https?:\/\/)?(?:[^@\n]+@)?(?:www\.)?([^:\/\n]+)"")),"""")"),"lazysusanfurniture.co.uk")</f>
        <v>lazysusanfurniture.co.uk</v>
      </c>
    </row>
    <row r="1925" spans="1:2" ht="12.5">
      <c r="A1925" s="3" t="s">
        <v>2180</v>
      </c>
      <c r="B1925" s="4" t="str">
        <f ca="1">IFERROR(__xludf.DUMMYFUNCTION("IFERROR(ARRAYFORMULA(REGEXEXTRACT(A1925,""^(?:https?:\/\/)?(?:[^@\n]+@)?(?:www\.)?([^:\/\n]+)"")),"""")"),"rtaoutdoorliving.com")</f>
        <v>rtaoutdoorliving.com</v>
      </c>
    </row>
    <row r="1926" spans="1:2" ht="12.5">
      <c r="A1926" s="3" t="s">
        <v>2181</v>
      </c>
      <c r="B1926" s="4" t="str">
        <f ca="1">IFERROR(__xludf.DUMMYFUNCTION("IFERROR(ARRAYFORMULA(REGEXEXTRACT(A1926,""^(?:https?:\/\/)?(?:[^@\n]+@)?(?:www\.)?([^:\/\n]+)"")),"""")"),"hansohome.com")</f>
        <v>hansohome.com</v>
      </c>
    </row>
    <row r="1927" spans="1:2" ht="12.5">
      <c r="A1927" s="5" t="s">
        <v>2182</v>
      </c>
      <c r="B1927" s="7" t="str">
        <f ca="1">IFERROR(__xludf.DUMMYFUNCTION("IFERROR(ARRAYFORMULA(REGEXEXTRACT(A1927,""^(?:https?:\/\/)?(?:[^@\n]+@)?(?:www\.)?([^:\/\n]+)"")),"""")"),"yousee.studio")</f>
        <v>yousee.studio</v>
      </c>
    </row>
    <row r="1928" spans="1:2" ht="12.5">
      <c r="A1928" s="3" t="s">
        <v>2183</v>
      </c>
      <c r="B1928" s="4" t="str">
        <f ca="1">IFERROR(__xludf.DUMMYFUNCTION("IFERROR(ARRAYFORMULA(REGEXEXTRACT(A1928,""^(?:https?:\/\/)?(?:[^@\n]+@)?(?:www\.)?([^:\/\n]+)"")),"""")"),"mfsuk.com")</f>
        <v>mfsuk.com</v>
      </c>
    </row>
    <row r="1929" spans="1:2" ht="12.5">
      <c r="A1929" s="3" t="s">
        <v>2184</v>
      </c>
      <c r="B1929" s="4" t="str">
        <f ca="1">IFERROR(__xludf.DUMMYFUNCTION("IFERROR(ARRAYFORMULA(REGEXEXTRACT(A1929,""^(?:https?:\/\/)?(?:[^@\n]+@)?(?:www\.)?([^:\/\n]+)"")),"""")"),"halifax.co.uk")</f>
        <v>halifax.co.uk</v>
      </c>
    </row>
    <row r="1930" spans="1:2" ht="12.5">
      <c r="A1930" s="3" t="s">
        <v>2185</v>
      </c>
      <c r="B1930" s="4" t="str">
        <f ca="1">IFERROR(__xludf.DUMMYFUNCTION("IFERROR(ARRAYFORMULA(REGEXEXTRACT(A1930,""^(?:https?:\/\/)?(?:[^@\n]+@)?(?:www\.)?([^:\/\n]+)"")),"""")"),"creditlink.com")</f>
        <v>creditlink.com</v>
      </c>
    </row>
    <row r="1931" spans="1:2" ht="12.5">
      <c r="A1931" s="3" t="s">
        <v>2186</v>
      </c>
      <c r="B1931" s="4" t="str">
        <f ca="1">IFERROR(__xludf.DUMMYFUNCTION("IFERROR(ARRAYFORMULA(REGEXEXTRACT(A1931,""^(?:https?:\/\/)?(?:[^@\n]+@)?(?:www\.)?([^:\/\n]+)"")),"""")"),"hardmoneylendersarizona.com")</f>
        <v>hardmoneylendersarizona.com</v>
      </c>
    </row>
    <row r="1932" spans="1:2" ht="12.5">
      <c r="A1932" s="3" t="s">
        <v>2187</v>
      </c>
      <c r="B1932" s="4" t="str">
        <f ca="1">IFERROR(__xludf.DUMMYFUNCTION("IFERROR(ARRAYFORMULA(REGEXEXTRACT(A1932,""^(?:https?:\/\/)?(?:[^@\n]+@)?(?:www\.)?([^:\/\n]+)"")),"""")"),"realtymogul.com")</f>
        <v>realtymogul.com</v>
      </c>
    </row>
    <row r="1933" spans="1:2" ht="12.5">
      <c r="A1933" s="3" t="s">
        <v>2188</v>
      </c>
      <c r="B1933" s="4" t="str">
        <f ca="1">IFERROR(__xludf.DUMMYFUNCTION("IFERROR(ARRAYFORMULA(REGEXEXTRACT(A1933,""^(?:https?:\/\/)?(?:[^@\n]+@)?(?:www\.)?([^:\/\n]+)"")),"""")"),"scerriauctions.com.au")</f>
        <v>scerriauctions.com.au</v>
      </c>
    </row>
    <row r="1934" spans="1:2" ht="12.5">
      <c r="A1934" s="3" t="s">
        <v>2189</v>
      </c>
      <c r="B1934" s="4" t="str">
        <f ca="1">IFERROR(__xludf.DUMMYFUNCTION("IFERROR(ARRAYFORMULA(REGEXEXTRACT(A1934,""^(?:https?:\/\/)?(?:[^@\n]+@)?(?:www\.)?([^:\/\n]+)"")),"""")"),"propertypeople.net.au")</f>
        <v>propertypeople.net.au</v>
      </c>
    </row>
    <row r="1935" spans="1:2" ht="12.5">
      <c r="A1935" s="3" t="s">
        <v>2190</v>
      </c>
      <c r="B1935" s="4" t="str">
        <f ca="1">IFERROR(__xludf.DUMMYFUNCTION("IFERROR(ARRAYFORMULA(REGEXEXTRACT(A1935,""^(?:https?:\/\/)?(?:[^@\n]+@)?(?:www\.)?([^:\/\n]+)"")),"""")"),"woodevo.com.au")</f>
        <v>woodevo.com.au</v>
      </c>
    </row>
    <row r="1936" spans="1:2" ht="12.5">
      <c r="A1936" s="3" t="s">
        <v>2191</v>
      </c>
      <c r="B1936" s="4" t="str">
        <f ca="1">IFERROR(__xludf.DUMMYFUNCTION("IFERROR(ARRAYFORMULA(REGEXEXTRACT(A1936,""^(?:https?:\/\/)?(?:[^@\n]+@)?(?:www\.)?([^:\/\n]+)"")),"""")"),"lightingnewyork.com")</f>
        <v>lightingnewyork.com</v>
      </c>
    </row>
    <row r="1937" spans="1:2" ht="12.5">
      <c r="A1937" s="3" t="s">
        <v>2192</v>
      </c>
      <c r="B1937" s="4" t="str">
        <f ca="1">IFERROR(__xludf.DUMMYFUNCTION("IFERROR(ARRAYFORMULA(REGEXEXTRACT(A1937,""^(?:https?:\/\/)?(?:[^@\n]+@)?(?:www\.)?([^:\/\n]+)"")),"""")"),"jsenterprise1.com")</f>
        <v>jsenterprise1.com</v>
      </c>
    </row>
    <row r="1938" spans="1:2" ht="12.5">
      <c r="A1938" s="3" t="s">
        <v>2193</v>
      </c>
      <c r="B1938" s="4" t="str">
        <f ca="1">IFERROR(__xludf.DUMMYFUNCTION("IFERROR(ARRAYFORMULA(REGEXEXTRACT(A1938,""^(?:https?:\/\/)?(?:[^@\n]+@)?(?:www\.)?([^:\/\n]+)"")),"""")"),"forbel.com")</f>
        <v>forbel.com</v>
      </c>
    </row>
    <row r="1939" spans="1:2" ht="12.5">
      <c r="A1939" s="3" t="s">
        <v>2194</v>
      </c>
      <c r="B1939" s="4" t="str">
        <f ca="1">IFERROR(__xludf.DUMMYFUNCTION("IFERROR(ARRAYFORMULA(REGEXEXTRACT(A1939,""^(?:https?:\/\/)?(?:[^@\n]+@)?(?:www\.)?([^:\/\n]+)"")),"""")"),"reiadallas.com")</f>
        <v>reiadallas.com</v>
      </c>
    </row>
    <row r="1940" spans="1:2" ht="12.5">
      <c r="A1940" s="3" t="s">
        <v>2195</v>
      </c>
      <c r="B1940" s="4" t="str">
        <f ca="1">IFERROR(__xludf.DUMMYFUNCTION("IFERROR(ARRAYFORMULA(REGEXEXTRACT(A1940,""^(?:https?:\/\/)?(?:[^@\n]+@)?(?:www\.)?([^:\/\n]+)"")),"""")"),"coworkingchicago.net")</f>
        <v>coworkingchicago.net</v>
      </c>
    </row>
    <row r="1941" spans="1:2" ht="12.5">
      <c r="A1941" s="3" t="s">
        <v>2196</v>
      </c>
      <c r="B1941" s="4" t="str">
        <f ca="1">IFERROR(__xludf.DUMMYFUNCTION("IFERROR(ARRAYFORMULA(REGEXEXTRACT(A1941,""^(?:https?:\/\/)?(?:[^@\n]+@)?(?:www\.)?([^:\/\n]+)"")),"""")"),"clevertinyhomes.com")</f>
        <v>clevertinyhomes.com</v>
      </c>
    </row>
    <row r="1942" spans="1:2" ht="12.5">
      <c r="A1942" s="3" t="s">
        <v>2197</v>
      </c>
      <c r="B1942" s="4" t="str">
        <f ca="1">IFERROR(__xludf.DUMMYFUNCTION("IFERROR(ARRAYFORMULA(REGEXEXTRACT(A1942,""^(?:https?:\/\/)?(?:[^@\n]+@)?(?:www\.)?([^:\/\n]+)"")),"""")"),"harcourts.net")</f>
        <v>harcourts.net</v>
      </c>
    </row>
    <row r="1943" spans="1:2" ht="12.5">
      <c r="A1943" s="3" t="s">
        <v>2198</v>
      </c>
      <c r="B1943" s="4" t="str">
        <f ca="1">IFERROR(__xludf.DUMMYFUNCTION("IFERROR(ARRAYFORMULA(REGEXEXTRACT(A1943,""^(?:https?:\/\/)?(?:[^@\n]+@)?(?:www\.)?([^:\/\n]+)"")),"""")"),"defymortgage.com")</f>
        <v>defymortgage.com</v>
      </c>
    </row>
    <row r="1944" spans="1:2" ht="12.5">
      <c r="A1944" s="3" t="s">
        <v>2199</v>
      </c>
      <c r="B1944" s="4" t="str">
        <f ca="1">IFERROR(__xludf.DUMMYFUNCTION("IFERROR(ARRAYFORMULA(REGEXEXTRACT(A1944,""^(?:https?:\/\/)?(?:[^@\n]+@)?(?:www\.)?([^:\/\n]+)"")),"""")"),"texassellmyhouse.com")</f>
        <v>texassellmyhouse.com</v>
      </c>
    </row>
    <row r="1945" spans="1:2" ht="12.5">
      <c r="A1945" s="3" t="s">
        <v>2200</v>
      </c>
      <c r="B1945" s="4" t="str">
        <f ca="1">IFERROR(__xludf.DUMMYFUNCTION("IFERROR(ARRAYFORMULA(REGEXEXTRACT(A1945,""^(?:https?:\/\/)?(?:[^@\n]+@)?(?:www\.)?([^:\/\n]+)"")),"""")"),"fastlanerealestate.com")</f>
        <v>fastlanerealestate.com</v>
      </c>
    </row>
    <row r="1946" spans="1:2" ht="12.5">
      <c r="A1946" s="3" t="s">
        <v>2201</v>
      </c>
      <c r="B1946" s="4" t="str">
        <f ca="1">IFERROR(__xludf.DUMMYFUNCTION("IFERROR(ARRAYFORMULA(REGEXEXTRACT(A1946,""^(?:https?:\/\/)?(?:[^@\n]+@)?(?:www\.)?([^:\/\n]+)"")),"""")"),"loyalhomes.ca")</f>
        <v>loyalhomes.ca</v>
      </c>
    </row>
    <row r="1947" spans="1:2" ht="12.5">
      <c r="A1947" s="3" t="s">
        <v>2202</v>
      </c>
      <c r="B1947" s="4" t="str">
        <f ca="1">IFERROR(__xludf.DUMMYFUNCTION("IFERROR(ARRAYFORMULA(REGEXEXTRACT(A1947,""^(?:https?:\/\/)?(?:[^@\n]+@)?(?:www\.)?([^:\/\n]+)"")),"""")"),"resimpli.com")</f>
        <v>resimpli.com</v>
      </c>
    </row>
    <row r="1948" spans="1:2" ht="12.5">
      <c r="A1948" s="3" t="s">
        <v>2203</v>
      </c>
      <c r="B1948" s="4" t="str">
        <f ca="1">IFERROR(__xludf.DUMMYFUNCTION("IFERROR(ARRAYFORMULA(REGEXEXTRACT(A1948,""^(?:https?:\/\/)?(?:[^@\n]+@)?(?:www\.)?([^:\/\n]+)"")),"""")"),"newjerseyrealestatenetwork.com")</f>
        <v>newjerseyrealestatenetwork.com</v>
      </c>
    </row>
    <row r="1949" spans="1:2" ht="12.5">
      <c r="A1949" s="3" t="s">
        <v>2204</v>
      </c>
      <c r="B1949" s="4" t="str">
        <f ca="1">IFERROR(__xludf.DUMMYFUNCTION("IFERROR(ARRAYFORMULA(REGEXEXTRACT(A1949,""^(?:https?:\/\/)?(?:[^@\n]+@)?(?:www\.)?([^:\/\n]+)"")),"""")"),"libertyhomeguard.com")</f>
        <v>libertyhomeguard.com</v>
      </c>
    </row>
    <row r="1950" spans="1:2" ht="12.5">
      <c r="A1950" s="3" t="s">
        <v>2205</v>
      </c>
      <c r="B1950" s="4" t="str">
        <f ca="1">IFERROR(__xludf.DUMMYFUNCTION("IFERROR(ARRAYFORMULA(REGEXEXTRACT(A1950,""^(?:https?:\/\/)?(?:[^@\n]+@)?(?:www\.)?([^:\/\n]+)"")),"""")"),"portlandrealestate.com")</f>
        <v>portlandrealestate.com</v>
      </c>
    </row>
    <row r="1951" spans="1:2" ht="12.5">
      <c r="A1951" s="3" t="s">
        <v>2206</v>
      </c>
      <c r="B1951" s="4" t="str">
        <f ca="1">IFERROR(__xludf.DUMMYFUNCTION("IFERROR(ARRAYFORMULA(REGEXEXTRACT(A1951,""^(?:https?:\/\/)?(?:[^@\n]+@)?(?:www\.)?([^:\/\n]+)"")),"""")"),"landhub.com")</f>
        <v>landhub.com</v>
      </c>
    </row>
    <row r="1952" spans="1:2" ht="12.5">
      <c r="A1952" s="3" t="s">
        <v>2207</v>
      </c>
      <c r="B1952" s="4" t="str">
        <f ca="1">IFERROR(__xludf.DUMMYFUNCTION("IFERROR(ARRAYFORMULA(REGEXEXTRACT(A1952,""^(?:https?:\/\/)?(?:[^@\n]+@)?(?:www\.)?([^:\/\n]+)"")),"""")"),"puffy.com")</f>
        <v>puffy.com</v>
      </c>
    </row>
    <row r="1953" spans="1:2" ht="12.5">
      <c r="A1953" s="3" t="s">
        <v>2208</v>
      </c>
      <c r="B1953" s="4" t="str">
        <f ca="1">IFERROR(__xludf.DUMMYFUNCTION("IFERROR(ARRAYFORMULA(REGEXEXTRACT(A1953,""^(?:https?:\/\/)?(?:[^@\n]+@)?(?:www\.)?([^:\/\n]+)"")),"""")"),"clearlightdesigns.com.au")</f>
        <v>clearlightdesigns.com.au</v>
      </c>
    </row>
    <row r="1954" spans="1:2" ht="12.5">
      <c r="A1954" s="3" t="s">
        <v>2209</v>
      </c>
      <c r="B1954" s="4" t="str">
        <f ca="1">IFERROR(__xludf.DUMMYFUNCTION("IFERROR(ARRAYFORMULA(REGEXEXTRACT(A1954,""^(?:https?:\/\/)?(?:[^@\n]+@)?(?:www\.)?([^:\/\n]+)"")),"""")"),"ngpest.com")</f>
        <v>ngpest.com</v>
      </c>
    </row>
    <row r="1955" spans="1:2" ht="12.5">
      <c r="A1955" s="3" t="s">
        <v>2210</v>
      </c>
      <c r="B1955" s="4" t="str">
        <f ca="1">IFERROR(__xludf.DUMMYFUNCTION("IFERROR(ARRAYFORMULA(REGEXEXTRACT(A1955,""^(?:https?:\/\/)?(?:[^@\n]+@)?(?:www\.)?([^:\/\n]+)"")),"""")"),"metcabinet.com")</f>
        <v>metcabinet.com</v>
      </c>
    </row>
    <row r="1956" spans="1:2" ht="12.5">
      <c r="A1956" s="3" t="s">
        <v>2211</v>
      </c>
      <c r="B1956" s="4" t="str">
        <f ca="1">IFERROR(__xludf.DUMMYFUNCTION("IFERROR(ARRAYFORMULA(REGEXEXTRACT(A1956,""^(?:https?:\/\/)?(?:[^@\n]+@)?(?:www\.)?([^:\/\n]+)"")),"""")"),"saatva.com")</f>
        <v>saatva.com</v>
      </c>
    </row>
    <row r="1957" spans="1:2" ht="12.5">
      <c r="A1957" s="3" t="s">
        <v>2212</v>
      </c>
      <c r="B1957" s="4" t="str">
        <f ca="1">IFERROR(__xludf.DUMMYFUNCTION("IFERROR(ARRAYFORMULA(REGEXEXTRACT(A1957,""^(?:https?:\/\/)?(?:[^@\n]+@)?(?:www\.)?([^:\/\n]+)"")),"""")"),"allisonjaffe.com")</f>
        <v>allisonjaffe.com</v>
      </c>
    </row>
    <row r="1958" spans="1:2" ht="12.5">
      <c r="A1958" s="3" t="s">
        <v>2213</v>
      </c>
      <c r="B1958" s="4" t="str">
        <f ca="1">IFERROR(__xludf.DUMMYFUNCTION("IFERROR(ARRAYFORMULA(REGEXEXTRACT(A1958,""^(?:https?:\/\/)?(?:[^@\n]+@)?(?:www\.)?([^:\/\n]+)"")),"""")"),"myfittedbedroom.com")</f>
        <v>myfittedbedroom.com</v>
      </c>
    </row>
    <row r="1959" spans="1:2" ht="12.5">
      <c r="A1959" s="3" t="s">
        <v>2214</v>
      </c>
      <c r="B1959" s="4" t="str">
        <f ca="1">IFERROR(__xludf.DUMMYFUNCTION("IFERROR(ARRAYFORMULA(REGEXEXTRACT(A1959,""^(?:https?:\/\/)?(?:[^@\n]+@)?(?:www\.)?([^:\/\n]+)"")),"""")"),"givans.co.uk")</f>
        <v>givans.co.uk</v>
      </c>
    </row>
    <row r="1960" spans="1:2" ht="12.5">
      <c r="A1960" s="3" t="s">
        <v>2215</v>
      </c>
      <c r="B1960" s="4" t="str">
        <f ca="1">IFERROR(__xludf.DUMMYFUNCTION("IFERROR(ARRAYFORMULA(REGEXEXTRACT(A1960,""^(?:https?:\/\/)?(?:[^@\n]+@)?(?:www\.)?([^:\/\n]+)"")),"""")"),"plushbeds.com")</f>
        <v>plushbeds.com</v>
      </c>
    </row>
    <row r="1961" spans="1:2" ht="12.5">
      <c r="A1961" s="3" t="s">
        <v>2216</v>
      </c>
      <c r="B1961" s="4" t="str">
        <f ca="1">IFERROR(__xludf.DUMMYFUNCTION("IFERROR(ARRAYFORMULA(REGEXEXTRACT(A1961,""^(?:https?:\/\/)?(?:[^@\n]+@)?(?:www\.)?([^:\/\n]+)"")),"""")"),"servicetoday.com.au")</f>
        <v>servicetoday.com.au</v>
      </c>
    </row>
    <row r="1962" spans="1:2" ht="12.5">
      <c r="A1962" s="3" t="s">
        <v>2217</v>
      </c>
      <c r="B1962" s="4" t="str">
        <f ca="1">IFERROR(__xludf.DUMMYFUNCTION("IFERROR(ARRAYFORMULA(REGEXEXTRACT(A1962,""^(?:https?:\/\/)?(?:[^@\n]+@)?(?:www\.)?([^:\/\n]+)"")),"""")"),"theporchswingstore.com")</f>
        <v>theporchswingstore.com</v>
      </c>
    </row>
    <row r="1963" spans="1:2" ht="12.5">
      <c r="A1963" s="3" t="s">
        <v>2218</v>
      </c>
      <c r="B1963" s="4" t="str">
        <f ca="1">IFERROR(__xludf.DUMMYFUNCTION("IFERROR(ARRAYFORMULA(REGEXEXTRACT(A1963,""^(?:https?:\/\/)?(?:[^@\n]+@)?(?:www\.)?([^:\/\n]+)"")),"""")"),"oasisleisure.com")</f>
        <v>oasisleisure.com</v>
      </c>
    </row>
    <row r="1964" spans="1:2" ht="12.5">
      <c r="A1964" s="3" t="s">
        <v>2219</v>
      </c>
      <c r="B1964" s="4" t="str">
        <f ca="1">IFERROR(__xludf.DUMMYFUNCTION("IFERROR(ARRAYFORMULA(REGEXEXTRACT(A1964,""^(?:https?:\/\/)?(?:[^@\n]+@)?(?:www\.)?([^:\/\n]+)"")),"""")"),"movingapt.com")</f>
        <v>movingapt.com</v>
      </c>
    </row>
    <row r="1965" spans="1:2" ht="12.5">
      <c r="A1965" s="3" t="s">
        <v>2220</v>
      </c>
      <c r="B1965" s="4" t="str">
        <f ca="1">IFERROR(__xludf.DUMMYFUNCTION("IFERROR(ARRAYFORMULA(REGEXEXTRACT(A1965,""^(?:https?:\/\/)?(?:[^@\n]+@)?(?:www\.)?([^:\/\n]+)"")),"""")"),"puremodern.com")</f>
        <v>puremodern.com</v>
      </c>
    </row>
    <row r="1966" spans="1:2" ht="12.5">
      <c r="A1966" s="3" t="s">
        <v>2221</v>
      </c>
      <c r="B1966" s="4" t="str">
        <f ca="1">IFERROR(__xludf.DUMMYFUNCTION("IFERROR(ARRAYFORMULA(REGEXEXTRACT(A1966,""^(?:https?:\/\/)?(?:[^@\n]+@)?(?:www\.)?([^:\/\n]+)"")),"""")"),"windwarddesigngroup.com")</f>
        <v>windwarddesigngroup.com</v>
      </c>
    </row>
    <row r="1967" spans="1:2" ht="12.5">
      <c r="A1967" s="3" t="s">
        <v>2222</v>
      </c>
      <c r="B1967" s="4" t="str">
        <f ca="1">IFERROR(__xludf.DUMMYFUNCTION("IFERROR(ARRAYFORMULA(REGEXEXTRACT(A1967,""^(?:https?:\/\/)?(?:[^@\n]+@)?(?:www\.)?([^:\/\n]+)"")),"""")"),"fox-pest.com")</f>
        <v>fox-pest.com</v>
      </c>
    </row>
    <row r="1968" spans="1:2" ht="12.5">
      <c r="A1968" s="3" t="s">
        <v>2223</v>
      </c>
      <c r="B1968" s="4" t="str">
        <f ca="1">IFERROR(__xludf.DUMMYFUNCTION("IFERROR(ARRAYFORMULA(REGEXEXTRACT(A1968,""^(?:https?:\/\/)?(?:[^@\n]+@)?(?:www\.)?([^:\/\n]+)"")),"""")"),"judgemobilewash.com")</f>
        <v>judgemobilewash.com</v>
      </c>
    </row>
    <row r="1969" spans="1:2" ht="12.5">
      <c r="A1969" s="3" t="s">
        <v>2224</v>
      </c>
      <c r="B1969" s="4" t="str">
        <f ca="1">IFERROR(__xludf.DUMMYFUNCTION("IFERROR(ARRAYFORMULA(REGEXEXTRACT(A1969,""^(?:https?:\/\/)?(?:[^@\n]+@)?(?:www\.)?([^:\/\n]+)"")),"""")"),"waterattack.com.au")</f>
        <v>waterattack.com.au</v>
      </c>
    </row>
    <row r="1970" spans="1:2" ht="12.5">
      <c r="A1970" s="3" t="s">
        <v>2225</v>
      </c>
      <c r="B1970" s="4" t="str">
        <f ca="1">IFERROR(__xludf.DUMMYFUNCTION("IFERROR(ARRAYFORMULA(REGEXEXTRACT(A1970,""^(?:https?:\/\/)?(?:[^@\n]+@)?(?:www\.)?([^:\/\n]+)"")),"""")"),"guttersupply.com")</f>
        <v>guttersupply.com</v>
      </c>
    </row>
    <row r="1971" spans="1:2" ht="12.5">
      <c r="A1971" s="3" t="s">
        <v>2226</v>
      </c>
      <c r="B1971" s="4" t="str">
        <f ca="1">IFERROR(__xludf.DUMMYFUNCTION("IFERROR(ARRAYFORMULA(REGEXEXTRACT(A1971,""^(?:https?:\/\/)?(?:[^@\n]+@)?(?:www\.)?([^:\/\n]+)"")),"""")"),"pureturfllc.com")</f>
        <v>pureturfllc.com</v>
      </c>
    </row>
    <row r="1972" spans="1:2" ht="12.5">
      <c r="A1972" s="3" t="s">
        <v>2227</v>
      </c>
      <c r="B1972" s="4" t="str">
        <f ca="1">IFERROR(__xludf.DUMMYFUNCTION("IFERROR(ARRAYFORMULA(REGEXEXTRACT(A1972,""^(?:https?:\/\/)?(?:[^@\n]+@)?(?:www\.)?([^:\/\n]+)"")),"""")"),"westcoastpoolspa.com")</f>
        <v>westcoastpoolspa.com</v>
      </c>
    </row>
    <row r="1973" spans="1:2" ht="12.5">
      <c r="A1973" s="3" t="s">
        <v>2228</v>
      </c>
      <c r="B1973" s="4" t="str">
        <f ca="1">IFERROR(__xludf.DUMMYFUNCTION("IFERROR(ARRAYFORMULA(REGEXEXTRACT(A1973,""^(?:https?:\/\/)?(?:[^@\n]+@)?(?:www\.)?([^:\/\n]+)"")),"""")"),"absolutehomeservices.ca")</f>
        <v>absolutehomeservices.ca</v>
      </c>
    </row>
    <row r="1974" spans="1:2" ht="12.5">
      <c r="A1974" s="3" t="s">
        <v>2229</v>
      </c>
      <c r="B1974" s="4" t="str">
        <f ca="1">IFERROR(__xludf.DUMMYFUNCTION("IFERROR(ARRAYFORMULA(REGEXEXTRACT(A1974,""^(?:https?:\/\/)?(?:[^@\n]+@)?(?:www\.)?([^:\/\n]+)"")),"""")"),"spachem.co.uk")</f>
        <v>spachem.co.uk</v>
      </c>
    </row>
    <row r="1975" spans="1:2" ht="12.5">
      <c r="A1975" s="3" t="s">
        <v>2230</v>
      </c>
      <c r="B1975" s="4" t="str">
        <f ca="1">IFERROR(__xludf.DUMMYFUNCTION("IFERROR(ARRAYFORMULA(REGEXEXTRACT(A1975,""^(?:https?:\/\/)?(?:[^@\n]+@)?(?:www\.)?([^:\/\n]+)"")),"""")"),"precisionlandscaping.ca")</f>
        <v>precisionlandscaping.ca</v>
      </c>
    </row>
    <row r="1976" spans="1:2" ht="12.5">
      <c r="A1976" s="3" t="s">
        <v>2231</v>
      </c>
      <c r="B1976" s="4" t="str">
        <f ca="1">IFERROR(__xludf.DUMMYFUNCTION("IFERROR(ARRAYFORMULA(REGEXEXTRACT(A1976,""^(?:https?:\/\/)?(?:[^@\n]+@)?(?:www\.)?([^:\/\n]+)"")),"""")"),"heatedtowelracks.com")</f>
        <v>heatedtowelracks.com</v>
      </c>
    </row>
    <row r="1977" spans="1:2" ht="12.5">
      <c r="A1977" s="3" t="s">
        <v>2232</v>
      </c>
      <c r="B1977" s="4" t="str">
        <f ca="1">IFERROR(__xludf.DUMMYFUNCTION("IFERROR(ARRAYFORMULA(REGEXEXTRACT(A1977,""^(?:https?:\/\/)?(?:[^@\n]+@)?(?:www\.)?([^:\/\n]+)"")),"""")"),"thepoolstainremovers.com.au")</f>
        <v>thepoolstainremovers.com.au</v>
      </c>
    </row>
    <row r="1978" spans="1:2" ht="12.5">
      <c r="A1978" s="3" t="s">
        <v>2233</v>
      </c>
      <c r="B1978" s="4" t="str">
        <f ca="1">IFERROR(__xludf.DUMMYFUNCTION("IFERROR(ARRAYFORMULA(REGEXEXTRACT(A1978,""^(?:https?:\/\/)?(?:[^@\n]+@)?(?:www\.)?([^:\/\n]+)"")),"""")"),"clksupplies.com")</f>
        <v>clksupplies.com</v>
      </c>
    </row>
    <row r="1979" spans="1:2" ht="12.5">
      <c r="A1979" s="3" t="s">
        <v>2234</v>
      </c>
      <c r="B1979" s="4" t="str">
        <f ca="1">IFERROR(__xludf.DUMMYFUNCTION("IFERROR(ARRAYFORMULA(REGEXEXTRACT(A1979,""^(?:https?:\/\/)?(?:[^@\n]+@)?(?:www\.)?([^:\/\n]+)"")),"""")"),"vivint.com")</f>
        <v>vivint.com</v>
      </c>
    </row>
    <row r="1980" spans="1:2" ht="12.5">
      <c r="A1980" s="3" t="s">
        <v>2235</v>
      </c>
      <c r="B1980" s="4" t="str">
        <f ca="1">IFERROR(__xludf.DUMMYFUNCTION("IFERROR(ARRAYFORMULA(REGEXEXTRACT(A1980,""^(?:https?:\/\/)?(?:[^@\n]+@)?(?:www\.)?([^:\/\n]+)"")),"""")"),"lockpickworld.com")</f>
        <v>lockpickworld.com</v>
      </c>
    </row>
    <row r="1981" spans="1:2" ht="12.5">
      <c r="A1981" s="3" t="s">
        <v>2236</v>
      </c>
      <c r="B1981" s="4" t="str">
        <f ca="1">IFERROR(__xludf.DUMMYFUNCTION("IFERROR(ARRAYFORMULA(REGEXEXTRACT(A1981,""^(?:https?:\/\/)?(?:[^@\n]+@)?(?:www\.)?([^:\/\n]+)"")),"""")"),"servleader.com")</f>
        <v>servleader.com</v>
      </c>
    </row>
    <row r="1982" spans="1:2" ht="12.5">
      <c r="A1982" s="3" t="s">
        <v>2237</v>
      </c>
      <c r="B1982" s="4" t="str">
        <f ca="1">IFERROR(__xludf.DUMMYFUNCTION("IFERROR(ARRAYFORMULA(REGEXEXTRACT(A1982,""^(?:https?:\/\/)?(?:[^@\n]+@)?(?:www\.)?([^:\/\n]+)"")),"""")"),"thepattisallgroup.com")</f>
        <v>thepattisallgroup.com</v>
      </c>
    </row>
    <row r="1983" spans="1:2" ht="12.5">
      <c r="A1983" s="3" t="s">
        <v>2238</v>
      </c>
      <c r="B1983" s="4" t="str">
        <f ca="1">IFERROR(__xludf.DUMMYFUNCTION("IFERROR(ARRAYFORMULA(REGEXEXTRACT(A1983,""^(?:https?:\/\/)?(?:[^@\n]+@)?(?:www\.)?([^:\/\n]+)"")),"""")"),"dryprosystems.com")</f>
        <v>dryprosystems.com</v>
      </c>
    </row>
    <row r="1984" spans="1:2" ht="12.5">
      <c r="A1984" s="3" t="s">
        <v>2239</v>
      </c>
      <c r="B1984" s="4" t="str">
        <f ca="1">IFERROR(__xludf.DUMMYFUNCTION("IFERROR(ARRAYFORMULA(REGEXEXTRACT(A1984,""^(?:https?:\/\/)?(?:[^@\n]+@)?(?:www\.)?([^:\/\n]+)"")),"""")"),"smartsecurity.com.au")</f>
        <v>smartsecurity.com.au</v>
      </c>
    </row>
    <row r="1985" spans="1:2" ht="12.5">
      <c r="A1985" s="3" t="s">
        <v>2240</v>
      </c>
      <c r="B1985" s="4" t="str">
        <f ca="1">IFERROR(__xludf.DUMMYFUNCTION("IFERROR(ARRAYFORMULA(REGEXEXTRACT(A1985,""^(?:https?:\/\/)?(?:[^@\n]+@)?(?:www\.)?([^:\/\n]+)"")),"""")"),"safesmartliving.com")</f>
        <v>safesmartliving.com</v>
      </c>
    </row>
    <row r="1986" spans="1:2" ht="12.5">
      <c r="A1986" s="3" t="s">
        <v>2241</v>
      </c>
      <c r="B1986" s="4" t="str">
        <f ca="1">IFERROR(__xludf.DUMMYFUNCTION("IFERROR(ARRAYFORMULA(REGEXEXTRACT(A1986,""^(?:https?:\/\/)?(?:[^@\n]+@)?(?:www\.)?([^:\/\n]+)"")),"""")"),"smiththompson.com")</f>
        <v>smiththompson.com</v>
      </c>
    </row>
    <row r="1987" spans="1:2" ht="12.5">
      <c r="A1987" s="3" t="s">
        <v>2242</v>
      </c>
      <c r="B1987" s="4" t="str">
        <f ca="1">IFERROR(__xludf.DUMMYFUNCTION("IFERROR(ARRAYFORMULA(REGEXEXTRACT(A1987,""^(?:https?:\/\/)?(?:[^@\n]+@)?(?:www\.)?([^:\/\n]+)"")),"""")"),"zumperrentals.com")</f>
        <v>zumperrentals.com</v>
      </c>
    </row>
    <row r="1988" spans="1:2" ht="12.5">
      <c r="A1988" s="3" t="s">
        <v>2243</v>
      </c>
      <c r="B1988" s="4" t="str">
        <f ca="1">IFERROR(__xludf.DUMMYFUNCTION("IFERROR(ARRAYFORMULA(REGEXEXTRACT(A1988,""^(?:https?:\/\/)?(?:[^@\n]+@)?(?:www\.)?([^:\/\n]+)"")),"""")"),"apollocover.com")</f>
        <v>apollocover.com</v>
      </c>
    </row>
    <row r="1989" spans="1:2" ht="12.5">
      <c r="A1989" s="3" t="s">
        <v>2244</v>
      </c>
      <c r="B1989" s="4" t="str">
        <f ca="1">IFERROR(__xludf.DUMMYFUNCTION("IFERROR(ARRAYFORMULA(REGEXEXTRACT(A1989,""^(?:https?:\/\/)?(?:[^@\n]+@)?(?:www\.)?([^:\/\n]+)"")),"""")"),"sacramentopress.com")</f>
        <v>sacramentopress.com</v>
      </c>
    </row>
    <row r="1990" spans="1:2" ht="12.5">
      <c r="A1990" s="3" t="s">
        <v>2245</v>
      </c>
      <c r="B1990" s="4" t="str">
        <f ca="1">IFERROR(__xludf.DUMMYFUNCTION("IFERROR(ARRAYFORMULA(REGEXEXTRACT(A1990,""^(?:https?:\/\/)?(?:[^@\n]+@)?(?:www\.)?([^:\/\n]+)"")),"""")"),"ductdudes.com")</f>
        <v>ductdudes.com</v>
      </c>
    </row>
    <row r="1991" spans="1:2" ht="12.5">
      <c r="A1991" s="3" t="s">
        <v>2246</v>
      </c>
      <c r="B1991" s="4" t="str">
        <f ca="1">IFERROR(__xludf.DUMMYFUNCTION("IFERROR(ARRAYFORMULA(REGEXEXTRACT(A1991,""^(?:https?:\/\/)?(?:[^@\n]+@)?(?:www\.)?([^:\/\n]+)"")),"""")"),"theyesmancan.com")</f>
        <v>theyesmancan.com</v>
      </c>
    </row>
    <row r="1992" spans="1:2" ht="12.5">
      <c r="A1992" s="3" t="s">
        <v>2247</v>
      </c>
      <c r="B1992" s="4" t="str">
        <f ca="1">IFERROR(__xludf.DUMMYFUNCTION("IFERROR(ARRAYFORMULA(REGEXEXTRACT(A1992,""^(?:https?:\/\/)?(?:[^@\n]+@)?(?:www\.)?([^:\/\n]+)"")),"""")"),"completewindowcare.com")</f>
        <v>completewindowcare.com</v>
      </c>
    </row>
    <row r="1993" spans="1:2" ht="12.5">
      <c r="A1993" s="3" t="s">
        <v>2248</v>
      </c>
      <c r="B1993" s="4" t="str">
        <f ca="1">IFERROR(__xludf.DUMMYFUNCTION("IFERROR(ARRAYFORMULA(REGEXEXTRACT(A1993,""^(?:https?:\/\/)?(?:[^@\n]+@)?(?:www\.)?([^:\/\n]+)"")),"""")"),"advantage-construction.com")</f>
        <v>advantage-construction.com</v>
      </c>
    </row>
    <row r="1994" spans="1:2" ht="12.5">
      <c r="A1994" s="3" t="s">
        <v>2249</v>
      </c>
      <c r="B1994" s="4" t="str">
        <f ca="1">IFERROR(__xludf.DUMMYFUNCTION("IFERROR(ARRAYFORMULA(REGEXEXTRACT(A1994,""^(?:https?:\/\/)?(?:[^@\n]+@)?(?:www\.)?([^:\/\n]+)"")),"""")"),"vacuumelevators.com")</f>
        <v>vacuumelevators.com</v>
      </c>
    </row>
    <row r="1995" spans="1:2" ht="12.5">
      <c r="A1995" s="3" t="s">
        <v>2250</v>
      </c>
      <c r="B1995" s="4" t="str">
        <f ca="1">IFERROR(__xludf.DUMMYFUNCTION("IFERROR(ARRAYFORMULA(REGEXEXTRACT(A1995,""^(?:https?:\/\/)?(?:[^@\n]+@)?(?:www\.)?([^:\/\n]+)"")),"""")"),"customdraperyandshades.com")</f>
        <v>customdraperyandshades.com</v>
      </c>
    </row>
    <row r="1996" spans="1:2" ht="12.5">
      <c r="A1996" s="3" t="s">
        <v>2251</v>
      </c>
      <c r="B1996" s="4" t="str">
        <f ca="1">IFERROR(__xludf.DUMMYFUNCTION("IFERROR(ARRAYFORMULA(REGEXEXTRACT(A1996,""^(?:https?:\/\/)?(?:[^@\n]+@)?(?:www\.)?([^:\/\n]+)"")),"""")"),"lucidfiresecurity.co.uk")</f>
        <v>lucidfiresecurity.co.uk</v>
      </c>
    </row>
    <row r="1997" spans="1:2" ht="12.5">
      <c r="A1997" s="3" t="s">
        <v>2252</v>
      </c>
      <c r="B1997" s="4" t="str">
        <f ca="1">IFERROR(__xludf.DUMMYFUNCTION("IFERROR(ARRAYFORMULA(REGEXEXTRACT(A1997,""^(?:https?:\/\/)?(?:[^@\n]+@)?(?:www\.)?([^:\/\n]+)"")),"""")"),"clearway.co.uk")</f>
        <v>clearway.co.uk</v>
      </c>
    </row>
    <row r="1998" spans="1:2" ht="12.5">
      <c r="A1998" s="3" t="s">
        <v>2253</v>
      </c>
      <c r="B1998" s="4" t="str">
        <f ca="1">IFERROR(__xludf.DUMMYFUNCTION("IFERROR(ARRAYFORMULA(REGEXEXTRACT(A1998,""^(?:https?:\/\/)?(?:[^@\n]+@)?(?:www\.)?([^:\/\n]+)"")),"""")"),"bravarooftile.com")</f>
        <v>bravarooftile.com</v>
      </c>
    </row>
    <row r="1999" spans="1:2" ht="12.5">
      <c r="A1999" s="3" t="s">
        <v>2254</v>
      </c>
      <c r="B1999" s="4" t="str">
        <f ca="1">IFERROR(__xludf.DUMMYFUNCTION("IFERROR(ARRAYFORMULA(REGEXEXTRACT(A1999,""^(?:https?:\/\/)?(?:[^@\n]+@)?(?:www\.)?([^:\/\n]+)"")),"""")"),"safebasements.com")</f>
        <v>safebasements.com</v>
      </c>
    </row>
    <row r="2000" spans="1:2" ht="12.5">
      <c r="A2000" s="3" t="s">
        <v>2255</v>
      </c>
      <c r="B2000" s="4" t="str">
        <f ca="1">IFERROR(__xludf.DUMMYFUNCTION("IFERROR(ARRAYFORMULA(REGEXEXTRACT(A2000,""^(?:https?:\/\/)?(?:[^@\n]+@)?(?:www\.)?([^:\/\n]+)"")),"""")"),"groovyhues.com")</f>
        <v>groovyhues.com</v>
      </c>
    </row>
    <row r="2001" spans="1:2" ht="12.5">
      <c r="A2001" s="3" t="s">
        <v>2256</v>
      </c>
      <c r="B2001" s="4" t="str">
        <f ca="1">IFERROR(__xludf.DUMMYFUNCTION("IFERROR(ARRAYFORMULA(REGEXEXTRACT(A2001,""^(?:https?:\/\/)?(?:[^@\n]+@)?(?:www\.)?([^:\/\n]+)"")),"""")"),"smardbuild.com")</f>
        <v>smardbuild.com</v>
      </c>
    </row>
    <row r="2002" spans="1:2" ht="12.5">
      <c r="A2002" s="3" t="s">
        <v>2257</v>
      </c>
      <c r="B2002" s="4" t="str">
        <f ca="1">IFERROR(__xludf.DUMMYFUNCTION("IFERROR(ARRAYFORMULA(REGEXEXTRACT(A2002,""^(?:https?:\/\/)?(?:[^@\n]+@)?(?:www\.)?([^:\/\n]+)"")),"""")"),"dynamichomeremodel.com")</f>
        <v>dynamichomeremodel.com</v>
      </c>
    </row>
    <row r="2003" spans="1:2" ht="12.5">
      <c r="A2003" s="3" t="s">
        <v>2258</v>
      </c>
      <c r="B2003" s="4" t="str">
        <f ca="1">IFERROR(__xludf.DUMMYFUNCTION("IFERROR(ARRAYFORMULA(REGEXEXTRACT(A2003,""^(?:https?:\/\/)?(?:[^@\n]+@)?(?:www\.)?([^:\/\n]+)"")),"""")"),"trentonroofing.com")</f>
        <v>trentonroofing.com</v>
      </c>
    </row>
    <row r="2004" spans="1:2" ht="12.5">
      <c r="A2004" s="3" t="s">
        <v>2259</v>
      </c>
      <c r="B2004" s="4" t="str">
        <f ca="1">IFERROR(__xludf.DUMMYFUNCTION("IFERROR(ARRAYFORMULA(REGEXEXTRACT(A2004,""^(?:https?:\/\/)?(?:[^@\n]+@)?(?:www\.)?([^:\/\n]+)"")),"""")"),"calldoctorfixit.com")</f>
        <v>calldoctorfixit.com</v>
      </c>
    </row>
    <row r="2005" spans="1:2" ht="12.5">
      <c r="A2005" s="3" t="s">
        <v>2260</v>
      </c>
      <c r="B2005" s="4" t="str">
        <f ca="1">IFERROR(__xludf.DUMMYFUNCTION("IFERROR(ARRAYFORMULA(REGEXEXTRACT(A2005,""^(?:https?:\/\/)?(?:[^@\n]+@)?(?:www\.)?([^:\/\n]+)"")),"""")"),"trane.com")</f>
        <v>trane.com</v>
      </c>
    </row>
    <row r="2006" spans="1:2" ht="12.5">
      <c r="A2006" s="3" t="s">
        <v>2261</v>
      </c>
      <c r="B2006" s="4" t="str">
        <f ca="1">IFERROR(__xludf.DUMMYFUNCTION("IFERROR(ARRAYFORMULA(REGEXEXTRACT(A2006,""^(?:https?:\/\/)?(?:[^@\n]+@)?(?:www\.)?([^:\/\n]+)"")),"""")"),"kitsaproofpros.com")</f>
        <v>kitsaproofpros.com</v>
      </c>
    </row>
    <row r="2007" spans="1:2" ht="12.5">
      <c r="A2007" s="3" t="s">
        <v>2262</v>
      </c>
      <c r="B2007" s="4" t="str">
        <f ca="1">IFERROR(__xludf.DUMMYFUNCTION("IFERROR(ARRAYFORMULA(REGEXEXTRACT(A2007,""^(?:https?:\/\/)?(?:[^@\n]+@)?(?:www\.)?([^:\/\n]+)"")),"""")"),"infinitytxair.com")</f>
        <v>infinitytxair.com</v>
      </c>
    </row>
    <row r="2008" spans="1:2" ht="12.5">
      <c r="A2008" s="3" t="s">
        <v>2263</v>
      </c>
      <c r="B2008" s="4" t="str">
        <f ca="1">IFERROR(__xludf.DUMMYFUNCTION("IFERROR(ARRAYFORMULA(REGEXEXTRACT(A2008,""^(?:https?:\/\/)?(?:[^@\n]+@)?(?:www\.)?([^:\/\n]+)"")),"""")"),"834hans.com")</f>
        <v>834hans.com</v>
      </c>
    </row>
    <row r="2009" spans="1:2" ht="12.5">
      <c r="A2009" s="3" t="s">
        <v>2264</v>
      </c>
      <c r="B2009" s="4" t="str">
        <f ca="1">IFERROR(__xludf.DUMMYFUNCTION("IFERROR(ARRAYFORMULA(REGEXEXTRACT(A2009,""^(?:https?:\/\/)?(?:[^@\n]+@)?(?:www\.)?([^:\/\n]+)"")),"""")"),"taylor-gutter-cleaning-and-repairs.co.uk")</f>
        <v>taylor-gutter-cleaning-and-repairs.co.uk</v>
      </c>
    </row>
    <row r="2010" spans="1:2" ht="12.5">
      <c r="A2010" s="3" t="s">
        <v>2265</v>
      </c>
      <c r="B2010" s="4" t="str">
        <f ca="1">IFERROR(__xludf.DUMMYFUNCTION("IFERROR(ARRAYFORMULA(REGEXEXTRACT(A2010,""^(?:https?:\/\/)?(?:[^@\n]+@)?(?:www\.)?([^:\/\n]+)"")),"""")"),"greentekps.com")</f>
        <v>greentekps.com</v>
      </c>
    </row>
    <row r="2011" spans="1:2" ht="12.5">
      <c r="A2011" s="3" t="s">
        <v>2266</v>
      </c>
      <c r="B2011" s="4" t="str">
        <f ca="1">IFERROR(__xludf.DUMMYFUNCTION("IFERROR(ARRAYFORMULA(REGEXEXTRACT(A2011,""^(?:https?:\/\/)?(?:[^@\n]+@)?(?:www\.)?([^:\/\n]+)"")),"""")"),"americaneagleservicesinc.com")</f>
        <v>americaneagleservicesinc.com</v>
      </c>
    </row>
    <row r="2012" spans="1:2" ht="12.5">
      <c r="A2012" s="3" t="s">
        <v>2267</v>
      </c>
      <c r="B2012" s="4" t="str">
        <f ca="1">IFERROR(__xludf.DUMMYFUNCTION("IFERROR(ARRAYFORMULA(REGEXEXTRACT(A2012,""^(?:https?:\/\/)?(?:[^@\n]+@)?(?:www\.)?([^:\/\n]+)"")),"""")"),"therugdistrict.ca")</f>
        <v>therugdistrict.ca</v>
      </c>
    </row>
    <row r="2013" spans="1:2" ht="12.5">
      <c r="A2013" s="3" t="s">
        <v>2268</v>
      </c>
      <c r="B2013" s="4" t="str">
        <f ca="1">IFERROR(__xludf.DUMMYFUNCTION("IFERROR(ARRAYFORMULA(REGEXEXTRACT(A2013,""^(?:https?:\/\/)?(?:[^@\n]+@)?(?:www\.)?([^:\/\n]+)"")),"""")"),"utahstyleanddesign.com")</f>
        <v>utahstyleanddesign.com</v>
      </c>
    </row>
    <row r="2014" spans="1:2" ht="12.5">
      <c r="A2014" s="3" t="s">
        <v>2269</v>
      </c>
      <c r="B2014" s="4" t="str">
        <f ca="1">IFERROR(__xludf.DUMMYFUNCTION("IFERROR(ARRAYFORMULA(REGEXEXTRACT(A2014,""^(?:https?:\/\/)?(?:[^@\n]+@)?(?:www\.)?([^:\/\n]+)"")),"""")"),"thewalllightingcompany.co.uk")</f>
        <v>thewalllightingcompany.co.uk</v>
      </c>
    </row>
    <row r="2015" spans="1:2" ht="12.5">
      <c r="A2015" s="3" t="s">
        <v>2270</v>
      </c>
      <c r="B2015" s="4" t="str">
        <f ca="1">IFERROR(__xludf.DUMMYFUNCTION("IFERROR(ARRAYFORMULA(REGEXEXTRACT(A2015,""^(?:https?:\/\/)?(?:[^@\n]+@)?(?:www\.)?([^:\/\n]+)"")),"""")"),"dot-furniture.com")</f>
        <v>dot-furniture.com</v>
      </c>
    </row>
    <row r="2016" spans="1:2" ht="12.5">
      <c r="A2016" s="3" t="s">
        <v>2271</v>
      </c>
      <c r="B2016" s="4" t="str">
        <f ca="1">IFERROR(__xludf.DUMMYFUNCTION("IFERROR(ARRAYFORMULA(REGEXEXTRACT(A2016,""^(?:https?:\/\/)?(?:[^@\n]+@)?(?:www\.)?([^:\/\n]+)"")),"""")"),"housebeautiful.com")</f>
        <v>housebeautiful.com</v>
      </c>
    </row>
    <row r="2017" spans="1:2" ht="12.5">
      <c r="A2017" s="3" t="s">
        <v>2272</v>
      </c>
      <c r="B2017" s="4" t="str">
        <f ca="1">IFERROR(__xludf.DUMMYFUNCTION("IFERROR(ARRAYFORMULA(REGEXEXTRACT(A2017,""^(?:https?:\/\/)?(?:[^@\n]+@)?(?:www\.)?([^:\/\n]+)"")),"""")"),"bedinabox.com")</f>
        <v>bedinabox.com</v>
      </c>
    </row>
    <row r="2018" spans="1:2" ht="12.5">
      <c r="A2018" s="3" t="s">
        <v>2273</v>
      </c>
      <c r="B2018" s="4" t="str">
        <f ca="1">IFERROR(__xludf.DUMMYFUNCTION("IFERROR(ARRAYFORMULA(REGEXEXTRACT(A2018,""^(?:https?:\/\/)?(?:[^@\n]+@)?(?:www\.)?([^:\/\n]+)"")),"""")"),"westridgefinehomes.com")</f>
        <v>westridgefinehomes.com</v>
      </c>
    </row>
    <row r="2019" spans="1:2" ht="12.5">
      <c r="A2019" s="3" t="s">
        <v>2274</v>
      </c>
      <c r="B2019" s="4" t="str">
        <f ca="1">IFERROR(__xludf.DUMMYFUNCTION("IFERROR(ARRAYFORMULA(REGEXEXTRACT(A2019,""^(?:https?:\/\/)?(?:[^@\n]+@)?(?:www\.)?([^:\/\n]+)"")),"""")"),"umistone.com")</f>
        <v>umistone.com</v>
      </c>
    </row>
    <row r="2020" spans="1:2" ht="12.5">
      <c r="A2020" s="3" t="s">
        <v>2275</v>
      </c>
      <c r="B2020" s="4" t="str">
        <f ca="1">IFERROR(__xludf.DUMMYFUNCTION("IFERROR(ARRAYFORMULA(REGEXEXTRACT(A2020,""^(?:https?:\/\/)?(?:[^@\n]+@)?(?:www\.)?([^:\/\n]+)"")),"""")"),"belonghome.com")</f>
        <v>belonghome.com</v>
      </c>
    </row>
    <row r="2021" spans="1:2" ht="12.5">
      <c r="A2021" s="3" t="s">
        <v>2276</v>
      </c>
      <c r="B2021" s="4" t="str">
        <f ca="1">IFERROR(__xludf.DUMMYFUNCTION("IFERROR(ARRAYFORMULA(REGEXEXTRACT(A2021,""^(?:https?:\/\/)?(?:[^@\n]+@)?(?:www\.)?([^:\/\n]+)"")),"""")"),"studyfinds.org")</f>
        <v>studyfinds.org</v>
      </c>
    </row>
    <row r="2022" spans="1:2" ht="12.5">
      <c r="A2022" s="3" t="s">
        <v>2277</v>
      </c>
      <c r="B2022" s="4" t="str">
        <f ca="1">IFERROR(__xludf.DUMMYFUNCTION("IFERROR(ARRAYFORMULA(REGEXEXTRACT(A2022,""^(?:https?:\/\/)?(?:[^@\n]+@)?(?:www\.)?([^:\/\n]+)"")),"""")"),"kitchencabinetscalgary.ca")</f>
        <v>kitchencabinetscalgary.ca</v>
      </c>
    </row>
    <row r="2023" spans="1:2" ht="12.5">
      <c r="A2023" s="3" t="s">
        <v>2278</v>
      </c>
      <c r="B2023" s="4" t="str">
        <f ca="1">IFERROR(__xludf.DUMMYFUNCTION("IFERROR(ARRAYFORMULA(REGEXEXTRACT(A2023,""^(?:https?:\/\/)?(?:[^@\n]+@)?(?:www\.)?([^:\/\n]+)"")),"""")"),"artofkitchens.com.au")</f>
        <v>artofkitchens.com.au</v>
      </c>
    </row>
    <row r="2024" spans="1:2" ht="12.5">
      <c r="A2024" s="3" t="s">
        <v>2279</v>
      </c>
      <c r="B2024" s="4" t="str">
        <f ca="1">IFERROR(__xludf.DUMMYFUNCTION("IFERROR(ARRAYFORMULA(REGEXEXTRACT(A2024,""^(?:https?:\/\/)?(?:[^@\n]+@)?(?:www\.)?([^:\/\n]+)"")),"""")"),"123junk.com")</f>
        <v>123junk.com</v>
      </c>
    </row>
    <row r="2025" spans="1:2" ht="12.5">
      <c r="A2025" s="3" t="s">
        <v>2280</v>
      </c>
      <c r="B2025" s="4" t="str">
        <f ca="1">IFERROR(__xludf.DUMMYFUNCTION("IFERROR(ARRAYFORMULA(REGEXEXTRACT(A2025,""^(?:https?:\/\/)?(?:[^@\n]+@)?(?:www\.)?([^:\/\n]+)"")),"""")"),"templeandwebster.com.au")</f>
        <v>templeandwebster.com.au</v>
      </c>
    </row>
    <row r="2026" spans="1:2" ht="12.5">
      <c r="A2026" s="3" t="s">
        <v>2281</v>
      </c>
      <c r="B2026" s="4" t="str">
        <f ca="1">IFERROR(__xludf.DUMMYFUNCTION("IFERROR(ARRAYFORMULA(REGEXEXTRACT(A2026,""^(?:https?:\/\/)?(?:[^@\n]+@)?(?:www\.)?([^:\/\n]+)"")),"""")"),"deluxcore.com")</f>
        <v>deluxcore.com</v>
      </c>
    </row>
    <row r="2027" spans="1:2" ht="12.5">
      <c r="A2027" s="3" t="s">
        <v>2282</v>
      </c>
      <c r="B2027" s="4" t="str">
        <f ca="1">IFERROR(__xludf.DUMMYFUNCTION("IFERROR(ARRAYFORMULA(REGEXEXTRACT(A2027,""^(?:https?:\/\/)?(?:[^@\n]+@)?(?:www\.)?([^:\/\n]+)"")),"""")"),"kitchenwarehouseltd.com")</f>
        <v>kitchenwarehouseltd.com</v>
      </c>
    </row>
    <row r="2028" spans="1:2" ht="12.5">
      <c r="A2028" s="3" t="s">
        <v>2283</v>
      </c>
      <c r="B2028" s="4" t="str">
        <f ca="1">IFERROR(__xludf.DUMMYFUNCTION("IFERROR(ARRAYFORMULA(REGEXEXTRACT(A2028,""^(?:https?:\/\/)?(?:[^@\n]+@)?(?:www\.)?([^:\/\n]+)"")),"""")"),"homesandgardens.com")</f>
        <v>homesandgardens.com</v>
      </c>
    </row>
    <row r="2029" spans="1:2" ht="12.5">
      <c r="A2029" s="3" t="s">
        <v>2284</v>
      </c>
      <c r="B2029" s="4" t="str">
        <f ca="1">IFERROR(__xludf.DUMMYFUNCTION("IFERROR(ARRAYFORMULA(REGEXEXTRACT(A2029,""^(?:https?:\/\/)?(?:[^@\n]+@)?(?:www\.)?([^:\/\n]+)"")),"""")"),"excelbuilders.com")</f>
        <v>excelbuilders.com</v>
      </c>
    </row>
    <row r="2030" spans="1:2" ht="12.5">
      <c r="A2030" s="3" t="s">
        <v>2285</v>
      </c>
      <c r="B2030" s="4" t="str">
        <f ca="1">IFERROR(__xludf.DUMMYFUNCTION("IFERROR(ARRAYFORMULA(REGEXEXTRACT(A2030,""^(?:https?:\/\/)?(?:[^@\n]+@)?(?:www\.)?([^:\/\n]+)"")),"""")"),"artisticstonedesign.com")</f>
        <v>artisticstonedesign.com</v>
      </c>
    </row>
    <row r="2031" spans="1:2" ht="12.5">
      <c r="A2031" s="3" t="s">
        <v>2286</v>
      </c>
      <c r="B2031" s="4" t="str">
        <f ca="1">IFERROR(__xludf.DUMMYFUNCTION("IFERROR(ARRAYFORMULA(REGEXEXTRACT(A2031,""^(?:https?:\/\/)?(?:[^@\n]+@)?(?:www\.)?([^:\/\n]+)"")),"""")"),"marichinc.com")</f>
        <v>marichinc.com</v>
      </c>
    </row>
    <row r="2032" spans="1:2" ht="12.5">
      <c r="A2032" s="3" t="s">
        <v>2287</v>
      </c>
      <c r="B2032" s="4" t="str">
        <f ca="1">IFERROR(__xludf.DUMMYFUNCTION("IFERROR(ARRAYFORMULA(REGEXEXTRACT(A2032,""^(?:https?:\/\/)?(?:[^@\n]+@)?(?:www\.)?([^:\/\n]+)"")),"""")"),"housedigest.com")</f>
        <v>housedigest.com</v>
      </c>
    </row>
    <row r="2033" spans="1:2" ht="12.5">
      <c r="A2033" s="3" t="s">
        <v>2288</v>
      </c>
      <c r="B2033" s="4" t="str">
        <f ca="1">IFERROR(__xludf.DUMMYFUNCTION("IFERROR(ARRAYFORMULA(REGEXEXTRACT(A2033,""^(?:https?:\/\/)?(?:[^@\n]+@)?(?:www\.)?([^:\/\n]+)"")),"""")"),"gorillamovers.com")</f>
        <v>gorillamovers.com</v>
      </c>
    </row>
    <row r="2034" spans="1:2" ht="12.5">
      <c r="A2034" s="3" t="s">
        <v>2289</v>
      </c>
      <c r="B2034" s="4" t="str">
        <f ca="1">IFERROR(__xludf.DUMMYFUNCTION("IFERROR(ARRAYFORMULA(REGEXEXTRACT(A2034,""^(?:https?:\/\/)?(?:[^@\n]+@)?(?:www\.)?([^:\/\n]+)"")),"""")"),"carpetwarehouse.co.uk")</f>
        <v>carpetwarehouse.co.uk</v>
      </c>
    </row>
    <row r="2035" spans="1:2" ht="12.5">
      <c r="A2035" s="3" t="s">
        <v>2290</v>
      </c>
      <c r="B2035" s="4" t="str">
        <f ca="1">IFERROR(__xludf.DUMMYFUNCTION("IFERROR(ARRAYFORMULA(REGEXEXTRACT(A2035,""^(?:https?:\/\/)?(?:[^@\n]+@)?(?:www\.)?([^:\/\n]+)"")),"""")"),"ixlbuild.com")</f>
        <v>ixlbuild.com</v>
      </c>
    </row>
    <row r="2036" spans="1:2" ht="12.5">
      <c r="A2036" s="3" t="s">
        <v>2291</v>
      </c>
      <c r="B2036" s="4" t="str">
        <f ca="1">IFERROR(__xludf.DUMMYFUNCTION("IFERROR(ARRAYFORMULA(REGEXEXTRACT(A2036,""^(?:https?:\/\/)?(?:[^@\n]+@)?(?:www\.)?([^:\/\n]+)"")),"""")"),"solidstoneworktops.co.uk")</f>
        <v>solidstoneworktops.co.uk</v>
      </c>
    </row>
    <row r="2037" spans="1:2" ht="12.5">
      <c r="A2037" s="3" t="s">
        <v>2292</v>
      </c>
      <c r="B2037" s="4" t="str">
        <f ca="1">IFERROR(__xludf.DUMMYFUNCTION("IFERROR(ARRAYFORMULA(REGEXEXTRACT(A2037,""^(?:https?:\/\/)?(?:[^@\n]+@)?(?:www\.)?([^:\/\n]+)"")),"""")"),"moving.com")</f>
        <v>moving.com</v>
      </c>
    </row>
    <row r="2038" spans="1:2" ht="12.5">
      <c r="A2038" s="3" t="s">
        <v>2293</v>
      </c>
      <c r="B2038" s="4" t="str">
        <f ca="1">IFERROR(__xludf.DUMMYFUNCTION("IFERROR(ARRAYFORMULA(REGEXEXTRACT(A2038,""^(?:https?:\/\/)?(?:[^@\n]+@)?(?:www\.)?([^:\/\n]+)"")),"""")"),"bwheatcool.com")</f>
        <v>bwheatcool.com</v>
      </c>
    </row>
    <row r="2039" spans="1:2" ht="12.5">
      <c r="A2039" s="3" t="s">
        <v>2294</v>
      </c>
      <c r="B2039" s="4" t="str">
        <f ca="1">IFERROR(__xludf.DUMMYFUNCTION("IFERROR(ARRAYFORMULA(REGEXEXTRACT(A2039,""^(?:https?:\/\/)?(?:[^@\n]+@)?(?:www\.)?([^:\/\n]+)"")),"""")"),"iheat.co.uk")</f>
        <v>iheat.co.uk</v>
      </c>
    </row>
    <row r="2040" spans="1:2" ht="12.5">
      <c r="A2040" s="3" t="s">
        <v>2295</v>
      </c>
      <c r="B2040" s="4" t="str">
        <f ca="1">IFERROR(__xludf.DUMMYFUNCTION("IFERROR(ARRAYFORMULA(REGEXEXTRACT(A2040,""^(?:https?:\/\/)?(?:[^@\n]+@)?(?:www\.)?([^:\/\n]+)"")),"""")"),"mcwilliamsandson.com")</f>
        <v>mcwilliamsandson.com</v>
      </c>
    </row>
    <row r="2041" spans="1:2" ht="12.5">
      <c r="A2041" s="3" t="s">
        <v>2296</v>
      </c>
      <c r="B2041" s="4" t="str">
        <f ca="1">IFERROR(__xludf.DUMMYFUNCTION("IFERROR(ARRAYFORMULA(REGEXEXTRACT(A2041,""^(?:https?:\/\/)?(?:[^@\n]+@)?(?:www\.)?([^:\/\n]+)"")),"""")"),"kaiserac.com")</f>
        <v>kaiserac.com</v>
      </c>
    </row>
    <row r="2042" spans="1:2" ht="12.5">
      <c r="A2042" s="3" t="s">
        <v>2297</v>
      </c>
      <c r="B2042" s="4" t="str">
        <f ca="1">IFERROR(__xludf.DUMMYFUNCTION("IFERROR(ARRAYFORMULA(REGEXEXTRACT(A2042,""^(?:https?:\/\/)?(?:[^@\n]+@)?(?:www\.)?([^:\/\n]+)"")),"""")"),"fixmyhome.com")</f>
        <v>fixmyhome.com</v>
      </c>
    </row>
    <row r="2043" spans="1:2" ht="12.5">
      <c r="A2043" s="3" t="s">
        <v>2298</v>
      </c>
      <c r="B2043" s="4" t="str">
        <f ca="1">IFERROR(__xludf.DUMMYFUNCTION("IFERROR(ARRAYFORMULA(REGEXEXTRACT(A2043,""^(?:https?:\/\/)?(?:[^@\n]+@)?(?:www\.)?([^:\/\n]+)"")),"""")"),"homeserve.com")</f>
        <v>homeserve.com</v>
      </c>
    </row>
    <row r="2044" spans="1:2" ht="12.5">
      <c r="A2044" s="3" t="s">
        <v>2299</v>
      </c>
      <c r="B2044" s="4" t="str">
        <f ca="1">IFERROR(__xludf.DUMMYFUNCTION("IFERROR(ARRAYFORMULA(REGEXEXTRACT(A2044,""^(?:https?:\/\/)?(?:[^@\n]+@)?(?:www\.)?([^:\/\n]+)"")),"""")"),"seasoncontrolhvac.com")</f>
        <v>seasoncontrolhvac.com</v>
      </c>
    </row>
    <row r="2045" spans="1:2" ht="12.5">
      <c r="A2045" s="3" t="s">
        <v>2300</v>
      </c>
      <c r="B2045" s="4" t="str">
        <f ca="1">IFERROR(__xludf.DUMMYFUNCTION("IFERROR(ARRAYFORMULA(REGEXEXTRACT(A2045,""^(?:https?:\/\/)?(?:[^@\n]+@)?(?:www\.)?([^:\/\n]+)"")),"""")"),"lexairconditioning.com")</f>
        <v>lexairconditioning.com</v>
      </c>
    </row>
    <row r="2046" spans="1:2" ht="12.5">
      <c r="A2046" s="3" t="s">
        <v>2301</v>
      </c>
      <c r="B2046" s="4" t="str">
        <f ca="1">IFERROR(__xludf.DUMMYFUNCTION("IFERROR(ARRAYFORMULA(REGEXEXTRACT(A2046,""^(?:https?:\/\/)?(?:[^@\n]+@)?(?:www\.)?([^:\/\n]+)"")),"""")"),"totalhomesupply.com")</f>
        <v>totalhomesupply.com</v>
      </c>
    </row>
    <row r="2047" spans="1:2" ht="12.5">
      <c r="A2047" s="3" t="s">
        <v>2302</v>
      </c>
      <c r="B2047" s="4" t="str">
        <f ca="1">IFERROR(__xludf.DUMMYFUNCTION("IFERROR(ARRAYFORMULA(REGEXEXTRACT(A2047,""^(?:https?:\/\/)?(?:[^@\n]+@)?(?:www\.)?([^:\/\n]+)"")),"""")"),"clade-es.com")</f>
        <v>clade-es.com</v>
      </c>
    </row>
    <row r="2048" spans="1:2" ht="12.5">
      <c r="A2048" s="3" t="s">
        <v>2303</v>
      </c>
      <c r="B2048" s="4" t="str">
        <f ca="1">IFERROR(__xludf.DUMMYFUNCTION("IFERROR(ARRAYFORMULA(REGEXEXTRACT(A2048,""^(?:https?:\/\/)?(?:[^@\n]+@)?(?:www\.)?([^:\/\n]+)"")),"""")"),"rivervalleyac.com")</f>
        <v>rivervalleyac.com</v>
      </c>
    </row>
    <row r="2049" spans="1:2" ht="12.5">
      <c r="A2049" s="3" t="s">
        <v>2304</v>
      </c>
      <c r="B2049" s="4" t="str">
        <f ca="1">IFERROR(__xludf.DUMMYFUNCTION("IFERROR(ARRAYFORMULA(REGEXEXTRACT(A2049,""^(?:https?:\/\/)?(?:[^@\n]+@)?(?:www\.)?([^:\/\n]+)"")),"""")"),"trusthomesense.com")</f>
        <v>trusthomesense.com</v>
      </c>
    </row>
    <row r="2050" spans="1:2" ht="12.5">
      <c r="A2050" s="3" t="s">
        <v>2305</v>
      </c>
      <c r="B2050" s="4" t="str">
        <f ca="1">IFERROR(__xludf.DUMMYFUNCTION("IFERROR(ARRAYFORMULA(REGEXEXTRACT(A2050,""^(?:https?:\/\/)?(?:[^@\n]+@)?(?:www\.)?([^:\/\n]+)"")),"""")"),"miragescreensystems.com")</f>
        <v>miragescreensystems.com</v>
      </c>
    </row>
    <row r="2051" spans="1:2" ht="12.5">
      <c r="A2051" s="3" t="s">
        <v>2306</v>
      </c>
      <c r="B2051" s="4" t="str">
        <f ca="1">IFERROR(__xludf.DUMMYFUNCTION("IFERROR(ARRAYFORMULA(REGEXEXTRACT(A2051,""^(?:https?:\/\/)?(?:[^@\n]+@)?(?:www\.)?([^:\/\n]+)"")),"""")"),"aaagaragedoorswa.com")</f>
        <v>aaagaragedoorswa.com</v>
      </c>
    </row>
    <row r="2052" spans="1:2" ht="12.5">
      <c r="A2052" s="3" t="s">
        <v>2307</v>
      </c>
      <c r="B2052" s="4" t="str">
        <f ca="1">IFERROR(__xludf.DUMMYFUNCTION("IFERROR(ARRAYFORMULA(REGEXEXTRACT(A2052,""^(?:https?:\/\/)?(?:[^@\n]+@)?(?:www\.)?([^:\/\n]+)"")),"""")"),"lifetimegreencoatings.com")</f>
        <v>lifetimegreencoatings.com</v>
      </c>
    </row>
    <row r="2053" spans="1:2" ht="12.5">
      <c r="A2053" s="3" t="s">
        <v>2308</v>
      </c>
      <c r="B2053" s="4" t="str">
        <f ca="1">IFERROR(__xludf.DUMMYFUNCTION("IFERROR(ARRAYFORMULA(REGEXEXTRACT(A2053,""^(?:https?:\/\/)?(?:[^@\n]+@)?(?:www\.)?([^:\/\n]+)"")),"""")"),"goodygaragedoors.com")</f>
        <v>goodygaragedoors.com</v>
      </c>
    </row>
    <row r="2054" spans="1:2" ht="12.5">
      <c r="A2054" s="3" t="s">
        <v>2309</v>
      </c>
      <c r="B2054" s="4" t="str">
        <f ca="1">IFERROR(__xludf.DUMMYFUNCTION("IFERROR(ARRAYFORMULA(REGEXEXTRACT(A2054,""^(?:https?:\/\/)?(?:[^@\n]+@)?(?:www\.)?([^:\/\n]+)"")),"""")"),"zomasleep.com")</f>
        <v>zomasleep.com</v>
      </c>
    </row>
    <row r="2055" spans="1:2" ht="12.5">
      <c r="A2055" s="3" t="s">
        <v>2310</v>
      </c>
      <c r="B2055" s="4" t="str">
        <f ca="1">IFERROR(__xludf.DUMMYFUNCTION("IFERROR(ARRAYFORMULA(REGEXEXTRACT(A2055,""^(?:https?:\/\/)?(?:[^@\n]+@)?(?:www\.)?([^:\/\n]+)"")),"""")"),"woodburyfurniture.com.au")</f>
        <v>woodburyfurniture.com.au</v>
      </c>
    </row>
    <row r="2056" spans="1:2" ht="12.5">
      <c r="A2056" s="3" t="s">
        <v>2311</v>
      </c>
      <c r="B2056" s="4" t="str">
        <f ca="1">IFERROR(__xludf.DUMMYFUNCTION("IFERROR(ARRAYFORMULA(REGEXEXTRACT(A2056,""^(?:https?:\/\/)?(?:[^@\n]+@)?(?:www\.)?([^:\/\n]+)"")),"""")"),"2modern.com")</f>
        <v>2modern.com</v>
      </c>
    </row>
    <row r="2057" spans="1:2" ht="12.5">
      <c r="A2057" s="3" t="s">
        <v>2312</v>
      </c>
      <c r="B2057" s="4" t="str">
        <f ca="1">IFERROR(__xludf.DUMMYFUNCTION("IFERROR(ARRAYFORMULA(REGEXEXTRACT(A2057,""^(?:https?:\/\/)?(?:[^@\n]+@)?(?:www\.)?([^:\/\n]+)"")),"""")"),"universalfurniture.com")</f>
        <v>universalfurniture.com</v>
      </c>
    </row>
    <row r="2058" spans="1:2" ht="12.5">
      <c r="A2058" s="3" t="s">
        <v>2313</v>
      </c>
      <c r="B2058" s="4" t="str">
        <f ca="1">IFERROR(__xludf.DUMMYFUNCTION("IFERROR(ARRAYFORMULA(REGEXEXTRACT(A2058,""^(?:https?:\/\/)?(?:[^@\n]+@)?(?:www\.)?([^:\/\n]+)"")),"""")"),"padaura.com")</f>
        <v>padaura.com</v>
      </c>
    </row>
    <row r="2059" spans="1:2" ht="12.5">
      <c r="A2059" s="3" t="s">
        <v>2314</v>
      </c>
      <c r="B2059" s="4" t="str">
        <f ca="1">IFERROR(__xludf.DUMMYFUNCTION("IFERROR(ARRAYFORMULA(REGEXEXTRACT(A2059,""^(?:https?:\/\/)?(?:[^@\n]+@)?(?:www\.)?([^:\/\n]+)"")),"""")"),"resin-expert.com")</f>
        <v>resin-expert.com</v>
      </c>
    </row>
    <row r="2060" spans="1:2" ht="12.5">
      <c r="A2060" s="3" t="s">
        <v>2315</v>
      </c>
      <c r="B2060" s="4" t="str">
        <f ca="1">IFERROR(__xludf.DUMMYFUNCTION("IFERROR(ARRAYFORMULA(REGEXEXTRACT(A2060,""^(?:https?:\/\/)?(?:[^@\n]+@)?(?:www\.)?([^:\/\n]+)"")),"""")"),"roomservice360.com")</f>
        <v>roomservice360.com</v>
      </c>
    </row>
    <row r="2061" spans="1:2" ht="12.5">
      <c r="A2061" s="3" t="s">
        <v>2316</v>
      </c>
      <c r="B2061" s="4" t="str">
        <f ca="1">IFERROR(__xludf.DUMMYFUNCTION("IFERROR(ARRAYFORMULA(REGEXEXTRACT(A2061,""^(?:https?:\/\/)?(?:[^@\n]+@)?(?:www\.)?([^:\/\n]+)"")),"""")"),"schots.com.au")</f>
        <v>schots.com.au</v>
      </c>
    </row>
    <row r="2062" spans="1:2" ht="12.5">
      <c r="A2062" s="3" t="s">
        <v>2317</v>
      </c>
      <c r="B2062" s="4" t="str">
        <f ca="1">IFERROR(__xludf.DUMMYFUNCTION("IFERROR(ARRAYFORMULA(REGEXEXTRACT(A2062,""^(?:https?:\/\/)?(?:[^@\n]+@)?(?:www\.)?([^:\/\n]+)"")),"""")"),"atirestoration.com")</f>
        <v>atirestoration.com</v>
      </c>
    </row>
    <row r="2063" spans="1:2" ht="12.5">
      <c r="A2063" s="3" t="s">
        <v>2318</v>
      </c>
      <c r="B2063" s="4" t="str">
        <f ca="1">IFERROR(__xludf.DUMMYFUNCTION("IFERROR(ARRAYFORMULA(REGEXEXTRACT(A2063,""^(?:https?:\/\/)?(?:[^@\n]+@)?(?:www\.)?([^:\/\n]+)"")),"""")"),"easyshed.com.au")</f>
        <v>easyshed.com.au</v>
      </c>
    </row>
    <row r="2064" spans="1:2" ht="12.5">
      <c r="A2064" s="3" t="s">
        <v>2319</v>
      </c>
      <c r="B2064" s="4" t="str">
        <f ca="1">IFERROR(__xludf.DUMMYFUNCTION("IFERROR(ARRAYFORMULA(REGEXEXTRACT(A2064,""^(?:https?:\/\/)?(?:[^@\n]+@)?(?:www\.)?([^:\/\n]+)"")),"""")"),"kitchenandbath.ca")</f>
        <v>kitchenandbath.ca</v>
      </c>
    </row>
    <row r="2065" spans="1:2" ht="12.5">
      <c r="A2065" s="3" t="s">
        <v>2320</v>
      </c>
      <c r="B2065" s="4" t="str">
        <f ca="1">IFERROR(__xludf.DUMMYFUNCTION("IFERROR(ARRAYFORMULA(REGEXEXTRACT(A2065,""^(?:https?:\/\/)?(?:[^@\n]+@)?(?:www\.)?([^:\/\n]+)"")),"""")"),"renotitan.com")</f>
        <v>renotitan.com</v>
      </c>
    </row>
    <row r="2066" spans="1:2" ht="12.5">
      <c r="A2066" s="3" t="s">
        <v>2321</v>
      </c>
      <c r="B2066" s="4" t="str">
        <f ca="1">IFERROR(__xludf.DUMMYFUNCTION("IFERROR(ARRAYFORMULA(REGEXEXTRACT(A2066,""^(?:https?:\/\/)?(?:[^@\n]+@)?(?:www\.)?([^:\/\n]+)"")),"""")"),"spokanecabinetsplus.com")</f>
        <v>spokanecabinetsplus.com</v>
      </c>
    </row>
    <row r="2067" spans="1:2" ht="12.5">
      <c r="A2067" s="3" t="s">
        <v>2322</v>
      </c>
      <c r="B2067" s="4" t="str">
        <f ca="1">IFERROR(__xludf.DUMMYFUNCTION("IFERROR(ARRAYFORMULA(REGEXEXTRACT(A2067,""^(?:https?:\/\/)?(?:[^@\n]+@)?(?:www\.)?([^:\/\n]+)"")),"""")"),"bestaccessdoors.com")</f>
        <v>bestaccessdoors.com</v>
      </c>
    </row>
    <row r="2068" spans="1:2" ht="12.5">
      <c r="A2068" s="3" t="s">
        <v>2323</v>
      </c>
      <c r="B2068" s="4" t="str">
        <f ca="1">IFERROR(__xludf.DUMMYFUNCTION("IFERROR(ARRAYFORMULA(REGEXEXTRACT(A2068,""^(?:https?:\/\/)?(?:[^@\n]+@)?(?:www\.)?([^:\/\n]+)"")),"""")"),"tilecloud.com.au")</f>
        <v>tilecloud.com.au</v>
      </c>
    </row>
    <row r="2069" spans="1:2" ht="12.5">
      <c r="A2069" s="3" t="s">
        <v>2324</v>
      </c>
      <c r="B2069" s="4" t="str">
        <f ca="1">IFERROR(__xludf.DUMMYFUNCTION("IFERROR(ARRAYFORMULA(REGEXEXTRACT(A2069,""^(?:https?:\/\/)?(?:[^@\n]+@)?(?:www\.)?([^:\/\n]+)"")),"""")"),"abvplumbing.com")</f>
        <v>abvplumbing.com</v>
      </c>
    </row>
    <row r="2070" spans="1:2" ht="12.5">
      <c r="A2070" s="3" t="s">
        <v>2325</v>
      </c>
      <c r="B2070" s="4" t="str">
        <f ca="1">IFERROR(__xludf.DUMMYFUNCTION("IFERROR(ARRAYFORMULA(REGEXEXTRACT(A2070,""^(?:https?:\/\/)?(?:[^@\n]+@)?(?:www\.)?([^:\/\n]+)"")),"""")"),"victorianplumbing.co.uk")</f>
        <v>victorianplumbing.co.uk</v>
      </c>
    </row>
    <row r="2071" spans="1:2" ht="12.5">
      <c r="A2071" s="3" t="s">
        <v>2326</v>
      </c>
      <c r="B2071" s="4" t="str">
        <f ca="1">IFERROR(__xludf.DUMMYFUNCTION("IFERROR(ARRAYFORMULA(REGEXEXTRACT(A2071,""^(?:https?:\/\/)?(?:[^@\n]+@)?(?:www\.)?([^:\/\n]+)"")),"""")"),"wholesaledomestic.com")</f>
        <v>wholesaledomestic.com</v>
      </c>
    </row>
    <row r="2072" spans="1:2" ht="12.5">
      <c r="A2072" s="3" t="s">
        <v>2327</v>
      </c>
      <c r="B2072" s="4" t="str">
        <f ca="1">IFERROR(__xludf.DUMMYFUNCTION("IFERROR(ARRAYFORMULA(REGEXEXTRACT(A2072,""^(?:https?:\/\/)?(?:[^@\n]+@)?(?:www\.)?([^:\/\n]+)"")),"""")"),"mineraltiles.com")</f>
        <v>mineraltiles.com</v>
      </c>
    </row>
    <row r="2073" spans="1:2" ht="12.5">
      <c r="A2073" s="3" t="s">
        <v>2328</v>
      </c>
      <c r="B2073" s="4" t="str">
        <f ca="1">IFERROR(__xludf.DUMMYFUNCTION("IFERROR(ARRAYFORMULA(REGEXEXTRACT(A2073,""^(?:https?:\/\/)?(?:[^@\n]+@)?(?:www\.)?([^:\/\n]+)"")),"""")"),"belktile.com")</f>
        <v>belktile.com</v>
      </c>
    </row>
    <row r="2074" spans="1:2" ht="12.5">
      <c r="A2074" s="3" t="s">
        <v>2329</v>
      </c>
      <c r="B2074" s="4" t="str">
        <f ca="1">IFERROR(__xludf.DUMMYFUNCTION("IFERROR(ARRAYFORMULA(REGEXEXTRACT(A2074,""^(?:https?:\/\/)?(?:[^@\n]+@)?(?:www\.)?([^:\/\n]+)"")),"""")"),"onlineflooringstore.com.au")</f>
        <v>onlineflooringstore.com.au</v>
      </c>
    </row>
    <row r="2075" spans="1:2" ht="12.5">
      <c r="A2075" s="3" t="s">
        <v>2330</v>
      </c>
      <c r="B2075" s="4" t="str">
        <f ca="1">IFERROR(__xludf.DUMMYFUNCTION("IFERROR(ARRAYFORMULA(REGEXEXTRACT(A2075,""^(?:https?:\/\/)?(?:[^@\n]+@)?(?:www\.)?([^:\/\n]+)"")),"""")"),"virginiashowerandbath.com")</f>
        <v>virginiashowerandbath.com</v>
      </c>
    </row>
    <row r="2076" spans="1:2" ht="12.5">
      <c r="A2076" s="3" t="s">
        <v>2331</v>
      </c>
      <c r="B2076" s="4" t="str">
        <f ca="1">IFERROR(__xludf.DUMMYFUNCTION("IFERROR(ARRAYFORMULA(REGEXEXTRACT(A2076,""^(?:https?:\/\/)?(?:[^@\n]+@)?(?:www\.)?([^:\/\n]+)"")),"""")"),"ventair.com.au")</f>
        <v>ventair.com.au</v>
      </c>
    </row>
    <row r="2077" spans="1:2" ht="12.5">
      <c r="A2077" s="3" t="s">
        <v>2332</v>
      </c>
      <c r="B2077" s="4" t="str">
        <f ca="1">IFERROR(__xludf.DUMMYFUNCTION("IFERROR(ARRAYFORMULA(REGEXEXTRACT(A2077,""^(?:https?:\/\/)?(?:[^@\n]+@)?(?:www\.)?([^:\/\n]+)"")),"""")"),"sodhg.com")</f>
        <v>sodhg.com</v>
      </c>
    </row>
    <row r="2078" spans="1:2" ht="12.5">
      <c r="A2078" s="3" t="s">
        <v>2333</v>
      </c>
      <c r="B2078" s="4" t="str">
        <f ca="1">IFERROR(__xludf.DUMMYFUNCTION("IFERROR(ARRAYFORMULA(REGEXEXTRACT(A2078,""^(?:https?:\/\/)?(?:[^@\n]+@)?(?:www\.)?([^:\/\n]+)"")),"""")"),"acremodeling.com")</f>
        <v>acremodeling.com</v>
      </c>
    </row>
    <row r="2079" spans="1:2" ht="12.5">
      <c r="A2079" s="3" t="s">
        <v>2334</v>
      </c>
      <c r="B2079" s="4" t="str">
        <f ca="1">IFERROR(__xludf.DUMMYFUNCTION("IFERROR(ARRAYFORMULA(REGEXEXTRACT(A2079,""^(?:https?:\/\/)?(?:[^@\n]+@)?(?:www\.)?([^:\/\n]+)"")),"""")"),"johnsonsepticservice.com")</f>
        <v>johnsonsepticservice.com</v>
      </c>
    </row>
    <row r="2080" spans="1:2" ht="12.5">
      <c r="A2080" s="3" t="s">
        <v>2335</v>
      </c>
      <c r="B2080" s="4" t="str">
        <f ca="1">IFERROR(__xludf.DUMMYFUNCTION("IFERROR(ARRAYFORMULA(REGEXEXTRACT(A2080,""^(?:https?:\/\/)?(?:[^@\n]+@)?(?:www\.)?([^:\/\n]+)"")),"""")"),"birnieplumbinganddrains.ca")</f>
        <v>birnieplumbinganddrains.ca</v>
      </c>
    </row>
    <row r="2081" spans="1:2" ht="12.5">
      <c r="A2081" s="3" t="s">
        <v>2336</v>
      </c>
      <c r="B2081" s="4" t="str">
        <f ca="1">IFERROR(__xludf.DUMMYFUNCTION("IFERROR(ARRAYFORMULA(REGEXEXTRACT(A2081,""^(?:https?:\/\/)?(?:[^@\n]+@)?(?:www\.)?([^:\/\n]+)"")),"""")"),"jtspas.co.uk")</f>
        <v>jtspas.co.uk</v>
      </c>
    </row>
    <row r="2082" spans="1:2" ht="12.5">
      <c r="A2082" s="3" t="s">
        <v>2337</v>
      </c>
      <c r="B2082" s="4" t="str">
        <f ca="1">IFERROR(__xludf.DUMMYFUNCTION("IFERROR(ARRAYFORMULA(REGEXEXTRACT(A2082,""^(?:https?:\/\/)?(?:[^@\n]+@)?(?:www\.)?([^:\/\n]+)"")),"""")"),"housetrends.com")</f>
        <v>housetrends.com</v>
      </c>
    </row>
    <row r="2083" spans="1:2" ht="12.5">
      <c r="A2083" s="3" t="s">
        <v>2338</v>
      </c>
      <c r="B2083" s="4" t="str">
        <f ca="1">IFERROR(__xludf.DUMMYFUNCTION("IFERROR(ARRAYFORMULA(REGEXEXTRACT(A2083,""^(?:https?:\/\/)?(?:[^@\n]+@)?(?:www\.)?([^:\/\n]+)"")),"""")"),"ecosa.com.au")</f>
        <v>ecosa.com.au</v>
      </c>
    </row>
    <row r="2084" spans="1:2" ht="12.5">
      <c r="A2084" s="3" t="s">
        <v>2339</v>
      </c>
      <c r="B2084" s="4" t="str">
        <f ca="1">IFERROR(__xludf.DUMMYFUNCTION("IFERROR(ARRAYFORMULA(REGEXEXTRACT(A2084,""^(?:https?:\/\/)?(?:[^@\n]+@)?(?:www\.)?([^:\/\n]+)"")),"""")"),"pandalondon.com")</f>
        <v>pandalondon.com</v>
      </c>
    </row>
    <row r="2085" spans="1:2" ht="12.5">
      <c r="A2085" s="3" t="s">
        <v>2340</v>
      </c>
      <c r="B2085" s="4" t="str">
        <f ca="1">IFERROR(__xludf.DUMMYFUNCTION("IFERROR(ARRAYFORMULA(REGEXEXTRACT(A2085,""^(?:https?:\/\/)?(?:[^@\n]+@)?(?:www\.)?([^:\/\n]+)"")),"""")"),"housing.com")</f>
        <v>housing.com</v>
      </c>
    </row>
    <row r="2086" spans="1:2" ht="12.5">
      <c r="A2086" s="3" t="s">
        <v>2341</v>
      </c>
      <c r="B2086" s="4" t="str">
        <f ca="1">IFERROR(__xludf.DUMMYFUNCTION("IFERROR(ARRAYFORMULA(REGEXEXTRACT(A2086,""^(?:https?:\/\/)?(?:[^@\n]+@)?(?:www\.)?([^:\/\n]+)"")),"""")"),"aginginplace.org")</f>
        <v>aginginplace.org</v>
      </c>
    </row>
    <row r="2087" spans="1:2" ht="12.5">
      <c r="A2087" s="3" t="s">
        <v>2342</v>
      </c>
      <c r="B2087" s="4" t="str">
        <f ca="1">IFERROR(__xludf.DUMMYFUNCTION("IFERROR(ARRAYFORMULA(REGEXEXTRACT(A2087,""^(?:https?:\/\/)?(?:[^@\n]+@)?(?:www\.)?([^:\/\n]+)"")),"""")"),"hushblankets.com")</f>
        <v>hushblankets.com</v>
      </c>
    </row>
    <row r="2088" spans="1:2" ht="12.5">
      <c r="A2088" s="3" t="s">
        <v>2343</v>
      </c>
      <c r="B2088" s="4" t="str">
        <f ca="1">IFERROR(__xludf.DUMMYFUNCTION("IFERROR(ARRAYFORMULA(REGEXEXTRACT(A2088,""^(?:https?:\/\/)?(?:[^@\n]+@)?(?:www\.)?([^:\/\n]+)"")),"""")"),"zerowastegroup.co.uk")</f>
        <v>zerowastegroup.co.uk</v>
      </c>
    </row>
    <row r="2089" spans="1:2" ht="12.5">
      <c r="A2089" s="3" t="s">
        <v>2344</v>
      </c>
      <c r="B2089" s="4" t="str">
        <f ca="1">IFERROR(__xludf.DUMMYFUNCTION("IFERROR(ARRAYFORMULA(REGEXEXTRACT(A2089,""^(?:https?:\/\/)?(?:[^@\n]+@)?(?:www\.)?([^:\/\n]+)"")),"""")"),"gutterprovac.com")</f>
        <v>gutterprovac.com</v>
      </c>
    </row>
    <row r="2090" spans="1:2" ht="12.5">
      <c r="A2090" s="3" t="s">
        <v>2345</v>
      </c>
      <c r="B2090" s="4" t="str">
        <f ca="1">IFERROR(__xludf.DUMMYFUNCTION("IFERROR(ARRAYFORMULA(REGEXEXTRACT(A2090,""^(?:https?:\/\/)?(?:[^@\n]+@)?(?:www\.)?([^:\/\n]+)"")),"""")"),"chloescleaningcompany.com")</f>
        <v>chloescleaningcompany.com</v>
      </c>
    </row>
    <row r="2091" spans="1:2" ht="12.5">
      <c r="A2091" s="3" t="s">
        <v>2346</v>
      </c>
      <c r="B2091" s="4" t="str">
        <f ca="1">IFERROR(__xludf.DUMMYFUNCTION("IFERROR(ARRAYFORMULA(REGEXEXTRACT(A2091,""^(?:https?:\/\/)?(?:[^@\n]+@)?(?:www\.)?([^:\/\n]+)"")),"""")"),"greensweepnm.com")</f>
        <v>greensweepnm.com</v>
      </c>
    </row>
    <row r="2092" spans="1:2" ht="12.5">
      <c r="A2092" s="3" t="s">
        <v>2347</v>
      </c>
      <c r="B2092" s="4" t="str">
        <f ca="1">IFERROR(__xludf.DUMMYFUNCTION("IFERROR(ARRAYFORMULA(REGEXEXTRACT(A2092,""^(?:https?:\/\/)?(?:[^@\n]+@)?(?:www\.)?([^:\/\n]+)"")),"""")"),"maids2match.com")</f>
        <v>maids2match.com</v>
      </c>
    </row>
    <row r="2093" spans="1:2" ht="12.5">
      <c r="A2093" s="3" t="s">
        <v>2348</v>
      </c>
      <c r="B2093" s="4" t="str">
        <f ca="1">IFERROR(__xludf.DUMMYFUNCTION("IFERROR(ARRAYFORMULA(REGEXEXTRACT(A2093,""^(?:https?:\/\/)?(?:[^@\n]+@)?(?:www\.)?([^:\/\n]+)"")),"""")"),"themaidcrew.com")</f>
        <v>themaidcrew.com</v>
      </c>
    </row>
    <row r="2094" spans="1:2" ht="12.5">
      <c r="A2094" s="3" t="s">
        <v>2349</v>
      </c>
      <c r="B2094" s="4" t="str">
        <f ca="1">IFERROR(__xludf.DUMMYFUNCTION("IFERROR(ARRAYFORMULA(REGEXEXTRACT(A2094,""^(?:https?:\/\/)?(?:[^@\n]+@)?(?:www\.)?([^:\/\n]+)"")),"""")"),"realhomes.com")</f>
        <v>realhomes.com</v>
      </c>
    </row>
    <row r="2095" spans="1:2" ht="12.5">
      <c r="A2095" s="3" t="s">
        <v>2350</v>
      </c>
      <c r="B2095" s="4" t="str">
        <f ca="1">IFERROR(__xludf.DUMMYFUNCTION("IFERROR(ARRAYFORMULA(REGEXEXTRACT(A2095,""^(?:https?:\/\/)?(?:[^@\n]+@)?(?:www\.)?([^:\/\n]+)"")),"""")"),"saelapest.com")</f>
        <v>saelapest.com</v>
      </c>
    </row>
    <row r="2096" spans="1:2" ht="12.5">
      <c r="A2096" s="3" t="s">
        <v>2351</v>
      </c>
      <c r="B2096" s="4" t="str">
        <f ca="1">IFERROR(__xludf.DUMMYFUNCTION("IFERROR(ARRAYFORMULA(REGEXEXTRACT(A2096,""^(?:https?:\/\/)?(?:[^@\n]+@)?(?:www\.)?([^:\/\n]+)"")),"""")"),"barbend.com")</f>
        <v>barbend.com</v>
      </c>
    </row>
    <row r="2097" spans="1:2" ht="12.5">
      <c r="A2097" s="3" t="s">
        <v>2352</v>
      </c>
      <c r="B2097" s="4" t="str">
        <f ca="1">IFERROR(__xludf.DUMMYFUNCTION("IFERROR(ARRAYFORMULA(REGEXEXTRACT(A2097,""^(?:https?:\/\/)?(?:[^@\n]+@)?(?:www\.)?([^:\/\n]+)"")),"""")"),"easydonationpickup.com")</f>
        <v>easydonationpickup.com</v>
      </c>
    </row>
    <row r="2098" spans="1:2" ht="12.5">
      <c r="A2098" s="3" t="s">
        <v>2353</v>
      </c>
      <c r="B2098" s="4" t="str">
        <f ca="1">IFERROR(__xludf.DUMMYFUNCTION("IFERROR(ARRAYFORMULA(REGEXEXTRACT(A2098,""^(?:https?:\/\/)?(?:[^@\n]+@)?(?:www\.)?([^:\/\n]+)"")),"""")"),"sportsrec.com")</f>
        <v>sportsrec.com</v>
      </c>
    </row>
    <row r="2099" spans="1:2" ht="12.5">
      <c r="A2099" s="3" t="s">
        <v>2354</v>
      </c>
      <c r="B2099" s="4" t="str">
        <f ca="1">IFERROR(__xludf.DUMMYFUNCTION("IFERROR(ARRAYFORMULA(REGEXEXTRACT(A2099,""^(?:https?:\/\/)?(?:[^@\n]+@)?(?:www\.)?([^:\/\n]+)"")),"""")"),"cobaltcleanlv.com")</f>
        <v>cobaltcleanlv.com</v>
      </c>
    </row>
    <row r="2100" spans="1:2" ht="12.5">
      <c r="A2100" s="3" t="s">
        <v>2355</v>
      </c>
      <c r="B2100" s="4" t="str">
        <f ca="1">IFERROR(__xludf.DUMMYFUNCTION("IFERROR(ARRAYFORMULA(REGEXEXTRACT(A2100,""^(?:https?:\/\/)?(?:[^@\n]+@)?(?:www\.)?([^:\/\n]+)"")),"""")"),"cactuscarpetcare.ca")</f>
        <v>cactuscarpetcare.ca</v>
      </c>
    </row>
    <row r="2101" spans="1:2" ht="12.5">
      <c r="A2101" s="3" t="s">
        <v>2356</v>
      </c>
      <c r="B2101" s="4" t="str">
        <f ca="1">IFERROR(__xludf.DUMMYFUNCTION("IFERROR(ARRAYFORMULA(REGEXEXTRACT(A2101,""^(?:https?:\/\/)?(?:[^@\n]+@)?(?:www\.)?([^:\/\n]+)"")),"""")"),"biotechtermiteandpest.com")</f>
        <v>biotechtermiteandpest.com</v>
      </c>
    </row>
    <row r="2102" spans="1:2" ht="12.5">
      <c r="A2102" s="3" t="s">
        <v>2357</v>
      </c>
      <c r="B2102" s="4" t="str">
        <f ca="1">IFERROR(__xludf.DUMMYFUNCTION("IFERROR(ARRAYFORMULA(REGEXEXTRACT(A2102,""^(?:https?:\/\/)?(?:[^@\n]+@)?(?:www\.)?([^:\/\n]+)"")),"""")"),"lodgify.com")</f>
        <v>lodgify.com</v>
      </c>
    </row>
    <row r="2103" spans="1:2" ht="12.5">
      <c r="A2103" s="3" t="s">
        <v>2358</v>
      </c>
      <c r="B2103" s="4" t="str">
        <f ca="1">IFERROR(__xludf.DUMMYFUNCTION("IFERROR(ARRAYFORMULA(REGEXEXTRACT(A2103,""^(?:https?:\/\/)?(?:[^@\n]+@)?(?:www\.)?([^:\/\n]+)"")),"""")"),"summerclassics.com")</f>
        <v>summerclassics.com</v>
      </c>
    </row>
    <row r="2104" spans="1:2" ht="12.5">
      <c r="A2104" s="3" t="s">
        <v>2359</v>
      </c>
      <c r="B2104" s="4" t="str">
        <f ca="1">IFERROR(__xludf.DUMMYFUNCTION("IFERROR(ARRAYFORMULA(REGEXEXTRACT(A2104,""^(?:https?:\/\/)?(?:[^@\n]+@)?(?:www\.)?([^:\/\n]+)"")),"""")"),"wallapainting.com")</f>
        <v>wallapainting.com</v>
      </c>
    </row>
    <row r="2105" spans="1:2" ht="12.5">
      <c r="A2105" s="3" t="s">
        <v>2360</v>
      </c>
      <c r="B2105" s="4" t="str">
        <f ca="1">IFERROR(__xludf.DUMMYFUNCTION("IFERROR(ARRAYFORMULA(REGEXEXTRACT(A2105,""^(?:https?:\/\/)?(?:[^@\n]+@)?(?:www\.)?([^:\/\n]+)"")),"""")"),"lovevsdesign.com")</f>
        <v>lovevsdesign.com</v>
      </c>
    </row>
    <row r="2106" spans="1:2" ht="12.5">
      <c r="A2106" s="3" t="s">
        <v>2361</v>
      </c>
      <c r="B2106" s="4" t="str">
        <f ca="1">IFERROR(__xludf.DUMMYFUNCTION("IFERROR(ARRAYFORMULA(REGEXEXTRACT(A2106,""^(?:https?:\/\/)?(?:[^@\n]+@)?(?:www\.)?([^:\/\n]+)"")),"""")"),"smithandgray.com.au")</f>
        <v>smithandgray.com.au</v>
      </c>
    </row>
    <row r="2107" spans="1:2" ht="12.5">
      <c r="A2107" s="3" t="s">
        <v>2362</v>
      </c>
      <c r="B2107" s="4" t="str">
        <f ca="1">IFERROR(__xludf.DUMMYFUNCTION("IFERROR(ARRAYFORMULA(REGEXEXTRACT(A2107,""^(?:https?:\/\/)?(?:[^@\n]+@)?(?:www\.)?([^:\/\n]+)"")),"""")"),"custtom.co.uk")</f>
        <v>custtom.co.uk</v>
      </c>
    </row>
    <row r="2108" spans="1:2" ht="12.5">
      <c r="A2108" s="3" t="s">
        <v>2363</v>
      </c>
      <c r="B2108" s="4" t="str">
        <f ca="1">IFERROR(__xludf.DUMMYFUNCTION("IFERROR(ARRAYFORMULA(REGEXEXTRACT(A2108,""^(?:https?:\/\/)?(?:[^@\n]+@)?(?:www\.)?([^:\/\n]+)"")),"""")"),"homelight.com")</f>
        <v>homelight.com</v>
      </c>
    </row>
    <row r="2109" spans="1:2" ht="12.5">
      <c r="A2109" s="3" t="s">
        <v>2364</v>
      </c>
      <c r="B2109" s="4" t="str">
        <f ca="1">IFERROR(__xludf.DUMMYFUNCTION("IFERROR(ARRAYFORMULA(REGEXEXTRACT(A2109,""^(?:https?:\/\/)?(?:[^@\n]+@)?(?:www\.)?([^:\/\n]+)"")),"""")"),"gilbertburke.ca")</f>
        <v>gilbertburke.ca</v>
      </c>
    </row>
    <row r="2110" spans="1:2" ht="12.5">
      <c r="A2110" s="3" t="s">
        <v>2365</v>
      </c>
      <c r="B2110" s="4" t="str">
        <f ca="1">IFERROR(__xludf.DUMMYFUNCTION("IFERROR(ARRAYFORMULA(REGEXEXTRACT(A2110,""^(?:https?:\/\/)?(?:[^@\n]+@)?(?:www\.)?([^:\/\n]+)"")),"""")"),"bhid.com")</f>
        <v>bhid.com</v>
      </c>
    </row>
    <row r="2111" spans="1:2" ht="12.5">
      <c r="A2111" s="3" t="s">
        <v>2366</v>
      </c>
      <c r="B2111" s="4" t="str">
        <f ca="1">IFERROR(__xludf.DUMMYFUNCTION("IFERROR(ARRAYFORMULA(REGEXEXTRACT(A2111,""^(?:https?:\/\/)?(?:[^@\n]+@)?(?:www\.)?([^:\/\n]+)"")),"""")"),"picturehangingsystems.com")</f>
        <v>picturehangingsystems.com</v>
      </c>
    </row>
    <row r="2112" spans="1:2" ht="12.5">
      <c r="A2112" s="3" t="s">
        <v>2367</v>
      </c>
      <c r="B2112" s="4" t="str">
        <f ca="1">IFERROR(__xludf.DUMMYFUNCTION("IFERROR(ARRAYFORMULA(REGEXEXTRACT(A2112,""^(?:https?:\/\/)?(?:[^@\n]+@)?(?:www\.)?([^:\/\n]+)"")),"""")"),"homestratosphere.com")</f>
        <v>homestratosphere.com</v>
      </c>
    </row>
    <row r="2113" spans="1:2" ht="12.5">
      <c r="A2113" s="3" t="s">
        <v>2368</v>
      </c>
      <c r="B2113" s="4" t="str">
        <f ca="1">IFERROR(__xludf.DUMMYFUNCTION("IFERROR(ARRAYFORMULA(REGEXEXTRACT(A2113,""^(?:https?:\/\/)?(?:[^@\n]+@)?(?:www\.)?([^:\/\n]+)"")),"""")"),"tdgenvironmental.com")</f>
        <v>tdgenvironmental.com</v>
      </c>
    </row>
    <row r="2114" spans="1:2" ht="12.5">
      <c r="A2114" s="3" t="s">
        <v>2369</v>
      </c>
      <c r="B2114" s="4" t="str">
        <f ca="1">IFERROR(__xludf.DUMMYFUNCTION("IFERROR(ARRAYFORMULA(REGEXEXTRACT(A2114,""^(?:https?:\/\/)?(?:[^@\n]+@)?(?:www\.)?([^:\/\n]+)"")),"""")"),"garagewholesalers.com.au")</f>
        <v>garagewholesalers.com.au</v>
      </c>
    </row>
    <row r="2115" spans="1:2" ht="12.5">
      <c r="A2115" s="3" t="s">
        <v>2370</v>
      </c>
      <c r="B2115" s="4" t="str">
        <f ca="1">IFERROR(__xludf.DUMMYFUNCTION("IFERROR(ARRAYFORMULA(REGEXEXTRACT(A2115,""^(?:https?:\/\/)?(?:[^@\n]+@)?(?:www\.)?([^:\/\n]+)"")),"""")"),"superior-service.com")</f>
        <v>superior-service.com</v>
      </c>
    </row>
    <row r="2116" spans="1:2" ht="12.5">
      <c r="A2116" s="3" t="s">
        <v>2371</v>
      </c>
      <c r="B2116" s="4" t="str">
        <f ca="1">IFERROR(__xludf.DUMMYFUNCTION("IFERROR(ARRAYFORMULA(REGEXEXTRACT(A2116,""^(?:https?:\/\/)?(?:[^@\n]+@)?(?:www\.)?([^:\/\n]+)"")),"""")"),"frontdoor.com")</f>
        <v>frontdoor.com</v>
      </c>
    </row>
    <row r="2117" spans="1:2" ht="12.5">
      <c r="A2117" s="3" t="s">
        <v>2372</v>
      </c>
      <c r="B2117" s="4" t="str">
        <f ca="1">IFERROR(__xludf.DUMMYFUNCTION("IFERROR(ARRAYFORMULA(REGEXEXTRACT(A2117,""^(?:https?:\/\/)?(?:[^@\n]+@)?(?:www\.)?([^:\/\n]+)"")),"""")"),"completestairsystems.co.uk")</f>
        <v>completestairsystems.co.uk</v>
      </c>
    </row>
    <row r="2118" spans="1:2" ht="12.5">
      <c r="A2118" s="3" t="s">
        <v>2373</v>
      </c>
      <c r="B2118" s="4" t="str">
        <f ca="1">IFERROR(__xludf.DUMMYFUNCTION("IFERROR(ARRAYFORMULA(REGEXEXTRACT(A2118,""^(?:https?:\/\/)?(?:[^@\n]+@)?(?:www\.)?([^:\/\n]+)"")),"""")"),"majesticstairs.com.au")</f>
        <v>majesticstairs.com.au</v>
      </c>
    </row>
    <row r="2119" spans="1:2" ht="12.5">
      <c r="A2119" s="3" t="s">
        <v>2374</v>
      </c>
      <c r="B2119" s="4" t="str">
        <f ca="1">IFERROR(__xludf.DUMMYFUNCTION("IFERROR(ARRAYFORMULA(REGEXEXTRACT(A2119,""^(?:https?:\/\/)?(?:[^@\n]+@)?(?:www\.)?([^:\/\n]+)"")),"""")"),"shopy.co.uk")</f>
        <v>shopy.co.uk</v>
      </c>
    </row>
    <row r="2120" spans="1:2" ht="12.5">
      <c r="A2120" s="3" t="s">
        <v>2375</v>
      </c>
      <c r="B2120" s="4" t="str">
        <f ca="1">IFERROR(__xludf.DUMMYFUNCTION("IFERROR(ARRAYFORMULA(REGEXEXTRACT(A2120,""^(?:https?:\/\/)?(?:[^@\n]+@)?(?:www\.)?([^:\/\n]+)"")),"""")"),"pricebusters.com")</f>
        <v>pricebusters.com</v>
      </c>
    </row>
    <row r="2121" spans="1:2" ht="12.5">
      <c r="A2121" s="3" t="s">
        <v>2376</v>
      </c>
      <c r="B2121" s="4" t="str">
        <f ca="1">IFERROR(__xludf.DUMMYFUNCTION("IFERROR(ARRAYFORMULA(REGEXEXTRACT(A2121,""^(?:https?:\/\/)?(?:[^@\n]+@)?(?:www\.)?([^:\/\n]+)"")),"""")"),"fastlandoffers.com")</f>
        <v>fastlandoffers.com</v>
      </c>
    </row>
    <row r="2122" spans="1:2" ht="12.5">
      <c r="A2122" s="3" t="s">
        <v>2377</v>
      </c>
      <c r="B2122" s="4" t="str">
        <f ca="1">IFERROR(__xludf.DUMMYFUNCTION("IFERROR(ARRAYFORMULA(REGEXEXTRACT(A2122,""^(?:https?:\/\/)?(?:[^@\n]+@)?(?:www\.)?([^:\/\n]+)"")),"""")"),"policygenius.com")</f>
        <v>policygenius.com</v>
      </c>
    </row>
    <row r="2123" spans="1:2" ht="12.5">
      <c r="A2123" s="3" t="s">
        <v>2378</v>
      </c>
      <c r="B2123" s="4" t="str">
        <f ca="1">IFERROR(__xludf.DUMMYFUNCTION("IFERROR(ARRAYFORMULA(REGEXEXTRACT(A2123,""^(?:https?:\/\/)?(?:[^@\n]+@)?(?:www\.)?([^:\/\n]+)"")),"""")"),"houzeo.com")</f>
        <v>houzeo.com</v>
      </c>
    </row>
    <row r="2124" spans="1:2" ht="12.5">
      <c r="A2124" s="3" t="s">
        <v>2379</v>
      </c>
      <c r="B2124" s="4" t="str">
        <f ca="1">IFERROR(__xludf.DUMMYFUNCTION("IFERROR(ARRAYFORMULA(REGEXEXTRACT(A2124,""^(?:https?:\/\/)?(?:[^@\n]+@)?(?:www\.)?([^:\/\n]+)"")),"""")"),"freedomchoiceinvestments.com")</f>
        <v>freedomchoiceinvestments.com</v>
      </c>
    </row>
    <row r="2125" spans="1:2" ht="12.5">
      <c r="A2125" s="3" t="s">
        <v>2380</v>
      </c>
      <c r="B2125" s="4" t="str">
        <f ca="1">IFERROR(__xludf.DUMMYFUNCTION("IFERROR(ARRAYFORMULA(REGEXEXTRACT(A2125,""^(?:https?:\/\/)?(?:[^@\n]+@)?(?:www\.)?([^:\/\n]+)"")),"""")"),"henryhomebuyer.com")</f>
        <v>henryhomebuyer.com</v>
      </c>
    </row>
    <row r="2126" spans="1:2" ht="12.5">
      <c r="A2126" s="3" t="s">
        <v>2381</v>
      </c>
      <c r="B2126" s="4" t="str">
        <f ca="1">IFERROR(__xludf.DUMMYFUNCTION("IFERROR(ARRAYFORMULA(REGEXEXTRACT(A2126,""^(?:https?:\/\/)?(?:[^@\n]+@)?(?:www\.)?([^:\/\n]+)"")),"""")"),"propertymax.com")</f>
        <v>propertymax.com</v>
      </c>
    </row>
    <row r="2127" spans="1:2" ht="12.5">
      <c r="A2127" s="3" t="s">
        <v>2382</v>
      </c>
      <c r="B2127" s="4" t="str">
        <f ca="1">IFERROR(__xludf.DUMMYFUNCTION("IFERROR(ARRAYFORMULA(REGEXEXTRACT(A2127,""^(?:https?:\/\/)?(?:[^@\n]+@)?(?:www\.)?([^:\/\n]+)"")),"""")"),"clevelandhousebuyers.com")</f>
        <v>clevelandhousebuyers.com</v>
      </c>
    </row>
    <row r="2128" spans="1:2" ht="12.5">
      <c r="A2128" s="3" t="s">
        <v>2383</v>
      </c>
      <c r="B2128" s="4" t="str">
        <f ca="1">IFERROR(__xludf.DUMMYFUNCTION("IFERROR(ARRAYFORMULA(REGEXEXTRACT(A2128,""^(?:https?:\/\/)?(?:[^@\n]+@)?(?:www\.)?([^:\/\n]+)"")),"""")"),"rocket.com")</f>
        <v>rocket.com</v>
      </c>
    </row>
    <row r="2129" spans="1:2" ht="12.5">
      <c r="A2129" s="3" t="s">
        <v>2384</v>
      </c>
      <c r="B2129" s="4" t="str">
        <f ca="1">IFERROR(__xludf.DUMMYFUNCTION("IFERROR(ARRAYFORMULA(REGEXEXTRACT(A2129,""^(?:https?:\/\/)?(?:[^@\n]+@)?(?:www\.)?([^:\/\n]+)"")),"""")"),"movoto.com")</f>
        <v>movoto.com</v>
      </c>
    </row>
    <row r="2130" spans="1:2" ht="12.5">
      <c r="A2130" s="3" t="s">
        <v>2385</v>
      </c>
      <c r="B2130" s="4" t="str">
        <f ca="1">IFERROR(__xludf.DUMMYFUNCTION("IFERROR(ARRAYFORMULA(REGEXEXTRACT(A2130,""^(?:https?:\/\/)?(?:[^@\n]+@)?(?:www\.)?([^:\/\n]+)"")),"""")"),"faircashoffersforhomes.com")</f>
        <v>faircashoffersforhomes.com</v>
      </c>
    </row>
    <row r="2131" spans="1:2" ht="12.5">
      <c r="A2131" s="3" t="s">
        <v>2386</v>
      </c>
      <c r="B2131" s="4" t="str">
        <f ca="1">IFERROR(__xludf.DUMMYFUNCTION("IFERROR(ARRAYFORMULA(REGEXEXTRACT(A2131,""^(?:https?:\/\/)?(?:[^@\n]+@)?(?:www\.)?([^:\/\n]+)"")),"""")"),"texasallcash.com")</f>
        <v>texasallcash.com</v>
      </c>
    </row>
    <row r="2132" spans="1:2" ht="12.5">
      <c r="A2132" s="3" t="s">
        <v>2387</v>
      </c>
      <c r="B2132" s="4" t="str">
        <f ca="1">IFERROR(__xludf.DUMMYFUNCTION("IFERROR(ARRAYFORMULA(REGEXEXTRACT(A2132,""^(?:https?:\/\/)?(?:[^@\n]+@)?(?:www\.)?([^:\/\n]+)"")),"""")"),"northalabamahousebuyer.com")</f>
        <v>northalabamahousebuyer.com</v>
      </c>
    </row>
    <row r="2133" spans="1:2" ht="12.5">
      <c r="A2133" s="3" t="s">
        <v>2388</v>
      </c>
      <c r="B2133" s="4" t="str">
        <f ca="1">IFERROR(__xludf.DUMMYFUNCTION("IFERROR(ARRAYFORMULA(REGEXEXTRACT(A2133,""^(?:https?:\/\/)?(?:[^@\n]+@)?(?:www\.)?([^:\/\n]+)"")),"""")"),"turningpointhomebuyers.com")</f>
        <v>turningpointhomebuyers.com</v>
      </c>
    </row>
    <row r="2134" spans="1:2" ht="12.5">
      <c r="A2134" s="3" t="s">
        <v>2389</v>
      </c>
      <c r="B2134" s="4" t="str">
        <f ca="1">IFERROR(__xludf.DUMMYFUNCTION("IFERROR(ARRAYFORMULA(REGEXEXTRACT(A2134,""^(?:https?:\/\/)?(?:[^@\n]+@)?(?:www\.)?([^:\/\n]+)"")),"""")"),"plomberie5etoiles.com")</f>
        <v>plomberie5etoiles.com</v>
      </c>
    </row>
    <row r="2135" spans="1:2" ht="12.5">
      <c r="A2135" s="3" t="s">
        <v>2390</v>
      </c>
      <c r="B2135" s="4" t="str">
        <f ca="1">IFERROR(__xludf.DUMMYFUNCTION("IFERROR(ARRAYFORMULA(REGEXEXTRACT(A2135,""^(?:https?:\/\/)?(?:[^@\n]+@)?(?:www\.)?([^:\/\n]+)"")),"""")"),"finehomebuilding.com")</f>
        <v>finehomebuilding.com</v>
      </c>
    </row>
    <row r="2136" spans="1:2" ht="12.5">
      <c r="A2136" s="3" t="s">
        <v>2391</v>
      </c>
      <c r="B2136" s="4" t="str">
        <f ca="1">IFERROR(__xludf.DUMMYFUNCTION("IFERROR(ARRAYFORMULA(REGEXEXTRACT(A2136,""^(?:https?:\/\/)?(?:[^@\n]+@)?(?:www\.)?([^:\/\n]+)"")),"""")"),"cliveemson.co.uk")</f>
        <v>cliveemson.co.uk</v>
      </c>
    </row>
    <row r="2137" spans="1:2" ht="12.5">
      <c r="A2137" s="3" t="s">
        <v>2392</v>
      </c>
      <c r="B2137" s="4" t="str">
        <f ca="1">IFERROR(__xludf.DUMMYFUNCTION("IFERROR(ARRAYFORMULA(REGEXEXTRACT(A2137,""^(?:https?:\/\/)?(?:[^@\n]+@)?(?:www\.)?([^:\/\n]+)"")),"""")"),"eazyhousesale.com")</f>
        <v>eazyhousesale.com</v>
      </c>
    </row>
    <row r="2138" spans="1:2" ht="12.5">
      <c r="A2138" s="3" t="s">
        <v>2393</v>
      </c>
      <c r="B2138" s="4" t="str">
        <f ca="1">IFERROR(__xludf.DUMMYFUNCTION("IFERROR(ARRAYFORMULA(REGEXEXTRACT(A2138,""^(?:https?:\/\/)?(?:[^@\n]+@)?(?:www\.)?([^:\/\n]+)"")),"""")"),"natran.com")</f>
        <v>natran.com</v>
      </c>
    </row>
    <row r="2139" spans="1:2" ht="12.5">
      <c r="A2139" s="3" t="s">
        <v>2394</v>
      </c>
      <c r="B2139" s="4" t="str">
        <f ca="1">IFERROR(__xludf.DUMMYFUNCTION("IFERROR(ARRAYFORMULA(REGEXEXTRACT(A2139,""^(?:https?:\/\/)?(?:[^@\n]+@)?(?:www\.)?([^:\/\n]+)"")),"""")"),"invoca.com")</f>
        <v>invoca.com</v>
      </c>
    </row>
    <row r="2140" spans="1:2" ht="12.5">
      <c r="A2140" s="3" t="s">
        <v>2395</v>
      </c>
      <c r="B2140" s="4" t="str">
        <f ca="1">IFERROR(__xludf.DUMMYFUNCTION("IFERROR(ARRAYFORMULA(REGEXEXTRACT(A2140,""^(?:https?:\/\/)?(?:[^@\n]+@)?(?:www\.)?([^:\/\n]+)"")),"""")"),"ateambuyshomes.com")</f>
        <v>ateambuyshomes.com</v>
      </c>
    </row>
    <row r="2141" spans="1:2" ht="12.5">
      <c r="A2141" s="3" t="s">
        <v>2396</v>
      </c>
      <c r="B2141" s="4" t="str">
        <f ca="1">IFERROR(__xludf.DUMMYFUNCTION("IFERROR(ARRAYFORMULA(REGEXEXTRACT(A2141,""^(?:https?:\/\/)?(?:[^@\n]+@)?(?:www\.)?([^:\/\n]+)"")),"""")"),"sellsoonbluemoon.com")</f>
        <v>sellsoonbluemoon.com</v>
      </c>
    </row>
    <row r="2142" spans="1:2" ht="12.5">
      <c r="A2142" s="3" t="s">
        <v>2397</v>
      </c>
      <c r="B2142" s="4" t="str">
        <f ca="1">IFERROR(__xludf.DUMMYFUNCTION("IFERROR(ARRAYFORMULA(REGEXEXTRACT(A2142,""^(?:https?:\/\/)?(?:[^@\n]+@)?(?:www\.)?([^:\/\n]+)"")),"""")"),"mobilehomecashoffer.com")</f>
        <v>mobilehomecashoffer.com</v>
      </c>
    </row>
    <row r="2143" spans="1:2" ht="12.5">
      <c r="A2143" s="3" t="s">
        <v>2398</v>
      </c>
      <c r="B2143" s="4" t="str">
        <f ca="1">IFERROR(__xludf.DUMMYFUNCTION("IFERROR(ARRAYFORMULA(REGEXEXTRACT(A2143,""^(?:https?:\/\/)?(?:[^@\n]+@)?(?:www\.)?([^:\/\n]+)"")),"""")"),"kingfisherre.com")</f>
        <v>kingfisherre.com</v>
      </c>
    </row>
    <row r="2144" spans="1:2" ht="12.5">
      <c r="A2144" s="3" t="s">
        <v>2399</v>
      </c>
      <c r="B2144" s="4" t="str">
        <f ca="1">IFERROR(__xludf.DUMMYFUNCTION("IFERROR(ARRAYFORMULA(REGEXEXTRACT(A2144,""^(?:https?:\/\/)?(?:[^@\n]+@)?(?:www\.)?([^:\/\n]+)"")),"""")"),"webuyanykindahouse.com")</f>
        <v>webuyanykindahouse.com</v>
      </c>
    </row>
    <row r="2145" spans="1:2" ht="12.5">
      <c r="A2145" s="3" t="s">
        <v>2400</v>
      </c>
      <c r="B2145" s="4" t="str">
        <f ca="1">IFERROR(__xludf.DUMMYFUNCTION("IFERROR(ARRAYFORMULA(REGEXEXTRACT(A2145,""^(?:https?:\/\/)?(?:[^@\n]+@)?(?:www\.)?([^:\/\n]+)"")),"""")"),"cityofmalden.org")</f>
        <v>cityofmalden.org</v>
      </c>
    </row>
    <row r="2146" spans="1:2" ht="12.5">
      <c r="A2146" s="3" t="s">
        <v>2401</v>
      </c>
      <c r="B2146" s="4" t="str">
        <f ca="1">IFERROR(__xludf.DUMMYFUNCTION("IFERROR(ARRAYFORMULA(REGEXEXTRACT(A2146,""^(?:https?:\/\/)?(?:[^@\n]+@)?(?:www\.)?([^:\/\n]+)"")),"""")"),"southernskyhomebuyers.com")</f>
        <v>southernskyhomebuyers.com</v>
      </c>
    </row>
    <row r="2147" spans="1:2" ht="12.5">
      <c r="A2147" s="3" t="s">
        <v>2402</v>
      </c>
      <c r="B2147" s="4" t="str">
        <f ca="1">IFERROR(__xludf.DUMMYFUNCTION("IFERROR(ARRAYFORMULA(REGEXEXTRACT(A2147,""^(?:https?:\/\/)?(?:[^@\n]+@)?(?:www\.)?([^:\/\n]+)"")),"""")"),"joehomebuyersocalmetro.com")</f>
        <v>joehomebuyersocalmetro.com</v>
      </c>
    </row>
    <row r="2148" spans="1:2" ht="12.5">
      <c r="A2148" s="3" t="s">
        <v>2403</v>
      </c>
      <c r="B2148" s="4" t="str">
        <f ca="1">IFERROR(__xludf.DUMMYFUNCTION("IFERROR(ARRAYFORMULA(REGEXEXTRACT(A2148,""^(?:https?:\/\/)?(?:[^@\n]+@)?(?:www\.)?([^:\/\n]+)"")),"""")"),"yellowcardproperties.com")</f>
        <v>yellowcardproperties.com</v>
      </c>
    </row>
    <row r="2149" spans="1:2" ht="12.5">
      <c r="A2149" s="3" t="s">
        <v>2404</v>
      </c>
      <c r="B2149" s="4" t="str">
        <f ca="1">IFERROR(__xludf.DUMMYFUNCTION("IFERROR(ARRAYFORMULA(REGEXEXTRACT(A2149,""^(?:https?:\/\/)?(?:[^@\n]+@)?(?:www\.)?([^:\/\n]+)"")),"""")"),"theturnerhometeam.com")</f>
        <v>theturnerhometeam.com</v>
      </c>
    </row>
    <row r="2150" spans="1:2" ht="12.5">
      <c r="A2150" s="3" t="s">
        <v>2405</v>
      </c>
      <c r="B2150" s="4" t="str">
        <f ca="1">IFERROR(__xludf.DUMMYFUNCTION("IFERROR(ARRAYFORMULA(REGEXEXTRACT(A2150,""^(?:https?:\/\/)?(?:[^@\n]+@)?(?:www\.)?([^:\/\n]+)"")),"""")"),"restorationmasterfinder.com")</f>
        <v>restorationmasterfinder.com</v>
      </c>
    </row>
    <row r="2151" spans="1:2" ht="12.5">
      <c r="A2151" s="3" t="s">
        <v>2406</v>
      </c>
      <c r="B2151" s="4" t="str">
        <f ca="1">IFERROR(__xludf.DUMMYFUNCTION("IFERROR(ARRAYFORMULA(REGEXEXTRACT(A2151,""^(?:https?:\/\/)?(?:[^@\n]+@)?(?:www\.)?([^:\/\n]+)"")),"""")"),"illinoisrealestatebuyersinc.com")</f>
        <v>illinoisrealestatebuyersinc.com</v>
      </c>
    </row>
    <row r="2152" spans="1:2" ht="12.5">
      <c r="A2152" s="3" t="s">
        <v>2407</v>
      </c>
      <c r="B2152" s="4" t="str">
        <f ca="1">IFERROR(__xludf.DUMMYFUNCTION("IFERROR(ARRAYFORMULA(REGEXEXTRACT(A2152,""^(?:https?:\/\/)?(?:[^@\n]+@)?(?:www\.)?([^:\/\n]+)"")),"""")"),"northwestrealestatesolutions.com")</f>
        <v>northwestrealestatesolutions.com</v>
      </c>
    </row>
    <row r="2153" spans="1:2" ht="12.5">
      <c r="A2153" s="3" t="s">
        <v>2408</v>
      </c>
      <c r="B2153" s="4" t="str">
        <f ca="1">IFERROR(__xludf.DUMMYFUNCTION("IFERROR(ARRAYFORMULA(REGEXEXTRACT(A2153,""^(?:https?:\/\/)?(?:[^@\n]+@)?(?:www\.)?([^:\/\n]+)"")),"""")"),"lodproperties.com")</f>
        <v>lodproperties.com</v>
      </c>
    </row>
    <row r="2154" spans="1:2" ht="12.5">
      <c r="A2154" s="3" t="s">
        <v>2409</v>
      </c>
      <c r="B2154" s="4" t="str">
        <f ca="1">IFERROR(__xludf.DUMMYFUNCTION("IFERROR(ARRAYFORMULA(REGEXEXTRACT(A2154,""^(?:https?:\/\/)?(?:[^@\n]+@)?(?:www\.)?([^:\/\n]+)"")),"""")"),"kentuckysellnow.com")</f>
        <v>kentuckysellnow.com</v>
      </c>
    </row>
    <row r="2155" spans="1:2" ht="12.5">
      <c r="A2155" s="3" t="s">
        <v>2410</v>
      </c>
      <c r="B2155" s="4" t="str">
        <f ca="1">IFERROR(__xludf.DUMMYFUNCTION("IFERROR(ARRAYFORMULA(REGEXEXTRACT(A2155,""^(?:https?:\/\/)?(?:[^@\n]+@)?(?:www\.)?([^:\/\n]+)"")),"""")"),"thepanhandlehomebuyer.com")</f>
        <v>thepanhandlehomebuyer.com</v>
      </c>
    </row>
    <row r="2156" spans="1:2" ht="12.5">
      <c r="A2156" s="3" t="s">
        <v>2411</v>
      </c>
      <c r="B2156" s="4" t="str">
        <f ca="1">IFERROR(__xludf.DUMMYFUNCTION("IFERROR(ARRAYFORMULA(REGEXEXTRACT(A2156,""^(?:https?:\/\/)?(?:[^@\n]+@)?(?:www\.)?([^:\/\n]+)"")),"""")"),"bythesearesorts.com")</f>
        <v>bythesearesorts.com</v>
      </c>
    </row>
    <row r="2157" spans="1:2" ht="12.5">
      <c r="A2157" s="3" t="s">
        <v>2412</v>
      </c>
      <c r="B2157" s="4" t="str">
        <f ca="1">IFERROR(__xludf.DUMMYFUNCTION("IFERROR(ARRAYFORMULA(REGEXEXTRACT(A2157,""^(?:https?:\/\/)?(?:[^@\n]+@)?(?:www\.)?([^:\/\n]+)"")),"""")"),"sandiahomebuyers.com")</f>
        <v>sandiahomebuyers.com</v>
      </c>
    </row>
    <row r="2158" spans="1:2" ht="12.5">
      <c r="A2158" s="3" t="s">
        <v>2413</v>
      </c>
      <c r="B2158" s="4" t="str">
        <f ca="1">IFERROR(__xludf.DUMMYFUNCTION("IFERROR(ARRAYFORMULA(REGEXEXTRACT(A2158,""^(?:https?:\/\/)?(?:[^@\n]+@)?(?:www\.)?([^:\/\n]+)"")),"""")"),"4brothersbuyhouses.com")</f>
        <v>4brothersbuyhouses.com</v>
      </c>
    </row>
    <row r="2159" spans="1:2" ht="12.5">
      <c r="A2159" s="3" t="s">
        <v>2414</v>
      </c>
      <c r="B2159" s="4" t="str">
        <f ca="1">IFERROR(__xludf.DUMMYFUNCTION("IFERROR(ARRAYFORMULA(REGEXEXTRACT(A2159,""^(?:https?:\/\/)?(?:[^@\n]+@)?(?:www\.)?([^:\/\n]+)"")),"""")"),"texascashhousebuyer.com")</f>
        <v>texascashhousebuyer.com</v>
      </c>
    </row>
    <row r="2160" spans="1:2" ht="12.5">
      <c r="A2160" s="3" t="s">
        <v>2415</v>
      </c>
      <c r="B2160" s="4" t="str">
        <f ca="1">IFERROR(__xludf.DUMMYFUNCTION("IFERROR(ARRAYFORMULA(REGEXEXTRACT(A2160,""^(?:https?:\/\/)?(?:[^@\n]+@)?(?:www\.)?([^:\/\n]+)"")),"""")"),"satxwebuyhouses.com")</f>
        <v>satxwebuyhouses.com</v>
      </c>
    </row>
    <row r="2161" spans="1:2" ht="12.5">
      <c r="A2161" s="3" t="s">
        <v>2416</v>
      </c>
      <c r="B2161" s="4" t="str">
        <f ca="1">IFERROR(__xludf.DUMMYFUNCTION("IFERROR(ARRAYFORMULA(REGEXEXTRACT(A2161,""^(?:https?:\/\/)?(?:[^@\n]+@)?(?:www\.)?([^:\/\n]+)"")),"""")"),"sellmyhousecompany.com")</f>
        <v>sellmyhousecompany.com</v>
      </c>
    </row>
    <row r="2162" spans="1:2" ht="12.5">
      <c r="A2162" s="3" t="s">
        <v>2417</v>
      </c>
      <c r="B2162" s="4" t="str">
        <f ca="1">IFERROR(__xludf.DUMMYFUNCTION("IFERROR(ARRAYFORMULA(REGEXEXTRACT(A2162,""^(?:https?:\/\/)?(?:[^@\n]+@)?(?:www\.)?([^:\/\n]+)"")),"""")"),"southernhillshomebuyers.com")</f>
        <v>southernhillshomebuyers.com</v>
      </c>
    </row>
    <row r="2163" spans="1:2" ht="12.5">
      <c r="A2163" s="3" t="s">
        <v>2418</v>
      </c>
      <c r="B2163" s="4" t="str">
        <f ca="1">IFERROR(__xludf.DUMMYFUNCTION("IFERROR(ARRAYFORMULA(REGEXEXTRACT(A2163,""^(?:https?:\/\/)?(?:[^@\n]+@)?(?:www\.)?([^:\/\n]+)"")),"""")"),"housebuyinggirls.com")</f>
        <v>housebuyinggirls.com</v>
      </c>
    </row>
    <row r="2164" spans="1:2" ht="12.5">
      <c r="A2164" s="3" t="s">
        <v>2419</v>
      </c>
      <c r="B2164" s="4" t="str">
        <f ca="1">IFERROR(__xludf.DUMMYFUNCTION("IFERROR(ARRAYFORMULA(REGEXEXTRACT(A2164,""^(?:https?:\/\/)?(?:[^@\n]+@)?(?:www\.)?([^:\/\n]+)"")),"""")"),"homeinc.com")</f>
        <v>homeinc.com</v>
      </c>
    </row>
    <row r="2165" spans="1:2" ht="12.5">
      <c r="A2165" s="3" t="s">
        <v>2420</v>
      </c>
      <c r="B2165" s="4" t="str">
        <f ca="1">IFERROR(__xludf.DUMMYFUNCTION("IFERROR(ARRAYFORMULA(REGEXEXTRACT(A2165,""^(?:https?:\/\/)?(?:[^@\n]+@)?(?:www\.)?([^:\/\n]+)"")),"""")"),"thecashoffercompany.com")</f>
        <v>thecashoffercompany.com</v>
      </c>
    </row>
    <row r="2166" spans="1:2" ht="12.5">
      <c r="A2166" s="3" t="s">
        <v>2421</v>
      </c>
      <c r="B2166" s="4" t="str">
        <f ca="1">IFERROR(__xludf.DUMMYFUNCTION("IFERROR(ARRAYFORMULA(REGEXEXTRACT(A2166,""^(?:https?:\/\/)?(?:[^@\n]+@)?(?:www\.)?([^:\/\n]+)"")),"""")"),"cashforhousesgirl.com")</f>
        <v>cashforhousesgirl.com</v>
      </c>
    </row>
    <row r="2167" spans="1:2" ht="12.5">
      <c r="A2167" s="3" t="s">
        <v>2422</v>
      </c>
      <c r="B2167" s="4" t="str">
        <f ca="1">IFERROR(__xludf.DUMMYFUNCTION("IFERROR(ARRAYFORMULA(REGEXEXTRACT(A2167,""^(?:https?:\/\/)?(?:[^@\n]+@)?(?:www\.)?([^:\/\n]+)"")),"""")"),"readyhousebuyer.com")</f>
        <v>readyhousebuyer.com</v>
      </c>
    </row>
    <row r="2168" spans="1:2" ht="12.5">
      <c r="A2168" s="3" t="s">
        <v>2423</v>
      </c>
      <c r="B2168" s="4" t="str">
        <f ca="1">IFERROR(__xludf.DUMMYFUNCTION("IFERROR(ARRAYFORMULA(REGEXEXTRACT(A2168,""^(?:https?:\/\/)?(?:[^@\n]+@)?(?:www\.)?([^:\/\n]+)"")),"""")"),"photoup.net")</f>
        <v>photoup.net</v>
      </c>
    </row>
    <row r="2169" spans="1:2" ht="12.5">
      <c r="A2169" s="3" t="s">
        <v>2424</v>
      </c>
      <c r="B2169" s="4" t="str">
        <f ca="1">IFERROR(__xludf.DUMMYFUNCTION("IFERROR(ARRAYFORMULA(REGEXEXTRACT(A2169,""^(?:https?:\/\/)?(?:[^@\n]+@)?(?:www\.)?([^:\/\n]+)"")),"""")"),"revivalhomebuyer.com")</f>
        <v>revivalhomebuyer.com</v>
      </c>
    </row>
    <row r="2170" spans="1:2" ht="12.5">
      <c r="A2170" s="3" t="s">
        <v>2425</v>
      </c>
      <c r="B2170" s="4" t="str">
        <f ca="1">IFERROR(__xludf.DUMMYFUNCTION("IFERROR(ARRAYFORMULA(REGEXEXTRACT(A2170,""^(?:https?:\/\/)?(?:[^@\n]+@)?(?:www\.)?([^:\/\n]+)"")),"""")"),"kcpropertyconnection.com")</f>
        <v>kcpropertyconnection.com</v>
      </c>
    </row>
    <row r="2171" spans="1:2" ht="12.5">
      <c r="A2171" s="3" t="s">
        <v>2426</v>
      </c>
      <c r="B2171" s="4" t="str">
        <f ca="1">IFERROR(__xludf.DUMMYFUNCTION("IFERROR(ARRAYFORMULA(REGEXEXTRACT(A2171,""^(?:https?:\/\/)?(?:[^@\n]+@)?(?:www\.)?([^:\/\n]+)"")),"""")"),"reliablecashhousebuyers.com")</f>
        <v>reliablecashhousebuyers.com</v>
      </c>
    </row>
    <row r="2172" spans="1:2" ht="12.5">
      <c r="A2172" s="3" t="s">
        <v>2427</v>
      </c>
      <c r="B2172" s="4" t="str">
        <f ca="1">IFERROR(__xludf.DUMMYFUNCTION("IFERROR(ARRAYFORMULA(REGEXEXTRACT(A2172,""^(?:https?:\/\/)?(?:[^@\n]+@)?(?:www\.)?([^:\/\n]+)"")),"""")"),"jeffsealsremodeling.com")</f>
        <v>jeffsealsremodeling.com</v>
      </c>
    </row>
    <row r="2173" spans="1:2" ht="12.5">
      <c r="A2173" s="3" t="s">
        <v>2428</v>
      </c>
      <c r="B2173" s="4" t="str">
        <f ca="1">IFERROR(__xludf.DUMMYFUNCTION("IFERROR(ARRAYFORMULA(REGEXEXTRACT(A2173,""^(?:https?:\/\/)?(?:[^@\n]+@)?(?:www\.)?([^:\/\n]+)"")),"""")"),"webuynkyhouses.com")</f>
        <v>webuynkyhouses.com</v>
      </c>
    </row>
    <row r="2174" spans="1:2" ht="12.5">
      <c r="A2174" s="3" t="s">
        <v>2429</v>
      </c>
      <c r="B2174" s="4" t="str">
        <f ca="1">IFERROR(__xludf.DUMMYFUNCTION("IFERROR(ARRAYFORMULA(REGEXEXTRACT(A2174,""^(?:https?:\/\/)?(?:[^@\n]+@)?(?:www\.)?([^:\/\n]+)"")),"""")"),"wecanhelp.ca")</f>
        <v>wecanhelp.ca</v>
      </c>
    </row>
    <row r="2175" spans="1:2" ht="12.5">
      <c r="A2175" s="3" t="s">
        <v>2430</v>
      </c>
      <c r="B2175" s="4" t="str">
        <f ca="1">IFERROR(__xludf.DUMMYFUNCTION("IFERROR(ARRAYFORMULA(REGEXEXTRACT(A2175,""^(?:https?:\/\/)?(?:[^@\n]+@)?(?:www\.)?([^:\/\n]+)"")),"""")"),"sellmyhousefastforcash.com")</f>
        <v>sellmyhousefastforcash.com</v>
      </c>
    </row>
    <row r="2176" spans="1:2" ht="12.5">
      <c r="A2176" s="3" t="s">
        <v>2431</v>
      </c>
      <c r="B2176" s="4" t="str">
        <f ca="1">IFERROR(__xludf.DUMMYFUNCTION("IFERROR(ARRAYFORMULA(REGEXEXTRACT(A2176,""^(?:https?:\/\/)?(?:[^@\n]+@)?(?:www\.)?([^:\/\n]+)"")),"""")"),"aramendia.com")</f>
        <v>aramendia.com</v>
      </c>
    </row>
    <row r="2177" spans="1:2" ht="12.5">
      <c r="A2177" s="3" t="s">
        <v>2432</v>
      </c>
      <c r="B2177" s="4" t="str">
        <f ca="1">IFERROR(__xludf.DUMMYFUNCTION("IFERROR(ARRAYFORMULA(REGEXEXTRACT(A2177,""^(?:https?:\/\/)?(?:[^@\n]+@)?(?:www\.)?([^:\/\n]+)"")),"""")"),"servicetitan.com")</f>
        <v>servicetitan.com</v>
      </c>
    </row>
    <row r="2178" spans="1:2" ht="12.5">
      <c r="A2178" s="3" t="s">
        <v>2433</v>
      </c>
      <c r="B2178" s="4" t="str">
        <f ca="1">IFERROR(__xludf.DUMMYFUNCTION("IFERROR(ARRAYFORMULA(REGEXEXTRACT(A2178,""^(?:https?:\/\/)?(?:[^@\n]+@)?(?:www\.)?([^:\/\n]+)"")),"""")"),"valleyresidentialgroup.com")</f>
        <v>valleyresidentialgroup.com</v>
      </c>
    </row>
    <row r="2179" spans="1:2" ht="12.5">
      <c r="A2179" s="3" t="s">
        <v>2434</v>
      </c>
      <c r="B2179" s="4" t="str">
        <f ca="1">IFERROR(__xludf.DUMMYFUNCTION("IFERROR(ARRAYFORMULA(REGEXEXTRACT(A2179,""^(?:https?:\/\/)?(?:[^@\n]+@)?(?:www\.)?([^:\/\n]+)"")),"""")"),"wallstreetzen.com")</f>
        <v>wallstreetzen.com</v>
      </c>
    </row>
    <row r="2180" spans="1:2" ht="12.5">
      <c r="A2180" s="3" t="s">
        <v>2435</v>
      </c>
      <c r="B2180" s="4" t="str">
        <f ca="1">IFERROR(__xludf.DUMMYFUNCTION("IFERROR(ARRAYFORMULA(REGEXEXTRACT(A2180,""^(?:https?:\/\/)?(?:[^@\n]+@)?(?:www\.)?([^:\/\n]+)"")),"""")"),"nycrestoration.com")</f>
        <v>nycrestoration.com</v>
      </c>
    </row>
    <row r="2181" spans="1:2" ht="12.5">
      <c r="A2181" s="3" t="s">
        <v>2436</v>
      </c>
      <c r="B2181" s="4" t="str">
        <f ca="1">IFERROR(__xludf.DUMMYFUNCTION("IFERROR(ARRAYFORMULA(REGEXEXTRACT(A2181,""^(?:https?:\/\/)?(?:[^@\n]+@)?(?:www\.)?([^:\/\n]+)"")),"""")"),"drcarpetoc.com")</f>
        <v>drcarpetoc.com</v>
      </c>
    </row>
    <row r="2182" spans="1:2" ht="12.5">
      <c r="A2182" s="3" t="s">
        <v>2437</v>
      </c>
      <c r="B2182" s="4" t="str">
        <f ca="1">IFERROR(__xludf.DUMMYFUNCTION("IFERROR(ARRAYFORMULA(REGEXEXTRACT(A2182,""^(?:https?:\/\/)?(?:[^@\n]+@)?(?:www\.)?([^:\/\n]+)"")),"""")"),"grace.com.au")</f>
        <v>grace.com.au</v>
      </c>
    </row>
    <row r="2183" spans="1:2" ht="12.5">
      <c r="A2183" s="3" t="s">
        <v>2438</v>
      </c>
      <c r="B2183" s="4" t="str">
        <f ca="1">IFERROR(__xludf.DUMMYFUNCTION("IFERROR(ARRAYFORMULA(REGEXEXTRACT(A2183,""^(?:https?:\/\/)?(?:[^@\n]+@)?(?:www\.)?([^:\/\n]+)"")),"""")"),"zicklincontracting.com")</f>
        <v>zicklincontracting.com</v>
      </c>
    </row>
    <row r="2184" spans="1:2" ht="12.5">
      <c r="A2184" s="3" t="s">
        <v>2439</v>
      </c>
      <c r="B2184" s="4" t="str">
        <f ca="1">IFERROR(__xludf.DUMMYFUNCTION("IFERROR(ARRAYFORMULA(REGEXEXTRACT(A2184,""^(?:https?:\/\/)?(?:[^@\n]+@)?(?:www\.)?([^:\/\n]+)"")),"""")"),"dirtcheaprubbishremoval.com.au")</f>
        <v>dirtcheaprubbishremoval.com.au</v>
      </c>
    </row>
    <row r="2185" spans="1:2" ht="12.5">
      <c r="A2185" s="3" t="s">
        <v>2440</v>
      </c>
      <c r="B2185" s="4" t="str">
        <f ca="1">IFERROR(__xludf.DUMMYFUNCTION("IFERROR(ARRAYFORMULA(REGEXEXTRACT(A2185,""^(?:https?:\/\/)?(?:[^@\n]+@)?(?:www\.)?([^:\/\n]+)"")),"""")"),"integrumservices.co.uk")</f>
        <v>integrumservices.co.uk</v>
      </c>
    </row>
    <row r="2186" spans="1:2" ht="12.5">
      <c r="A2186" s="3" t="s">
        <v>2441</v>
      </c>
      <c r="B2186" s="4" t="str">
        <f ca="1">IFERROR(__xludf.DUMMYFUNCTION("IFERROR(ARRAYFORMULA(REGEXEXTRACT(A2186,""^(?:https?:\/\/)?(?:[^@\n]+@)?(?:www\.)?([^:\/\n]+)"")),"""")"),"dansplumbing.com.au")</f>
        <v>dansplumbing.com.au</v>
      </c>
    </row>
    <row r="2187" spans="1:2" ht="12.5">
      <c r="A2187" s="3" t="s">
        <v>2442</v>
      </c>
      <c r="B2187" s="4" t="str">
        <f ca="1">IFERROR(__xludf.DUMMYFUNCTION("IFERROR(ARRAYFORMULA(REGEXEXTRACT(A2187,""^(?:https?:\/\/)?(?:[^@\n]+@)?(?:www\.)?([^:\/\n]+)"")),"""")"),"geotechbuilt.com.au")</f>
        <v>geotechbuilt.com.au</v>
      </c>
    </row>
    <row r="2188" spans="1:2" ht="12.5">
      <c r="A2188" s="3" t="s">
        <v>2443</v>
      </c>
      <c r="B2188" s="4" t="str">
        <f ca="1">IFERROR(__xludf.DUMMYFUNCTION("IFERROR(ARRAYFORMULA(REGEXEXTRACT(A2188,""^(?:https?:\/\/)?(?:[^@\n]+@)?(?:www\.)?([^:\/\n]+)"")),"""")"),"watertankfactory.com.au")</f>
        <v>watertankfactory.com.au</v>
      </c>
    </row>
    <row r="2189" spans="1:2" ht="12.5">
      <c r="A2189" s="3" t="s">
        <v>2444</v>
      </c>
      <c r="B2189" s="4" t="str">
        <f ca="1">IFERROR(__xludf.DUMMYFUNCTION("IFERROR(ARRAYFORMULA(REGEXEXTRACT(A2189,""^(?:https?:\/\/)?(?:[^@\n]+@)?(?:www\.)?([^:\/\n]+)"")),"""")"),"listproperty4free.com")</f>
        <v>listproperty4free.com</v>
      </c>
    </row>
    <row r="2190" spans="1:2" ht="12.5">
      <c r="A2190" s="3" t="s">
        <v>2445</v>
      </c>
      <c r="B2190" s="4" t="str">
        <f ca="1">IFERROR(__xludf.DUMMYFUNCTION("IFERROR(ARRAYFORMULA(REGEXEXTRACT(A2190,""^(?:https?:\/\/)?(?:[^@\n]+@)?(?:www\.)?([^:\/\n]+)"")),"""")"),"thelocalelectrician.com.au")</f>
        <v>thelocalelectrician.com.au</v>
      </c>
    </row>
    <row r="2191" spans="1:2" ht="12.5">
      <c r="A2191" s="3" t="s">
        <v>2446</v>
      </c>
      <c r="B2191" s="4" t="str">
        <f ca="1">IFERROR(__xludf.DUMMYFUNCTION("IFERROR(ARRAYFORMULA(REGEXEXTRACT(A2191,""^(?:https?:\/\/)?(?:[^@\n]+@)?(?:www\.)?([^:\/\n]+)"")),"""")"),"montgomeryhomes.com.au")</f>
        <v>montgomeryhomes.com.au</v>
      </c>
    </row>
    <row r="2192" spans="1:2" ht="12.5">
      <c r="A2192" s="3" t="s">
        <v>2447</v>
      </c>
      <c r="B2192" s="4" t="str">
        <f ca="1">IFERROR(__xludf.DUMMYFUNCTION("IFERROR(ARRAYFORMULA(REGEXEXTRACT(A2192,""^(?:https?:\/\/)?(?:[^@\n]+@)?(?:www\.)?([^:\/\n]+)"")),"""")"),"webuyhousesinbayarea.com")</f>
        <v>webuyhousesinbayarea.com</v>
      </c>
    </row>
    <row r="2193" spans="1:2" ht="12.5">
      <c r="A2193" s="3" t="s">
        <v>2448</v>
      </c>
      <c r="B2193" s="4" t="str">
        <f ca="1">IFERROR(__xludf.DUMMYFUNCTION("IFERROR(ARRAYFORMULA(REGEXEXTRACT(A2193,""^(?:https?:\/\/)?(?:[^@\n]+@)?(?:www\.)?([^:\/\n]+)"")),"""")"),"griffinfunding.com")</f>
        <v>griffinfunding.com</v>
      </c>
    </row>
    <row r="2194" spans="1:2" ht="12.5">
      <c r="A2194" s="3" t="s">
        <v>2449</v>
      </c>
      <c r="B2194" s="4" t="str">
        <f ca="1">IFERROR(__xludf.DUMMYFUNCTION("IFERROR(ARRAYFORMULA(REGEXEXTRACT(A2194,""^(?:https?:\/\/)?(?:[^@\n]+@)?(?:www\.)?([^:\/\n]+)"")),"""")"),"transunion.com")</f>
        <v>transunion.com</v>
      </c>
    </row>
    <row r="2195" spans="1:2" ht="12.5">
      <c r="A2195" s="3" t="s">
        <v>2450</v>
      </c>
      <c r="B2195" s="4" t="str">
        <f ca="1">IFERROR(__xludf.DUMMYFUNCTION("IFERROR(ARRAYFORMULA(REGEXEXTRACT(A2195,""^(?:https?:\/\/)?(?:[^@\n]+@)?(?:www\.)?([^:\/\n]+)"")),"""")"),"safestore.co.uk")</f>
        <v>safestore.co.uk</v>
      </c>
    </row>
    <row r="2196" spans="1:2" ht="12.5">
      <c r="A2196" s="3" t="s">
        <v>2451</v>
      </c>
      <c r="B2196" s="4" t="str">
        <f ca="1">IFERROR(__xludf.DUMMYFUNCTION("IFERROR(ARRAYFORMULA(REGEXEXTRACT(A2196,""^(?:https?:\/\/)?(?:[^@\n]+@)?(?:www\.)?([^:\/\n]+)"")),"""")"),"propertyroad.co.uk")</f>
        <v>propertyroad.co.uk</v>
      </c>
    </row>
    <row r="2197" spans="1:2" ht="12.5">
      <c r="A2197" s="3" t="s">
        <v>2452</v>
      </c>
      <c r="B2197" s="4" t="str">
        <f ca="1">IFERROR(__xludf.DUMMYFUNCTION("IFERROR(ARRAYFORMULA(REGEXEXTRACT(A2197,""^(?:https?:\/\/)?(?:[^@\n]+@)?(?:www\.)?([^:\/\n]+)"")),"""")"),"luxurypropertycare.com")</f>
        <v>luxurypropertycare.com</v>
      </c>
    </row>
    <row r="2198" spans="1:2" ht="12.5">
      <c r="A2198" s="3" t="s">
        <v>2453</v>
      </c>
      <c r="B2198" s="4" t="str">
        <f ca="1">IFERROR(__xludf.DUMMYFUNCTION("IFERROR(ARRAYFORMULA(REGEXEXTRACT(A2198,""^(?:https?:\/\/)?(?:[^@\n]+@)?(?:www\.)?([^:\/\n]+)"")),"""")"),"condocontrol.com")</f>
        <v>condocontrol.com</v>
      </c>
    </row>
    <row r="2199" spans="1:2" ht="12.5">
      <c r="A2199" s="3" t="s">
        <v>2454</v>
      </c>
      <c r="B2199" s="4" t="str">
        <f ca="1">IFERROR(__xludf.DUMMYFUNCTION("IFERROR(ARRAYFORMULA(REGEXEXTRACT(A2199,""^(?:https?:\/\/)?(?:[^@\n]+@)?(?:www\.)?([^:\/\n]+)"")),"""")"),"safehomeoffer.com")</f>
        <v>safehomeoffer.com</v>
      </c>
    </row>
    <row r="2200" spans="1:2" ht="12.5">
      <c r="A2200" s="3" t="s">
        <v>2455</v>
      </c>
      <c r="B2200" s="4" t="str">
        <f ca="1">IFERROR(__xludf.DUMMYFUNCTION("IFERROR(ARRAYFORMULA(REGEXEXTRACT(A2200,""^(?:https?:\/\/)?(?:[^@\n]+@)?(?:www\.)?([^:\/\n]+)"")),"""")"),"tridel.com")</f>
        <v>tridel.com</v>
      </c>
    </row>
    <row r="2201" spans="1:2" ht="12.5">
      <c r="A2201" s="3" t="s">
        <v>2456</v>
      </c>
      <c r="B2201" s="4" t="str">
        <f ca="1">IFERROR(__xludf.DUMMYFUNCTION("IFERROR(ARRAYFORMULA(REGEXEXTRACT(A2201,""^(?:https?:\/\/)?(?:[^@\n]+@)?(?:www\.)?([^:\/\n]+)"")),"""")"),"ontarioductcleaning.ca")</f>
        <v>ontarioductcleaning.ca</v>
      </c>
    </row>
    <row r="2202" spans="1:2" ht="12.5">
      <c r="A2202" s="3" t="s">
        <v>2457</v>
      </c>
      <c r="B2202" s="4" t="str">
        <f ca="1">IFERROR(__xludf.DUMMYFUNCTION("IFERROR(ARRAYFORMULA(REGEXEXTRACT(A2202,""^(?:https?:\/\/)?(?:[^@\n]+@)?(?:www\.)?([^:\/\n]+)"")),"""")"),"yourhome.gov.au")</f>
        <v>yourhome.gov.au</v>
      </c>
    </row>
    <row r="2203" spans="1:2" ht="12.5">
      <c r="A2203" s="3" t="s">
        <v>2458</v>
      </c>
      <c r="B2203" s="4" t="str">
        <f ca="1">IFERROR(__xludf.DUMMYFUNCTION("IFERROR(ARRAYFORMULA(REGEXEXTRACT(A2203,""^(?:https?:\/\/)?(?:[^@\n]+@)?(?:www\.)?([^:\/\n]+)"")),"""")"),"undergrads.com")</f>
        <v>undergrads.com</v>
      </c>
    </row>
    <row r="2204" spans="1:2" ht="12.5">
      <c r="A2204" s="3" t="s">
        <v>2459</v>
      </c>
      <c r="B2204" s="4" t="str">
        <f ca="1">IFERROR(__xludf.DUMMYFUNCTION("IFERROR(ARRAYFORMULA(REGEXEXTRACT(A2204,""^(?:https?:\/\/)?(?:[^@\n]+@)?(?:www\.)?([^:\/\n]+)"")),"""")"),"hardmoneyfirst.com")</f>
        <v>hardmoneyfirst.com</v>
      </c>
    </row>
    <row r="2205" spans="1:2" ht="12.5">
      <c r="A2205" s="3" t="s">
        <v>2460</v>
      </c>
      <c r="B2205" s="4" t="str">
        <f ca="1">IFERROR(__xludf.DUMMYFUNCTION("IFERROR(ARRAYFORMULA(REGEXEXTRACT(A2205,""^(?:https?:\/\/)?(?:[^@\n]+@)?(?:www\.)?([^:\/\n]+)"")),"""")"),"h2horganizing.com")</f>
        <v>h2horganizing.com</v>
      </c>
    </row>
    <row r="2206" spans="1:2" ht="12.5">
      <c r="A2206" s="3" t="s">
        <v>2461</v>
      </c>
      <c r="B2206" s="4" t="str">
        <f ca="1">IFERROR(__xludf.DUMMYFUNCTION("IFERROR(ARRAYFORMULA(REGEXEXTRACT(A2206,""^(?:https?:\/\/)?(?:[^@\n]+@)?(?:www\.)?([^:\/\n]+)"")),"""")"),"netpayadvance.com")</f>
        <v>netpayadvance.com</v>
      </c>
    </row>
    <row r="2207" spans="1:2" ht="12.5">
      <c r="A2207" s="3" t="s">
        <v>2462</v>
      </c>
      <c r="B2207" s="4" t="str">
        <f ca="1">IFERROR(__xludf.DUMMYFUNCTION("IFERROR(ARRAYFORMULA(REGEXEXTRACT(A2207,""^(?:https?:\/\/)?(?:[^@\n]+@)?(?:www\.)?([^:\/\n]+)"")),"""")"),"365businesstips.com")</f>
        <v>365businesstips.com</v>
      </c>
    </row>
    <row r="2208" spans="1:2" ht="12.5">
      <c r="A2208" s="3" t="s">
        <v>2463</v>
      </c>
      <c r="B2208" s="4" t="str">
        <f ca="1">IFERROR(__xludf.DUMMYFUNCTION("IFERROR(ARRAYFORMULA(REGEXEXTRACT(A2208,""^(?:https?:\/\/)?(?:[^@\n]+@)?(?:www\.)?([^:\/\n]+)"")),"""")"),"laylasleep.com")</f>
        <v>laylasleep.com</v>
      </c>
    </row>
    <row r="2209" spans="1:2" ht="12.5">
      <c r="A2209" s="3" t="s">
        <v>2464</v>
      </c>
      <c r="B2209" s="4" t="str">
        <f ca="1">IFERROR(__xludf.DUMMYFUNCTION("IFERROR(ARRAYFORMULA(REGEXEXTRACT(A2209,""^(?:https?:\/\/)?(?:[^@\n]+@)?(?:www\.)?([^:\/\n]+)"")),"""")"),"fmb.org.uk")</f>
        <v>fmb.org.uk</v>
      </c>
    </row>
    <row r="2210" spans="1:2" ht="12.5">
      <c r="A2210" s="3" t="s">
        <v>2465</v>
      </c>
      <c r="B2210" s="4" t="str">
        <f ca="1">IFERROR(__xludf.DUMMYFUNCTION("IFERROR(ARRAYFORMULA(REGEXEXTRACT(A2210,""^(?:https?:\/\/)?(?:[^@\n]+@)?(?:www\.)?([^:\/\n]+)"")),"""")"),"1800packrat.com")</f>
        <v>1800packrat.com</v>
      </c>
    </row>
    <row r="2211" spans="1:2" ht="12.5">
      <c r="A2211" s="3" t="s">
        <v>2466</v>
      </c>
      <c r="B2211" s="4" t="str">
        <f ca="1">IFERROR(__xludf.DUMMYFUNCTION("IFERROR(ARRAYFORMULA(REGEXEXTRACT(A2211,""^(?:https?:\/\/)?(?:[^@\n]+@)?(?:www\.)?([^:\/\n]+)"")),"""")"),"manhattanmiami.com")</f>
        <v>manhattanmiami.com</v>
      </c>
    </row>
    <row r="2212" spans="1:2" ht="12.5">
      <c r="A2212" s="3" t="s">
        <v>2467</v>
      </c>
      <c r="B2212" s="4" t="str">
        <f ca="1">IFERROR(__xludf.DUMMYFUNCTION("IFERROR(ARRAYFORMULA(REGEXEXTRACT(A2212,""^(?:https?:\/\/)?(?:[^@\n]+@)?(?:www\.)?([^:\/\n]+)"")),"""")"),"propertysolvers.co.uk")</f>
        <v>propertysolvers.co.uk</v>
      </c>
    </row>
    <row r="2213" spans="1:2" ht="12.5">
      <c r="A2213" s="3" t="s">
        <v>2468</v>
      </c>
      <c r="B2213" s="4" t="str">
        <f ca="1">IFERROR(__xludf.DUMMYFUNCTION("IFERROR(ARRAYFORMULA(REGEXEXTRACT(A2213,""^(?:https?:\/\/)?(?:[^@\n]+@)?(?:www\.)?([^:\/\n]+)"")),"""")"),"noradarealestate.com")</f>
        <v>noradarealestate.com</v>
      </c>
    </row>
    <row r="2214" spans="1:2" ht="12.5">
      <c r="A2214" s="3" t="s">
        <v>2469</v>
      </c>
      <c r="B2214" s="4" t="str">
        <f ca="1">IFERROR(__xludf.DUMMYFUNCTION("IFERROR(ARRAYFORMULA(REGEXEXTRACT(A2214,""^(?:https?:\/\/)?(?:[^@\n]+@)?(?:www\.)?([^:\/\n]+)"")),"""")"),"theoriginalplumber.com")</f>
        <v>theoriginalplumber.com</v>
      </c>
    </row>
    <row r="2215" spans="1:2" ht="12.5">
      <c r="A2215" s="3" t="s">
        <v>2470</v>
      </c>
      <c r="B2215" s="4" t="str">
        <f ca="1">IFERROR(__xludf.DUMMYFUNCTION("IFERROR(ARRAYFORMULA(REGEXEXTRACT(A2215,""^(?:https?:\/\/)?(?:[^@\n]+@)?(?:www\.)?([^:\/\n]+)"")),"""")"),"onehourheatandair.com")</f>
        <v>onehourheatandair.com</v>
      </c>
    </row>
    <row r="2216" spans="1:2" ht="12.5">
      <c r="A2216" s="3" t="s">
        <v>2471</v>
      </c>
      <c r="B2216" s="4" t="str">
        <f ca="1">IFERROR(__xludf.DUMMYFUNCTION("IFERROR(ARRAYFORMULA(REGEXEXTRACT(A2216,""^(?:https?:\/\/)?(?:[^@\n]+@)?(?:www\.)?([^:\/\n]+)"")),"""")"),"raincitymaids.com")</f>
        <v>raincitymaids.com</v>
      </c>
    </row>
    <row r="2217" spans="1:2" ht="12.5">
      <c r="A2217" s="3" t="s">
        <v>2472</v>
      </c>
      <c r="B2217" s="4" t="str">
        <f ca="1">IFERROR(__xludf.DUMMYFUNCTION("IFERROR(ARRAYFORMULA(REGEXEXTRACT(A2217,""^(?:https?:\/\/)?(?:[^@\n]+@)?(?:www\.)?([^:\/\n]+)"")),"""")"),"mytrustedcontractor.com")</f>
        <v>mytrustedcontractor.com</v>
      </c>
    </row>
    <row r="2218" spans="1:2" ht="12.5">
      <c r="A2218" s="3" t="s">
        <v>2473</v>
      </c>
      <c r="B2218" s="4" t="str">
        <f ca="1">IFERROR(__xludf.DUMMYFUNCTION("IFERROR(ARRAYFORMULA(REGEXEXTRACT(A2218,""^(?:https?:\/\/)?(?:[^@\n]+@)?(?:www\.)?([^:\/\n]+)"")),"""")"),"movingauthority.com")</f>
        <v>movingauthority.com</v>
      </c>
    </row>
    <row r="2219" spans="1:2" ht="12.5">
      <c r="A2219" s="3" t="s">
        <v>2474</v>
      </c>
      <c r="B2219" s="4" t="str">
        <f ca="1">IFERROR(__xludf.DUMMYFUNCTION("IFERROR(ARRAYFORMULA(REGEXEXTRACT(A2219,""^(?:https?:\/\/)?(?:[^@\n]+@)?(?:www\.)?([^:\/\n]+)"")),"""")"),"advantageair.com.au")</f>
        <v>advantageair.com.au</v>
      </c>
    </row>
    <row r="2220" spans="1:2" ht="12.5">
      <c r="A2220" s="3" t="s">
        <v>2475</v>
      </c>
      <c r="B2220" s="4" t="str">
        <f ca="1">IFERROR(__xludf.DUMMYFUNCTION("IFERROR(ARRAYFORMULA(REGEXEXTRACT(A2220,""^(?:https?:\/\/)?(?:[^@\n]+@)?(?:www\.)?([^:\/\n]+)"")),"""")"),"homeguide.com")</f>
        <v>homeguide.com</v>
      </c>
    </row>
    <row r="2221" spans="1:2" ht="12.5">
      <c r="A2221" s="3" t="s">
        <v>2476</v>
      </c>
      <c r="B2221" s="4" t="str">
        <f ca="1">IFERROR(__xludf.DUMMYFUNCTION("IFERROR(ARRAYFORMULA(REGEXEXTRACT(A2221,""^(?:https?:\/\/)?(?:[^@\n]+@)?(?:www\.)?([^:\/\n]+)"")),"""")"),"mcarthurhomes.com")</f>
        <v>mcarthurhomes.com</v>
      </c>
    </row>
    <row r="2222" spans="1:2" ht="12.5">
      <c r="A2222" s="3" t="s">
        <v>2477</v>
      </c>
      <c r="B2222" s="4" t="str">
        <f ca="1">IFERROR(__xludf.DUMMYFUNCTION("IFERROR(ARRAYFORMULA(REGEXEXTRACT(A2222,""^(?:https?:\/\/)?(?:[^@\n]+@)?(?:www\.)?([^:\/\n]+)"")),"""")"),"dotcomblinds.com")</f>
        <v>dotcomblinds.com</v>
      </c>
    </row>
    <row r="2223" spans="1:2" ht="12.5">
      <c r="A2223" s="3" t="s">
        <v>2478</v>
      </c>
      <c r="B2223" s="4" t="str">
        <f ca="1">IFERROR(__xludf.DUMMYFUNCTION("IFERROR(ARRAYFORMULA(REGEXEXTRACT(A2223,""^(?:https?:\/\/)?(?:[^@\n]+@)?(?:www\.)?([^:\/\n]+)"")),"""")"),"barnettelectrical.com")</f>
        <v>barnettelectrical.com</v>
      </c>
    </row>
    <row r="2224" spans="1:2" ht="12.5">
      <c r="A2224" s="3" t="s">
        <v>2479</v>
      </c>
      <c r="B2224" s="4" t="str">
        <f ca="1">IFERROR(__xludf.DUMMYFUNCTION("IFERROR(ARRAYFORMULA(REGEXEXTRACT(A2224,""^(?:https?:\/\/)?(?:[^@\n]+@)?(?:www\.)?([^:\/\n]+)"")),"""")"),"nationalhomeimprovement.com")</f>
        <v>nationalhomeimprovement.com</v>
      </c>
    </row>
    <row r="2225" spans="1:2" ht="12.5">
      <c r="A2225" s="3" t="s">
        <v>2480</v>
      </c>
      <c r="B2225" s="4" t="str">
        <f ca="1">IFERROR(__xludf.DUMMYFUNCTION("IFERROR(ARRAYFORMULA(REGEXEXTRACT(A2225,""^(?:https?:\/\/)?(?:[^@\n]+@)?(?:www\.)?([^:\/\n]+)"")),"""")"),"climateexperts.ca")</f>
        <v>climateexperts.ca</v>
      </c>
    </row>
    <row r="2226" spans="1:2" ht="12.5">
      <c r="A2226" s="3" t="s">
        <v>2481</v>
      </c>
      <c r="B2226" s="4" t="str">
        <f ca="1">IFERROR(__xludf.DUMMYFUNCTION("IFERROR(ARRAYFORMULA(REGEXEXTRACT(A2226,""^(?:https?:\/\/)?(?:[^@\n]+@)?(?:www\.)?([^:\/\n]+)"")),"""")"),"paultheplumbernh.com")</f>
        <v>paultheplumbernh.com</v>
      </c>
    </row>
    <row r="2227" spans="1:2" ht="12.5">
      <c r="A2227" s="3" t="s">
        <v>2482</v>
      </c>
      <c r="B2227" s="4" t="str">
        <f ca="1">IFERROR(__xludf.DUMMYFUNCTION("IFERROR(ARRAYFORMULA(REGEXEXTRACT(A2227,""^(?:https?:\/\/)?(?:[^@\n]+@)?(?:www\.)?([^:\/\n]+)"")),"""")"),"osullivaninstalls.com")</f>
        <v>osullivaninstalls.com</v>
      </c>
    </row>
    <row r="2228" spans="1:2" ht="12.5">
      <c r="A2228" s="3" t="s">
        <v>2483</v>
      </c>
      <c r="B2228" s="4" t="str">
        <f ca="1">IFERROR(__xludf.DUMMYFUNCTION("IFERROR(ARRAYFORMULA(REGEXEXTRACT(A2228,""^(?:https?:\/\/)?(?:[^@\n]+@)?(?:www\.)?([^:\/\n]+)"")),"""")"),"thesuperplumber.com")</f>
        <v>thesuperplumber.com</v>
      </c>
    </row>
    <row r="2229" spans="1:2" ht="12.5">
      <c r="A2229" s="3" t="s">
        <v>2484</v>
      </c>
      <c r="B2229" s="4" t="str">
        <f ca="1">IFERROR(__xludf.DUMMYFUNCTION("IFERROR(ARRAYFORMULA(REGEXEXTRACT(A2229,""^(?:https?:\/\/)?(?:[^@\n]+@)?(?:www\.)?([^:\/\n]+)"")),"""")"),"acplumbing.com.au")</f>
        <v>acplumbing.com.au</v>
      </c>
    </row>
    <row r="2230" spans="1:2" ht="12.5">
      <c r="A2230" s="3" t="s">
        <v>2485</v>
      </c>
      <c r="B2230" s="4" t="str">
        <f ca="1">IFERROR(__xludf.DUMMYFUNCTION("IFERROR(ARRAYFORMULA(REGEXEXTRACT(A2230,""^(?:https?:\/\/)?(?:[^@\n]+@)?(?:www\.)?([^:\/\n]+)"")),"""")"),"pestcontrolexperts.com")</f>
        <v>pestcontrolexperts.com</v>
      </c>
    </row>
    <row r="2231" spans="1:2" ht="12.5">
      <c r="A2231" s="3" t="s">
        <v>2486</v>
      </c>
      <c r="B2231" s="4" t="str">
        <f ca="1">IFERROR(__xludf.DUMMYFUNCTION("IFERROR(ARRAYFORMULA(REGEXEXTRACT(A2231,""^(?:https?:\/\/)?(?:[^@\n]+@)?(?:www\.)?([^:\/\n]+)"")),"""")"),"qualityaffordablepestcontrol.ca")</f>
        <v>qualityaffordablepestcontrol.ca</v>
      </c>
    </row>
    <row r="2232" spans="1:2" ht="12.5">
      <c r="A2232" s="3" t="s">
        <v>2487</v>
      </c>
      <c r="B2232" s="4" t="str">
        <f ca="1">IFERROR(__xludf.DUMMYFUNCTION("IFERROR(ARRAYFORMULA(REGEXEXTRACT(A2232,""^(?:https?:\/\/)?(?:[^@\n]+@)?(?:www\.)?([^:\/\n]+)"")),"""")"),"insectekpest.com")</f>
        <v>insectekpest.com</v>
      </c>
    </row>
    <row r="2233" spans="1:2" ht="12.5">
      <c r="A2233" s="3" t="s">
        <v>2488</v>
      </c>
      <c r="B2233" s="4" t="str">
        <f ca="1">IFERROR(__xludf.DUMMYFUNCTION("IFERROR(ARRAYFORMULA(REGEXEXTRACT(A2233,""^(?:https?:\/\/)?(?:[^@\n]+@)?(?:www\.)?([^:\/\n]+)"")),"""")"),"measuremanage.com.au")</f>
        <v>measuremanage.com.au</v>
      </c>
    </row>
    <row r="2234" spans="1:2" ht="12.5">
      <c r="A2234" s="3" t="s">
        <v>2489</v>
      </c>
      <c r="B2234" s="4" t="str">
        <f ca="1">IFERROR(__xludf.DUMMYFUNCTION("IFERROR(ARRAYFORMULA(REGEXEXTRACT(A2234,""^(?:https?:\/\/)?(?:[^@\n]+@)?(?:www\.)?([^:\/\n]+)"")),"""")"),"acind.com.au")</f>
        <v>acind.com.au</v>
      </c>
    </row>
    <row r="2235" spans="1:2" ht="12.5">
      <c r="A2235" s="3" t="s">
        <v>2490</v>
      </c>
      <c r="B2235" s="4" t="str">
        <f ca="1">IFERROR(__xludf.DUMMYFUNCTION("IFERROR(ARRAYFORMULA(REGEXEXTRACT(A2235,""^(?:https?:\/\/)?(?:[^@\n]+@)?(?:www\.)?([^:\/\n]+)"")),"""")"),"ars.com")</f>
        <v>ars.com</v>
      </c>
    </row>
    <row r="2236" spans="1:2" ht="12.5">
      <c r="A2236" s="3" t="s">
        <v>2491</v>
      </c>
      <c r="B2236" s="4" t="str">
        <f ca="1">IFERROR(__xludf.DUMMYFUNCTION("IFERROR(ARRAYFORMULA(REGEXEXTRACT(A2236,""^(?:https?:\/\/)?(?:[^@\n]+@)?(?:www\.)?([^:\/\n]+)"")),"""")"),"designerdeck.ca")</f>
        <v>designerdeck.ca</v>
      </c>
    </row>
    <row r="2237" spans="1:2" ht="12.5">
      <c r="A2237" s="3" t="s">
        <v>2492</v>
      </c>
      <c r="B2237" s="4" t="str">
        <f ca="1">IFERROR(__xludf.DUMMYFUNCTION("IFERROR(ARRAYFORMULA(REGEXEXTRACT(A2237,""^(?:https?:\/\/)?(?:[^@\n]+@)?(?:www\.)?([^:\/\n]+)"")),"""")"),"creditkarma.com")</f>
        <v>creditkarma.com</v>
      </c>
    </row>
    <row r="2238" spans="1:2" ht="12.5">
      <c r="A2238" s="3" t="s">
        <v>2493</v>
      </c>
      <c r="B2238" s="4" t="str">
        <f ca="1">IFERROR(__xludf.DUMMYFUNCTION("IFERROR(ARRAYFORMULA(REGEXEXTRACT(A2238,""^(?:https?:\/\/)?(?:[^@\n]+@)?(?:www\.)?([^:\/\n]+)"")),"""")"),"connectukauctions.co.uk")</f>
        <v>connectukauctions.co.uk</v>
      </c>
    </row>
    <row r="2239" spans="1:2" ht="12.5">
      <c r="A2239" s="3" t="s">
        <v>2494</v>
      </c>
      <c r="B2239" s="4" t="str">
        <f ca="1">IFERROR(__xludf.DUMMYFUNCTION("IFERROR(ARRAYFORMULA(REGEXEXTRACT(A2239,""^(?:https?:\/\/)?(?:[^@\n]+@)?(?:www\.)?([^:\/\n]+)"")),"""")"),"northlandfence.com")</f>
        <v>northlandfence.com</v>
      </c>
    </row>
    <row r="2240" spans="1:2" ht="12.5">
      <c r="A2240" s="3" t="s">
        <v>2495</v>
      </c>
      <c r="B2240" s="4" t="str">
        <f ca="1">IFERROR(__xludf.DUMMYFUNCTION("IFERROR(ARRAYFORMULA(REGEXEXTRACT(A2240,""^(?:https?:\/\/)?(?:[^@\n]+@)?(?:www\.)?([^:\/\n]+)"")),"""")"),"fencingandlandscapesupplies.co.uk")</f>
        <v>fencingandlandscapesupplies.co.uk</v>
      </c>
    </row>
    <row r="2241" spans="1:2" ht="12.5">
      <c r="A2241" s="3" t="s">
        <v>2496</v>
      </c>
      <c r="B2241" s="4" t="str">
        <f ca="1">IFERROR(__xludf.DUMMYFUNCTION("IFERROR(ARRAYFORMULA(REGEXEXTRACT(A2241,""^(?:https?:\/\/)?(?:[^@\n]+@)?(?:www\.)?([^:\/\n]+)"")),"""")"),"accessdoorcompany.com")</f>
        <v>accessdoorcompany.com</v>
      </c>
    </row>
    <row r="2242" spans="1:2" ht="12.5">
      <c r="A2242" s="3" t="s">
        <v>2497</v>
      </c>
      <c r="B2242" s="4" t="str">
        <f ca="1">IFERROR(__xludf.DUMMYFUNCTION("IFERROR(ARRAYFORMULA(REGEXEXTRACT(A2242,""^(?:https?:\/\/)?(?:[^@\n]+@)?(?:www\.)?([^:\/\n]+)"")),"""")"),"justcreativelight.com")</f>
        <v>justcreativelight.com</v>
      </c>
    </row>
    <row r="2243" spans="1:2" ht="12.5">
      <c r="A2243" s="3" t="s">
        <v>2498</v>
      </c>
      <c r="B2243" s="4" t="str">
        <f ca="1">IFERROR(__xludf.DUMMYFUNCTION("IFERROR(ARRAYFORMULA(REGEXEXTRACT(A2243,""^(?:https?:\/\/)?(?:[^@\n]+@)?(?:www\.)?([^:\/\n]+)"")),"""")"),"insurancehero.org.uk")</f>
        <v>insurancehero.org.uk</v>
      </c>
    </row>
    <row r="2244" spans="1:2" ht="12.5">
      <c r="A2244" s="3" t="s">
        <v>2499</v>
      </c>
      <c r="B2244" s="4" t="str">
        <f ca="1">IFERROR(__xludf.DUMMYFUNCTION("IFERROR(ARRAYFORMULA(REGEXEXTRACT(A2244,""^(?:https?:\/\/)?(?:[^@\n]+@)?(?:www\.)?([^:\/\n]+)"")),"""")"),"linkdhome.com")</f>
        <v>linkdhome.com</v>
      </c>
    </row>
    <row r="2245" spans="1:2" ht="12.5">
      <c r="A2245" s="3" t="s">
        <v>2500</v>
      </c>
      <c r="B2245" s="4" t="str">
        <f ca="1">IFERROR(__xludf.DUMMYFUNCTION("IFERROR(ARRAYFORMULA(REGEXEXTRACT(A2245,""^(?:https?:\/\/)?(?:[^@\n]+@)?(?:www\.)?([^:\/\n]+)"")),"""")"),"mightydogroofing.com")</f>
        <v>mightydogroofing.com</v>
      </c>
    </row>
    <row r="2246" spans="1:2" ht="12.5">
      <c r="A2246" s="3" t="s">
        <v>2501</v>
      </c>
      <c r="B2246" s="4" t="str">
        <f ca="1">IFERROR(__xludf.DUMMYFUNCTION("IFERROR(ARRAYFORMULA(REGEXEXTRACT(A2246,""^(?:https?:\/\/)?(?:[^@\n]+@)?(?:www\.)?([^:\/\n]+)"")),"""")"),"plymold.com")</f>
        <v>plymold.com</v>
      </c>
    </row>
    <row r="2247" spans="1:2" ht="12.5">
      <c r="A2247" s="3" t="s">
        <v>2502</v>
      </c>
      <c r="B2247" s="4" t="str">
        <f ca="1">IFERROR(__xludf.DUMMYFUNCTION("IFERROR(ARRAYFORMULA(REGEXEXTRACT(A2247,""^(?:https?:\/\/)?(?:[^@\n]+@)?(?:www\.)?([^:\/\n]+)"")),"""")"),"insulation4less.com")</f>
        <v>insulation4less.com</v>
      </c>
    </row>
    <row r="2248" spans="1:2" ht="12.5">
      <c r="A2248" s="3" t="s">
        <v>2503</v>
      </c>
      <c r="B2248" s="4" t="str">
        <f ca="1">IFERROR(__xludf.DUMMYFUNCTION("IFERROR(ARRAYFORMULA(REGEXEXTRACT(A2248,""^(?:https?:\/\/)?(?:[^@\n]+@)?(?:www\.)?([^:\/\n]+)"")),"""")"),"mrquikhomeservices.com")</f>
        <v>mrquikhomeservices.com</v>
      </c>
    </row>
    <row r="2249" spans="1:2" ht="12.5">
      <c r="A2249" s="3" t="s">
        <v>2504</v>
      </c>
      <c r="B2249" s="4" t="str">
        <f ca="1">IFERROR(__xludf.DUMMYFUNCTION("IFERROR(ARRAYFORMULA(REGEXEXTRACT(A2249,""^(?:https?:\/\/)?(?:[^@\n]+@)?(?:www\.)?([^:\/\n]+)"")),"""")"),"metropha.com")</f>
        <v>metropha.com</v>
      </c>
    </row>
    <row r="2250" spans="1:2" ht="12.5">
      <c r="A2250" s="3" t="s">
        <v>2505</v>
      </c>
      <c r="B2250" s="4" t="str">
        <f ca="1">IFERROR(__xludf.DUMMYFUNCTION("IFERROR(ARRAYFORMULA(REGEXEXTRACT(A2250,""^(?:https?:\/\/)?(?:[^@\n]+@)?(?:www\.)?([^:\/\n]+)"")),"""")"),"burichvac.com")</f>
        <v>burichvac.com</v>
      </c>
    </row>
    <row r="2251" spans="1:2" ht="12.5">
      <c r="A2251" s="3" t="s">
        <v>2506</v>
      </c>
      <c r="B2251" s="4" t="str">
        <f ca="1">IFERROR(__xludf.DUMMYFUNCTION("IFERROR(ARRAYFORMULA(REGEXEXTRACT(A2251,""^(?:https?:\/\/)?(?:[^@\n]+@)?(?:www\.)?([^:\/\n]+)"")),"""")"),"camheating.com")</f>
        <v>camheating.com</v>
      </c>
    </row>
    <row r="2252" spans="1:2" ht="12.5">
      <c r="A2252" s="3" t="s">
        <v>2507</v>
      </c>
      <c r="B2252" s="4" t="str">
        <f ca="1">IFERROR(__xludf.DUMMYFUNCTION("IFERROR(ARRAYFORMULA(REGEXEXTRACT(A2252,""^(?:https?:\/\/)?(?:[^@\n]+@)?(?:www\.)?([^:\/\n]+)"")),"""")"),"webuyhousesinatlanta.com")</f>
        <v>webuyhousesinatlanta.com</v>
      </c>
    </row>
    <row r="2253" spans="1:2" ht="12.5">
      <c r="A2253" s="3" t="s">
        <v>2508</v>
      </c>
      <c r="B2253" s="4" t="str">
        <f ca="1">IFERROR(__xludf.DUMMYFUNCTION("IFERROR(ARRAYFORMULA(REGEXEXTRACT(A2253,""^(?:https?:\/\/)?(?:[^@\n]+@)?(?:www\.)?([^:\/\n]+)"")),"""")"),"kerb.com")</f>
        <v>kerb.com</v>
      </c>
    </row>
    <row r="2254" spans="1:2" ht="12.5">
      <c r="A2254" s="3" t="s">
        <v>2509</v>
      </c>
      <c r="B2254" s="4" t="str">
        <f ca="1">IFERROR(__xludf.DUMMYFUNCTION("IFERROR(ARRAYFORMULA(REGEXEXTRACT(A2254,""^(?:https?:\/\/)?(?:[^@\n]+@)?(?:www\.)?([^:\/\n]+)"")),"""")"),"larsremodel.com")</f>
        <v>larsremodel.com</v>
      </c>
    </row>
    <row r="2255" spans="1:2" ht="12.5">
      <c r="A2255" s="3" t="s">
        <v>2510</v>
      </c>
      <c r="B2255" s="4" t="str">
        <f ca="1">IFERROR(__xludf.DUMMYFUNCTION("IFERROR(ARRAYFORMULA(REGEXEXTRACT(A2255,""^(?:https?:\/\/)?(?:[^@\n]+@)?(?:www\.)?([^:\/\n]+)"")),"""")"),"dadzelectrical.com")</f>
        <v>dadzelectrical.com</v>
      </c>
    </row>
    <row r="2256" spans="1:2" ht="12.5">
      <c r="A2256" s="3" t="s">
        <v>2511</v>
      </c>
      <c r="B2256" s="4" t="str">
        <f ca="1">IFERROR(__xludf.DUMMYFUNCTION("IFERROR(ARRAYFORMULA(REGEXEXTRACT(A2256,""^(?:https?:\/\/)?(?:[^@\n]+@)?(?:www\.)?([^:\/\n]+)"")),"""")"),"brownboysroofing.com")</f>
        <v>brownboysroofing.com</v>
      </c>
    </row>
    <row r="2257" spans="1:2" ht="12.5">
      <c r="A2257" s="3" t="s">
        <v>2512</v>
      </c>
      <c r="B2257" s="4" t="str">
        <f ca="1">IFERROR(__xludf.DUMMYFUNCTION("IFERROR(ARRAYFORMULA(REGEXEXTRACT(A2257,""^(?:https?:\/\/)?(?:[^@\n]+@)?(?:www\.)?([^:\/\n]+)"")),"""")"),"amburneyexteriors.com")</f>
        <v>amburneyexteriors.com</v>
      </c>
    </row>
    <row r="2258" spans="1:2" ht="12.5">
      <c r="A2258" s="3" t="s">
        <v>2513</v>
      </c>
      <c r="B2258" s="4" t="str">
        <f ca="1">IFERROR(__xludf.DUMMYFUNCTION("IFERROR(ARRAYFORMULA(REGEXEXTRACT(A2258,""^(?:https?:\/\/)?(?:[^@\n]+@)?(?:www\.)?([^:\/\n]+)"")),"""")"),"gen819.com")</f>
        <v>gen819.com</v>
      </c>
    </row>
    <row r="2259" spans="1:2" ht="12.5">
      <c r="A2259" s="3" t="s">
        <v>2514</v>
      </c>
      <c r="B2259" s="4" t="str">
        <f ca="1">IFERROR(__xludf.DUMMYFUNCTION("IFERROR(ARRAYFORMULA(REGEXEXTRACT(A2259,""^(?:https?:\/\/)?(?:[^@\n]+@)?(?:www\.)?([^:\/\n]+)"")),"""")"),"atoz-construction.com")</f>
        <v>atoz-construction.com</v>
      </c>
    </row>
    <row r="2260" spans="1:2" ht="12.5">
      <c r="A2260" s="3" t="s">
        <v>2515</v>
      </c>
      <c r="B2260" s="4" t="str">
        <f ca="1">IFERROR(__xludf.DUMMYFUNCTION("IFERROR(ARRAYFORMULA(REGEXEXTRACT(A2260,""^(?:https?:\/\/)?(?:[^@\n]+@)?(?:www\.)?([^:\/\n]+)"")),"""")"),"thebossmagazine.com")</f>
        <v>thebossmagazine.com</v>
      </c>
    </row>
    <row r="2261" spans="1:2" ht="12.5">
      <c r="A2261" s="3" t="s">
        <v>2516</v>
      </c>
      <c r="B2261" s="4" t="str">
        <f ca="1">IFERROR(__xludf.DUMMYFUNCTION("IFERROR(ARRAYFORMULA(REGEXEXTRACT(A2261,""^(?:https?:\/\/)?(?:[^@\n]+@)?(?:www\.)?([^:\/\n]+)"")),"""")"),"flashpackingfamily.com")</f>
        <v>flashpackingfamily.com</v>
      </c>
    </row>
    <row r="2262" spans="1:2" ht="12.5">
      <c r="A2262" s="3" t="s">
        <v>2517</v>
      </c>
      <c r="B2262" s="4" t="str">
        <f ca="1">IFERROR(__xludf.DUMMYFUNCTION("IFERROR(ARRAYFORMULA(REGEXEXTRACT(A2262,""^(?:https?:\/\/)?(?:[^@\n]+@)?(?:www\.)?([^:\/\n]+)"")),"""")"),"morrisjenkins.com")</f>
        <v>morrisjenkins.com</v>
      </c>
    </row>
    <row r="2263" spans="1:2" ht="12.5">
      <c r="A2263" s="3" t="s">
        <v>2518</v>
      </c>
      <c r="B2263" s="4" t="str">
        <f ca="1">IFERROR(__xludf.DUMMYFUNCTION("IFERROR(ARRAYFORMULA(REGEXEXTRACT(A2263,""^(?:https?:\/\/)?(?:[^@\n]+@)?(?:www\.)?([^:\/\n]+)"")),"""")"),"learnmetrics.com")</f>
        <v>learnmetrics.com</v>
      </c>
    </row>
    <row r="2264" spans="1:2" ht="12.5">
      <c r="A2264" s="3" t="s">
        <v>2519</v>
      </c>
      <c r="B2264" s="4" t="str">
        <f ca="1">IFERROR(__xludf.DUMMYFUNCTION("IFERROR(ARRAYFORMULA(REGEXEXTRACT(A2264,""^(?:https?:\/\/)?(?:[^@\n]+@)?(?:www\.)?([^:\/\n]+)"")),"""")"),"homebuilding.co.uk")</f>
        <v>homebuilding.co.uk</v>
      </c>
    </row>
    <row r="2265" spans="1:2" ht="12.5">
      <c r="A2265" s="3" t="s">
        <v>2520</v>
      </c>
      <c r="B2265" s="4" t="str">
        <f ca="1">IFERROR(__xludf.DUMMYFUNCTION("IFERROR(ARRAYFORMULA(REGEXEXTRACT(A2265,""^(?:https?:\/\/)?(?:[^@\n]+@)?(?:www\.)?([^:\/\n]+)"")),"""")"),"brendacoulter.ca")</f>
        <v>brendacoulter.ca</v>
      </c>
    </row>
    <row r="2266" spans="1:2" ht="12.5">
      <c r="A2266" s="3" t="s">
        <v>2521</v>
      </c>
      <c r="B2266" s="4" t="str">
        <f ca="1">IFERROR(__xludf.DUMMYFUNCTION("IFERROR(ARRAYFORMULA(REGEXEXTRACT(A2266,""^(?:https?:\/\/)?(?:[^@\n]+@)?(?:www\.)?([^:\/\n]+)"")),"""")"),"vacaway.com")</f>
        <v>vacaway.com</v>
      </c>
    </row>
    <row r="2267" spans="1:2" ht="12.5">
      <c r="A2267" s="3" t="s">
        <v>2522</v>
      </c>
      <c r="B2267" s="4" t="str">
        <f ca="1">IFERROR(__xludf.DUMMYFUNCTION("IFERROR(ARRAYFORMULA(REGEXEXTRACT(A2267,""^(?:https?:\/\/)?(?:[^@\n]+@)?(?:www\.)?([^:\/\n]+)"")),"""")"),"ewingelectricco.com")</f>
        <v>ewingelectricco.com</v>
      </c>
    </row>
    <row r="2268" spans="1:2" ht="12.5">
      <c r="A2268" s="3" t="s">
        <v>2523</v>
      </c>
      <c r="B2268" s="4" t="str">
        <f ca="1">IFERROR(__xludf.DUMMYFUNCTION("IFERROR(ARRAYFORMULA(REGEXEXTRACT(A2268,""^(?:https?:\/\/)?(?:[^@\n]+@)?(?:www\.)?([^:\/\n]+)"")),"""")"),"clearmaxwindows.com")</f>
        <v>clearmaxwindows.com</v>
      </c>
    </row>
    <row r="2269" spans="1:2" ht="12.5">
      <c r="A2269" s="3" t="s">
        <v>2524</v>
      </c>
      <c r="B2269" s="4" t="str">
        <f ca="1">IFERROR(__xludf.DUMMYFUNCTION("IFERROR(ARRAYFORMULA(REGEXEXTRACT(A2269,""^(?:https?:\/\/)?(?:[^@\n]+@)?(?:www\.)?([^:\/\n]+)"")),"""")"),"mintkitchengroup.com.au")</f>
        <v>mintkitchengroup.com.au</v>
      </c>
    </row>
    <row r="2270" spans="1:2" ht="12.5">
      <c r="A2270" s="3" t="s">
        <v>2525</v>
      </c>
      <c r="B2270" s="4" t="str">
        <f ca="1">IFERROR(__xludf.DUMMYFUNCTION("IFERROR(ARRAYFORMULA(REGEXEXTRACT(A2270,""^(?:https?:\/\/)?(?:[^@\n]+@)?(?:www\.)?([^:\/\n]+)"")),"""")"),"callhydraclean.com")</f>
        <v>callhydraclean.com</v>
      </c>
    </row>
    <row r="2271" spans="1:2" ht="12.5">
      <c r="A2271" s="3" t="s">
        <v>2526</v>
      </c>
      <c r="B2271" s="4" t="str">
        <f ca="1">IFERROR(__xludf.DUMMYFUNCTION("IFERROR(ARRAYFORMULA(REGEXEXTRACT(A2271,""^(?:https?:\/\/)?(?:[^@\n]+@)?(?:www\.)?([^:\/\n]+)"")),"""")"),"jamesriverpestsolutions.com")</f>
        <v>jamesriverpestsolutions.com</v>
      </c>
    </row>
    <row r="2272" spans="1:2" ht="12.5">
      <c r="A2272" s="3" t="s">
        <v>2527</v>
      </c>
      <c r="B2272" s="4" t="str">
        <f ca="1">IFERROR(__xludf.DUMMYFUNCTION("IFERROR(ARRAYFORMULA(REGEXEXTRACT(A2272,""^(?:https?:\/\/)?(?:[^@\n]+@)?(?:www\.)?([^:\/\n]+)"")),"""")"),"purcorpest.com")</f>
        <v>purcorpest.com</v>
      </c>
    </row>
    <row r="2273" spans="1:2" ht="12.5">
      <c r="A2273" s="3" t="s">
        <v>2528</v>
      </c>
      <c r="B2273" s="4" t="str">
        <f ca="1">IFERROR(__xludf.DUMMYFUNCTION("IFERROR(ARRAYFORMULA(REGEXEXTRACT(A2273,""^(?:https?:\/\/)?(?:[^@\n]+@)?(?:www\.)?([^:\/\n]+)"")),"""")"),"boilercentral.com")</f>
        <v>boilercentral.com</v>
      </c>
    </row>
    <row r="2274" spans="1:2" ht="12.5">
      <c r="A2274" s="3" t="s">
        <v>2529</v>
      </c>
      <c r="B2274" s="4" t="str">
        <f ca="1">IFERROR(__xludf.DUMMYFUNCTION("IFERROR(ARRAYFORMULA(REGEXEXTRACT(A2274,""^(?:https?:\/\/)?(?:[^@\n]+@)?(?:www\.)?([^:\/\n]+)"")),"""")"),"updowndesk.com.au")</f>
        <v>updowndesk.com.au</v>
      </c>
    </row>
    <row r="2275" spans="1:2" ht="12.5">
      <c r="A2275" s="3" t="s">
        <v>2530</v>
      </c>
      <c r="B2275" s="4" t="str">
        <f ca="1">IFERROR(__xludf.DUMMYFUNCTION("IFERROR(ARRAYFORMULA(REGEXEXTRACT(A2275,""^(?:https?:\/\/)?(?:[^@\n]+@)?(?:www\.)?([^:\/\n]+)"")),"""")"),"summersphc.com")</f>
        <v>summersphc.com</v>
      </c>
    </row>
    <row r="2276" spans="1:2" ht="12.5">
      <c r="A2276" s="3" t="s">
        <v>2531</v>
      </c>
      <c r="B2276" s="4" t="str">
        <f ca="1">IFERROR(__xludf.DUMMYFUNCTION("IFERROR(ARRAYFORMULA(REGEXEXTRACT(A2276,""^(?:https?:\/\/)?(?:[^@\n]+@)?(?:www\.)?([^:\/\n]+)"")),"""")"),"pureairllc.com")</f>
        <v>pureairllc.com</v>
      </c>
    </row>
    <row r="2277" spans="1:2" ht="12.5">
      <c r="A2277" s="3" t="s">
        <v>2532</v>
      </c>
      <c r="B2277" s="4" t="str">
        <f ca="1">IFERROR(__xludf.DUMMYFUNCTION("IFERROR(ARRAYFORMULA(REGEXEXTRACT(A2277,""^(?:https?:\/\/)?(?:[^@\n]+@)?(?:www\.)?([^:\/\n]+)"")),"""")"),"areasheetmetal.com")</f>
        <v>areasheetmetal.com</v>
      </c>
    </row>
    <row r="2278" spans="1:2" ht="12.5">
      <c r="A2278" s="3" t="s">
        <v>2533</v>
      </c>
      <c r="B2278" s="4" t="str">
        <f ca="1">IFERROR(__xludf.DUMMYFUNCTION("IFERROR(ARRAYFORMULA(REGEXEXTRACT(A2278,""^(?:https?:\/\/)?(?:[^@\n]+@)?(?:www\.)?([^:\/\n]+)"")),"""")"),"protegrityrestoration.com")</f>
        <v>protegrityrestoration.com</v>
      </c>
    </row>
    <row r="2279" spans="1:2" ht="12.5">
      <c r="A2279" s="3" t="s">
        <v>2534</v>
      </c>
      <c r="B2279" s="4" t="str">
        <f ca="1">IFERROR(__xludf.DUMMYFUNCTION("IFERROR(ARRAYFORMULA(REGEXEXTRACT(A2279,""^(?:https?:\/\/)?(?:[^@\n]+@)?(?:www\.)?([^:\/\n]+)"")),"""")"),"premierpoolsandspas.com")</f>
        <v>premierpoolsandspas.com</v>
      </c>
    </row>
    <row r="2280" spans="1:2" ht="12.5">
      <c r="A2280" s="3" t="s">
        <v>2535</v>
      </c>
      <c r="B2280" s="4" t="str">
        <f ca="1">IFERROR(__xludf.DUMMYFUNCTION("IFERROR(ARRAYFORMULA(REGEXEXTRACT(A2280,""^(?:https?:\/\/)?(?:[^@\n]+@)?(?:www\.)?([^:\/\n]+)"")),"""")"),"neutypechic.com")</f>
        <v>neutypechic.com</v>
      </c>
    </row>
    <row r="2281" spans="1:2" ht="12.5">
      <c r="A2281" s="3" t="s">
        <v>2536</v>
      </c>
      <c r="B2281" s="4" t="str">
        <f ca="1">IFERROR(__xludf.DUMMYFUNCTION("IFERROR(ARRAYFORMULA(REGEXEXTRACT(A2281,""^(?:https?:\/\/)?(?:[^@\n]+@)?(?:www\.)?([^:\/\n]+)"")),"""")"),"hdrgarage.com")</f>
        <v>hdrgarage.com</v>
      </c>
    </row>
    <row r="2282" spans="1:2" ht="12.5">
      <c r="A2282" s="3" t="s">
        <v>2537</v>
      </c>
      <c r="B2282" s="4" t="str">
        <f ca="1">IFERROR(__xludf.DUMMYFUNCTION("IFERROR(ARRAYFORMULA(REGEXEXTRACT(A2282,""^(?:https?:\/\/)?(?:[^@\n]+@)?(?:www\.)?([^:\/\n]+)"")),"""")"),"thesmartergarage.com")</f>
        <v>thesmartergarage.com</v>
      </c>
    </row>
    <row r="2283" spans="1:2" ht="12.5">
      <c r="A2283" s="3" t="s">
        <v>2538</v>
      </c>
      <c r="B2283" s="4" t="str">
        <f ca="1">IFERROR(__xludf.DUMMYFUNCTION("IFERROR(ARRAYFORMULA(REGEXEXTRACT(A2283,""^(?:https?:\/\/)?(?:[^@\n]+@)?(?:www\.)?([^:\/\n]+)"")),"""")"),"adpgaragedoors.com")</f>
        <v>adpgaragedoors.com</v>
      </c>
    </row>
    <row r="2284" spans="1:2" ht="12.5">
      <c r="A2284" s="3" t="s">
        <v>2539</v>
      </c>
      <c r="B2284" s="4" t="str">
        <f ca="1">IFERROR(__xludf.DUMMYFUNCTION("IFERROR(ARRAYFORMULA(REGEXEXTRACT(A2284,""^(?:https?:\/\/)?(?:[^@\n]+@)?(?:www\.)?([^:\/\n]+)"")),"""")"),"superiorstoneandcabinet.com")</f>
        <v>superiorstoneandcabinet.com</v>
      </c>
    </row>
    <row r="2285" spans="1:2" ht="12.5">
      <c r="A2285" s="3" t="s">
        <v>2540</v>
      </c>
      <c r="B2285" s="4" t="str">
        <f ca="1">IFERROR(__xludf.DUMMYFUNCTION("IFERROR(ARRAYFORMULA(REGEXEXTRACT(A2285,""^(?:https?:\/\/)?(?:[^@\n]+@)?(?:www\.)?([^:\/\n]+)"")),"""")"),"lovech.ca")</f>
        <v>lovech.ca</v>
      </c>
    </row>
    <row r="2286" spans="1:2" ht="12.5">
      <c r="A2286" s="3" t="s">
        <v>2541</v>
      </c>
      <c r="B2286" s="4" t="str">
        <f ca="1">IFERROR(__xludf.DUMMYFUNCTION("IFERROR(ARRAYFORMULA(REGEXEXTRACT(A2286,""^(?:https?:\/\/)?(?:[^@\n]+@)?(?:www\.)?([^:\/\n]+)"")),"""")"),"garmanbuilders.com")</f>
        <v>garmanbuilders.com</v>
      </c>
    </row>
    <row r="2287" spans="1:2" ht="12.5">
      <c r="A2287" s="3" t="s">
        <v>2542</v>
      </c>
      <c r="B2287" s="4" t="str">
        <f ca="1">IFERROR(__xludf.DUMMYFUNCTION("IFERROR(ARRAYFORMULA(REGEXEXTRACT(A2287,""^(?:https?:\/\/)?(?:[^@\n]+@)?(?:www\.)?([^:\/\n]+)"")),"""")"),"watertight-homes.co.uk")</f>
        <v>watertight-homes.co.uk</v>
      </c>
    </row>
    <row r="2288" spans="1:2" ht="12.5">
      <c r="A2288" s="3" t="s">
        <v>2543</v>
      </c>
      <c r="B2288" s="4" t="str">
        <f ca="1">IFERROR(__xludf.DUMMYFUNCTION("IFERROR(ARRAYFORMULA(REGEXEXTRACT(A2288,""^(?:https?:\/\/)?(?:[^@\n]+@)?(?:www\.)?([^:\/\n]+)"")),"""")"),"bhg.com")</f>
        <v>bhg.com</v>
      </c>
    </row>
    <row r="2289" spans="1:2" ht="12.5">
      <c r="A2289" s="3" t="s">
        <v>2544</v>
      </c>
      <c r="B2289" s="4" t="str">
        <f ca="1">IFERROR(__xludf.DUMMYFUNCTION("IFERROR(ARRAYFORMULA(REGEXEXTRACT(A2289,""^(?:https?:\/\/)?(?:[^@\n]+@)?(?:www\.)?([^:\/\n]+)"")),"""")"),"prohousekeepers.com")</f>
        <v>prohousekeepers.com</v>
      </c>
    </row>
    <row r="2290" spans="1:2" ht="12.5">
      <c r="A2290" s="3" t="s">
        <v>2545</v>
      </c>
      <c r="B2290" s="4" t="str">
        <f ca="1">IFERROR(__xludf.DUMMYFUNCTION("IFERROR(ARRAYFORMULA(REGEXEXTRACT(A2290,""^(?:https?:\/\/)?(?:[^@\n]+@)?(?:www\.)?([^:\/\n]+)"")),"""")"),"momentumjanitorial.com")</f>
        <v>momentumjanitorial.com</v>
      </c>
    </row>
    <row r="2291" spans="1:2" ht="12.5">
      <c r="A2291" s="3" t="s">
        <v>2546</v>
      </c>
      <c r="B2291" s="4" t="str">
        <f ca="1">IFERROR(__xludf.DUMMYFUNCTION("IFERROR(ARRAYFORMULA(REGEXEXTRACT(A2291,""^(?:https?:\/\/)?(?:[^@\n]+@)?(?:www\.)?([^:\/\n]+)"")),"""")"),"finlaybrewer.co.uk")</f>
        <v>finlaybrewer.co.uk</v>
      </c>
    </row>
    <row r="2292" spans="1:2" ht="12.5">
      <c r="A2292" s="3" t="s">
        <v>2547</v>
      </c>
      <c r="B2292" s="4" t="str">
        <f ca="1">IFERROR(__xludf.DUMMYFUNCTION("IFERROR(ARRAYFORMULA(REGEXEXTRACT(A2292,""^(?:https?:\/\/)?(?:[^@\n]+@)?(?:www\.)?([^:\/\n]+)"")),"""")"),"rihomestore.com")</f>
        <v>rihomestore.com</v>
      </c>
    </row>
    <row r="2293" spans="1:2" ht="12.5">
      <c r="A2293" s="3" t="s">
        <v>2548</v>
      </c>
      <c r="B2293" s="4" t="str">
        <f ca="1">IFERROR(__xludf.DUMMYFUNCTION("IFERROR(ARRAYFORMULA(REGEXEXTRACT(A2293,""^(?:https?:\/\/)?(?:[^@\n]+@)?(?:www\.)?([^:\/\n]+)"")),"""")"),"kennarealestate.com")</f>
        <v>kennarealestate.com</v>
      </c>
    </row>
    <row r="2294" spans="1:2" ht="12.5">
      <c r="A2294" s="3" t="s">
        <v>2549</v>
      </c>
      <c r="B2294" s="4" t="str">
        <f ca="1">IFERROR(__xludf.DUMMYFUNCTION("IFERROR(ARRAYFORMULA(REGEXEXTRACT(A2294,""^(?:https?:\/\/)?(?:[^@\n]+@)?(?:www\.)?([^:\/\n]+)"")),"""")"),"nlscleaning.net")</f>
        <v>nlscleaning.net</v>
      </c>
    </row>
    <row r="2295" spans="1:2" ht="12.5">
      <c r="A2295" s="3" t="s">
        <v>2550</v>
      </c>
      <c r="B2295" s="4" t="str">
        <f ca="1">IFERROR(__xludf.DUMMYFUNCTION("IFERROR(ARRAYFORMULA(REGEXEXTRACT(A2295,""^(?:https?:\/\/)?(?:[^@\n]+@)?(?:www\.)?([^:\/\n]+)"")),"""")"),"resindriveways.co.uk")</f>
        <v>resindriveways.co.uk</v>
      </c>
    </row>
    <row r="2296" spans="1:2" ht="12.5">
      <c r="A2296" s="3" t="s">
        <v>2551</v>
      </c>
      <c r="B2296" s="4" t="str">
        <f ca="1">IFERROR(__xludf.DUMMYFUNCTION("IFERROR(ARRAYFORMULA(REGEXEXTRACT(A2296,""^(?:https?:\/\/)?(?:[^@\n]+@)?(?:www\.)?([^:\/\n]+)"")),"""")"),"richfieldblacktop.com")</f>
        <v>richfieldblacktop.com</v>
      </c>
    </row>
    <row r="2297" spans="1:2" ht="12.5">
      <c r="A2297" s="3" t="s">
        <v>2552</v>
      </c>
      <c r="B2297" s="4" t="str">
        <f ca="1">IFERROR(__xludf.DUMMYFUNCTION("IFERROR(ARRAYFORMULA(REGEXEXTRACT(A2297,""^(?:https?:\/\/)?(?:[^@\n]+@)?(?:www\.)?([^:\/\n]+)"")),"""")"),"helitechonline.com")</f>
        <v>helitechonline.com</v>
      </c>
    </row>
    <row r="2298" spans="1:2" ht="12.5">
      <c r="A2298" s="3" t="s">
        <v>2553</v>
      </c>
      <c r="B2298" s="4" t="str">
        <f ca="1">IFERROR(__xludf.DUMMYFUNCTION("IFERROR(ARRAYFORMULA(REGEXEXTRACT(A2298,""^(?:https?:\/\/)?(?:[^@\n]+@)?(?:www\.)?([^:\/\n]+)"")),"""")"),"1800waterdamage.com")</f>
        <v>1800waterdamage.com</v>
      </c>
    </row>
    <row r="2299" spans="1:2" ht="12.5">
      <c r="A2299" s="3" t="s">
        <v>2554</v>
      </c>
      <c r="B2299" s="4" t="str">
        <f ca="1">IFERROR(__xludf.DUMMYFUNCTION("IFERROR(ARRAYFORMULA(REGEXEXTRACT(A2299,""^(?:https?:\/\/)?(?:[^@\n]+@)?(?:www\.)?([^:\/\n]+)"")),"""")"),"foothillsanitary.com")</f>
        <v>foothillsanitary.com</v>
      </c>
    </row>
    <row r="2300" spans="1:2" ht="12.5">
      <c r="A2300" s="3" t="s">
        <v>2555</v>
      </c>
      <c r="B2300" s="4" t="str">
        <f ca="1">IFERROR(__xludf.DUMMYFUNCTION("IFERROR(ARRAYFORMULA(REGEXEXTRACT(A2300,""^(?:https?:\/\/)?(?:[^@\n]+@)?(?:www\.)?([^:\/\n]+)"")),"""")"),"us.sundaysupply.co")</f>
        <v>us.sundaysupply.co</v>
      </c>
    </row>
    <row r="2301" spans="1:2" ht="12.5">
      <c r="A2301" s="3" t="s">
        <v>2556</v>
      </c>
      <c r="B2301" s="4" t="str">
        <f ca="1">IFERROR(__xludf.DUMMYFUNCTION("IFERROR(ARRAYFORMULA(REGEXEXTRACT(A2301,""^(?:https?:\/\/)?(?:[^@\n]+@)?(?:www\.)?([^:\/\n]+)"")),"""")"),"thousandpoundbend.com.au")</f>
        <v>thousandpoundbend.com.au</v>
      </c>
    </row>
    <row r="2302" spans="1:2" ht="12.5">
      <c r="A2302" s="3" t="s">
        <v>2557</v>
      </c>
      <c r="B2302" s="4" t="str">
        <f ca="1">IFERROR(__xludf.DUMMYFUNCTION("IFERROR(ARRAYFORMULA(REGEXEXTRACT(A2302,""^(?:https?:\/\/)?(?:[^@\n]+@)?(?:www\.)?([^:\/\n]+)"")),"""")"),"tanlertermite.com")</f>
        <v>tanlertermite.com</v>
      </c>
    </row>
    <row r="2303" spans="1:2" ht="12.5">
      <c r="A2303" s="3" t="s">
        <v>2558</v>
      </c>
      <c r="B2303" s="4" t="str">
        <f ca="1">IFERROR(__xludf.DUMMYFUNCTION("IFERROR(ARRAYFORMULA(REGEXEXTRACT(A2303,""^(?:https?:\/\/)?(?:[^@\n]+@)?(?:www\.)?([^:\/\n]+)"")),"""")"),"critterstop.com")</f>
        <v>critterstop.com</v>
      </c>
    </row>
    <row r="2304" spans="1:2" ht="12.5">
      <c r="A2304" s="3" t="s">
        <v>2559</v>
      </c>
      <c r="B2304" s="4" t="str">
        <f ca="1">IFERROR(__xludf.DUMMYFUNCTION("IFERROR(ARRAYFORMULA(REGEXEXTRACT(A2304,""^(?:https?:\/\/)?(?:[^@\n]+@)?(?:www\.)?([^:\/\n]+)"")),"""")"),"plumbersinsyracuseny.com")</f>
        <v>plumbersinsyracuseny.com</v>
      </c>
    </row>
    <row r="2305" spans="1:2" ht="12.5">
      <c r="A2305" s="3" t="s">
        <v>2560</v>
      </c>
      <c r="B2305" s="4" t="str">
        <f ca="1">IFERROR(__xludf.DUMMYFUNCTION("IFERROR(ARRAYFORMULA(REGEXEXTRACT(A2305,""^(?:https?:\/\/)?(?:[^@\n]+@)?(?:www\.)?([^:\/\n]+)"")),"""")"),"trustdale.com")</f>
        <v>trustdale.com</v>
      </c>
    </row>
    <row r="2306" spans="1:2" ht="12.5">
      <c r="A2306" s="3" t="s">
        <v>2561</v>
      </c>
      <c r="B2306" s="4" t="str">
        <f ca="1">IFERROR(__xludf.DUMMYFUNCTION("IFERROR(ARRAYFORMULA(REGEXEXTRACT(A2306,""^(?:https?:\/\/)?(?:[^@\n]+@)?(?:www\.)?([^:\/\n]+)"")),"""")"),"technal.com")</f>
        <v>technal.com</v>
      </c>
    </row>
    <row r="2307" spans="1:2" ht="12.5">
      <c r="A2307" s="3" t="s">
        <v>2562</v>
      </c>
      <c r="B2307" s="4" t="str">
        <f ca="1">IFERROR(__xludf.DUMMYFUNCTION("IFERROR(ARRAYFORMULA(REGEXEXTRACT(A2307,""^(?:https?:\/\/)?(?:[^@\n]+@)?(?:www\.)?([^:\/\n]+)"")),"""")"),"doornmore.com")</f>
        <v>doornmore.com</v>
      </c>
    </row>
    <row r="2308" spans="1:2" ht="12.5">
      <c r="A2308" s="3" t="s">
        <v>2563</v>
      </c>
      <c r="B2308" s="4" t="str">
        <f ca="1">IFERROR(__xludf.DUMMYFUNCTION("IFERROR(ARRAYFORMULA(REGEXEXTRACT(A2308,""^(?:https?:\/\/)?(?:[^@\n]+@)?(?:www\.)?([^:\/\n]+)"")),"""")"),"missljbeauty.com")</f>
        <v>missljbeauty.com</v>
      </c>
    </row>
    <row r="2309" spans="1:2" ht="12.5">
      <c r="A2309" s="3" t="s">
        <v>2564</v>
      </c>
      <c r="B2309" s="4" t="str">
        <f ca="1">IFERROR(__xludf.DUMMYFUNCTION("IFERROR(ARRAYFORMULA(REGEXEXTRACT(A2309,""^(?:https?:\/\/)?(?:[^@\n]+@)?(?:www\.)?([^:\/\n]+)"")),"""")"),"moneysavingexpert.com")</f>
        <v>moneysavingexpert.com</v>
      </c>
    </row>
    <row r="2310" spans="1:2" ht="12.5">
      <c r="A2310" s="3" t="s">
        <v>2565</v>
      </c>
      <c r="B2310" s="4" t="str">
        <f ca="1">IFERROR(__xludf.DUMMYFUNCTION("IFERROR(ARRAYFORMULA(REGEXEXTRACT(A2310,""^(?:https?:\/\/)?(?:[^@\n]+@)?(?:www\.)?([^:\/\n]+)"")),"""")"),"sohohome.com")</f>
        <v>sohohome.com</v>
      </c>
    </row>
    <row r="2311" spans="1:2" ht="12.5">
      <c r="A2311" s="3" t="s">
        <v>2566</v>
      </c>
      <c r="B2311" s="4" t="str">
        <f ca="1">IFERROR(__xludf.DUMMYFUNCTION("IFERROR(ARRAYFORMULA(REGEXEXTRACT(A2311,""^(?:https?:\/\/)?(?:[^@\n]+@)?(?:www\.)?([^:\/\n]+)"")),"""")"),"allisajacobs.com")</f>
        <v>allisajacobs.com</v>
      </c>
    </row>
    <row r="2312" spans="1:2" ht="12.5">
      <c r="A2312" s="3" t="s">
        <v>2567</v>
      </c>
      <c r="B2312" s="4" t="str">
        <f ca="1">IFERROR(__xludf.DUMMYFUNCTION("IFERROR(ARRAYFORMULA(REGEXEXTRACT(A2312,""^(?:https?:\/\/)?(?:[^@\n]+@)?(?:www\.)?([^:\/\n]+)"")),"""")"),"10kconstruction.com")</f>
        <v>10kconstruction.com</v>
      </c>
    </row>
    <row r="2313" spans="1:2" ht="12.5">
      <c r="A2313" s="3" t="s">
        <v>2568</v>
      </c>
      <c r="B2313" s="4" t="str">
        <f ca="1">IFERROR(__xludf.DUMMYFUNCTION("IFERROR(ARRAYFORMULA(REGEXEXTRACT(A2313,""^(?:https?:\/\/)?(?:[^@\n]+@)?(?:www\.)?([^:\/\n]+)"")),"""")"),"greatwayroofing.com")</f>
        <v>greatwayroofing.com</v>
      </c>
    </row>
    <row r="2314" spans="1:2" ht="12.5">
      <c r="A2314" s="3" t="s">
        <v>2569</v>
      </c>
      <c r="B2314" s="4" t="str">
        <f ca="1">IFERROR(__xludf.DUMMYFUNCTION("IFERROR(ARRAYFORMULA(REGEXEXTRACT(A2314,""^(?:https?:\/\/)?(?:[^@\n]+@)?(?:www\.)?([^:\/\n]+)"")),"""")"),"idahowood.com")</f>
        <v>idahowood.com</v>
      </c>
    </row>
    <row r="2315" spans="1:2" ht="12.5">
      <c r="A2315" s="3" t="s">
        <v>2570</v>
      </c>
      <c r="B2315" s="4" t="str">
        <f ca="1">IFERROR(__xludf.DUMMYFUNCTION("IFERROR(ARRAYFORMULA(REGEXEXTRACT(A2315,""^(?:https?:\/\/)?(?:[^@\n]+@)?(?:www\.)?([^:\/\n]+)"")),"""")"),"philips-hue.com")</f>
        <v>philips-hue.com</v>
      </c>
    </row>
    <row r="2316" spans="1:2" ht="12.5">
      <c r="A2316" s="3" t="s">
        <v>2571</v>
      </c>
      <c r="B2316" s="4" t="str">
        <f ca="1">IFERROR(__xludf.DUMMYFUNCTION("IFERROR(ARRAYFORMULA(REGEXEXTRACT(A2316,""^(?:https?:\/\/)?(?:[^@\n]+@)?(?:www\.)?([^:\/\n]+)"")),"""")"),"illumination.co.uk")</f>
        <v>illumination.co.uk</v>
      </c>
    </row>
    <row r="2317" spans="1:2" ht="12.5">
      <c r="A2317" s="3" t="s">
        <v>2572</v>
      </c>
      <c r="B2317" s="4" t="str">
        <f ca="1">IFERROR(__xludf.DUMMYFUNCTION("IFERROR(ARRAYFORMULA(REGEXEXTRACT(A2317,""^(?:https?:\/\/)?(?:[^@\n]+@)?(?:www\.)?([^:\/\n]+)"")),"""")"),"jm.com")</f>
        <v>jm.com</v>
      </c>
    </row>
    <row r="2318" spans="1:2" ht="12.5">
      <c r="A2318" s="3" t="s">
        <v>2573</v>
      </c>
      <c r="B2318" s="4" t="str">
        <f ca="1">IFERROR(__xludf.DUMMYFUNCTION("IFERROR(ARRAYFORMULA(REGEXEXTRACT(A2318,""^(?:https?:\/\/)?(?:[^@\n]+@)?(?:www\.)?([^:\/\n]+)"")),"""")"),"envirovent.com")</f>
        <v>envirovent.com</v>
      </c>
    </row>
    <row r="2319" spans="1:2" ht="12.5">
      <c r="A2319" s="3" t="s">
        <v>2574</v>
      </c>
      <c r="B2319" s="4" t="str">
        <f ca="1">IFERROR(__xludf.DUMMYFUNCTION("IFERROR(ARRAYFORMULA(REGEXEXTRACT(A2319,""^(?:https?:\/\/)?(?:[^@\n]+@)?(?:www\.)?([^:\/\n]+)"")),"""")"),"elledecor.com")</f>
        <v>elledecor.com</v>
      </c>
    </row>
    <row r="2320" spans="1:2" ht="12.5">
      <c r="A2320" s="3" t="s">
        <v>2575</v>
      </c>
      <c r="B2320" s="4" t="str">
        <f ca="1">IFERROR(__xludf.DUMMYFUNCTION("IFERROR(ARRAYFORMULA(REGEXEXTRACT(A2320,""^(?:https?:\/\/)?(?:[^@\n]+@)?(?:www\.)?([^:\/\n]+)"")),"""")"),"vietduc.co.nz")</f>
        <v>vietduc.co.nz</v>
      </c>
    </row>
    <row r="2321" spans="1:2" ht="12.5">
      <c r="A2321" s="3" t="s">
        <v>2576</v>
      </c>
      <c r="B2321" s="4" t="str">
        <f ca="1">IFERROR(__xludf.DUMMYFUNCTION("IFERROR(ARRAYFORMULA(REGEXEXTRACT(A2321,""^(?:https?:\/\/)?(?:[^@\n]+@)?(?:www\.)?([^:\/\n]+)"")),"""")"),"perkinsonhomes.com")</f>
        <v>perkinsonhomes.com</v>
      </c>
    </row>
    <row r="2322" spans="1:2" ht="12.5">
      <c r="A2322" s="3" t="s">
        <v>2577</v>
      </c>
      <c r="B2322" s="4" t="str">
        <f ca="1">IFERROR(__xludf.DUMMYFUNCTION("IFERROR(ARRAYFORMULA(REGEXEXTRACT(A2322,""^(?:https?:\/\/)?(?:[^@\n]+@)?(?:www\.)?([^:\/\n]+)"")),"""")"),"abcfinance.co.uk")</f>
        <v>abcfinance.co.uk</v>
      </c>
    </row>
    <row r="2323" spans="1:2" ht="12.5">
      <c r="A2323" s="3" t="s">
        <v>2578</v>
      </c>
      <c r="B2323" s="4" t="str">
        <f ca="1">IFERROR(__xludf.DUMMYFUNCTION("IFERROR(ARRAYFORMULA(REGEXEXTRACT(A2323,""^(?:https?:\/\/)?(?:[^@\n]+@)?(?:www\.)?([^:\/\n]+)"")),"""")"),"thisoldhouse.com")</f>
        <v>thisoldhouse.com</v>
      </c>
    </row>
    <row r="2324" spans="1:2" ht="12.5">
      <c r="A2324" s="3" t="s">
        <v>2579</v>
      </c>
      <c r="B2324" s="4" t="str">
        <f ca="1">IFERROR(__xludf.DUMMYFUNCTION("IFERROR(ARRAYFORMULA(REGEXEXTRACT(A2324,""^(?:https?:\/\/)?(?:[^@\n]+@)?(?:www\.)?([^:\/\n]+)"")),"""")"),"proprli.com")</f>
        <v>proprli.com</v>
      </c>
    </row>
    <row r="2325" spans="1:2" ht="12.5">
      <c r="A2325" s="3" t="s">
        <v>2580</v>
      </c>
      <c r="B2325" s="4" t="str">
        <f ca="1">IFERROR(__xludf.DUMMYFUNCTION("IFERROR(ARRAYFORMULA(REGEXEXTRACT(A2325,""^(?:https?:\/\/)?(?:[^@\n]+@)?(?:www\.)?([^:\/\n]+)"")),"""")"),"usnews.com")</f>
        <v>usnews.com</v>
      </c>
    </row>
    <row r="2326" spans="1:2" ht="12.5">
      <c r="A2326" s="3" t="s">
        <v>2581</v>
      </c>
      <c r="B2326" s="4" t="str">
        <f ca="1">IFERROR(__xludf.DUMMYFUNCTION("IFERROR(ARRAYFORMULA(REGEXEXTRACT(A2326,""^(?:https?:\/\/)?(?:[^@\n]+@)?(?:www\.)?([^:\/\n]+)"")),"""")"),"gotchacovered.com")</f>
        <v>gotchacovered.com</v>
      </c>
    </row>
    <row r="2327" spans="1:2" ht="12.5">
      <c r="A2327" s="3" t="s">
        <v>2582</v>
      </c>
      <c r="B2327" s="4" t="str">
        <f ca="1">IFERROR(__xludf.DUMMYFUNCTION("IFERROR(ARRAYFORMULA(REGEXEXTRACT(A2327,""^(?:https?:\/\/)?(?:[^@\n]+@)?(?:www\.)?([^:\/\n]+)"")),"""")"),"cookandbathe.com.au")</f>
        <v>cookandbathe.com.au</v>
      </c>
    </row>
    <row r="2328" spans="1:2" ht="12.5">
      <c r="A2328" s="3" t="s">
        <v>2583</v>
      </c>
      <c r="B2328" s="4" t="str">
        <f ca="1">IFERROR(__xludf.DUMMYFUNCTION("IFERROR(ARRAYFORMULA(REGEXEXTRACT(A2328,""^(?:https?:\/\/)?(?:[^@\n]+@)?(?:www\.)?([^:\/\n]+)"")),"""")"),"arcadium3d.com")</f>
        <v>arcadium3d.com</v>
      </c>
    </row>
    <row r="2329" spans="1:2" ht="12.5">
      <c r="A2329" s="3" t="s">
        <v>2584</v>
      </c>
      <c r="B2329" s="4" t="str">
        <f ca="1">IFERROR(__xludf.DUMMYFUNCTION("IFERROR(ARRAYFORMULA(REGEXEXTRACT(A2329,""^(?:https?:\/\/)?(?:[^@\n]+@)?(?:www\.)?([^:\/\n]+)"")),"""")"),"mspplumbingheatingair.com")</f>
        <v>mspplumbingheatingair.com</v>
      </c>
    </row>
    <row r="2330" spans="1:2" ht="12.5">
      <c r="A2330" s="3" t="s">
        <v>2585</v>
      </c>
      <c r="B2330" s="4" t="str">
        <f ca="1">IFERROR(__xludf.DUMMYFUNCTION("IFERROR(ARRAYFORMULA(REGEXEXTRACT(A2330,""^(?:https?:\/\/)?(?:[^@\n]+@)?(?:www\.)?([^:\/\n]+)"")),"""")"),"serviceexperts.com")</f>
        <v>serviceexperts.com</v>
      </c>
    </row>
    <row r="2331" spans="1:2" ht="12.5">
      <c r="A2331" s="3" t="s">
        <v>2586</v>
      </c>
      <c r="B2331" s="4" t="str">
        <f ca="1">IFERROR(__xludf.DUMMYFUNCTION("IFERROR(ARRAYFORMULA(REGEXEXTRACT(A2331,""^(?:https?:\/\/)?(?:[^@\n]+@)?(?:www\.)?([^:\/\n]+)"")),"""")"),"bonfe.com")</f>
        <v>bonfe.com</v>
      </c>
    </row>
    <row r="2332" spans="1:2" ht="12.5">
      <c r="A2332" s="3" t="s">
        <v>2587</v>
      </c>
      <c r="B2332" s="4" t="str">
        <f ca="1">IFERROR(__xludf.DUMMYFUNCTION("IFERROR(ARRAYFORMULA(REGEXEXTRACT(A2332,""^(?:https?:\/\/)?(?:[^@\n]+@)?(?:www\.)?([^:\/\n]+)"")),"""")"),"mrrooter.com")</f>
        <v>mrrooter.com</v>
      </c>
    </row>
    <row r="2333" spans="1:2" ht="12.5">
      <c r="A2333" s="3" t="s">
        <v>2588</v>
      </c>
      <c r="B2333" s="4" t="str">
        <f ca="1">IFERROR(__xludf.DUMMYFUNCTION("IFERROR(ARRAYFORMULA(REGEXEXTRACT(A2333,""^(?:https?:\/\/)?(?:[^@\n]+@)?(?:www\.)?([^:\/\n]+)"")),"""")"),"touchwithcare.com")</f>
        <v>touchwithcare.com</v>
      </c>
    </row>
    <row r="2334" spans="1:2" ht="12.5">
      <c r="A2334" s="3" t="s">
        <v>2589</v>
      </c>
      <c r="B2334" s="4" t="str">
        <f ca="1">IFERROR(__xludf.DUMMYFUNCTION("IFERROR(ARRAYFORMULA(REGEXEXTRACT(A2334,""^(?:https?:\/\/)?(?:[^@\n]+@)?(?:www\.)?([^:\/\n]+)"")),"""")"),"nyrpcorp.com")</f>
        <v>nyrpcorp.com</v>
      </c>
    </row>
    <row r="2335" spans="1:2" ht="12.5">
      <c r="A2335" s="3" t="s">
        <v>2590</v>
      </c>
      <c r="B2335" s="4" t="str">
        <f ca="1">IFERROR(__xludf.DUMMYFUNCTION("IFERROR(ARRAYFORMULA(REGEXEXTRACT(A2335,""^(?:https?:\/\/)?(?:[^@\n]+@)?(?:www\.)?([^:\/\n]+)"")),"""")"),"openhouseaustin.co")</f>
        <v>openhouseaustin.co</v>
      </c>
    </row>
    <row r="2336" spans="1:2" ht="12.5">
      <c r="A2336" s="3" t="s">
        <v>2591</v>
      </c>
      <c r="B2336" s="4" t="str">
        <f ca="1">IFERROR(__xludf.DUMMYFUNCTION("IFERROR(ARRAYFORMULA(REGEXEXTRACT(A2336,""^(?:https?:\/\/)?(?:[^@\n]+@)?(?:www\.)?([^:\/\n]+)"")),"""")"),"betterblinds.co")</f>
        <v>betterblinds.co</v>
      </c>
    </row>
    <row r="2337" spans="1:2" ht="12.5">
      <c r="A2337" s="3" t="s">
        <v>2592</v>
      </c>
      <c r="B2337" s="4" t="str">
        <f ca="1">IFERROR(__xludf.DUMMYFUNCTION("IFERROR(ARRAYFORMULA(REGEXEXTRACT(A2337,""^(?:https?:\/\/)?(?:[^@\n]+@)?(?:www\.)?([^:\/\n]+)"")),"""")"),"tilersonline.com.au")</f>
        <v>tilersonline.com.au</v>
      </c>
    </row>
    <row r="2338" spans="1:2" ht="12.5">
      <c r="A2338" s="3" t="s">
        <v>2593</v>
      </c>
      <c r="B2338" s="4" t="str">
        <f ca="1">IFERROR(__xludf.DUMMYFUNCTION("IFERROR(ARRAYFORMULA(REGEXEXTRACT(A2338,""^(?:https?:\/\/)?(?:[^@\n]+@)?(?:www\.)?([^:\/\n]+)"")),"""")"),"frelanhardware.co.uk")</f>
        <v>frelanhardware.co.uk</v>
      </c>
    </row>
    <row r="2339" spans="1:2" ht="12.5">
      <c r="A2339" s="3" t="s">
        <v>2594</v>
      </c>
      <c r="B2339" s="4" t="str">
        <f ca="1">IFERROR(__xludf.DUMMYFUNCTION("IFERROR(ARRAYFORMULA(REGEXEXTRACT(A2339,""^(?:https?:\/\/)?(?:[^@\n]+@)?(?:www\.)?([^:\/\n]+)"")),"""")"),"steamcommander.com")</f>
        <v>steamcommander.com</v>
      </c>
    </row>
    <row r="2340" spans="1:2" ht="12.5">
      <c r="A2340" s="3" t="s">
        <v>2595</v>
      </c>
      <c r="B2340" s="4" t="str">
        <f ca="1">IFERROR(__xludf.DUMMYFUNCTION("IFERROR(ARRAYFORMULA(REGEXEXTRACT(A2340,""^(?:https?:\/\/)?(?:[^@\n]+@)?(?:www\.)?([^:\/\n]+)"")),"""")"),"elitelocksmiths.us")</f>
        <v>elitelocksmiths.us</v>
      </c>
    </row>
    <row r="2341" spans="1:2" ht="12.5">
      <c r="A2341" s="3" t="s">
        <v>2596</v>
      </c>
      <c r="B2341" s="4" t="str">
        <f ca="1">IFERROR(__xludf.DUMMYFUNCTION("IFERROR(ARRAYFORMULA(REGEXEXTRACT(A2341,""^(?:https?:\/\/)?(?:[^@\n]+@)?(?:www\.)?([^:\/\n]+)"")),"""")"),"metalceilingexpress.com")</f>
        <v>metalceilingexpress.com</v>
      </c>
    </row>
    <row r="2342" spans="1:2" ht="12.5">
      <c r="A2342" s="3" t="s">
        <v>2597</v>
      </c>
      <c r="B2342" s="4" t="str">
        <f ca="1">IFERROR(__xludf.DUMMYFUNCTION("IFERROR(ARRAYFORMULA(REGEXEXTRACT(A2342,""^(?:https?:\/\/)?(?:[^@\n]+@)?(?:www\.)?([^:\/\n]+)"")),"""")"),"levonixhomes.com.au")</f>
        <v>levonixhomes.com.au</v>
      </c>
    </row>
    <row r="2343" spans="1:2" ht="12.5">
      <c r="A2343" s="3" t="s">
        <v>2598</v>
      </c>
      <c r="B2343" s="4" t="str">
        <f ca="1">IFERROR(__xludf.DUMMYFUNCTION("IFERROR(ARRAYFORMULA(REGEXEXTRACT(A2343,""^(?:https?:\/\/)?(?:[^@\n]+@)?(?:www\.)?([^:\/\n]+)"")),"""")"),"everest.co.uk")</f>
        <v>everest.co.uk</v>
      </c>
    </row>
    <row r="2344" spans="1:2" ht="12.5">
      <c r="A2344" s="3" t="s">
        <v>2599</v>
      </c>
      <c r="B2344" s="4" t="str">
        <f ca="1">IFERROR(__xludf.DUMMYFUNCTION("IFERROR(ARRAYFORMULA(REGEXEXTRACT(A2344,""^(?:https?:\/\/)?(?:[^@\n]+@)?(?:www\.)?([^:\/\n]+)"")),"""")"),"poolequipmentpriceslashers.com.au")</f>
        <v>poolequipmentpriceslashers.com.au</v>
      </c>
    </row>
    <row r="2345" spans="1:2" ht="12.5">
      <c r="A2345" s="3" t="s">
        <v>2600</v>
      </c>
      <c r="B2345" s="4" t="str">
        <f ca="1">IFERROR(__xludf.DUMMYFUNCTION("IFERROR(ARRAYFORMULA(REGEXEXTRACT(A2345,""^(?:https?:\/\/)?(?:[^@\n]+@)?(?:www\.)?([^:\/\n]+)"")),"""")"),"pbphomerepair.com")</f>
        <v>pbphomerepair.com</v>
      </c>
    </row>
    <row r="2346" spans="1:2" ht="12.5">
      <c r="A2346" s="3" t="s">
        <v>2601</v>
      </c>
      <c r="B2346" s="4" t="str">
        <f ca="1">IFERROR(__xludf.DUMMYFUNCTION("IFERROR(ARRAYFORMULA(REGEXEXTRACT(A2346,""^(?:https?:\/\/)?(?:[^@\n]+@)?(?:www\.)?([^:\/\n]+)"")),"""")"),"thefurnaceoutlet.com")</f>
        <v>thefurnaceoutlet.com</v>
      </c>
    </row>
    <row r="2347" spans="1:2" ht="12.5">
      <c r="A2347" s="3" t="s">
        <v>2602</v>
      </c>
      <c r="B2347" s="4" t="str">
        <f ca="1">IFERROR(__xludf.DUMMYFUNCTION("IFERROR(ARRAYFORMULA(REGEXEXTRACT(A2347,""^(?:https?:\/\/)?(?:[^@\n]+@)?(?:www\.)?([^:\/\n]+)"")),"""")"),"budgetheating.com")</f>
        <v>budgetheating.com</v>
      </c>
    </row>
    <row r="2348" spans="1:2" ht="12.5">
      <c r="A2348" s="3" t="s">
        <v>2603</v>
      </c>
      <c r="B2348" s="4" t="str">
        <f ca="1">IFERROR(__xludf.DUMMYFUNCTION("IFERROR(ARRAYFORMULA(REGEXEXTRACT(A2348,""^(?:https?:\/\/)?(?:[^@\n]+@)?(?:www\.)?([^:\/\n]+)"")),"""")"),"vipdrainservices.com")</f>
        <v>vipdrainservices.com</v>
      </c>
    </row>
    <row r="2349" spans="1:2" ht="12.5">
      <c r="A2349" s="3" t="s">
        <v>2604</v>
      </c>
      <c r="B2349" s="4" t="str">
        <f ca="1">IFERROR(__xludf.DUMMYFUNCTION("IFERROR(ARRAYFORMULA(REGEXEXTRACT(A2349,""^(?:https?:\/\/)?(?:[^@\n]+@)?(?:www\.)?([^:\/\n]+)"")),"""")"),"aztecplumbing.net")</f>
        <v>aztecplumbing.net</v>
      </c>
    </row>
    <row r="2350" spans="1:2" ht="12.5">
      <c r="A2350" s="3" t="s">
        <v>2605</v>
      </c>
      <c r="B2350" s="4" t="str">
        <f ca="1">IFERROR(__xludf.DUMMYFUNCTION("IFERROR(ARRAYFORMULA(REGEXEXTRACT(A2350,""^(?:https?:\/\/)?(?:[^@\n]+@)?(?:www\.)?([^:\/\n]+)"")),"""")"),"spectraguttersystems.com")</f>
        <v>spectraguttersystems.com</v>
      </c>
    </row>
    <row r="2351" spans="1:2" ht="12.5">
      <c r="A2351" s="3" t="s">
        <v>2606</v>
      </c>
      <c r="B2351" s="4" t="str">
        <f ca="1">IFERROR(__xludf.DUMMYFUNCTION("IFERROR(ARRAYFORMULA(REGEXEXTRACT(A2351,""^(?:https?:\/\/)?(?:[^@\n]+@)?(?:www\.)?([^:\/\n]+)"")),"""")"),"diy.com")</f>
        <v>diy.com</v>
      </c>
    </row>
    <row r="2352" spans="1:2" ht="12.5">
      <c r="A2352" s="3" t="s">
        <v>2607</v>
      </c>
      <c r="B2352" s="4" t="str">
        <f ca="1">IFERROR(__xludf.DUMMYFUNCTION("IFERROR(ARRAYFORMULA(REGEXEXTRACT(A2352,""^(?:https?:\/\/)?(?:[^@\n]+@)?(?:www\.)?([^:\/\n]+)"")),"""")"),"edwardsguttercleaning.com")</f>
        <v>edwardsguttercleaning.com</v>
      </c>
    </row>
    <row r="2353" spans="1:2" ht="12.5">
      <c r="A2353" s="3" t="s">
        <v>2608</v>
      </c>
      <c r="B2353" s="4" t="str">
        <f ca="1">IFERROR(__xludf.DUMMYFUNCTION("IFERROR(ARRAYFORMULA(REGEXEXTRACT(A2353,""^(?:https?:\/\/)?(?:[^@\n]+@)?(?:www\.)?([^:\/\n]+)"")),"""")"),"missamara.nz")</f>
        <v>missamara.nz</v>
      </c>
    </row>
    <row r="2354" spans="1:2" ht="12.5">
      <c r="A2354" s="3" t="s">
        <v>2609</v>
      </c>
      <c r="B2354" s="4" t="str">
        <f ca="1">IFERROR(__xludf.DUMMYFUNCTION("IFERROR(ARRAYFORMULA(REGEXEXTRACT(A2354,""^(?:https?:\/\/)?(?:[^@\n]+@)?(?:www\.)?([^:\/\n]+)"")),"""")"),"krosswood.com")</f>
        <v>krosswood.com</v>
      </c>
    </row>
    <row r="2355" spans="1:2" ht="12.5">
      <c r="A2355" s="3" t="s">
        <v>2610</v>
      </c>
      <c r="B2355" s="4" t="str">
        <f ca="1">IFERROR(__xludf.DUMMYFUNCTION("IFERROR(ARRAYFORMULA(REGEXEXTRACT(A2355,""^(?:https?:\/\/)?(?:[^@\n]+@)?(?:www\.)?([^:\/\n]+)"")),"""")"),"etodoors.com")</f>
        <v>etodoors.com</v>
      </c>
    </row>
    <row r="2356" spans="1:2" ht="12.5">
      <c r="A2356" s="3" t="s">
        <v>2611</v>
      </c>
      <c r="B2356" s="4" t="str">
        <f ca="1">IFERROR(__xludf.DUMMYFUNCTION("IFERROR(ARRAYFORMULA(REGEXEXTRACT(A2356,""^(?:https?:\/\/)?(?:[^@\n]+@)?(?:www\.)?([^:\/\n]+)"")),"""")"),"rustica.com")</f>
        <v>rustica.com</v>
      </c>
    </row>
    <row r="2357" spans="1:2" ht="12.5">
      <c r="A2357" s="3" t="s">
        <v>2612</v>
      </c>
      <c r="B2357" s="4" t="str">
        <f ca="1">IFERROR(__xludf.DUMMYFUNCTION("IFERROR(ARRAYFORMULA(REGEXEXTRACT(A2357,""^(?:https?:\/\/)?(?:[^@\n]+@)?(?:www\.)?([^:\/\n]+)"")),"""")"),"lightopia.com")</f>
        <v>lightopia.com</v>
      </c>
    </row>
    <row r="2358" spans="1:2" ht="12.5">
      <c r="A2358" s="3" t="s">
        <v>2613</v>
      </c>
      <c r="B2358" s="4" t="str">
        <f ca="1">IFERROR(__xludf.DUMMYFUNCTION("IFERROR(ARRAYFORMULA(REGEXEXTRACT(A2358,""^(?:https?:\/\/)?(?:[^@\n]+@)?(?:www\.)?([^:\/\n]+)"")),"""")"),"miamialuminumpergola.com")</f>
        <v>miamialuminumpergola.com</v>
      </c>
    </row>
    <row r="2359" spans="1:2" ht="12.5">
      <c r="A2359" s="3" t="s">
        <v>2614</v>
      </c>
      <c r="B2359" s="4" t="str">
        <f ca="1">IFERROR(__xludf.DUMMYFUNCTION("IFERROR(ARRAYFORMULA(REGEXEXTRACT(A2359,""^(?:https?:\/\/)?(?:[^@\n]+@)?(?:www\.)?([^:\/\n]+)"")),"""")"),"calpool.com")</f>
        <v>calpool.com</v>
      </c>
    </row>
    <row r="2360" spans="1:2" ht="12.5">
      <c r="A2360" s="3" t="s">
        <v>2615</v>
      </c>
      <c r="B2360" s="4" t="str">
        <f ca="1">IFERROR(__xludf.DUMMYFUNCTION("IFERROR(ARRAYFORMULA(REGEXEXTRACT(A2360,""^(?:https?:\/\/)?(?:[^@\n]+@)?(?:www\.)?([^:\/\n]+)"")),"""")"),"militaryplumbing.com")</f>
        <v>militaryplumbing.com</v>
      </c>
    </row>
    <row r="2361" spans="1:2" ht="12.5">
      <c r="A2361" s="3" t="s">
        <v>2616</v>
      </c>
      <c r="B2361" s="4" t="str">
        <f ca="1">IFERROR(__xludf.DUMMYFUNCTION("IFERROR(ARRAYFORMULA(REGEXEXTRACT(A2361,""^(?:https?:\/\/)?(?:[^@\n]+@)?(?:www\.)?([^:\/\n]+)"")),"""")"),"myapluspest.com")</f>
        <v>myapluspest.com</v>
      </c>
    </row>
    <row r="2362" spans="1:2" ht="12.5">
      <c r="A2362" s="3" t="s">
        <v>2617</v>
      </c>
      <c r="B2362" s="4" t="str">
        <f ca="1">IFERROR(__xludf.DUMMYFUNCTION("IFERROR(ARRAYFORMULA(REGEXEXTRACT(A2362,""^(?:https?:\/\/)?(?:[^@\n]+@)?(?:www\.)?([^:\/\n]+)"")),"""")"),"epmpestcontrol.com.au")</f>
        <v>epmpestcontrol.com.au</v>
      </c>
    </row>
    <row r="2363" spans="1:2" ht="12.5">
      <c r="A2363" s="3" t="s">
        <v>2618</v>
      </c>
      <c r="B2363" s="4" t="str">
        <f ca="1">IFERROR(__xludf.DUMMYFUNCTION("IFERROR(ARRAYFORMULA(REGEXEXTRACT(A2363,""^(?:https?:\/\/)?(?:[^@\n]+@)?(?:www\.)?([^:\/\n]+)"")),"""")"),"hoa.org.uk")</f>
        <v>hoa.org.uk</v>
      </c>
    </row>
    <row r="2364" spans="1:2" ht="12.5">
      <c r="A2364" s="3" t="s">
        <v>2619</v>
      </c>
      <c r="B2364" s="4" t="str">
        <f ca="1">IFERROR(__xludf.DUMMYFUNCTION("IFERROR(ARRAYFORMULA(REGEXEXTRACT(A2364,""^(?:https?:\/\/)?(?:[^@\n]+@)?(?:www\.)?([^:\/\n]+)"")),"""")"),"mdsheatingandair.com")</f>
        <v>mdsheatingandair.com</v>
      </c>
    </row>
    <row r="2365" spans="1:2" ht="12.5">
      <c r="A2365" s="3" t="s">
        <v>2620</v>
      </c>
      <c r="B2365" s="4" t="str">
        <f ca="1">IFERROR(__xludf.DUMMYFUNCTION("IFERROR(ARRAYFORMULA(REGEXEXTRACT(A2365,""^(?:https?:\/\/)?(?:[^@\n]+@)?(?:www\.)?([^:\/\n]+)"")),"""")"),"areterenovators.com")</f>
        <v>areterenovators.com</v>
      </c>
    </row>
    <row r="2366" spans="1:2" ht="12.5">
      <c r="A2366" s="3" t="s">
        <v>2621</v>
      </c>
      <c r="B2366" s="4" t="str">
        <f ca="1">IFERROR(__xludf.DUMMYFUNCTION("IFERROR(ARRAYFORMULA(REGEXEXTRACT(A2366,""^(?:https?:\/\/)?(?:[^@\n]+@)?(?:www\.)?([^:\/\n]+)"")),"""")"),"coretecfloors.com")</f>
        <v>coretecfloors.com</v>
      </c>
    </row>
    <row r="2367" spans="1:2" ht="12.5">
      <c r="A2367" s="3" t="s">
        <v>2622</v>
      </c>
      <c r="B2367" s="4" t="str">
        <f ca="1">IFERROR(__xludf.DUMMYFUNCTION("IFERROR(ARRAYFORMULA(REGEXEXTRACT(A2367,""^(?:https?:\/\/)?(?:[^@\n]+@)?(?:www\.)?([^:\/\n]+)"")),"""")"),"sydneywardrobe.com.au")</f>
        <v>sydneywardrobe.com.au</v>
      </c>
    </row>
    <row r="2368" spans="1:2" ht="12.5">
      <c r="A2368" s="3" t="s">
        <v>2623</v>
      </c>
      <c r="B2368" s="4" t="str">
        <f ca="1">IFERROR(__xludf.DUMMYFUNCTION("IFERROR(ARRAYFORMULA(REGEXEXTRACT(A2368,""^(?:https?:\/\/)?(?:[^@\n]+@)?(?:www\.)?([^:\/\n]+)"")),"""")"),"premierpropertybuyers.com")</f>
        <v>premierpropertybuyers.com</v>
      </c>
    </row>
    <row r="2369" spans="1:2" ht="12.5">
      <c r="A2369" s="3" t="s">
        <v>2624</v>
      </c>
      <c r="B2369" s="4" t="str">
        <f ca="1">IFERROR(__xludf.DUMMYFUNCTION("IFERROR(ARRAYFORMULA(REGEXEXTRACT(A2369,""^(?:https?:\/\/)?(?:[^@\n]+@)?(?:www\.)?([^:\/\n]+)"")),"""")"),"optimisedplumbingservices.com.au")</f>
        <v>optimisedplumbingservices.com.au</v>
      </c>
    </row>
    <row r="2370" spans="1:2" ht="12.5">
      <c r="A2370" s="3" t="s">
        <v>2625</v>
      </c>
      <c r="B2370" s="4" t="str">
        <f ca="1">IFERROR(__xludf.DUMMYFUNCTION("IFERROR(ARRAYFORMULA(REGEXEXTRACT(A2370,""^(?:https?:\/\/)?(?:[^@\n]+@)?(?:www\.)?([^:\/\n]+)"")),"""")"),"valueofficefurniture.com.au")</f>
        <v>valueofficefurniture.com.au</v>
      </c>
    </row>
    <row r="2371" spans="1:2" ht="12.5">
      <c r="A2371" s="3" t="s">
        <v>2626</v>
      </c>
      <c r="B2371" s="4" t="str">
        <f ca="1">IFERROR(__xludf.DUMMYFUNCTION("IFERROR(ARRAYFORMULA(REGEXEXTRACT(A2371,""^(?:https?:\/\/)?(?:[^@\n]+@)?(?:www\.)?([^:\/\n]+)"")),"""")"),"toulmincabinetry.com")</f>
        <v>toulmincabinetry.com</v>
      </c>
    </row>
    <row r="2372" spans="1:2" ht="12.5">
      <c r="A2372" s="3" t="s">
        <v>2627</v>
      </c>
      <c r="B2372" s="4" t="str">
        <f ca="1">IFERROR(__xludf.DUMMYFUNCTION("IFERROR(ARRAYFORMULA(REGEXEXTRACT(A2372,""^(?:https?:\/\/)?(?:[^@\n]+@)?(?:www\.)?([^:\/\n]+)"")),"""")"),"brindabella.net.au")</f>
        <v>brindabella.net.au</v>
      </c>
    </row>
    <row r="2373" spans="1:2" ht="12.5">
      <c r="A2373" s="3" t="s">
        <v>2628</v>
      </c>
      <c r="B2373" s="4" t="str">
        <f ca="1">IFERROR(__xludf.DUMMYFUNCTION("IFERROR(ARRAYFORMULA(REGEXEXTRACT(A2373,""^(?:https?:\/\/)?(?:[^@\n]+@)?(?:www\.)?([^:\/\n]+)"")),"""")"),"legacyhandcraft.com")</f>
        <v>legacyhandcraft.com</v>
      </c>
    </row>
    <row r="2374" spans="1:2" ht="12.5">
      <c r="A2374" s="3" t="s">
        <v>2629</v>
      </c>
      <c r="B2374" s="4" t="str">
        <f ca="1">IFERROR(__xludf.DUMMYFUNCTION("IFERROR(ARRAYFORMULA(REGEXEXTRACT(A2374,""^(?:https?:\/\/)?(?:[^@\n]+@)?(?:www\.)?([^:\/\n]+)"")),"""")"),"bensoleimani.com")</f>
        <v>bensoleimani.com</v>
      </c>
    </row>
    <row r="2375" spans="1:2" ht="12.5">
      <c r="A2375" s="3" t="s">
        <v>2630</v>
      </c>
      <c r="B2375" s="4" t="str">
        <f ca="1">IFERROR(__xludf.DUMMYFUNCTION("IFERROR(ARRAYFORMULA(REGEXEXTRACT(A2375,""^(?:https?:\/\/)?(?:[^@\n]+@)?(?:www\.)?([^:\/\n]+)"")),"""")"),"a1garage.com")</f>
        <v>a1garage.com</v>
      </c>
    </row>
    <row r="2376" spans="1:2" ht="12.5">
      <c r="A2376" s="3" t="s">
        <v>2631</v>
      </c>
      <c r="B2376" s="4" t="str">
        <f ca="1">IFERROR(__xludf.DUMMYFUNCTION("IFERROR(ARRAYFORMULA(REGEXEXTRACT(A2376,""^(?:https?:\/\/)?(?:[^@\n]+@)?(?:www\.)?([^:\/\n]+)"")),"""")"),"grandrenovations.ca")</f>
        <v>grandrenovations.ca</v>
      </c>
    </row>
    <row r="2377" spans="1:2" ht="12.5">
      <c r="A2377" s="3" t="s">
        <v>2632</v>
      </c>
      <c r="B2377" s="4" t="str">
        <f ca="1">IFERROR(__xludf.DUMMYFUNCTION("IFERROR(ARRAYFORMULA(REGEXEXTRACT(A2377,""^(?:https?:\/\/)?(?:[^@\n]+@)?(?:www\.)?([^:\/\n]+)"")),"""")"),"blingle.com")</f>
        <v>blingle.com</v>
      </c>
    </row>
    <row r="2378" spans="1:2" ht="12.5">
      <c r="A2378" s="3" t="s">
        <v>2633</v>
      </c>
      <c r="B2378" s="4" t="str">
        <f ca="1">IFERROR(__xludf.DUMMYFUNCTION("IFERROR(ARRAYFORMULA(REGEXEXTRACT(A2378,""^(?:https?:\/\/)?(?:[^@\n]+@)?(?:www\.)?([^:\/\n]+)"")),"""")"),"broussardservices.com")</f>
        <v>broussardservices.com</v>
      </c>
    </row>
    <row r="2379" spans="1:2" ht="12.5">
      <c r="A2379" s="3" t="s">
        <v>2634</v>
      </c>
      <c r="B2379" s="4" t="str">
        <f ca="1">IFERROR(__xludf.DUMMYFUNCTION("IFERROR(ARRAYFORMULA(REGEXEXTRACT(A2379,""^(?:https?:\/\/)?(?:[^@\n]+@)?(?:www\.)?([^:\/\n]+)"")),"""")"),"houselogic.com")</f>
        <v>houselogic.com</v>
      </c>
    </row>
    <row r="2380" spans="1:2" ht="12.5">
      <c r="A2380" s="3" t="s">
        <v>2635</v>
      </c>
      <c r="B2380" s="4" t="str">
        <f ca="1">IFERROR(__xludf.DUMMYFUNCTION("IFERROR(ARRAYFORMULA(REGEXEXTRACT(A2380,""^(?:https?:\/\/)?(?:[^@\n]+@)?(?:www\.)?([^:\/\n]+)"")),"""")"),"michaelbellarchitects.com")</f>
        <v>michaelbellarchitects.com</v>
      </c>
    </row>
    <row r="2381" spans="1:2" ht="12.5">
      <c r="A2381" s="3" t="s">
        <v>2636</v>
      </c>
      <c r="B2381" s="4" t="str">
        <f ca="1">IFERROR(__xludf.DUMMYFUNCTION("IFERROR(ARRAYFORMULA(REGEXEXTRACT(A2381,""^(?:https?:\/\/)?(?:[^@\n]+@)?(?:www\.)?([^:\/\n]+)"")),"""")"),"topinspired.com")</f>
        <v>topinspired.com</v>
      </c>
    </row>
    <row r="2382" spans="1:2" ht="12.5">
      <c r="A2382" s="3" t="s">
        <v>2637</v>
      </c>
      <c r="B2382" s="4" t="str">
        <f ca="1">IFERROR(__xludf.DUMMYFUNCTION("IFERROR(ARRAYFORMULA(REGEXEXTRACT(A2382,""^(?:https?:\/\/)?(?:[^@\n]+@)?(?:www\.)?([^:\/\n]+)"")),"""")"),"stylebyemilyhenderson.com")</f>
        <v>stylebyemilyhenderson.com</v>
      </c>
    </row>
    <row r="2383" spans="1:2" ht="12.5">
      <c r="A2383" s="3" t="s">
        <v>2638</v>
      </c>
      <c r="B2383" s="4" t="str">
        <f ca="1">IFERROR(__xludf.DUMMYFUNCTION("IFERROR(ARRAYFORMULA(REGEXEXTRACT(A2383,""^(?:https?:\/\/)?(?:[^@\n]+@)?(?:www\.)?([^:\/\n]+)"")),"""")"),"safeharborexteriors.com")</f>
        <v>safeharborexteriors.com</v>
      </c>
    </row>
    <row r="2384" spans="1:2" ht="12.5">
      <c r="A2384" s="3" t="s">
        <v>2639</v>
      </c>
      <c r="B2384" s="4" t="str">
        <f ca="1">IFERROR(__xludf.DUMMYFUNCTION("IFERROR(ARRAYFORMULA(REGEXEXTRACT(A2384,""^(?:https?:\/\/)?(?:[^@\n]+@)?(?:www\.)?([^:\/\n]+)"")),"""")"),"gatsbyglass.com")</f>
        <v>gatsbyglass.com</v>
      </c>
    </row>
    <row r="2385" spans="1:2" ht="12.5">
      <c r="A2385" s="3" t="s">
        <v>2640</v>
      </c>
      <c r="B2385" s="4" t="str">
        <f ca="1">IFERROR(__xludf.DUMMYFUNCTION("IFERROR(ARRAYFORMULA(REGEXEXTRACT(A2385,""^(?:https?:\/\/)?(?:[^@\n]+@)?(?:www\.)?([^:\/\n]+)"")),"""")"),"pacificoutdoorliving.com")</f>
        <v>pacificoutdoorliving.com</v>
      </c>
    </row>
    <row r="2386" spans="1:2" ht="12.5">
      <c r="A2386" s="3" t="s">
        <v>2641</v>
      </c>
      <c r="B2386" s="4" t="str">
        <f ca="1">IFERROR(__xludf.DUMMYFUNCTION("IFERROR(ARRAYFORMULA(REGEXEXTRACT(A2386,""^(?:https?:\/\/)?(?:[^@\n]+@)?(?:www\.)?([^:\/\n]+)"")),"""")"),"egkw.co.uk")</f>
        <v>egkw.co.uk</v>
      </c>
    </row>
    <row r="2387" spans="1:2" ht="12.5">
      <c r="A2387" s="3" t="s">
        <v>2642</v>
      </c>
      <c r="B2387" s="4" t="str">
        <f ca="1">IFERROR(__xludf.DUMMYFUNCTION("IFERROR(ARRAYFORMULA(REGEXEXTRACT(A2387,""^(?:https?:\/\/)?(?:[^@\n]+@)?(?:www\.)?([^:\/\n]+)"")),"""")"),"shelbycountyreporter.com")</f>
        <v>shelbycountyreporter.com</v>
      </c>
    </row>
    <row r="2388" spans="1:2" ht="12.5">
      <c r="A2388" s="3" t="s">
        <v>2643</v>
      </c>
      <c r="B2388" s="4" t="str">
        <f ca="1">IFERROR(__xludf.DUMMYFUNCTION("IFERROR(ARRAYFORMULA(REGEXEXTRACT(A2388,""^(?:https?:\/\/)?(?:[^@\n]+@)?(?:www\.)?([^:\/\n]+)"")),"""")"),"goodhealthsaunas.com")</f>
        <v>goodhealthsaunas.com</v>
      </c>
    </row>
    <row r="2389" spans="1:2" ht="12.5">
      <c r="A2389" s="3" t="s">
        <v>2644</v>
      </c>
      <c r="B2389" s="4" t="str">
        <f ca="1">IFERROR(__xludf.DUMMYFUNCTION("IFERROR(ARRAYFORMULA(REGEXEXTRACT(A2389,""^(?:https?:\/\/)?(?:[^@\n]+@)?(?:www\.)?([^:\/\n]+)"")),"""")"),"cwoodsco.com")</f>
        <v>cwoodsco.com</v>
      </c>
    </row>
    <row r="2390" spans="1:2" ht="12.5">
      <c r="A2390" s="3" t="s">
        <v>2645</v>
      </c>
      <c r="B2390" s="4" t="str">
        <f ca="1">IFERROR(__xludf.DUMMYFUNCTION("IFERROR(ARRAYFORMULA(REGEXEXTRACT(A2390,""^(?:https?:\/\/)?(?:[^@\n]+@)?(?:www\.)?([^:\/\n]+)"")),"""")"),"legacyremodeling.com")</f>
        <v>legacyremodeling.com</v>
      </c>
    </row>
    <row r="2391" spans="1:2" ht="12.5">
      <c r="A2391" s="3" t="s">
        <v>2646</v>
      </c>
      <c r="B2391" s="4" t="str">
        <f ca="1">IFERROR(__xludf.DUMMYFUNCTION("IFERROR(ARRAYFORMULA(REGEXEXTRACT(A2391,""^(?:https?:\/\/)?(?:[^@\n]+@)?(?:www\.)?([^:\/\n]+)"")),"""")"),"floor360.com")</f>
        <v>floor360.com</v>
      </c>
    </row>
    <row r="2392" spans="1:2" ht="12.5">
      <c r="A2392" s="3" t="s">
        <v>2647</v>
      </c>
      <c r="B2392" s="4" t="str">
        <f ca="1">IFERROR(__xludf.DUMMYFUNCTION("IFERROR(ARRAYFORMULA(REGEXEXTRACT(A2392,""^(?:https?:\/\/)?(?:[^@\n]+@)?(?:www\.)?([^:\/\n]+)"")),"""")"),"resnickroof.com")</f>
        <v>resnickroof.com</v>
      </c>
    </row>
    <row r="2393" spans="1:2" ht="12.5">
      <c r="A2393" s="3" t="s">
        <v>2648</v>
      </c>
      <c r="B2393" s="4" t="str">
        <f ca="1">IFERROR(__xludf.DUMMYFUNCTION("IFERROR(ARRAYFORMULA(REGEXEXTRACT(A2393,""^(?:https?:\/\/)?(?:[^@\n]+@)?(?:www\.)?([^:\/\n]+)"")),"""")"),"centralhomesroofing.com")</f>
        <v>centralhomesroofing.com</v>
      </c>
    </row>
    <row r="2394" spans="1:2" ht="12.5">
      <c r="A2394" s="3" t="s">
        <v>2649</v>
      </c>
      <c r="B2394" s="4" t="str">
        <f ca="1">IFERROR(__xludf.DUMMYFUNCTION("IFERROR(ARRAYFORMULA(REGEXEXTRACT(A2394,""^(?:https?:\/\/)?(?:[^@\n]+@)?(?:www\.)?([^:\/\n]+)"")),"""")"),"sarahjoyblog.com")</f>
        <v>sarahjoyblog.com</v>
      </c>
    </row>
    <row r="2395" spans="1:2" ht="12.5">
      <c r="A2395" s="3" t="s">
        <v>2650</v>
      </c>
      <c r="B2395" s="4" t="str">
        <f ca="1">IFERROR(__xludf.DUMMYFUNCTION("IFERROR(ARRAYFORMULA(REGEXEXTRACT(A2395,""^(?:https?:\/\/)?(?:[^@\n]+@)?(?:www\.)?([^:\/\n]+)"")),"""")"),"spidexx.com")</f>
        <v>spidexx.com</v>
      </c>
    </row>
    <row r="2396" spans="1:2" ht="12.5">
      <c r="A2396" s="3" t="s">
        <v>2651</v>
      </c>
      <c r="B2396" s="4" t="str">
        <f ca="1">IFERROR(__xludf.DUMMYFUNCTION("IFERROR(ARRAYFORMULA(REGEXEXTRACT(A2396,""^(?:https?:\/\/)?(?:[^@\n]+@)?(?:www\.)?([^:\/\n]+)"")),"""")"),"poolguardusa.com")</f>
        <v>poolguardusa.com</v>
      </c>
    </row>
    <row r="2397" spans="1:2" ht="12.5">
      <c r="A2397" s="3" t="s">
        <v>2652</v>
      </c>
      <c r="B2397" s="4" t="str">
        <f ca="1">IFERROR(__xludf.DUMMYFUNCTION("IFERROR(ARRAYFORMULA(REGEXEXTRACT(A2397,""^(?:https?:\/\/)?(?:[^@\n]+@)?(?:www\.)?([^:\/\n]+)"")),"""")"),"canadoorsystems.com")</f>
        <v>canadoorsystems.com</v>
      </c>
    </row>
    <row r="2398" spans="1:2" ht="12.5">
      <c r="A2398" s="3" t="s">
        <v>2653</v>
      </c>
      <c r="B2398" s="4" t="str">
        <f ca="1">IFERROR(__xludf.DUMMYFUNCTION("IFERROR(ARRAYFORMULA(REGEXEXTRACT(A2398,""^(?:https?:\/\/)?(?:[^@\n]+@)?(?:www\.)?([^:\/\n]+)"")),"""")"),"roofingcalc.com")</f>
        <v>roofingcalc.com</v>
      </c>
    </row>
    <row r="2399" spans="1:2" ht="12.5">
      <c r="A2399" s="3" t="s">
        <v>2654</v>
      </c>
      <c r="B2399" s="4" t="str">
        <f ca="1">IFERROR(__xludf.DUMMYFUNCTION("IFERROR(ARRAYFORMULA(REGEXEXTRACT(A2399,""^(?:https?:\/\/)?(?:[^@\n]+@)?(?:www\.)?([^:\/\n]+)"")),"""")"),"adviseretax.com")</f>
        <v>adviseretax.com</v>
      </c>
    </row>
    <row r="2400" spans="1:2" ht="12.5">
      <c r="A2400" s="3" t="s">
        <v>2655</v>
      </c>
      <c r="B2400" s="4" t="str">
        <f ca="1">IFERROR(__xludf.DUMMYFUNCTION("IFERROR(ARRAYFORMULA(REGEXEXTRACT(A2400,""^(?:https?:\/\/)?(?:[^@\n]+@)?(?:www\.)?([^:\/\n]+)"")),"""")"),"zintex.com")</f>
        <v>zintex.com</v>
      </c>
    </row>
    <row r="2401" spans="1:2" ht="12.5">
      <c r="A2401" s="3" t="s">
        <v>2656</v>
      </c>
      <c r="B2401" s="4" t="str">
        <f ca="1">IFERROR(__xludf.DUMMYFUNCTION("IFERROR(ARRAYFORMULA(REGEXEXTRACT(A2401,""^(?:https?:\/\/)?(?:[^@\n]+@)?(?:www\.)?([^:\/\n]+)"")),"""")"),"whatsnewfurniture.com")</f>
        <v>whatsnewfurniture.com</v>
      </c>
    </row>
    <row r="2402" spans="1:2" ht="12.5">
      <c r="A2402" s="3" t="s">
        <v>2657</v>
      </c>
      <c r="B2402" s="4" t="str">
        <f ca="1">IFERROR(__xludf.DUMMYFUNCTION("IFERROR(ARRAYFORMULA(REGEXEXTRACT(A2402,""^(?:https?:\/\/)?(?:[^@\n]+@)?(?:www\.)?([^:\/\n]+)"")),"""")"),"clerawindows.com")</f>
        <v>clerawindows.com</v>
      </c>
    </row>
    <row r="2403" spans="1:2" ht="12.5">
      <c r="A2403" s="3" t="s">
        <v>2658</v>
      </c>
      <c r="B2403" s="4" t="str">
        <f ca="1">IFERROR(__xludf.DUMMYFUNCTION("IFERROR(ARRAYFORMULA(REGEXEXTRACT(A2403,""^(?:https?:\/\/)?(?:[^@\n]+@)?(?:www\.)?([^:\/\n]+)"")),"""")"),"envirogpc.com")</f>
        <v>envirogpc.com</v>
      </c>
    </row>
    <row r="2404" spans="1:2" ht="12.5">
      <c r="A2404" s="3" t="s">
        <v>2659</v>
      </c>
      <c r="B2404" s="4" t="str">
        <f ca="1">IFERROR(__xludf.DUMMYFUNCTION("IFERROR(ARRAYFORMULA(REGEXEXTRACT(A2404,""^(?:https?:\/\/)?(?:[^@\n]+@)?(?:www\.)?([^:\/\n]+)"")),"""")"),"drroof.com")</f>
        <v>drroof.com</v>
      </c>
    </row>
    <row r="2405" spans="1:2" ht="12.5">
      <c r="A2405" s="3" t="s">
        <v>2660</v>
      </c>
      <c r="B2405" s="4" t="str">
        <f ca="1">IFERROR(__xludf.DUMMYFUNCTION("IFERROR(ARRAYFORMULA(REGEXEXTRACT(A2405,""^(?:https?:\/\/)?(?:[^@\n]+@)?(?:www\.)?([^:\/\n]+)"")),"""")"),"mitchellmcdermott.com")</f>
        <v>mitchellmcdermott.com</v>
      </c>
    </row>
    <row r="2406" spans="1:2" ht="12.5">
      <c r="A2406" s="3" t="s">
        <v>2661</v>
      </c>
      <c r="B2406" s="4" t="str">
        <f ca="1">IFERROR(__xludf.DUMMYFUNCTION("IFERROR(ARRAYFORMULA(REGEXEXTRACT(A2406,""^(?:https?:\/\/)?(?:[^@\n]+@)?(?:www\.)?([^:\/\n]+)"")),"""")"),"jollygoatgaragedoors.com")</f>
        <v>jollygoatgaragedoors.com</v>
      </c>
    </row>
    <row r="2407" spans="1:2" ht="12.5">
      <c r="A2407" s="3" t="s">
        <v>2662</v>
      </c>
      <c r="B2407" s="4" t="str">
        <f ca="1">IFERROR(__xludf.DUMMYFUNCTION("IFERROR(ARRAYFORMULA(REGEXEXTRACT(A2407,""^(?:https?:\/\/)?(?:[^@\n]+@)?(?:www\.)?([^:\/\n]+)"")),"""")"),"metarealtyinc.ca")</f>
        <v>metarealtyinc.ca</v>
      </c>
    </row>
    <row r="2408" spans="1:2" ht="12.5">
      <c r="A2408" s="3" t="s">
        <v>2663</v>
      </c>
      <c r="B2408" s="4" t="str">
        <f ca="1">IFERROR(__xludf.DUMMYFUNCTION("IFERROR(ARRAYFORMULA(REGEXEXTRACT(A2408,""^(?:https?:\/\/)?(?:[^@\n]+@)?(?:www\.)?([^:\/\n]+)"")),"""")"),"artincontext.org")</f>
        <v>artincontext.org</v>
      </c>
    </row>
    <row r="2409" spans="1:2" ht="12.5">
      <c r="A2409" s="3" t="s">
        <v>2664</v>
      </c>
      <c r="B2409" s="4" t="str">
        <f ca="1">IFERROR(__xludf.DUMMYFUNCTION("IFERROR(ARRAYFORMULA(REGEXEXTRACT(A2409,""^(?:https?:\/\/)?(?:[^@\n]+@)?(?:www\.)?([^:\/\n]+)"")),"""")"),"freshcoatpainters.com")</f>
        <v>freshcoatpainters.com</v>
      </c>
    </row>
    <row r="2410" spans="1:2" ht="12.5">
      <c r="A2410" s="3" t="s">
        <v>2665</v>
      </c>
      <c r="B2410" s="4" t="str">
        <f ca="1">IFERROR(__xludf.DUMMYFUNCTION("IFERROR(ARRAYFORMULA(REGEXEXTRACT(A2410,""^(?:https?:\/\/)?(?:[^@\n]+@)?(?:www\.)?([^:\/\n]+)"")),"""")"),"maloneslandscape.com")</f>
        <v>maloneslandscape.com</v>
      </c>
    </row>
    <row r="2411" spans="1:2" ht="12.5">
      <c r="A2411" s="3" t="s">
        <v>2666</v>
      </c>
      <c r="B2411" s="4" t="str">
        <f ca="1">IFERROR(__xludf.DUMMYFUNCTION("IFERROR(ARRAYFORMULA(REGEXEXTRACT(A2411,""^(?:https?:\/\/)?(?:[^@\n]+@)?(?:www\.)?([^:\/\n]+)"")),"""")"),"eonenergy.com")</f>
        <v>eonenergy.com</v>
      </c>
    </row>
    <row r="2412" spans="1:2" ht="12.5">
      <c r="A2412" s="3" t="s">
        <v>2667</v>
      </c>
      <c r="B2412" s="4" t="str">
        <f ca="1">IFERROR(__xludf.DUMMYFUNCTION("IFERROR(ARRAYFORMULA(REGEXEXTRACT(A2412,""^(?:https?:\/\/)?(?:[^@\n]+@)?(?:www\.)?([^:\/\n]+)"")),"""")"),"mastermaid.ca")</f>
        <v>mastermaid.ca</v>
      </c>
    </row>
    <row r="2413" spans="1:2" ht="12.5">
      <c r="A2413" s="3" t="s">
        <v>2668</v>
      </c>
      <c r="B2413" s="4" t="str">
        <f ca="1">IFERROR(__xludf.DUMMYFUNCTION("IFERROR(ARRAYFORMULA(REGEXEXTRACT(A2413,""^(?:https?:\/\/)?(?:[^@\n]+@)?(?:www\.)?([^:\/\n]+)"")),"""")"),"mydecorative.com")</f>
        <v>mydecorative.com</v>
      </c>
    </row>
    <row r="2414" spans="1:2" ht="12.5">
      <c r="A2414" s="3" t="s">
        <v>2669</v>
      </c>
      <c r="B2414" s="4" t="str">
        <f ca="1">IFERROR(__xludf.DUMMYFUNCTION("IFERROR(ARRAYFORMULA(REGEXEXTRACT(A2414,""^(?:https?:\/\/)?(?:[^@\n]+@)?(?:www\.)?([^:\/\n]+)"")),"""")"),"austina.com.au")</f>
        <v>austina.com.au</v>
      </c>
    </row>
    <row r="2415" spans="1:2" ht="12.5">
      <c r="A2415" s="3" t="s">
        <v>2670</v>
      </c>
      <c r="B2415" s="4" t="str">
        <f ca="1">IFERROR(__xludf.DUMMYFUNCTION("IFERROR(ARRAYFORMULA(REGEXEXTRACT(A2415,""^(?:https?:\/\/)?(?:[^@\n]+@)?(?:www\.)?([^:\/\n]+)"")),"""")"),"majesticfountains.com")</f>
        <v>majesticfountains.com</v>
      </c>
    </row>
    <row r="2416" spans="1:2" ht="12.5">
      <c r="A2416" s="3" t="s">
        <v>2671</v>
      </c>
      <c r="B2416" s="4" t="str">
        <f ca="1">IFERROR(__xludf.DUMMYFUNCTION("IFERROR(ARRAYFORMULA(REGEXEXTRACT(A2416,""^(?:https?:\/\/)?(?:[^@\n]+@)?(?:www\.)?([^:\/\n]+)"")),"""")"),"accoya.com")</f>
        <v>accoya.com</v>
      </c>
    </row>
    <row r="2417" spans="1:2" ht="12.5">
      <c r="A2417" s="3" t="s">
        <v>2672</v>
      </c>
      <c r="B2417" s="4" t="str">
        <f ca="1">IFERROR(__xludf.DUMMYFUNCTION("IFERROR(ARRAYFORMULA(REGEXEXTRACT(A2417,""^(?:https?:\/\/)?(?:[^@\n]+@)?(?:www\.)?([^:\/\n]+)"")),"""")"),"encorecoatings.com")</f>
        <v>encorecoatings.com</v>
      </c>
    </row>
    <row r="2418" spans="1:2" ht="12.5">
      <c r="A2418" s="3" t="s">
        <v>2673</v>
      </c>
      <c r="B2418" s="4" t="str">
        <f ca="1">IFERROR(__xludf.DUMMYFUNCTION("IFERROR(ARRAYFORMULA(REGEXEXTRACT(A2418,""^(?:https?:\/\/)?(?:[^@\n]+@)?(?:www\.)?([^:\/\n]+)"")),"""")"),"leafhome.com")</f>
        <v>leafhome.com</v>
      </c>
    </row>
    <row r="2419" spans="1:2" ht="12.5">
      <c r="A2419" s="3" t="s">
        <v>2674</v>
      </c>
      <c r="B2419" s="4" t="str">
        <f ca="1">IFERROR(__xludf.DUMMYFUNCTION("IFERROR(ARRAYFORMULA(REGEXEXTRACT(A2419,""^(?:https?:\/\/)?(?:[^@\n]+@)?(?:www\.)?([^:\/\n]+)"")),"""")"),"homecarecontractors.com")</f>
        <v>homecarecontractors.com</v>
      </c>
    </row>
    <row r="2420" spans="1:2" ht="12.5">
      <c r="A2420" s="3" t="s">
        <v>2675</v>
      </c>
      <c r="B2420" s="4" t="str">
        <f ca="1">IFERROR(__xludf.DUMMYFUNCTION("IFERROR(ARRAYFORMULA(REGEXEXTRACT(A2420,""^(?:https?:\/\/)?(?:[^@\n]+@)?(?:www\.)?([^:\/\n]+)"")),"""")"),"iambuilders.com")</f>
        <v>iambuilders.com</v>
      </c>
    </row>
    <row r="2421" spans="1:2" ht="12.5">
      <c r="A2421" s="3" t="s">
        <v>2676</v>
      </c>
      <c r="B2421" s="4" t="str">
        <f ca="1">IFERROR(__xludf.DUMMYFUNCTION("IFERROR(ARRAYFORMULA(REGEXEXTRACT(A2421,""^(?:https?:\/\/)?(?:[^@\n]+@)?(?:www\.)?([^:\/\n]+)"")),"""")"),"hunker.com")</f>
        <v>hunker.com</v>
      </c>
    </row>
    <row r="2422" spans="1:2" ht="12.5">
      <c r="A2422" s="3" t="s">
        <v>2677</v>
      </c>
      <c r="B2422" s="4" t="str">
        <f ca="1">IFERROR(__xludf.DUMMYFUNCTION("IFERROR(ARRAYFORMULA(REGEXEXTRACT(A2422,""^(?:https?:\/\/)?(?:[^@\n]+@)?(?:www\.)?([^:\/\n]+)"")),"""")"),"bestplumberqueensny.com")</f>
        <v>bestplumberqueensny.com</v>
      </c>
    </row>
    <row r="2423" spans="1:2" ht="12.5">
      <c r="A2423" s="3" t="s">
        <v>2678</v>
      </c>
      <c r="B2423" s="4" t="str">
        <f ca="1">IFERROR(__xludf.DUMMYFUNCTION("IFERROR(ARRAYFORMULA(REGEXEXTRACT(A2423,""^(?:https?:\/\/)?(?:[^@\n]+@)?(?:www\.)?([^:\/\n]+)"")),"""")"),"logicstics.com")</f>
        <v>logicstics.com</v>
      </c>
    </row>
    <row r="2424" spans="1:2" ht="12.5">
      <c r="A2424" s="3" t="s">
        <v>2679</v>
      </c>
      <c r="B2424" s="4" t="str">
        <f ca="1">IFERROR(__xludf.DUMMYFUNCTION("IFERROR(ARRAYFORMULA(REGEXEXTRACT(A2424,""^(?:https?:\/\/)?(?:[^@\n]+@)?(?:www\.)?([^:\/\n]+)"")),"""")"),"nowaluminium.co.uk")</f>
        <v>nowaluminium.co.uk</v>
      </c>
    </row>
    <row r="2425" spans="1:2" ht="12.5">
      <c r="A2425" s="3" t="s">
        <v>2680</v>
      </c>
      <c r="B2425" s="4" t="str">
        <f ca="1">IFERROR(__xludf.DUMMYFUNCTION("IFERROR(ARRAYFORMULA(REGEXEXTRACT(A2425,""^(?:https?:\/\/)?(?:[^@\n]+@)?(?:www\.)?([^:\/\n]+)"")),"""")"),"roomfortuesday.com")</f>
        <v>roomfortuesday.com</v>
      </c>
    </row>
    <row r="2426" spans="1:2" ht="12.5">
      <c r="A2426" s="3" t="s">
        <v>2681</v>
      </c>
      <c r="B2426" s="4" t="str">
        <f ca="1">IFERROR(__xludf.DUMMYFUNCTION("IFERROR(ARRAYFORMULA(REGEXEXTRACT(A2426,""^(?:https?:\/\/)?(?:[^@\n]+@)?(?:www\.)?([^:\/\n]+)"")),"""")"),"finnishsaunabuilders.com")</f>
        <v>finnishsaunabuilders.com</v>
      </c>
    </row>
    <row r="2427" spans="1:2" ht="12.5">
      <c r="A2427" s="3" t="s">
        <v>2682</v>
      </c>
      <c r="B2427" s="4" t="str">
        <f ca="1">IFERROR(__xludf.DUMMYFUNCTION("IFERROR(ARRAYFORMULA(REGEXEXTRACT(A2427,""^(?:https?:\/\/)?(?:[^@\n]+@)?(?:www\.)?([^:\/\n]+)"")),"""")"),"havenly.com")</f>
        <v>havenly.com</v>
      </c>
    </row>
    <row r="2428" spans="1:2" ht="12.5">
      <c r="A2428" s="3" t="s">
        <v>2683</v>
      </c>
      <c r="B2428" s="4" t="str">
        <f ca="1">IFERROR(__xludf.DUMMYFUNCTION("IFERROR(ARRAYFORMULA(REGEXEXTRACT(A2428,""^(?:https?:\/\/)?(?:[^@\n]+@)?(?:www\.)?([^:\/\n]+)"")),"""")"),"americanvisionwindowsaz.com")</f>
        <v>americanvisionwindowsaz.com</v>
      </c>
    </row>
    <row r="2429" spans="1:2" ht="12.5">
      <c r="A2429" s="3" t="s">
        <v>2684</v>
      </c>
      <c r="B2429" s="4" t="str">
        <f ca="1">IFERROR(__xludf.DUMMYFUNCTION("IFERROR(ARRAYFORMULA(REGEXEXTRACT(A2429,""^(?:https?:\/\/)?(?:[^@\n]+@)?(?:www\.)?([^:\/\n]+)"")),"""")"),"webuyhouseshere.com")</f>
        <v>webuyhouseshere.com</v>
      </c>
    </row>
    <row r="2430" spans="1:2" ht="12.5">
      <c r="A2430" s="3" t="s">
        <v>2685</v>
      </c>
      <c r="B2430" s="4" t="str">
        <f ca="1">IFERROR(__xludf.DUMMYFUNCTION("IFERROR(ARRAYFORMULA(REGEXEXTRACT(A2430,""^(?:https?:\/\/)?(?:[^@\n]+@)?(?:www\.)?([^:\/\n]+)"")),"""")"),"roofmaxx.com")</f>
        <v>roofmaxx.com</v>
      </c>
    </row>
    <row r="2431" spans="1:2" ht="12.5">
      <c r="A2431" s="3" t="s">
        <v>2686</v>
      </c>
      <c r="B2431" s="4" t="str">
        <f ca="1">IFERROR(__xludf.DUMMYFUNCTION("IFERROR(ARRAYFORMULA(REGEXEXTRACT(A2431,""^(?:https?:\/\/)?(?:[^@\n]+@)?(?:www\.)?([^:\/\n]+)"")),"""")"),"christiedustman.com")</f>
        <v>christiedustman.com</v>
      </c>
    </row>
    <row r="2432" spans="1:2" ht="12.5">
      <c r="A2432" s="3" t="s">
        <v>2687</v>
      </c>
      <c r="B2432" s="4" t="str">
        <f ca="1">IFERROR(__xludf.DUMMYFUNCTION("IFERROR(ARRAYFORMULA(REGEXEXTRACT(A2432,""^(?:https?:\/\/)?(?:[^@\n]+@)?(?:www\.)?([^:\/\n]+)"")),"""")"),"interior-design3d.com")</f>
        <v>interior-design3d.com</v>
      </c>
    </row>
    <row r="2433" spans="1:2" ht="12.5">
      <c r="A2433" s="3" t="s">
        <v>2688</v>
      </c>
      <c r="B2433" s="4" t="str">
        <f ca="1">IFERROR(__xludf.DUMMYFUNCTION("IFERROR(ARRAYFORMULA(REGEXEXTRACT(A2433,""^(?:https?:\/\/)?(?:[^@\n]+@)?(?:www\.)?([^:\/\n]+)"")),"""")"),"blacktiemoving.com")</f>
        <v>blacktiemoving.com</v>
      </c>
    </row>
    <row r="2434" spans="1:2" ht="12.5">
      <c r="A2434" s="3" t="s">
        <v>2689</v>
      </c>
      <c r="B2434" s="4" t="str">
        <f ca="1">IFERROR(__xludf.DUMMYFUNCTION("IFERROR(ARRAYFORMULA(REGEXEXTRACT(A2434,""^(?:https?:\/\/)?(?:[^@\n]+@)?(?:www\.)?([^:\/\n]+)"")),"""")"),"commercialpestcontrol.net.nz")</f>
        <v>commercialpestcontrol.net.nz</v>
      </c>
    </row>
    <row r="2435" spans="1:2" ht="12.5">
      <c r="A2435" s="3" t="s">
        <v>2690</v>
      </c>
      <c r="B2435" s="4" t="str">
        <f ca="1">IFERROR(__xludf.DUMMYFUNCTION("IFERROR(ARRAYFORMULA(REGEXEXTRACT(A2435,""^(?:https?:\/\/)?(?:[^@\n]+@)?(?:www\.)?([^:\/\n]+)"")),"""")"),"colemanallied.com")</f>
        <v>colemanallied.com</v>
      </c>
    </row>
    <row r="2436" spans="1:2" ht="12.5">
      <c r="A2436" s="3" t="s">
        <v>2691</v>
      </c>
      <c r="B2436" s="4" t="str">
        <f ca="1">IFERROR(__xludf.DUMMYFUNCTION("IFERROR(ARRAYFORMULA(REGEXEXTRACT(A2436,""^(?:https?:\/\/)?(?:[^@\n]+@)?(?:www\.)?([^:\/\n]+)"")),"""")"),"suddath.com")</f>
        <v>suddath.com</v>
      </c>
    </row>
    <row r="2437" spans="1:2" ht="12.5">
      <c r="A2437" s="3" t="s">
        <v>2692</v>
      </c>
      <c r="B2437" s="4" t="str">
        <f ca="1">IFERROR(__xludf.DUMMYFUNCTION("IFERROR(ARRAYFORMULA(REGEXEXTRACT(A2437,""^(?:https?:\/\/)?(?:[^@\n]+@)?(?:www\.)?([^:\/\n]+)"")),"""")"),"livepositively.com")</f>
        <v>livepositively.com</v>
      </c>
    </row>
    <row r="2438" spans="1:2" ht="12.5">
      <c r="A2438" s="3" t="s">
        <v>2693</v>
      </c>
      <c r="B2438" s="4" t="str">
        <f ca="1">IFERROR(__xludf.DUMMYFUNCTION("IFERROR(ARRAYFORMULA(REGEXEXTRACT(A2438,""^(?:https?:\/\/)?(?:[^@\n]+@)?(?:www\.)?([^:\/\n]+)"")),"""")"),"frederickrealestateonline.com")</f>
        <v>frederickrealestateonline.com</v>
      </c>
    </row>
    <row r="2439" spans="1:2" ht="12.5">
      <c r="A2439" s="3" t="s">
        <v>2694</v>
      </c>
      <c r="B2439" s="4" t="str">
        <f ca="1">IFERROR(__xludf.DUMMYFUNCTION("IFERROR(ARRAYFORMULA(REGEXEXTRACT(A2439,""^(?:https?:\/\/)?(?:[^@\n]+@)?(?:www\.)?([^:\/\n]+)"")),"""")"),"smartmoneymatch.com")</f>
        <v>smartmoneymatch.com</v>
      </c>
    </row>
    <row r="2440" spans="1:2" ht="12.5">
      <c r="A2440" s="3" t="s">
        <v>2695</v>
      </c>
      <c r="B2440" s="4" t="str">
        <f ca="1">IFERROR(__xludf.DUMMYFUNCTION("IFERROR(ARRAYFORMULA(REGEXEXTRACT(A2440,""^(?:https?:\/\/)?(?:[^@\n]+@)?(?:www\.)?([^:\/\n]+)"")),"""")"),"ltcnews.com")</f>
        <v>ltcnews.com</v>
      </c>
    </row>
    <row r="2441" spans="1:2" ht="12.5">
      <c r="A2441" s="3" t="s">
        <v>16</v>
      </c>
      <c r="B2441" s="4" t="str">
        <f ca="1">IFERROR(__xludf.DUMMYFUNCTION("IFERROR(ARRAYFORMULA(REGEXEXTRACT(A2441,""^(?:https?:\/\/)?(?:[^@\n]+@)?(?:www\.)?([^:\/\n]+)"")),"""")"),"futuristarchitecture.com")</f>
        <v>futuristarchitecture.com</v>
      </c>
    </row>
    <row r="2442" spans="1:2" ht="12.5">
      <c r="A2442" s="3" t="s">
        <v>2696</v>
      </c>
      <c r="B2442" s="4" t="str">
        <f ca="1">IFERROR(__xludf.DUMMYFUNCTION("IFERROR(ARRAYFORMULA(REGEXEXTRACT(A2442,""^(?:https?:\/\/)?(?:[^@\n]+@)?(?:www\.)?([^:\/\n]+)"")),"""")"),"womentriangle.com")</f>
        <v>womentriangle.com</v>
      </c>
    </row>
    <row r="2443" spans="1:2" ht="12.5">
      <c r="A2443" s="3" t="s">
        <v>2697</v>
      </c>
      <c r="B2443" s="4" t="str">
        <f ca="1">IFERROR(__xludf.DUMMYFUNCTION("IFERROR(ARRAYFORMULA(REGEXEXTRACT(A2443,""^(?:https?:\/\/)?(?:[^@\n]+@)?(?:www\.)?([^:\/\n]+)"")),"""")"),"profitbooks.net")</f>
        <v>profitbooks.net</v>
      </c>
    </row>
    <row r="2444" spans="1:2" ht="12.5">
      <c r="A2444" s="3" t="s">
        <v>2698</v>
      </c>
      <c r="B2444" s="4" t="str">
        <f ca="1">IFERROR(__xludf.DUMMYFUNCTION("IFERROR(ARRAYFORMULA(REGEXEXTRACT(A2444,""^(?:https?:\/\/)?(?:[^@\n]+@)?(?:www\.)?([^:\/\n]+)"")),"""")"),"shabbychicboho.com")</f>
        <v>shabbychicboho.com</v>
      </c>
    </row>
    <row r="2445" spans="1:2" ht="12.5">
      <c r="A2445" s="3" t="s">
        <v>2699</v>
      </c>
      <c r="B2445" s="4" t="str">
        <f ca="1">IFERROR(__xludf.DUMMYFUNCTION("IFERROR(ARRAYFORMULA(REGEXEXTRACT(A2445,""^(?:https?:\/\/)?(?:[^@\n]+@)?(?:www\.)?([^:\/\n]+)"")),"""")"),"greenresidential.com")</f>
        <v>greenresidential.com</v>
      </c>
    </row>
    <row r="2446" spans="1:2" ht="12.5">
      <c r="A2446" s="3" t="s">
        <v>2700</v>
      </c>
      <c r="B2446" s="4" t="str">
        <f ca="1">IFERROR(__xludf.DUMMYFUNCTION("IFERROR(ARRAYFORMULA(REGEXEXTRACT(A2446,""^(?:https?:\/\/)?(?:[^@\n]+@)?(?:www\.)?([^:\/\n]+)"")),"""")"),"landlordstudio.com")</f>
        <v>landlordstudio.com</v>
      </c>
    </row>
    <row r="2447" spans="1:2" ht="12.5">
      <c r="A2447" s="3" t="s">
        <v>2701</v>
      </c>
      <c r="B2447" s="4" t="str">
        <f ca="1">IFERROR(__xludf.DUMMYFUNCTION("IFERROR(ARRAYFORMULA(REGEXEXTRACT(A2447,""^(?:https?:\/\/)?(?:[^@\n]+@)?(?:www\.)?([^:\/\n]+)"")),"""")"),"vaned.com")</f>
        <v>vaned.com</v>
      </c>
    </row>
    <row r="2448" spans="1:2" ht="12.5">
      <c r="A2448" s="3" t="s">
        <v>2702</v>
      </c>
      <c r="B2448" s="4" t="str">
        <f ca="1">IFERROR(__xludf.DUMMYFUNCTION("IFERROR(ARRAYFORMULA(REGEXEXTRACT(A2448,""^(?:https?:\/\/)?(?:[^@\n]+@)?(?:www\.)?([^:\/\n]+)"")),"""")"),"schumacherhomes.com")</f>
        <v>schumacherhomes.com</v>
      </c>
    </row>
    <row r="2449" spans="1:2" ht="12.5">
      <c r="A2449" s="3" t="s">
        <v>2703</v>
      </c>
      <c r="B2449" s="4" t="str">
        <f ca="1">IFERROR(__xludf.DUMMYFUNCTION("IFERROR(ARRAYFORMULA(REGEXEXTRACT(A2449,""^(?:https?:\/\/)?(?:[^@\n]+@)?(?:www\.)?([^:\/\n]+)"")),"""")"),"snug.com")</f>
        <v>snug.com</v>
      </c>
    </row>
    <row r="2450" spans="1:2" ht="12.5">
      <c r="A2450" s="3" t="s">
        <v>2704</v>
      </c>
      <c r="B2450" s="4" t="str">
        <f ca="1">IFERROR(__xludf.DUMMYFUNCTION("IFERROR(ARRAYFORMULA(REGEXEXTRACT(A2450,""^(?:https?:\/\/)?(?:[^@\n]+@)?(?:www\.)?([^:\/\n]+)"")),"""")"),"realestatequeen.com")</f>
        <v>realestatequeen.com</v>
      </c>
    </row>
    <row r="2451" spans="1:2" ht="12.5">
      <c r="A2451" s="3" t="s">
        <v>2705</v>
      </c>
      <c r="B2451" s="4" t="str">
        <f ca="1">IFERROR(__xludf.DUMMYFUNCTION("IFERROR(ARRAYFORMULA(REGEXEXTRACT(A2451,""^(?:https?:\/\/)?(?:[^@\n]+@)?(?:www\.)?([^:\/\n]+)"")),"""")"),"shaferservices.com")</f>
        <v>shaferservices.com</v>
      </c>
    </row>
    <row r="2452" spans="1:2" ht="12.5">
      <c r="A2452" s="3" t="s">
        <v>2706</v>
      </c>
      <c r="B2452" s="4" t="str">
        <f ca="1">IFERROR(__xludf.DUMMYFUNCTION("IFERROR(ARRAYFORMULA(REGEXEXTRACT(A2452,""^(?:https?:\/\/)?(?:[^@\n]+@)?(?:www\.)?([^:\/\n]+)"")),"""")"),"radonpds.com")</f>
        <v>radonpds.com</v>
      </c>
    </row>
    <row r="2453" spans="1:2" ht="12.5">
      <c r="A2453" s="3" t="s">
        <v>2707</v>
      </c>
      <c r="B2453" s="4" t="str">
        <f ca="1">IFERROR(__xludf.DUMMYFUNCTION("IFERROR(ARRAYFORMULA(REGEXEXTRACT(A2453,""^(?:https?:\/\/)?(?:[^@\n]+@)?(?:www\.)?([^:\/\n]+)"")),"""")"),"a2zbuilders.com")</f>
        <v>a2zbuilders.com</v>
      </c>
    </row>
    <row r="2454" spans="1:2" ht="12.5">
      <c r="A2454" s="3" t="s">
        <v>2708</v>
      </c>
      <c r="B2454" s="4" t="str">
        <f ca="1">IFERROR(__xludf.DUMMYFUNCTION("IFERROR(ARRAYFORMULA(REGEXEXTRACT(A2454,""^(?:https?:\/\/)?(?:[^@\n]+@)?(?:www\.)?([^:\/\n]+)"")),"""")"),"reecebuilders.com")</f>
        <v>reecebuilders.com</v>
      </c>
    </row>
    <row r="2455" spans="1:2" ht="12.5">
      <c r="A2455" s="3" t="s">
        <v>2709</v>
      </c>
      <c r="B2455" s="4" t="str">
        <f ca="1">IFERROR(__xludf.DUMMYFUNCTION("IFERROR(ARRAYFORMULA(REGEXEXTRACT(A2455,""^(?:https?:\/\/)?(?:[^@\n]+@)?(?:www\.)?([^:\/\n]+)"")),"""")"),"festaradontech.com")</f>
        <v>festaradontech.com</v>
      </c>
    </row>
    <row r="2456" spans="1:2" ht="12.5">
      <c r="A2456" s="3" t="s">
        <v>2710</v>
      </c>
      <c r="B2456" s="4" t="str">
        <f ca="1">IFERROR(__xludf.DUMMYFUNCTION("IFERROR(ARRAYFORMULA(REGEXEXTRACT(A2456,""^(?:https?:\/\/)?(?:[^@\n]+@)?(?:www\.)?([^:\/\n]+)"")),"""")"),"sprayfoamsys.com")</f>
        <v>sprayfoamsys.com</v>
      </c>
    </row>
    <row r="2457" spans="1:2" ht="12.5">
      <c r="A2457" s="3" t="s">
        <v>2711</v>
      </c>
      <c r="B2457" s="4" t="str">
        <f ca="1">IFERROR(__xludf.DUMMYFUNCTION("IFERROR(ARRAYFORMULA(REGEXEXTRACT(A2457,""^(?:https?:\/\/)?(?:[^@\n]+@)?(?:www\.)?([^:\/\n]+)"")),"""")"),"lagrangecrane.com")</f>
        <v>lagrangecrane.com</v>
      </c>
    </row>
    <row r="2458" spans="1:2" ht="12.5">
      <c r="A2458" s="3" t="s">
        <v>2712</v>
      </c>
      <c r="B2458" s="4" t="str">
        <f ca="1">IFERROR(__xludf.DUMMYFUNCTION("IFERROR(ARRAYFORMULA(REGEXEXTRACT(A2458,""^(?:https?:\/\/)?(?:[^@\n]+@)?(?:www\.)?([^:\/\n]+)"")),"""")"),"paragon-protection.com")</f>
        <v>paragon-protection.com</v>
      </c>
    </row>
    <row r="2459" spans="1:2" ht="12.5">
      <c r="A2459" s="3" t="s">
        <v>2713</v>
      </c>
      <c r="B2459" s="4" t="str">
        <f ca="1">IFERROR(__xludf.DUMMYFUNCTION("IFERROR(ARRAYFORMULA(REGEXEXTRACT(A2459,""^(?:https?:\/\/)?(?:[^@\n]+@)?(?:www\.)?([^:\/\n]+)"")),"""")"),"alpharod.co.uk")</f>
        <v>alpharod.co.uk</v>
      </c>
    </row>
    <row r="2460" spans="1:2" ht="12.5">
      <c r="A2460" s="3" t="s">
        <v>2714</v>
      </c>
      <c r="B2460" s="4" t="str">
        <f ca="1">IFERROR(__xludf.DUMMYFUNCTION("IFERROR(ARRAYFORMULA(REGEXEXTRACT(A2460,""^(?:https?:\/\/)?(?:[^@\n]+@)?(?:www\.)?([^:\/\n]+)"")),"""")"),"ez-rails.com")</f>
        <v>ez-rails.com</v>
      </c>
    </row>
    <row r="2461" spans="1:2" ht="12.5">
      <c r="A2461" s="5" t="s">
        <v>2715</v>
      </c>
      <c r="B2461" s="7" t="str">
        <f ca="1">IFERROR(__xludf.DUMMYFUNCTION("IFERROR(ARRAYFORMULA(REGEXEXTRACT(A2461,""^(?:https?:\/\/)?(?:[^@\n]+@)?(?:www\.)?([^:\/\n]+)"")),"""")"),"revive.realestate")</f>
        <v>revive.realestate</v>
      </c>
    </row>
    <row r="2462" spans="1:2" ht="12.5">
      <c r="A2462" s="3" t="s">
        <v>2716</v>
      </c>
      <c r="B2462" s="4" t="str">
        <f ca="1">IFERROR(__xludf.DUMMYFUNCTION("IFERROR(ARRAYFORMULA(REGEXEXTRACT(A2462,""^(?:https?:\/\/)?(?:[^@\n]+@)?(?:www\.)?([^:\/\n]+)"")),"""")"),"varcopumper.com")</f>
        <v>varcopumper.com</v>
      </c>
    </row>
    <row r="2463" spans="1:2" ht="12.5">
      <c r="A2463" s="3" t="s">
        <v>2717</v>
      </c>
      <c r="B2463" s="4" t="str">
        <f ca="1">IFERROR(__xludf.DUMMYFUNCTION("IFERROR(ARRAYFORMULA(REGEXEXTRACT(A2463,""^(?:https?:\/\/)?(?:[^@\n]+@)?(?:www\.)?([^:\/\n]+)"")),"""")"),"a-rite.com")</f>
        <v>a-rite.com</v>
      </c>
    </row>
    <row r="2464" spans="1:2" ht="12.5">
      <c r="A2464" s="3" t="s">
        <v>2718</v>
      </c>
      <c r="B2464" s="4" t="str">
        <f ca="1">IFERROR(__xludf.DUMMYFUNCTION("IFERROR(ARRAYFORMULA(REGEXEXTRACT(A2464,""^(?:https?:\/\/)?(?:[^@\n]+@)?(?:www\.)?([^:\/\n]+)"")),"""")"),"cmpionline.com")</f>
        <v>cmpionline.com</v>
      </c>
    </row>
    <row r="2465" spans="1:2" ht="12.5">
      <c r="A2465" s="3" t="s">
        <v>2719</v>
      </c>
      <c r="B2465" s="4" t="str">
        <f ca="1">IFERROR(__xludf.DUMMYFUNCTION("IFERROR(ARRAYFORMULA(REGEXEXTRACT(A2465,""^(?:https?:\/\/)?(?:[^@\n]+@)?(?:www\.)?([^:\/\n]+)"")),"""")"),"distinctivedesignremodelinginc.com")</f>
        <v>distinctivedesignremodelinginc.com</v>
      </c>
    </row>
    <row r="2466" spans="1:2" ht="12.5">
      <c r="A2466" s="3" t="s">
        <v>2720</v>
      </c>
      <c r="B2466" s="4" t="str">
        <f ca="1">IFERROR(__xludf.DUMMYFUNCTION("IFERROR(ARRAYFORMULA(REGEXEXTRACT(A2466,""^(?:https?:\/\/)?(?:[^@\n]+@)?(?:www\.)?([^:\/\n]+)"")),"""")"),"drillbitwarehouse.com")</f>
        <v>drillbitwarehouse.com</v>
      </c>
    </row>
    <row r="2467" spans="1:2" ht="12.5">
      <c r="A2467" s="3" t="s">
        <v>2721</v>
      </c>
      <c r="B2467" s="4" t="str">
        <f ca="1">IFERROR(__xludf.DUMMYFUNCTION("IFERROR(ARRAYFORMULA(REGEXEXTRACT(A2467,""^(?:https?:\/\/)?(?:[^@\n]+@)?(?:www\.)?([^:\/\n]+)"")),"""")"),"marylandrealestatelenders.com")</f>
        <v>marylandrealestatelenders.com</v>
      </c>
    </row>
    <row r="2468" spans="1:2" ht="12.5">
      <c r="A2468" s="3" t="s">
        <v>2722</v>
      </c>
      <c r="B2468" s="4" t="str">
        <f ca="1">IFERROR(__xludf.DUMMYFUNCTION("IFERROR(ARRAYFORMULA(REGEXEXTRACT(A2468,""^(?:https?:\/\/)?(?:[^@\n]+@)?(?:www\.)?([^:\/\n]+)"")),"""")"),"bestsheds.com.au")</f>
        <v>bestsheds.com.au</v>
      </c>
    </row>
    <row r="2469" spans="1:2" ht="12.5">
      <c r="A2469" s="3" t="s">
        <v>2723</v>
      </c>
      <c r="B2469" s="4" t="str">
        <f ca="1">IFERROR(__xludf.DUMMYFUNCTION("IFERROR(ARRAYFORMULA(REGEXEXTRACT(A2469,""^(?:https?:\/\/)?(?:[^@\n]+@)?(?:www\.)?([^:\/\n]+)"")),"""")"),"bins4less.com")</f>
        <v>bins4less.com</v>
      </c>
    </row>
    <row r="2470" spans="1:2" ht="12.5">
      <c r="A2470" s="3" t="s">
        <v>2724</v>
      </c>
      <c r="B2470" s="4" t="str">
        <f ca="1">IFERROR(__xludf.DUMMYFUNCTION("IFERROR(ARRAYFORMULA(REGEXEXTRACT(A2470,""^(?:https?:\/\/)?(?:[^@\n]+@)?(?:www\.)?([^:\/\n]+)"")),"""")"),"cleanmanagement.com")</f>
        <v>cleanmanagement.com</v>
      </c>
    </row>
    <row r="2471" spans="1:2" ht="12.5">
      <c r="A2471" s="3" t="s">
        <v>2725</v>
      </c>
      <c r="B2471" s="4" t="str">
        <f ca="1">IFERROR(__xludf.DUMMYFUNCTION("IFERROR(ARRAYFORMULA(REGEXEXTRACT(A2471,""^(?:https?:\/\/)?(?:[^@\n]+@)?(?:www\.)?([^:\/\n]+)"")),"""")"),"nacsupply.com")</f>
        <v>nacsupply.com</v>
      </c>
    </row>
    <row r="2472" spans="1:2" ht="12.5">
      <c r="A2472" s="3" t="s">
        <v>2726</v>
      </c>
      <c r="B2472" s="4" t="str">
        <f ca="1">IFERROR(__xludf.DUMMYFUNCTION("IFERROR(ARRAYFORMULA(REGEXEXTRACT(A2472,""^(?:https?:\/\/)?(?:[^@\n]+@)?(?:www\.)?([^:\/\n]+)"")),"""")"),"goipme.com")</f>
        <v>goipme.com</v>
      </c>
    </row>
    <row r="2473" spans="1:2" ht="12.5">
      <c r="A2473" s="3" t="s">
        <v>2727</v>
      </c>
      <c r="B2473" s="4" t="str">
        <f ca="1">IFERROR(__xludf.DUMMYFUNCTION("IFERROR(ARRAYFORMULA(REGEXEXTRACT(A2473,""^(?:https?:\/\/)?(?:[^@\n]+@)?(?:www\.)?([^:\/\n]+)"")),"""")"),"mortgagecalculator.org")</f>
        <v>mortgagecalculator.org</v>
      </c>
    </row>
    <row r="2474" spans="1:2" ht="12.5">
      <c r="A2474" s="3" t="s">
        <v>2728</v>
      </c>
      <c r="B2474" s="4" t="str">
        <f ca="1">IFERROR(__xludf.DUMMYFUNCTION("IFERROR(ARRAYFORMULA(REGEXEXTRACT(A2474,""^(?:https?:\/\/)?(?:[^@\n]+@)?(?:www\.)?([^:\/\n]+)"")),"""")"),"detroitdiamondtools.com")</f>
        <v>detroitdiamondtools.com</v>
      </c>
    </row>
    <row r="2475" spans="1:2" ht="12.5">
      <c r="A2475" s="3" t="s">
        <v>2729</v>
      </c>
      <c r="B2475" s="4" t="str">
        <f ca="1">IFERROR(__xludf.DUMMYFUNCTION("IFERROR(ARRAYFORMULA(REGEXEXTRACT(A2475,""^(?:https?:\/\/)?(?:[^@\n]+@)?(?:www\.)?([^:\/\n]+)"")),"""")"),"concretecamouflage.com")</f>
        <v>concretecamouflage.com</v>
      </c>
    </row>
    <row r="2476" spans="1:2" ht="12.5">
      <c r="A2476" s="3" t="s">
        <v>2730</v>
      </c>
      <c r="B2476" s="4" t="str">
        <f ca="1">IFERROR(__xludf.DUMMYFUNCTION("IFERROR(ARRAYFORMULA(REGEXEXTRACT(A2476,""^(?:https?:\/\/)?(?:[^@\n]+@)?(?:www\.)?([^:\/\n]+)"")),"""")"),"aquaprovac.com")</f>
        <v>aquaprovac.com</v>
      </c>
    </row>
    <row r="2477" spans="1:2" ht="12.5">
      <c r="A2477" s="3" t="s">
        <v>2731</v>
      </c>
      <c r="B2477" s="4" t="str">
        <f ca="1">IFERROR(__xludf.DUMMYFUNCTION("IFERROR(ARRAYFORMULA(REGEXEXTRACT(A2477,""^(?:https?:\/\/)?(?:[^@\n]+@)?(?:www\.)?([^:\/\n]+)"")),"""")"),"polymermolding.com")</f>
        <v>polymermolding.com</v>
      </c>
    </row>
    <row r="2478" spans="1:2" ht="12.5">
      <c r="A2478" s="3" t="s">
        <v>2732</v>
      </c>
      <c r="B2478" s="4" t="str">
        <f ca="1">IFERROR(__xludf.DUMMYFUNCTION("IFERROR(ARRAYFORMULA(REGEXEXTRACT(A2478,""^(?:https?:\/\/)?(?:[^@\n]+@)?(?:www\.)?([^:\/\n]+)"")),"""")"),"harriswatermainandsewers.com")</f>
        <v>harriswatermainandsewers.com</v>
      </c>
    </row>
    <row r="2479" spans="1:2" ht="12.5">
      <c r="A2479" s="3" t="s">
        <v>2733</v>
      </c>
      <c r="B2479" s="4" t="str">
        <f ca="1">IFERROR(__xludf.DUMMYFUNCTION("IFERROR(ARRAYFORMULA(REGEXEXTRACT(A2479,""^(?:https?:\/\/)?(?:[^@\n]+@)?(?:www\.)?([^:\/\n]+)"")),"""")"),"airmechanical.com")</f>
        <v>airmechanical.com</v>
      </c>
    </row>
    <row r="2480" spans="1:2" ht="12.5">
      <c r="A2480" s="3" t="s">
        <v>2734</v>
      </c>
      <c r="B2480" s="4" t="str">
        <f ca="1">IFERROR(__xludf.DUMMYFUNCTION("IFERROR(ARRAYFORMULA(REGEXEXTRACT(A2480,""^(?:https?:\/\/)?(?:[^@\n]+@)?(?:www\.)?([^:\/\n]+)"")),"""")"),"lanescontracting.com")</f>
        <v>lanescontracting.com</v>
      </c>
    </row>
    <row r="2481" spans="1:2" ht="12.5">
      <c r="A2481" s="3" t="s">
        <v>2735</v>
      </c>
      <c r="B2481" s="4" t="str">
        <f ca="1">IFERROR(__xludf.DUMMYFUNCTION("IFERROR(ARRAYFORMULA(REGEXEXTRACT(A2481,""^(?:https?:\/\/)?(?:[^@\n]+@)?(?:www\.)?([^:\/\n]+)"")),"""")"),"syntheticturfnorthwest.com")</f>
        <v>syntheticturfnorthwest.com</v>
      </c>
    </row>
    <row r="2482" spans="1:2" ht="12.5">
      <c r="A2482" s="3" t="s">
        <v>2736</v>
      </c>
      <c r="B2482" s="4" t="str">
        <f ca="1">IFERROR(__xludf.DUMMYFUNCTION("IFERROR(ARRAYFORMULA(REGEXEXTRACT(A2482,""^(?:https?:\/\/)?(?:[^@\n]+@)?(?:www\.)?([^:\/\n]+)"")),"""")"),"dutchcraftfurniture.com")</f>
        <v>dutchcraftfurniture.com</v>
      </c>
    </row>
    <row r="2483" spans="1:2" ht="12.5">
      <c r="A2483" s="3" t="s">
        <v>2737</v>
      </c>
      <c r="B2483" s="4" t="str">
        <f ca="1">IFERROR(__xludf.DUMMYFUNCTION("IFERROR(ARRAYFORMULA(REGEXEXTRACT(A2483,""^(?:https?:\/\/)?(?:[^@\n]+@)?(?:www\.)?([^:\/\n]+)"")),"""")"),"doorandfencestore.com")</f>
        <v>doorandfencestore.com</v>
      </c>
    </row>
    <row r="2484" spans="1:2" ht="12.5">
      <c r="A2484" s="3" t="s">
        <v>2738</v>
      </c>
      <c r="B2484" s="4" t="str">
        <f ca="1">IFERROR(__xludf.DUMMYFUNCTION("IFERROR(ARRAYFORMULA(REGEXEXTRACT(A2484,""^(?:https?:\/\/)?(?:[^@\n]+@)?(?:www\.)?([^:\/\n]+)"")),"""")"),"mobilehomeoutfitters.com")</f>
        <v>mobilehomeoutfitters.com</v>
      </c>
    </row>
    <row r="2485" spans="1:2" ht="12.5">
      <c r="A2485" s="3" t="s">
        <v>2739</v>
      </c>
      <c r="B2485" s="4" t="str">
        <f ca="1">IFERROR(__xludf.DUMMYFUNCTION("IFERROR(ARRAYFORMULA(REGEXEXTRACT(A2485,""^(?:https?:\/\/)?(?:[^@\n]+@)?(?:www\.)?([^:\/\n]+)"")),"""")"),"timothystoolbox.com")</f>
        <v>timothystoolbox.com</v>
      </c>
    </row>
    <row r="2486" spans="1:2" ht="12.5">
      <c r="A2486" s="3" t="s">
        <v>2740</v>
      </c>
      <c r="B2486" s="4" t="str">
        <f ca="1">IFERROR(__xludf.DUMMYFUNCTION("IFERROR(ARRAYFORMULA(REGEXEXTRACT(A2486,""^(?:https?:\/\/)?(?:[^@\n]+@)?(?:www\.)?([^:\/\n]+)"")),"""")"),"legacycabinets.com")</f>
        <v>legacycabinets.com</v>
      </c>
    </row>
    <row r="2487" spans="1:2" ht="12.5">
      <c r="A2487" s="3" t="s">
        <v>2741</v>
      </c>
      <c r="B2487" s="4" t="str">
        <f ca="1">IFERROR(__xludf.DUMMYFUNCTION("IFERROR(ARRAYFORMULA(REGEXEXTRACT(A2487,""^(?:https?:\/\/)?(?:[^@\n]+@)?(?:www\.)?([^:\/\n]+)"")),"""")"),"wfsmith.com")</f>
        <v>wfsmith.com</v>
      </c>
    </row>
    <row r="2488" spans="1:2" ht="12.5">
      <c r="A2488" s="3" t="s">
        <v>2742</v>
      </c>
      <c r="B2488" s="4" t="str">
        <f ca="1">IFERROR(__xludf.DUMMYFUNCTION("IFERROR(ARRAYFORMULA(REGEXEXTRACT(A2488,""^(?:https?:\/\/)?(?:[^@\n]+@)?(?:www\.)?([^:\/\n]+)"")),"""")"),"belfurniture.com")</f>
        <v>belfurniture.com</v>
      </c>
    </row>
    <row r="2489" spans="1:2" ht="12.5">
      <c r="A2489" s="3" t="s">
        <v>2743</v>
      </c>
      <c r="B2489" s="4" t="str">
        <f ca="1">IFERROR(__xludf.DUMMYFUNCTION("IFERROR(ARRAYFORMULA(REGEXEXTRACT(A2489,""^(?:https?:\/\/)?(?:[^@\n]+@)?(?:www\.)?([^:\/\n]+)"")),"""")"),"zeroenergyproject.com")</f>
        <v>zeroenergyproject.com</v>
      </c>
    </row>
    <row r="2490" spans="1:2" ht="12.5">
      <c r="A2490" s="3" t="s">
        <v>2744</v>
      </c>
      <c r="B2490" s="4" t="str">
        <f ca="1">IFERROR(__xludf.DUMMYFUNCTION("IFERROR(ARRAYFORMULA(REGEXEXTRACT(A2490,""^(?:https?:\/\/)?(?:[^@\n]+@)?(?:www\.)?([^:\/\n]+)"")),"""")"),"dvele.com")</f>
        <v>dvele.com</v>
      </c>
    </row>
    <row r="2491" spans="1:2" ht="12.5">
      <c r="A2491" s="3" t="s">
        <v>2745</v>
      </c>
      <c r="B2491" s="4" t="str">
        <f ca="1">IFERROR(__xludf.DUMMYFUNCTION("IFERROR(ARRAYFORMULA(REGEXEXTRACT(A2491,""^(?:https?:\/\/)?(?:[^@\n]+@)?(?:www\.)?([^:\/\n]+)"")),"""")"),"plantprefab.com")</f>
        <v>plantprefab.com</v>
      </c>
    </row>
    <row r="2492" spans="1:2" ht="12.5">
      <c r="A2492" s="3" t="s">
        <v>2746</v>
      </c>
      <c r="B2492" s="4" t="str">
        <f ca="1">IFERROR(__xludf.DUMMYFUNCTION("IFERROR(ARRAYFORMULA(REGEXEXTRACT(A2492,""^(?:https?:\/\/)?(?:[^@\n]+@)?(?:www\.)?([^:\/\n]+)"")),"""")"),"bambooliving.com")</f>
        <v>bambooliving.com</v>
      </c>
    </row>
    <row r="2493" spans="1:2" ht="12.5">
      <c r="A2493" s="3" t="s">
        <v>2747</v>
      </c>
      <c r="B2493" s="4" t="str">
        <f ca="1">IFERROR(__xludf.DUMMYFUNCTION("IFERROR(ARRAYFORMULA(REGEXEXTRACT(A2493,""^(?:https?:\/\/)?(?:[^@\n]+@)?(?:www\.)?([^:\/\n]+)"")),"""")"),"gologic.us")</f>
        <v>gologic.us</v>
      </c>
    </row>
    <row r="2494" spans="1:2" ht="12.5">
      <c r="A2494" s="3" t="s">
        <v>2748</v>
      </c>
      <c r="B2494" s="4" t="str">
        <f ca="1">IFERROR(__xludf.DUMMYFUNCTION("IFERROR(ARRAYFORMULA(REGEXEXTRACT(A2494,""^(?:https?:\/\/)?(?:[^@\n]+@)?(?:www\.)?([^:\/\n]+)"")),"""")"),"dwellito.com")</f>
        <v>dwellito.com</v>
      </c>
    </row>
    <row r="2495" spans="1:2" ht="12.5">
      <c r="A2495" s="3" t="s">
        <v>2749</v>
      </c>
      <c r="B2495" s="4" t="str">
        <f ca="1">IFERROR(__xludf.DUMMYFUNCTION("IFERROR(ARRAYFORMULA(REGEXEXTRACT(A2495,""^(?:https?:\/\/)?(?:[^@\n]+@)?(?:www\.)?([^:\/\n]+)"")),"""")"),"brightbuilthome.com")</f>
        <v>brightbuilthome.com</v>
      </c>
    </row>
    <row r="2496" spans="1:2" ht="12.5">
      <c r="A2496" s="3" t="s">
        <v>2750</v>
      </c>
      <c r="B2496" s="4" t="str">
        <f ca="1">IFERROR(__xludf.DUMMYFUNCTION("IFERROR(ARRAYFORMULA(REGEXEXTRACT(A2496,""^(?:https?:\/\/)?(?:[^@\n]+@)?(?:www\.)?([^:\/\n]+)"")),"""")"),"deltechomes.com")</f>
        <v>deltechomes.com</v>
      </c>
    </row>
    <row r="2497" spans="1:2" ht="12.5">
      <c r="A2497" s="3" t="s">
        <v>2751</v>
      </c>
      <c r="B2497" s="4" t="str">
        <f ca="1">IFERROR(__xludf.DUMMYFUNCTION("IFERROR(ARRAYFORMULA(REGEXEXTRACT(A2497,""^(?:https?:\/\/)?(?:[^@\n]+@)?(?:www\.)?([^:\/\n]+)"")),"""")"),"fischersips.com")</f>
        <v>fischersips.com</v>
      </c>
    </row>
    <row r="2498" spans="1:2" ht="12.5">
      <c r="A2498" s="3" t="s">
        <v>2752</v>
      </c>
      <c r="B2498" s="4" t="str">
        <f ca="1">IFERROR(__xludf.DUMMYFUNCTION("IFERROR(ARRAYFORMULA(REGEXEXTRACT(A2498,""^(?:https?:\/\/)?(?:[^@\n]+@)?(?:www\.)?([^:\/\n]+)"")),"""")"),"construction.com")</f>
        <v>construction.com</v>
      </c>
    </row>
    <row r="2499" spans="1:2" ht="12.5">
      <c r="A2499" s="3" t="s">
        <v>2753</v>
      </c>
      <c r="B2499" s="4" t="str">
        <f ca="1">IFERROR(__xludf.DUMMYFUNCTION("IFERROR(ARRAYFORMULA(REGEXEXTRACT(A2499,""^(?:https?:\/\/)?(?:[^@\n]+@)?(?:www\.)?([^:\/\n]+)"")),"""")"),"barkhouse.com")</f>
        <v>barkhouse.com</v>
      </c>
    </row>
    <row r="2500" spans="1:2" ht="12.5">
      <c r="A2500" s="3" t="s">
        <v>2754</v>
      </c>
      <c r="B2500" s="4" t="str">
        <f ca="1">IFERROR(__xludf.DUMMYFUNCTION("IFERROR(ARRAYFORMULA(REGEXEXTRACT(A2500,""^(?:https?:\/\/)?(?:[^@\n]+@)?(?:www\.)?([^:\/\n]+)"")),"""")"),"ecospaints.net")</f>
        <v>ecospaints.net</v>
      </c>
    </row>
    <row r="2501" spans="1:2" ht="12.5">
      <c r="A2501" s="3" t="s">
        <v>2755</v>
      </c>
      <c r="B2501" s="4" t="str">
        <f ca="1">IFERROR(__xludf.DUMMYFUNCTION("IFERROR(ARRAYFORMULA(REGEXEXTRACT(A2501,""^(?:https?:\/\/)?(?:[^@\n]+@)?(?:www\.)?([^:\/\n]+)"")),"""")"),"pearlscore.com")</f>
        <v>pearlscore.com</v>
      </c>
    </row>
    <row r="2502" spans="1:2" ht="12.5">
      <c r="A2502" s="3" t="s">
        <v>2756</v>
      </c>
      <c r="B2502" s="4" t="str">
        <f ca="1">IFERROR(__xludf.DUMMYFUNCTION("IFERROR(ARRAYFORMULA(REGEXEXTRACT(A2502,""^(?:https?:\/\/)?(?:[^@\n]+@)?(?:www\.)?([^:\/\n]+)"")),"""")"),"margaritabravo.com")</f>
        <v>margaritabravo.com</v>
      </c>
    </row>
    <row r="2503" spans="1:2" ht="12.5">
      <c r="A2503" s="3" t="s">
        <v>2757</v>
      </c>
      <c r="B2503" s="4" t="str">
        <f ca="1">IFERROR(__xludf.DUMMYFUNCTION("IFERROR(ARRAYFORMULA(REGEXEXTRACT(A2503,""^(?:https?:\/\/)?(?:[^@\n]+@)?(?:www\.)?([^:\/\n]+)"")),"""")"),"solatube.com")</f>
        <v>solatube.com</v>
      </c>
    </row>
    <row r="2504" spans="1:2" ht="12.5">
      <c r="A2504" s="3" t="s">
        <v>2758</v>
      </c>
      <c r="B2504" s="4" t="str">
        <f ca="1">IFERROR(__xludf.DUMMYFUNCTION("IFERROR(ARRAYFORMULA(REGEXEXTRACT(A2504,""^(?:https?:\/\/)?(?:[^@\n]+@)?(?:www\.)?([^:\/\n]+)"")),"""")"),"amywax.com")</f>
        <v>amywax.com</v>
      </c>
    </row>
    <row r="2505" spans="1:2" ht="12.5">
      <c r="A2505" s="3" t="s">
        <v>2759</v>
      </c>
      <c r="B2505" s="4" t="str">
        <f ca="1">IFERROR(__xludf.DUMMYFUNCTION("IFERROR(ARRAYFORMULA(REGEXEXTRACT(A2505,""^(?:https?:\/\/)?(?:[^@\n]+@)?(?:www\.)?([^:\/\n]+)"")),"""")"),"fireclaytile.com")</f>
        <v>fireclaytile.com</v>
      </c>
    </row>
    <row r="2506" spans="1:2" ht="12.5">
      <c r="A2506" s="3" t="s">
        <v>2760</v>
      </c>
      <c r="B2506" s="4" t="str">
        <f ca="1">IFERROR(__xludf.DUMMYFUNCTION("IFERROR(ARRAYFORMULA(REGEXEXTRACT(A2506,""^(?:https?:\/\/)?(?:[^@\n]+@)?(?:www\.)?([^:\/\n]+)"")),"""")"),"recolorpaints.com")</f>
        <v>recolorpaints.com</v>
      </c>
    </row>
    <row r="2507" spans="1:2" ht="12.5">
      <c r="A2507" s="3" t="s">
        <v>2761</v>
      </c>
      <c r="B2507" s="4" t="str">
        <f ca="1">IFERROR(__xludf.DUMMYFUNCTION("IFERROR(ARRAYFORMULA(REGEXEXTRACT(A2507,""^(?:https?:\/\/)?(?:[^@\n]+@)?(?:www\.)?([^:\/\n]+)"")),"""")"),"cernogroup.com")</f>
        <v>cernogroup.com</v>
      </c>
    </row>
    <row r="2508" spans="1:2" ht="12.5">
      <c r="A2508" s="3" t="s">
        <v>2762</v>
      </c>
      <c r="B2508" s="4" t="str">
        <f ca="1">IFERROR(__xludf.DUMMYFUNCTION("IFERROR(ARRAYFORMULA(REGEXEXTRACT(A2508,""^(?:https?:\/\/)?(?:[^@\n]+@)?(?:www\.)?([^:\/\n]+)"")),"""")"),"extremepanel.com")</f>
        <v>extremepanel.com</v>
      </c>
    </row>
    <row r="2509" spans="1:2" ht="12.5">
      <c r="A2509" s="3" t="s">
        <v>2763</v>
      </c>
      <c r="B2509" s="4" t="str">
        <f ca="1">IFERROR(__xludf.DUMMYFUNCTION("IFERROR(ARRAYFORMULA(REGEXEXTRACT(A2509,""^(?:https?:\/\/)?(?:[^@\n]+@)?(?:www\.)?([^:\/\n]+)"")),"""")"),"phyn.com")</f>
        <v>phyn.com</v>
      </c>
    </row>
    <row r="2510" spans="1:2" ht="12.5">
      <c r="A2510" s="5" t="s">
        <v>2764</v>
      </c>
      <c r="B2510" s="4" t="str">
        <f ca="1">IFERROR(__xludf.DUMMYFUNCTION("IFERROR(ARRAYFORMULA(REGEXEXTRACT(A2510,""^(?:https?:\/\/)?(?:[^@\n]+@)?(?:www\.)?([^:\/\n]+)"")),"""")"),"ifr-furniture.com")</f>
        <v>ifr-furniture.com</v>
      </c>
    </row>
    <row r="2511" spans="1:2" ht="12.5">
      <c r="A2511" s="5" t="s">
        <v>2765</v>
      </c>
      <c r="B2511" s="4" t="str">
        <f ca="1">IFERROR(__xludf.DUMMYFUNCTION("IFERROR(ARRAYFORMULA(REGEXEXTRACT(A2511,""^(?:https?:\/\/)?(?:[^@\n]+@)?(?:www\.)?([^:\/\n]+)"")),"""")"),"christianhomebuyers.com")</f>
        <v>christianhomebuyers.com</v>
      </c>
    </row>
    <row r="2512" spans="1:2" ht="12.5">
      <c r="A2512" s="5" t="s">
        <v>2766</v>
      </c>
      <c r="B2512" s="4" t="str">
        <f ca="1">IFERROR(__xludf.DUMMYFUNCTION("IFERROR(ARRAYFORMULA(REGEXEXTRACT(A2512,""^(?:https?:\/\/)?(?:[^@\n]+@)?(?:www\.)?([^:\/\n]+)"")),"""")"),"masercondosales.com")</f>
        <v>masercondosales.com</v>
      </c>
    </row>
    <row r="2513" spans="1:2" ht="12.5">
      <c r="A2513" s="5" t="s">
        <v>2767</v>
      </c>
      <c r="B2513" s="4" t="str">
        <f ca="1">IFERROR(__xludf.DUMMYFUNCTION("IFERROR(ARRAYFORMULA(REGEXEXTRACT(A2513,""^(?:https?:\/\/)?(?:[^@\n]+@)?(?:www\.)?([^:\/\n]+)"")),"""")"),"blackrealestateagents.com")</f>
        <v>blackrealestateagents.com</v>
      </c>
    </row>
    <row r="2514" spans="1:2" ht="12.5">
      <c r="A2514" s="5" t="s">
        <v>2187</v>
      </c>
      <c r="B2514" s="4" t="str">
        <f ca="1">IFERROR(__xludf.DUMMYFUNCTION("IFERROR(ARRAYFORMULA(REGEXEXTRACT(A2514,""^(?:https?:\/\/)?(?:[^@\n]+@)?(?:www\.)?([^:\/\n]+)"")),"""")"),"realtymogul.com")</f>
        <v>realtymogul.com</v>
      </c>
    </row>
    <row r="2515" spans="1:2" ht="12.5">
      <c r="A2515" s="5" t="s">
        <v>2768</v>
      </c>
      <c r="B2515" s="4" t="str">
        <f ca="1">IFERROR(__xludf.DUMMYFUNCTION("IFERROR(ARRAYFORMULA(REGEXEXTRACT(A2515,""^(?:https?:\/\/)?(?:[^@\n]+@)?(?:www\.)?([^:\/\n]+)"")),"""")"),"texasmovingusa.com")</f>
        <v>texasmovingusa.com</v>
      </c>
    </row>
    <row r="2516" spans="1:2" ht="12.5">
      <c r="A2516" s="5" t="s">
        <v>2769</v>
      </c>
      <c r="B2516" s="4" t="str">
        <f ca="1">IFERROR(__xludf.DUMMYFUNCTION("IFERROR(ARRAYFORMULA(REGEXEXTRACT(A2516,""^(?:https?:\/\/)?(?:[^@\n]+@)?(?:www\.)?([^:\/\n]+)"")),"""")"),"bramlettresidential.com")</f>
        <v>bramlettresidential.com</v>
      </c>
    </row>
    <row r="2517" spans="1:2" ht="12.5">
      <c r="A2517" s="5" t="s">
        <v>2770</v>
      </c>
      <c r="B2517" s="4" t="str">
        <f ca="1">IFERROR(__xludf.DUMMYFUNCTION("IFERROR(ARRAYFORMULA(REGEXEXTRACT(A2517,""^(?:https?:\/\/)?(?:[^@\n]+@)?(?:www\.)?([^:\/\n]+)"")),"""")"),"oaksroofingandsiding.com")</f>
        <v>oaksroofingandsiding.com</v>
      </c>
    </row>
    <row r="2518" spans="1:2" ht="12.5">
      <c r="A2518" s="5" t="s">
        <v>2771</v>
      </c>
      <c r="B2518" s="4" t="str">
        <f ca="1">IFERROR(__xludf.DUMMYFUNCTION("IFERROR(ARRAYFORMULA(REGEXEXTRACT(A2518,""^(?:https?:\/\/)?(?:[^@\n]+@)?(?:www\.)?([^:\/\n]+)"")),"""")"),"centurycommunities.com")</f>
        <v>centurycommunities.com</v>
      </c>
    </row>
    <row r="2519" spans="1:2" ht="12.5">
      <c r="A2519" s="5" t="s">
        <v>2772</v>
      </c>
      <c r="B2519" s="4" t="str">
        <f ca="1">IFERROR(__xludf.DUMMYFUNCTION("IFERROR(ARRAYFORMULA(REGEXEXTRACT(A2519,""^(?:https?:\/\/)?(?:[^@\n]+@)?(?:www\.)?([^:\/\n]+)"")),"""")"),"easystarthomes.com.au")</f>
        <v>easystarthomes.com.au</v>
      </c>
    </row>
    <row r="2520" spans="1:2" ht="12.5">
      <c r="A2520" s="5" t="s">
        <v>1722</v>
      </c>
      <c r="B2520" s="4" t="str">
        <f ca="1">IFERROR(__xludf.DUMMYFUNCTION("IFERROR(ARRAYFORMULA(REGEXEXTRACT(A2520,""^(?:https?:\/\/)?(?:[^@\n]+@)?(?:www\.)?([^:\/\n]+)"")),"""")"),"allied.com")</f>
        <v>allied.com</v>
      </c>
    </row>
    <row r="2521" spans="1:2" ht="12.5">
      <c r="A2521" s="5" t="s">
        <v>2773</v>
      </c>
      <c r="B2521" s="4" t="str">
        <f ca="1">IFERROR(__xludf.DUMMYFUNCTION("IFERROR(ARRAYFORMULA(REGEXEXTRACT(A2521,""^(?:https?:\/\/)?(?:[^@\n]+@)?(?:www\.)?([^:\/\n]+)"")),"""")"),"leatelierparis.com")</f>
        <v>leatelierparis.com</v>
      </c>
    </row>
    <row r="2522" spans="1:2" ht="12.5">
      <c r="A2522" s="5" t="s">
        <v>2774</v>
      </c>
      <c r="B2522" s="4" t="str">
        <f ca="1">IFERROR(__xludf.DUMMYFUNCTION("IFERROR(ARRAYFORMULA(REGEXEXTRACT(A2522,""^(?:https?:\/\/)?(?:[^@\n]+@)?(?:www\.)?([^:\/\n]+)"")),"""")"),"tripalink.com")</f>
        <v>tripalink.com</v>
      </c>
    </row>
    <row r="2523" spans="1:2" ht="12.5">
      <c r="A2523" s="5" t="s">
        <v>2775</v>
      </c>
      <c r="B2523" s="4" t="str">
        <f ca="1">IFERROR(__xludf.DUMMYFUNCTION("IFERROR(ARRAYFORMULA(REGEXEXTRACT(A2523,""^(?:https?:\/\/)?(?:[^@\n]+@)?(?:www\.)?([^:\/\n]+)"")),"""")"),"9kilo.com")</f>
        <v>9kilo.com</v>
      </c>
    </row>
    <row r="2524" spans="1:2" ht="12.5">
      <c r="A2524" s="5" t="s">
        <v>2776</v>
      </c>
      <c r="B2524" s="4" t="str">
        <f ca="1">IFERROR(__xludf.DUMMYFUNCTION("IFERROR(ARRAYFORMULA(REGEXEXTRACT(A2524,""^(?:https?:\/\/)?(?:[^@\n]+@)?(?:www\.)?([^:\/\n]+)"")),"""")"),"paperlesspipeline.com")</f>
        <v>paperlesspipeline.com</v>
      </c>
    </row>
    <row r="2525" spans="1:2" ht="12.5">
      <c r="A2525" s="5" t="s">
        <v>2777</v>
      </c>
      <c r="B2525" s="4" t="str">
        <f ca="1">IFERROR(__xludf.DUMMYFUNCTION("IFERROR(ARRAYFORMULA(REGEXEXTRACT(A2525,""^(?:https?:\/\/)?(?:[^@\n]+@)?(?:www\.)?([^:\/\n]+)"")),"""")"),"renovated.com")</f>
        <v>renovated.com</v>
      </c>
    </row>
    <row r="2526" spans="1:2" ht="12.5">
      <c r="A2526" s="5" t="s">
        <v>2778</v>
      </c>
      <c r="B2526" s="4" t="str">
        <f ca="1">IFERROR(__xludf.DUMMYFUNCTION("IFERROR(ARRAYFORMULA(REGEXEXTRACT(A2526,""^(?:https?:\/\/)?(?:[^@\n]+@)?(?:www\.)?([^:\/\n]+)"")),"""")"),"baymgmtgroup.com")</f>
        <v>baymgmtgroup.com</v>
      </c>
    </row>
    <row r="2527" spans="1:2" ht="12.5">
      <c r="A2527" s="5" t="s">
        <v>2779</v>
      </c>
      <c r="B2527" s="4" t="str">
        <f ca="1">IFERROR(__xludf.DUMMYFUNCTION("IFERROR(ARRAYFORMULA(REGEXEXTRACT(A2527,""^(?:https?:\/\/)?(?:[^@\n]+@)?(?:www\.)?([^:\/\n]+)"")),"""")"),"ppmnva.com")</f>
        <v>ppmnva.com</v>
      </c>
    </row>
    <row r="2528" spans="1:2" ht="12.5">
      <c r="A2528" s="5" t="s">
        <v>2780</v>
      </c>
      <c r="B2528" s="4" t="str">
        <f ca="1">IFERROR(__xludf.DUMMYFUNCTION("IFERROR(ARRAYFORMULA(REGEXEXTRACT(A2528,""^(?:https?:\/\/)?(?:[^@\n]+@)?(?:www\.)?([^:\/\n]+)"")),"""")"),"todayshomeowner.com")</f>
        <v>todayshomeowner.com</v>
      </c>
    </row>
    <row r="2529" spans="1:2" ht="12.5">
      <c r="A2529" s="5" t="s">
        <v>2781</v>
      </c>
      <c r="B2529" s="4" t="str">
        <f ca="1">IFERROR(__xludf.DUMMYFUNCTION("IFERROR(ARRAYFORMULA(REGEXEXTRACT(A2529,""^(?:https?:\/\/)?(?:[^@\n]+@)?(?:www\.)?([^:\/\n]+)"")),"""")"),"spraguepest.com")</f>
        <v>spraguepest.com</v>
      </c>
    </row>
    <row r="2530" spans="1:2" ht="12.5">
      <c r="A2530" s="3" t="s">
        <v>2782</v>
      </c>
      <c r="B2530" s="4" t="str">
        <f ca="1">IFERROR(__xludf.DUMMYFUNCTION("IFERROR(ARRAYFORMULA(REGEXEXTRACT(A2530,""^(?:https?:\/\/)?(?:[^@\n]+@)?(?:www\.)?([^:\/\n]+)"")),"""")"),"californiamoversusa.com")</f>
        <v>californiamoversusa.com</v>
      </c>
    </row>
    <row r="2531" spans="1:2" ht="12.5">
      <c r="A2531" s="3" t="s">
        <v>2783</v>
      </c>
      <c r="B2531" s="4" t="str">
        <f ca="1">IFERROR(__xludf.DUMMYFUNCTION("IFERROR(ARRAYFORMULA(REGEXEXTRACT(A2531,""^(?:https?:\/\/)?(?:[^@\n]+@)?(?:www\.)?([^:\/\n]+)"")),"""")"),"allstarhome.com")</f>
        <v>allstarhome.com</v>
      </c>
    </row>
    <row r="2532" spans="1:2" ht="12.5">
      <c r="A2532" s="3" t="s">
        <v>2784</v>
      </c>
      <c r="B2532" s="4" t="str">
        <f ca="1">IFERROR(__xludf.DUMMYFUNCTION("IFERROR(ARRAYFORMULA(REGEXEXTRACT(A2532,""^(?:https?:\/\/)?(?:[^@\n]+@)?(?:www\.)?([^:\/\n]+)"")),"""")"),"ppshousebuyers.com")</f>
        <v>ppshousebuyers.com</v>
      </c>
    </row>
    <row r="2533" spans="1:2" ht="12.5">
      <c r="A2533" s="3" t="s">
        <v>2785</v>
      </c>
      <c r="B2533" s="4" t="str">
        <f ca="1">IFERROR(__xludf.DUMMYFUNCTION("IFERROR(ARRAYFORMULA(REGEXEXTRACT(A2533,""^(?:https?:\/\/)?(?:[^@\n]+@)?(?:www\.)?([^:\/\n]+)"")),"""")"),"agentadvice.com")</f>
        <v>agentadvice.com</v>
      </c>
    </row>
    <row r="2534" spans="1:2" ht="12.5">
      <c r="A2534" s="3" t="s">
        <v>2786</v>
      </c>
      <c r="B2534" s="4" t="str">
        <f ca="1">IFERROR(__xludf.DUMMYFUNCTION("IFERROR(ARRAYFORMULA(REGEXEXTRACT(A2534,""^(?:https?:\/\/)?(?:[^@\n]+@)?(?:www\.)?([^:\/\n]+)"")),"""")"),"bankforeclosuressale.com")</f>
        <v>bankforeclosuressale.com</v>
      </c>
    </row>
    <row r="2535" spans="1:2" ht="12.5">
      <c r="A2535" s="3" t="s">
        <v>2787</v>
      </c>
      <c r="B2535" s="4" t="str">
        <f ca="1">IFERROR(__xludf.DUMMYFUNCTION("IFERROR(ARRAYFORMULA(REGEXEXTRACT(A2535,""^(?:https?:\/\/)?(?:[^@\n]+@)?(?:www\.)?([^:\/\n]+)"")),"""")"),"gosummer.com")</f>
        <v>gosummer.com</v>
      </c>
    </row>
    <row r="2536" spans="1:2" ht="12.5">
      <c r="A2536" s="3" t="s">
        <v>2788</v>
      </c>
      <c r="B2536" s="4" t="str">
        <f ca="1">IFERROR(__xludf.DUMMYFUNCTION("IFERROR(ARRAYFORMULA(REGEXEXTRACT(A2536,""^(?:https?:\/\/)?(?:[^@\n]+@)?(?:www\.)?([^:\/\n]+)"")),"""")"),"housemax.com")</f>
        <v>housemax.com</v>
      </c>
    </row>
    <row r="2537" spans="1:2" ht="12.5">
      <c r="A2537" s="3" t="s">
        <v>2789</v>
      </c>
      <c r="B2537" s="4" t="str">
        <f ca="1">IFERROR(__xludf.DUMMYFUNCTION("IFERROR(ARRAYFORMULA(REGEXEXTRACT(A2537,""^(?:https?:\/\/)?(?:[^@\n]+@)?(?:www\.)?([^:\/\n]+)"")),"""")"),"magicalcredit.ca")</f>
        <v>magicalcredit.ca</v>
      </c>
    </row>
    <row r="2538" spans="1:2" ht="12.5">
      <c r="A2538" s="3" t="s">
        <v>2790</v>
      </c>
      <c r="B2538" s="4" t="str">
        <f ca="1">IFERROR(__xludf.DUMMYFUNCTION("IFERROR(ARRAYFORMULA(REGEXEXTRACT(A2538,""^(?:https?:\/\/)?(?:[^@\n]+@)?(?:www\.)?([^:\/\n]+)"")),"""")"),"summithomes.com.au")</f>
        <v>summithomes.com.au</v>
      </c>
    </row>
    <row r="2539" spans="1:2" ht="12.5">
      <c r="A2539" s="3" t="s">
        <v>2791</v>
      </c>
      <c r="B2539" s="4" t="str">
        <f ca="1">IFERROR(__xludf.DUMMYFUNCTION("IFERROR(ARRAYFORMULA(REGEXEXTRACT(A2539,""^(?:https?:\/\/)?(?:[^@\n]+@)?(?:www\.)?([^:\/\n]+)"")),"""")"),"modernhousenumbers.com")</f>
        <v>modernhousenumbers.com</v>
      </c>
    </row>
    <row r="2540" spans="1:2" ht="12.5">
      <c r="A2540" s="3" t="s">
        <v>2792</v>
      </c>
      <c r="B2540" s="4" t="str">
        <f ca="1">IFERROR(__xludf.DUMMYFUNCTION("IFERROR(ARRAYFORMULA(REGEXEXTRACT(A2540,""^(?:https?:\/\/)?(?:[^@\n]+@)?(?:www\.)?([^:\/\n]+)"")),"""")"),"kimlee.ca")</f>
        <v>kimlee.ca</v>
      </c>
    </row>
    <row r="2541" spans="1:2" ht="12.5">
      <c r="A2541" s="3" t="s">
        <v>2793</v>
      </c>
      <c r="B2541" s="4" t="str">
        <f ca="1">IFERROR(__xludf.DUMMYFUNCTION("IFERROR(ARRAYFORMULA(REGEXEXTRACT(A2541,""^(?:https?:\/\/)?(?:[^@\n]+@)?(?:www\.)?([^:\/\n]+)"")),"""")"),"squarefoothomes.com")</f>
        <v>squarefoothomes.com</v>
      </c>
    </row>
    <row r="2542" spans="1:2" ht="12.5">
      <c r="A2542" s="3" t="s">
        <v>2794</v>
      </c>
      <c r="B2542" s="4" t="str">
        <f ca="1">IFERROR(__xludf.DUMMYFUNCTION("IFERROR(ARRAYFORMULA(REGEXEXTRACT(A2542,""^(?:https?:\/\/)?(?:[^@\n]+@)?(?:www\.)?([^:\/\n]+)"")),"""")"),"coloradorealtors.com")</f>
        <v>coloradorealtors.com</v>
      </c>
    </row>
    <row r="2543" spans="1:2" ht="12.5">
      <c r="A2543" s="3" t="s">
        <v>2795</v>
      </c>
      <c r="B2543" s="4" t="str">
        <f ca="1">IFERROR(__xludf.DUMMYFUNCTION("IFERROR(ARRAYFORMULA(REGEXEXTRACT(A2543,""^(?:https?:\/\/)?(?:[^@\n]+@)?(?:www\.)?([^:\/\n]+)"")),"""")"),"backlinkexpress.com")</f>
        <v>backlinkexpress.com</v>
      </c>
    </row>
    <row r="2544" spans="1:2" ht="12.5">
      <c r="A2544" s="3" t="s">
        <v>2796</v>
      </c>
      <c r="B2544" s="4" t="str">
        <f ca="1">IFERROR(__xludf.DUMMYFUNCTION("IFERROR(ARRAYFORMULA(REGEXEXTRACT(A2544,""^(?:https?:\/\/)?(?:[^@\n]+@)?(?:www\.)?([^:\/\n]+)"")),"""")"),"realspace3d.com")</f>
        <v>realspace3d.com</v>
      </c>
    </row>
    <row r="2545" spans="1:2" ht="12.5">
      <c r="A2545" s="3" t="s">
        <v>2797</v>
      </c>
      <c r="B2545" s="4" t="str">
        <f ca="1">IFERROR(__xludf.DUMMYFUNCTION("IFERROR(ARRAYFORMULA(REGEXEXTRACT(A2545,""^(?:https?:\/\/)?(?:[^@\n]+@)?(?:www\.)?([^:\/\n]+)"")),"""")"),"hamillcreek.com")</f>
        <v>hamillcreek.com</v>
      </c>
    </row>
    <row r="2546" spans="1:2" ht="12.5">
      <c r="A2546" s="3" t="s">
        <v>2798</v>
      </c>
      <c r="B2546" s="4" t="str">
        <f ca="1">IFERROR(__xludf.DUMMYFUNCTION("IFERROR(ARRAYFORMULA(REGEXEXTRACT(A2546,""^(?:https?:\/\/)?(?:[^@\n]+@)?(?:www\.)?([^:\/\n]+)"")),"""")"),"carolinadesigns.com")</f>
        <v>carolinadesigns.com</v>
      </c>
    </row>
    <row r="2547" spans="1:2" ht="12.5">
      <c r="A2547" s="3" t="s">
        <v>2799</v>
      </c>
      <c r="B2547" s="4" t="str">
        <f ca="1">IFERROR(__xludf.DUMMYFUNCTION("IFERROR(ARRAYFORMULA(REGEXEXTRACT(A2547,""^(?:https?:\/\/)?(?:[^@\n]+@)?(?:www\.)?([^:\/\n]+)"")),"""")"),"ruddertx.com")</f>
        <v>ruddertx.com</v>
      </c>
    </row>
    <row r="2548" spans="1:2" ht="12.5">
      <c r="A2548" s="12" t="s">
        <v>2800</v>
      </c>
      <c r="B2548" s="4" t="str">
        <f ca="1">IFERROR(__xludf.DUMMYFUNCTION("IFERROR(ARRAYFORMULA(REGEXEXTRACT(A2548,""^(?:https?:\/\/)?(?:[^@\n]+@)?(?:www\.)?([^:\/\n]+)"")),"""")"),"schaafsma.com")</f>
        <v>schaafsma.com</v>
      </c>
    </row>
    <row r="2549" spans="1:2" ht="12.5">
      <c r="A2549" s="12" t="s">
        <v>2801</v>
      </c>
      <c r="B2549" s="4" t="str">
        <f ca="1">IFERROR(__xludf.DUMMYFUNCTION("IFERROR(ARRAYFORMULA(REGEXEXTRACT(A2549,""^(?:https?:\/\/)?(?:[^@\n]+@)?(?:www\.)?([^:\/\n]+)"")),"""")"),"absolutepestmgmt.com")</f>
        <v>absolutepestmgmt.com</v>
      </c>
    </row>
    <row r="2550" spans="1:2" ht="12.5">
      <c r="A2550" s="12" t="s">
        <v>2802</v>
      </c>
      <c r="B2550" s="4" t="str">
        <f ca="1">IFERROR(__xludf.DUMMYFUNCTION("IFERROR(ARRAYFORMULA(REGEXEXTRACT(A2550,""^(?:https?:\/\/)?(?:[^@\n]+@)?(?:www\.)?([^:\/\n]+)"")),"""")"),"matrixbasements.com")</f>
        <v>matrixbasements.com</v>
      </c>
    </row>
    <row r="2551" spans="1:2" ht="12.5">
      <c r="A2551" s="15" t="s">
        <v>2803</v>
      </c>
      <c r="B2551" s="4" t="str">
        <f ca="1">IFERROR(__xludf.DUMMYFUNCTION("IFERROR(ARRAYFORMULA(REGEXEXTRACT(A2551,""^(?:https?:\/\/)?(?:[^@\n]+@)?(?:www\.)?([^:\/\n]+)"")),"""")"),"ritewindow.com")</f>
        <v>ritewindow.com</v>
      </c>
    </row>
    <row r="2552" spans="1:2" ht="12.5">
      <c r="A2552" s="3" t="s">
        <v>2804</v>
      </c>
      <c r="B2552" s="4" t="str">
        <f ca="1">IFERROR(__xludf.DUMMYFUNCTION("IFERROR(ARRAYFORMULA(REGEXEXTRACT(A2552,""^(?:https?:\/\/)?(?:[^@\n]+@)?(?:www\.)?([^:\/\n]+)"")),"""")"),"darscover.com")</f>
        <v>darscover.com</v>
      </c>
    </row>
    <row r="2553" spans="1:2" ht="12.5">
      <c r="A2553" s="15" t="s">
        <v>2805</v>
      </c>
      <c r="B2553" s="4" t="str">
        <f ca="1">IFERROR(__xludf.DUMMYFUNCTION("IFERROR(ARRAYFORMULA(REGEXEXTRACT(A2553,""^(?:https?:\/\/)?(?:[^@\n]+@)?(?:www\.)?([^:\/\n]+)"")),"""")"),"happy2movelondon.co.uk")</f>
        <v>happy2movelondon.co.uk</v>
      </c>
    </row>
    <row r="2554" spans="1:2" ht="12.5">
      <c r="A2554" s="16" t="s">
        <v>2806</v>
      </c>
      <c r="B2554" s="4" t="str">
        <f ca="1">IFERROR(__xludf.DUMMYFUNCTION("IFERROR(ARRAYFORMULA(REGEXEXTRACT(A2554,""^(?:https?:\/\/)?(?:[^@\n]+@)?(?:www\.)?([^:\/\n]+)"")),"""")"),"wolfriverelectric.com")</f>
        <v>wolfriverelectric.com</v>
      </c>
    </row>
    <row r="2555" spans="1:2" ht="12.5">
      <c r="A2555" s="12" t="s">
        <v>2807</v>
      </c>
      <c r="B2555" s="4" t="str">
        <f ca="1">IFERROR(__xludf.DUMMYFUNCTION("IFERROR(ARRAYFORMULA(REGEXEXTRACT(A2555,""^(?:https?:\/\/)?(?:[^@\n]+@)?(?:www\.)?([^:\/\n]+)"")),"""")"),"markspain.com")</f>
        <v>markspain.com</v>
      </c>
    </row>
    <row r="2556" spans="1:2" ht="12.5">
      <c r="A2556" s="12" t="s">
        <v>2808</v>
      </c>
      <c r="B2556" s="4" t="str">
        <f ca="1">IFERROR(__xludf.DUMMYFUNCTION("IFERROR(ARRAYFORMULA(REGEXEXTRACT(A2556,""^(?:https?:\/\/)?(?:[^@\n]+@)?(?:www\.)?([^:\/\n]+)"")),"""")"),"tulsahomesforcash.com")</f>
        <v>tulsahomesforcash.com</v>
      </c>
    </row>
    <row r="2557" spans="1:2" ht="12.5">
      <c r="A2557" s="12" t="s">
        <v>2809</v>
      </c>
      <c r="B2557" s="4" t="str">
        <f ca="1">IFERROR(__xludf.DUMMYFUNCTION("IFERROR(ARRAYFORMULA(REGEXEXTRACT(A2557,""^(?:https?:\/\/)?(?:[^@\n]+@)?(?:www\.)?([^:\/\n]+)"")),"""")"),"albertamountainair.com")</f>
        <v>albertamountainair.com</v>
      </c>
    </row>
    <row r="2558" spans="1:2" ht="12.5">
      <c r="A2558" s="12" t="s">
        <v>2810</v>
      </c>
      <c r="B2558" s="4" t="str">
        <f ca="1">IFERROR(__xludf.DUMMYFUNCTION("IFERROR(ARRAYFORMULA(REGEXEXTRACT(A2558,""^(?:https?:\/\/)?(?:[^@\n]+@)?(?:www\.)?([^:\/\n]+)"")),"""")"),"nygkey.com")</f>
        <v>nygkey.com</v>
      </c>
    </row>
    <row r="2559" spans="1:2" ht="12.5">
      <c r="A2559" s="12" t="s">
        <v>2811</v>
      </c>
      <c r="B2559" s="4" t="str">
        <f ca="1">IFERROR(__xludf.DUMMYFUNCTION("IFERROR(ARRAYFORMULA(REGEXEXTRACT(A2559,""^(?:https?:\/\/)?(?:[^@\n]+@)?(?:www\.)?([^:\/\n]+)"")),"""")"),"fidelityrealestate.com")</f>
        <v>fidelityrealestate.com</v>
      </c>
    </row>
    <row r="2560" spans="1:2" ht="12.5">
      <c r="A2560" s="12" t="s">
        <v>2812</v>
      </c>
      <c r="B2560" s="4" t="str">
        <f ca="1">IFERROR(__xludf.DUMMYFUNCTION("IFERROR(ARRAYFORMULA(REGEXEXTRACT(A2560,""^(?:https?:\/\/)?(?:[^@\n]+@)?(?:www\.)?([^:\/\n]+)"")),"""")"),"oylerhines.com")</f>
        <v>oylerhines.com</v>
      </c>
    </row>
    <row r="2561" spans="1:2" ht="12.5">
      <c r="A2561" s="12" t="s">
        <v>2813</v>
      </c>
      <c r="B2561" s="4" t="str">
        <f ca="1">IFERROR(__xludf.DUMMYFUNCTION("IFERROR(ARRAYFORMULA(REGEXEXTRACT(A2561,""^(?:https?:\/\/)?(?:[^@\n]+@)?(?:www\.)?([^:\/\n]+)"")),"""")"),"pulte.com")</f>
        <v>pulte.com</v>
      </c>
    </row>
    <row r="2562" spans="1:2" ht="12.5">
      <c r="A2562" s="12" t="s">
        <v>2814</v>
      </c>
      <c r="B2562" s="4" t="str">
        <f ca="1">IFERROR(__xludf.DUMMYFUNCTION("IFERROR(ARRAYFORMULA(REGEXEXTRACT(A2562,""^(?:https?:\/\/)?(?:[^@\n]+@)?(?:www\.)?([^:\/\n]+)"")),"""")"),"heatherlandhomes.com")</f>
        <v>heatherlandhomes.com</v>
      </c>
    </row>
    <row r="2563" spans="1:2" ht="12.5">
      <c r="A2563" s="12" t="s">
        <v>2815</v>
      </c>
      <c r="B2563" s="4" t="str">
        <f ca="1">IFERROR(__xludf.DUMMYFUNCTION("IFERROR(ARRAYFORMULA(REGEXEXTRACT(A2563,""^(?:https?:\/\/)?(?:[^@\n]+@)?(?:www\.)?([^:\/\n]+)"")),"""")"),"collectionforsyth.com")</f>
        <v>collectionforsyth.com</v>
      </c>
    </row>
    <row r="2564" spans="1:2" ht="12.5">
      <c r="A2564" s="12" t="s">
        <v>2816</v>
      </c>
      <c r="B2564" s="4" t="str">
        <f ca="1">IFERROR(__xludf.DUMMYFUNCTION("IFERROR(ARRAYFORMULA(REGEXEXTRACT(A2564,""^(?:https?:\/\/)?(?:[^@\n]+@)?(?:www\.)?([^:\/\n]+)"")),"""")"),"cheapplumber.ca")</f>
        <v>cheapplumber.ca</v>
      </c>
    </row>
    <row r="2565" spans="1:2" ht="12.5">
      <c r="A2565" s="16" t="s">
        <v>2817</v>
      </c>
      <c r="B2565" s="4" t="str">
        <f ca="1">IFERROR(__xludf.DUMMYFUNCTION("IFERROR(ARRAYFORMULA(REGEXEXTRACT(A2565,""^(?:https?:\/\/)?(?:[^@\n]+@)?(?:www\.)?([^:\/\n]+)"")),"""")"),"overheaddoors.com")</f>
        <v>overheaddoors.com</v>
      </c>
    </row>
    <row r="2566" spans="1:2" ht="12.5">
      <c r="A2566" s="12" t="s">
        <v>2818</v>
      </c>
      <c r="B2566" s="4" t="str">
        <f ca="1">IFERROR(__xludf.DUMMYFUNCTION("IFERROR(ARRAYFORMULA(REGEXEXTRACT(A2566,""^(?:https?:\/\/)?(?:[^@\n]+@)?(?:www\.)?([^:\/\n]+)"")),"""")"),"thecoverguy.com")</f>
        <v>thecoverguy.com</v>
      </c>
    </row>
    <row r="2567" spans="1:2" ht="12.5">
      <c r="A2567" s="16" t="s">
        <v>2819</v>
      </c>
      <c r="B2567" s="4" t="str">
        <f ca="1">IFERROR(__xludf.DUMMYFUNCTION("IFERROR(ARRAYFORMULA(REGEXEXTRACT(A2567,""^(?:https?:\/\/)?(?:[^@\n]+@)?(?:www\.)?([^:\/\n]+)"")),"""")"),"amjmetalroofing.com.au")</f>
        <v>amjmetalroofing.com.au</v>
      </c>
    </row>
    <row r="2568" spans="1:2" ht="12.5">
      <c r="A2568" s="12" t="s">
        <v>2820</v>
      </c>
      <c r="B2568" s="4" t="str">
        <f ca="1">IFERROR(__xludf.DUMMYFUNCTION("IFERROR(ARRAYFORMULA(REGEXEXTRACT(A2568,""^(?:https?:\/\/)?(?:[^@\n]+@)?(?:www\.)?([^:\/\n]+)"")),"""")"),"smartsolarenergyco.com")</f>
        <v>smartsolarenergyco.com</v>
      </c>
    </row>
    <row r="2569" spans="1:2" ht="12.5">
      <c r="A2569" s="12" t="s">
        <v>2821</v>
      </c>
      <c r="B2569" s="4" t="str">
        <f ca="1">IFERROR(__xludf.DUMMYFUNCTION("IFERROR(ARRAYFORMULA(REGEXEXTRACT(A2569,""^(?:https?:\/\/)?(?:[^@\n]+@)?(?:www\.)?([^:\/\n]+)"")),"""")"),"appleplumbing.com")</f>
        <v>appleplumbing.com</v>
      </c>
    </row>
    <row r="2570" spans="1:2" ht="12.5">
      <c r="A2570" s="12" t="s">
        <v>2822</v>
      </c>
      <c r="B2570" s="4" t="str">
        <f ca="1">IFERROR(__xludf.DUMMYFUNCTION("IFERROR(ARRAYFORMULA(REGEXEXTRACT(A2570,""^(?:https?:\/\/)?(?:[^@\n]+@)?(?:www\.)?([^:\/\n]+)"")),"""")"),"kapre.com")</f>
        <v>kapre.com</v>
      </c>
    </row>
    <row r="2571" spans="1:2" ht="12.5">
      <c r="A2571" s="12" t="s">
        <v>2823</v>
      </c>
      <c r="B2571" s="4" t="str">
        <f ca="1">IFERROR(__xludf.DUMMYFUNCTION("IFERROR(ARRAYFORMULA(REGEXEXTRACT(A2571,""^(?:https?:\/\/)?(?:[^@\n]+@)?(?:www\.)?([^:\/\n]+)"")),"""")"),"agentfire.com")</f>
        <v>agentfire.com</v>
      </c>
    </row>
    <row r="2572" spans="1:2" ht="12.5">
      <c r="A2572" s="12" t="s">
        <v>2824</v>
      </c>
      <c r="B2572" s="4" t="str">
        <f ca="1">IFERROR(__xludf.DUMMYFUNCTION("IFERROR(ARRAYFORMULA(REGEXEXTRACT(A2572,""^(?:https?:\/\/)?(?:[^@\n]+@)?(?:www\.)?([^:\/\n]+)"")),"""")"),"freedomdebtrelief.com")</f>
        <v>freedomdebtrelief.com</v>
      </c>
    </row>
    <row r="2573" spans="1:2" ht="12.5">
      <c r="A2573" s="16" t="s">
        <v>2825</v>
      </c>
      <c r="B2573" s="4" t="str">
        <f ca="1">IFERROR(__xludf.DUMMYFUNCTION("IFERROR(ARRAYFORMULA(REGEXEXTRACT(A2573,""^(?:https?:\/\/)?(?:[^@\n]+@)?(?:www\.)?([^:\/\n]+)"")),"""")"),"thermasol.com")</f>
        <v>thermasol.com</v>
      </c>
    </row>
    <row r="2574" spans="1:2" ht="12.5">
      <c r="A2574" s="12" t="s">
        <v>2826</v>
      </c>
      <c r="B2574" s="4" t="str">
        <f ca="1">IFERROR(__xludf.DUMMYFUNCTION("IFERROR(ARRAYFORMULA(REGEXEXTRACT(A2574,""^(?:https?:\/\/)?(?:[^@\n]+@)?(?:www\.)?([^:\/\n]+)"")),"""")"),"eplanters.com")</f>
        <v>eplanters.com</v>
      </c>
    </row>
    <row r="2575" spans="1:2" ht="12.5">
      <c r="A2575" s="12" t="s">
        <v>2827</v>
      </c>
      <c r="B2575" s="4" t="str">
        <f ca="1">IFERROR(__xludf.DUMMYFUNCTION("IFERROR(ARRAYFORMULA(REGEXEXTRACT(A2575,""^(?:https?:\/\/)?(?:[^@\n]+@)?(?:www\.)?([^:\/\n]+)"")),"""")"),"rocklynhomes.com")</f>
        <v>rocklynhomes.com</v>
      </c>
    </row>
    <row r="2576" spans="1:2" ht="12.5">
      <c r="A2576" s="12" t="s">
        <v>2828</v>
      </c>
      <c r="B2576" s="4" t="str">
        <f ca="1">IFERROR(__xludf.DUMMYFUNCTION("IFERROR(ARRAYFORMULA(REGEXEXTRACT(A2576,""^(?:https?:\/\/)?(?:[^@\n]+@)?(?:www\.)?([^:\/\n]+)"")),"""")"),"theprovidencegroup.com")</f>
        <v>theprovidencegroup.com</v>
      </c>
    </row>
    <row r="2577" spans="1:2" ht="12.5">
      <c r="A2577" s="12" t="s">
        <v>2829</v>
      </c>
      <c r="B2577" s="4" t="str">
        <f ca="1">IFERROR(__xludf.DUMMYFUNCTION("IFERROR(ARRAYFORMULA(REGEXEXTRACT(A2577,""^(?:https?:\/\/)?(?:[^@\n]+@)?(?:www\.)?([^:\/\n]+)"")),"""")"),"taylormorrison.com")</f>
        <v>taylormorrison.com</v>
      </c>
    </row>
    <row r="2578" spans="1:2" ht="12.5">
      <c r="A2578" s="12" t="s">
        <v>2830</v>
      </c>
      <c r="B2578" s="4" t="str">
        <f ca="1">IFERROR(__xludf.DUMMYFUNCTION("IFERROR(ARRAYFORMULA(REGEXEXTRACT(A2578,""^(?:https?:\/\/)?(?:[^@\n]+@)?(?:www\.)?([^:\/\n]+)"")),"""")"),"discoverlakelanier.com")</f>
        <v>discoverlakelanier.com</v>
      </c>
    </row>
    <row r="2579" spans="1:2" ht="12.5">
      <c r="A2579" s="3" t="s">
        <v>2831</v>
      </c>
      <c r="B2579" s="4" t="str">
        <f ca="1">IFERROR(__xludf.DUMMYFUNCTION("IFERROR(ARRAYFORMULA(REGEXEXTRACT(A2579,""^(?:https?:\/\/)?(?:[^@\n]+@)?(?:www\.)?([^:\/\n]+)"")),"""")"),"johnbuysbayareahouses.com")</f>
        <v>johnbuysbayareahouses.com</v>
      </c>
    </row>
    <row r="2580" spans="1:2" ht="12.5">
      <c r="A2580" s="3" t="s">
        <v>2832</v>
      </c>
      <c r="B2580" s="4" t="str">
        <f ca="1">IFERROR(__xludf.DUMMYFUNCTION("IFERROR(ARRAYFORMULA(REGEXEXTRACT(A2580,""^(?:https?:\/\/)?(?:[^@\n]+@)?(?:www\.)?([^:\/\n]+)"")),"""")"),"prestigedecor.ca")</f>
        <v>prestigedecor.ca</v>
      </c>
    </row>
    <row r="2581" spans="1:2" ht="12.5">
      <c r="A2581" s="3" t="s">
        <v>2833</v>
      </c>
      <c r="B2581" s="4" t="str">
        <f ca="1">IFERROR(__xludf.DUMMYFUNCTION("IFERROR(ARRAYFORMULA(REGEXEXTRACT(A2581,""^(?:https?:\/\/)?(?:[^@\n]+@)?(?:www\.)?([^:\/\n]+)"")),"""")"),"guestable.com")</f>
        <v>guestable.com</v>
      </c>
    </row>
    <row r="2582" spans="1:2" ht="12.5">
      <c r="A2582" s="3" t="s">
        <v>2834</v>
      </c>
      <c r="B2582" s="4" t="str">
        <f ca="1">IFERROR(__xludf.DUMMYFUNCTION("IFERROR(ARRAYFORMULA(REGEXEXTRACT(A2582,""^(?:https?:\/\/)?(?:[^@\n]+@)?(?:www\.)?([^:\/\n]+)"")),"""")"),"primeworkconstructionca.com")</f>
        <v>primeworkconstructionca.com</v>
      </c>
    </row>
    <row r="2583" spans="1:2" ht="12.5">
      <c r="A2583" s="3" t="s">
        <v>2835</v>
      </c>
      <c r="B2583" s="4" t="str">
        <f ca="1">IFERROR(__xludf.DUMMYFUNCTION("IFERROR(ARRAYFORMULA(REGEXEXTRACT(A2583,""^(?:https?:\/\/)?(?:[^@\n]+@)?(?:www\.)?([^:\/\n]+)"")),"""")"),"cabovillavegasdave.com")</f>
        <v>cabovillavegasdave.com</v>
      </c>
    </row>
    <row r="2584" spans="1:2" ht="12.5">
      <c r="A2584" s="5" t="s">
        <v>2836</v>
      </c>
      <c r="B2584" s="4" t="str">
        <f ca="1">IFERROR(__xludf.DUMMYFUNCTION("IFERROR(ARRAYFORMULA(REGEXEXTRACT(A2584,""^(?:https?:\/\/)?(?:[^@\n]+@)?(?:www\.)?([^:\/\n]+)"")),"""")"),"erdmannexteriors.com")</f>
        <v>erdmannexteriors.com</v>
      </c>
    </row>
    <row r="2585" spans="1:2" ht="12.5">
      <c r="A2585" s="3" t="s">
        <v>2837</v>
      </c>
      <c r="B2585" s="4" t="str">
        <f ca="1">IFERROR(__xludf.DUMMYFUNCTION("IFERROR(ARRAYFORMULA(REGEXEXTRACT(A2585,""^(?:https?:\/\/)?(?:[^@\n]+@)?(?:www\.)?([^:\/\n]+)"")),"""")"),"orcarealty.ca")</f>
        <v>orcarealty.ca</v>
      </c>
    </row>
    <row r="2586" spans="1:2" ht="12.5">
      <c r="A2586" s="3" t="s">
        <v>2838</v>
      </c>
      <c r="B2586" s="4" t="str">
        <f ca="1">IFERROR(__xludf.DUMMYFUNCTION("IFERROR(ARRAYFORMULA(REGEXEXTRACT(A2586,""^(?:https?:\/\/)?(?:[^@\n]+@)?(?:www\.)?([^:\/\n]+)"")),"""")"),"raynor.com")</f>
        <v>raynor.com</v>
      </c>
    </row>
    <row r="2587" spans="1:2" ht="12.5">
      <c r="A2587" s="12" t="s">
        <v>2839</v>
      </c>
      <c r="B2587" s="4" t="str">
        <f ca="1">IFERROR(__xludf.DUMMYFUNCTION("IFERROR(ARRAYFORMULA(REGEXEXTRACT(A2587,""^(?:https?:\/\/)?(?:[^@\n]+@)?(?:www\.)?([^:\/\n]+)"")),"""")"),"trustroofing.com")</f>
        <v>trustroofing.com</v>
      </c>
    </row>
    <row r="2588" spans="1:2" ht="12.5">
      <c r="A2588" s="16" t="s">
        <v>2840</v>
      </c>
      <c r="B2588" s="4" t="str">
        <f ca="1">IFERROR(__xludf.DUMMYFUNCTION("IFERROR(ARRAYFORMULA(REGEXEXTRACT(A2588,""^(?:https?:\/\/)?(?:[^@\n]+@)?(?:www\.)?([^:\/\n]+)"")),"""")"),"certifiedrestorationinc.com")</f>
        <v>certifiedrestorationinc.com</v>
      </c>
    </row>
    <row r="2589" spans="1:2" ht="12.5">
      <c r="A2589" s="12" t="s">
        <v>2841</v>
      </c>
      <c r="B2589" s="4" t="str">
        <f ca="1">IFERROR(__xludf.DUMMYFUNCTION("IFERROR(ARRAYFORMULA(REGEXEXTRACT(A2589,""^(?:https?:\/\/)?(?:[^@\n]+@)?(?:www\.)?([^:\/\n]+)"")),"""")"),"distinctiveroofing.net")</f>
        <v>distinctiveroofing.net</v>
      </c>
    </row>
    <row r="2590" spans="1:2" ht="12.5">
      <c r="A2590" s="12" t="s">
        <v>2842</v>
      </c>
      <c r="B2590" s="4" t="str">
        <f ca="1">IFERROR(__xludf.DUMMYFUNCTION("IFERROR(ARRAYFORMULA(REGEXEXTRACT(A2590,""^(?:https?:\/\/)?(?:[^@\n]+@)?(?:www\.)?([^:\/\n]+)"")),"""")"),"johnsonrestoration.net")</f>
        <v>johnsonrestoration.net</v>
      </c>
    </row>
    <row r="2591" spans="1:2" ht="12.5">
      <c r="A2591" s="12" t="s">
        <v>2843</v>
      </c>
      <c r="B2591" s="4" t="str">
        <f ca="1">IFERROR(__xludf.DUMMYFUNCTION("IFERROR(ARRAYFORMULA(REGEXEXTRACT(A2591,""^(?:https?:\/\/)?(?:[^@\n]+@)?(?:www\.)?([^:\/\n]+)"")),"""")"),"indyroofandrestoration.com")</f>
        <v>indyroofandrestoration.com</v>
      </c>
    </row>
    <row r="2592" spans="1:2" ht="12.5">
      <c r="A2592" s="12" t="s">
        <v>2844</v>
      </c>
      <c r="B2592" s="4" t="str">
        <f ca="1">IFERROR(__xludf.DUMMYFUNCTION("IFERROR(ARRAYFORMULA(REGEXEXTRACT(A2592,""^(?:https?:\/\/)?(?:[^@\n]+@)?(?:www\.)?([^:\/\n]+)"")),"""")"),"whiteglovemoving.us")</f>
        <v>whiteglovemoving.us</v>
      </c>
    </row>
    <row r="2593" spans="1:2" ht="12.5">
      <c r="A2593" s="12" t="s">
        <v>2845</v>
      </c>
      <c r="B2593" s="4" t="str">
        <f ca="1">IFERROR(__xludf.DUMMYFUNCTION("IFERROR(ARRAYFORMULA(REGEXEXTRACT(A2593,""^(?:https?:\/\/)?(?:[^@\n]+@)?(?:www\.)?([^:\/\n]+)"")),"""")"),"integrityhomeexteriors.com")</f>
        <v>integrityhomeexteriors.com</v>
      </c>
    </row>
    <row r="2594" spans="1:2" ht="12.5">
      <c r="A2594" s="16" t="s">
        <v>2846</v>
      </c>
      <c r="B2594" s="4" t="str">
        <f ca="1">IFERROR(__xludf.DUMMYFUNCTION("IFERROR(ARRAYFORMULA(REGEXEXTRACT(A2594,""^(?:https?:\/\/)?(?:[^@\n]+@)?(?:www\.)?([^:\/\n]+)"")),"""")"),"snowdenbuilders.com")</f>
        <v>snowdenbuilders.com</v>
      </c>
    </row>
    <row r="2595" spans="1:2" ht="12.5">
      <c r="A2595" s="16" t="s">
        <v>2847</v>
      </c>
      <c r="B2595" s="4" t="str">
        <f ca="1">IFERROR(__xludf.DUMMYFUNCTION("IFERROR(ARRAYFORMULA(REGEXEXTRACT(A2595,""^(?:https?:\/\/)?(?:[^@\n]+@)?(?:www\.)?([^:\/\n]+)"")),"""")"),"smaarchviz.com")</f>
        <v>smaarchviz.com</v>
      </c>
    </row>
    <row r="2596" spans="1:2" ht="12.5">
      <c r="A2596" s="12" t="s">
        <v>2848</v>
      </c>
      <c r="B2596" s="4" t="str">
        <f ca="1">IFERROR(__xludf.DUMMYFUNCTION("IFERROR(ARRAYFORMULA(REGEXEXTRACT(A2596,""^(?:https?:\/\/)?(?:[^@\n]+@)?(?:www\.)?([^:\/\n]+)"")),"""")"),"zestlighting.com.au")</f>
        <v>zestlighting.com.au</v>
      </c>
    </row>
    <row r="2597" spans="1:2" ht="12.5">
      <c r="A2597" s="12" t="s">
        <v>2849</v>
      </c>
      <c r="B2597" s="4" t="str">
        <f ca="1">IFERROR(__xludf.DUMMYFUNCTION("IFERROR(ARRAYFORMULA(REGEXEXTRACT(A2597,""^(?:https?:\/\/)?(?:[^@\n]+@)?(?:www\.)?([^:\/\n]+)"")),"""")"),"australiansecurecapital.com.au")</f>
        <v>australiansecurecapital.com.au</v>
      </c>
    </row>
    <row r="2598" spans="1:2" ht="12.5">
      <c r="A2598" s="12" t="s">
        <v>2850</v>
      </c>
      <c r="B2598" s="4" t="str">
        <f ca="1">IFERROR(__xludf.DUMMYFUNCTION("IFERROR(ARRAYFORMULA(REGEXEXTRACT(A2598,""^(?:https?:\/\/)?(?:[^@\n]+@)?(?:www\.)?([^:\/\n]+)"")),"""")"),"24hourfloodpros.com")</f>
        <v>24hourfloodpros.com</v>
      </c>
    </row>
    <row r="2599" spans="1:2" ht="12.5">
      <c r="A2599" s="12" t="s">
        <v>2851</v>
      </c>
      <c r="B2599" s="4" t="str">
        <f ca="1">IFERROR(__xludf.DUMMYFUNCTION("IFERROR(ARRAYFORMULA(REGEXEXTRACT(A2599,""^(?:https?:\/\/)?(?:[^@\n]+@)?(?:www\.)?([^:\/\n]+)"")),"""")"),"pacificsheetmetal.net")</f>
        <v>pacificsheetmetal.net</v>
      </c>
    </row>
    <row r="2600" spans="1:2" ht="12.5">
      <c r="A2600" s="12" t="s">
        <v>2852</v>
      </c>
      <c r="B2600" s="4" t="str">
        <f ca="1">IFERROR(__xludf.DUMMYFUNCTION("IFERROR(ARRAYFORMULA(REGEXEXTRACT(A2600,""^(?:https?:\/\/)?(?:[^@\n]+@)?(?:www\.)?([^:\/\n]+)"")),"""")"),"cylind.com")</f>
        <v>cylind.com</v>
      </c>
    </row>
    <row r="2601" spans="1:2" ht="12.5">
      <c r="A2601" s="12" t="s">
        <v>2853</v>
      </c>
      <c r="B2601" s="4" t="str">
        <f ca="1">IFERROR(__xludf.DUMMYFUNCTION("IFERROR(ARRAYFORMULA(REGEXEXTRACT(A2601,""^(?:https?:\/\/)?(?:[^@\n]+@)?(?:www\.)?([^:\/\n]+)"")),"""")"),"buyersadvocate.com.au")</f>
        <v>buyersadvocate.com.au</v>
      </c>
    </row>
    <row r="2602" spans="1:2" ht="12.5">
      <c r="A2602" s="12" t="s">
        <v>2854</v>
      </c>
      <c r="B2602" s="4" t="str">
        <f ca="1">IFERROR(__xludf.DUMMYFUNCTION("IFERROR(ARRAYFORMULA(REGEXEXTRACT(A2602,""^(?:https?:\/\/)?(?:[^@\n]+@)?(?:www\.)?([^:\/\n]+)"")),"""")"),"aucklandpremiumpainters.co.nz")</f>
        <v>aucklandpremiumpainters.co.nz</v>
      </c>
    </row>
    <row r="2603" spans="1:2" ht="12.5">
      <c r="A2603" s="12" t="s">
        <v>2855</v>
      </c>
      <c r="B2603" s="4" t="str">
        <f ca="1">IFERROR(__xludf.DUMMYFUNCTION("IFERROR(ARRAYFORMULA(REGEXEXTRACT(A2603,""^(?:https?:\/\/)?(?:[^@\n]+@)?(?:www\.)?([^:\/\n]+)"")),"""")"),"perlelectrical.co.nz")</f>
        <v>perlelectrical.co.nz</v>
      </c>
    </row>
    <row r="2604" spans="1:2" ht="12.5">
      <c r="A2604" s="12" t="s">
        <v>2856</v>
      </c>
      <c r="B2604" s="4" t="str">
        <f ca="1">IFERROR(__xludf.DUMMYFUNCTION("IFERROR(ARRAYFORMULA(REGEXEXTRACT(A2604,""^(?:https?:\/\/)?(?:[^@\n]+@)?(?:www\.)?([^:\/\n]+)"")),"""")"),"lubelska.co.uk")</f>
        <v>lubelska.co.uk</v>
      </c>
    </row>
    <row r="2605" spans="1:2" ht="12.5">
      <c r="A2605" s="12" t="s">
        <v>2857</v>
      </c>
      <c r="B2605" s="4" t="str">
        <f ca="1">IFERROR(__xludf.DUMMYFUNCTION("IFERROR(ARRAYFORMULA(REGEXEXTRACT(A2605,""^(?:https?:\/\/)?(?:[^@\n]+@)?(?:www\.)?([^:\/\n]+)"")),"""")"),"roof-troopers.com")</f>
        <v>roof-troopers.com</v>
      </c>
    </row>
    <row r="2606" spans="1:2" ht="12.5">
      <c r="A2606" s="12" t="s">
        <v>2858</v>
      </c>
      <c r="B2606" s="4" t="str">
        <f ca="1">IFERROR(__xludf.DUMMYFUNCTION("IFERROR(ARRAYFORMULA(REGEXEXTRACT(A2606,""^(?:https?:\/\/)?(?:[^@\n]+@)?(?:www\.)?([^:\/\n]+)"")),"""")"),"propertychecker.com")</f>
        <v>propertychecker.com</v>
      </c>
    </row>
    <row r="2607" spans="1:2" ht="12.5">
      <c r="A2607" s="12" t="s">
        <v>2859</v>
      </c>
      <c r="B2607" s="4" t="str">
        <f ca="1">IFERROR(__xludf.DUMMYFUNCTION("IFERROR(ARRAYFORMULA(REGEXEXTRACT(A2607,""^(?:https?:\/\/)?(?:[^@\n]+@)?(?:www\.)?([^:\/\n]+)"")),"""")"),"trianglepest.com")</f>
        <v>trianglepest.com</v>
      </c>
    </row>
    <row r="2608" spans="1:2" ht="12.5">
      <c r="A2608" s="16" t="s">
        <v>2860</v>
      </c>
      <c r="B2608" s="4" t="str">
        <f ca="1">IFERROR(__xludf.DUMMYFUNCTION("IFERROR(ARRAYFORMULA(REGEXEXTRACT(A2608,""^(?:https?:\/\/)?(?:[^@\n]+@)?(?:www\.)?([^:\/\n]+)"")),"""")"),"nycestimating.us")</f>
        <v>nycestimating.us</v>
      </c>
    </row>
    <row r="2609" spans="1:2" ht="12.5">
      <c r="A2609" s="12" t="s">
        <v>2861</v>
      </c>
      <c r="B2609" s="4" t="str">
        <f ca="1">IFERROR(__xludf.DUMMYFUNCTION("IFERROR(ARRAYFORMULA(REGEXEXTRACT(A2609,""^(?:https?:\/\/)?(?:[^@\n]+@)?(?:www\.)?([^:\/\n]+)"")),"""")"),"theatlasportfolio.com")</f>
        <v>theatlasportfolio.com</v>
      </c>
    </row>
    <row r="2610" spans="1:2" ht="12.5">
      <c r="A2610" s="17" t="s">
        <v>2862</v>
      </c>
      <c r="B2610" s="4" t="str">
        <f ca="1">IFERROR(__xludf.DUMMYFUNCTION("IFERROR(ARRAYFORMULA(REGEXEXTRACT(A2610,""^(?:https?:\/\/)?(?:[^@\n]+@)?(?:www\.)?([^:\/\n]+)"")),"""")"),"bobvila.com")</f>
        <v>bobvila.com</v>
      </c>
    </row>
    <row r="2611" spans="1:2" ht="12.5">
      <c r="A2611" s="16" t="s">
        <v>2863</v>
      </c>
      <c r="B2611" s="4" t="str">
        <f ca="1">IFERROR(__xludf.DUMMYFUNCTION("IFERROR(ARRAYFORMULA(REGEXEXTRACT(A2611,""^(?:https?:\/\/)?(?:[^@\n]+@)?(?:www\.)?([^:\/\n]+)"")),"""")"),"oversonroofing.com")</f>
        <v>oversonroofing.com</v>
      </c>
    </row>
    <row r="2612" spans="1:2" ht="12.5">
      <c r="A2612" s="12" t="s">
        <v>2864</v>
      </c>
      <c r="B2612" s="4" t="str">
        <f ca="1">IFERROR(__xludf.DUMMYFUNCTION("IFERROR(ARRAYFORMULA(REGEXEXTRACT(A2612,""^(?:https?:\/\/)?(?:[^@\n]+@)?(?:www\.)?([^:\/\n]+)"")),"""")"),"mcd.net.au")</f>
        <v>mcd.net.au</v>
      </c>
    </row>
    <row r="2613" spans="1:2" ht="12.5">
      <c r="A2613" s="12" t="s">
        <v>2865</v>
      </c>
      <c r="B2613" s="4" t="str">
        <f ca="1">IFERROR(__xludf.DUMMYFUNCTION("IFERROR(ARRAYFORMULA(REGEXEXTRACT(A2613,""^(?:https?:\/\/)?(?:[^@\n]+@)?(?:www\.)?([^:\/\n]+)"")),"""")"),"capitolductcleaning.com")</f>
        <v>capitolductcleaning.com</v>
      </c>
    </row>
    <row r="2614" spans="1:2" ht="12.5">
      <c r="A2614" s="12" t="s">
        <v>2866</v>
      </c>
      <c r="B2614" s="4" t="str">
        <f ca="1">IFERROR(__xludf.DUMMYFUNCTION("IFERROR(ARRAYFORMULA(REGEXEXTRACT(A2614,""^(?:https?:\/\/)?(?:[^@\n]+@)?(?:www\.)?([^:\/\n]+)"")),"""")"),"scgmn.com")</f>
        <v>scgmn.com</v>
      </c>
    </row>
    <row r="2615" spans="1:2" ht="12.5">
      <c r="A2615" s="12" t="s">
        <v>2867</v>
      </c>
      <c r="B2615" s="4" t="str">
        <f ca="1">IFERROR(__xludf.DUMMYFUNCTION("IFERROR(ARRAYFORMULA(REGEXEXTRACT(A2615,""^(?:https?:\/\/)?(?:[^@\n]+@)?(?:www\.)?([^:\/\n]+)"")),"""")"),"teachengineering.org")</f>
        <v>teachengineering.org</v>
      </c>
    </row>
    <row r="2616" spans="1:2" ht="12.5">
      <c r="A2616" s="12" t="s">
        <v>2868</v>
      </c>
      <c r="B2616" s="4" t="str">
        <f ca="1">IFERROR(__xludf.DUMMYFUNCTION("IFERROR(ARRAYFORMULA(REGEXEXTRACT(A2616,""^(?:https?:\/\/)?(?:[^@\n]+@)?(?:www\.)?([^:\/\n]+)"")),"""")"),"imagepainting.com")</f>
        <v>imagepainting.com</v>
      </c>
    </row>
    <row r="2617" spans="1:2" ht="12.5">
      <c r="A2617" s="12" t="s">
        <v>2869</v>
      </c>
      <c r="B2617" s="4" t="str">
        <f ca="1">IFERROR(__xludf.DUMMYFUNCTION("IFERROR(ARRAYFORMULA(REGEXEXTRACT(A2617,""^(?:https?:\/\/)?(?:[^@\n]+@)?(?:www\.)?([^:\/\n]+)"")),"""")"),"experienceparry.com")</f>
        <v>experienceparry.com</v>
      </c>
    </row>
    <row r="2618" spans="1:2" ht="12.5">
      <c r="A2618" s="12" t="s">
        <v>2870</v>
      </c>
      <c r="B2618" s="4" t="str">
        <f ca="1">IFERROR(__xludf.DUMMYFUNCTION("IFERROR(ARRAYFORMULA(REGEXEXTRACT(A2618,""^(?:https?:\/\/)?(?:[^@\n]+@)?(?:www\.)?([^:\/\n]+)"")),"""")"),"waterdamagespecialist.com.au")</f>
        <v>waterdamagespecialist.com.au</v>
      </c>
    </row>
    <row r="2619" spans="1:2" ht="12.5">
      <c r="A2619" s="16" t="s">
        <v>2871</v>
      </c>
      <c r="B2619" s="4" t="str">
        <f ca="1">IFERROR(__xludf.DUMMYFUNCTION("IFERROR(ARRAYFORMULA(REGEXEXTRACT(A2619,""^(?:https?:\/\/)?(?:[^@\n]+@)?(?:www\.)?([^:\/\n]+)"")),"""")"),"savemax.com")</f>
        <v>savemax.com</v>
      </c>
    </row>
    <row r="2620" spans="1:2" ht="12.5">
      <c r="A2620" s="12" t="s">
        <v>2872</v>
      </c>
      <c r="B2620" s="4" t="str">
        <f ca="1">IFERROR(__xludf.DUMMYFUNCTION("IFERROR(ARRAYFORMULA(REGEXEXTRACT(A2620,""^(?:https?:\/\/)?(?:[^@\n]+@)?(?:www\.)?([^:\/\n]+)"")),"""")"),"ibuymichigan.com")</f>
        <v>ibuymichigan.com</v>
      </c>
    </row>
    <row r="2621" spans="1:2" ht="12.5">
      <c r="A2621" s="12" t="s">
        <v>2873</v>
      </c>
      <c r="B2621" s="4" t="str">
        <f ca="1">IFERROR(__xludf.DUMMYFUNCTION("IFERROR(ARRAYFORMULA(REGEXEXTRACT(A2621,""^(?:https?:\/\/)?(?:[^@\n]+@)?(?:www\.)?([^:\/\n]+)"")),"""")"),"webuyhouses.com")</f>
        <v>webuyhouses.com</v>
      </c>
    </row>
    <row r="2622" spans="1:2" ht="12.5">
      <c r="A2622" s="12" t="s">
        <v>2874</v>
      </c>
      <c r="B2622" s="4" t="str">
        <f ca="1">IFERROR(__xludf.DUMMYFUNCTION("IFERROR(ARRAYFORMULA(REGEXEXTRACT(A2622,""^(?:https?:\/\/)?(?:[^@\n]+@)?(?:www\.)?([^:\/\n]+)"")),"""")"),"tarheelmobilehomebuyers.com")</f>
        <v>tarheelmobilehomebuyers.com</v>
      </c>
    </row>
    <row r="2623" spans="1:2" ht="12.5">
      <c r="A2623" s="12" t="s">
        <v>2875</v>
      </c>
      <c r="B2623" s="4" t="str">
        <f ca="1">IFERROR(__xludf.DUMMYFUNCTION("IFERROR(ARRAYFORMULA(REGEXEXTRACT(A2623,""^(?:https?:\/\/)?(?:[^@\n]+@)?(?:www\.)?([^:\/\n]+)"")),"""")"),"jplhomebuyers.ca")</f>
        <v>jplhomebuyers.ca</v>
      </c>
    </row>
    <row r="2624" spans="1:2" ht="12.5">
      <c r="A2624" s="12" t="s">
        <v>2876</v>
      </c>
      <c r="B2624" s="4" t="str">
        <f ca="1">IFERROR(__xludf.DUMMYFUNCTION("IFERROR(ARRAYFORMULA(REGEXEXTRACT(A2624,""^(?:https?:\/\/)?(?:[^@\n]+@)?(?:www\.)?([^:\/\n]+)"")),"""")"),"coastaledgehomebuyers.com")</f>
        <v>coastaledgehomebuyers.com</v>
      </c>
    </row>
    <row r="2625" spans="1:2" ht="12.5">
      <c r="A2625" s="12" t="s">
        <v>2877</v>
      </c>
      <c r="B2625" s="4" t="str">
        <f ca="1">IFERROR(__xludf.DUMMYFUNCTION("IFERROR(ARRAYFORMULA(REGEXEXTRACT(A2625,""^(?:https?:\/\/)?(?:[^@\n]+@)?(?:www\.)?([^:\/\n]+)"")),"""")"),"buymortgage.com")</f>
        <v>buymortgage.com</v>
      </c>
    </row>
    <row r="2626" spans="1:2" ht="12.5">
      <c r="A2626" s="12" t="s">
        <v>2878</v>
      </c>
      <c r="B2626" s="4" t="str">
        <f ca="1">IFERROR(__xludf.DUMMYFUNCTION("IFERROR(ARRAYFORMULA(REGEXEXTRACT(A2626,""^(?:https?:\/\/)?(?:[^@\n]+@)?(?:www\.)?([^:\/\n]+)"")),"""")"),"sellmyhousefastboise.com")</f>
        <v>sellmyhousefastboise.com</v>
      </c>
    </row>
    <row r="2627" spans="1:2" ht="12.5">
      <c r="A2627" s="12" t="s">
        <v>2879</v>
      </c>
      <c r="B2627" s="4" t="str">
        <f ca="1">IFERROR(__xludf.DUMMYFUNCTION("IFERROR(ARRAYFORMULA(REGEXEXTRACT(A2627,""^(?:https?:\/\/)?(?:[^@\n]+@)?(?:www\.)?([^:\/\n]+)"")),"""")"),"sellhousefast.uk")</f>
        <v>sellhousefast.uk</v>
      </c>
    </row>
    <row r="2628" spans="1:2" ht="12.5">
      <c r="A2628" s="5" t="s">
        <v>2880</v>
      </c>
      <c r="B2628" s="4" t="str">
        <f ca="1">IFERROR(__xludf.DUMMYFUNCTION("IFERROR(ARRAYFORMULA(REGEXEXTRACT(A2628,""^(?:https?:\/\/)?(?:[^@\n]+@)?(?:www\.)?([^:\/\n]+)"")),"""")"),"sihandrails.com")</f>
        <v>sihandrails.com</v>
      </c>
    </row>
    <row r="2629" spans="1:2" ht="12.5">
      <c r="A2629" s="5" t="s">
        <v>2881</v>
      </c>
      <c r="B2629" s="4" t="str">
        <f ca="1">IFERROR(__xludf.DUMMYFUNCTION("IFERROR(ARRAYFORMULA(REGEXEXTRACT(A2629,""^(?:https?:\/\/)?(?:[^@\n]+@)?(?:www\.)?([^:\/\n]+)"")),"""")"),"johnmunrobuilder.com.au")</f>
        <v>johnmunrobuilder.com.au</v>
      </c>
    </row>
    <row r="2630" spans="1:2" ht="12.5">
      <c r="A2630" s="3" t="s">
        <v>2882</v>
      </c>
      <c r="B2630" s="4" t="str">
        <f ca="1">IFERROR(__xludf.DUMMYFUNCTION("IFERROR(ARRAYFORMULA(REGEXEXTRACT(A2630,""^(?:https?:\/\/)?(?:[^@\n]+@)?(?:www\.)?([^:\/\n]+)"")),"""")"),"turtlebackmountaingolfandresort.com")</f>
        <v>turtlebackmountaingolfandresort.com</v>
      </c>
    </row>
    <row r="2631" spans="1:2" ht="12.5">
      <c r="A2631" s="3" t="s">
        <v>2883</v>
      </c>
      <c r="B2631" s="4" t="str">
        <f ca="1">IFERROR(__xludf.DUMMYFUNCTION("IFERROR(ARRAYFORMULA(REGEXEXTRACT(A2631,""^(?:https?:\/\/)?(?:[^@\n]+@)?(?:www\.)?([^:\/\n]+)"")),"""")"),"americanremodeling.net")</f>
        <v>americanremodeling.net</v>
      </c>
    </row>
    <row r="2632" spans="1:2" ht="12.5">
      <c r="A2632" s="16" t="s">
        <v>2884</v>
      </c>
      <c r="B2632" s="4" t="str">
        <f ca="1">IFERROR(__xludf.DUMMYFUNCTION("IFERROR(ARRAYFORMULA(REGEXEXTRACT(A2632,""^(?:https?:\/\/)?(?:[^@\n]+@)?(?:www\.)?([^:\/\n]+)"")),"""")"),"pureinvestor.co.uk")</f>
        <v>pureinvestor.co.uk</v>
      </c>
    </row>
    <row r="2633" spans="1:2" ht="12.5">
      <c r="A2633" s="3" t="s">
        <v>2885</v>
      </c>
      <c r="B2633" s="4" t="str">
        <f ca="1">IFERROR(__xludf.DUMMYFUNCTION("IFERROR(ARRAYFORMULA(REGEXEXTRACT(A2633,""^(?:https?:\/\/)?(?:[^@\n]+@)?(?:www\.)?([^:\/\n]+)"")),"""")"),"shma.co.uk")</f>
        <v>shma.co.uk</v>
      </c>
    </row>
    <row r="2634" spans="1:2" ht="12.5">
      <c r="A2634" s="3" t="s">
        <v>2886</v>
      </c>
      <c r="B2634" s="4" t="str">
        <f ca="1">IFERROR(__xludf.DUMMYFUNCTION("IFERROR(ARRAYFORMULA(REGEXEXTRACT(A2634,""^(?:https?:\/\/)?(?:[^@\n]+@)?(?:www\.)?([^:\/\n]+)"")),"""")"),"thepropertysellingcompany.co.uk")</f>
        <v>thepropertysellingcompany.co.uk</v>
      </c>
    </row>
    <row r="2635" spans="1:2" ht="12.5">
      <c r="A2635" s="3" t="s">
        <v>2887</v>
      </c>
      <c r="B2635" s="4" t="str">
        <f ca="1">IFERROR(__xludf.DUMMYFUNCTION("IFERROR(ARRAYFORMULA(REGEXEXTRACT(A2635,""^(?:https?:\/\/)?(?:[^@\n]+@)?(?:www\.)?([^:\/\n]+)"")),"""")"),"sturents.com")</f>
        <v>sturents.com</v>
      </c>
    </row>
    <row r="2636" spans="1:2" ht="12.5">
      <c r="A2636" s="3" t="s">
        <v>2888</v>
      </c>
      <c r="B2636" s="4" t="str">
        <f ca="1">IFERROR(__xludf.DUMMYFUNCTION("IFERROR(ARRAYFORMULA(REGEXEXTRACT(A2636,""^(?:https?:\/\/)?(?:[^@\n]+@)?(?:www\.)?([^:\/\n]+)"")),"""")"),"ridgefieldconsulting.co.uk")</f>
        <v>ridgefieldconsulting.co.uk</v>
      </c>
    </row>
    <row r="2637" spans="1:2" ht="12.5">
      <c r="A2637" s="3" t="s">
        <v>2889</v>
      </c>
      <c r="B2637" s="4" t="str">
        <f ca="1">IFERROR(__xludf.DUMMYFUNCTION("IFERROR(ARRAYFORMULA(REGEXEXTRACT(A2637,""^(?:https?:\/\/)?(?:[^@\n]+@)?(?:www\.)?([^:\/\n]+)"")),"""")"),"marrons.co.uk")</f>
        <v>marrons.co.uk</v>
      </c>
    </row>
    <row r="2638" spans="1:2" ht="12.5">
      <c r="A2638" s="12" t="s">
        <v>2890</v>
      </c>
      <c r="B2638" s="4" t="str">
        <f ca="1">IFERROR(__xludf.DUMMYFUNCTION("IFERROR(ARRAYFORMULA(REGEXEXTRACT(A2638,""^(?:https?:\/\/)?(?:[^@\n]+@)?(?:www\.)?([^:\/\n]+)"")),"""")"),"milehighhottub.com")</f>
        <v>milehighhottub.com</v>
      </c>
    </row>
    <row r="2639" spans="1:2" ht="12.5">
      <c r="A2639" s="12" t="s">
        <v>2891</v>
      </c>
      <c r="B2639" s="4" t="str">
        <f ca="1">IFERROR(__xludf.DUMMYFUNCTION("IFERROR(ARRAYFORMULA(REGEXEXTRACT(A2639,""^(?:https?:\/\/)?(?:[^@\n]+@)?(?:www\.)?([^:\/\n]+)"")),"""")"),"luxdeco.com")</f>
        <v>luxdeco.com</v>
      </c>
    </row>
    <row r="2640" spans="1:2" ht="12.5">
      <c r="A2640" s="12" t="s">
        <v>2892</v>
      </c>
      <c r="B2640" s="4" t="str">
        <f ca="1">IFERROR(__xludf.DUMMYFUNCTION("IFERROR(ARRAYFORMULA(REGEXEXTRACT(A2640,""^(?:https?:\/\/)?(?:[^@\n]+@)?(?:www\.)?([^:\/\n]+)"")),"""")"),"faheyroofingcontractors.com")</f>
        <v>faheyroofingcontractors.com</v>
      </c>
    </row>
    <row r="2641" spans="1:2" ht="12.5">
      <c r="A2641" s="12" t="s">
        <v>2893</v>
      </c>
      <c r="B2641" s="4" t="str">
        <f ca="1">IFERROR(__xludf.DUMMYFUNCTION("IFERROR(ARRAYFORMULA(REGEXEXTRACT(A2641,""^(?:https?:\/\/)?(?:[^@\n]+@)?(?:www\.)?([^:\/\n]+)"")),"""")"),"raynordoor.com")</f>
        <v>raynordoor.com</v>
      </c>
    </row>
    <row r="2642" spans="1:2" ht="12.5">
      <c r="A2642" s="12" t="s">
        <v>2894</v>
      </c>
      <c r="B2642" s="4" t="str">
        <f ca="1">IFERROR(__xludf.DUMMYFUNCTION("IFERROR(ARRAYFORMULA(REGEXEXTRACT(A2642,""^(?:https?:\/\/)?(?:[^@\n]+@)?(?:www\.)?([^:\/\n]+)"")),"""")"),"raynorkc.com")</f>
        <v>raynorkc.com</v>
      </c>
    </row>
    <row r="2643" spans="1:2" ht="12.5">
      <c r="A2643" s="12" t="s">
        <v>2895</v>
      </c>
      <c r="B2643" s="4" t="str">
        <f ca="1">IFERROR(__xludf.DUMMYFUNCTION("IFERROR(ARRAYFORMULA(REGEXEXTRACT(A2643,""^(?:https?:\/\/)?(?:[^@\n]+@)?(?:www\.)?([^:\/\n]+)"")),"""")"),"rwdoors.com")</f>
        <v>rwdoors.com</v>
      </c>
    </row>
    <row r="2644" spans="1:2" ht="12.5">
      <c r="A2644" s="12" t="s">
        <v>2896</v>
      </c>
      <c r="B2644" s="4" t="str">
        <f ca="1">IFERROR(__xludf.DUMMYFUNCTION("IFERROR(ARRAYFORMULA(REGEXEXTRACT(A2644,""^(?:https?:\/\/)?(?:[^@\n]+@)?(?:www\.)?([^:\/\n]+)"")),"""")"),"keystonecustomdecksny.com")</f>
        <v>keystonecustomdecksny.com</v>
      </c>
    </row>
    <row r="2645" spans="1:2" ht="12.5">
      <c r="A2645" s="12" t="s">
        <v>2897</v>
      </c>
      <c r="B2645" s="4" t="str">
        <f ca="1">IFERROR(__xludf.DUMMYFUNCTION("IFERROR(ARRAYFORMULA(REGEXEXTRACT(A2645,""^(?:https?:\/\/)?(?:[^@\n]+@)?(?:www\.)?([^:\/\n]+)"")),"""")"),"modinex.com.au")</f>
        <v>modinex.com.au</v>
      </c>
    </row>
    <row r="2646" spans="1:2" ht="12.5">
      <c r="A2646" s="12" t="s">
        <v>2898</v>
      </c>
      <c r="B2646" s="4" t="str">
        <f ca="1">IFERROR(__xludf.DUMMYFUNCTION("IFERROR(ARRAYFORMULA(REGEXEXTRACT(A2646,""^(?:https?:\/\/)?(?:[^@\n]+@)?(?:www\.)?([^:\/\n]+)"")),"""")"),"embeltonflooring.com")</f>
        <v>embeltonflooring.com</v>
      </c>
    </row>
    <row r="2647" spans="1:2" ht="12.5">
      <c r="A2647" s="12" t="s">
        <v>2899</v>
      </c>
      <c r="B2647" s="4" t="str">
        <f ca="1">IFERROR(__xludf.DUMMYFUNCTION("IFERROR(ARRAYFORMULA(REGEXEXTRACT(A2647,""^(?:https?:\/\/)?(?:[^@\n]+@)?(?:www\.)?([^:\/\n]+)"")),"""")"),"unitedcarpetsandbeds.com")</f>
        <v>unitedcarpetsandbeds.com</v>
      </c>
    </row>
    <row r="2648" spans="1:2" ht="12.5">
      <c r="A2648" s="12" t="s">
        <v>2900</v>
      </c>
      <c r="B2648" s="4" t="str">
        <f ca="1">IFERROR(__xludf.DUMMYFUNCTION("IFERROR(ARRAYFORMULA(REGEXEXTRACT(A2648,""^(?:https?:\/\/)?(?:[^@\n]+@)?(?:www\.)?([^:\/\n]+)"")),"""")"),"a1floorsnc.com")</f>
        <v>a1floorsnc.com</v>
      </c>
    </row>
    <row r="2649" spans="1:2" ht="12.5">
      <c r="A2649" s="16" t="s">
        <v>2901</v>
      </c>
      <c r="B2649" s="4" t="str">
        <f ca="1">IFERROR(__xludf.DUMMYFUNCTION("IFERROR(ARRAYFORMULA(REGEXEXTRACT(A2649,""^(?:https?:\/\/)?(?:[^@\n]+@)?(?:www\.)?([^:\/\n]+)"")),"""")"),"aldawindows.com")</f>
        <v>aldawindows.com</v>
      </c>
    </row>
    <row r="2650" spans="1:2" ht="12.5">
      <c r="A2650" s="12" t="s">
        <v>2902</v>
      </c>
      <c r="B2650" s="4" t="str">
        <f ca="1">IFERROR(__xludf.DUMMYFUNCTION("IFERROR(ARRAYFORMULA(REGEXEXTRACT(A2650,""^(?:https?:\/\/)?(?:[^@\n]+@)?(?:www\.)?([^:\/\n]+)"")),"""")"),"fluidplumbingservices.com.au")</f>
        <v>fluidplumbingservices.com.au</v>
      </c>
    </row>
    <row r="2651" spans="1:2" ht="12.5">
      <c r="A2651" s="12" t="s">
        <v>2903</v>
      </c>
      <c r="B2651" s="4" t="str">
        <f ca="1">IFERROR(__xludf.DUMMYFUNCTION("IFERROR(ARRAYFORMULA(REGEXEXTRACT(A2651,""^(?:https?:\/\/)?(?:[^@\n]+@)?(?:www\.)?([^:\/\n]+)"")),"""")"),"aqglassshowerdoorsphoenix.com")</f>
        <v>aqglassshowerdoorsphoenix.com</v>
      </c>
    </row>
    <row r="2652" spans="1:2" ht="12.5">
      <c r="A2652" s="12" t="s">
        <v>2904</v>
      </c>
      <c r="B2652" s="4" t="str">
        <f ca="1">IFERROR(__xludf.DUMMYFUNCTION("IFERROR(ARRAYFORMULA(REGEXEXTRACT(A2652,""^(?:https?:\/\/)?(?:[^@\n]+@)?(?:www\.)?([^:\/\n]+)"")),"""")"),"easygaragedoorrepair.com")</f>
        <v>easygaragedoorrepair.com</v>
      </c>
    </row>
    <row r="2653" spans="1:2" ht="12.5">
      <c r="A2653" s="12" t="s">
        <v>2905</v>
      </c>
      <c r="B2653" s="4" t="str">
        <f ca="1">IFERROR(__xludf.DUMMYFUNCTION("IFERROR(ARRAYFORMULA(REGEXEXTRACT(A2653,""^(?:https?:\/\/)?(?:[^@\n]+@)?(?:www\.)?([^:\/\n]+)"")),"""")"),"luxurylifestyle.com")</f>
        <v>luxurylifestyle.com</v>
      </c>
    </row>
    <row r="2654" spans="1:2" ht="12.5">
      <c r="A2654" s="12" t="s">
        <v>2906</v>
      </c>
      <c r="B2654" s="4" t="str">
        <f ca="1">IFERROR(__xludf.DUMMYFUNCTION("IFERROR(ARRAYFORMULA(REGEXEXTRACT(A2654,""^(?:https?:\/\/)?(?:[^@\n]+@)?(?:www\.)?([^:\/\n]+)"")),"""")"),"anationofmoms.com")</f>
        <v>anationofmoms.com</v>
      </c>
    </row>
    <row r="2655" spans="1:2" ht="12.5">
      <c r="A2655" s="18"/>
      <c r="B2655" s="7" t="str">
        <f ca="1">IFERROR(__xludf.DUMMYFUNCTION("IFERROR(ARRAYFORMULA(REGEXEXTRACT(A2655,""^(?:https?:\/\/)?(?:[^@\n]+@)?(?:www\.)?([^:\/\n]+)"")),"""")"),"")</f>
        <v/>
      </c>
    </row>
    <row r="2656" spans="1:2" ht="12.5">
      <c r="A2656" s="18"/>
      <c r="B2656" s="7" t="str">
        <f ca="1">IFERROR(__xludf.DUMMYFUNCTION("IFERROR(ARRAYFORMULA(REGEXEXTRACT(A2656,""^(?:https?:\/\/)?(?:[^@\n]+@)?(?:www\.)?([^:\/\n]+)"")),"""")"),"")</f>
        <v/>
      </c>
    </row>
    <row r="2657" spans="1:2" ht="12.5">
      <c r="A2657" s="18"/>
      <c r="B2657" s="7" t="str">
        <f ca="1">IFERROR(__xludf.DUMMYFUNCTION("IFERROR(ARRAYFORMULA(REGEXEXTRACT(A2657,""^(?:https?:\/\/)?(?:[^@\n]+@)?(?:www\.)?([^:\/\n]+)"")),"""")"),"")</f>
        <v/>
      </c>
    </row>
    <row r="2658" spans="1:2" ht="12.5">
      <c r="A2658" s="5"/>
      <c r="B2658" s="7" t="str">
        <f ca="1">IFERROR(__xludf.DUMMYFUNCTION("IFERROR(ARRAYFORMULA(REGEXEXTRACT(A2658,""^(?:https?:\/\/)?(?:[^@\n]+@)?(?:www\.)?([^:\/\n]+)"")),"""")"),"")</f>
        <v/>
      </c>
    </row>
    <row r="2659" spans="1:2" ht="12.5">
      <c r="A2659" s="5"/>
      <c r="B2659" s="7" t="str">
        <f ca="1">IFERROR(__xludf.DUMMYFUNCTION("IFERROR(ARRAYFORMULA(REGEXEXTRACT(A2659,""^(?:https?:\/\/)?(?:[^@\n]+@)?(?:www\.)?([^:\/\n]+)"")),"""")"),"")</f>
        <v/>
      </c>
    </row>
    <row r="2660" spans="1:2" ht="12.5">
      <c r="A2660" s="5"/>
      <c r="B2660" s="7" t="str">
        <f ca="1">IFERROR(__xludf.DUMMYFUNCTION("IFERROR(ARRAYFORMULA(REGEXEXTRACT(A2660,""^(?:https?:\/\/)?(?:[^@\n]+@)?(?:www\.)?([^:\/\n]+)"")),"""")"),"")</f>
        <v/>
      </c>
    </row>
    <row r="2661" spans="1:2" ht="12.5">
      <c r="A2661" s="5"/>
      <c r="B2661" s="7" t="str">
        <f ca="1">IFERROR(__xludf.DUMMYFUNCTION("IFERROR(ARRAYFORMULA(REGEXEXTRACT(A2661,""^(?:https?:\/\/)?(?:[^@\n]+@)?(?:www\.)?([^:\/\n]+)"")),"""")"),"")</f>
        <v/>
      </c>
    </row>
    <row r="2662" spans="1:2" ht="12.5">
      <c r="A2662" s="5"/>
      <c r="B2662" s="7" t="str">
        <f ca="1">IFERROR(__xludf.DUMMYFUNCTION("IFERROR(ARRAYFORMULA(REGEXEXTRACT(A2662,""^(?:https?:\/\/)?(?:[^@\n]+@)?(?:www\.)?([^:\/\n]+)"")),"""")"),"")</f>
        <v/>
      </c>
    </row>
    <row r="2663" spans="1:2" ht="12.5">
      <c r="A2663" s="5"/>
      <c r="B2663" s="7" t="str">
        <f ca="1">IFERROR(__xludf.DUMMYFUNCTION("IFERROR(ARRAYFORMULA(REGEXEXTRACT(A2663,""^(?:https?:\/\/)?(?:[^@\n]+@)?(?:www\.)?([^:\/\n]+)"")),"""")"),"")</f>
        <v/>
      </c>
    </row>
    <row r="2664" spans="1:2" ht="12.5">
      <c r="A2664" s="5"/>
      <c r="B2664" s="7" t="str">
        <f ca="1">IFERROR(__xludf.DUMMYFUNCTION("IFERROR(ARRAYFORMULA(REGEXEXTRACT(A2664,""^(?:https?:\/\/)?(?:[^@\n]+@)?(?:www\.)?([^:\/\n]+)"")),"""")"),"")</f>
        <v/>
      </c>
    </row>
    <row r="2665" spans="1:2" ht="12.5">
      <c r="A2665" s="5"/>
      <c r="B2665" s="7" t="str">
        <f ca="1">IFERROR(__xludf.DUMMYFUNCTION("IFERROR(ARRAYFORMULA(REGEXEXTRACT(A2665,""^(?:https?:\/\/)?(?:[^@\n]+@)?(?:www\.)?([^:\/\n]+)"")),"""")"),"")</f>
        <v/>
      </c>
    </row>
    <row r="2666" spans="1:2" ht="12.5">
      <c r="A2666" s="5"/>
      <c r="B2666" s="7" t="str">
        <f ca="1">IFERROR(__xludf.DUMMYFUNCTION("IFERROR(ARRAYFORMULA(REGEXEXTRACT(A2666,""^(?:https?:\/\/)?(?:[^@\n]+@)?(?:www\.)?([^:\/\n]+)"")),"""")"),"")</f>
        <v/>
      </c>
    </row>
    <row r="2667" spans="1:2" ht="12.5">
      <c r="A2667" s="5"/>
      <c r="B2667" s="7" t="str">
        <f ca="1">IFERROR(__xludf.DUMMYFUNCTION("IFERROR(ARRAYFORMULA(REGEXEXTRACT(A2667,""^(?:https?:\/\/)?(?:[^@\n]+@)?(?:www\.)?([^:\/\n]+)"")),"""")"),"")</f>
        <v/>
      </c>
    </row>
    <row r="2668" spans="1:2" ht="12.5">
      <c r="A2668" s="5"/>
      <c r="B2668" s="7" t="str">
        <f ca="1">IFERROR(__xludf.DUMMYFUNCTION("IFERROR(ARRAYFORMULA(REGEXEXTRACT(A2668,""^(?:https?:\/\/)?(?:[^@\n]+@)?(?:www\.)?([^:\/\n]+)"")),"""")"),"")</f>
        <v/>
      </c>
    </row>
    <row r="2669" spans="1:2" ht="12.5">
      <c r="A2669" s="5"/>
      <c r="B2669" s="7" t="str">
        <f ca="1">IFERROR(__xludf.DUMMYFUNCTION("IFERROR(ARRAYFORMULA(REGEXEXTRACT(A2669,""^(?:https?:\/\/)?(?:[^@\n]+@)?(?:www\.)?([^:\/\n]+)"")),"""")"),"")</f>
        <v/>
      </c>
    </row>
    <row r="2670" spans="1:2" ht="12.5">
      <c r="A2670" s="5"/>
      <c r="B2670" s="7" t="str">
        <f ca="1">IFERROR(__xludf.DUMMYFUNCTION("IFERROR(ARRAYFORMULA(REGEXEXTRACT(A2670,""^(?:https?:\/\/)?(?:[^@\n]+@)?(?:www\.)?([^:\/\n]+)"")),"""")"),"")</f>
        <v/>
      </c>
    </row>
    <row r="2671" spans="1:2" ht="12.5">
      <c r="A2671" s="5"/>
      <c r="B2671" s="7" t="str">
        <f ca="1">IFERROR(__xludf.DUMMYFUNCTION("IFERROR(ARRAYFORMULA(REGEXEXTRACT(A2671,""^(?:https?:\/\/)?(?:[^@\n]+@)?(?:www\.)?([^:\/\n]+)"")),"""")"),"")</f>
        <v/>
      </c>
    </row>
    <row r="2672" spans="1:2" ht="12.5">
      <c r="A2672" s="5"/>
      <c r="B2672" s="7" t="str">
        <f ca="1">IFERROR(__xludf.DUMMYFUNCTION("IFERROR(ARRAYFORMULA(REGEXEXTRACT(A2672,""^(?:https?:\/\/)?(?:[^@\n]+@)?(?:www\.)?([^:\/\n]+)"")),"""")"),"")</f>
        <v/>
      </c>
    </row>
    <row r="2673" spans="1:2" ht="12.5">
      <c r="A2673" s="5"/>
      <c r="B2673" s="7" t="str">
        <f ca="1">IFERROR(__xludf.DUMMYFUNCTION("IFERROR(ARRAYFORMULA(REGEXEXTRACT(A2673,""^(?:https?:\/\/)?(?:[^@\n]+@)?(?:www\.)?([^:\/\n]+)"")),"""")"),"")</f>
        <v/>
      </c>
    </row>
    <row r="2674" spans="1:2" ht="12.5">
      <c r="A2674" s="5"/>
      <c r="B2674" s="7" t="str">
        <f ca="1">IFERROR(__xludf.DUMMYFUNCTION("IFERROR(ARRAYFORMULA(REGEXEXTRACT(A2674,""^(?:https?:\/\/)?(?:[^@\n]+@)?(?:www\.)?([^:\/\n]+)"")),"""")"),"")</f>
        <v/>
      </c>
    </row>
    <row r="2675" spans="1:2" ht="12.5">
      <c r="A2675" s="5"/>
      <c r="B2675" s="7" t="str">
        <f ca="1">IFERROR(__xludf.DUMMYFUNCTION("IFERROR(ARRAYFORMULA(REGEXEXTRACT(A2675,""^(?:https?:\/\/)?(?:[^@\n]+@)?(?:www\.)?([^:\/\n]+)"")),"""")"),"")</f>
        <v/>
      </c>
    </row>
    <row r="2676" spans="1:2" ht="12.5">
      <c r="A2676" s="5"/>
      <c r="B2676" s="7" t="str">
        <f ca="1">IFERROR(__xludf.DUMMYFUNCTION("IFERROR(ARRAYFORMULA(REGEXEXTRACT(A2676,""^(?:https?:\/\/)?(?:[^@\n]+@)?(?:www\.)?([^:\/\n]+)"")),"""")"),"")</f>
        <v/>
      </c>
    </row>
    <row r="2677" spans="1:2" ht="12.5">
      <c r="A2677" s="5"/>
      <c r="B2677" s="7" t="str">
        <f ca="1">IFERROR(__xludf.DUMMYFUNCTION("IFERROR(ARRAYFORMULA(REGEXEXTRACT(A2677,""^(?:https?:\/\/)?(?:[^@\n]+@)?(?:www\.)?([^:\/\n]+)"")),"""")"),"")</f>
        <v/>
      </c>
    </row>
    <row r="2678" spans="1:2" ht="12.5">
      <c r="A2678" s="5"/>
      <c r="B2678" s="7" t="str">
        <f ca="1">IFERROR(__xludf.DUMMYFUNCTION("IFERROR(ARRAYFORMULA(REGEXEXTRACT(A2678,""^(?:https?:\/\/)?(?:[^@\n]+@)?(?:www\.)?([^:\/\n]+)"")),"""")"),"")</f>
        <v/>
      </c>
    </row>
    <row r="2679" spans="1:2" ht="12.5">
      <c r="A2679" s="5"/>
      <c r="B2679" s="7" t="str">
        <f ca="1">IFERROR(__xludf.DUMMYFUNCTION("IFERROR(ARRAYFORMULA(REGEXEXTRACT(A2679,""^(?:https?:\/\/)?(?:[^@\n]+@)?(?:www\.)?([^:\/\n]+)"")),"""")"),"")</f>
        <v/>
      </c>
    </row>
    <row r="2680" spans="1:2" ht="12.5">
      <c r="A2680" s="5"/>
      <c r="B2680" s="7" t="str">
        <f ca="1">IFERROR(__xludf.DUMMYFUNCTION("IFERROR(ARRAYFORMULA(REGEXEXTRACT(A2680,""^(?:https?:\/\/)?(?:[^@\n]+@)?(?:www\.)?([^:\/\n]+)"")),"""")"),"")</f>
        <v/>
      </c>
    </row>
    <row r="2681" spans="1:2" ht="12.5">
      <c r="A2681" s="5"/>
      <c r="B2681" s="7" t="str">
        <f ca="1">IFERROR(__xludf.DUMMYFUNCTION("IFERROR(ARRAYFORMULA(REGEXEXTRACT(A2681,""^(?:https?:\/\/)?(?:[^@\n]+@)?(?:www\.)?([^:\/\n]+)"")),"""")"),"")</f>
        <v/>
      </c>
    </row>
    <row r="2682" spans="1:2" ht="12.5">
      <c r="A2682" s="5"/>
      <c r="B2682" s="7" t="str">
        <f ca="1">IFERROR(__xludf.DUMMYFUNCTION("IFERROR(ARRAYFORMULA(REGEXEXTRACT(A2682,""^(?:https?:\/\/)?(?:[^@\n]+@)?(?:www\.)?([^:\/\n]+)"")),"""")"),"")</f>
        <v/>
      </c>
    </row>
    <row r="2683" spans="1:2" ht="12.5">
      <c r="A2683" s="5"/>
      <c r="B2683" s="7" t="str">
        <f ca="1">IFERROR(__xludf.DUMMYFUNCTION("IFERROR(ARRAYFORMULA(REGEXEXTRACT(A2683,""^(?:https?:\/\/)?(?:[^@\n]+@)?(?:www\.)?([^:\/\n]+)"")),"""")"),"")</f>
        <v/>
      </c>
    </row>
    <row r="2684" spans="1:2" ht="12.5">
      <c r="A2684" s="5"/>
      <c r="B2684" s="7" t="str">
        <f ca="1">IFERROR(__xludf.DUMMYFUNCTION("IFERROR(ARRAYFORMULA(REGEXEXTRACT(A2684,""^(?:https?:\/\/)?(?:[^@\n]+@)?(?:www\.)?([^:\/\n]+)"")),"""")"),"")</f>
        <v/>
      </c>
    </row>
    <row r="2685" spans="1:2" ht="12.5">
      <c r="A2685" s="5"/>
      <c r="B2685" s="7" t="str">
        <f ca="1">IFERROR(__xludf.DUMMYFUNCTION("IFERROR(ARRAYFORMULA(REGEXEXTRACT(A2685,""^(?:https?:\/\/)?(?:[^@\n]+@)?(?:www\.)?([^:\/\n]+)"")),"""")"),"")</f>
        <v/>
      </c>
    </row>
    <row r="2686" spans="1:2" ht="12.5">
      <c r="A2686" s="5"/>
      <c r="B2686" s="7" t="str">
        <f ca="1">IFERROR(__xludf.DUMMYFUNCTION("IFERROR(ARRAYFORMULA(REGEXEXTRACT(A2686,""^(?:https?:\/\/)?(?:[^@\n]+@)?(?:www\.)?([^:\/\n]+)"")),"""")"),"")</f>
        <v/>
      </c>
    </row>
    <row r="2687" spans="1:2" ht="12.5">
      <c r="A2687" s="5"/>
      <c r="B2687" s="7" t="str">
        <f ca="1">IFERROR(__xludf.DUMMYFUNCTION("IFERROR(ARRAYFORMULA(REGEXEXTRACT(A2687,""^(?:https?:\/\/)?(?:[^@\n]+@)?(?:www\.)?([^:\/\n]+)"")),"""")"),"")</f>
        <v/>
      </c>
    </row>
    <row r="2688" spans="1:2" ht="12.5">
      <c r="A2688" s="5"/>
      <c r="B2688" s="7" t="str">
        <f ca="1">IFERROR(__xludf.DUMMYFUNCTION("IFERROR(ARRAYFORMULA(REGEXEXTRACT(A2688,""^(?:https?:\/\/)?(?:[^@\n]+@)?(?:www\.)?([^:\/\n]+)"")),"""")"),"")</f>
        <v/>
      </c>
    </row>
    <row r="2689" spans="1:2" ht="12.5">
      <c r="A2689" s="5"/>
      <c r="B2689" s="7" t="str">
        <f ca="1">IFERROR(__xludf.DUMMYFUNCTION("IFERROR(ARRAYFORMULA(REGEXEXTRACT(A2689,""^(?:https?:\/\/)?(?:[^@\n]+@)?(?:www\.)?([^:\/\n]+)"")),"""")"),"")</f>
        <v/>
      </c>
    </row>
    <row r="2690" spans="1:2" ht="12.5">
      <c r="A2690" s="5"/>
      <c r="B2690" s="7" t="str">
        <f ca="1">IFERROR(__xludf.DUMMYFUNCTION("IFERROR(ARRAYFORMULA(REGEXEXTRACT(A2690,""^(?:https?:\/\/)?(?:[^@\n]+@)?(?:www\.)?([^:\/\n]+)"")),"""")"),"")</f>
        <v/>
      </c>
    </row>
    <row r="2691" spans="1:2" ht="12.5">
      <c r="A2691" s="5"/>
      <c r="B2691" s="7"/>
    </row>
    <row r="2692" spans="1:2" ht="12.5">
      <c r="A2692" s="5"/>
      <c r="B2692" s="7"/>
    </row>
    <row r="2693" spans="1:2" ht="12.5">
      <c r="A2693" s="5"/>
      <c r="B2693" s="7"/>
    </row>
    <row r="2694" spans="1:2" ht="12.5">
      <c r="A2694" s="5"/>
      <c r="B2694" s="7"/>
    </row>
    <row r="2695" spans="1:2" ht="12.5">
      <c r="A2695" s="5"/>
      <c r="B2695" s="7"/>
    </row>
    <row r="2696" spans="1:2" ht="12.5">
      <c r="A2696" s="5"/>
      <c r="B2696" s="7"/>
    </row>
    <row r="2697" spans="1:2" ht="12.5">
      <c r="A2697" s="5"/>
      <c r="B2697" s="7"/>
    </row>
    <row r="2698" spans="1:2" ht="12.5">
      <c r="A2698" s="5"/>
      <c r="B2698" s="7"/>
    </row>
    <row r="2699" spans="1:2" ht="12.5">
      <c r="A2699" s="5"/>
      <c r="B2699" s="7"/>
    </row>
    <row r="2700" spans="1:2" ht="12.5">
      <c r="A2700" s="5"/>
      <c r="B2700" s="7"/>
    </row>
    <row r="2701" spans="1:2" ht="12.5">
      <c r="A2701" s="5"/>
      <c r="B2701" s="7"/>
    </row>
    <row r="2702" spans="1:2" ht="12.5">
      <c r="A2702" s="5"/>
      <c r="B2702" s="7"/>
    </row>
    <row r="2703" spans="1:2" ht="12.5">
      <c r="A2703" s="5"/>
      <c r="B2703" s="7"/>
    </row>
    <row r="2704" spans="1:2" ht="12.5">
      <c r="A2704" s="5"/>
      <c r="B2704" s="7"/>
    </row>
    <row r="2705" spans="1:2" ht="12.5">
      <c r="A2705" s="5"/>
      <c r="B2705" s="7"/>
    </row>
    <row r="2706" spans="1:2" ht="12.5">
      <c r="A2706" s="5"/>
      <c r="B2706" s="7"/>
    </row>
    <row r="2707" spans="1:2" ht="12.5">
      <c r="A2707" s="5"/>
      <c r="B2707" s="7"/>
    </row>
    <row r="2708" spans="1:2" ht="12.5">
      <c r="A2708" s="5"/>
      <c r="B2708" s="7"/>
    </row>
    <row r="2709" spans="1:2" ht="12.5">
      <c r="A2709" s="5"/>
      <c r="B2709" s="7"/>
    </row>
    <row r="2710" spans="1:2" ht="12.5">
      <c r="A2710" s="5"/>
      <c r="B2710" s="7"/>
    </row>
    <row r="2711" spans="1:2" ht="12.5">
      <c r="A2711" s="5"/>
      <c r="B2711" s="7"/>
    </row>
    <row r="2712" spans="1:2" ht="12.5">
      <c r="A2712" s="5"/>
      <c r="B2712" s="7"/>
    </row>
    <row r="2713" spans="1:2" ht="12.5">
      <c r="A2713" s="5"/>
      <c r="B2713" s="7"/>
    </row>
    <row r="2714" spans="1:2" ht="12.5">
      <c r="A2714" s="5"/>
      <c r="B2714" s="7"/>
    </row>
    <row r="2715" spans="1:2" ht="12.5">
      <c r="A2715" s="5"/>
      <c r="B2715" s="7"/>
    </row>
    <row r="2716" spans="1:2" ht="12.5">
      <c r="A2716" s="5"/>
      <c r="B2716" s="7"/>
    </row>
    <row r="2717" spans="1:2" ht="12.5">
      <c r="A2717" s="5"/>
      <c r="B2717" s="7"/>
    </row>
    <row r="2718" spans="1:2" ht="12.5">
      <c r="A2718" s="5"/>
      <c r="B2718" s="7"/>
    </row>
    <row r="2719" spans="1:2" ht="12.5">
      <c r="A2719" s="5"/>
      <c r="B2719" s="7"/>
    </row>
    <row r="2720" spans="1:2" ht="12.5">
      <c r="A2720" s="5"/>
      <c r="B2720" s="7"/>
    </row>
    <row r="2721" spans="1:2" ht="12.5">
      <c r="A2721" s="5"/>
      <c r="B2721" s="7"/>
    </row>
    <row r="2722" spans="1:2" ht="12.5">
      <c r="A2722" s="5"/>
      <c r="B2722" s="7"/>
    </row>
    <row r="2723" spans="1:2" ht="12.5">
      <c r="A2723" s="5"/>
      <c r="B2723" s="7"/>
    </row>
    <row r="2724" spans="1:2" ht="12.5">
      <c r="A2724" s="5"/>
      <c r="B2724" s="7"/>
    </row>
    <row r="2725" spans="1:2" ht="12.5">
      <c r="A2725" s="5"/>
      <c r="B2725" s="7"/>
    </row>
    <row r="2726" spans="1:2" ht="12.5">
      <c r="A2726" s="5"/>
      <c r="B2726" s="7"/>
    </row>
    <row r="2727" spans="1:2" ht="12.5">
      <c r="A2727" s="5"/>
      <c r="B2727" s="7"/>
    </row>
    <row r="2728" spans="1:2" ht="12.5">
      <c r="A2728" s="5"/>
      <c r="B2728" s="7"/>
    </row>
    <row r="2729" spans="1:2" ht="12.5">
      <c r="A2729" s="5"/>
      <c r="B2729" s="7"/>
    </row>
    <row r="2730" spans="1:2" ht="12.5">
      <c r="A2730" s="5"/>
      <c r="B2730" s="7"/>
    </row>
    <row r="2731" spans="1:2" ht="12.5">
      <c r="A2731" s="5"/>
      <c r="B2731" s="7"/>
    </row>
    <row r="2732" spans="1:2" ht="12.5">
      <c r="A2732" s="5"/>
      <c r="B2732" s="7"/>
    </row>
    <row r="2733" spans="1:2" ht="12.5">
      <c r="A2733" s="5"/>
      <c r="B2733" s="7"/>
    </row>
    <row r="2734" spans="1:2" ht="12.5">
      <c r="A2734" s="5"/>
      <c r="B2734" s="7"/>
    </row>
    <row r="2735" spans="1:2" ht="12.5">
      <c r="A2735" s="5"/>
      <c r="B2735" s="7"/>
    </row>
    <row r="2736" spans="1:2" ht="12.5">
      <c r="A2736" s="5"/>
      <c r="B2736" s="7"/>
    </row>
    <row r="2737" spans="1:2" ht="12.5">
      <c r="A2737" s="5"/>
      <c r="B2737" s="7"/>
    </row>
    <row r="2738" spans="1:2" ht="12.5">
      <c r="A2738" s="5"/>
      <c r="B2738" s="7"/>
    </row>
    <row r="2739" spans="1:2" ht="12.5">
      <c r="A2739" s="5"/>
      <c r="B2739" s="7"/>
    </row>
    <row r="2740" spans="1:2" ht="12.5">
      <c r="A2740" s="5"/>
      <c r="B2740" s="7"/>
    </row>
    <row r="2741" spans="1:2" ht="12.5">
      <c r="A2741" s="5"/>
      <c r="B2741" s="7"/>
    </row>
    <row r="2742" spans="1:2" ht="12.5">
      <c r="A2742" s="5"/>
      <c r="B2742" s="7"/>
    </row>
    <row r="2743" spans="1:2" ht="12.5">
      <c r="A2743" s="5"/>
      <c r="B2743" s="7"/>
    </row>
    <row r="2744" spans="1:2" ht="12.5">
      <c r="A2744" s="5"/>
      <c r="B2744" s="7"/>
    </row>
    <row r="2745" spans="1:2" ht="12.5">
      <c r="A2745" s="5"/>
      <c r="B2745" s="7"/>
    </row>
    <row r="2746" spans="1:2" ht="12.5">
      <c r="A2746" s="5"/>
      <c r="B2746" s="7"/>
    </row>
    <row r="2747" spans="1:2" ht="12.5">
      <c r="A2747" s="5"/>
      <c r="B2747" s="7"/>
    </row>
    <row r="2748" spans="1:2" ht="12.5">
      <c r="A2748" s="5"/>
      <c r="B2748" s="7"/>
    </row>
    <row r="2749" spans="1:2" ht="12.5">
      <c r="A2749" s="5"/>
      <c r="B2749" s="7"/>
    </row>
    <row r="2750" spans="1:2" ht="12.5">
      <c r="A2750" s="5"/>
      <c r="B2750" s="7"/>
    </row>
    <row r="2751" spans="1:2" ht="12.5">
      <c r="A2751" s="5"/>
      <c r="B2751" s="7"/>
    </row>
    <row r="2752" spans="1:2" ht="12.5">
      <c r="A2752" s="5"/>
      <c r="B2752" s="7"/>
    </row>
    <row r="2753" spans="1:2" ht="12.5">
      <c r="A2753" s="5"/>
      <c r="B2753" s="7"/>
    </row>
    <row r="2754" spans="1:2" ht="12.5">
      <c r="A2754" s="5"/>
      <c r="B2754" s="7"/>
    </row>
    <row r="2755" spans="1:2" ht="12.5">
      <c r="A2755" s="5"/>
      <c r="B2755" s="7"/>
    </row>
    <row r="2756" spans="1:2" ht="12.5">
      <c r="A2756" s="5"/>
      <c r="B2756" s="7"/>
    </row>
    <row r="2757" spans="1:2" ht="12.5">
      <c r="A2757" s="5"/>
      <c r="B2757" s="7"/>
    </row>
    <row r="2758" spans="1:2" ht="12.5">
      <c r="A2758" s="5"/>
      <c r="B2758" s="7"/>
    </row>
    <row r="2759" spans="1:2" ht="12.5">
      <c r="A2759" s="5"/>
      <c r="B2759" s="7"/>
    </row>
    <row r="2760" spans="1:2" ht="12.5">
      <c r="A2760" s="5"/>
      <c r="B2760" s="7"/>
    </row>
    <row r="2761" spans="1:2" ht="12.5">
      <c r="A2761" s="5"/>
      <c r="B2761" s="7"/>
    </row>
    <row r="2762" spans="1:2" ht="12.5">
      <c r="A2762" s="5"/>
      <c r="B2762" s="7"/>
    </row>
    <row r="2763" spans="1:2" ht="12.5">
      <c r="A2763" s="5"/>
      <c r="B2763" s="7"/>
    </row>
    <row r="2764" spans="1:2" ht="12.5">
      <c r="A2764" s="5"/>
      <c r="B2764" s="7"/>
    </row>
    <row r="2765" spans="1:2" ht="12.5">
      <c r="A2765" s="5"/>
      <c r="B2765" s="7"/>
    </row>
    <row r="2766" spans="1:2" ht="12.5">
      <c r="A2766" s="5"/>
      <c r="B2766" s="7"/>
    </row>
    <row r="2767" spans="1:2" ht="12.5">
      <c r="A2767" s="5"/>
      <c r="B2767" s="7"/>
    </row>
    <row r="2768" spans="1:2" ht="12.5">
      <c r="A2768" s="5"/>
      <c r="B2768" s="7"/>
    </row>
    <row r="2769" spans="1:2" ht="12.5">
      <c r="A2769" s="5"/>
      <c r="B2769" s="7"/>
    </row>
    <row r="2770" spans="1:2" ht="12.5">
      <c r="A2770" s="5"/>
      <c r="B2770" s="7"/>
    </row>
    <row r="2771" spans="1:2" ht="12.5">
      <c r="A2771" s="5"/>
      <c r="B2771" s="7"/>
    </row>
    <row r="2772" spans="1:2" ht="12.5">
      <c r="A2772" s="5"/>
      <c r="B2772" s="7"/>
    </row>
    <row r="2773" spans="1:2" ht="12.5">
      <c r="A2773" s="5"/>
      <c r="B2773" s="7"/>
    </row>
    <row r="2774" spans="1:2" ht="12.5">
      <c r="A2774" s="5"/>
      <c r="B2774" s="7"/>
    </row>
    <row r="2775" spans="1:2" ht="12.5">
      <c r="A2775" s="5"/>
      <c r="B2775" s="7"/>
    </row>
    <row r="2776" spans="1:2" ht="12.5">
      <c r="A2776" s="5"/>
      <c r="B2776" s="7"/>
    </row>
    <row r="2777" spans="1:2" ht="12.5">
      <c r="A2777" s="5"/>
      <c r="B2777" s="7"/>
    </row>
    <row r="2778" spans="1:2" ht="12.5">
      <c r="A2778" s="5"/>
      <c r="B2778" s="7"/>
    </row>
    <row r="2779" spans="1:2" ht="12.5">
      <c r="A2779" s="5"/>
      <c r="B2779" s="7"/>
    </row>
    <row r="2780" spans="1:2" ht="12.5">
      <c r="A2780" s="5"/>
      <c r="B2780" s="7"/>
    </row>
    <row r="2781" spans="1:2" ht="12.5">
      <c r="A2781" s="5"/>
      <c r="B2781" s="7"/>
    </row>
    <row r="2782" spans="1:2" ht="12.5">
      <c r="A2782" s="5"/>
      <c r="B2782" s="7"/>
    </row>
    <row r="2783" spans="1:2" ht="12.5">
      <c r="A2783" s="5"/>
      <c r="B2783" s="7"/>
    </row>
    <row r="2784" spans="1:2" ht="12.5">
      <c r="A2784" s="5"/>
      <c r="B2784" s="7"/>
    </row>
    <row r="2785" spans="1:2" ht="12.5">
      <c r="A2785" s="5"/>
      <c r="B2785" s="7"/>
    </row>
    <row r="2786" spans="1:2" ht="12.5">
      <c r="A2786" s="5"/>
      <c r="B2786" s="7"/>
    </row>
    <row r="2787" spans="1:2" ht="12.5">
      <c r="A2787" s="5"/>
      <c r="B2787" s="7"/>
    </row>
    <row r="2788" spans="1:2" ht="12.5">
      <c r="A2788" s="5"/>
      <c r="B2788" s="7"/>
    </row>
    <row r="2789" spans="1:2" ht="12.5">
      <c r="A2789" s="5"/>
      <c r="B2789" s="7"/>
    </row>
    <row r="2790" spans="1:2" ht="12.5">
      <c r="A2790" s="5"/>
      <c r="B2790" s="7"/>
    </row>
    <row r="2791" spans="1:2" ht="12.5">
      <c r="A2791" s="5"/>
      <c r="B2791" s="7"/>
    </row>
    <row r="2792" spans="1:2" ht="12.5">
      <c r="A2792" s="5"/>
      <c r="B2792" s="7"/>
    </row>
    <row r="2793" spans="1:2" ht="12.5">
      <c r="A2793" s="5"/>
      <c r="B2793" s="7"/>
    </row>
    <row r="2794" spans="1:2" ht="12.5">
      <c r="A2794" s="5"/>
      <c r="B2794" s="7"/>
    </row>
    <row r="2795" spans="1:2" ht="12.5">
      <c r="A2795" s="5"/>
      <c r="B2795" s="7"/>
    </row>
    <row r="2796" spans="1:2" ht="12.5">
      <c r="A2796" s="5"/>
      <c r="B2796" s="7"/>
    </row>
    <row r="2797" spans="1:2" ht="12.5">
      <c r="A2797" s="5"/>
      <c r="B2797" s="7"/>
    </row>
    <row r="2798" spans="1:2" ht="12.5">
      <c r="A2798" s="5"/>
      <c r="B2798" s="7"/>
    </row>
    <row r="2799" spans="1:2" ht="12.5">
      <c r="A2799" s="5"/>
      <c r="B2799" s="7"/>
    </row>
    <row r="2800" spans="1:2" ht="12.5">
      <c r="A2800" s="5"/>
      <c r="B2800" s="7"/>
    </row>
    <row r="2801" spans="1:2" ht="12.5">
      <c r="A2801" s="5"/>
      <c r="B2801" s="7"/>
    </row>
    <row r="2802" spans="1:2" ht="12.5">
      <c r="A2802" s="5"/>
      <c r="B2802" s="7"/>
    </row>
    <row r="2803" spans="1:2" ht="12.5">
      <c r="A2803" s="5"/>
      <c r="B2803" s="7"/>
    </row>
    <row r="2804" spans="1:2" ht="12.5">
      <c r="A2804" s="5"/>
      <c r="B2804" s="7"/>
    </row>
    <row r="2805" spans="1:2" ht="12.5">
      <c r="A2805" s="5"/>
      <c r="B2805" s="7"/>
    </row>
    <row r="2806" spans="1:2" ht="12.5">
      <c r="A2806" s="5"/>
      <c r="B2806" s="7"/>
    </row>
    <row r="2807" spans="1:2" ht="12.5">
      <c r="A2807" s="5"/>
      <c r="B2807" s="7"/>
    </row>
    <row r="2808" spans="1:2" ht="12.5">
      <c r="A2808" s="5"/>
      <c r="B2808" s="7"/>
    </row>
    <row r="2809" spans="1:2" ht="12.5">
      <c r="A2809" s="5"/>
      <c r="B2809" s="7"/>
    </row>
    <row r="2810" spans="1:2" ht="12.5">
      <c r="A2810" s="5"/>
      <c r="B2810" s="7"/>
    </row>
    <row r="2811" spans="1:2" ht="12.5">
      <c r="A2811" s="5"/>
      <c r="B2811" s="7"/>
    </row>
    <row r="2812" spans="1:2" ht="12.5">
      <c r="A2812" s="5"/>
      <c r="B2812" s="7"/>
    </row>
    <row r="2813" spans="1:2" ht="12.5">
      <c r="A2813" s="5"/>
      <c r="B2813" s="7"/>
    </row>
    <row r="2814" spans="1:2" ht="12.5">
      <c r="A2814" s="5"/>
      <c r="B2814" s="7"/>
    </row>
    <row r="2815" spans="1:2" ht="12.5">
      <c r="A2815" s="5"/>
      <c r="B2815" s="7"/>
    </row>
    <row r="2816" spans="1:2" ht="12.5">
      <c r="A2816" s="5"/>
      <c r="B2816" s="7"/>
    </row>
    <row r="2817" spans="1:2" ht="12.5">
      <c r="A2817" s="5"/>
      <c r="B2817" s="7"/>
    </row>
    <row r="2818" spans="1:2" ht="12.5">
      <c r="A2818" s="5"/>
      <c r="B2818" s="7"/>
    </row>
    <row r="2819" spans="1:2" ht="12.5">
      <c r="A2819" s="5"/>
      <c r="B2819" s="7"/>
    </row>
    <row r="2820" spans="1:2" ht="12.5">
      <c r="A2820" s="5"/>
      <c r="B2820" s="7"/>
    </row>
    <row r="2821" spans="1:2" ht="12.5">
      <c r="A2821" s="5"/>
      <c r="B2821" s="7"/>
    </row>
    <row r="2822" spans="1:2" ht="12.5">
      <c r="A2822" s="5"/>
      <c r="B2822" s="7"/>
    </row>
    <row r="2823" spans="1:2" ht="12.5">
      <c r="A2823" s="5"/>
      <c r="B2823" s="7"/>
    </row>
    <row r="2824" spans="1:2" ht="12.5">
      <c r="A2824" s="5"/>
      <c r="B2824" s="7"/>
    </row>
    <row r="2825" spans="1:2" ht="12.5">
      <c r="A2825" s="5"/>
      <c r="B2825" s="7"/>
    </row>
    <row r="2826" spans="1:2" ht="12.5">
      <c r="A2826" s="5"/>
      <c r="B2826" s="7"/>
    </row>
    <row r="2827" spans="1:2" ht="12.5">
      <c r="A2827" s="5"/>
      <c r="B2827" s="7"/>
    </row>
    <row r="2828" spans="1:2" ht="12.5">
      <c r="A2828" s="5"/>
      <c r="B2828" s="7"/>
    </row>
    <row r="2829" spans="1:2" ht="12.5">
      <c r="A2829" s="5"/>
      <c r="B2829" s="7"/>
    </row>
    <row r="2830" spans="1:2" ht="12.5">
      <c r="A2830" s="5"/>
      <c r="B2830" s="7"/>
    </row>
    <row r="2831" spans="1:2" ht="12.5">
      <c r="A2831" s="5"/>
      <c r="B2831" s="7"/>
    </row>
    <row r="2832" spans="1:2" ht="12.5">
      <c r="A2832" s="5"/>
      <c r="B2832" s="7"/>
    </row>
    <row r="2833" spans="1:2" ht="12.5">
      <c r="A2833" s="5"/>
      <c r="B2833" s="7"/>
    </row>
    <row r="2834" spans="1:2" ht="12.5">
      <c r="A2834" s="5"/>
      <c r="B2834" s="7"/>
    </row>
    <row r="2835" spans="1:2" ht="12.5">
      <c r="A2835" s="5"/>
      <c r="B2835" s="7"/>
    </row>
    <row r="2836" spans="1:2" ht="12.5">
      <c r="A2836" s="5"/>
      <c r="B2836" s="7"/>
    </row>
    <row r="2837" spans="1:2" ht="12.5">
      <c r="A2837" s="5"/>
      <c r="B2837" s="7"/>
    </row>
    <row r="2838" spans="1:2" ht="12.5">
      <c r="A2838" s="5"/>
      <c r="B2838" s="7"/>
    </row>
    <row r="2839" spans="1:2" ht="12.5">
      <c r="A2839" s="5"/>
      <c r="B2839" s="7"/>
    </row>
    <row r="2840" spans="1:2" ht="12.5">
      <c r="A2840" s="5"/>
      <c r="B2840" s="7"/>
    </row>
    <row r="2841" spans="1:2" ht="12.5">
      <c r="A2841" s="5"/>
      <c r="B2841" s="7"/>
    </row>
    <row r="2842" spans="1:2" ht="12.5">
      <c r="A2842" s="5"/>
      <c r="B2842" s="7"/>
    </row>
    <row r="2843" spans="1:2" ht="12.5">
      <c r="A2843" s="5"/>
      <c r="B2843" s="7"/>
    </row>
    <row r="2844" spans="1:2" ht="12.5">
      <c r="A2844" s="5"/>
      <c r="B2844" s="7"/>
    </row>
    <row r="2845" spans="1:2" ht="12.5">
      <c r="A2845" s="5"/>
      <c r="B2845" s="7"/>
    </row>
    <row r="2846" spans="1:2" ht="12.5">
      <c r="A2846" s="5"/>
      <c r="B2846" s="7"/>
    </row>
    <row r="2847" spans="1:2" ht="12.5">
      <c r="A2847" s="5"/>
      <c r="B2847" s="7"/>
    </row>
    <row r="2848" spans="1:2" ht="12.5">
      <c r="A2848" s="5"/>
      <c r="B2848" s="7"/>
    </row>
    <row r="2849" spans="1:2" ht="12.5">
      <c r="A2849" s="5"/>
      <c r="B2849" s="7"/>
    </row>
    <row r="2850" spans="1:2" ht="12.5">
      <c r="A2850" s="5"/>
      <c r="B2850" s="7"/>
    </row>
    <row r="2851" spans="1:2" ht="12.5">
      <c r="A2851" s="5"/>
      <c r="B2851" s="7"/>
    </row>
    <row r="2852" spans="1:2" ht="12.5">
      <c r="A2852" s="5"/>
      <c r="B2852" s="7"/>
    </row>
    <row r="2853" spans="1:2" ht="12.5">
      <c r="A2853" s="5"/>
      <c r="B2853" s="7"/>
    </row>
    <row r="2854" spans="1:2" ht="12.5">
      <c r="A2854" s="5"/>
      <c r="B2854" s="7"/>
    </row>
    <row r="2855" spans="1:2" ht="12.5">
      <c r="A2855" s="5"/>
      <c r="B2855" s="7"/>
    </row>
    <row r="2856" spans="1:2" ht="12.5">
      <c r="A2856" s="5"/>
      <c r="B2856" s="7"/>
    </row>
    <row r="2857" spans="1:2" ht="12.5">
      <c r="A2857" s="5"/>
      <c r="B2857" s="7"/>
    </row>
    <row r="2858" spans="1:2" ht="12.5">
      <c r="A2858" s="5"/>
      <c r="B2858" s="7"/>
    </row>
    <row r="2859" spans="1:2" ht="12.5">
      <c r="A2859" s="5"/>
      <c r="B2859" s="7"/>
    </row>
    <row r="2860" spans="1:2" ht="12.5">
      <c r="A2860" s="5"/>
      <c r="B2860" s="7"/>
    </row>
    <row r="2861" spans="1:2" ht="12.5">
      <c r="A2861" s="5"/>
      <c r="B2861" s="7"/>
    </row>
    <row r="2862" spans="1:2" ht="12.5">
      <c r="A2862" s="5"/>
      <c r="B2862" s="7"/>
    </row>
    <row r="2863" spans="1:2" ht="12.5">
      <c r="A2863" s="5"/>
      <c r="B2863" s="7"/>
    </row>
    <row r="2864" spans="1:2" ht="12.5">
      <c r="A2864" s="5"/>
      <c r="B2864" s="7"/>
    </row>
    <row r="2865" spans="1:2" ht="12.5">
      <c r="A2865" s="5"/>
      <c r="B2865" s="7"/>
    </row>
    <row r="2866" spans="1:2" ht="12.5">
      <c r="A2866" s="5"/>
      <c r="B2866" s="7"/>
    </row>
    <row r="2867" spans="1:2" ht="12.5">
      <c r="A2867" s="5"/>
      <c r="B2867" s="7"/>
    </row>
    <row r="2868" spans="1:2" ht="12.5">
      <c r="A2868" s="5"/>
      <c r="B2868" s="7"/>
    </row>
    <row r="2869" spans="1:2" ht="12.5">
      <c r="A2869" s="5"/>
      <c r="B2869" s="7"/>
    </row>
    <row r="2870" spans="1:2" ht="12.5">
      <c r="A2870" s="5"/>
      <c r="B2870" s="7"/>
    </row>
    <row r="2871" spans="1:2" ht="12.5">
      <c r="A2871" s="5"/>
      <c r="B2871" s="7"/>
    </row>
    <row r="2872" spans="1:2" ht="12.5">
      <c r="A2872" s="5"/>
      <c r="B2872" s="7"/>
    </row>
    <row r="2873" spans="1:2" ht="12.5">
      <c r="A2873" s="5"/>
      <c r="B2873" s="7"/>
    </row>
    <row r="2874" spans="1:2" ht="12.5">
      <c r="A2874" s="5"/>
      <c r="B2874" s="7"/>
    </row>
    <row r="2875" spans="1:2" ht="12.5">
      <c r="A2875" s="5"/>
      <c r="B2875" s="7"/>
    </row>
    <row r="2876" spans="1:2" ht="12.5">
      <c r="A2876" s="5"/>
      <c r="B2876" s="7"/>
    </row>
    <row r="2877" spans="1:2" ht="12.5">
      <c r="A2877" s="5"/>
      <c r="B2877" s="7"/>
    </row>
    <row r="2878" spans="1:2" ht="12.5">
      <c r="A2878" s="5"/>
      <c r="B2878" s="7"/>
    </row>
    <row r="2879" spans="1:2" ht="12.5">
      <c r="A2879" s="5"/>
      <c r="B2879" s="7"/>
    </row>
    <row r="2880" spans="1:2" ht="12.5">
      <c r="A2880" s="5"/>
      <c r="B2880" s="7"/>
    </row>
    <row r="2881" spans="1:2" ht="12.5">
      <c r="A2881" s="5"/>
      <c r="B2881" s="7"/>
    </row>
    <row r="2882" spans="1:2" ht="12.5">
      <c r="A2882" s="5"/>
      <c r="B2882" s="7"/>
    </row>
    <row r="2883" spans="1:2" ht="12.5">
      <c r="A2883" s="5"/>
      <c r="B2883" s="7"/>
    </row>
    <row r="2884" spans="1:2" ht="12.5">
      <c r="A2884" s="5"/>
      <c r="B2884" s="7"/>
    </row>
    <row r="2885" spans="1:2" ht="12.5">
      <c r="A2885" s="5"/>
      <c r="B2885" s="7"/>
    </row>
    <row r="2886" spans="1:2" ht="12.5">
      <c r="A2886" s="5"/>
      <c r="B2886" s="7"/>
    </row>
    <row r="2887" spans="1:2" ht="12.5">
      <c r="A2887" s="5"/>
      <c r="B2887" s="7"/>
    </row>
    <row r="2888" spans="1:2" ht="12.5">
      <c r="A2888" s="5"/>
      <c r="B2888" s="7"/>
    </row>
    <row r="2889" spans="1:2" ht="12.5">
      <c r="A2889" s="5"/>
      <c r="B2889" s="7"/>
    </row>
    <row r="2890" spans="1:2" ht="12.5">
      <c r="A2890" s="5"/>
      <c r="B2890" s="7"/>
    </row>
    <row r="2891" spans="1:2" ht="12.5">
      <c r="A2891" s="5"/>
      <c r="B2891" s="7"/>
    </row>
    <row r="2892" spans="1:2" ht="12.5">
      <c r="A2892" s="5"/>
      <c r="B2892" s="7"/>
    </row>
    <row r="2893" spans="1:2" ht="12.5">
      <c r="A2893" s="5"/>
      <c r="B2893" s="7"/>
    </row>
    <row r="2894" spans="1:2" ht="12.5">
      <c r="A2894" s="5"/>
      <c r="B2894" s="7"/>
    </row>
    <row r="2895" spans="1:2" ht="12.5">
      <c r="A2895" s="5"/>
      <c r="B2895" s="7"/>
    </row>
    <row r="2896" spans="1:2" ht="12.5">
      <c r="A2896" s="5"/>
      <c r="B2896" s="7"/>
    </row>
    <row r="2897" spans="1:2" ht="12.5">
      <c r="A2897" s="5"/>
      <c r="B2897" s="7"/>
    </row>
    <row r="2898" spans="1:2" ht="12.5">
      <c r="A2898" s="5"/>
      <c r="B2898" s="7"/>
    </row>
    <row r="2899" spans="1:2" ht="12.5">
      <c r="A2899" s="5"/>
      <c r="B2899" s="7"/>
    </row>
    <row r="2900" spans="1:2" ht="12.5">
      <c r="A2900" s="5"/>
      <c r="B2900" s="7"/>
    </row>
    <row r="2901" spans="1:2" ht="12.5">
      <c r="A2901" s="5"/>
      <c r="B2901" s="7"/>
    </row>
    <row r="2902" spans="1:2" ht="12.5">
      <c r="A2902" s="5"/>
      <c r="B2902" s="7"/>
    </row>
    <row r="2903" spans="1:2" ht="12.5">
      <c r="A2903" s="5"/>
      <c r="B2903" s="7"/>
    </row>
    <row r="2904" spans="1:2" ht="12.5">
      <c r="A2904" s="5"/>
      <c r="B2904" s="7"/>
    </row>
    <row r="2905" spans="1:2" ht="12.5">
      <c r="A2905" s="5"/>
      <c r="B2905" s="7"/>
    </row>
    <row r="2906" spans="1:2" ht="12.5">
      <c r="A2906" s="5"/>
      <c r="B2906" s="7"/>
    </row>
    <row r="2907" spans="1:2" ht="12.5">
      <c r="A2907" s="5"/>
      <c r="B2907" s="7"/>
    </row>
    <row r="2908" spans="1:2" ht="12.5">
      <c r="A2908" s="5"/>
      <c r="B2908" s="7"/>
    </row>
    <row r="2909" spans="1:2" ht="12.5">
      <c r="A2909" s="5"/>
      <c r="B2909" s="7"/>
    </row>
    <row r="2910" spans="1:2" ht="12.5">
      <c r="A2910" s="5"/>
      <c r="B2910" s="7"/>
    </row>
    <row r="2911" spans="1:2" ht="12.5">
      <c r="A2911" s="5"/>
      <c r="B2911" s="7"/>
    </row>
    <row r="2912" spans="1:2" ht="12.5">
      <c r="A2912" s="5"/>
      <c r="B2912" s="7"/>
    </row>
    <row r="2913" spans="1:2" ht="12.5">
      <c r="A2913" s="5"/>
      <c r="B2913" s="7"/>
    </row>
    <row r="2914" spans="1:2" ht="12.5">
      <c r="A2914" s="5"/>
      <c r="B2914" s="7"/>
    </row>
    <row r="2915" spans="1:2" ht="12.5">
      <c r="A2915" s="5"/>
      <c r="B2915" s="7"/>
    </row>
    <row r="2916" spans="1:2" ht="12.5">
      <c r="A2916" s="5"/>
      <c r="B2916" s="7"/>
    </row>
    <row r="2917" spans="1:2" ht="12.5">
      <c r="A2917" s="5"/>
      <c r="B2917" s="7"/>
    </row>
    <row r="2918" spans="1:2" ht="12.5">
      <c r="A2918" s="5"/>
      <c r="B2918" s="7"/>
    </row>
    <row r="2919" spans="1:2" ht="12.5">
      <c r="A2919" s="5"/>
      <c r="B2919" s="7"/>
    </row>
    <row r="2920" spans="1:2" ht="12.5">
      <c r="A2920" s="5"/>
      <c r="B2920" s="7"/>
    </row>
    <row r="2921" spans="1:2" ht="12.5">
      <c r="A2921" s="5"/>
      <c r="B2921" s="7"/>
    </row>
    <row r="2922" spans="1:2" ht="12.5">
      <c r="A2922" s="5"/>
      <c r="B2922" s="7"/>
    </row>
    <row r="2923" spans="1:2" ht="12.5">
      <c r="A2923" s="5"/>
      <c r="B2923" s="7"/>
    </row>
    <row r="2924" spans="1:2" ht="12.5">
      <c r="A2924" s="5"/>
      <c r="B2924" s="7"/>
    </row>
    <row r="2925" spans="1:2" ht="12.5">
      <c r="A2925" s="5"/>
      <c r="B2925" s="7"/>
    </row>
    <row r="2926" spans="1:2" ht="12.5">
      <c r="A2926" s="5"/>
      <c r="B2926" s="7"/>
    </row>
    <row r="2927" spans="1:2" ht="12.5">
      <c r="A2927" s="5"/>
      <c r="B2927" s="7"/>
    </row>
    <row r="2928" spans="1:2" ht="12.5">
      <c r="A2928" s="5"/>
      <c r="B2928" s="7"/>
    </row>
    <row r="2929" spans="1:2" ht="12.5">
      <c r="A2929" s="5"/>
      <c r="B2929" s="7"/>
    </row>
    <row r="2930" spans="1:2" ht="12.5">
      <c r="A2930" s="5"/>
      <c r="B2930" s="7"/>
    </row>
    <row r="2931" spans="1:2" ht="12.5">
      <c r="A2931" s="5"/>
      <c r="B2931" s="7"/>
    </row>
    <row r="2932" spans="1:2" ht="12.5">
      <c r="A2932" s="5"/>
      <c r="B2932" s="7"/>
    </row>
    <row r="2933" spans="1:2" ht="12.5">
      <c r="A2933" s="5"/>
      <c r="B2933" s="7"/>
    </row>
    <row r="2934" spans="1:2" ht="12.5">
      <c r="A2934" s="5"/>
      <c r="B2934" s="7"/>
    </row>
    <row r="2935" spans="1:2" ht="12.5">
      <c r="A2935" s="5"/>
      <c r="B2935" s="7"/>
    </row>
    <row r="2936" spans="1:2" ht="12.5">
      <c r="A2936" s="5"/>
      <c r="B2936" s="7"/>
    </row>
    <row r="2937" spans="1:2" ht="12.5">
      <c r="A2937" s="5"/>
      <c r="B2937" s="7"/>
    </row>
    <row r="2938" spans="1:2" ht="12.5">
      <c r="A2938" s="5"/>
      <c r="B2938" s="7"/>
    </row>
    <row r="2939" spans="1:2" ht="12.5">
      <c r="A2939" s="5"/>
      <c r="B2939" s="7"/>
    </row>
    <row r="2940" spans="1:2" ht="12.5">
      <c r="A2940" s="5"/>
      <c r="B2940" s="7"/>
    </row>
    <row r="2941" spans="1:2" ht="12.5">
      <c r="A2941" s="5"/>
      <c r="B2941" s="7"/>
    </row>
    <row r="2942" spans="1:2" ht="12.5">
      <c r="A2942" s="5"/>
      <c r="B2942" s="7"/>
    </row>
    <row r="2943" spans="1:2" ht="12.5">
      <c r="A2943" s="5"/>
      <c r="B2943" s="7"/>
    </row>
    <row r="2944" spans="1:2" ht="12.5">
      <c r="A2944" s="5"/>
      <c r="B2944" s="7"/>
    </row>
    <row r="2945" spans="1:2" ht="12.5">
      <c r="A2945" s="5"/>
      <c r="B2945" s="7"/>
    </row>
    <row r="2946" spans="1:2" ht="12.5">
      <c r="A2946" s="5"/>
      <c r="B2946" s="7"/>
    </row>
    <row r="2947" spans="1:2" ht="12.5">
      <c r="A2947" s="5"/>
      <c r="B2947" s="7"/>
    </row>
    <row r="2948" spans="1:2" ht="12.5">
      <c r="A2948" s="5"/>
      <c r="B2948" s="7"/>
    </row>
    <row r="2949" spans="1:2" ht="12.5">
      <c r="A2949" s="5"/>
      <c r="B2949" s="7"/>
    </row>
    <row r="2950" spans="1:2" ht="12.5">
      <c r="A2950" s="5"/>
      <c r="B2950" s="7"/>
    </row>
    <row r="2951" spans="1:2" ht="12.5">
      <c r="A2951" s="5"/>
      <c r="B2951" s="7"/>
    </row>
    <row r="2952" spans="1:2" ht="12.5">
      <c r="A2952" s="5"/>
      <c r="B2952" s="7"/>
    </row>
    <row r="2953" spans="1:2" ht="12.5">
      <c r="A2953" s="5"/>
      <c r="B2953" s="7"/>
    </row>
    <row r="2954" spans="1:2" ht="12.5">
      <c r="A2954" s="5"/>
      <c r="B2954" s="7"/>
    </row>
    <row r="2955" spans="1:2" ht="12.5">
      <c r="A2955" s="5"/>
      <c r="B2955" s="7"/>
    </row>
    <row r="2956" spans="1:2" ht="12.5">
      <c r="A2956" s="5"/>
      <c r="B2956" s="7"/>
    </row>
    <row r="2957" spans="1:2" ht="12.5">
      <c r="A2957" s="5"/>
      <c r="B2957" s="7"/>
    </row>
    <row r="2958" spans="1:2" ht="12.5">
      <c r="A2958" s="5"/>
      <c r="B2958" s="7"/>
    </row>
    <row r="2959" spans="1:2" ht="12.5">
      <c r="A2959" s="5"/>
      <c r="B2959" s="7"/>
    </row>
    <row r="2960" spans="1:2" ht="12.5">
      <c r="A2960" s="5"/>
      <c r="B2960" s="7"/>
    </row>
    <row r="2961" spans="1:2" ht="12.5">
      <c r="A2961" s="5"/>
      <c r="B2961" s="7"/>
    </row>
    <row r="2962" spans="1:2" ht="12.5">
      <c r="A2962" s="5"/>
      <c r="B2962" s="7"/>
    </row>
    <row r="2963" spans="1:2" ht="12.5">
      <c r="A2963" s="5"/>
      <c r="B2963" s="7"/>
    </row>
    <row r="2964" spans="1:2" ht="12.5">
      <c r="A2964" s="5"/>
      <c r="B2964" s="7"/>
    </row>
    <row r="2965" spans="1:2" ht="12.5">
      <c r="A2965" s="5"/>
      <c r="B2965" s="7"/>
    </row>
    <row r="2966" spans="1:2" ht="12.5">
      <c r="A2966" s="5"/>
      <c r="B2966" s="7"/>
    </row>
    <row r="2967" spans="1:2" ht="12.5">
      <c r="A2967" s="5"/>
      <c r="B2967" s="7"/>
    </row>
    <row r="2968" spans="1:2" ht="12.5">
      <c r="A2968" s="5"/>
      <c r="B2968" s="7"/>
    </row>
    <row r="2969" spans="1:2" ht="12.5">
      <c r="A2969" s="5"/>
      <c r="B2969" s="7"/>
    </row>
    <row r="2970" spans="1:2" ht="12.5">
      <c r="A2970" s="5"/>
      <c r="B2970" s="7"/>
    </row>
    <row r="2971" spans="1:2" ht="12.5">
      <c r="A2971" s="5"/>
      <c r="B2971" s="7"/>
    </row>
    <row r="2972" spans="1:2" ht="12.5">
      <c r="A2972" s="5"/>
      <c r="B2972" s="7"/>
    </row>
    <row r="2973" spans="1:2" ht="12.5">
      <c r="A2973" s="5"/>
      <c r="B2973" s="7"/>
    </row>
    <row r="2974" spans="1:2" ht="12.5">
      <c r="A2974" s="5"/>
      <c r="B2974" s="7"/>
    </row>
    <row r="2975" spans="1:2" ht="12.5">
      <c r="A2975" s="5"/>
      <c r="B2975" s="7"/>
    </row>
    <row r="2976" spans="1:2" ht="12.5">
      <c r="A2976" s="5"/>
      <c r="B2976" s="7"/>
    </row>
    <row r="2977" spans="1:2" ht="12.5">
      <c r="A2977" s="5"/>
      <c r="B2977" s="7"/>
    </row>
    <row r="2978" spans="1:2" ht="12.5">
      <c r="A2978" s="5"/>
      <c r="B2978" s="7"/>
    </row>
    <row r="2979" spans="1:2" ht="12.5">
      <c r="A2979" s="5"/>
      <c r="B2979" s="7"/>
    </row>
    <row r="2980" spans="1:2" ht="12.5">
      <c r="A2980" s="5"/>
      <c r="B2980" s="7"/>
    </row>
    <row r="2981" spans="1:2" ht="12.5">
      <c r="A2981" s="5"/>
      <c r="B2981" s="7"/>
    </row>
    <row r="2982" spans="1:2" ht="12.5">
      <c r="A2982" s="5"/>
      <c r="B2982" s="7"/>
    </row>
    <row r="2983" spans="1:2" ht="12.5">
      <c r="A2983" s="5"/>
      <c r="B2983" s="7"/>
    </row>
    <row r="2984" spans="1:2" ht="12.5">
      <c r="A2984" s="5"/>
      <c r="B2984" s="7"/>
    </row>
    <row r="2985" spans="1:2" ht="12.5">
      <c r="A2985" s="5"/>
      <c r="B2985" s="7"/>
    </row>
    <row r="2986" spans="1:2" ht="12.5">
      <c r="A2986" s="5"/>
      <c r="B2986" s="7"/>
    </row>
    <row r="2987" spans="1:2" ht="12.5">
      <c r="A2987" s="5"/>
      <c r="B2987" s="7"/>
    </row>
    <row r="2988" spans="1:2" ht="12.5">
      <c r="A2988" s="5"/>
      <c r="B2988" s="7"/>
    </row>
    <row r="2989" spans="1:2" ht="12.5">
      <c r="A2989" s="5"/>
      <c r="B2989" s="7"/>
    </row>
    <row r="2990" spans="1:2" ht="12.5">
      <c r="A2990" s="5"/>
      <c r="B2990" s="7"/>
    </row>
    <row r="2991" spans="1:2" ht="12.5">
      <c r="A2991" s="5"/>
      <c r="B2991" s="7"/>
    </row>
    <row r="2992" spans="1:2" ht="12.5">
      <c r="A2992" s="5"/>
      <c r="B2992" s="7"/>
    </row>
    <row r="2993" spans="1:2" ht="12.5">
      <c r="A2993" s="5"/>
      <c r="B2993" s="7"/>
    </row>
    <row r="2994" spans="1:2" ht="12.5">
      <c r="A2994" s="5"/>
      <c r="B2994" s="7"/>
    </row>
    <row r="2995" spans="1:2" ht="12.5">
      <c r="A2995" s="5"/>
      <c r="B2995" s="7"/>
    </row>
    <row r="2996" spans="1:2" ht="12.5">
      <c r="A2996" s="5"/>
      <c r="B2996" s="7"/>
    </row>
    <row r="2997" spans="1:2" ht="12.5">
      <c r="A2997" s="5"/>
      <c r="B2997" s="7"/>
    </row>
    <row r="2998" spans="1:2" ht="12.5">
      <c r="A2998" s="5"/>
      <c r="B2998" s="7"/>
    </row>
    <row r="2999" spans="1:2" ht="12.5">
      <c r="A2999" s="5"/>
      <c r="B2999" s="7"/>
    </row>
    <row r="3000" spans="1:2" ht="12.5">
      <c r="A3000" s="5"/>
      <c r="B3000" s="7"/>
    </row>
    <row r="3001" spans="1:2" ht="12.5">
      <c r="A3001" s="5"/>
      <c r="B3001" s="7"/>
    </row>
    <row r="3002" spans="1:2" ht="12.5">
      <c r="A3002" s="5"/>
      <c r="B3002" s="7"/>
    </row>
    <row r="3003" spans="1:2" ht="12.5">
      <c r="A3003" s="5"/>
      <c r="B3003" s="7"/>
    </row>
    <row r="3004" spans="1:2" ht="12.5">
      <c r="A3004" s="5"/>
      <c r="B3004" s="7"/>
    </row>
    <row r="3005" spans="1:2" ht="12.5">
      <c r="A3005" s="5"/>
      <c r="B3005" s="7"/>
    </row>
    <row r="3006" spans="1:2" ht="12.5">
      <c r="A3006" s="5"/>
      <c r="B3006" s="7"/>
    </row>
    <row r="3007" spans="1:2" ht="12.5">
      <c r="A3007" s="5"/>
      <c r="B3007" s="7"/>
    </row>
    <row r="3008" spans="1:2" ht="12.5">
      <c r="A3008" s="5"/>
      <c r="B3008" s="7"/>
    </row>
    <row r="3009" spans="1:2" ht="12.5">
      <c r="A3009" s="5"/>
      <c r="B3009" s="7"/>
    </row>
    <row r="3010" spans="1:2" ht="12.5">
      <c r="A3010" s="5"/>
      <c r="B3010" s="7"/>
    </row>
    <row r="3011" spans="1:2" ht="12.5">
      <c r="A3011" s="5"/>
      <c r="B3011" s="7"/>
    </row>
    <row r="3012" spans="1:2" ht="12.5">
      <c r="A3012" s="5"/>
      <c r="B3012" s="7"/>
    </row>
    <row r="3013" spans="1:2" ht="12.5">
      <c r="A3013" s="5"/>
      <c r="B3013" s="7"/>
    </row>
    <row r="3014" spans="1:2" ht="12.5">
      <c r="A3014" s="5"/>
      <c r="B3014" s="7"/>
    </row>
    <row r="3015" spans="1:2" ht="12.5">
      <c r="A3015" s="5"/>
      <c r="B3015" s="7"/>
    </row>
    <row r="3016" spans="1:2" ht="12.5">
      <c r="A3016" s="5"/>
      <c r="B3016" s="7"/>
    </row>
    <row r="3017" spans="1:2" ht="12.5">
      <c r="A3017" s="5"/>
      <c r="B3017" s="7"/>
    </row>
    <row r="3018" spans="1:2" ht="12.5">
      <c r="A3018" s="5"/>
      <c r="B3018" s="7"/>
    </row>
    <row r="3019" spans="1:2" ht="12.5">
      <c r="A3019" s="5"/>
      <c r="B3019" s="7"/>
    </row>
    <row r="3020" spans="1:2" ht="12.5">
      <c r="A3020" s="5"/>
      <c r="B3020" s="7"/>
    </row>
    <row r="3021" spans="1:2" ht="12.5">
      <c r="A3021" s="5"/>
      <c r="B3021" s="7"/>
    </row>
    <row r="3022" spans="1:2" ht="12.5">
      <c r="A3022" s="5"/>
      <c r="B3022" s="7"/>
    </row>
    <row r="3023" spans="1:2" ht="12.5">
      <c r="A3023" s="5"/>
      <c r="B3023" s="7"/>
    </row>
    <row r="3024" spans="1:2" ht="12.5">
      <c r="A3024" s="5"/>
      <c r="B3024" s="7"/>
    </row>
    <row r="3025" spans="1:2" ht="12.5">
      <c r="A3025" s="5"/>
      <c r="B3025" s="7"/>
    </row>
    <row r="3026" spans="1:2" ht="12.5">
      <c r="A3026" s="5"/>
      <c r="B3026" s="7"/>
    </row>
    <row r="3027" spans="1:2" ht="12.5">
      <c r="A3027" s="5"/>
      <c r="B3027" s="7"/>
    </row>
    <row r="3028" spans="1:2" ht="12.5">
      <c r="A3028" s="5"/>
      <c r="B3028" s="7"/>
    </row>
    <row r="3029" spans="1:2" ht="12.5">
      <c r="A3029" s="5"/>
      <c r="B3029" s="7"/>
    </row>
    <row r="3030" spans="1:2" ht="12.5">
      <c r="A3030" s="5"/>
      <c r="B3030" s="7"/>
    </row>
    <row r="3031" spans="1:2" ht="12.5">
      <c r="A3031" s="5"/>
      <c r="B3031" s="7"/>
    </row>
    <row r="3032" spans="1:2" ht="12.5">
      <c r="A3032" s="5"/>
      <c r="B3032" s="7"/>
    </row>
    <row r="3033" spans="1:2" ht="12.5">
      <c r="A3033" s="5"/>
      <c r="B3033" s="7"/>
    </row>
    <row r="3034" spans="1:2" ht="12.5">
      <c r="A3034" s="5"/>
      <c r="B3034" s="7"/>
    </row>
    <row r="3035" spans="1:2" ht="12.5">
      <c r="A3035" s="5"/>
      <c r="B3035" s="7"/>
    </row>
    <row r="3036" spans="1:2" ht="12.5">
      <c r="A3036" s="5"/>
      <c r="B3036" s="7"/>
    </row>
    <row r="3037" spans="1:2" ht="12.5">
      <c r="A3037" s="5"/>
      <c r="B3037" s="7"/>
    </row>
    <row r="3038" spans="1:2" ht="12.5">
      <c r="A3038" s="5"/>
      <c r="B3038" s="7"/>
    </row>
    <row r="3039" spans="1:2" ht="12.5">
      <c r="A3039" s="5"/>
      <c r="B3039" s="7"/>
    </row>
    <row r="3040" spans="1:2" ht="12.5">
      <c r="A3040" s="5"/>
      <c r="B3040" s="7"/>
    </row>
    <row r="3041" spans="1:2" ht="12.5">
      <c r="A3041" s="5"/>
      <c r="B3041" s="7"/>
    </row>
    <row r="3042" spans="1:2" ht="12.5">
      <c r="A3042" s="5"/>
      <c r="B3042" s="7"/>
    </row>
    <row r="3043" spans="1:2" ht="12.5">
      <c r="A3043" s="5"/>
      <c r="B3043" s="7"/>
    </row>
    <row r="3044" spans="1:2" ht="12.5">
      <c r="A3044" s="5"/>
      <c r="B3044" s="7"/>
    </row>
    <row r="3045" spans="1:2" ht="12.5">
      <c r="A3045" s="5"/>
      <c r="B3045" s="7"/>
    </row>
    <row r="3046" spans="1:2" ht="12.5">
      <c r="A3046" s="5"/>
      <c r="B3046" s="7"/>
    </row>
    <row r="3047" spans="1:2" ht="12.5">
      <c r="A3047" s="5"/>
      <c r="B3047" s="7"/>
    </row>
    <row r="3048" spans="1:2" ht="12.5">
      <c r="A3048" s="5"/>
      <c r="B3048" s="7"/>
    </row>
    <row r="3049" spans="1:2" ht="12.5">
      <c r="A3049" s="5"/>
      <c r="B3049" s="7"/>
    </row>
    <row r="3050" spans="1:2" ht="12.5">
      <c r="A3050" s="5"/>
      <c r="B3050" s="7"/>
    </row>
    <row r="3051" spans="1:2" ht="12.5">
      <c r="A3051" s="5"/>
      <c r="B3051" s="7"/>
    </row>
    <row r="3052" spans="1:2" ht="12.5">
      <c r="A3052" s="5"/>
      <c r="B3052" s="7"/>
    </row>
    <row r="3053" spans="1:2" ht="12.5">
      <c r="A3053" s="5"/>
      <c r="B3053" s="7"/>
    </row>
    <row r="3054" spans="1:2" ht="12.5">
      <c r="A3054" s="5"/>
      <c r="B3054" s="7"/>
    </row>
    <row r="3055" spans="1:2" ht="12.5">
      <c r="A3055" s="5"/>
      <c r="B3055" s="7"/>
    </row>
    <row r="3056" spans="1:2" ht="12.5">
      <c r="A3056" s="5"/>
      <c r="B3056" s="7"/>
    </row>
    <row r="3057" spans="1:2" ht="12.5">
      <c r="A3057" s="5"/>
      <c r="B3057" s="7"/>
    </row>
    <row r="3058" spans="1:2" ht="12.5">
      <c r="A3058" s="5"/>
      <c r="B3058" s="7"/>
    </row>
    <row r="3059" spans="1:2" ht="12.5">
      <c r="A3059" s="5"/>
      <c r="B3059" s="7"/>
    </row>
    <row r="3060" spans="1:2" ht="12.5">
      <c r="A3060" s="5"/>
      <c r="B3060" s="7"/>
    </row>
    <row r="3061" spans="1:2" ht="12.5">
      <c r="A3061" s="5"/>
      <c r="B3061" s="7"/>
    </row>
    <row r="3062" spans="1:2" ht="12.5">
      <c r="A3062" s="5"/>
      <c r="B3062" s="7"/>
    </row>
    <row r="3063" spans="1:2" ht="12.5">
      <c r="A3063" s="5"/>
      <c r="B3063" s="7"/>
    </row>
    <row r="3064" spans="1:2" ht="12.5">
      <c r="A3064" s="5"/>
      <c r="B3064" s="7"/>
    </row>
    <row r="3065" spans="1:2" ht="12.5">
      <c r="A3065" s="5"/>
      <c r="B3065" s="7"/>
    </row>
    <row r="3066" spans="1:2" ht="12.5">
      <c r="A3066" s="5"/>
      <c r="B3066" s="7"/>
    </row>
    <row r="3067" spans="1:2" ht="12.5">
      <c r="A3067" s="5"/>
      <c r="B3067" s="7"/>
    </row>
    <row r="3068" spans="1:2" ht="12.5">
      <c r="A3068" s="5"/>
      <c r="B3068" s="7"/>
    </row>
    <row r="3069" spans="1:2" ht="12.5">
      <c r="A3069" s="5"/>
      <c r="B3069" s="7"/>
    </row>
    <row r="3070" spans="1:2" ht="12.5">
      <c r="A3070" s="5"/>
      <c r="B3070" s="7"/>
    </row>
    <row r="3071" spans="1:2" ht="12.5">
      <c r="A3071" s="5"/>
      <c r="B3071" s="7"/>
    </row>
    <row r="3072" spans="1:2" ht="12.5">
      <c r="A3072" s="5"/>
      <c r="B3072" s="7"/>
    </row>
    <row r="3073" spans="1:2" ht="12.5">
      <c r="A3073" s="5"/>
      <c r="B3073" s="7"/>
    </row>
    <row r="3074" spans="1:2" ht="12.5">
      <c r="A3074" s="5"/>
      <c r="B3074" s="7"/>
    </row>
    <row r="3075" spans="1:2" ht="12.5">
      <c r="A3075" s="5"/>
      <c r="B3075" s="7"/>
    </row>
    <row r="3076" spans="1:2" ht="12.5">
      <c r="A3076" s="5"/>
      <c r="B3076" s="7"/>
    </row>
    <row r="3077" spans="1:2" ht="12.5">
      <c r="A3077" s="5"/>
      <c r="B3077" s="7"/>
    </row>
    <row r="3078" spans="1:2" ht="12.5">
      <c r="A3078" s="5"/>
      <c r="B3078" s="7"/>
    </row>
    <row r="3079" spans="1:2" ht="12.5">
      <c r="A3079" s="5"/>
      <c r="B3079" s="7"/>
    </row>
    <row r="3080" spans="1:2" ht="12.5">
      <c r="A3080" s="5"/>
      <c r="B3080" s="7"/>
    </row>
    <row r="3081" spans="1:2" ht="12.5">
      <c r="A3081" s="5"/>
      <c r="B3081" s="7"/>
    </row>
    <row r="3082" spans="1:2" ht="12.5">
      <c r="A3082" s="5"/>
      <c r="B3082" s="7"/>
    </row>
    <row r="3083" spans="1:2" ht="12.5">
      <c r="A3083" s="5"/>
      <c r="B3083" s="7"/>
    </row>
    <row r="3084" spans="1:2" ht="12.5">
      <c r="A3084" s="5"/>
      <c r="B3084" s="7"/>
    </row>
    <row r="3085" spans="1:2" ht="12.5">
      <c r="A3085" s="5"/>
      <c r="B3085" s="7"/>
    </row>
    <row r="3086" spans="1:2" ht="12.5">
      <c r="A3086" s="5"/>
      <c r="B3086" s="7"/>
    </row>
    <row r="3087" spans="1:2" ht="12.5">
      <c r="A3087" s="5"/>
      <c r="B3087" s="7"/>
    </row>
    <row r="3088" spans="1:2" ht="12.5">
      <c r="A3088" s="5"/>
      <c r="B3088" s="7"/>
    </row>
    <row r="3089" spans="1:2" ht="12.5">
      <c r="A3089" s="5"/>
      <c r="B3089" s="7"/>
    </row>
    <row r="3090" spans="1:2" ht="12.5">
      <c r="A3090" s="5"/>
      <c r="B3090" s="7"/>
    </row>
    <row r="3091" spans="1:2" ht="12.5">
      <c r="A3091" s="5"/>
      <c r="B3091" s="7"/>
    </row>
    <row r="3092" spans="1:2" ht="12.5">
      <c r="A3092" s="5"/>
      <c r="B3092" s="7"/>
    </row>
    <row r="3093" spans="1:2" ht="12.5">
      <c r="A3093" s="5"/>
      <c r="B3093" s="7"/>
    </row>
    <row r="3094" spans="1:2" ht="12.5">
      <c r="A3094" s="5"/>
      <c r="B3094" s="7"/>
    </row>
    <row r="3095" spans="1:2" ht="12.5">
      <c r="A3095" s="5"/>
      <c r="B3095" s="7"/>
    </row>
    <row r="3096" spans="1:2" ht="12.5">
      <c r="A3096" s="5"/>
      <c r="B3096" s="7"/>
    </row>
    <row r="3097" spans="1:2" ht="12.5">
      <c r="A3097" s="5"/>
      <c r="B3097" s="7"/>
    </row>
    <row r="3098" spans="1:2" ht="12.5">
      <c r="A3098" s="5"/>
      <c r="B3098" s="7"/>
    </row>
    <row r="3099" spans="1:2" ht="12.5">
      <c r="A3099" s="5"/>
      <c r="B3099" s="7"/>
    </row>
    <row r="3100" spans="1:2" ht="12.5">
      <c r="A3100" s="5"/>
      <c r="B3100" s="7"/>
    </row>
    <row r="3101" spans="1:2" ht="12.5">
      <c r="A3101" s="5"/>
      <c r="B3101" s="7"/>
    </row>
    <row r="3102" spans="1:2" ht="12.5">
      <c r="A3102" s="5"/>
      <c r="B3102" s="7"/>
    </row>
    <row r="3103" spans="1:2" ht="12.5">
      <c r="A3103" s="5"/>
      <c r="B3103" s="7"/>
    </row>
    <row r="3104" spans="1:2" ht="12.5">
      <c r="A3104" s="5"/>
      <c r="B3104" s="7"/>
    </row>
    <row r="3105" spans="1:2" ht="12.5">
      <c r="A3105" s="5"/>
      <c r="B3105" s="7"/>
    </row>
    <row r="3106" spans="1:2" ht="12.5">
      <c r="A3106" s="5"/>
      <c r="B3106" s="7"/>
    </row>
    <row r="3107" spans="1:2" ht="12.5">
      <c r="A3107" s="5"/>
      <c r="B3107" s="7"/>
    </row>
    <row r="3108" spans="1:2" ht="12.5">
      <c r="A3108" s="5"/>
      <c r="B3108" s="7"/>
    </row>
    <row r="3109" spans="1:2" ht="12.5">
      <c r="A3109" s="5"/>
      <c r="B3109" s="7"/>
    </row>
    <row r="3110" spans="1:2" ht="12.5">
      <c r="A3110" s="5"/>
      <c r="B3110" s="7"/>
    </row>
    <row r="3111" spans="1:2" ht="12.5">
      <c r="A3111" s="5"/>
      <c r="B3111" s="7"/>
    </row>
    <row r="3112" spans="1:2" ht="12.5">
      <c r="A3112" s="5"/>
      <c r="B3112" s="7"/>
    </row>
    <row r="3113" spans="1:2" ht="12.5">
      <c r="A3113" s="5"/>
      <c r="B3113" s="7"/>
    </row>
    <row r="3114" spans="1:2" ht="12.5">
      <c r="A3114" s="5"/>
      <c r="B3114" s="7"/>
    </row>
    <row r="3115" spans="1:2" ht="12.5">
      <c r="A3115" s="5"/>
      <c r="B3115" s="7"/>
    </row>
    <row r="3116" spans="1:2" ht="12.5">
      <c r="A3116" s="5"/>
      <c r="B3116" s="7"/>
    </row>
    <row r="3117" spans="1:2" ht="12.5">
      <c r="A3117" s="5"/>
      <c r="B3117" s="7"/>
    </row>
    <row r="3118" spans="1:2" ht="12.5">
      <c r="A3118" s="5"/>
      <c r="B3118" s="7"/>
    </row>
    <row r="3119" spans="1:2" ht="12.5">
      <c r="A3119" s="5"/>
      <c r="B3119" s="7"/>
    </row>
    <row r="3120" spans="1:2" ht="12.5">
      <c r="A3120" s="5"/>
      <c r="B3120" s="7"/>
    </row>
    <row r="3121" spans="1:2" ht="12.5">
      <c r="A3121" s="5"/>
      <c r="B3121" s="7"/>
    </row>
    <row r="3122" spans="1:2" ht="12.5">
      <c r="A3122" s="5"/>
      <c r="B3122" s="7"/>
    </row>
    <row r="3123" spans="1:2" ht="12.5">
      <c r="A3123" s="5"/>
      <c r="B3123" s="7"/>
    </row>
    <row r="3124" spans="1:2" ht="12.5">
      <c r="A3124" s="5"/>
      <c r="B3124" s="7"/>
    </row>
    <row r="3125" spans="1:2" ht="12.5">
      <c r="A3125" s="5"/>
      <c r="B3125" s="7"/>
    </row>
    <row r="3126" spans="1:2" ht="12.5">
      <c r="A3126" s="5"/>
      <c r="B3126" s="7"/>
    </row>
    <row r="3127" spans="1:2" ht="12.5">
      <c r="A3127" s="5"/>
      <c r="B3127" s="7"/>
    </row>
    <row r="3128" spans="1:2" ht="12.5">
      <c r="A3128" s="5"/>
      <c r="B3128" s="7"/>
    </row>
    <row r="3129" spans="1:2" ht="12.5">
      <c r="A3129" s="5"/>
      <c r="B3129" s="7"/>
    </row>
    <row r="3130" spans="1:2" ht="12.5">
      <c r="A3130" s="5"/>
      <c r="B3130" s="7"/>
    </row>
    <row r="3131" spans="1:2" ht="12.5">
      <c r="A3131" s="5"/>
      <c r="B3131" s="7"/>
    </row>
    <row r="3132" spans="1:2" ht="12.5">
      <c r="A3132" s="5"/>
      <c r="B3132" s="7"/>
    </row>
    <row r="3133" spans="1:2" ht="12.5">
      <c r="A3133" s="5"/>
      <c r="B3133" s="7"/>
    </row>
    <row r="3134" spans="1:2" ht="12.5">
      <c r="A3134" s="5"/>
      <c r="B3134" s="7"/>
    </row>
    <row r="3135" spans="1:2" ht="12.5">
      <c r="A3135" s="5"/>
      <c r="B3135" s="7"/>
    </row>
    <row r="3136" spans="1:2" ht="12.5">
      <c r="A3136" s="5"/>
      <c r="B3136" s="7"/>
    </row>
    <row r="3137" spans="1:2" ht="12.5">
      <c r="A3137" s="5"/>
      <c r="B3137" s="7"/>
    </row>
    <row r="3138" spans="1:2" ht="12.5">
      <c r="A3138" s="5"/>
      <c r="B3138" s="7"/>
    </row>
    <row r="3139" spans="1:2" ht="12.5">
      <c r="A3139" s="5"/>
      <c r="B3139" s="7"/>
    </row>
    <row r="3140" spans="1:2" ht="12.5">
      <c r="A3140" s="5"/>
      <c r="B3140" s="7"/>
    </row>
    <row r="3141" spans="1:2" ht="12.5">
      <c r="A3141" s="5"/>
      <c r="B3141" s="7"/>
    </row>
    <row r="3142" spans="1:2" ht="12.5">
      <c r="A3142" s="5"/>
      <c r="B3142" s="7"/>
    </row>
    <row r="3143" spans="1:2" ht="12.5">
      <c r="A3143" s="5"/>
      <c r="B3143" s="7"/>
    </row>
    <row r="3144" spans="1:2" ht="12.5">
      <c r="A3144" s="5"/>
      <c r="B3144" s="7"/>
    </row>
    <row r="3145" spans="1:2" ht="12.5">
      <c r="A3145" s="5"/>
      <c r="B3145" s="7"/>
    </row>
    <row r="3146" spans="1:2" ht="12.5">
      <c r="A3146" s="5"/>
      <c r="B3146" s="7"/>
    </row>
    <row r="3147" spans="1:2" ht="12.5">
      <c r="A3147" s="5"/>
      <c r="B3147" s="7"/>
    </row>
    <row r="3148" spans="1:2" ht="12.5">
      <c r="A3148" s="5"/>
      <c r="B3148" s="7"/>
    </row>
    <row r="3149" spans="1:2" ht="12.5">
      <c r="A3149" s="5"/>
      <c r="B3149" s="7"/>
    </row>
    <row r="3150" spans="1:2" ht="12.5">
      <c r="A3150" s="5"/>
      <c r="B3150" s="7"/>
    </row>
    <row r="3151" spans="1:2" ht="12.5">
      <c r="A3151" s="5"/>
      <c r="B3151" s="7"/>
    </row>
    <row r="3152" spans="1:2" ht="12.5">
      <c r="A3152" s="5"/>
      <c r="B3152" s="7"/>
    </row>
    <row r="3153" spans="1:2" ht="12.5">
      <c r="A3153" s="5"/>
      <c r="B3153" s="7"/>
    </row>
    <row r="3154" spans="1:2" ht="12.5">
      <c r="A3154" s="5"/>
      <c r="B3154" s="7"/>
    </row>
    <row r="3155" spans="1:2" ht="12.5">
      <c r="A3155" s="5"/>
      <c r="B3155" s="7"/>
    </row>
    <row r="3156" spans="1:2" ht="12.5">
      <c r="A3156" s="5"/>
      <c r="B3156" s="7"/>
    </row>
    <row r="3157" spans="1:2" ht="12.5">
      <c r="A3157" s="5"/>
      <c r="B3157" s="7"/>
    </row>
    <row r="3158" spans="1:2" ht="12.5">
      <c r="A3158" s="5"/>
      <c r="B3158" s="7"/>
    </row>
    <row r="3159" spans="1:2" ht="12.5">
      <c r="A3159" s="5"/>
      <c r="B3159" s="7"/>
    </row>
    <row r="3160" spans="1:2" ht="12.5">
      <c r="A3160" s="5"/>
      <c r="B3160" s="7"/>
    </row>
    <row r="3161" spans="1:2" ht="12.5">
      <c r="A3161" s="5"/>
      <c r="B3161" s="7"/>
    </row>
    <row r="3162" spans="1:2" ht="12.5">
      <c r="A3162" s="5"/>
      <c r="B3162" s="7"/>
    </row>
    <row r="3163" spans="1:2" ht="12.5">
      <c r="A3163" s="5"/>
      <c r="B3163" s="7"/>
    </row>
    <row r="3164" spans="1:2" ht="12.5">
      <c r="A3164" s="5"/>
      <c r="B3164" s="7"/>
    </row>
    <row r="3165" spans="1:2" ht="12.5">
      <c r="A3165" s="5"/>
      <c r="B3165" s="7"/>
    </row>
    <row r="3166" spans="1:2" ht="12.5">
      <c r="A3166" s="5"/>
      <c r="B3166" s="7"/>
    </row>
    <row r="3167" spans="1:2" ht="12.5">
      <c r="A3167" s="5"/>
      <c r="B3167" s="7"/>
    </row>
    <row r="3168" spans="1:2" ht="12.5">
      <c r="A3168" s="5"/>
      <c r="B3168" s="7"/>
    </row>
    <row r="3169" spans="1:2" ht="12.5">
      <c r="A3169" s="5"/>
      <c r="B3169" s="7"/>
    </row>
    <row r="3170" spans="1:2" ht="12.5">
      <c r="A3170" s="5"/>
      <c r="B3170" s="7"/>
    </row>
    <row r="3171" spans="1:2" ht="12.5">
      <c r="A3171" s="5"/>
      <c r="B3171" s="7"/>
    </row>
    <row r="3172" spans="1:2" ht="12.5">
      <c r="A3172" s="5"/>
      <c r="B3172" s="7"/>
    </row>
    <row r="3173" spans="1:2" ht="12.5">
      <c r="A3173" s="5"/>
      <c r="B3173" s="7"/>
    </row>
    <row r="3174" spans="1:2" ht="12.5">
      <c r="A3174" s="5"/>
      <c r="B3174" s="7"/>
    </row>
    <row r="3175" spans="1:2" ht="12.5">
      <c r="A3175" s="5"/>
      <c r="B3175" s="7"/>
    </row>
    <row r="3176" spans="1:2" ht="12.5">
      <c r="A3176" s="5"/>
      <c r="B3176" s="7"/>
    </row>
    <row r="3177" spans="1:2" ht="12.5">
      <c r="A3177" s="5"/>
      <c r="B3177" s="7"/>
    </row>
    <row r="3178" spans="1:2" ht="12.5">
      <c r="A3178" s="5"/>
      <c r="B3178" s="7"/>
    </row>
    <row r="3179" spans="1:2" ht="12.5">
      <c r="A3179" s="5"/>
      <c r="B3179" s="7"/>
    </row>
    <row r="3180" spans="1:2" ht="12.5">
      <c r="A3180" s="5"/>
      <c r="B3180" s="7"/>
    </row>
    <row r="3181" spans="1:2" ht="12.5">
      <c r="A3181" s="5"/>
      <c r="B3181" s="7"/>
    </row>
    <row r="3182" spans="1:2" ht="12.5">
      <c r="A3182" s="5"/>
      <c r="B3182" s="7"/>
    </row>
    <row r="3183" spans="1:2" ht="12.5">
      <c r="A3183" s="5"/>
      <c r="B3183" s="7"/>
    </row>
    <row r="3184" spans="1:2" ht="12.5">
      <c r="A3184" s="5"/>
      <c r="B3184" s="7"/>
    </row>
    <row r="3185" spans="1:2" ht="12.5">
      <c r="A3185" s="5"/>
      <c r="B3185" s="7"/>
    </row>
    <row r="3186" spans="1:2" ht="12.5">
      <c r="A3186" s="5"/>
      <c r="B3186" s="7"/>
    </row>
    <row r="3187" spans="1:2" ht="12.5">
      <c r="A3187" s="5"/>
      <c r="B3187" s="7"/>
    </row>
    <row r="3188" spans="1:2" ht="12.5">
      <c r="A3188" s="5"/>
      <c r="B3188" s="7"/>
    </row>
    <row r="3189" spans="1:2" ht="12.5">
      <c r="A3189" s="5"/>
      <c r="B3189" s="7"/>
    </row>
    <row r="3190" spans="1:2" ht="12.5">
      <c r="A3190" s="5"/>
      <c r="B3190" s="7"/>
    </row>
    <row r="3191" spans="1:2" ht="12.5">
      <c r="A3191" s="5"/>
      <c r="B3191" s="7"/>
    </row>
    <row r="3192" spans="1:2" ht="12.5">
      <c r="A3192" s="5"/>
      <c r="B3192" s="7"/>
    </row>
    <row r="3193" spans="1:2" ht="12.5">
      <c r="A3193" s="5"/>
      <c r="B3193" s="7"/>
    </row>
    <row r="3194" spans="1:2" ht="12.5">
      <c r="A3194" s="5"/>
      <c r="B3194" s="7"/>
    </row>
    <row r="3195" spans="1:2" ht="12.5">
      <c r="A3195" s="5"/>
      <c r="B3195" s="7"/>
    </row>
    <row r="3196" spans="1:2" ht="12.5">
      <c r="A3196" s="5"/>
      <c r="B3196" s="7"/>
    </row>
    <row r="3197" spans="1:2" ht="12.5">
      <c r="A3197" s="5"/>
      <c r="B3197" s="7"/>
    </row>
    <row r="3198" spans="1:2" ht="12.5">
      <c r="A3198" s="5"/>
      <c r="B3198" s="7"/>
    </row>
    <row r="3199" spans="1:2" ht="12.5">
      <c r="A3199" s="5"/>
      <c r="B3199" s="7"/>
    </row>
    <row r="3200" spans="1:2" ht="12.5">
      <c r="A3200" s="5"/>
      <c r="B3200" s="7"/>
    </row>
    <row r="3201" spans="1:2" ht="12.5">
      <c r="A3201" s="5"/>
      <c r="B3201" s="7"/>
    </row>
    <row r="3202" spans="1:2" ht="12.5">
      <c r="A3202" s="5"/>
      <c r="B3202" s="7"/>
    </row>
    <row r="3203" spans="1:2" ht="12.5">
      <c r="A3203" s="5"/>
      <c r="B3203" s="7"/>
    </row>
    <row r="3204" spans="1:2" ht="12.5">
      <c r="A3204" s="5"/>
      <c r="B3204" s="7"/>
    </row>
    <row r="3205" spans="1:2" ht="12.5">
      <c r="A3205" s="5"/>
      <c r="B3205" s="7"/>
    </row>
    <row r="3206" spans="1:2" ht="12.5">
      <c r="A3206" s="5"/>
      <c r="B3206" s="7"/>
    </row>
    <row r="3207" spans="1:2" ht="12.5">
      <c r="A3207" s="5"/>
      <c r="B3207" s="7"/>
    </row>
    <row r="3208" spans="1:2" ht="12.5">
      <c r="A3208" s="5"/>
      <c r="B3208" s="7"/>
    </row>
    <row r="3209" spans="1:2" ht="12.5">
      <c r="A3209" s="5"/>
      <c r="B3209" s="7"/>
    </row>
    <row r="3210" spans="1:2" ht="12.5">
      <c r="A3210" s="5"/>
      <c r="B3210" s="7"/>
    </row>
    <row r="3211" spans="1:2" ht="12.5">
      <c r="A3211" s="5"/>
      <c r="B3211" s="7"/>
    </row>
    <row r="3212" spans="1:2" ht="12.5">
      <c r="A3212" s="5"/>
      <c r="B3212" s="7"/>
    </row>
    <row r="3213" spans="1:2" ht="12.5">
      <c r="A3213" s="5"/>
      <c r="B3213" s="7"/>
    </row>
    <row r="3214" spans="1:2" ht="12.5">
      <c r="A3214" s="5"/>
      <c r="B3214" s="7"/>
    </row>
    <row r="3215" spans="1:2" ht="12.5">
      <c r="A3215" s="5"/>
      <c r="B3215" s="7"/>
    </row>
    <row r="3216" spans="1:2" ht="12.5">
      <c r="A3216" s="5"/>
      <c r="B3216" s="7"/>
    </row>
    <row r="3217" spans="1:2" ht="12.5">
      <c r="A3217" s="5"/>
      <c r="B3217" s="7"/>
    </row>
    <row r="3218" spans="1:2" ht="12.5">
      <c r="A3218" s="5"/>
      <c r="B3218" s="7"/>
    </row>
    <row r="3219" spans="1:2" ht="12.5">
      <c r="A3219" s="5"/>
      <c r="B3219" s="7"/>
    </row>
    <row r="3220" spans="1:2" ht="12.5">
      <c r="A3220" s="5"/>
      <c r="B3220" s="7"/>
    </row>
    <row r="3221" spans="1:2" ht="12.5">
      <c r="A3221" s="5"/>
      <c r="B3221" s="7"/>
    </row>
    <row r="3222" spans="1:2" ht="12.5">
      <c r="A3222" s="5"/>
      <c r="B3222" s="7"/>
    </row>
    <row r="3223" spans="1:2" ht="12.5">
      <c r="A3223" s="5"/>
      <c r="B3223" s="7"/>
    </row>
    <row r="3224" spans="1:2" ht="12.5">
      <c r="A3224" s="5"/>
      <c r="B3224" s="7"/>
    </row>
    <row r="3225" spans="1:2" ht="12.5">
      <c r="A3225" s="5"/>
      <c r="B3225" s="7"/>
    </row>
    <row r="3226" spans="1:2" ht="12.5">
      <c r="A3226" s="5"/>
      <c r="B3226" s="7"/>
    </row>
    <row r="3227" spans="1:2" ht="12.5">
      <c r="A3227" s="5"/>
      <c r="B3227" s="7"/>
    </row>
    <row r="3228" spans="1:2" ht="12.5">
      <c r="A3228" s="5"/>
      <c r="B3228" s="7"/>
    </row>
    <row r="3229" spans="1:2" ht="12.5">
      <c r="A3229" s="5"/>
      <c r="B3229" s="7"/>
    </row>
    <row r="3230" spans="1:2" ht="12.5">
      <c r="A3230" s="5"/>
      <c r="B3230" s="7"/>
    </row>
    <row r="3231" spans="1:2" ht="12.5">
      <c r="A3231" s="5"/>
      <c r="B3231" s="7"/>
    </row>
    <row r="3232" spans="1:2" ht="12.5">
      <c r="A3232" s="5"/>
      <c r="B3232" s="7"/>
    </row>
    <row r="3233" spans="1:2" ht="12.5">
      <c r="A3233" s="5"/>
      <c r="B3233" s="7"/>
    </row>
    <row r="3234" spans="1:2" ht="12.5">
      <c r="A3234" s="5"/>
      <c r="B3234" s="7"/>
    </row>
    <row r="3235" spans="1:2" ht="12.5">
      <c r="A3235" s="5"/>
      <c r="B3235" s="7"/>
    </row>
    <row r="3236" spans="1:2" ht="12.5">
      <c r="A3236" s="5"/>
      <c r="B3236" s="7"/>
    </row>
    <row r="3237" spans="1:2" ht="12.5">
      <c r="A3237" s="5"/>
      <c r="B3237" s="7"/>
    </row>
    <row r="3238" spans="1:2" ht="12.5">
      <c r="A3238" s="5"/>
      <c r="B3238" s="7"/>
    </row>
    <row r="3239" spans="1:2" ht="12.5">
      <c r="A3239" s="5"/>
      <c r="B3239" s="7"/>
    </row>
    <row r="3240" spans="1:2" ht="12.5">
      <c r="A3240" s="5"/>
      <c r="B3240" s="7"/>
    </row>
    <row r="3241" spans="1:2" ht="12.5">
      <c r="A3241" s="5"/>
      <c r="B3241" s="7"/>
    </row>
    <row r="3242" spans="1:2" ht="12.5">
      <c r="A3242" s="5"/>
      <c r="B3242" s="7"/>
    </row>
    <row r="3243" spans="1:2" ht="12.5">
      <c r="A3243" s="5"/>
      <c r="B3243" s="7"/>
    </row>
    <row r="3244" spans="1:2" ht="12.5">
      <c r="A3244" s="5"/>
      <c r="B3244" s="7"/>
    </row>
    <row r="3245" spans="1:2" ht="12.5">
      <c r="A3245" s="5"/>
      <c r="B3245" s="7"/>
    </row>
    <row r="3246" spans="1:2" ht="12.5">
      <c r="A3246" s="5"/>
      <c r="B3246" s="7"/>
    </row>
    <row r="3247" spans="1:2" ht="12.5">
      <c r="A3247" s="5"/>
      <c r="B3247" s="7"/>
    </row>
    <row r="3248" spans="1:2" ht="12.5">
      <c r="A3248" s="5"/>
      <c r="B3248" s="7"/>
    </row>
    <row r="3249" spans="1:2" ht="12.5">
      <c r="A3249" s="5"/>
      <c r="B3249" s="7"/>
    </row>
    <row r="3250" spans="1:2" ht="12.5">
      <c r="A3250" s="5"/>
      <c r="B3250" s="7"/>
    </row>
    <row r="3251" spans="1:2" ht="12.5">
      <c r="A3251" s="5"/>
      <c r="B3251" s="7"/>
    </row>
    <row r="3252" spans="1:2" ht="12.5">
      <c r="A3252" s="5"/>
      <c r="B3252" s="7"/>
    </row>
    <row r="3253" spans="1:2" ht="12.5">
      <c r="A3253" s="5"/>
      <c r="B3253" s="7"/>
    </row>
    <row r="3254" spans="1:2" ht="12.5">
      <c r="A3254" s="5"/>
      <c r="B3254" s="7"/>
    </row>
    <row r="3255" spans="1:2" ht="12.5">
      <c r="A3255" s="5"/>
      <c r="B3255" s="7"/>
    </row>
    <row r="3256" spans="1:2" ht="12.5">
      <c r="A3256" s="5"/>
      <c r="B3256" s="7"/>
    </row>
    <row r="3257" spans="1:2" ht="12.5">
      <c r="A3257" s="5"/>
      <c r="B3257" s="7"/>
    </row>
    <row r="3258" spans="1:2" ht="12.5">
      <c r="A3258" s="5"/>
      <c r="B3258" s="7"/>
    </row>
    <row r="3259" spans="1:2" ht="12.5">
      <c r="A3259" s="5"/>
      <c r="B3259" s="7"/>
    </row>
    <row r="3260" spans="1:2" ht="12.5">
      <c r="A3260" s="5"/>
      <c r="B3260" s="7"/>
    </row>
    <row r="3261" spans="1:2" ht="12.5">
      <c r="A3261" s="5"/>
      <c r="B3261" s="7"/>
    </row>
    <row r="3262" spans="1:2" ht="12.5">
      <c r="A3262" s="5"/>
      <c r="B3262" s="7"/>
    </row>
    <row r="3263" spans="1:2" ht="12.5">
      <c r="A3263" s="5"/>
      <c r="B3263" s="7"/>
    </row>
    <row r="3264" spans="1:2" ht="12.5">
      <c r="A3264" s="5"/>
      <c r="B3264" s="7"/>
    </row>
    <row r="3265" spans="1:2" ht="12.5">
      <c r="A3265" s="5"/>
      <c r="B3265" s="7"/>
    </row>
    <row r="3266" spans="1:2" ht="12.5">
      <c r="A3266" s="5"/>
      <c r="B3266" s="7"/>
    </row>
    <row r="3267" spans="1:2" ht="12.5">
      <c r="A3267" s="5"/>
      <c r="B3267" s="7"/>
    </row>
    <row r="3268" spans="1:2" ht="12.5">
      <c r="A3268" s="5"/>
      <c r="B3268" s="7"/>
    </row>
    <row r="3269" spans="1:2" ht="12.5">
      <c r="A3269" s="5"/>
      <c r="B3269" s="7"/>
    </row>
    <row r="3270" spans="1:2" ht="12.5">
      <c r="A3270" s="5"/>
      <c r="B3270" s="7"/>
    </row>
    <row r="3271" spans="1:2" ht="12.5">
      <c r="A3271" s="5"/>
      <c r="B3271" s="7"/>
    </row>
    <row r="3272" spans="1:2" ht="12.5">
      <c r="A3272" s="5"/>
      <c r="B3272" s="7"/>
    </row>
    <row r="3273" spans="1:2" ht="12.5">
      <c r="A3273" s="5"/>
      <c r="B3273" s="7"/>
    </row>
    <row r="3274" spans="1:2" ht="12.5">
      <c r="A3274" s="5"/>
      <c r="B3274" s="7"/>
    </row>
    <row r="3275" spans="1:2" ht="12.5">
      <c r="A3275" s="5"/>
      <c r="B3275" s="7"/>
    </row>
    <row r="3276" spans="1:2" ht="12.5">
      <c r="A3276" s="5"/>
      <c r="B3276" s="7"/>
    </row>
    <row r="3277" spans="1:2" ht="12.5">
      <c r="A3277" s="5"/>
      <c r="B3277" s="7"/>
    </row>
    <row r="3278" spans="1:2" ht="12.5">
      <c r="A3278" s="5"/>
      <c r="B3278" s="7"/>
    </row>
    <row r="3279" spans="1:2" ht="12.5">
      <c r="A3279" s="5"/>
      <c r="B3279" s="7"/>
    </row>
    <row r="3280" spans="1:2" ht="12.5">
      <c r="A3280" s="5"/>
      <c r="B3280" s="7"/>
    </row>
    <row r="3281" spans="1:2" ht="12.5">
      <c r="A3281" s="5"/>
      <c r="B3281" s="7"/>
    </row>
    <row r="3282" spans="1:2" ht="12.5">
      <c r="A3282" s="5"/>
      <c r="B3282" s="7"/>
    </row>
    <row r="3283" spans="1:2" ht="12.5">
      <c r="A3283" s="5"/>
      <c r="B3283" s="7"/>
    </row>
    <row r="3284" spans="1:2" ht="12.5">
      <c r="A3284" s="5"/>
      <c r="B3284" s="7"/>
    </row>
    <row r="3285" spans="1:2" ht="12.5">
      <c r="A3285" s="5"/>
      <c r="B3285" s="7"/>
    </row>
    <row r="3286" spans="1:2" ht="12.5">
      <c r="A3286" s="5"/>
      <c r="B3286" s="7"/>
    </row>
    <row r="3287" spans="1:2" ht="12.5">
      <c r="A3287" s="5"/>
      <c r="B3287" s="7"/>
    </row>
    <row r="3288" spans="1:2" ht="12.5">
      <c r="A3288" s="5"/>
      <c r="B3288" s="7"/>
    </row>
    <row r="3289" spans="1:2" ht="12.5">
      <c r="A3289" s="5"/>
      <c r="B3289" s="7"/>
    </row>
    <row r="3290" spans="1:2" ht="12.5">
      <c r="A3290" s="5"/>
      <c r="B3290" s="7"/>
    </row>
    <row r="3291" spans="1:2" ht="12.5">
      <c r="A3291" s="5"/>
      <c r="B3291" s="7"/>
    </row>
    <row r="3292" spans="1:2" ht="12.5">
      <c r="A3292" s="5"/>
      <c r="B3292" s="7"/>
    </row>
    <row r="3293" spans="1:2" ht="12.5">
      <c r="A3293" s="5"/>
      <c r="B3293" s="7"/>
    </row>
    <row r="3294" spans="1:2" ht="12.5">
      <c r="A3294" s="5"/>
      <c r="B3294" s="7"/>
    </row>
    <row r="3295" spans="1:2" ht="12.5">
      <c r="A3295" s="5"/>
      <c r="B3295" s="7"/>
    </row>
    <row r="3296" spans="1:2" ht="12.5">
      <c r="A3296" s="5"/>
      <c r="B3296" s="7"/>
    </row>
    <row r="3297" spans="1:2" ht="12.5">
      <c r="A3297" s="5"/>
      <c r="B3297" s="7"/>
    </row>
    <row r="3298" spans="1:2" ht="12.5">
      <c r="A3298" s="5"/>
      <c r="B3298" s="7"/>
    </row>
    <row r="3299" spans="1:2" ht="12.5">
      <c r="A3299" s="5"/>
      <c r="B3299" s="7"/>
    </row>
    <row r="3300" spans="1:2" ht="12.5">
      <c r="A3300" s="5"/>
      <c r="B3300" s="7"/>
    </row>
    <row r="3301" spans="1:2" ht="12.5">
      <c r="A3301" s="5"/>
      <c r="B3301" s="7"/>
    </row>
    <row r="3302" spans="1:2" ht="12.5">
      <c r="A3302" s="5"/>
      <c r="B3302" s="7"/>
    </row>
    <row r="3303" spans="1:2" ht="12.5">
      <c r="A3303" s="5"/>
      <c r="B3303" s="7"/>
    </row>
    <row r="3304" spans="1:2" ht="12.5">
      <c r="A3304" s="5"/>
      <c r="B3304" s="7"/>
    </row>
    <row r="3305" spans="1:2" ht="12.5">
      <c r="A3305" s="5"/>
      <c r="B3305" s="7"/>
    </row>
    <row r="3306" spans="1:2" ht="12.5">
      <c r="A3306" s="5"/>
      <c r="B3306" s="7"/>
    </row>
    <row r="3307" spans="1:2" ht="12.5">
      <c r="A3307" s="5"/>
      <c r="B3307" s="7"/>
    </row>
    <row r="3308" spans="1:2" ht="12.5">
      <c r="A3308" s="5"/>
      <c r="B3308" s="7"/>
    </row>
    <row r="3309" spans="1:2" ht="12.5">
      <c r="A3309" s="5"/>
      <c r="B3309" s="7"/>
    </row>
    <row r="3310" spans="1:2" ht="12.5">
      <c r="A3310" s="5"/>
      <c r="B3310" s="7"/>
    </row>
    <row r="3311" spans="1:2" ht="12.5">
      <c r="A3311" s="5"/>
      <c r="B3311" s="7"/>
    </row>
    <row r="3312" spans="1:2" ht="12.5">
      <c r="A3312" s="5"/>
      <c r="B3312" s="7"/>
    </row>
    <row r="3313" spans="1:2" ht="12.5">
      <c r="A3313" s="5"/>
      <c r="B3313" s="7"/>
    </row>
    <row r="3314" spans="1:2" ht="12.5">
      <c r="A3314" s="5"/>
      <c r="B3314" s="7"/>
    </row>
    <row r="3315" spans="1:2" ht="12.5">
      <c r="A3315" s="5"/>
      <c r="B3315" s="7"/>
    </row>
    <row r="3316" spans="1:2" ht="12.5">
      <c r="A3316" s="5"/>
      <c r="B3316" s="7"/>
    </row>
    <row r="3317" spans="1:2" ht="12.5">
      <c r="A3317" s="5"/>
      <c r="B3317" s="7"/>
    </row>
    <row r="3318" spans="1:2" ht="12.5">
      <c r="A3318" s="5"/>
      <c r="B3318" s="7"/>
    </row>
    <row r="3319" spans="1:2" ht="12.5">
      <c r="A3319" s="5"/>
      <c r="B3319" s="7"/>
    </row>
    <row r="3320" spans="1:2" ht="12.5">
      <c r="A3320" s="5"/>
      <c r="B3320" s="7"/>
    </row>
    <row r="3321" spans="1:2" ht="12.5">
      <c r="A3321" s="5"/>
      <c r="B3321" s="7"/>
    </row>
    <row r="3322" spans="1:2" ht="12.5">
      <c r="A3322" s="5"/>
      <c r="B3322" s="7"/>
    </row>
    <row r="3323" spans="1:2" ht="12.5">
      <c r="A3323" s="5"/>
      <c r="B3323" s="7"/>
    </row>
    <row r="3324" spans="1:2" ht="12.5">
      <c r="A3324" s="5"/>
      <c r="B3324" s="7"/>
    </row>
    <row r="3325" spans="1:2" ht="12.5">
      <c r="A3325" s="5"/>
      <c r="B3325" s="7"/>
    </row>
    <row r="3326" spans="1:2" ht="12.5">
      <c r="A3326" s="5"/>
      <c r="B3326" s="7"/>
    </row>
    <row r="3327" spans="1:2" ht="12.5">
      <c r="A3327" s="5"/>
      <c r="B3327" s="7"/>
    </row>
    <row r="3328" spans="1:2" ht="12.5">
      <c r="A3328" s="5"/>
      <c r="B3328" s="7"/>
    </row>
    <row r="3329" spans="1:2" ht="12.5">
      <c r="A3329" s="5"/>
      <c r="B3329" s="7"/>
    </row>
    <row r="3330" spans="1:2" ht="12.5">
      <c r="A3330" s="5"/>
      <c r="B3330" s="7"/>
    </row>
    <row r="3331" spans="1:2" ht="12.5">
      <c r="A3331" s="5"/>
      <c r="B3331" s="7"/>
    </row>
    <row r="3332" spans="1:2" ht="12.5">
      <c r="A3332" s="5"/>
      <c r="B3332" s="7"/>
    </row>
    <row r="3333" spans="1:2" ht="12.5">
      <c r="A3333" s="5"/>
      <c r="B3333" s="7"/>
    </row>
    <row r="3334" spans="1:2" ht="12.5">
      <c r="A3334" s="5"/>
      <c r="B3334" s="7"/>
    </row>
    <row r="3335" spans="1:2" ht="12.5">
      <c r="A3335" s="5"/>
      <c r="B3335" s="7"/>
    </row>
    <row r="3336" spans="1:2" ht="12.5">
      <c r="A3336" s="5"/>
      <c r="B3336" s="7"/>
    </row>
    <row r="3337" spans="1:2" ht="12.5">
      <c r="A3337" s="5"/>
      <c r="B3337" s="7"/>
    </row>
    <row r="3338" spans="1:2" ht="12.5">
      <c r="A3338" s="5"/>
      <c r="B3338" s="7"/>
    </row>
    <row r="3339" spans="1:2" ht="12.5">
      <c r="A3339" s="5"/>
      <c r="B3339" s="7"/>
    </row>
    <row r="3340" spans="1:2" ht="12.5">
      <c r="A3340" s="5"/>
      <c r="B3340" s="7"/>
    </row>
    <row r="3341" spans="1:2" ht="12.5">
      <c r="A3341" s="5"/>
      <c r="B3341" s="7"/>
    </row>
    <row r="3342" spans="1:2" ht="12.5">
      <c r="A3342" s="5"/>
      <c r="B3342" s="7"/>
    </row>
    <row r="3343" spans="1:2" ht="12.5">
      <c r="A3343" s="5"/>
      <c r="B3343" s="7"/>
    </row>
    <row r="3344" spans="1:2" ht="12.5">
      <c r="A3344" s="5"/>
      <c r="B3344" s="7"/>
    </row>
    <row r="3345" spans="1:2" ht="12.5">
      <c r="A3345" s="5"/>
      <c r="B3345" s="7"/>
    </row>
    <row r="3346" spans="1:2" ht="12.5">
      <c r="A3346" s="5"/>
      <c r="B3346" s="7"/>
    </row>
    <row r="3347" spans="1:2" ht="12.5">
      <c r="A3347" s="5"/>
      <c r="B3347" s="7"/>
    </row>
    <row r="3348" spans="1:2" ht="12.5">
      <c r="A3348" s="5"/>
      <c r="B3348" s="7"/>
    </row>
    <row r="3349" spans="1:2" ht="12.5">
      <c r="A3349" s="5"/>
      <c r="B3349" s="7"/>
    </row>
    <row r="3350" spans="1:2" ht="12.5">
      <c r="A3350" s="5"/>
      <c r="B3350" s="7"/>
    </row>
    <row r="3351" spans="1:2" ht="12.5">
      <c r="A3351" s="5"/>
      <c r="B3351" s="7"/>
    </row>
    <row r="3352" spans="1:2" ht="12.5">
      <c r="A3352" s="5"/>
      <c r="B3352" s="7"/>
    </row>
    <row r="3353" spans="1:2" ht="12.5">
      <c r="A3353" s="5"/>
      <c r="B3353" s="7"/>
    </row>
    <row r="3354" spans="1:2" ht="12.5">
      <c r="A3354" s="5"/>
      <c r="B3354" s="7"/>
    </row>
    <row r="3355" spans="1:2" ht="12.5">
      <c r="A3355" s="5"/>
      <c r="B3355" s="7"/>
    </row>
    <row r="3356" spans="1:2" ht="12.5">
      <c r="A3356" s="5"/>
      <c r="B3356" s="7"/>
    </row>
    <row r="3357" spans="1:2" ht="12.5">
      <c r="A3357" s="5"/>
      <c r="B3357" s="7"/>
    </row>
    <row r="3358" spans="1:2" ht="12.5">
      <c r="A3358" s="5"/>
      <c r="B3358" s="7"/>
    </row>
    <row r="3359" spans="1:2" ht="12.5">
      <c r="A3359" s="5"/>
      <c r="B3359" s="7"/>
    </row>
    <row r="3360" spans="1:2" ht="12.5">
      <c r="A3360" s="5"/>
      <c r="B3360" s="7"/>
    </row>
    <row r="3361" spans="1:2" ht="12.5">
      <c r="A3361" s="5"/>
      <c r="B3361" s="7"/>
    </row>
    <row r="3362" spans="1:2" ht="12.5">
      <c r="A3362" s="5"/>
      <c r="B3362" s="7"/>
    </row>
    <row r="3363" spans="1:2" ht="12.5">
      <c r="A3363" s="5"/>
      <c r="B3363" s="7"/>
    </row>
    <row r="3364" spans="1:2" ht="12.5">
      <c r="A3364" s="5"/>
      <c r="B3364" s="7"/>
    </row>
    <row r="3365" spans="1:2" ht="12.5">
      <c r="A3365" s="5"/>
      <c r="B3365" s="7"/>
    </row>
    <row r="3366" spans="1:2" ht="12.5">
      <c r="A3366" s="5"/>
      <c r="B3366" s="7"/>
    </row>
    <row r="3367" spans="1:2" ht="12.5">
      <c r="A3367" s="5"/>
      <c r="B3367" s="7"/>
    </row>
    <row r="3368" spans="1:2" ht="12.5">
      <c r="A3368" s="5"/>
      <c r="B3368" s="7"/>
    </row>
    <row r="3369" spans="1:2" ht="12.5">
      <c r="A3369" s="5"/>
      <c r="B3369" s="7"/>
    </row>
    <row r="3370" spans="1:2" ht="12.5">
      <c r="A3370" s="5"/>
      <c r="B3370" s="7"/>
    </row>
    <row r="3371" spans="1:2" ht="12.5">
      <c r="A3371" s="5"/>
      <c r="B3371" s="7"/>
    </row>
    <row r="3372" spans="1:2" ht="12.5">
      <c r="A3372" s="5"/>
      <c r="B3372" s="7"/>
    </row>
    <row r="3373" spans="1:2" ht="12.5">
      <c r="A3373" s="5"/>
      <c r="B3373" s="7"/>
    </row>
    <row r="3374" spans="1:2" ht="12.5">
      <c r="A3374" s="5"/>
      <c r="B3374" s="7"/>
    </row>
    <row r="3375" spans="1:2" ht="12.5">
      <c r="A3375" s="5"/>
      <c r="B3375" s="7"/>
    </row>
    <row r="3376" spans="1:2" ht="12.5">
      <c r="A3376" s="5"/>
      <c r="B3376" s="7"/>
    </row>
    <row r="3377" spans="1:2" ht="12.5">
      <c r="A3377" s="5"/>
      <c r="B3377" s="7"/>
    </row>
    <row r="3378" spans="1:2" ht="12.5">
      <c r="A3378" s="5"/>
      <c r="B3378" s="7"/>
    </row>
    <row r="3379" spans="1:2" ht="12.5">
      <c r="A3379" s="5"/>
      <c r="B3379" s="7"/>
    </row>
    <row r="3380" spans="1:2" ht="12.5">
      <c r="A3380" s="5"/>
      <c r="B3380" s="7"/>
    </row>
    <row r="3381" spans="1:2" ht="12.5">
      <c r="A3381" s="5"/>
      <c r="B3381" s="7"/>
    </row>
    <row r="3382" spans="1:2" ht="12.5">
      <c r="A3382" s="5"/>
      <c r="B3382" s="7"/>
    </row>
    <row r="3383" spans="1:2" ht="12.5">
      <c r="A3383" s="5"/>
      <c r="B3383" s="7"/>
    </row>
    <row r="3384" spans="1:2" ht="12.5">
      <c r="A3384" s="5"/>
      <c r="B3384" s="7"/>
    </row>
    <row r="3385" spans="1:2" ht="12.5">
      <c r="A3385" s="5"/>
      <c r="B3385" s="7"/>
    </row>
    <row r="3386" spans="1:2" ht="12.5">
      <c r="A3386" s="5"/>
      <c r="B3386" s="7"/>
    </row>
    <row r="3387" spans="1:2" ht="12.5">
      <c r="A3387" s="5"/>
      <c r="B3387" s="7"/>
    </row>
    <row r="3388" spans="1:2" ht="12.5">
      <c r="A3388" s="5"/>
      <c r="B3388" s="7"/>
    </row>
    <row r="3389" spans="1:2" ht="12.5">
      <c r="A3389" s="5"/>
      <c r="B3389" s="7"/>
    </row>
    <row r="3390" spans="1:2" ht="12.5">
      <c r="A3390" s="5"/>
      <c r="B3390" s="7"/>
    </row>
    <row r="3391" spans="1:2" ht="12.5">
      <c r="A3391" s="5"/>
      <c r="B3391" s="7"/>
    </row>
    <row r="3392" spans="1:2" ht="12.5">
      <c r="A3392" s="5"/>
      <c r="B3392" s="7"/>
    </row>
    <row r="3393" spans="1:2" ht="12.5">
      <c r="A3393" s="5"/>
      <c r="B3393" s="7"/>
    </row>
    <row r="3394" spans="1:2" ht="12.5">
      <c r="A3394" s="5"/>
      <c r="B3394" s="7"/>
    </row>
    <row r="3395" spans="1:2" ht="12.5">
      <c r="A3395" s="5"/>
      <c r="B3395" s="7"/>
    </row>
    <row r="3396" spans="1:2" ht="12.5">
      <c r="A3396" s="5"/>
      <c r="B3396" s="7"/>
    </row>
    <row r="3397" spans="1:2" ht="12.5">
      <c r="A3397" s="5"/>
      <c r="B3397" s="7"/>
    </row>
    <row r="3398" spans="1:2" ht="12.5">
      <c r="A3398" s="5"/>
      <c r="B3398" s="7"/>
    </row>
    <row r="3399" spans="1:2" ht="12.5">
      <c r="A3399" s="5"/>
      <c r="B3399" s="7"/>
    </row>
    <row r="3400" spans="1:2" ht="12.5">
      <c r="A3400" s="5"/>
      <c r="B3400" s="7"/>
    </row>
    <row r="3401" spans="1:2" ht="12.5">
      <c r="A3401" s="5"/>
      <c r="B3401" s="7"/>
    </row>
    <row r="3402" spans="1:2" ht="12.5">
      <c r="A3402" s="5"/>
      <c r="B3402" s="7"/>
    </row>
    <row r="3403" spans="1:2" ht="12.5">
      <c r="A3403" s="5"/>
      <c r="B3403" s="7"/>
    </row>
    <row r="3404" spans="1:2" ht="12.5">
      <c r="A3404" s="5"/>
      <c r="B3404" s="7"/>
    </row>
    <row r="3405" spans="1:2" ht="12.5">
      <c r="A3405" s="5"/>
      <c r="B3405" s="7"/>
    </row>
    <row r="3406" spans="1:2" ht="12.5">
      <c r="A3406" s="5"/>
      <c r="B3406" s="7"/>
    </row>
    <row r="3407" spans="1:2" ht="12.5">
      <c r="A3407" s="5"/>
      <c r="B3407" s="7"/>
    </row>
    <row r="3408" spans="1:2" ht="12.5">
      <c r="A3408" s="5"/>
      <c r="B3408" s="7"/>
    </row>
    <row r="3409" spans="1:2" ht="12.5">
      <c r="A3409" s="5"/>
      <c r="B3409" s="7"/>
    </row>
    <row r="3410" spans="1:2" ht="12.5">
      <c r="A3410" s="5"/>
      <c r="B3410" s="7"/>
    </row>
    <row r="3411" spans="1:2" ht="12.5">
      <c r="A3411" s="5"/>
      <c r="B3411" s="7"/>
    </row>
    <row r="3412" spans="1:2" ht="12.5">
      <c r="A3412" s="5"/>
      <c r="B3412" s="7"/>
    </row>
    <row r="3413" spans="1:2" ht="12.5">
      <c r="A3413" s="5"/>
      <c r="B3413" s="7"/>
    </row>
    <row r="3414" spans="1:2" ht="12.5">
      <c r="A3414" s="5"/>
      <c r="B3414" s="7"/>
    </row>
    <row r="3415" spans="1:2" ht="12.5">
      <c r="A3415" s="5"/>
      <c r="B3415" s="7"/>
    </row>
    <row r="3416" spans="1:2" ht="12.5">
      <c r="A3416" s="5"/>
      <c r="B3416" s="7"/>
    </row>
    <row r="3417" spans="1:2" ht="12.5">
      <c r="A3417" s="5"/>
      <c r="B3417" s="7"/>
    </row>
    <row r="3418" spans="1:2" ht="12.5">
      <c r="A3418" s="5"/>
      <c r="B3418" s="7"/>
    </row>
    <row r="3419" spans="1:2" ht="12.5">
      <c r="A3419" s="5"/>
      <c r="B3419" s="7"/>
    </row>
    <row r="3420" spans="1:2" ht="12.5">
      <c r="A3420" s="5"/>
      <c r="B3420" s="7"/>
    </row>
    <row r="3421" spans="1:2" ht="12.5">
      <c r="A3421" s="5"/>
      <c r="B3421" s="7"/>
    </row>
    <row r="3422" spans="1:2" ht="12.5">
      <c r="A3422" s="5"/>
      <c r="B3422" s="7"/>
    </row>
    <row r="3423" spans="1:2" ht="12.5">
      <c r="A3423" s="5"/>
      <c r="B3423" s="7"/>
    </row>
    <row r="3424" spans="1:2" ht="12.5">
      <c r="A3424" s="5"/>
      <c r="B3424" s="7"/>
    </row>
    <row r="3425" spans="1:2" ht="12.5">
      <c r="A3425" s="5"/>
      <c r="B3425" s="7"/>
    </row>
    <row r="3426" spans="1:2" ht="12.5">
      <c r="A3426" s="5"/>
      <c r="B3426" s="7"/>
    </row>
    <row r="3427" spans="1:2" ht="12.5">
      <c r="A3427" s="5"/>
      <c r="B3427" s="7"/>
    </row>
    <row r="3428" spans="1:2" ht="12.5">
      <c r="A3428" s="5"/>
      <c r="B3428" s="7"/>
    </row>
    <row r="3429" spans="1:2" ht="12.5">
      <c r="A3429" s="5"/>
      <c r="B3429" s="7"/>
    </row>
    <row r="3430" spans="1:2" ht="12.5">
      <c r="A3430" s="5"/>
      <c r="B3430" s="7"/>
    </row>
    <row r="3431" spans="1:2" ht="12.5">
      <c r="A3431" s="5"/>
      <c r="B3431" s="7"/>
    </row>
    <row r="3432" spans="1:2" ht="12.5">
      <c r="A3432" s="5"/>
      <c r="B3432" s="7"/>
    </row>
    <row r="3433" spans="1:2" ht="12.5">
      <c r="A3433" s="5"/>
      <c r="B3433" s="7"/>
    </row>
    <row r="3434" spans="1:2" ht="12.5">
      <c r="A3434" s="5"/>
      <c r="B3434" s="7"/>
    </row>
    <row r="3435" spans="1:2" ht="12.5">
      <c r="A3435" s="5"/>
      <c r="B3435" s="7"/>
    </row>
    <row r="3436" spans="1:2" ht="12.5">
      <c r="A3436" s="5"/>
      <c r="B3436" s="7"/>
    </row>
    <row r="3437" spans="1:2" ht="12.5">
      <c r="A3437" s="5"/>
      <c r="B3437" s="7"/>
    </row>
    <row r="3438" spans="1:2" ht="12.5">
      <c r="A3438" s="5"/>
      <c r="B3438" s="7"/>
    </row>
    <row r="3439" spans="1:2" ht="12.5">
      <c r="A3439" s="5"/>
      <c r="B3439" s="7"/>
    </row>
    <row r="3440" spans="1:2" ht="12.5">
      <c r="A3440" s="5"/>
      <c r="B3440" s="7"/>
    </row>
    <row r="3441" spans="1:2" ht="12.5">
      <c r="A3441" s="5"/>
      <c r="B3441" s="7"/>
    </row>
    <row r="3442" spans="1:2" ht="12.5">
      <c r="A3442" s="5"/>
      <c r="B3442" s="7"/>
    </row>
    <row r="3443" spans="1:2" ht="12.5">
      <c r="A3443" s="5"/>
      <c r="B3443" s="7"/>
    </row>
    <row r="3444" spans="1:2" ht="12.5">
      <c r="A3444" s="5"/>
      <c r="B3444" s="7"/>
    </row>
    <row r="3445" spans="1:2" ht="12.5">
      <c r="A3445" s="5"/>
      <c r="B3445" s="7"/>
    </row>
    <row r="3446" spans="1:2" ht="12.5">
      <c r="A3446" s="5"/>
      <c r="B3446" s="7"/>
    </row>
    <row r="3447" spans="1:2" ht="12.5">
      <c r="A3447" s="5"/>
      <c r="B3447" s="7"/>
    </row>
    <row r="3448" spans="1:2" ht="12.5">
      <c r="A3448" s="5"/>
      <c r="B3448" s="7"/>
    </row>
    <row r="3449" spans="1:2" ht="12.5">
      <c r="A3449" s="5"/>
      <c r="B3449" s="7"/>
    </row>
    <row r="3450" spans="1:2" ht="12.5">
      <c r="A3450" s="5"/>
      <c r="B3450" s="7"/>
    </row>
    <row r="3451" spans="1:2" ht="12.5">
      <c r="A3451" s="5"/>
      <c r="B3451" s="7"/>
    </row>
    <row r="3452" spans="1:2" ht="12.5">
      <c r="A3452" s="5"/>
      <c r="B3452" s="7"/>
    </row>
    <row r="3453" spans="1:2" ht="12.5">
      <c r="A3453" s="5"/>
      <c r="B3453" s="7"/>
    </row>
    <row r="3454" spans="1:2" ht="12.5">
      <c r="A3454" s="5"/>
      <c r="B3454" s="7"/>
    </row>
    <row r="3455" spans="1:2" ht="12.5">
      <c r="A3455" s="5"/>
      <c r="B3455" s="7"/>
    </row>
    <row r="3456" spans="1:2" ht="12.5">
      <c r="A3456" s="5"/>
      <c r="B3456" s="7"/>
    </row>
    <row r="3457" spans="1:2" ht="12.5">
      <c r="A3457" s="5"/>
      <c r="B3457" s="7"/>
    </row>
    <row r="3458" spans="1:2" ht="12.5">
      <c r="A3458" s="5"/>
      <c r="B3458" s="7"/>
    </row>
    <row r="3459" spans="1:2" ht="12.5">
      <c r="A3459" s="5"/>
      <c r="B3459" s="7"/>
    </row>
    <row r="3460" spans="1:2" ht="12.5">
      <c r="A3460" s="5"/>
      <c r="B3460" s="7"/>
    </row>
    <row r="3461" spans="1:2" ht="12.5">
      <c r="A3461" s="5"/>
      <c r="B3461" s="7"/>
    </row>
    <row r="3462" spans="1:2" ht="12.5">
      <c r="A3462" s="5"/>
      <c r="B3462" s="7"/>
    </row>
    <row r="3463" spans="1:2" ht="12.5">
      <c r="A3463" s="5"/>
      <c r="B3463" s="7"/>
    </row>
    <row r="3464" spans="1:2" ht="12.5">
      <c r="A3464" s="5"/>
      <c r="B3464" s="7"/>
    </row>
    <row r="3465" spans="1:2" ht="12.5">
      <c r="A3465" s="5"/>
      <c r="B3465" s="7"/>
    </row>
    <row r="3466" spans="1:2" ht="12.5">
      <c r="A3466" s="5"/>
      <c r="B3466" s="7"/>
    </row>
    <row r="3467" spans="1:2" ht="12.5">
      <c r="A3467" s="5"/>
      <c r="B3467" s="7"/>
    </row>
    <row r="3468" spans="1:2" ht="12.5">
      <c r="A3468" s="5"/>
      <c r="B3468" s="7"/>
    </row>
    <row r="3469" spans="1:2" ht="12.5">
      <c r="A3469" s="5"/>
      <c r="B3469" s="7"/>
    </row>
    <row r="3470" spans="1:2" ht="12.5">
      <c r="A3470" s="5"/>
      <c r="B3470" s="7"/>
    </row>
    <row r="3471" spans="1:2" ht="12.5">
      <c r="A3471" s="5"/>
      <c r="B3471" s="7"/>
    </row>
    <row r="3472" spans="1:2" ht="12.5">
      <c r="A3472" s="5"/>
      <c r="B3472" s="7"/>
    </row>
    <row r="3473" spans="1:2" ht="12.5">
      <c r="A3473" s="5"/>
      <c r="B3473" s="7"/>
    </row>
    <row r="3474" spans="1:2" ht="12.5">
      <c r="A3474" s="5"/>
      <c r="B3474" s="7"/>
    </row>
    <row r="3475" spans="1:2" ht="12.5">
      <c r="A3475" s="5"/>
      <c r="B3475" s="7"/>
    </row>
    <row r="3476" spans="1:2" ht="12.5">
      <c r="A3476" s="5"/>
      <c r="B3476" s="7"/>
    </row>
    <row r="3477" spans="1:2" ht="12.5">
      <c r="A3477" s="5"/>
      <c r="B3477" s="7"/>
    </row>
    <row r="3478" spans="1:2" ht="12.5">
      <c r="A3478" s="5"/>
      <c r="B3478" s="7"/>
    </row>
    <row r="3479" spans="1:2" ht="12.5">
      <c r="A3479" s="5"/>
      <c r="B3479" s="7"/>
    </row>
    <row r="3480" spans="1:2" ht="12.5">
      <c r="A3480" s="5"/>
      <c r="B3480" s="7"/>
    </row>
    <row r="3481" spans="1:2" ht="12.5">
      <c r="A3481" s="5"/>
      <c r="B3481" s="7"/>
    </row>
    <row r="3482" spans="1:2" ht="12.5">
      <c r="A3482" s="5"/>
      <c r="B3482" s="7"/>
    </row>
    <row r="3483" spans="1:2" ht="12.5">
      <c r="A3483" s="5"/>
      <c r="B3483" s="7"/>
    </row>
    <row r="3484" spans="1:2" ht="12.5">
      <c r="A3484" s="5"/>
      <c r="B3484" s="7"/>
    </row>
    <row r="3485" spans="1:2" ht="12.5">
      <c r="A3485" s="5"/>
      <c r="B3485" s="7"/>
    </row>
    <row r="3486" spans="1:2" ht="12.5">
      <c r="A3486" s="5"/>
      <c r="B3486" s="7"/>
    </row>
    <row r="3487" spans="1:2" ht="12.5">
      <c r="A3487" s="5"/>
      <c r="B3487" s="7"/>
    </row>
    <row r="3488" spans="1:2" ht="12.5">
      <c r="A3488" s="5"/>
      <c r="B3488" s="7"/>
    </row>
    <row r="3489" spans="1:2" ht="12.5">
      <c r="A3489" s="5"/>
      <c r="B3489" s="7"/>
    </row>
    <row r="3490" spans="1:2" ht="12.5">
      <c r="A3490" s="5"/>
      <c r="B3490" s="7"/>
    </row>
    <row r="3491" spans="1:2" ht="12.5">
      <c r="A3491" s="5"/>
      <c r="B3491" s="7"/>
    </row>
    <row r="3492" spans="1:2" ht="12.5">
      <c r="A3492" s="5"/>
      <c r="B3492" s="7"/>
    </row>
    <row r="3493" spans="1:2" ht="12.5">
      <c r="A3493" s="5"/>
      <c r="B3493" s="7"/>
    </row>
    <row r="3494" spans="1:2" ht="12.5">
      <c r="A3494" s="5"/>
      <c r="B3494" s="7"/>
    </row>
    <row r="3495" spans="1:2" ht="12.5">
      <c r="A3495" s="5"/>
      <c r="B3495" s="7"/>
    </row>
    <row r="3496" spans="1:2" ht="12.5">
      <c r="A3496" s="5"/>
      <c r="B3496" s="7"/>
    </row>
    <row r="3497" spans="1:2" ht="12.5">
      <c r="A3497" s="5"/>
      <c r="B3497" s="7"/>
    </row>
    <row r="3498" spans="1:2" ht="12.5">
      <c r="A3498" s="5"/>
      <c r="B3498" s="7"/>
    </row>
    <row r="3499" spans="1:2" ht="12.5">
      <c r="A3499" s="5"/>
      <c r="B3499" s="7"/>
    </row>
    <row r="3500" spans="1:2" ht="12.5">
      <c r="A3500" s="5"/>
      <c r="B3500" s="7"/>
    </row>
    <row r="3501" spans="1:2" ht="12.5">
      <c r="A3501" s="5"/>
      <c r="B3501" s="7"/>
    </row>
    <row r="3502" spans="1:2" ht="12.5">
      <c r="A3502" s="5"/>
      <c r="B3502" s="7"/>
    </row>
    <row r="3503" spans="1:2" ht="12.5">
      <c r="A3503" s="5"/>
      <c r="B3503" s="7"/>
    </row>
    <row r="3504" spans="1:2" ht="12.5">
      <c r="A3504" s="5"/>
      <c r="B3504" s="7"/>
    </row>
    <row r="3505" spans="1:2" ht="12.5">
      <c r="A3505" s="5"/>
      <c r="B3505" s="7"/>
    </row>
    <row r="3506" spans="1:2" ht="12.5">
      <c r="A3506" s="5"/>
      <c r="B3506" s="7"/>
    </row>
    <row r="3507" spans="1:2" ht="12.5">
      <c r="A3507" s="5"/>
      <c r="B3507" s="7"/>
    </row>
    <row r="3508" spans="1:2" ht="12.5">
      <c r="A3508" s="5"/>
      <c r="B3508" s="7"/>
    </row>
    <row r="3509" spans="1:2" ht="12.5">
      <c r="A3509" s="5"/>
      <c r="B3509" s="7"/>
    </row>
    <row r="3510" spans="1:2" ht="12.5">
      <c r="A3510" s="5"/>
      <c r="B3510" s="7"/>
    </row>
    <row r="3511" spans="1:2" ht="12.5">
      <c r="A3511" s="5"/>
      <c r="B3511" s="7"/>
    </row>
    <row r="3512" spans="1:2" ht="12.5">
      <c r="A3512" s="5"/>
      <c r="B3512" s="7"/>
    </row>
    <row r="3513" spans="1:2" ht="12.5">
      <c r="A3513" s="5"/>
      <c r="B3513" s="7"/>
    </row>
    <row r="3514" spans="1:2" ht="12.5">
      <c r="A3514" s="5"/>
      <c r="B3514" s="7"/>
    </row>
    <row r="3515" spans="1:2" ht="12.5">
      <c r="A3515" s="5"/>
      <c r="B3515" s="7"/>
    </row>
    <row r="3516" spans="1:2" ht="12.5">
      <c r="A3516" s="5"/>
      <c r="B3516" s="7"/>
    </row>
    <row r="3517" spans="1:2" ht="12.5">
      <c r="A3517" s="5"/>
      <c r="B3517" s="7"/>
    </row>
    <row r="3518" spans="1:2" ht="12.5">
      <c r="A3518" s="5"/>
      <c r="B3518" s="7"/>
    </row>
    <row r="3519" spans="1:2" ht="12.5">
      <c r="A3519" s="5"/>
      <c r="B3519" s="7"/>
    </row>
    <row r="3520" spans="1:2" ht="12.5">
      <c r="A3520" s="5"/>
      <c r="B3520" s="7"/>
    </row>
    <row r="3521" spans="1:2" ht="12.5">
      <c r="A3521" s="5"/>
      <c r="B3521" s="7"/>
    </row>
    <row r="3522" spans="1:2" ht="12.5">
      <c r="A3522" s="5"/>
      <c r="B3522" s="7"/>
    </row>
    <row r="3523" spans="1:2" ht="12.5">
      <c r="A3523" s="5"/>
      <c r="B3523" s="7"/>
    </row>
    <row r="3524" spans="1:2" ht="12.5">
      <c r="A3524" s="5"/>
      <c r="B3524" s="7"/>
    </row>
    <row r="3525" spans="1:2" ht="12.5">
      <c r="A3525" s="5"/>
      <c r="B3525" s="7"/>
    </row>
    <row r="3526" spans="1:2" ht="12.5">
      <c r="A3526" s="5"/>
      <c r="B3526" s="7"/>
    </row>
    <row r="3527" spans="1:2" ht="12.5">
      <c r="A3527" s="5"/>
      <c r="B3527" s="7"/>
    </row>
    <row r="3528" spans="1:2" ht="12.5">
      <c r="A3528" s="5"/>
      <c r="B3528" s="7"/>
    </row>
    <row r="3529" spans="1:2" ht="12.5">
      <c r="A3529" s="5"/>
      <c r="B3529" s="7"/>
    </row>
    <row r="3530" spans="1:2" ht="12.5">
      <c r="A3530" s="5"/>
      <c r="B3530" s="7"/>
    </row>
    <row r="3531" spans="1:2" ht="12.5">
      <c r="A3531" s="5"/>
      <c r="B3531" s="7"/>
    </row>
    <row r="3532" spans="1:2" ht="12.5">
      <c r="A3532" s="5"/>
      <c r="B3532" s="7"/>
    </row>
    <row r="3533" spans="1:2" ht="12.5">
      <c r="A3533" s="5"/>
      <c r="B3533" s="7"/>
    </row>
    <row r="3534" spans="1:2" ht="12.5">
      <c r="A3534" s="5"/>
      <c r="B3534" s="7"/>
    </row>
    <row r="3535" spans="1:2" ht="12.5">
      <c r="A3535" s="5"/>
      <c r="B3535" s="7"/>
    </row>
    <row r="3536" spans="1:2" ht="12.5">
      <c r="A3536" s="5"/>
      <c r="B3536" s="7"/>
    </row>
    <row r="3537" spans="1:2" ht="12.5">
      <c r="A3537" s="5"/>
      <c r="B3537" s="7"/>
    </row>
    <row r="3538" spans="1:2" ht="12.5">
      <c r="A3538" s="5"/>
      <c r="B3538" s="7"/>
    </row>
    <row r="3539" spans="1:2" ht="12.5">
      <c r="A3539" s="5"/>
      <c r="B3539" s="7"/>
    </row>
    <row r="3540" spans="1:2" ht="12.5">
      <c r="A3540" s="5"/>
      <c r="B3540" s="7"/>
    </row>
    <row r="3541" spans="1:2" ht="12.5">
      <c r="A3541" s="5"/>
      <c r="B3541" s="7"/>
    </row>
    <row r="3542" spans="1:2" ht="12.5">
      <c r="A3542" s="5"/>
      <c r="B3542" s="7"/>
    </row>
    <row r="3543" spans="1:2" ht="12.5">
      <c r="A3543" s="5"/>
      <c r="B3543" s="7"/>
    </row>
    <row r="3544" spans="1:2" ht="12.5">
      <c r="A3544" s="5"/>
      <c r="B3544" s="7"/>
    </row>
    <row r="3545" spans="1:2" ht="12.5">
      <c r="A3545" s="5"/>
      <c r="B3545" s="7"/>
    </row>
    <row r="3546" spans="1:2" ht="12.5">
      <c r="A3546" s="5"/>
      <c r="B3546" s="7"/>
    </row>
    <row r="3547" spans="1:2" ht="12.5">
      <c r="A3547" s="5"/>
      <c r="B3547" s="7"/>
    </row>
    <row r="3548" spans="1:2" ht="12.5">
      <c r="A3548" s="5"/>
      <c r="B3548" s="7"/>
    </row>
    <row r="3549" spans="1:2" ht="12.5">
      <c r="A3549" s="5"/>
      <c r="B3549" s="7"/>
    </row>
    <row r="3550" spans="1:2" ht="12.5">
      <c r="A3550" s="5"/>
      <c r="B3550" s="7"/>
    </row>
    <row r="3551" spans="1:2" ht="12.5">
      <c r="A3551" s="5"/>
      <c r="B3551" s="7"/>
    </row>
    <row r="3552" spans="1:2" ht="12.5">
      <c r="A3552" s="5"/>
      <c r="B3552" s="7"/>
    </row>
    <row r="3553" spans="1:2" ht="12.5">
      <c r="A3553" s="5"/>
      <c r="B3553" s="7"/>
    </row>
    <row r="3554" spans="1:2" ht="12.5">
      <c r="A3554" s="5"/>
      <c r="B3554" s="7"/>
    </row>
    <row r="3555" spans="1:2" ht="12.5">
      <c r="A3555" s="5"/>
      <c r="B3555" s="7"/>
    </row>
    <row r="3556" spans="1:2" ht="12.5">
      <c r="A3556" s="5"/>
      <c r="B3556" s="7"/>
    </row>
    <row r="3557" spans="1:2" ht="12.5">
      <c r="A3557" s="5"/>
      <c r="B3557" s="7"/>
    </row>
    <row r="3558" spans="1:2" ht="12.5">
      <c r="A3558" s="5"/>
      <c r="B3558" s="7"/>
    </row>
    <row r="3559" spans="1:2" ht="12.5">
      <c r="A3559" s="5"/>
      <c r="B3559" s="7"/>
    </row>
    <row r="3560" spans="1:2" ht="12.5">
      <c r="A3560" s="5"/>
      <c r="B3560" s="7"/>
    </row>
    <row r="3561" spans="1:2" ht="12.5">
      <c r="A3561" s="5"/>
      <c r="B3561" s="7"/>
    </row>
    <row r="3562" spans="1:2" ht="12.5">
      <c r="A3562" s="5"/>
      <c r="B3562" s="7"/>
    </row>
    <row r="3563" spans="1:2" ht="12.5">
      <c r="A3563" s="5"/>
      <c r="B3563" s="7"/>
    </row>
    <row r="3564" spans="1:2" ht="12.5">
      <c r="A3564" s="5"/>
      <c r="B3564" s="7"/>
    </row>
    <row r="3565" spans="1:2" ht="12.5">
      <c r="A3565" s="5"/>
      <c r="B3565" s="7"/>
    </row>
    <row r="3566" spans="1:2" ht="12.5">
      <c r="A3566" s="5"/>
      <c r="B3566" s="7"/>
    </row>
    <row r="3567" spans="1:2" ht="12.5">
      <c r="A3567" s="5"/>
      <c r="B3567" s="7"/>
    </row>
    <row r="3568" spans="1:2" ht="12.5">
      <c r="A3568" s="5"/>
      <c r="B3568" s="7"/>
    </row>
    <row r="3569" spans="1:2" ht="12.5">
      <c r="A3569" s="5"/>
      <c r="B3569" s="7"/>
    </row>
    <row r="3570" spans="1:2" ht="12.5">
      <c r="A3570" s="5"/>
      <c r="B3570" s="7"/>
    </row>
    <row r="3571" spans="1:2" ht="12.5">
      <c r="A3571" s="5"/>
      <c r="B3571" s="7"/>
    </row>
    <row r="3572" spans="1:2" ht="12.5">
      <c r="A3572" s="5"/>
      <c r="B3572" s="7"/>
    </row>
    <row r="3573" spans="1:2" ht="12.5">
      <c r="A3573" s="5"/>
      <c r="B3573" s="7"/>
    </row>
    <row r="3574" spans="1:2" ht="12.5">
      <c r="A3574" s="5"/>
      <c r="B3574" s="7"/>
    </row>
    <row r="3575" spans="1:2" ht="12.5">
      <c r="A3575" s="5"/>
      <c r="B3575" s="7"/>
    </row>
    <row r="3576" spans="1:2" ht="12.5">
      <c r="A3576" s="5"/>
      <c r="B3576" s="7"/>
    </row>
    <row r="3577" spans="1:2" ht="12.5">
      <c r="A3577" s="5"/>
      <c r="B3577" s="7"/>
    </row>
    <row r="3578" spans="1:2" ht="12.5">
      <c r="A3578" s="5"/>
      <c r="B3578" s="7"/>
    </row>
    <row r="3579" spans="1:2" ht="12.5">
      <c r="A3579" s="5"/>
      <c r="B3579" s="7"/>
    </row>
    <row r="3580" spans="1:2" ht="12.5">
      <c r="A3580" s="5"/>
      <c r="B3580" s="7"/>
    </row>
    <row r="3581" spans="1:2" ht="12.5">
      <c r="A3581" s="5"/>
      <c r="B3581" s="7"/>
    </row>
    <row r="3582" spans="1:2" ht="12.5">
      <c r="A3582" s="5"/>
      <c r="B3582" s="7"/>
    </row>
    <row r="3583" spans="1:2" ht="12.5">
      <c r="A3583" s="5"/>
      <c r="B3583" s="7"/>
    </row>
    <row r="3584" spans="1:2" ht="12.5">
      <c r="A3584" s="5"/>
      <c r="B3584" s="7"/>
    </row>
    <row r="3585" spans="1:2" ht="12.5">
      <c r="A3585" s="5"/>
      <c r="B3585" s="7"/>
    </row>
    <row r="3586" spans="1:2" ht="12.5">
      <c r="A3586" s="5"/>
      <c r="B3586" s="7"/>
    </row>
    <row r="3587" spans="1:2" ht="12.5">
      <c r="A3587" s="5"/>
      <c r="B3587" s="7"/>
    </row>
    <row r="3588" spans="1:2" ht="12.5">
      <c r="A3588" s="5"/>
      <c r="B3588" s="7"/>
    </row>
    <row r="3589" spans="1:2" ht="12.5">
      <c r="A3589" s="5"/>
      <c r="B3589" s="7"/>
    </row>
    <row r="3590" spans="1:2" ht="12.5">
      <c r="A3590" s="5"/>
      <c r="B3590" s="7"/>
    </row>
    <row r="3591" spans="1:2" ht="12.5">
      <c r="A3591" s="5"/>
      <c r="B3591" s="7"/>
    </row>
    <row r="3592" spans="1:2" ht="12.5">
      <c r="A3592" s="5"/>
      <c r="B3592" s="7"/>
    </row>
    <row r="3593" spans="1:2" ht="12.5">
      <c r="A3593" s="5"/>
      <c r="B3593" s="7"/>
    </row>
    <row r="3594" spans="1:2" ht="12.5">
      <c r="A3594" s="5"/>
      <c r="B3594" s="7"/>
    </row>
    <row r="3595" spans="1:2" ht="12.5">
      <c r="A3595" s="5"/>
      <c r="B3595" s="7"/>
    </row>
    <row r="3596" spans="1:2" ht="12.5">
      <c r="A3596" s="5"/>
      <c r="B3596" s="7"/>
    </row>
    <row r="3597" spans="1:2" ht="12.5">
      <c r="A3597" s="5"/>
      <c r="B3597" s="7"/>
    </row>
    <row r="3598" spans="1:2" ht="12.5">
      <c r="A3598" s="5"/>
      <c r="B3598" s="7"/>
    </row>
    <row r="3599" spans="1:2" ht="12.5">
      <c r="A3599" s="5"/>
      <c r="B3599" s="7"/>
    </row>
    <row r="3600" spans="1:2" ht="12.5">
      <c r="A3600" s="5"/>
      <c r="B3600" s="7"/>
    </row>
    <row r="3601" spans="1:2" ht="12.5">
      <c r="A3601" s="5"/>
      <c r="B3601" s="7"/>
    </row>
    <row r="3602" spans="1:2" ht="12.5">
      <c r="A3602" s="5"/>
      <c r="B3602" s="7"/>
    </row>
    <row r="3603" spans="1:2" ht="12.5">
      <c r="A3603" s="5"/>
      <c r="B3603" s="7"/>
    </row>
    <row r="3604" spans="1:2" ht="12.5">
      <c r="A3604" s="5"/>
      <c r="B3604" s="7"/>
    </row>
    <row r="3605" spans="1:2" ht="12.5">
      <c r="A3605" s="5"/>
      <c r="B3605" s="7"/>
    </row>
    <row r="3606" spans="1:2" ht="12.5">
      <c r="A3606" s="5"/>
      <c r="B3606" s="7"/>
    </row>
    <row r="3607" spans="1:2" ht="12.5">
      <c r="A3607" s="5"/>
      <c r="B3607" s="7"/>
    </row>
    <row r="3608" spans="1:2" ht="12.5">
      <c r="A3608" s="5"/>
      <c r="B3608" s="7"/>
    </row>
    <row r="3609" spans="1:2" ht="12.5">
      <c r="A3609" s="5"/>
      <c r="B3609" s="7"/>
    </row>
    <row r="3610" spans="1:2" ht="12.5">
      <c r="A3610" s="5"/>
      <c r="B3610" s="7"/>
    </row>
    <row r="3611" spans="1:2" ht="12.5">
      <c r="A3611" s="5"/>
      <c r="B3611" s="7"/>
    </row>
    <row r="3612" spans="1:2" ht="12.5">
      <c r="A3612" s="5"/>
      <c r="B3612" s="7"/>
    </row>
    <row r="3613" spans="1:2" ht="12.5">
      <c r="A3613" s="5"/>
      <c r="B3613" s="7"/>
    </row>
    <row r="3614" spans="1:2" ht="12.5">
      <c r="A3614" s="5"/>
      <c r="B3614" s="7"/>
    </row>
    <row r="3615" spans="1:2" ht="12.5">
      <c r="A3615" s="5"/>
      <c r="B3615" s="7"/>
    </row>
    <row r="3616" spans="1:2" ht="12.5">
      <c r="A3616" s="5"/>
      <c r="B3616" s="7"/>
    </row>
    <row r="3617" spans="1:2" ht="12.5">
      <c r="A3617" s="5"/>
      <c r="B3617" s="7"/>
    </row>
    <row r="3618" spans="1:2" ht="12.5">
      <c r="A3618" s="5"/>
      <c r="B3618" s="7"/>
    </row>
    <row r="3619" spans="1:2" ht="12.5">
      <c r="A3619" s="5"/>
      <c r="B3619" s="7"/>
    </row>
    <row r="3620" spans="1:2" ht="12.5">
      <c r="A3620" s="5"/>
      <c r="B3620" s="7"/>
    </row>
    <row r="3621" spans="1:2" ht="12.5">
      <c r="A3621" s="5"/>
      <c r="B3621" s="7"/>
    </row>
    <row r="3622" spans="1:2" ht="12.5">
      <c r="A3622" s="5"/>
      <c r="B3622" s="7"/>
    </row>
    <row r="3623" spans="1:2" ht="12.5">
      <c r="A3623" s="5"/>
      <c r="B3623" s="7"/>
    </row>
    <row r="3624" spans="1:2" ht="12.5">
      <c r="A3624" s="5"/>
      <c r="B3624" s="7"/>
    </row>
    <row r="3625" spans="1:2" ht="12.5">
      <c r="A3625" s="5"/>
      <c r="B3625" s="7"/>
    </row>
    <row r="3626" spans="1:2" ht="12.5">
      <c r="A3626" s="5"/>
      <c r="B3626" s="7"/>
    </row>
    <row r="3627" spans="1:2" ht="12.5">
      <c r="A3627" s="5"/>
      <c r="B3627" s="7"/>
    </row>
    <row r="3628" spans="1:2" ht="12.5">
      <c r="A3628" s="5"/>
      <c r="B3628" s="7"/>
    </row>
    <row r="3629" spans="1:2" ht="12.5">
      <c r="A3629" s="5"/>
      <c r="B3629" s="7"/>
    </row>
    <row r="3630" spans="1:2" ht="12.5">
      <c r="A3630" s="5"/>
      <c r="B3630" s="7"/>
    </row>
    <row r="3631" spans="1:2" ht="12.5">
      <c r="A3631" s="5"/>
      <c r="B3631" s="7"/>
    </row>
    <row r="3632" spans="1:2" ht="12.5">
      <c r="A3632" s="5"/>
      <c r="B3632" s="7"/>
    </row>
    <row r="3633" spans="1:2" ht="12.5">
      <c r="A3633" s="5"/>
      <c r="B3633" s="7"/>
    </row>
    <row r="3634" spans="1:2" ht="12.5">
      <c r="A3634" s="5"/>
      <c r="B3634" s="7"/>
    </row>
    <row r="3635" spans="1:2" ht="12.5">
      <c r="A3635" s="5"/>
      <c r="B3635" s="7"/>
    </row>
    <row r="3636" spans="1:2" ht="12.5">
      <c r="A3636" s="5"/>
      <c r="B3636" s="7"/>
    </row>
    <row r="3637" spans="1:2" ht="12.5">
      <c r="A3637" s="5"/>
      <c r="B3637" s="7"/>
    </row>
    <row r="3638" spans="1:2" ht="12.5">
      <c r="A3638" s="5"/>
      <c r="B3638" s="7"/>
    </row>
    <row r="3639" spans="1:2" ht="12.5">
      <c r="A3639" s="5"/>
      <c r="B3639" s="7"/>
    </row>
    <row r="3640" spans="1:2" ht="12.5">
      <c r="A3640" s="5"/>
      <c r="B3640" s="7"/>
    </row>
    <row r="3641" spans="1:2" ht="12.5">
      <c r="A3641" s="5"/>
      <c r="B3641" s="7"/>
    </row>
    <row r="3642" spans="1:2" ht="12.5">
      <c r="A3642" s="5"/>
      <c r="B3642" s="7"/>
    </row>
    <row r="3643" spans="1:2" ht="12.5">
      <c r="A3643" s="5"/>
      <c r="B3643" s="7"/>
    </row>
    <row r="3644" spans="1:2" ht="12.5">
      <c r="A3644" s="5"/>
      <c r="B3644" s="7"/>
    </row>
    <row r="3645" spans="1:2" ht="12.5">
      <c r="A3645" s="5"/>
      <c r="B3645" s="7"/>
    </row>
    <row r="3646" spans="1:2" ht="12.5">
      <c r="A3646" s="5"/>
      <c r="B3646" s="7"/>
    </row>
    <row r="3647" spans="1:2" ht="12.5">
      <c r="A3647" s="5"/>
      <c r="B3647" s="7"/>
    </row>
    <row r="3648" spans="1:2" ht="12.5">
      <c r="A3648" s="5"/>
      <c r="B3648" s="7"/>
    </row>
    <row r="3649" spans="1:2" ht="12.5">
      <c r="A3649" s="5"/>
      <c r="B3649" s="7"/>
    </row>
    <row r="3650" spans="1:2" ht="12.5">
      <c r="A3650" s="5"/>
      <c r="B3650" s="7"/>
    </row>
    <row r="3651" spans="1:2" ht="12.5">
      <c r="A3651" s="5"/>
      <c r="B3651" s="7"/>
    </row>
    <row r="3652" spans="1:2" ht="12.5">
      <c r="A3652" s="5"/>
      <c r="B3652" s="7"/>
    </row>
    <row r="3653" spans="1:2" ht="12.5">
      <c r="A3653" s="5"/>
      <c r="B3653" s="7"/>
    </row>
    <row r="3654" spans="1:2" ht="12.5">
      <c r="A3654" s="5"/>
      <c r="B3654" s="7"/>
    </row>
    <row r="3655" spans="1:2" ht="12.5">
      <c r="A3655" s="5"/>
      <c r="B3655" s="7"/>
    </row>
    <row r="3656" spans="1:2" ht="12.5">
      <c r="A3656" s="5"/>
      <c r="B3656" s="7"/>
    </row>
    <row r="3657" spans="1:2" ht="12.5">
      <c r="A3657" s="5"/>
      <c r="B3657" s="7"/>
    </row>
    <row r="3658" spans="1:2" ht="12.5">
      <c r="A3658" s="5"/>
      <c r="B3658" s="7"/>
    </row>
    <row r="3659" spans="1:2" ht="12.5">
      <c r="A3659" s="5"/>
      <c r="B3659" s="7"/>
    </row>
    <row r="3660" spans="1:2" ht="12.5">
      <c r="A3660" s="5"/>
      <c r="B3660" s="7"/>
    </row>
    <row r="3661" spans="1:2" ht="12.5">
      <c r="A3661" s="5"/>
      <c r="B3661" s="7"/>
    </row>
    <row r="3662" spans="1:2" ht="12.5">
      <c r="A3662" s="5"/>
      <c r="B3662" s="7"/>
    </row>
    <row r="3663" spans="1:2" ht="12.5">
      <c r="A3663" s="5"/>
      <c r="B3663" s="7"/>
    </row>
    <row r="3664" spans="1:2" ht="12.5">
      <c r="A3664" s="5"/>
      <c r="B3664" s="7"/>
    </row>
    <row r="3665" spans="1:2" ht="12.5">
      <c r="A3665" s="5"/>
      <c r="B3665" s="7"/>
    </row>
    <row r="3666" spans="1:2" ht="12.5">
      <c r="A3666" s="5"/>
      <c r="B3666" s="7"/>
    </row>
    <row r="3667" spans="1:2" ht="12.5">
      <c r="A3667" s="5"/>
      <c r="B3667" s="7"/>
    </row>
    <row r="3668" spans="1:2" ht="12.5">
      <c r="A3668" s="5"/>
      <c r="B3668" s="7"/>
    </row>
    <row r="3669" spans="1:2" ht="12.5">
      <c r="A3669" s="5"/>
      <c r="B3669" s="7"/>
    </row>
    <row r="3670" spans="1:2" ht="12.5">
      <c r="A3670" s="5"/>
      <c r="B3670" s="7"/>
    </row>
    <row r="3671" spans="1:2" ht="12.5">
      <c r="A3671" s="5"/>
      <c r="B3671" s="7"/>
    </row>
    <row r="3672" spans="1:2" ht="12.5">
      <c r="A3672" s="5"/>
      <c r="B3672" s="7"/>
    </row>
    <row r="3673" spans="1:2" ht="12.5">
      <c r="A3673" s="5"/>
      <c r="B3673" s="7"/>
    </row>
    <row r="3674" spans="1:2" ht="12.5">
      <c r="A3674" s="5"/>
      <c r="B3674" s="7"/>
    </row>
    <row r="3675" spans="1:2" ht="12.5">
      <c r="A3675" s="5"/>
      <c r="B3675" s="7"/>
    </row>
    <row r="3676" spans="1:2" ht="12.5">
      <c r="A3676" s="5"/>
      <c r="B3676" s="7"/>
    </row>
    <row r="3677" spans="1:2" ht="12.5">
      <c r="A3677" s="5"/>
      <c r="B3677" s="7"/>
    </row>
    <row r="3678" spans="1:2" ht="12.5">
      <c r="A3678" s="5"/>
      <c r="B3678" s="7"/>
    </row>
    <row r="3679" spans="1:2" ht="12.5">
      <c r="A3679" s="5"/>
      <c r="B3679" s="7"/>
    </row>
    <row r="3680" spans="1:2" ht="12.5">
      <c r="A3680" s="5"/>
      <c r="B3680" s="7"/>
    </row>
    <row r="3681" spans="1:2" ht="12.5">
      <c r="A3681" s="5"/>
      <c r="B3681" s="7"/>
    </row>
    <row r="3682" spans="1:2" ht="12.5">
      <c r="A3682" s="5"/>
      <c r="B3682" s="7"/>
    </row>
    <row r="3683" spans="1:2" ht="12.5">
      <c r="A3683" s="5"/>
      <c r="B3683" s="7"/>
    </row>
    <row r="3684" spans="1:2" ht="12.5">
      <c r="A3684" s="5"/>
      <c r="B3684" s="7"/>
    </row>
    <row r="3685" spans="1:2" ht="12.5">
      <c r="A3685" s="5"/>
      <c r="B3685" s="7"/>
    </row>
    <row r="3686" spans="1:2" ht="12.5">
      <c r="A3686" s="5"/>
      <c r="B3686" s="7"/>
    </row>
    <row r="3687" spans="1:2" ht="12.5">
      <c r="A3687" s="5"/>
      <c r="B3687" s="7"/>
    </row>
    <row r="3688" spans="1:2" ht="12.5">
      <c r="A3688" s="5"/>
      <c r="B3688" s="7"/>
    </row>
    <row r="3689" spans="1:2" ht="12.5">
      <c r="A3689" s="5"/>
      <c r="B3689" s="7"/>
    </row>
    <row r="3690" spans="1:2" ht="12.5">
      <c r="A3690" s="5"/>
      <c r="B3690" s="7"/>
    </row>
    <row r="3691" spans="1:2" ht="12.5">
      <c r="A3691" s="5"/>
      <c r="B3691" s="7"/>
    </row>
    <row r="3692" spans="1:2" ht="12.5">
      <c r="A3692" s="5"/>
      <c r="B3692" s="7"/>
    </row>
    <row r="3693" spans="1:2" ht="12.5">
      <c r="A3693" s="5"/>
      <c r="B3693" s="7"/>
    </row>
    <row r="3694" spans="1:2" ht="12.5">
      <c r="A3694" s="5"/>
      <c r="B3694" s="7"/>
    </row>
    <row r="3695" spans="1:2" ht="12.5">
      <c r="A3695" s="5"/>
      <c r="B3695" s="7"/>
    </row>
    <row r="3696" spans="1:2" ht="12.5">
      <c r="A3696" s="5"/>
      <c r="B3696" s="7"/>
    </row>
    <row r="3697" spans="1:2" ht="12.5">
      <c r="A3697" s="5"/>
      <c r="B3697" s="7"/>
    </row>
    <row r="3698" spans="1:2" ht="12.5">
      <c r="A3698" s="5"/>
      <c r="B3698" s="7"/>
    </row>
    <row r="3699" spans="1:2" ht="12.5">
      <c r="A3699" s="5"/>
      <c r="B3699" s="7"/>
    </row>
    <row r="3700" spans="1:2" ht="12.5">
      <c r="A3700" s="5"/>
      <c r="B3700" s="7"/>
    </row>
    <row r="3701" spans="1:2" ht="12.5">
      <c r="A3701" s="5"/>
      <c r="B3701" s="7"/>
    </row>
    <row r="3702" spans="1:2" ht="12.5">
      <c r="A3702" s="5"/>
      <c r="B3702" s="7"/>
    </row>
    <row r="3703" spans="1:2" ht="12.5">
      <c r="A3703" s="5"/>
      <c r="B3703" s="7"/>
    </row>
    <row r="3704" spans="1:2" ht="12.5">
      <c r="A3704" s="5"/>
      <c r="B3704" s="7"/>
    </row>
    <row r="3705" spans="1:2" ht="12.5">
      <c r="A3705" s="5"/>
      <c r="B3705" s="7"/>
    </row>
    <row r="3706" spans="1:2" ht="12.5">
      <c r="A3706" s="5"/>
      <c r="B3706" s="7"/>
    </row>
    <row r="3707" spans="1:2" ht="12.5">
      <c r="A3707" s="5"/>
      <c r="B3707" s="7"/>
    </row>
    <row r="3708" spans="1:2" ht="12.5">
      <c r="A3708" s="5"/>
      <c r="B3708" s="7"/>
    </row>
    <row r="3709" spans="1:2" ht="12.5">
      <c r="A3709" s="5"/>
      <c r="B3709" s="7"/>
    </row>
    <row r="3710" spans="1:2" ht="12.5">
      <c r="A3710" s="5"/>
      <c r="B3710" s="7"/>
    </row>
    <row r="3711" spans="1:2" ht="12.5">
      <c r="A3711" s="5"/>
      <c r="B3711" s="7"/>
    </row>
    <row r="3712" spans="1:2" ht="12.5">
      <c r="A3712" s="5"/>
      <c r="B3712" s="7"/>
    </row>
    <row r="3713" spans="1:2" ht="12.5">
      <c r="A3713" s="5"/>
      <c r="B3713" s="7"/>
    </row>
    <row r="3714" spans="1:2" ht="12.5">
      <c r="A3714" s="5"/>
      <c r="B3714" s="7"/>
    </row>
    <row r="3715" spans="1:2" ht="12.5">
      <c r="A3715" s="5"/>
      <c r="B3715" s="7"/>
    </row>
    <row r="3716" spans="1:2" ht="12.5">
      <c r="A3716" s="5"/>
      <c r="B3716" s="7"/>
    </row>
    <row r="3717" spans="1:2" ht="12.5">
      <c r="A3717" s="5"/>
      <c r="B3717" s="7"/>
    </row>
    <row r="3718" spans="1:2" ht="12.5">
      <c r="A3718" s="5"/>
      <c r="B3718" s="7"/>
    </row>
    <row r="3719" spans="1:2" ht="12.5">
      <c r="A3719" s="5"/>
      <c r="B3719" s="7"/>
    </row>
    <row r="3720" spans="1:2" ht="12.5">
      <c r="A3720" s="5"/>
      <c r="B3720" s="7"/>
    </row>
    <row r="3721" spans="1:2" ht="12.5">
      <c r="A3721" s="5"/>
      <c r="B3721" s="7"/>
    </row>
    <row r="3722" spans="1:2" ht="12.5">
      <c r="A3722" s="5"/>
      <c r="B3722" s="7"/>
    </row>
    <row r="3723" spans="1:2" ht="12.5">
      <c r="A3723" s="5"/>
      <c r="B3723" s="7"/>
    </row>
    <row r="3724" spans="1:2" ht="12.5">
      <c r="A3724" s="5"/>
      <c r="B3724" s="7"/>
    </row>
    <row r="3725" spans="1:2" ht="12.5">
      <c r="A3725" s="5"/>
      <c r="B3725" s="7"/>
    </row>
    <row r="3726" spans="1:2" ht="12.5">
      <c r="A3726" s="5"/>
      <c r="B3726" s="7"/>
    </row>
    <row r="3727" spans="1:2" ht="12.5">
      <c r="A3727" s="5"/>
      <c r="B3727" s="7"/>
    </row>
    <row r="3728" spans="1:2" ht="12.5">
      <c r="A3728" s="5"/>
      <c r="B3728" s="7"/>
    </row>
    <row r="3729" spans="1:2" ht="12.5">
      <c r="A3729" s="5"/>
      <c r="B3729" s="7"/>
    </row>
    <row r="3730" spans="1:2" ht="12.5">
      <c r="A3730" s="5"/>
      <c r="B3730" s="7"/>
    </row>
    <row r="3731" spans="1:2" ht="12.5">
      <c r="A3731" s="5"/>
      <c r="B3731" s="7"/>
    </row>
    <row r="3732" spans="1:2" ht="12.5">
      <c r="A3732" s="5"/>
      <c r="B3732" s="7"/>
    </row>
    <row r="3733" spans="1:2" ht="12.5">
      <c r="A3733" s="5"/>
      <c r="B3733" s="7"/>
    </row>
    <row r="3734" spans="1:2" ht="12.5">
      <c r="A3734" s="5"/>
      <c r="B3734" s="7"/>
    </row>
    <row r="3735" spans="1:2" ht="12.5">
      <c r="A3735" s="5"/>
      <c r="B3735" s="7"/>
    </row>
    <row r="3736" spans="1:2" ht="12.5">
      <c r="A3736" s="5"/>
      <c r="B3736" s="7"/>
    </row>
    <row r="3737" spans="1:2" ht="12.5">
      <c r="A3737" s="5"/>
      <c r="B3737" s="7"/>
    </row>
    <row r="3738" spans="1:2" ht="12.5">
      <c r="A3738" s="5"/>
      <c r="B3738" s="7"/>
    </row>
    <row r="3739" spans="1:2" ht="12.5">
      <c r="A3739" s="5"/>
      <c r="B3739" s="7"/>
    </row>
    <row r="3740" spans="1:2" ht="12.5">
      <c r="A3740" s="5"/>
      <c r="B3740" s="7"/>
    </row>
    <row r="3741" spans="1:2" ht="12.5">
      <c r="A3741" s="5"/>
      <c r="B3741" s="7"/>
    </row>
    <row r="3742" spans="1:2" ht="12.5">
      <c r="A3742" s="5"/>
      <c r="B3742" s="7"/>
    </row>
    <row r="3743" spans="1:2" ht="12.5">
      <c r="A3743" s="5"/>
      <c r="B3743" s="7"/>
    </row>
    <row r="3744" spans="1:2" ht="12.5">
      <c r="A3744" s="5"/>
      <c r="B3744" s="7"/>
    </row>
    <row r="3745" spans="1:2" ht="12.5">
      <c r="A3745" s="5"/>
      <c r="B3745" s="7"/>
    </row>
    <row r="3746" spans="1:2" ht="12.5">
      <c r="A3746" s="5"/>
      <c r="B3746" s="7"/>
    </row>
    <row r="3747" spans="1:2" ht="12.5">
      <c r="A3747" s="5"/>
      <c r="B3747" s="7"/>
    </row>
    <row r="3748" spans="1:2" ht="12.5">
      <c r="A3748" s="5"/>
      <c r="B3748" s="7"/>
    </row>
    <row r="3749" spans="1:2" ht="12.5">
      <c r="A3749" s="5"/>
      <c r="B3749" s="7"/>
    </row>
    <row r="3750" spans="1:2" ht="12.5">
      <c r="A3750" s="5"/>
      <c r="B3750" s="7"/>
    </row>
    <row r="3751" spans="1:2" ht="12.5">
      <c r="A3751" s="5"/>
      <c r="B3751" s="7"/>
    </row>
    <row r="3752" spans="1:2" ht="12.5">
      <c r="A3752" s="5"/>
      <c r="B3752" s="7"/>
    </row>
    <row r="3753" spans="1:2" ht="12.5">
      <c r="A3753" s="5"/>
      <c r="B3753" s="7"/>
    </row>
    <row r="3754" spans="1:2" ht="12.5">
      <c r="A3754" s="5"/>
      <c r="B3754" s="7"/>
    </row>
    <row r="3755" spans="1:2" ht="12.5">
      <c r="A3755" s="5"/>
      <c r="B3755" s="7"/>
    </row>
    <row r="3756" spans="1:2" ht="12.5">
      <c r="A3756" s="5"/>
      <c r="B3756" s="7"/>
    </row>
    <row r="3757" spans="1:2" ht="12.5">
      <c r="A3757" s="5"/>
      <c r="B3757" s="7"/>
    </row>
    <row r="3758" spans="1:2" ht="12.5">
      <c r="A3758" s="5"/>
      <c r="B3758" s="7"/>
    </row>
    <row r="3759" spans="1:2" ht="12.5">
      <c r="A3759" s="5"/>
      <c r="B3759" s="7"/>
    </row>
    <row r="3760" spans="1:2" ht="12.5">
      <c r="A3760" s="5"/>
      <c r="B3760" s="7"/>
    </row>
    <row r="3761" spans="1:2" ht="12.5">
      <c r="A3761" s="5"/>
      <c r="B3761" s="7"/>
    </row>
    <row r="3762" spans="1:2" ht="12.5">
      <c r="A3762" s="5"/>
      <c r="B3762" s="7"/>
    </row>
    <row r="3763" spans="1:2" ht="12.5">
      <c r="A3763" s="5"/>
      <c r="B3763" s="7"/>
    </row>
    <row r="3764" spans="1:2" ht="12.5">
      <c r="A3764" s="5"/>
      <c r="B3764" s="7"/>
    </row>
    <row r="3765" spans="1:2" ht="12.5">
      <c r="A3765" s="5"/>
      <c r="B3765" s="7"/>
    </row>
    <row r="3766" spans="1:2" ht="12.5">
      <c r="A3766" s="5"/>
      <c r="B3766" s="7"/>
    </row>
    <row r="3767" spans="1:2" ht="12.5">
      <c r="A3767" s="5"/>
      <c r="B3767" s="7"/>
    </row>
    <row r="3768" spans="1:2" ht="12.5">
      <c r="A3768" s="5"/>
      <c r="B3768" s="7"/>
    </row>
    <row r="3769" spans="1:2" ht="12.5">
      <c r="A3769" s="5"/>
      <c r="B3769" s="7"/>
    </row>
    <row r="3770" spans="1:2" ht="12.5">
      <c r="A3770" s="5"/>
      <c r="B3770" s="7"/>
    </row>
    <row r="3771" spans="1:2" ht="12.5">
      <c r="A3771" s="5"/>
      <c r="B3771" s="7"/>
    </row>
    <row r="3772" spans="1:2" ht="12.5">
      <c r="A3772" s="5"/>
      <c r="B3772" s="7"/>
    </row>
    <row r="3773" spans="1:2" ht="12.5">
      <c r="A3773" s="5"/>
      <c r="B3773" s="7"/>
    </row>
    <row r="3774" spans="1:2" ht="12.5">
      <c r="A3774" s="5"/>
      <c r="B3774" s="7"/>
    </row>
    <row r="3775" spans="1:2" ht="12.5">
      <c r="A3775" s="5"/>
      <c r="B3775" s="7"/>
    </row>
    <row r="3776" spans="1:2" ht="12.5">
      <c r="A3776" s="5"/>
      <c r="B3776" s="7"/>
    </row>
    <row r="3777" spans="1:2" ht="12.5">
      <c r="A3777" s="5"/>
      <c r="B3777" s="7"/>
    </row>
    <row r="3778" spans="1:2" ht="12.5">
      <c r="A3778" s="5"/>
      <c r="B3778" s="7"/>
    </row>
    <row r="3779" spans="1:2" ht="12.5">
      <c r="A3779" s="5"/>
      <c r="B3779" s="7"/>
    </row>
    <row r="3780" spans="1:2" ht="12.5">
      <c r="A3780" s="5"/>
      <c r="B3780" s="7"/>
    </row>
    <row r="3781" spans="1:2" ht="12.5">
      <c r="A3781" s="5"/>
      <c r="B3781" s="7"/>
    </row>
    <row r="3782" spans="1:2" ht="12.5">
      <c r="A3782" s="5"/>
      <c r="B3782" s="7"/>
    </row>
    <row r="3783" spans="1:2" ht="12.5">
      <c r="A3783" s="5"/>
      <c r="B3783" s="7"/>
    </row>
    <row r="3784" spans="1:2" ht="12.5">
      <c r="A3784" s="5"/>
      <c r="B3784" s="7"/>
    </row>
    <row r="3785" spans="1:2" ht="12.5">
      <c r="A3785" s="5"/>
      <c r="B3785" s="7"/>
    </row>
    <row r="3786" spans="1:2" ht="12.5">
      <c r="A3786" s="5"/>
      <c r="B3786" s="7"/>
    </row>
    <row r="3787" spans="1:2" ht="12.5">
      <c r="A3787" s="5"/>
      <c r="B3787" s="7"/>
    </row>
    <row r="3788" spans="1:2" ht="12.5">
      <c r="A3788" s="5"/>
      <c r="B3788" s="7"/>
    </row>
    <row r="3789" spans="1:2" ht="12.5">
      <c r="A3789" s="5"/>
      <c r="B3789" s="7"/>
    </row>
    <row r="3790" spans="1:2" ht="12.5">
      <c r="A3790" s="5"/>
      <c r="B3790" s="7"/>
    </row>
    <row r="3791" spans="1:2" ht="12.5">
      <c r="A3791" s="5"/>
      <c r="B3791" s="7"/>
    </row>
    <row r="3792" spans="1:2" ht="12.5">
      <c r="A3792" s="5"/>
      <c r="B3792" s="7"/>
    </row>
    <row r="3793" spans="1:2" ht="12.5">
      <c r="A3793" s="5"/>
      <c r="B3793" s="7"/>
    </row>
    <row r="3794" spans="1:2" ht="12.5">
      <c r="A3794" s="5"/>
      <c r="B3794" s="7"/>
    </row>
    <row r="3795" spans="1:2" ht="12.5">
      <c r="A3795" s="5"/>
      <c r="B3795" s="7"/>
    </row>
    <row r="3796" spans="1:2" ht="12.5">
      <c r="A3796" s="5"/>
      <c r="B3796" s="7"/>
    </row>
    <row r="3797" spans="1:2" ht="12.5">
      <c r="A3797" s="5"/>
      <c r="B3797" s="7"/>
    </row>
    <row r="3798" spans="1:2" ht="12.5">
      <c r="A3798" s="5"/>
      <c r="B3798" s="7"/>
    </row>
    <row r="3799" spans="1:2" ht="12.5">
      <c r="A3799" s="5"/>
      <c r="B3799" s="7"/>
    </row>
    <row r="3800" spans="1:2" ht="12.5">
      <c r="A3800" s="5"/>
      <c r="B3800" s="7"/>
    </row>
    <row r="3801" spans="1:2" ht="12.5">
      <c r="A3801" s="5"/>
      <c r="B3801" s="7"/>
    </row>
    <row r="3802" spans="1:2" ht="12.5">
      <c r="A3802" s="5"/>
      <c r="B3802" s="7"/>
    </row>
    <row r="3803" spans="1:2" ht="12.5">
      <c r="A3803" s="5"/>
      <c r="B3803" s="7"/>
    </row>
    <row r="3804" spans="1:2" ht="12.5">
      <c r="A3804" s="5"/>
      <c r="B3804" s="7"/>
    </row>
    <row r="3805" spans="1:2" ht="12.5">
      <c r="A3805" s="5"/>
      <c r="B3805" s="7"/>
    </row>
    <row r="3806" spans="1:2" ht="12.5">
      <c r="A3806" s="5"/>
      <c r="B3806" s="7"/>
    </row>
    <row r="3807" spans="1:2" ht="12.5">
      <c r="A3807" s="5"/>
      <c r="B3807" s="7"/>
    </row>
    <row r="3808" spans="1:2" ht="12.5">
      <c r="A3808" s="5"/>
      <c r="B3808" s="7"/>
    </row>
    <row r="3809" spans="1:2" ht="12.5">
      <c r="A3809" s="5"/>
      <c r="B3809" s="7"/>
    </row>
    <row r="3810" spans="1:2" ht="12.5">
      <c r="A3810" s="5"/>
      <c r="B3810" s="7"/>
    </row>
    <row r="3811" spans="1:2" ht="12.5">
      <c r="A3811" s="5"/>
      <c r="B3811" s="7"/>
    </row>
    <row r="3812" spans="1:2" ht="12.5">
      <c r="A3812" s="5"/>
      <c r="B3812" s="7"/>
    </row>
    <row r="3813" spans="1:2" ht="12.5">
      <c r="A3813" s="5"/>
      <c r="B3813" s="7"/>
    </row>
    <row r="3814" spans="1:2" ht="12.5">
      <c r="A3814" s="5"/>
      <c r="B3814" s="7"/>
    </row>
    <row r="3815" spans="1:2" ht="12.5">
      <c r="A3815" s="5"/>
      <c r="B3815" s="7"/>
    </row>
    <row r="3816" spans="1:2" ht="12.5">
      <c r="A3816" s="5"/>
      <c r="B3816" s="7"/>
    </row>
    <row r="3817" spans="1:2" ht="12.5">
      <c r="A3817" s="5"/>
      <c r="B3817" s="7"/>
    </row>
    <row r="3818" spans="1:2" ht="12.5">
      <c r="A3818" s="5"/>
      <c r="B3818" s="7"/>
    </row>
    <row r="3819" spans="1:2" ht="12.5">
      <c r="A3819" s="5"/>
      <c r="B3819" s="7"/>
    </row>
    <row r="3820" spans="1:2" ht="12.5">
      <c r="A3820" s="5"/>
      <c r="B3820" s="7"/>
    </row>
    <row r="3821" spans="1:2" ht="12.5">
      <c r="A3821" s="5"/>
      <c r="B3821" s="7"/>
    </row>
    <row r="3822" spans="1:2" ht="12.5">
      <c r="A3822" s="5"/>
      <c r="B3822" s="7"/>
    </row>
    <row r="3823" spans="1:2" ht="12.5">
      <c r="A3823" s="5"/>
      <c r="B3823" s="7"/>
    </row>
    <row r="3824" spans="1:2" ht="12.5">
      <c r="A3824" s="5"/>
      <c r="B3824" s="7"/>
    </row>
    <row r="3825" spans="1:2" ht="12.5">
      <c r="A3825" s="5"/>
      <c r="B3825" s="7"/>
    </row>
    <row r="3826" spans="1:2" ht="12.5">
      <c r="A3826" s="5"/>
      <c r="B3826" s="7"/>
    </row>
    <row r="3827" spans="1:2" ht="12.5">
      <c r="A3827" s="5"/>
      <c r="B3827" s="7"/>
    </row>
    <row r="3828" spans="1:2" ht="12.5">
      <c r="A3828" s="5"/>
      <c r="B3828" s="7"/>
    </row>
    <row r="3829" spans="1:2" ht="12.5">
      <c r="A3829" s="5"/>
      <c r="B3829" s="7"/>
    </row>
    <row r="3830" spans="1:2" ht="12.5">
      <c r="A3830" s="5"/>
      <c r="B3830" s="7"/>
    </row>
    <row r="3831" spans="1:2" ht="12.5">
      <c r="A3831" s="5"/>
      <c r="B3831" s="7"/>
    </row>
    <row r="3832" spans="1:2" ht="12.5">
      <c r="A3832" s="5"/>
      <c r="B3832" s="7"/>
    </row>
    <row r="3833" spans="1:2" ht="12.5">
      <c r="A3833" s="5"/>
      <c r="B3833" s="7"/>
    </row>
    <row r="3834" spans="1:2" ht="12.5">
      <c r="A3834" s="5"/>
      <c r="B3834" s="7"/>
    </row>
    <row r="3835" spans="1:2" ht="12.5">
      <c r="A3835" s="5"/>
      <c r="B3835" s="7"/>
    </row>
    <row r="3836" spans="1:2" ht="12.5">
      <c r="A3836" s="5"/>
      <c r="B3836" s="7"/>
    </row>
    <row r="3837" spans="1:2" ht="12.5">
      <c r="A3837" s="5"/>
      <c r="B3837" s="7"/>
    </row>
    <row r="3838" spans="1:2" ht="12.5">
      <c r="A3838" s="5"/>
      <c r="B3838" s="7"/>
    </row>
    <row r="3839" spans="1:2" ht="12.5">
      <c r="A3839" s="5"/>
      <c r="B3839" s="7"/>
    </row>
    <row r="3840" spans="1:2" ht="12.5">
      <c r="A3840" s="5"/>
      <c r="B3840" s="7"/>
    </row>
    <row r="3841" spans="1:2" ht="12.5">
      <c r="A3841" s="5"/>
      <c r="B3841" s="7"/>
    </row>
    <row r="3842" spans="1:2" ht="12.5">
      <c r="A3842" s="5"/>
      <c r="B3842" s="7"/>
    </row>
    <row r="3843" spans="1:2" ht="12.5">
      <c r="A3843" s="5"/>
      <c r="B3843" s="7"/>
    </row>
    <row r="3844" spans="1:2" ht="12.5">
      <c r="A3844" s="5"/>
      <c r="B3844" s="7"/>
    </row>
    <row r="3845" spans="1:2" ht="12.5">
      <c r="A3845" s="5"/>
      <c r="B3845" s="7"/>
    </row>
    <row r="3846" spans="1:2" ht="12.5">
      <c r="A3846" s="5"/>
      <c r="B3846" s="7"/>
    </row>
    <row r="3847" spans="1:2" ht="12.5">
      <c r="A3847" s="5"/>
      <c r="B3847" s="7"/>
    </row>
    <row r="3848" spans="1:2" ht="12.5">
      <c r="A3848" s="5"/>
      <c r="B3848" s="7"/>
    </row>
    <row r="3849" spans="1:2" ht="12.5">
      <c r="A3849" s="5"/>
      <c r="B3849" s="7"/>
    </row>
    <row r="3850" spans="1:2" ht="12.5">
      <c r="A3850" s="5"/>
      <c r="B3850" s="7"/>
    </row>
    <row r="3851" spans="1:2" ht="12.5">
      <c r="A3851" s="5"/>
      <c r="B3851" s="7"/>
    </row>
    <row r="3852" spans="1:2" ht="12.5">
      <c r="A3852" s="5"/>
      <c r="B3852" s="7"/>
    </row>
    <row r="3853" spans="1:2" ht="12.5">
      <c r="A3853" s="5"/>
      <c r="B3853" s="7"/>
    </row>
    <row r="3854" spans="1:2" ht="12.5">
      <c r="A3854" s="5"/>
      <c r="B3854" s="7"/>
    </row>
    <row r="3855" spans="1:2" ht="12.5">
      <c r="A3855" s="5"/>
      <c r="B3855" s="7"/>
    </row>
    <row r="3856" spans="1:2" ht="12.5">
      <c r="A3856" s="5"/>
      <c r="B3856" s="7"/>
    </row>
    <row r="3857" spans="1:2" ht="12.5">
      <c r="A3857" s="5"/>
      <c r="B3857" s="7"/>
    </row>
    <row r="3858" spans="1:2" ht="12.5">
      <c r="A3858" s="5"/>
      <c r="B3858" s="7"/>
    </row>
    <row r="3859" spans="1:2" ht="12.5">
      <c r="A3859" s="5"/>
      <c r="B3859" s="7"/>
    </row>
    <row r="3860" spans="1:2" ht="12.5">
      <c r="A3860" s="5"/>
      <c r="B3860" s="7"/>
    </row>
    <row r="3861" spans="1:2" ht="12.5">
      <c r="A3861" s="5"/>
      <c r="B3861" s="7"/>
    </row>
    <row r="3862" spans="1:2" ht="12.5">
      <c r="A3862" s="5"/>
      <c r="B3862" s="7"/>
    </row>
    <row r="3863" spans="1:2" ht="12.5">
      <c r="A3863" s="5"/>
      <c r="B3863" s="7"/>
    </row>
    <row r="3864" spans="1:2" ht="12.5">
      <c r="A3864" s="5"/>
      <c r="B3864" s="7"/>
    </row>
    <row r="3865" spans="1:2" ht="12.5">
      <c r="A3865" s="5"/>
      <c r="B3865" s="7"/>
    </row>
    <row r="3866" spans="1:2" ht="12.5">
      <c r="A3866" s="5"/>
      <c r="B3866" s="7"/>
    </row>
    <row r="3867" spans="1:2" ht="12.5">
      <c r="A3867" s="5"/>
      <c r="B3867" s="7"/>
    </row>
    <row r="3868" spans="1:2" ht="12.5">
      <c r="A3868" s="5"/>
      <c r="B3868" s="7"/>
    </row>
    <row r="3869" spans="1:2" ht="12.5">
      <c r="A3869" s="5"/>
      <c r="B3869" s="7"/>
    </row>
    <row r="3870" spans="1:2" ht="12.5">
      <c r="A3870" s="5"/>
      <c r="B3870" s="7"/>
    </row>
    <row r="3871" spans="1:2" ht="12.5">
      <c r="A3871" s="5"/>
      <c r="B3871" s="7"/>
    </row>
    <row r="3872" spans="1:2" ht="12.5">
      <c r="A3872" s="5"/>
      <c r="B3872" s="7"/>
    </row>
    <row r="3873" spans="1:2" ht="12.5">
      <c r="A3873" s="5"/>
      <c r="B3873" s="7"/>
    </row>
    <row r="3874" spans="1:2" ht="12.5">
      <c r="A3874" s="5"/>
      <c r="B3874" s="7"/>
    </row>
    <row r="3875" spans="1:2" ht="12.5">
      <c r="A3875" s="5"/>
      <c r="B3875" s="7"/>
    </row>
    <row r="3876" spans="1:2" ht="12.5">
      <c r="A3876" s="5"/>
      <c r="B3876" s="7"/>
    </row>
    <row r="3877" spans="1:2" ht="12.5">
      <c r="A3877" s="5"/>
      <c r="B3877" s="7"/>
    </row>
    <row r="3878" spans="1:2" ht="12.5">
      <c r="A3878" s="5"/>
      <c r="B3878" s="7"/>
    </row>
    <row r="3879" spans="1:2" ht="12.5">
      <c r="A3879" s="5"/>
      <c r="B3879" s="7"/>
    </row>
    <row r="3880" spans="1:2" ht="12.5">
      <c r="A3880" s="5"/>
      <c r="B3880" s="7"/>
    </row>
    <row r="3881" spans="1:2" ht="12.5">
      <c r="A3881" s="5"/>
      <c r="B3881" s="7"/>
    </row>
    <row r="3882" spans="1:2" ht="12.5">
      <c r="A3882" s="5"/>
      <c r="B3882" s="7"/>
    </row>
    <row r="3883" spans="1:2" ht="12.5">
      <c r="A3883" s="5"/>
      <c r="B3883" s="7"/>
    </row>
    <row r="3884" spans="1:2" ht="12.5">
      <c r="A3884" s="5"/>
      <c r="B3884" s="7"/>
    </row>
    <row r="3885" spans="1:2" ht="12.5">
      <c r="A3885" s="5"/>
      <c r="B3885" s="7"/>
    </row>
    <row r="3886" spans="1:2" ht="12.5">
      <c r="A3886" s="5"/>
      <c r="B3886" s="7"/>
    </row>
    <row r="3887" spans="1:2" ht="12.5">
      <c r="A3887" s="5"/>
      <c r="B3887" s="7"/>
    </row>
    <row r="3888" spans="1:2" ht="12.5">
      <c r="A3888" s="5"/>
      <c r="B3888" s="7"/>
    </row>
    <row r="3889" spans="1:2" ht="12.5">
      <c r="A3889" s="5"/>
      <c r="B3889" s="7"/>
    </row>
    <row r="3890" spans="1:2" ht="12.5">
      <c r="A3890" s="5"/>
      <c r="B3890" s="7"/>
    </row>
    <row r="3891" spans="1:2" ht="12.5">
      <c r="A3891" s="5"/>
      <c r="B3891" s="7"/>
    </row>
    <row r="3892" spans="1:2" ht="12.5">
      <c r="A3892" s="5"/>
      <c r="B3892" s="7"/>
    </row>
    <row r="3893" spans="1:2" ht="12.5">
      <c r="A3893" s="5"/>
      <c r="B3893" s="7"/>
    </row>
    <row r="3894" spans="1:2" ht="12.5">
      <c r="A3894" s="5"/>
      <c r="B3894" s="7"/>
    </row>
    <row r="3895" spans="1:2" ht="12.5">
      <c r="A3895" s="5"/>
      <c r="B3895" s="7"/>
    </row>
    <row r="3896" spans="1:2" ht="12.5">
      <c r="A3896" s="5"/>
      <c r="B3896" s="7"/>
    </row>
    <row r="3897" spans="1:2" ht="12.5">
      <c r="A3897" s="5"/>
      <c r="B3897" s="7"/>
    </row>
    <row r="3898" spans="1:2" ht="12.5">
      <c r="A3898" s="5"/>
      <c r="B3898" s="7"/>
    </row>
    <row r="3899" spans="1:2" ht="12.5">
      <c r="A3899" s="5"/>
      <c r="B3899" s="7"/>
    </row>
    <row r="3900" spans="1:2" ht="12.5">
      <c r="A3900" s="5"/>
      <c r="B3900" s="7"/>
    </row>
    <row r="3901" spans="1:2" ht="12.5">
      <c r="A3901" s="5"/>
      <c r="B3901" s="7"/>
    </row>
    <row r="3902" spans="1:2" ht="12.5">
      <c r="A3902" s="5"/>
      <c r="B3902" s="7"/>
    </row>
    <row r="3903" spans="1:2" ht="12.5">
      <c r="A3903" s="5"/>
      <c r="B3903" s="7"/>
    </row>
    <row r="3904" spans="1:2" ht="12.5">
      <c r="A3904" s="5"/>
      <c r="B3904" s="7"/>
    </row>
    <row r="3905" spans="1:2" ht="12.5">
      <c r="A3905" s="5"/>
      <c r="B3905" s="7"/>
    </row>
    <row r="3906" spans="1:2" ht="12.5">
      <c r="A3906" s="5"/>
      <c r="B3906" s="7"/>
    </row>
    <row r="3907" spans="1:2" ht="12.5">
      <c r="A3907" s="5"/>
      <c r="B3907" s="7"/>
    </row>
    <row r="3908" spans="1:2" ht="12.5">
      <c r="A3908" s="5"/>
      <c r="B3908" s="7"/>
    </row>
    <row r="3909" spans="1:2" ht="12.5">
      <c r="A3909" s="5"/>
      <c r="B3909" s="7"/>
    </row>
    <row r="3910" spans="1:2" ht="12.5">
      <c r="A3910" s="5"/>
      <c r="B3910" s="7"/>
    </row>
    <row r="3911" spans="1:2" ht="12.5">
      <c r="A3911" s="5"/>
      <c r="B3911" s="7"/>
    </row>
    <row r="3912" spans="1:2" ht="12.5">
      <c r="A3912" s="5"/>
      <c r="B3912" s="7"/>
    </row>
    <row r="3913" spans="1:2" ht="12.5">
      <c r="A3913" s="5"/>
      <c r="B3913" s="7"/>
    </row>
    <row r="3914" spans="1:2" ht="12.5">
      <c r="A3914" s="5"/>
      <c r="B3914" s="7"/>
    </row>
    <row r="3915" spans="1:2" ht="12.5">
      <c r="A3915" s="5"/>
      <c r="B3915" s="7"/>
    </row>
    <row r="3916" spans="1:2" ht="12.5">
      <c r="A3916" s="5"/>
      <c r="B3916" s="7"/>
    </row>
    <row r="3917" spans="1:2" ht="12.5">
      <c r="A3917" s="5"/>
      <c r="B3917" s="7"/>
    </row>
    <row r="3918" spans="1:2" ht="12.5">
      <c r="A3918" s="5"/>
      <c r="B3918" s="7"/>
    </row>
    <row r="3919" spans="1:2" ht="12.5">
      <c r="A3919" s="5"/>
      <c r="B3919" s="7"/>
    </row>
    <row r="3920" spans="1:2" ht="12.5">
      <c r="A3920" s="5"/>
      <c r="B3920" s="7"/>
    </row>
    <row r="3921" spans="1:2" ht="12.5">
      <c r="A3921" s="5"/>
      <c r="B3921" s="7"/>
    </row>
    <row r="3922" spans="1:2" ht="12.5">
      <c r="A3922" s="5"/>
      <c r="B3922" s="7"/>
    </row>
    <row r="3923" spans="1:2" ht="12.5">
      <c r="A3923" s="5"/>
      <c r="B3923" s="7"/>
    </row>
    <row r="3924" spans="1:2" ht="12.5">
      <c r="A3924" s="5"/>
      <c r="B3924" s="7"/>
    </row>
    <row r="3925" spans="1:2" ht="12.5">
      <c r="A3925" s="5"/>
      <c r="B3925" s="7"/>
    </row>
    <row r="3926" spans="1:2" ht="12.5">
      <c r="A3926" s="5"/>
      <c r="B3926" s="7"/>
    </row>
    <row r="3927" spans="1:2" ht="12.5">
      <c r="A3927" s="5"/>
      <c r="B3927" s="7"/>
    </row>
    <row r="3928" spans="1:2" ht="12.5">
      <c r="A3928" s="5"/>
      <c r="B3928" s="7"/>
    </row>
    <row r="3929" spans="1:2" ht="12.5">
      <c r="A3929" s="5"/>
      <c r="B3929" s="7"/>
    </row>
    <row r="3930" spans="1:2" ht="12.5">
      <c r="A3930" s="5"/>
      <c r="B3930" s="7"/>
    </row>
    <row r="3931" spans="1:2" ht="12.5">
      <c r="A3931" s="5"/>
      <c r="B3931" s="7"/>
    </row>
    <row r="3932" spans="1:2" ht="12.5">
      <c r="A3932" s="5"/>
      <c r="B3932" s="7"/>
    </row>
    <row r="3933" spans="1:2" ht="12.5">
      <c r="A3933" s="5"/>
      <c r="B3933" s="7"/>
    </row>
    <row r="3934" spans="1:2" ht="12.5">
      <c r="A3934" s="5"/>
      <c r="B3934" s="7"/>
    </row>
    <row r="3935" spans="1:2" ht="12.5">
      <c r="A3935" s="5"/>
      <c r="B3935" s="7"/>
    </row>
    <row r="3936" spans="1:2" ht="12.5">
      <c r="A3936" s="5"/>
      <c r="B3936" s="7"/>
    </row>
    <row r="3937" spans="1:2" ht="12.5">
      <c r="A3937" s="5"/>
      <c r="B3937" s="7"/>
    </row>
    <row r="3938" spans="1:2" ht="12.5">
      <c r="A3938" s="5"/>
      <c r="B3938" s="7"/>
    </row>
    <row r="3939" spans="1:2" ht="12.5">
      <c r="A3939" s="5"/>
      <c r="B3939" s="7"/>
    </row>
    <row r="3940" spans="1:2" ht="12.5">
      <c r="A3940" s="5"/>
      <c r="B3940" s="7"/>
    </row>
    <row r="3941" spans="1:2" ht="12.5">
      <c r="A3941" s="5"/>
      <c r="B3941" s="7"/>
    </row>
    <row r="3942" spans="1:2" ht="12.5">
      <c r="A3942" s="5"/>
      <c r="B3942" s="7"/>
    </row>
    <row r="3943" spans="1:2" ht="12.5">
      <c r="A3943" s="5"/>
      <c r="B3943" s="7"/>
    </row>
    <row r="3944" spans="1:2" ht="12.5">
      <c r="A3944" s="5"/>
      <c r="B3944" s="7"/>
    </row>
    <row r="3945" spans="1:2" ht="12.5">
      <c r="A3945" s="5"/>
      <c r="B3945" s="7"/>
    </row>
    <row r="3946" spans="1:2" ht="12.5">
      <c r="A3946" s="5"/>
      <c r="B3946" s="7"/>
    </row>
    <row r="3947" spans="1:2" ht="12.5">
      <c r="A3947" s="5"/>
      <c r="B3947" s="7"/>
    </row>
    <row r="3948" spans="1:2" ht="12.5">
      <c r="A3948" s="5"/>
      <c r="B3948" s="7"/>
    </row>
    <row r="3949" spans="1:2" ht="12.5">
      <c r="A3949" s="5"/>
      <c r="B3949" s="7"/>
    </row>
    <row r="3950" spans="1:2" ht="12.5">
      <c r="A3950" s="5"/>
      <c r="B3950" s="7"/>
    </row>
    <row r="3951" spans="1:2" ht="12.5">
      <c r="A3951" s="5"/>
      <c r="B3951" s="7"/>
    </row>
    <row r="3952" spans="1:2" ht="12.5">
      <c r="A3952" s="5"/>
      <c r="B3952" s="7"/>
    </row>
    <row r="3953" spans="1:2" ht="12.5">
      <c r="A3953" s="5"/>
      <c r="B3953" s="7"/>
    </row>
    <row r="3954" spans="1:2" ht="12.5">
      <c r="A3954" s="5"/>
      <c r="B3954" s="7"/>
    </row>
    <row r="3955" spans="1:2" ht="12.5">
      <c r="A3955" s="5"/>
      <c r="B3955" s="7"/>
    </row>
    <row r="3956" spans="1:2" ht="12.5">
      <c r="A3956" s="5"/>
      <c r="B3956" s="7"/>
    </row>
    <row r="3957" spans="1:2" ht="12.5">
      <c r="A3957" s="5"/>
      <c r="B3957" s="7"/>
    </row>
    <row r="3958" spans="1:2" ht="12.5">
      <c r="A3958" s="5"/>
      <c r="B3958" s="7"/>
    </row>
    <row r="3959" spans="1:2" ht="12.5">
      <c r="A3959" s="5"/>
      <c r="B3959" s="7"/>
    </row>
    <row r="3960" spans="1:2" ht="12.5">
      <c r="A3960" s="5"/>
      <c r="B3960" s="7"/>
    </row>
    <row r="3961" spans="1:2" ht="12.5">
      <c r="A3961" s="5"/>
      <c r="B3961" s="7"/>
    </row>
    <row r="3962" spans="1:2" ht="12.5">
      <c r="A3962" s="5"/>
      <c r="B3962" s="7"/>
    </row>
    <row r="3963" spans="1:2" ht="12.5">
      <c r="A3963" s="5"/>
      <c r="B3963" s="7"/>
    </row>
    <row r="3964" spans="1:2" ht="12.5">
      <c r="A3964" s="5"/>
      <c r="B3964" s="7"/>
    </row>
    <row r="3965" spans="1:2" ht="12.5">
      <c r="A3965" s="5"/>
      <c r="B3965" s="7"/>
    </row>
    <row r="3966" spans="1:2" ht="12.5">
      <c r="A3966" s="5"/>
      <c r="B3966" s="7"/>
    </row>
    <row r="3967" spans="1:2" ht="12.5">
      <c r="A3967" s="5"/>
      <c r="B3967" s="7"/>
    </row>
    <row r="3968" spans="1:2" ht="12.5">
      <c r="A3968" s="5"/>
      <c r="B3968" s="7"/>
    </row>
    <row r="3969" spans="1:2" ht="12.5">
      <c r="A3969" s="5"/>
      <c r="B3969" s="7"/>
    </row>
    <row r="3970" spans="1:2" ht="12.5">
      <c r="A3970" s="5"/>
      <c r="B3970" s="7"/>
    </row>
    <row r="3971" spans="1:2" ht="12.5">
      <c r="A3971" s="5"/>
      <c r="B3971" s="7"/>
    </row>
    <row r="3972" spans="1:2" ht="12.5">
      <c r="A3972" s="5"/>
      <c r="B3972" s="7"/>
    </row>
    <row r="3973" spans="1:2" ht="12.5">
      <c r="A3973" s="5"/>
      <c r="B3973" s="7"/>
    </row>
    <row r="3974" spans="1:2" ht="12.5">
      <c r="A3974" s="5"/>
      <c r="B3974" s="7"/>
    </row>
    <row r="3975" spans="1:2" ht="12.5">
      <c r="A3975" s="5"/>
      <c r="B3975" s="7"/>
    </row>
    <row r="3976" spans="1:2" ht="12.5">
      <c r="A3976" s="5"/>
      <c r="B3976" s="7"/>
    </row>
    <row r="3977" spans="1:2" ht="12.5">
      <c r="A3977" s="5"/>
      <c r="B3977" s="7"/>
    </row>
    <row r="3978" spans="1:2" ht="12.5">
      <c r="A3978" s="5"/>
      <c r="B3978" s="7"/>
    </row>
    <row r="3979" spans="1:2" ht="12.5">
      <c r="A3979" s="5"/>
      <c r="B3979" s="7"/>
    </row>
    <row r="3980" spans="1:2" ht="12.5">
      <c r="A3980" s="5"/>
      <c r="B3980" s="7"/>
    </row>
    <row r="3981" spans="1:2" ht="12.5">
      <c r="A3981" s="5"/>
      <c r="B3981" s="7"/>
    </row>
    <row r="3982" spans="1:2" ht="12.5">
      <c r="A3982" s="5"/>
      <c r="B3982" s="7"/>
    </row>
    <row r="3983" spans="1:2" ht="12.5">
      <c r="A3983" s="5"/>
      <c r="B3983" s="7"/>
    </row>
    <row r="3984" spans="1:2" ht="12.5">
      <c r="A3984" s="5"/>
      <c r="B3984" s="7"/>
    </row>
    <row r="3985" spans="1:2" ht="12.5">
      <c r="A3985" s="5"/>
      <c r="B3985" s="7"/>
    </row>
    <row r="3986" spans="1:2" ht="12.5">
      <c r="A3986" s="5"/>
      <c r="B3986" s="7"/>
    </row>
    <row r="3987" spans="1:2" ht="12.5">
      <c r="A3987" s="5"/>
      <c r="B3987" s="7"/>
    </row>
    <row r="3988" spans="1:2" ht="12.5">
      <c r="A3988" s="5"/>
      <c r="B3988" s="7"/>
    </row>
    <row r="3989" spans="1:2" ht="12.5">
      <c r="A3989" s="5"/>
      <c r="B3989" s="7"/>
    </row>
    <row r="3990" spans="1:2" ht="12.5">
      <c r="A3990" s="5"/>
      <c r="B3990" s="7"/>
    </row>
    <row r="3991" spans="1:2" ht="12.5">
      <c r="A3991" s="5"/>
      <c r="B3991" s="7"/>
    </row>
    <row r="3992" spans="1:2" ht="12.5">
      <c r="A3992" s="5"/>
      <c r="B3992" s="7"/>
    </row>
    <row r="3993" spans="1:2" ht="12.5">
      <c r="A3993" s="5"/>
      <c r="B3993" s="7"/>
    </row>
    <row r="3994" spans="1:2" ht="12.5">
      <c r="A3994" s="5"/>
      <c r="B3994" s="7"/>
    </row>
    <row r="3995" spans="1:2" ht="12.5">
      <c r="A3995" s="5"/>
      <c r="B3995" s="7"/>
    </row>
    <row r="3996" spans="1:2" ht="12.5">
      <c r="A3996" s="5"/>
      <c r="B3996" s="7"/>
    </row>
    <row r="3997" spans="1:2" ht="12.5">
      <c r="A3997" s="5"/>
      <c r="B3997" s="7"/>
    </row>
    <row r="3998" spans="1:2" ht="12.5">
      <c r="A3998" s="5"/>
      <c r="B3998" s="7"/>
    </row>
    <row r="3999" spans="1:2" ht="12.5">
      <c r="A3999" s="5"/>
      <c r="B3999" s="7"/>
    </row>
    <row r="4000" spans="1:2" ht="12.5">
      <c r="A4000" s="5"/>
      <c r="B4000" s="7"/>
    </row>
    <row r="4001" spans="1:2" ht="12.5">
      <c r="A4001" s="5"/>
      <c r="B4001" s="7"/>
    </row>
    <row r="4002" spans="1:2" ht="12.5">
      <c r="A4002" s="5"/>
      <c r="B4002" s="7"/>
    </row>
    <row r="4003" spans="1:2" ht="12.5">
      <c r="A4003" s="5"/>
      <c r="B4003" s="7"/>
    </row>
    <row r="4004" spans="1:2" ht="12.5">
      <c r="A4004" s="5"/>
      <c r="B4004" s="7"/>
    </row>
    <row r="4005" spans="1:2" ht="12.5">
      <c r="A4005" s="5"/>
      <c r="B4005" s="7"/>
    </row>
    <row r="4006" spans="1:2" ht="12.5">
      <c r="A4006" s="5"/>
      <c r="B4006" s="7"/>
    </row>
    <row r="4007" spans="1:2" ht="12.5">
      <c r="A4007" s="5"/>
      <c r="B4007" s="7"/>
    </row>
    <row r="4008" spans="1:2" ht="12.5">
      <c r="A4008" s="5"/>
      <c r="B4008" s="7"/>
    </row>
    <row r="4009" spans="1:2" ht="12.5">
      <c r="A4009" s="5"/>
      <c r="B4009" s="7"/>
    </row>
    <row r="4010" spans="1:2" ht="12.5">
      <c r="A4010" s="5"/>
      <c r="B4010" s="7"/>
    </row>
    <row r="4011" spans="1:2" ht="12.5">
      <c r="A4011" s="5"/>
      <c r="B4011" s="7"/>
    </row>
    <row r="4012" spans="1:2" ht="12.5">
      <c r="A4012" s="5"/>
      <c r="B4012" s="7"/>
    </row>
    <row r="4013" spans="1:2" ht="12.5">
      <c r="A4013" s="5"/>
      <c r="B4013" s="7"/>
    </row>
    <row r="4014" spans="1:2" ht="12.5">
      <c r="A4014" s="5"/>
      <c r="B4014" s="7"/>
    </row>
    <row r="4015" spans="1:2" ht="12.5">
      <c r="A4015" s="5"/>
      <c r="B4015" s="7"/>
    </row>
    <row r="4016" spans="1:2" ht="12.5">
      <c r="A4016" s="5"/>
      <c r="B4016" s="7"/>
    </row>
    <row r="4017" spans="1:2" ht="12.5">
      <c r="A4017" s="5"/>
      <c r="B4017" s="7"/>
    </row>
    <row r="4018" spans="1:2" ht="12.5">
      <c r="A4018" s="5"/>
      <c r="B4018" s="7"/>
    </row>
    <row r="4019" spans="1:2" ht="12.5">
      <c r="A4019" s="5"/>
      <c r="B4019" s="7"/>
    </row>
    <row r="4020" spans="1:2" ht="12.5">
      <c r="A4020" s="5"/>
      <c r="B4020" s="7"/>
    </row>
    <row r="4021" spans="1:2" ht="12.5">
      <c r="A4021" s="5"/>
      <c r="B4021" s="7"/>
    </row>
    <row r="4022" spans="1:2" ht="12.5">
      <c r="A4022" s="5"/>
      <c r="B4022" s="7"/>
    </row>
    <row r="4023" spans="1:2" ht="12.5">
      <c r="A4023" s="5"/>
      <c r="B4023" s="7"/>
    </row>
    <row r="4024" spans="1:2" ht="12.5">
      <c r="A4024" s="5"/>
      <c r="B4024" s="7"/>
    </row>
    <row r="4025" spans="1:2" ht="12.5">
      <c r="A4025" s="5"/>
      <c r="B4025" s="7"/>
    </row>
    <row r="4026" spans="1:2" ht="12.5">
      <c r="A4026" s="5"/>
      <c r="B4026" s="7"/>
    </row>
    <row r="4027" spans="1:2" ht="12.5">
      <c r="A4027" s="5"/>
      <c r="B4027" s="7"/>
    </row>
    <row r="4028" spans="1:2" ht="12.5">
      <c r="A4028" s="5"/>
      <c r="B4028" s="7"/>
    </row>
    <row r="4029" spans="1:2" ht="12.5">
      <c r="A4029" s="5"/>
      <c r="B4029" s="7"/>
    </row>
    <row r="4030" spans="1:2" ht="12.5">
      <c r="A4030" s="5"/>
      <c r="B4030" s="7"/>
    </row>
    <row r="4031" spans="1:2" ht="12.5">
      <c r="A4031" s="5"/>
      <c r="B4031" s="7"/>
    </row>
    <row r="4032" spans="1:2" ht="12.5">
      <c r="A4032" s="5"/>
      <c r="B4032" s="7"/>
    </row>
    <row r="4033" spans="1:2" ht="12.5">
      <c r="A4033" s="5"/>
      <c r="B4033" s="7"/>
    </row>
    <row r="4034" spans="1:2" ht="12.5">
      <c r="A4034" s="5"/>
      <c r="B4034" s="7"/>
    </row>
    <row r="4035" spans="1:2" ht="12.5">
      <c r="A4035" s="5"/>
      <c r="B4035" s="7"/>
    </row>
    <row r="4036" spans="1:2" ht="12.5">
      <c r="A4036" s="5"/>
      <c r="B4036" s="7"/>
    </row>
    <row r="4037" spans="1:2" ht="12.5">
      <c r="A4037" s="5"/>
      <c r="B4037" s="7"/>
    </row>
    <row r="4038" spans="1:2" ht="12.5">
      <c r="A4038" s="5"/>
      <c r="B4038" s="7"/>
    </row>
    <row r="4039" spans="1:2" ht="12.5">
      <c r="A4039" s="5"/>
      <c r="B4039" s="7"/>
    </row>
    <row r="4040" spans="1:2" ht="12.5">
      <c r="A4040" s="5"/>
      <c r="B4040" s="7"/>
    </row>
    <row r="4041" spans="1:2" ht="12.5">
      <c r="A4041" s="5"/>
      <c r="B4041" s="7"/>
    </row>
    <row r="4042" spans="1:2" ht="12.5">
      <c r="A4042" s="5"/>
      <c r="B4042" s="7"/>
    </row>
    <row r="4043" spans="1:2" ht="12.5">
      <c r="A4043" s="5"/>
      <c r="B4043" s="7"/>
    </row>
    <row r="4044" spans="1:2" ht="12.5">
      <c r="A4044" s="5"/>
      <c r="B4044" s="7"/>
    </row>
    <row r="4045" spans="1:2" ht="12.5">
      <c r="A4045" s="5"/>
      <c r="B4045" s="7"/>
    </row>
    <row r="4046" spans="1:2" ht="12.5">
      <c r="A4046" s="5"/>
      <c r="B4046" s="7"/>
    </row>
    <row r="4047" spans="1:2" ht="12.5">
      <c r="A4047" s="5"/>
      <c r="B4047" s="7"/>
    </row>
    <row r="4048" spans="1:2" ht="12.5">
      <c r="A4048" s="5"/>
      <c r="B4048" s="7"/>
    </row>
    <row r="4049" spans="1:2" ht="12.5">
      <c r="A4049" s="5"/>
      <c r="B4049" s="7"/>
    </row>
    <row r="4050" spans="1:2" ht="12.5">
      <c r="A4050" s="5"/>
      <c r="B4050" s="7"/>
    </row>
    <row r="4051" spans="1:2" ht="12.5">
      <c r="A4051" s="5"/>
      <c r="B4051" s="7"/>
    </row>
    <row r="4052" spans="1:2" ht="12.5">
      <c r="A4052" s="5"/>
      <c r="B4052" s="7"/>
    </row>
    <row r="4053" spans="1:2" ht="12.5">
      <c r="A4053" s="5"/>
      <c r="B4053" s="7"/>
    </row>
    <row r="4054" spans="1:2" ht="12.5">
      <c r="A4054" s="5"/>
      <c r="B4054" s="7"/>
    </row>
    <row r="4055" spans="1:2" ht="12.5">
      <c r="A4055" s="5"/>
      <c r="B4055" s="7"/>
    </row>
    <row r="4056" spans="1:2" ht="12.5">
      <c r="A4056" s="5"/>
      <c r="B4056" s="7"/>
    </row>
    <row r="4057" spans="1:2" ht="12.5">
      <c r="A4057" s="5"/>
      <c r="B4057" s="7"/>
    </row>
    <row r="4058" spans="1:2" ht="12.5">
      <c r="A4058" s="5"/>
      <c r="B4058" s="7"/>
    </row>
    <row r="4059" spans="1:2" ht="12.5">
      <c r="A4059" s="5"/>
      <c r="B4059" s="7"/>
    </row>
    <row r="4060" spans="1:2" ht="12.5">
      <c r="A4060" s="5"/>
      <c r="B4060" s="7"/>
    </row>
    <row r="4061" spans="1:2" ht="12.5">
      <c r="A4061" s="5"/>
      <c r="B4061" s="7"/>
    </row>
    <row r="4062" spans="1:2" ht="12.5">
      <c r="A4062" s="5"/>
      <c r="B4062" s="7"/>
    </row>
    <row r="4063" spans="1:2" ht="12.5">
      <c r="A4063" s="5"/>
      <c r="B4063" s="7"/>
    </row>
    <row r="4064" spans="1:2" ht="12.5">
      <c r="A4064" s="5"/>
      <c r="B4064" s="7"/>
    </row>
    <row r="4065" spans="1:2" ht="12.5">
      <c r="A4065" s="5"/>
      <c r="B4065" s="7"/>
    </row>
    <row r="4066" spans="1:2" ht="12.5">
      <c r="A4066" s="5"/>
      <c r="B4066" s="7"/>
    </row>
    <row r="4067" spans="1:2" ht="12.5">
      <c r="A4067" s="5"/>
      <c r="B4067" s="7"/>
    </row>
    <row r="4068" spans="1:2" ht="12.5">
      <c r="A4068" s="5"/>
      <c r="B4068" s="7"/>
    </row>
    <row r="4069" spans="1:2" ht="12.5">
      <c r="A4069" s="5"/>
      <c r="B4069" s="7"/>
    </row>
    <row r="4070" spans="1:2" ht="12.5">
      <c r="A4070" s="5"/>
      <c r="B4070" s="7"/>
    </row>
    <row r="4071" spans="1:2" ht="12.5">
      <c r="A4071" s="5"/>
      <c r="B4071" s="7"/>
    </row>
    <row r="4072" spans="1:2" ht="12.5">
      <c r="A4072" s="5"/>
      <c r="B4072" s="7"/>
    </row>
    <row r="4073" spans="1:2" ht="12.5">
      <c r="A4073" s="5"/>
      <c r="B4073" s="7"/>
    </row>
    <row r="4074" spans="1:2" ht="12.5">
      <c r="A4074" s="5"/>
      <c r="B4074" s="7"/>
    </row>
    <row r="4075" spans="1:2" ht="12.5">
      <c r="A4075" s="5"/>
      <c r="B4075" s="7"/>
    </row>
    <row r="4076" spans="1:2" ht="12.5">
      <c r="A4076" s="5"/>
      <c r="B4076" s="7"/>
    </row>
    <row r="4077" spans="1:2" ht="12.5">
      <c r="A4077" s="5"/>
      <c r="B4077" s="7"/>
    </row>
    <row r="4078" spans="1:2" ht="12.5">
      <c r="A4078" s="5"/>
      <c r="B4078" s="7"/>
    </row>
    <row r="4079" spans="1:2" ht="12.5">
      <c r="A4079" s="5"/>
      <c r="B4079" s="7"/>
    </row>
    <row r="4080" spans="1:2" ht="12.5">
      <c r="A4080" s="5"/>
      <c r="B4080" s="7"/>
    </row>
    <row r="4081" spans="1:2" ht="12.5">
      <c r="A4081" s="5"/>
      <c r="B4081" s="7"/>
    </row>
    <row r="4082" spans="1:2" ht="12.5">
      <c r="A4082" s="5"/>
      <c r="B4082" s="7"/>
    </row>
    <row r="4083" spans="1:2" ht="12.5">
      <c r="A4083" s="5"/>
      <c r="B4083" s="7"/>
    </row>
    <row r="4084" spans="1:2" ht="12.5">
      <c r="A4084" s="5"/>
      <c r="B4084" s="7"/>
    </row>
    <row r="4085" spans="1:2" ht="12.5">
      <c r="A4085" s="5"/>
      <c r="B4085" s="7"/>
    </row>
    <row r="4086" spans="1:2" ht="12.5">
      <c r="A4086" s="5"/>
      <c r="B4086" s="7"/>
    </row>
    <row r="4087" spans="1:2" ht="12.5">
      <c r="A4087" s="5"/>
      <c r="B4087" s="7"/>
    </row>
    <row r="4088" spans="1:2" ht="12.5">
      <c r="A4088" s="5"/>
      <c r="B4088" s="7"/>
    </row>
    <row r="4089" spans="1:2" ht="12.5">
      <c r="A4089" s="5"/>
      <c r="B4089" s="7"/>
    </row>
    <row r="4090" spans="1:2" ht="12.5">
      <c r="A4090" s="5"/>
      <c r="B4090" s="7"/>
    </row>
    <row r="4091" spans="1:2" ht="12.5">
      <c r="A4091" s="5"/>
      <c r="B4091" s="7"/>
    </row>
    <row r="4092" spans="1:2" ht="12.5">
      <c r="A4092" s="5"/>
      <c r="B4092" s="7"/>
    </row>
    <row r="4093" spans="1:2" ht="12.5">
      <c r="A4093" s="5"/>
      <c r="B4093" s="7"/>
    </row>
    <row r="4094" spans="1:2" ht="12.5">
      <c r="A4094" s="5"/>
      <c r="B4094" s="7"/>
    </row>
    <row r="4095" spans="1:2" ht="12.5">
      <c r="A4095" s="5"/>
      <c r="B4095" s="7"/>
    </row>
    <row r="4096" spans="1:2" ht="12.5">
      <c r="A4096" s="5"/>
      <c r="B4096" s="7"/>
    </row>
    <row r="4097" spans="1:2" ht="12.5">
      <c r="A4097" s="5"/>
      <c r="B4097" s="7"/>
    </row>
    <row r="4098" spans="1:2" ht="12.5">
      <c r="A4098" s="5"/>
      <c r="B4098" s="7"/>
    </row>
    <row r="4099" spans="1:2" ht="12.5">
      <c r="A4099" s="5"/>
      <c r="B4099" s="7"/>
    </row>
    <row r="4100" spans="1:2" ht="12.5">
      <c r="A4100" s="5"/>
      <c r="B4100" s="7"/>
    </row>
    <row r="4101" spans="1:2" ht="12.5">
      <c r="A4101" s="5"/>
      <c r="B4101" s="7"/>
    </row>
    <row r="4102" spans="1:2" ht="12.5">
      <c r="A4102" s="5"/>
      <c r="B4102" s="7"/>
    </row>
    <row r="4103" spans="1:2" ht="12.5">
      <c r="A4103" s="5"/>
      <c r="B4103" s="7"/>
    </row>
    <row r="4104" spans="1:2" ht="12.5">
      <c r="A4104" s="5"/>
      <c r="B4104" s="7"/>
    </row>
    <row r="4105" spans="1:2" ht="12.5">
      <c r="A4105" s="5"/>
      <c r="B4105" s="7"/>
    </row>
    <row r="4106" spans="1:2" ht="12.5">
      <c r="A4106" s="5"/>
      <c r="B4106" s="7"/>
    </row>
    <row r="4107" spans="1:2" ht="12.5">
      <c r="A4107" s="5"/>
      <c r="B4107" s="7"/>
    </row>
    <row r="4108" spans="1:2" ht="12.5">
      <c r="A4108" s="5"/>
      <c r="B4108" s="7"/>
    </row>
    <row r="4109" spans="1:2" ht="12.5">
      <c r="A4109" s="5"/>
      <c r="B4109" s="7"/>
    </row>
    <row r="4110" spans="1:2" ht="12.5">
      <c r="A4110" s="5"/>
      <c r="B4110" s="7"/>
    </row>
    <row r="4111" spans="1:2" ht="12.5">
      <c r="A4111" s="5"/>
      <c r="B4111" s="7"/>
    </row>
    <row r="4112" spans="1:2" ht="12.5">
      <c r="A4112" s="5"/>
      <c r="B4112" s="7"/>
    </row>
    <row r="4113" spans="1:2" ht="12.5">
      <c r="A4113" s="5"/>
      <c r="B4113" s="7"/>
    </row>
    <row r="4114" spans="1:2" ht="12.5">
      <c r="A4114" s="5"/>
      <c r="B4114" s="7"/>
    </row>
    <row r="4115" spans="1:2" ht="12.5">
      <c r="A4115" s="5"/>
      <c r="B4115" s="7"/>
    </row>
    <row r="4116" spans="1:2" ht="12.5">
      <c r="A4116" s="5"/>
      <c r="B4116" s="7"/>
    </row>
    <row r="4117" spans="1:2" ht="12.5">
      <c r="A4117" s="5"/>
      <c r="B4117" s="7"/>
    </row>
    <row r="4118" spans="1:2" ht="12.5">
      <c r="A4118" s="5"/>
      <c r="B4118" s="7"/>
    </row>
    <row r="4119" spans="1:2" ht="12.5">
      <c r="A4119" s="5"/>
      <c r="B4119" s="7"/>
    </row>
    <row r="4120" spans="1:2" ht="12.5">
      <c r="A4120" s="5"/>
      <c r="B4120" s="7"/>
    </row>
    <row r="4121" spans="1:2" ht="12.5">
      <c r="A4121" s="5"/>
      <c r="B4121" s="7"/>
    </row>
    <row r="4122" spans="1:2" ht="12.5">
      <c r="A4122" s="5"/>
      <c r="B4122" s="7"/>
    </row>
    <row r="4123" spans="1:2" ht="12.5">
      <c r="A4123" s="5"/>
      <c r="B4123" s="7"/>
    </row>
    <row r="4124" spans="1:2" ht="12.5">
      <c r="A4124" s="5"/>
      <c r="B4124" s="7"/>
    </row>
    <row r="4125" spans="1:2" ht="12.5">
      <c r="A4125" s="5"/>
      <c r="B4125" s="7"/>
    </row>
    <row r="4126" spans="1:2" ht="12.5">
      <c r="A4126" s="5"/>
      <c r="B4126" s="7"/>
    </row>
    <row r="4127" spans="1:2" ht="12.5">
      <c r="A4127" s="5"/>
      <c r="B4127" s="7"/>
    </row>
    <row r="4128" spans="1:2" ht="12.5">
      <c r="A4128" s="5"/>
      <c r="B4128" s="7"/>
    </row>
    <row r="4129" spans="1:2" ht="12.5">
      <c r="A4129" s="5"/>
      <c r="B4129" s="7"/>
    </row>
    <row r="4130" spans="1:2" ht="12.5">
      <c r="A4130" s="5"/>
      <c r="B4130" s="7"/>
    </row>
    <row r="4131" spans="1:2" ht="12.5">
      <c r="A4131" s="5"/>
      <c r="B4131" s="7"/>
    </row>
    <row r="4132" spans="1:2" ht="12.5">
      <c r="A4132" s="5"/>
      <c r="B4132" s="7"/>
    </row>
    <row r="4133" spans="1:2" ht="12.5">
      <c r="A4133" s="5"/>
      <c r="B4133" s="7"/>
    </row>
    <row r="4134" spans="1:2" ht="12.5">
      <c r="A4134" s="5"/>
      <c r="B4134" s="7"/>
    </row>
    <row r="4135" spans="1:2" ht="12.5">
      <c r="A4135" s="5"/>
      <c r="B4135" s="7"/>
    </row>
    <row r="4136" spans="1:2" ht="12.5">
      <c r="A4136" s="5"/>
      <c r="B4136" s="7"/>
    </row>
    <row r="4137" spans="1:2" ht="12.5">
      <c r="A4137" s="5"/>
      <c r="B4137" s="7"/>
    </row>
    <row r="4138" spans="1:2" ht="12.5">
      <c r="A4138" s="5"/>
      <c r="B4138" s="7"/>
    </row>
    <row r="4139" spans="1:2" ht="12.5">
      <c r="A4139" s="5"/>
      <c r="B4139" s="7"/>
    </row>
    <row r="4140" spans="1:2" ht="12.5">
      <c r="A4140" s="5"/>
      <c r="B4140" s="7"/>
    </row>
    <row r="4141" spans="1:2" ht="12.5">
      <c r="A4141" s="5"/>
      <c r="B4141" s="7"/>
    </row>
    <row r="4142" spans="1:2" ht="12.5">
      <c r="A4142" s="5"/>
      <c r="B4142" s="7"/>
    </row>
    <row r="4143" spans="1:2" ht="12.5">
      <c r="A4143" s="5"/>
      <c r="B4143" s="7"/>
    </row>
    <row r="4144" spans="1:2" ht="12.5">
      <c r="A4144" s="5"/>
      <c r="B4144" s="7"/>
    </row>
    <row r="4145" spans="1:2" ht="12.5">
      <c r="A4145" s="5"/>
      <c r="B4145" s="7"/>
    </row>
    <row r="4146" spans="1:2" ht="12.5">
      <c r="A4146" s="5"/>
      <c r="B4146" s="7"/>
    </row>
    <row r="4147" spans="1:2" ht="12.5">
      <c r="A4147" s="5"/>
      <c r="B4147" s="7"/>
    </row>
    <row r="4148" spans="1:2" ht="12.5">
      <c r="A4148" s="5"/>
      <c r="B4148" s="7"/>
    </row>
    <row r="4149" spans="1:2" ht="12.5">
      <c r="A4149" s="5"/>
      <c r="B4149" s="7"/>
    </row>
    <row r="4150" spans="1:2" ht="12.5">
      <c r="A4150" s="5"/>
      <c r="B4150" s="7"/>
    </row>
    <row r="4151" spans="1:2" ht="12.5">
      <c r="A4151" s="5"/>
      <c r="B4151" s="7"/>
    </row>
    <row r="4152" spans="1:2" ht="12.5">
      <c r="A4152" s="5"/>
      <c r="B4152" s="7"/>
    </row>
    <row r="4153" spans="1:2" ht="12.5">
      <c r="A4153" s="5"/>
      <c r="B4153" s="7"/>
    </row>
  </sheetData>
  <conditionalFormatting sqref="B1:B4153">
    <cfRule type="expression" dxfId="5" priority="1">
      <formula>COUNTIF(B:B,B1)&gt;1</formula>
    </cfRule>
  </conditionalFormatting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  <hyperlink ref="A128" r:id="rId127" xr:uid="{00000000-0004-0000-0100-00007E000000}"/>
    <hyperlink ref="A129" r:id="rId128" xr:uid="{00000000-0004-0000-0100-00007F000000}"/>
    <hyperlink ref="A130" r:id="rId129" xr:uid="{00000000-0004-0000-0100-000080000000}"/>
    <hyperlink ref="A131" r:id="rId130" xr:uid="{00000000-0004-0000-0100-000081000000}"/>
    <hyperlink ref="A132" r:id="rId131" xr:uid="{00000000-0004-0000-0100-000082000000}"/>
    <hyperlink ref="A133" r:id="rId132" xr:uid="{00000000-0004-0000-0100-000083000000}"/>
    <hyperlink ref="A134" r:id="rId133" xr:uid="{00000000-0004-0000-0100-000084000000}"/>
    <hyperlink ref="A135" r:id="rId134" xr:uid="{00000000-0004-0000-0100-000085000000}"/>
    <hyperlink ref="A136" r:id="rId135" xr:uid="{00000000-0004-0000-0100-000086000000}"/>
    <hyperlink ref="A137" r:id="rId136" xr:uid="{00000000-0004-0000-0100-000087000000}"/>
    <hyperlink ref="A138" r:id="rId137" xr:uid="{00000000-0004-0000-0100-000088000000}"/>
    <hyperlink ref="A139" r:id="rId138" xr:uid="{00000000-0004-0000-0100-000089000000}"/>
    <hyperlink ref="A140" r:id="rId139" xr:uid="{00000000-0004-0000-0100-00008A000000}"/>
    <hyperlink ref="A141" r:id="rId140" xr:uid="{00000000-0004-0000-0100-00008B000000}"/>
    <hyperlink ref="A142" r:id="rId141" xr:uid="{00000000-0004-0000-0100-00008C000000}"/>
    <hyperlink ref="A143" r:id="rId142" xr:uid="{00000000-0004-0000-0100-00008D000000}"/>
    <hyperlink ref="A144" r:id="rId143" xr:uid="{00000000-0004-0000-0100-00008E000000}"/>
    <hyperlink ref="A145" r:id="rId144" xr:uid="{00000000-0004-0000-0100-00008F000000}"/>
    <hyperlink ref="A146" r:id="rId145" xr:uid="{00000000-0004-0000-0100-000090000000}"/>
    <hyperlink ref="A147" r:id="rId146" xr:uid="{00000000-0004-0000-0100-000091000000}"/>
    <hyperlink ref="A148" r:id="rId147" xr:uid="{00000000-0004-0000-0100-000092000000}"/>
    <hyperlink ref="A149" r:id="rId148" xr:uid="{00000000-0004-0000-0100-000093000000}"/>
    <hyperlink ref="A150" r:id="rId149" xr:uid="{00000000-0004-0000-0100-000094000000}"/>
    <hyperlink ref="A151" r:id="rId150" xr:uid="{00000000-0004-0000-0100-000095000000}"/>
    <hyperlink ref="A152" r:id="rId151" xr:uid="{00000000-0004-0000-0100-000096000000}"/>
    <hyperlink ref="A153" r:id="rId152" xr:uid="{00000000-0004-0000-0100-000097000000}"/>
    <hyperlink ref="A154" r:id="rId153" xr:uid="{00000000-0004-0000-0100-000098000000}"/>
    <hyperlink ref="A155" r:id="rId154" xr:uid="{00000000-0004-0000-0100-000099000000}"/>
    <hyperlink ref="A156" r:id="rId155" xr:uid="{00000000-0004-0000-0100-00009A000000}"/>
    <hyperlink ref="A157" r:id="rId156" xr:uid="{00000000-0004-0000-0100-00009B000000}"/>
    <hyperlink ref="A158" r:id="rId157" xr:uid="{00000000-0004-0000-0100-00009C000000}"/>
    <hyperlink ref="A159" r:id="rId158" xr:uid="{00000000-0004-0000-0100-00009D000000}"/>
    <hyperlink ref="A160" r:id="rId159" xr:uid="{00000000-0004-0000-0100-00009E000000}"/>
    <hyperlink ref="A161" r:id="rId160" xr:uid="{00000000-0004-0000-0100-00009F000000}"/>
    <hyperlink ref="A162" r:id="rId161" xr:uid="{00000000-0004-0000-0100-0000A0000000}"/>
    <hyperlink ref="A163" r:id="rId162" xr:uid="{00000000-0004-0000-0100-0000A1000000}"/>
    <hyperlink ref="A164" r:id="rId163" xr:uid="{00000000-0004-0000-0100-0000A2000000}"/>
    <hyperlink ref="A165" r:id="rId164" xr:uid="{00000000-0004-0000-0100-0000A3000000}"/>
    <hyperlink ref="A166" r:id="rId165" xr:uid="{00000000-0004-0000-0100-0000A4000000}"/>
    <hyperlink ref="A167" r:id="rId166" xr:uid="{00000000-0004-0000-0100-0000A5000000}"/>
    <hyperlink ref="A168" r:id="rId167" xr:uid="{00000000-0004-0000-0100-0000A6000000}"/>
    <hyperlink ref="A169" r:id="rId168" xr:uid="{00000000-0004-0000-0100-0000A7000000}"/>
    <hyperlink ref="A170" r:id="rId169" xr:uid="{00000000-0004-0000-0100-0000A8000000}"/>
    <hyperlink ref="A171" r:id="rId170" xr:uid="{00000000-0004-0000-0100-0000A9000000}"/>
    <hyperlink ref="A172" r:id="rId171" xr:uid="{00000000-0004-0000-0100-0000AA000000}"/>
    <hyperlink ref="A173" r:id="rId172" xr:uid="{00000000-0004-0000-0100-0000AB000000}"/>
    <hyperlink ref="A174" r:id="rId173" xr:uid="{00000000-0004-0000-0100-0000AC000000}"/>
    <hyperlink ref="A175" r:id="rId174" xr:uid="{00000000-0004-0000-0100-0000AD000000}"/>
    <hyperlink ref="A176" r:id="rId175" xr:uid="{00000000-0004-0000-0100-0000AE000000}"/>
    <hyperlink ref="A177" r:id="rId176" xr:uid="{00000000-0004-0000-0100-0000AF000000}"/>
    <hyperlink ref="A178" r:id="rId177" xr:uid="{00000000-0004-0000-0100-0000B0000000}"/>
    <hyperlink ref="A179" r:id="rId178" xr:uid="{00000000-0004-0000-0100-0000B1000000}"/>
    <hyperlink ref="A180" r:id="rId179" xr:uid="{00000000-0004-0000-0100-0000B2000000}"/>
    <hyperlink ref="A181" r:id="rId180" xr:uid="{00000000-0004-0000-0100-0000B3000000}"/>
    <hyperlink ref="A182" r:id="rId181" xr:uid="{00000000-0004-0000-0100-0000B4000000}"/>
    <hyperlink ref="A183" r:id="rId182" xr:uid="{00000000-0004-0000-0100-0000B5000000}"/>
    <hyperlink ref="A184" r:id="rId183" xr:uid="{00000000-0004-0000-0100-0000B6000000}"/>
    <hyperlink ref="A185" r:id="rId184" xr:uid="{00000000-0004-0000-0100-0000B7000000}"/>
    <hyperlink ref="A186" r:id="rId185" xr:uid="{00000000-0004-0000-0100-0000B8000000}"/>
    <hyperlink ref="A187" r:id="rId186" xr:uid="{00000000-0004-0000-0100-0000B9000000}"/>
    <hyperlink ref="A188" r:id="rId187" xr:uid="{00000000-0004-0000-0100-0000BA000000}"/>
    <hyperlink ref="A189" r:id="rId188" xr:uid="{00000000-0004-0000-0100-0000BB000000}"/>
    <hyperlink ref="A190" r:id="rId189" xr:uid="{00000000-0004-0000-0100-0000BC000000}"/>
    <hyperlink ref="A191" r:id="rId190" xr:uid="{00000000-0004-0000-0100-0000BD000000}"/>
    <hyperlink ref="A192" r:id="rId191" xr:uid="{00000000-0004-0000-0100-0000BE000000}"/>
    <hyperlink ref="A193" r:id="rId192" xr:uid="{00000000-0004-0000-0100-0000BF000000}"/>
    <hyperlink ref="A194" r:id="rId193" xr:uid="{00000000-0004-0000-0100-0000C0000000}"/>
    <hyperlink ref="A195" r:id="rId194" xr:uid="{00000000-0004-0000-0100-0000C1000000}"/>
    <hyperlink ref="A196" r:id="rId195" xr:uid="{00000000-0004-0000-0100-0000C2000000}"/>
    <hyperlink ref="A197" r:id="rId196" xr:uid="{00000000-0004-0000-0100-0000C3000000}"/>
    <hyperlink ref="A198" r:id="rId197" xr:uid="{00000000-0004-0000-0100-0000C4000000}"/>
    <hyperlink ref="A199" r:id="rId198" xr:uid="{00000000-0004-0000-0100-0000C5000000}"/>
    <hyperlink ref="A200" r:id="rId199" xr:uid="{00000000-0004-0000-0100-0000C6000000}"/>
    <hyperlink ref="A201" r:id="rId200" xr:uid="{00000000-0004-0000-0100-0000C7000000}"/>
    <hyperlink ref="A202" r:id="rId201" xr:uid="{00000000-0004-0000-0100-0000C8000000}"/>
    <hyperlink ref="A203" r:id="rId202" xr:uid="{00000000-0004-0000-0100-0000C9000000}"/>
    <hyperlink ref="A204" r:id="rId203" xr:uid="{00000000-0004-0000-0100-0000CA000000}"/>
    <hyperlink ref="A205" r:id="rId204" xr:uid="{00000000-0004-0000-0100-0000CB000000}"/>
    <hyperlink ref="A206" r:id="rId205" xr:uid="{00000000-0004-0000-0100-0000CC000000}"/>
    <hyperlink ref="A207" r:id="rId206" xr:uid="{00000000-0004-0000-0100-0000CD000000}"/>
    <hyperlink ref="A208" r:id="rId207" xr:uid="{00000000-0004-0000-0100-0000CE000000}"/>
    <hyperlink ref="A209" r:id="rId208" xr:uid="{00000000-0004-0000-0100-0000CF000000}"/>
    <hyperlink ref="A210" r:id="rId209" xr:uid="{00000000-0004-0000-0100-0000D0000000}"/>
    <hyperlink ref="A211" r:id="rId210" xr:uid="{00000000-0004-0000-0100-0000D1000000}"/>
    <hyperlink ref="A212" r:id="rId211" xr:uid="{00000000-0004-0000-0100-0000D2000000}"/>
    <hyperlink ref="A213" r:id="rId212" xr:uid="{00000000-0004-0000-0100-0000D3000000}"/>
    <hyperlink ref="A214" r:id="rId213" xr:uid="{00000000-0004-0000-0100-0000D4000000}"/>
    <hyperlink ref="A215" r:id="rId214" xr:uid="{00000000-0004-0000-0100-0000D5000000}"/>
    <hyperlink ref="A216" r:id="rId215" xr:uid="{00000000-0004-0000-0100-0000D6000000}"/>
    <hyperlink ref="A217" r:id="rId216" xr:uid="{00000000-0004-0000-0100-0000D7000000}"/>
    <hyperlink ref="A218" r:id="rId217" xr:uid="{00000000-0004-0000-0100-0000D8000000}"/>
    <hyperlink ref="A219" r:id="rId218" xr:uid="{00000000-0004-0000-0100-0000D9000000}"/>
    <hyperlink ref="A220" r:id="rId219" xr:uid="{00000000-0004-0000-0100-0000DA000000}"/>
    <hyperlink ref="A221" r:id="rId220" xr:uid="{00000000-0004-0000-0100-0000DB000000}"/>
    <hyperlink ref="A222" r:id="rId221" xr:uid="{00000000-0004-0000-0100-0000DC000000}"/>
    <hyperlink ref="A223" r:id="rId222" xr:uid="{00000000-0004-0000-0100-0000DD000000}"/>
    <hyperlink ref="A224" r:id="rId223" xr:uid="{00000000-0004-0000-0100-0000DE000000}"/>
    <hyperlink ref="A225" r:id="rId224" xr:uid="{00000000-0004-0000-0100-0000DF000000}"/>
    <hyperlink ref="A226" r:id="rId225" xr:uid="{00000000-0004-0000-0100-0000E0000000}"/>
    <hyperlink ref="A227" r:id="rId226" xr:uid="{00000000-0004-0000-0100-0000E1000000}"/>
    <hyperlink ref="A228" r:id="rId227" xr:uid="{00000000-0004-0000-0100-0000E2000000}"/>
    <hyperlink ref="A229" r:id="rId228" xr:uid="{00000000-0004-0000-0100-0000E3000000}"/>
    <hyperlink ref="A230" r:id="rId229" xr:uid="{00000000-0004-0000-0100-0000E4000000}"/>
    <hyperlink ref="A231" r:id="rId230" xr:uid="{00000000-0004-0000-0100-0000E5000000}"/>
    <hyperlink ref="A232" r:id="rId231" xr:uid="{00000000-0004-0000-0100-0000E6000000}"/>
    <hyperlink ref="A233" r:id="rId232" xr:uid="{00000000-0004-0000-0100-0000E7000000}"/>
    <hyperlink ref="A234" r:id="rId233" xr:uid="{00000000-0004-0000-0100-0000E8000000}"/>
    <hyperlink ref="A235" r:id="rId234" xr:uid="{00000000-0004-0000-0100-0000E9000000}"/>
    <hyperlink ref="A236" r:id="rId235" xr:uid="{00000000-0004-0000-0100-0000EA000000}"/>
    <hyperlink ref="A237" r:id="rId236" xr:uid="{00000000-0004-0000-0100-0000EB000000}"/>
    <hyperlink ref="A238" r:id="rId237" xr:uid="{00000000-0004-0000-0100-0000EC000000}"/>
    <hyperlink ref="A239" r:id="rId238" xr:uid="{00000000-0004-0000-0100-0000ED000000}"/>
    <hyperlink ref="A240" r:id="rId239" xr:uid="{00000000-0004-0000-0100-0000EE000000}"/>
    <hyperlink ref="A241" r:id="rId240" xr:uid="{00000000-0004-0000-0100-0000EF000000}"/>
    <hyperlink ref="A242" r:id="rId241" xr:uid="{00000000-0004-0000-0100-0000F0000000}"/>
    <hyperlink ref="A243" r:id="rId242" xr:uid="{00000000-0004-0000-0100-0000F1000000}"/>
    <hyperlink ref="A244" r:id="rId243" xr:uid="{00000000-0004-0000-0100-0000F2000000}"/>
    <hyperlink ref="A245" r:id="rId244" xr:uid="{00000000-0004-0000-0100-0000F3000000}"/>
    <hyperlink ref="A246" r:id="rId245" xr:uid="{00000000-0004-0000-0100-0000F4000000}"/>
    <hyperlink ref="A247" r:id="rId246" xr:uid="{00000000-0004-0000-0100-0000F5000000}"/>
    <hyperlink ref="A248" r:id="rId247" xr:uid="{00000000-0004-0000-0100-0000F6000000}"/>
    <hyperlink ref="A249" r:id="rId248" xr:uid="{00000000-0004-0000-0100-0000F7000000}"/>
    <hyperlink ref="A250" r:id="rId249" xr:uid="{00000000-0004-0000-0100-0000F8000000}"/>
    <hyperlink ref="A251" r:id="rId250" xr:uid="{00000000-0004-0000-0100-0000F9000000}"/>
    <hyperlink ref="A252" r:id="rId251" xr:uid="{00000000-0004-0000-0100-0000FA000000}"/>
    <hyperlink ref="A253" r:id="rId252" xr:uid="{00000000-0004-0000-0100-0000FB000000}"/>
    <hyperlink ref="A254" r:id="rId253" xr:uid="{00000000-0004-0000-0100-0000FC000000}"/>
    <hyperlink ref="A255" r:id="rId254" xr:uid="{00000000-0004-0000-0100-0000FD000000}"/>
    <hyperlink ref="A256" r:id="rId255" xr:uid="{00000000-0004-0000-0100-0000FE000000}"/>
    <hyperlink ref="A257" r:id="rId256" xr:uid="{00000000-0004-0000-0100-0000FF000000}"/>
    <hyperlink ref="A258" r:id="rId257" xr:uid="{00000000-0004-0000-0100-000000010000}"/>
    <hyperlink ref="A259" r:id="rId258" xr:uid="{00000000-0004-0000-0100-000001010000}"/>
    <hyperlink ref="A260" r:id="rId259" xr:uid="{00000000-0004-0000-0100-000002010000}"/>
    <hyperlink ref="A261" r:id="rId260" xr:uid="{00000000-0004-0000-0100-000003010000}"/>
    <hyperlink ref="A262" r:id="rId261" xr:uid="{00000000-0004-0000-0100-000004010000}"/>
    <hyperlink ref="A263" r:id="rId262" xr:uid="{00000000-0004-0000-0100-000005010000}"/>
    <hyperlink ref="A264" r:id="rId263" xr:uid="{00000000-0004-0000-0100-000006010000}"/>
    <hyperlink ref="A265" r:id="rId264" xr:uid="{00000000-0004-0000-0100-000007010000}"/>
    <hyperlink ref="A266" r:id="rId265" xr:uid="{00000000-0004-0000-0100-000008010000}"/>
    <hyperlink ref="A267" r:id="rId266" xr:uid="{00000000-0004-0000-0100-000009010000}"/>
    <hyperlink ref="A268" r:id="rId267" xr:uid="{00000000-0004-0000-0100-00000A010000}"/>
    <hyperlink ref="A269" r:id="rId268" xr:uid="{00000000-0004-0000-0100-00000B010000}"/>
    <hyperlink ref="A270" r:id="rId269" xr:uid="{00000000-0004-0000-0100-00000C010000}"/>
    <hyperlink ref="A271" r:id="rId270" xr:uid="{00000000-0004-0000-0100-00000D010000}"/>
    <hyperlink ref="A272" r:id="rId271" xr:uid="{00000000-0004-0000-0100-00000E010000}"/>
    <hyperlink ref="A273" r:id="rId272" xr:uid="{00000000-0004-0000-0100-00000F010000}"/>
    <hyperlink ref="A274" r:id="rId273" xr:uid="{00000000-0004-0000-0100-000010010000}"/>
    <hyperlink ref="A275" r:id="rId274" xr:uid="{00000000-0004-0000-0100-000011010000}"/>
    <hyperlink ref="A276" r:id="rId275" xr:uid="{00000000-0004-0000-0100-000012010000}"/>
    <hyperlink ref="A277" r:id="rId276" xr:uid="{00000000-0004-0000-0100-000013010000}"/>
    <hyperlink ref="A278" r:id="rId277" xr:uid="{00000000-0004-0000-0100-000014010000}"/>
    <hyperlink ref="A279" r:id="rId278" xr:uid="{00000000-0004-0000-0100-000015010000}"/>
    <hyperlink ref="A280" r:id="rId279" xr:uid="{00000000-0004-0000-0100-000016010000}"/>
    <hyperlink ref="A281" r:id="rId280" xr:uid="{00000000-0004-0000-0100-000017010000}"/>
    <hyperlink ref="A282" r:id="rId281" xr:uid="{00000000-0004-0000-0100-000018010000}"/>
    <hyperlink ref="A283" r:id="rId282" xr:uid="{00000000-0004-0000-0100-000019010000}"/>
    <hyperlink ref="A284" r:id="rId283" xr:uid="{00000000-0004-0000-0100-00001A010000}"/>
    <hyperlink ref="A285" r:id="rId284" xr:uid="{00000000-0004-0000-0100-00001B010000}"/>
    <hyperlink ref="A286" r:id="rId285" xr:uid="{00000000-0004-0000-0100-00001C010000}"/>
    <hyperlink ref="A287" r:id="rId286" xr:uid="{00000000-0004-0000-0100-00001D010000}"/>
    <hyperlink ref="A288" r:id="rId287" xr:uid="{00000000-0004-0000-0100-00001E010000}"/>
    <hyperlink ref="A289" r:id="rId288" xr:uid="{00000000-0004-0000-0100-00001F010000}"/>
    <hyperlink ref="A290" r:id="rId289" xr:uid="{00000000-0004-0000-0100-000020010000}"/>
    <hyperlink ref="A291" r:id="rId290" xr:uid="{00000000-0004-0000-0100-000021010000}"/>
    <hyperlink ref="A292" r:id="rId291" xr:uid="{00000000-0004-0000-0100-000022010000}"/>
    <hyperlink ref="A293" r:id="rId292" xr:uid="{00000000-0004-0000-0100-000023010000}"/>
    <hyperlink ref="A294" r:id="rId293" xr:uid="{00000000-0004-0000-0100-000024010000}"/>
    <hyperlink ref="A295" r:id="rId294" xr:uid="{00000000-0004-0000-0100-000025010000}"/>
    <hyperlink ref="A296" r:id="rId295" xr:uid="{00000000-0004-0000-0100-000026010000}"/>
    <hyperlink ref="A297" r:id="rId296" xr:uid="{00000000-0004-0000-0100-000027010000}"/>
    <hyperlink ref="A298" r:id="rId297" xr:uid="{00000000-0004-0000-0100-000028010000}"/>
    <hyperlink ref="A299" r:id="rId298" xr:uid="{00000000-0004-0000-0100-000029010000}"/>
    <hyperlink ref="A300" r:id="rId299" xr:uid="{00000000-0004-0000-0100-00002A010000}"/>
    <hyperlink ref="A301" r:id="rId300" xr:uid="{00000000-0004-0000-0100-00002B010000}"/>
    <hyperlink ref="A302" r:id="rId301" xr:uid="{00000000-0004-0000-0100-00002C010000}"/>
    <hyperlink ref="A303" r:id="rId302" xr:uid="{00000000-0004-0000-0100-00002D010000}"/>
    <hyperlink ref="A304" r:id="rId303" xr:uid="{00000000-0004-0000-0100-00002E010000}"/>
    <hyperlink ref="A305" r:id="rId304" xr:uid="{00000000-0004-0000-0100-00002F010000}"/>
    <hyperlink ref="A306" r:id="rId305" xr:uid="{00000000-0004-0000-0100-000030010000}"/>
    <hyperlink ref="A307" r:id="rId306" xr:uid="{00000000-0004-0000-0100-000031010000}"/>
    <hyperlink ref="A308" r:id="rId307" xr:uid="{00000000-0004-0000-0100-000032010000}"/>
    <hyperlink ref="A309" r:id="rId308" xr:uid="{00000000-0004-0000-0100-000033010000}"/>
    <hyperlink ref="A310" r:id="rId309" xr:uid="{00000000-0004-0000-0100-000034010000}"/>
    <hyperlink ref="A311" r:id="rId310" xr:uid="{00000000-0004-0000-0100-000035010000}"/>
    <hyperlink ref="A312" r:id="rId311" xr:uid="{00000000-0004-0000-0100-000036010000}"/>
    <hyperlink ref="A313" r:id="rId312" xr:uid="{00000000-0004-0000-0100-000037010000}"/>
    <hyperlink ref="A314" r:id="rId313" xr:uid="{00000000-0004-0000-0100-000038010000}"/>
    <hyperlink ref="A315" r:id="rId314" xr:uid="{00000000-0004-0000-0100-000039010000}"/>
    <hyperlink ref="A316" r:id="rId315" xr:uid="{00000000-0004-0000-0100-00003A010000}"/>
    <hyperlink ref="A317" r:id="rId316" xr:uid="{00000000-0004-0000-0100-00003B010000}"/>
    <hyperlink ref="A318" r:id="rId317" xr:uid="{00000000-0004-0000-0100-00003C010000}"/>
    <hyperlink ref="A319" r:id="rId318" xr:uid="{00000000-0004-0000-0100-00003D010000}"/>
    <hyperlink ref="A320" r:id="rId319" xr:uid="{00000000-0004-0000-0100-00003E010000}"/>
    <hyperlink ref="A321" r:id="rId320" xr:uid="{00000000-0004-0000-0100-00003F010000}"/>
    <hyperlink ref="A322" r:id="rId321" xr:uid="{00000000-0004-0000-0100-000040010000}"/>
    <hyperlink ref="A323" r:id="rId322" xr:uid="{00000000-0004-0000-0100-000041010000}"/>
    <hyperlink ref="A324" r:id="rId323" xr:uid="{00000000-0004-0000-0100-000042010000}"/>
    <hyperlink ref="A325" r:id="rId324" xr:uid="{00000000-0004-0000-0100-000043010000}"/>
    <hyperlink ref="A326" r:id="rId325" xr:uid="{00000000-0004-0000-0100-000044010000}"/>
    <hyperlink ref="A327" r:id="rId326" xr:uid="{00000000-0004-0000-0100-000045010000}"/>
    <hyperlink ref="A328" r:id="rId327" xr:uid="{00000000-0004-0000-0100-000046010000}"/>
    <hyperlink ref="A329" r:id="rId328" xr:uid="{00000000-0004-0000-0100-000047010000}"/>
    <hyperlink ref="A330" r:id="rId329" xr:uid="{00000000-0004-0000-0100-000048010000}"/>
    <hyperlink ref="A331" r:id="rId330" xr:uid="{00000000-0004-0000-0100-000049010000}"/>
    <hyperlink ref="A332" r:id="rId331" xr:uid="{00000000-0004-0000-0100-00004A010000}"/>
    <hyperlink ref="A333" r:id="rId332" xr:uid="{00000000-0004-0000-0100-00004B010000}"/>
    <hyperlink ref="A334" r:id="rId333" xr:uid="{00000000-0004-0000-0100-00004C010000}"/>
    <hyperlink ref="A335" r:id="rId334" xr:uid="{00000000-0004-0000-0100-00004D010000}"/>
    <hyperlink ref="A336" r:id="rId335" xr:uid="{00000000-0004-0000-0100-00004E010000}"/>
    <hyperlink ref="A337" r:id="rId336" xr:uid="{00000000-0004-0000-0100-00004F010000}"/>
    <hyperlink ref="A338" r:id="rId337" xr:uid="{00000000-0004-0000-0100-000050010000}"/>
    <hyperlink ref="A339" r:id="rId338" xr:uid="{00000000-0004-0000-0100-000051010000}"/>
    <hyperlink ref="A340" r:id="rId339" xr:uid="{00000000-0004-0000-0100-000052010000}"/>
    <hyperlink ref="A341" r:id="rId340" xr:uid="{00000000-0004-0000-0100-000053010000}"/>
    <hyperlink ref="A342" r:id="rId341" xr:uid="{00000000-0004-0000-0100-000054010000}"/>
    <hyperlink ref="A343" r:id="rId342" xr:uid="{00000000-0004-0000-0100-000055010000}"/>
    <hyperlink ref="A344" r:id="rId343" xr:uid="{00000000-0004-0000-0100-000056010000}"/>
    <hyperlink ref="A345" r:id="rId344" xr:uid="{00000000-0004-0000-0100-000057010000}"/>
    <hyperlink ref="A346" r:id="rId345" xr:uid="{00000000-0004-0000-0100-000058010000}"/>
    <hyperlink ref="A347" r:id="rId346" xr:uid="{00000000-0004-0000-0100-000059010000}"/>
    <hyperlink ref="A348" r:id="rId347" xr:uid="{00000000-0004-0000-0100-00005A010000}"/>
    <hyperlink ref="A349" r:id="rId348" xr:uid="{00000000-0004-0000-0100-00005B010000}"/>
    <hyperlink ref="A350" r:id="rId349" xr:uid="{00000000-0004-0000-0100-00005C010000}"/>
    <hyperlink ref="A351" r:id="rId350" xr:uid="{00000000-0004-0000-0100-00005D010000}"/>
    <hyperlink ref="A352" r:id="rId351" xr:uid="{00000000-0004-0000-0100-00005E010000}"/>
    <hyperlink ref="A353" r:id="rId352" xr:uid="{00000000-0004-0000-0100-00005F010000}"/>
    <hyperlink ref="A354" r:id="rId353" xr:uid="{00000000-0004-0000-0100-000060010000}"/>
    <hyperlink ref="A355" r:id="rId354" xr:uid="{00000000-0004-0000-0100-000061010000}"/>
    <hyperlink ref="A356" r:id="rId355" xr:uid="{00000000-0004-0000-0100-000062010000}"/>
    <hyperlink ref="A357" r:id="rId356" xr:uid="{00000000-0004-0000-0100-000063010000}"/>
    <hyperlink ref="A358" r:id="rId357" xr:uid="{00000000-0004-0000-0100-000064010000}"/>
    <hyperlink ref="A359" r:id="rId358" xr:uid="{00000000-0004-0000-0100-000065010000}"/>
    <hyperlink ref="A360" r:id="rId359" xr:uid="{00000000-0004-0000-0100-000066010000}"/>
    <hyperlink ref="A361" r:id="rId360" xr:uid="{00000000-0004-0000-0100-000067010000}"/>
    <hyperlink ref="A362" r:id="rId361" xr:uid="{00000000-0004-0000-0100-000068010000}"/>
    <hyperlink ref="A363" r:id="rId362" xr:uid="{00000000-0004-0000-0100-000069010000}"/>
    <hyperlink ref="A364" r:id="rId363" xr:uid="{00000000-0004-0000-0100-00006A010000}"/>
    <hyperlink ref="A365" r:id="rId364" xr:uid="{00000000-0004-0000-0100-00006B010000}"/>
    <hyperlink ref="A366" r:id="rId365" xr:uid="{00000000-0004-0000-0100-00006C010000}"/>
    <hyperlink ref="A367" r:id="rId366" xr:uid="{00000000-0004-0000-0100-00006D010000}"/>
    <hyperlink ref="A368" r:id="rId367" xr:uid="{00000000-0004-0000-0100-00006E010000}"/>
    <hyperlink ref="A369" r:id="rId368" xr:uid="{00000000-0004-0000-0100-00006F010000}"/>
    <hyperlink ref="A370" r:id="rId369" xr:uid="{00000000-0004-0000-0100-000070010000}"/>
    <hyperlink ref="A371" r:id="rId370" xr:uid="{00000000-0004-0000-0100-000071010000}"/>
    <hyperlink ref="A372" r:id="rId371" xr:uid="{00000000-0004-0000-0100-000072010000}"/>
    <hyperlink ref="A373" r:id="rId372" xr:uid="{00000000-0004-0000-0100-000073010000}"/>
    <hyperlink ref="A374" r:id="rId373" xr:uid="{00000000-0004-0000-0100-000074010000}"/>
    <hyperlink ref="A375" r:id="rId374" xr:uid="{00000000-0004-0000-0100-000075010000}"/>
    <hyperlink ref="A376" r:id="rId375" xr:uid="{00000000-0004-0000-0100-000076010000}"/>
    <hyperlink ref="A377" r:id="rId376" xr:uid="{00000000-0004-0000-0100-000077010000}"/>
    <hyperlink ref="A378" r:id="rId377" xr:uid="{00000000-0004-0000-0100-000078010000}"/>
    <hyperlink ref="A379" r:id="rId378" xr:uid="{00000000-0004-0000-0100-000079010000}"/>
    <hyperlink ref="A380" r:id="rId379" xr:uid="{00000000-0004-0000-0100-00007A010000}"/>
    <hyperlink ref="A381" r:id="rId380" xr:uid="{00000000-0004-0000-0100-00007B010000}"/>
    <hyperlink ref="A382" r:id="rId381" xr:uid="{00000000-0004-0000-0100-00007C010000}"/>
    <hyperlink ref="A383" r:id="rId382" xr:uid="{00000000-0004-0000-0100-00007D010000}"/>
    <hyperlink ref="A384" r:id="rId383" xr:uid="{00000000-0004-0000-0100-00007E010000}"/>
    <hyperlink ref="A385" r:id="rId384" xr:uid="{00000000-0004-0000-0100-00007F010000}"/>
    <hyperlink ref="A386" r:id="rId385" xr:uid="{00000000-0004-0000-0100-000080010000}"/>
    <hyperlink ref="A387" r:id="rId386" xr:uid="{00000000-0004-0000-0100-000081010000}"/>
    <hyperlink ref="A388" r:id="rId387" xr:uid="{00000000-0004-0000-0100-000082010000}"/>
    <hyperlink ref="A389" r:id="rId388" xr:uid="{00000000-0004-0000-0100-000083010000}"/>
    <hyperlink ref="A390" r:id="rId389" xr:uid="{00000000-0004-0000-0100-000084010000}"/>
    <hyperlink ref="A391" r:id="rId390" xr:uid="{00000000-0004-0000-0100-000085010000}"/>
    <hyperlink ref="A392" r:id="rId391" xr:uid="{00000000-0004-0000-0100-000086010000}"/>
    <hyperlink ref="A393" r:id="rId392" xr:uid="{00000000-0004-0000-0100-000087010000}"/>
    <hyperlink ref="A394" r:id="rId393" xr:uid="{00000000-0004-0000-0100-000088010000}"/>
    <hyperlink ref="A395" r:id="rId394" xr:uid="{00000000-0004-0000-0100-000089010000}"/>
    <hyperlink ref="A396" r:id="rId395" xr:uid="{00000000-0004-0000-0100-00008A010000}"/>
    <hyperlink ref="A397" r:id="rId396" xr:uid="{00000000-0004-0000-0100-00008B010000}"/>
    <hyperlink ref="A398" r:id="rId397" xr:uid="{00000000-0004-0000-0100-00008C010000}"/>
    <hyperlink ref="A399" r:id="rId398" xr:uid="{00000000-0004-0000-0100-00008D010000}"/>
    <hyperlink ref="A400" r:id="rId399" xr:uid="{00000000-0004-0000-0100-00008E010000}"/>
    <hyperlink ref="A401" r:id="rId400" xr:uid="{00000000-0004-0000-0100-00008F010000}"/>
    <hyperlink ref="A402" r:id="rId401" xr:uid="{00000000-0004-0000-0100-000090010000}"/>
    <hyperlink ref="A403" r:id="rId402" xr:uid="{00000000-0004-0000-0100-000091010000}"/>
    <hyperlink ref="A404" r:id="rId403" xr:uid="{00000000-0004-0000-0100-000092010000}"/>
    <hyperlink ref="A405" r:id="rId404" xr:uid="{00000000-0004-0000-0100-000093010000}"/>
    <hyperlink ref="A406" r:id="rId405" xr:uid="{00000000-0004-0000-0100-000094010000}"/>
    <hyperlink ref="A407" r:id="rId406" xr:uid="{00000000-0004-0000-0100-000095010000}"/>
    <hyperlink ref="A408" r:id="rId407" xr:uid="{00000000-0004-0000-0100-000096010000}"/>
    <hyperlink ref="A409" r:id="rId408" xr:uid="{00000000-0004-0000-0100-000097010000}"/>
    <hyperlink ref="A410" r:id="rId409" xr:uid="{00000000-0004-0000-0100-000098010000}"/>
    <hyperlink ref="A411" r:id="rId410" xr:uid="{00000000-0004-0000-0100-000099010000}"/>
    <hyperlink ref="A412" r:id="rId411" xr:uid="{00000000-0004-0000-0100-00009A010000}"/>
    <hyperlink ref="A413" r:id="rId412" xr:uid="{00000000-0004-0000-0100-00009B010000}"/>
    <hyperlink ref="A414" r:id="rId413" xr:uid="{00000000-0004-0000-0100-00009C010000}"/>
    <hyperlink ref="A415" r:id="rId414" xr:uid="{00000000-0004-0000-0100-00009D010000}"/>
    <hyperlink ref="A416" r:id="rId415" xr:uid="{00000000-0004-0000-0100-00009E010000}"/>
    <hyperlink ref="A417" r:id="rId416" xr:uid="{00000000-0004-0000-0100-00009F010000}"/>
    <hyperlink ref="A418" r:id="rId417" xr:uid="{00000000-0004-0000-0100-0000A0010000}"/>
    <hyperlink ref="A419" r:id="rId418" xr:uid="{00000000-0004-0000-0100-0000A1010000}"/>
    <hyperlink ref="A420" r:id="rId419" xr:uid="{00000000-0004-0000-0100-0000A2010000}"/>
    <hyperlink ref="A421" r:id="rId420" xr:uid="{00000000-0004-0000-0100-0000A3010000}"/>
    <hyperlink ref="A422" r:id="rId421" xr:uid="{00000000-0004-0000-0100-0000A4010000}"/>
    <hyperlink ref="A423" r:id="rId422" xr:uid="{00000000-0004-0000-0100-0000A5010000}"/>
    <hyperlink ref="A424" r:id="rId423" xr:uid="{00000000-0004-0000-0100-0000A6010000}"/>
    <hyperlink ref="A425" r:id="rId424" xr:uid="{00000000-0004-0000-0100-0000A7010000}"/>
    <hyperlink ref="A426" r:id="rId425" xr:uid="{00000000-0004-0000-0100-0000A8010000}"/>
    <hyperlink ref="A427" r:id="rId426" xr:uid="{00000000-0004-0000-0100-0000A9010000}"/>
    <hyperlink ref="A428" r:id="rId427" xr:uid="{00000000-0004-0000-0100-0000AA010000}"/>
    <hyperlink ref="A429" r:id="rId428" xr:uid="{00000000-0004-0000-0100-0000AB010000}"/>
    <hyperlink ref="A430" r:id="rId429" xr:uid="{00000000-0004-0000-0100-0000AC010000}"/>
    <hyperlink ref="A431" r:id="rId430" xr:uid="{00000000-0004-0000-0100-0000AD010000}"/>
    <hyperlink ref="A432" r:id="rId431" xr:uid="{00000000-0004-0000-0100-0000AE010000}"/>
    <hyperlink ref="A433" r:id="rId432" xr:uid="{00000000-0004-0000-0100-0000AF010000}"/>
    <hyperlink ref="A434" r:id="rId433" xr:uid="{00000000-0004-0000-0100-0000B0010000}"/>
    <hyperlink ref="A435" r:id="rId434" xr:uid="{00000000-0004-0000-0100-0000B1010000}"/>
    <hyperlink ref="A436" r:id="rId435" xr:uid="{00000000-0004-0000-0100-0000B2010000}"/>
    <hyperlink ref="A437" r:id="rId436" xr:uid="{00000000-0004-0000-0100-0000B3010000}"/>
    <hyperlink ref="A438" r:id="rId437" xr:uid="{00000000-0004-0000-0100-0000B4010000}"/>
    <hyperlink ref="A439" r:id="rId438" xr:uid="{00000000-0004-0000-0100-0000B5010000}"/>
    <hyperlink ref="A440" r:id="rId439" xr:uid="{00000000-0004-0000-0100-0000B6010000}"/>
    <hyperlink ref="A441" r:id="rId440" xr:uid="{00000000-0004-0000-0100-0000B7010000}"/>
    <hyperlink ref="A442" r:id="rId441" xr:uid="{00000000-0004-0000-0100-0000B8010000}"/>
    <hyperlink ref="A443" r:id="rId442" xr:uid="{00000000-0004-0000-0100-0000B9010000}"/>
    <hyperlink ref="A444" r:id="rId443" xr:uid="{00000000-0004-0000-0100-0000BA010000}"/>
    <hyperlink ref="A445" r:id="rId444" xr:uid="{00000000-0004-0000-0100-0000BB010000}"/>
    <hyperlink ref="A446" r:id="rId445" xr:uid="{00000000-0004-0000-0100-0000BC010000}"/>
    <hyperlink ref="A447" r:id="rId446" xr:uid="{00000000-0004-0000-0100-0000BD010000}"/>
    <hyperlink ref="A448" r:id="rId447" xr:uid="{00000000-0004-0000-0100-0000BE010000}"/>
    <hyperlink ref="A449" r:id="rId448" xr:uid="{00000000-0004-0000-0100-0000BF010000}"/>
    <hyperlink ref="A450" r:id="rId449" xr:uid="{00000000-0004-0000-0100-0000C0010000}"/>
    <hyperlink ref="A451" r:id="rId450" xr:uid="{00000000-0004-0000-0100-0000C1010000}"/>
    <hyperlink ref="A452" r:id="rId451" xr:uid="{00000000-0004-0000-0100-0000C2010000}"/>
    <hyperlink ref="A453" r:id="rId452" xr:uid="{00000000-0004-0000-0100-0000C3010000}"/>
    <hyperlink ref="A454" r:id="rId453" xr:uid="{00000000-0004-0000-0100-0000C4010000}"/>
    <hyperlink ref="A455" r:id="rId454" xr:uid="{00000000-0004-0000-0100-0000C5010000}"/>
    <hyperlink ref="A456" r:id="rId455" xr:uid="{00000000-0004-0000-0100-0000C6010000}"/>
    <hyperlink ref="A457" r:id="rId456" xr:uid="{00000000-0004-0000-0100-0000C7010000}"/>
    <hyperlink ref="A458" r:id="rId457" xr:uid="{00000000-0004-0000-0100-0000C8010000}"/>
    <hyperlink ref="A459" r:id="rId458" xr:uid="{00000000-0004-0000-0100-0000C9010000}"/>
    <hyperlink ref="A460" r:id="rId459" xr:uid="{00000000-0004-0000-0100-0000CA010000}"/>
    <hyperlink ref="A461" r:id="rId460" xr:uid="{00000000-0004-0000-0100-0000CB010000}"/>
    <hyperlink ref="A462" r:id="rId461" xr:uid="{00000000-0004-0000-0100-0000CC010000}"/>
    <hyperlink ref="A463" r:id="rId462" xr:uid="{00000000-0004-0000-0100-0000CD010000}"/>
    <hyperlink ref="A464" r:id="rId463" xr:uid="{00000000-0004-0000-0100-0000CE010000}"/>
    <hyperlink ref="A465" r:id="rId464" xr:uid="{00000000-0004-0000-0100-0000CF010000}"/>
    <hyperlink ref="A466" r:id="rId465" xr:uid="{00000000-0004-0000-0100-0000D0010000}"/>
    <hyperlink ref="A467" r:id="rId466" xr:uid="{00000000-0004-0000-0100-0000D1010000}"/>
    <hyperlink ref="A468" r:id="rId467" xr:uid="{00000000-0004-0000-0100-0000D2010000}"/>
    <hyperlink ref="A469" r:id="rId468" xr:uid="{00000000-0004-0000-0100-0000D3010000}"/>
    <hyperlink ref="A470" r:id="rId469" xr:uid="{00000000-0004-0000-0100-0000D4010000}"/>
    <hyperlink ref="A471" r:id="rId470" xr:uid="{00000000-0004-0000-0100-0000D5010000}"/>
    <hyperlink ref="A472" r:id="rId471" xr:uid="{00000000-0004-0000-0100-0000D6010000}"/>
    <hyperlink ref="A473" r:id="rId472" xr:uid="{00000000-0004-0000-0100-0000D7010000}"/>
    <hyperlink ref="A474" r:id="rId473" xr:uid="{00000000-0004-0000-0100-0000D8010000}"/>
    <hyperlink ref="A475" r:id="rId474" xr:uid="{00000000-0004-0000-0100-0000D9010000}"/>
    <hyperlink ref="A476" r:id="rId475" xr:uid="{00000000-0004-0000-0100-0000DA010000}"/>
    <hyperlink ref="A477" r:id="rId476" xr:uid="{00000000-0004-0000-0100-0000DB010000}"/>
    <hyperlink ref="A478" r:id="rId477" xr:uid="{00000000-0004-0000-0100-0000DC010000}"/>
    <hyperlink ref="A479" r:id="rId478" xr:uid="{00000000-0004-0000-0100-0000DD010000}"/>
    <hyperlink ref="A480" r:id="rId479" xr:uid="{00000000-0004-0000-0100-0000DE010000}"/>
    <hyperlink ref="A481" r:id="rId480" xr:uid="{00000000-0004-0000-0100-0000DF010000}"/>
    <hyperlink ref="A482" r:id="rId481" xr:uid="{00000000-0004-0000-0100-0000E0010000}"/>
    <hyperlink ref="A483" r:id="rId482" xr:uid="{00000000-0004-0000-0100-0000E1010000}"/>
    <hyperlink ref="A484" r:id="rId483" xr:uid="{00000000-0004-0000-0100-0000E2010000}"/>
    <hyperlink ref="A485" r:id="rId484" xr:uid="{00000000-0004-0000-0100-0000E3010000}"/>
    <hyperlink ref="A486" r:id="rId485" xr:uid="{00000000-0004-0000-0100-0000E4010000}"/>
    <hyperlink ref="A487" r:id="rId486" xr:uid="{00000000-0004-0000-0100-0000E5010000}"/>
    <hyperlink ref="A488" r:id="rId487" xr:uid="{00000000-0004-0000-0100-0000E6010000}"/>
    <hyperlink ref="A489" r:id="rId488" xr:uid="{00000000-0004-0000-0100-0000E7010000}"/>
    <hyperlink ref="A490" r:id="rId489" xr:uid="{00000000-0004-0000-0100-0000E8010000}"/>
    <hyperlink ref="A491" r:id="rId490" xr:uid="{00000000-0004-0000-0100-0000E9010000}"/>
    <hyperlink ref="A492" r:id="rId491" xr:uid="{00000000-0004-0000-0100-0000EA010000}"/>
    <hyperlink ref="A493" r:id="rId492" xr:uid="{00000000-0004-0000-0100-0000EB010000}"/>
    <hyperlink ref="A494" r:id="rId493" xr:uid="{00000000-0004-0000-0100-0000EC010000}"/>
    <hyperlink ref="A495" r:id="rId494" xr:uid="{00000000-0004-0000-0100-0000ED010000}"/>
    <hyperlink ref="A496" r:id="rId495" xr:uid="{00000000-0004-0000-0100-0000EE010000}"/>
    <hyperlink ref="A497" r:id="rId496" xr:uid="{00000000-0004-0000-0100-0000EF010000}"/>
    <hyperlink ref="A498" r:id="rId497" xr:uid="{00000000-0004-0000-0100-0000F0010000}"/>
    <hyperlink ref="A499" r:id="rId498" xr:uid="{00000000-0004-0000-0100-0000F1010000}"/>
    <hyperlink ref="A500" r:id="rId499" xr:uid="{00000000-0004-0000-0100-0000F2010000}"/>
    <hyperlink ref="A501" r:id="rId500" xr:uid="{00000000-0004-0000-0100-0000F3010000}"/>
    <hyperlink ref="A502" r:id="rId501" xr:uid="{00000000-0004-0000-0100-0000F4010000}"/>
    <hyperlink ref="A503" r:id="rId502" xr:uid="{00000000-0004-0000-0100-0000F5010000}"/>
    <hyperlink ref="A504" r:id="rId503" xr:uid="{00000000-0004-0000-0100-0000F6010000}"/>
    <hyperlink ref="A505" r:id="rId504" xr:uid="{00000000-0004-0000-0100-0000F7010000}"/>
    <hyperlink ref="A506" r:id="rId505" xr:uid="{00000000-0004-0000-0100-0000F8010000}"/>
    <hyperlink ref="A507" r:id="rId506" xr:uid="{00000000-0004-0000-0100-0000F9010000}"/>
    <hyperlink ref="A508" r:id="rId507" xr:uid="{00000000-0004-0000-0100-0000FA010000}"/>
    <hyperlink ref="A509" r:id="rId508" xr:uid="{00000000-0004-0000-0100-0000FB010000}"/>
    <hyperlink ref="A510" r:id="rId509" xr:uid="{00000000-0004-0000-0100-0000FC010000}"/>
    <hyperlink ref="A511" r:id="rId510" xr:uid="{00000000-0004-0000-0100-0000FD010000}"/>
    <hyperlink ref="A512" r:id="rId511" xr:uid="{00000000-0004-0000-0100-0000FE010000}"/>
    <hyperlink ref="A513" r:id="rId512" xr:uid="{00000000-0004-0000-0100-0000FF010000}"/>
    <hyperlink ref="A514" r:id="rId513" xr:uid="{00000000-0004-0000-0100-000000020000}"/>
    <hyperlink ref="A515" r:id="rId514" xr:uid="{00000000-0004-0000-0100-000001020000}"/>
    <hyperlink ref="A516" r:id="rId515" xr:uid="{00000000-0004-0000-0100-000002020000}"/>
    <hyperlink ref="A517" r:id="rId516" xr:uid="{00000000-0004-0000-0100-000003020000}"/>
    <hyperlink ref="A518" r:id="rId517" xr:uid="{00000000-0004-0000-0100-000004020000}"/>
    <hyperlink ref="A519" r:id="rId518" xr:uid="{00000000-0004-0000-0100-000005020000}"/>
    <hyperlink ref="A520" r:id="rId519" xr:uid="{00000000-0004-0000-0100-000006020000}"/>
    <hyperlink ref="A521" r:id="rId520" xr:uid="{00000000-0004-0000-0100-000007020000}"/>
    <hyperlink ref="A522" r:id="rId521" xr:uid="{00000000-0004-0000-0100-000008020000}"/>
    <hyperlink ref="A523" r:id="rId522" xr:uid="{00000000-0004-0000-0100-000009020000}"/>
    <hyperlink ref="A524" r:id="rId523" xr:uid="{00000000-0004-0000-0100-00000A020000}"/>
    <hyperlink ref="A525" r:id="rId524" xr:uid="{00000000-0004-0000-0100-00000B020000}"/>
    <hyperlink ref="A526" r:id="rId525" xr:uid="{00000000-0004-0000-0100-00000C020000}"/>
    <hyperlink ref="A527" r:id="rId526" xr:uid="{00000000-0004-0000-0100-00000D020000}"/>
    <hyperlink ref="A528" r:id="rId527" xr:uid="{00000000-0004-0000-0100-00000E020000}"/>
    <hyperlink ref="A529" r:id="rId528" xr:uid="{00000000-0004-0000-0100-00000F020000}"/>
    <hyperlink ref="A530" r:id="rId529" xr:uid="{00000000-0004-0000-0100-000010020000}"/>
    <hyperlink ref="A531" r:id="rId530" xr:uid="{00000000-0004-0000-0100-000011020000}"/>
    <hyperlink ref="A532" r:id="rId531" xr:uid="{00000000-0004-0000-0100-000012020000}"/>
    <hyperlink ref="A533" r:id="rId532" xr:uid="{00000000-0004-0000-0100-000013020000}"/>
    <hyperlink ref="A534" r:id="rId533" xr:uid="{00000000-0004-0000-0100-000014020000}"/>
    <hyperlink ref="A535" r:id="rId534" xr:uid="{00000000-0004-0000-0100-000015020000}"/>
    <hyperlink ref="A536" r:id="rId535" xr:uid="{00000000-0004-0000-0100-000016020000}"/>
    <hyperlink ref="A537" r:id="rId536" xr:uid="{00000000-0004-0000-0100-000017020000}"/>
    <hyperlink ref="A538" r:id="rId537" xr:uid="{00000000-0004-0000-0100-000018020000}"/>
    <hyperlink ref="A539" r:id="rId538" xr:uid="{00000000-0004-0000-0100-000019020000}"/>
    <hyperlink ref="A540" r:id="rId539" xr:uid="{00000000-0004-0000-0100-00001A020000}"/>
    <hyperlink ref="A541" r:id="rId540" xr:uid="{00000000-0004-0000-0100-00001B020000}"/>
    <hyperlink ref="A542" r:id="rId541" xr:uid="{00000000-0004-0000-0100-00001C020000}"/>
    <hyperlink ref="A543" r:id="rId542" xr:uid="{00000000-0004-0000-0100-00001D020000}"/>
    <hyperlink ref="A544" r:id="rId543" xr:uid="{00000000-0004-0000-0100-00001E020000}"/>
    <hyperlink ref="A545" r:id="rId544" xr:uid="{00000000-0004-0000-0100-00001F020000}"/>
    <hyperlink ref="A546" r:id="rId545" xr:uid="{00000000-0004-0000-0100-000020020000}"/>
    <hyperlink ref="A547" r:id="rId546" xr:uid="{00000000-0004-0000-0100-000021020000}"/>
    <hyperlink ref="A548" r:id="rId547" xr:uid="{00000000-0004-0000-0100-000022020000}"/>
    <hyperlink ref="A549" r:id="rId548" xr:uid="{00000000-0004-0000-0100-000023020000}"/>
    <hyperlink ref="A550" r:id="rId549" xr:uid="{00000000-0004-0000-0100-000024020000}"/>
    <hyperlink ref="A551" r:id="rId550" xr:uid="{00000000-0004-0000-0100-000025020000}"/>
    <hyperlink ref="A552" r:id="rId551" xr:uid="{00000000-0004-0000-0100-000026020000}"/>
    <hyperlink ref="A553" r:id="rId552" xr:uid="{00000000-0004-0000-0100-000027020000}"/>
    <hyperlink ref="A554" r:id="rId553" xr:uid="{00000000-0004-0000-0100-000028020000}"/>
    <hyperlink ref="A555" r:id="rId554" xr:uid="{00000000-0004-0000-0100-000029020000}"/>
    <hyperlink ref="A556" r:id="rId555" xr:uid="{00000000-0004-0000-0100-00002A020000}"/>
    <hyperlink ref="A557" r:id="rId556" xr:uid="{00000000-0004-0000-0100-00002B020000}"/>
    <hyperlink ref="A558" r:id="rId557" xr:uid="{00000000-0004-0000-0100-00002C020000}"/>
    <hyperlink ref="A559" r:id="rId558" xr:uid="{00000000-0004-0000-0100-00002D020000}"/>
    <hyperlink ref="A560" r:id="rId559" xr:uid="{00000000-0004-0000-0100-00002E020000}"/>
    <hyperlink ref="A561" r:id="rId560" xr:uid="{00000000-0004-0000-0100-00002F020000}"/>
    <hyperlink ref="A562" r:id="rId561" xr:uid="{00000000-0004-0000-0100-000030020000}"/>
    <hyperlink ref="A563" r:id="rId562" xr:uid="{00000000-0004-0000-0100-000031020000}"/>
    <hyperlink ref="A564" r:id="rId563" xr:uid="{00000000-0004-0000-0100-000032020000}"/>
    <hyperlink ref="A565" r:id="rId564" xr:uid="{00000000-0004-0000-0100-000033020000}"/>
    <hyperlink ref="A566" r:id="rId565" xr:uid="{00000000-0004-0000-0100-000034020000}"/>
    <hyperlink ref="A567" r:id="rId566" xr:uid="{00000000-0004-0000-0100-000035020000}"/>
    <hyperlink ref="A568" r:id="rId567" xr:uid="{00000000-0004-0000-0100-000036020000}"/>
    <hyperlink ref="A569" r:id="rId568" xr:uid="{00000000-0004-0000-0100-000037020000}"/>
    <hyperlink ref="A570" r:id="rId569" xr:uid="{00000000-0004-0000-0100-000038020000}"/>
    <hyperlink ref="A571" r:id="rId570" xr:uid="{00000000-0004-0000-0100-000039020000}"/>
    <hyperlink ref="A572" r:id="rId571" xr:uid="{00000000-0004-0000-0100-00003A020000}"/>
    <hyperlink ref="A573" r:id="rId572" xr:uid="{00000000-0004-0000-0100-00003B020000}"/>
    <hyperlink ref="A574" r:id="rId573" xr:uid="{00000000-0004-0000-0100-00003C020000}"/>
    <hyperlink ref="A575" r:id="rId574" xr:uid="{00000000-0004-0000-0100-00003D020000}"/>
    <hyperlink ref="A576" r:id="rId575" xr:uid="{00000000-0004-0000-0100-00003E020000}"/>
    <hyperlink ref="A577" r:id="rId576" xr:uid="{00000000-0004-0000-0100-00003F020000}"/>
    <hyperlink ref="A578" r:id="rId577" xr:uid="{00000000-0004-0000-0100-000040020000}"/>
    <hyperlink ref="A579" r:id="rId578" xr:uid="{00000000-0004-0000-0100-000041020000}"/>
    <hyperlink ref="A580" r:id="rId579" xr:uid="{00000000-0004-0000-0100-000042020000}"/>
    <hyperlink ref="A581" r:id="rId580" xr:uid="{00000000-0004-0000-0100-000043020000}"/>
    <hyperlink ref="A582" r:id="rId581" xr:uid="{00000000-0004-0000-0100-000044020000}"/>
    <hyperlink ref="A583" r:id="rId582" xr:uid="{00000000-0004-0000-0100-000045020000}"/>
    <hyperlink ref="A584" r:id="rId583" xr:uid="{00000000-0004-0000-0100-000046020000}"/>
    <hyperlink ref="A585" r:id="rId584" xr:uid="{00000000-0004-0000-0100-000047020000}"/>
    <hyperlink ref="A586" r:id="rId585" xr:uid="{00000000-0004-0000-0100-000048020000}"/>
    <hyperlink ref="A587" r:id="rId586" xr:uid="{00000000-0004-0000-0100-000049020000}"/>
    <hyperlink ref="A588" r:id="rId587" xr:uid="{00000000-0004-0000-0100-00004A020000}"/>
    <hyperlink ref="A589" r:id="rId588" xr:uid="{00000000-0004-0000-0100-00004B020000}"/>
    <hyperlink ref="A590" r:id="rId589" xr:uid="{00000000-0004-0000-0100-00004C020000}"/>
    <hyperlink ref="A591" r:id="rId590" xr:uid="{00000000-0004-0000-0100-00004D020000}"/>
    <hyperlink ref="A592" r:id="rId591" xr:uid="{00000000-0004-0000-0100-00004E020000}"/>
    <hyperlink ref="A593" r:id="rId592" xr:uid="{00000000-0004-0000-0100-00004F020000}"/>
    <hyperlink ref="A594" r:id="rId593" xr:uid="{00000000-0004-0000-0100-000050020000}"/>
    <hyperlink ref="A595" r:id="rId594" xr:uid="{00000000-0004-0000-0100-000051020000}"/>
    <hyperlink ref="A596" r:id="rId595" xr:uid="{00000000-0004-0000-0100-000052020000}"/>
    <hyperlink ref="A597" r:id="rId596" xr:uid="{00000000-0004-0000-0100-000053020000}"/>
    <hyperlink ref="A598" r:id="rId597" xr:uid="{00000000-0004-0000-0100-000054020000}"/>
    <hyperlink ref="A599" r:id="rId598" xr:uid="{00000000-0004-0000-0100-000055020000}"/>
    <hyperlink ref="A600" r:id="rId599" xr:uid="{00000000-0004-0000-0100-000056020000}"/>
    <hyperlink ref="A601" r:id="rId600" xr:uid="{00000000-0004-0000-0100-000057020000}"/>
    <hyperlink ref="A602" r:id="rId601" xr:uid="{00000000-0004-0000-0100-000058020000}"/>
    <hyperlink ref="A603" r:id="rId602" xr:uid="{00000000-0004-0000-0100-000059020000}"/>
    <hyperlink ref="A604" r:id="rId603" xr:uid="{00000000-0004-0000-0100-00005A020000}"/>
    <hyperlink ref="A605" r:id="rId604" xr:uid="{00000000-0004-0000-0100-00005B020000}"/>
    <hyperlink ref="A606" r:id="rId605" xr:uid="{00000000-0004-0000-0100-00005C020000}"/>
    <hyperlink ref="A607" r:id="rId606" xr:uid="{00000000-0004-0000-0100-00005D020000}"/>
    <hyperlink ref="A608" r:id="rId607" xr:uid="{00000000-0004-0000-0100-00005E020000}"/>
    <hyperlink ref="A609" r:id="rId608" xr:uid="{00000000-0004-0000-0100-00005F020000}"/>
    <hyperlink ref="A610" r:id="rId609" xr:uid="{00000000-0004-0000-0100-000060020000}"/>
    <hyperlink ref="A611" r:id="rId610" xr:uid="{00000000-0004-0000-0100-000061020000}"/>
    <hyperlink ref="A612" r:id="rId611" xr:uid="{00000000-0004-0000-0100-000062020000}"/>
    <hyperlink ref="A613" r:id="rId612" xr:uid="{00000000-0004-0000-0100-000063020000}"/>
    <hyperlink ref="A614" r:id="rId613" xr:uid="{00000000-0004-0000-0100-000064020000}"/>
    <hyperlink ref="A615" r:id="rId614" xr:uid="{00000000-0004-0000-0100-000065020000}"/>
    <hyperlink ref="A616" r:id="rId615" xr:uid="{00000000-0004-0000-0100-000066020000}"/>
    <hyperlink ref="A617" r:id="rId616" xr:uid="{00000000-0004-0000-0100-000067020000}"/>
    <hyperlink ref="A618" r:id="rId617" xr:uid="{00000000-0004-0000-0100-000068020000}"/>
    <hyperlink ref="A619" r:id="rId618" xr:uid="{00000000-0004-0000-0100-000069020000}"/>
    <hyperlink ref="A620" r:id="rId619" xr:uid="{00000000-0004-0000-0100-00006A020000}"/>
    <hyperlink ref="A621" r:id="rId620" xr:uid="{00000000-0004-0000-0100-00006B020000}"/>
    <hyperlink ref="A622" r:id="rId621" xr:uid="{00000000-0004-0000-0100-00006C020000}"/>
    <hyperlink ref="A623" r:id="rId622" xr:uid="{00000000-0004-0000-0100-00006D020000}"/>
    <hyperlink ref="A624" r:id="rId623" xr:uid="{00000000-0004-0000-0100-00006E020000}"/>
    <hyperlink ref="A625" r:id="rId624" xr:uid="{00000000-0004-0000-0100-00006F020000}"/>
    <hyperlink ref="A626" r:id="rId625" xr:uid="{00000000-0004-0000-0100-000070020000}"/>
    <hyperlink ref="A627" r:id="rId626" xr:uid="{00000000-0004-0000-0100-000071020000}"/>
    <hyperlink ref="A628" r:id="rId627" xr:uid="{00000000-0004-0000-0100-000072020000}"/>
    <hyperlink ref="A629" r:id="rId628" xr:uid="{00000000-0004-0000-0100-000073020000}"/>
    <hyperlink ref="A630" r:id="rId629" xr:uid="{00000000-0004-0000-0100-000074020000}"/>
    <hyperlink ref="A631" r:id="rId630" xr:uid="{00000000-0004-0000-0100-000075020000}"/>
    <hyperlink ref="A632" r:id="rId631" xr:uid="{00000000-0004-0000-0100-000076020000}"/>
    <hyperlink ref="A633" r:id="rId632" xr:uid="{00000000-0004-0000-0100-000077020000}"/>
    <hyperlink ref="A634" r:id="rId633" xr:uid="{00000000-0004-0000-0100-000078020000}"/>
    <hyperlink ref="A635" r:id="rId634" xr:uid="{00000000-0004-0000-0100-000079020000}"/>
    <hyperlink ref="A636" r:id="rId635" xr:uid="{00000000-0004-0000-0100-00007A020000}"/>
    <hyperlink ref="A637" r:id="rId636" xr:uid="{00000000-0004-0000-0100-00007B020000}"/>
    <hyperlink ref="A638" r:id="rId637" xr:uid="{00000000-0004-0000-0100-00007C020000}"/>
    <hyperlink ref="A639" r:id="rId638" xr:uid="{00000000-0004-0000-0100-00007D020000}"/>
    <hyperlink ref="A640" r:id="rId639" xr:uid="{00000000-0004-0000-0100-00007E020000}"/>
    <hyperlink ref="A641" r:id="rId640" xr:uid="{00000000-0004-0000-0100-00007F020000}"/>
    <hyperlink ref="A642" r:id="rId641" xr:uid="{00000000-0004-0000-0100-000080020000}"/>
    <hyperlink ref="A643" r:id="rId642" xr:uid="{00000000-0004-0000-0100-000081020000}"/>
    <hyperlink ref="A644" r:id="rId643" xr:uid="{00000000-0004-0000-0100-000082020000}"/>
    <hyperlink ref="A645" r:id="rId644" xr:uid="{00000000-0004-0000-0100-000083020000}"/>
    <hyperlink ref="A646" r:id="rId645" xr:uid="{00000000-0004-0000-0100-000084020000}"/>
    <hyperlink ref="A647" r:id="rId646" xr:uid="{00000000-0004-0000-0100-000085020000}"/>
    <hyperlink ref="A648" r:id="rId647" xr:uid="{00000000-0004-0000-0100-000086020000}"/>
    <hyperlink ref="A649" r:id="rId648" xr:uid="{00000000-0004-0000-0100-000087020000}"/>
    <hyperlink ref="A650" r:id="rId649" xr:uid="{00000000-0004-0000-0100-000088020000}"/>
    <hyperlink ref="A651" r:id="rId650" xr:uid="{00000000-0004-0000-0100-000089020000}"/>
    <hyperlink ref="A652" r:id="rId651" xr:uid="{00000000-0004-0000-0100-00008A020000}"/>
    <hyperlink ref="A653" r:id="rId652" xr:uid="{00000000-0004-0000-0100-00008B020000}"/>
    <hyperlink ref="A654" r:id="rId653" xr:uid="{00000000-0004-0000-0100-00008C020000}"/>
    <hyperlink ref="A655" r:id="rId654" xr:uid="{00000000-0004-0000-0100-00008D020000}"/>
    <hyperlink ref="A656" r:id="rId655" xr:uid="{00000000-0004-0000-0100-00008E020000}"/>
    <hyperlink ref="A657" r:id="rId656" xr:uid="{00000000-0004-0000-0100-00008F020000}"/>
    <hyperlink ref="A658" r:id="rId657" xr:uid="{00000000-0004-0000-0100-000090020000}"/>
    <hyperlink ref="A659" r:id="rId658" xr:uid="{00000000-0004-0000-0100-000091020000}"/>
    <hyperlink ref="A660" r:id="rId659" xr:uid="{00000000-0004-0000-0100-000092020000}"/>
    <hyperlink ref="A661" r:id="rId660" xr:uid="{00000000-0004-0000-0100-000093020000}"/>
    <hyperlink ref="A662" r:id="rId661" xr:uid="{00000000-0004-0000-0100-000094020000}"/>
    <hyperlink ref="A663" r:id="rId662" xr:uid="{00000000-0004-0000-0100-000095020000}"/>
    <hyperlink ref="A664" r:id="rId663" xr:uid="{00000000-0004-0000-0100-000096020000}"/>
    <hyperlink ref="A665" r:id="rId664" xr:uid="{00000000-0004-0000-0100-000097020000}"/>
    <hyperlink ref="A666" r:id="rId665" xr:uid="{00000000-0004-0000-0100-000098020000}"/>
    <hyperlink ref="A667" r:id="rId666" xr:uid="{00000000-0004-0000-0100-000099020000}"/>
    <hyperlink ref="A668" r:id="rId667" xr:uid="{00000000-0004-0000-0100-00009A020000}"/>
    <hyperlink ref="A669" r:id="rId668" xr:uid="{00000000-0004-0000-0100-00009B020000}"/>
    <hyperlink ref="A670" r:id="rId669" xr:uid="{00000000-0004-0000-0100-00009C020000}"/>
    <hyperlink ref="A671" r:id="rId670" xr:uid="{00000000-0004-0000-0100-00009D020000}"/>
    <hyperlink ref="A672" r:id="rId671" xr:uid="{00000000-0004-0000-0100-00009E020000}"/>
    <hyperlink ref="A673" r:id="rId672" xr:uid="{00000000-0004-0000-0100-00009F020000}"/>
    <hyperlink ref="A674" r:id="rId673" xr:uid="{00000000-0004-0000-0100-0000A0020000}"/>
    <hyperlink ref="A675" r:id="rId674" xr:uid="{00000000-0004-0000-0100-0000A1020000}"/>
    <hyperlink ref="A676" r:id="rId675" xr:uid="{00000000-0004-0000-0100-0000A2020000}"/>
    <hyperlink ref="A677" r:id="rId676" xr:uid="{00000000-0004-0000-0100-0000A3020000}"/>
    <hyperlink ref="A678" r:id="rId677" xr:uid="{00000000-0004-0000-0100-0000A4020000}"/>
    <hyperlink ref="A679" r:id="rId678" xr:uid="{00000000-0004-0000-0100-0000A5020000}"/>
    <hyperlink ref="A680" r:id="rId679" xr:uid="{00000000-0004-0000-0100-0000A6020000}"/>
    <hyperlink ref="A681" r:id="rId680" xr:uid="{00000000-0004-0000-0100-0000A7020000}"/>
    <hyperlink ref="A682" r:id="rId681" xr:uid="{00000000-0004-0000-0100-0000A8020000}"/>
    <hyperlink ref="A683" r:id="rId682" xr:uid="{00000000-0004-0000-0100-0000A9020000}"/>
    <hyperlink ref="A684" r:id="rId683" xr:uid="{00000000-0004-0000-0100-0000AA020000}"/>
    <hyperlink ref="A685" r:id="rId684" xr:uid="{00000000-0004-0000-0100-0000AB020000}"/>
    <hyperlink ref="A686" r:id="rId685" xr:uid="{00000000-0004-0000-0100-0000AC020000}"/>
    <hyperlink ref="A687" r:id="rId686" xr:uid="{00000000-0004-0000-0100-0000AD020000}"/>
    <hyperlink ref="A688" r:id="rId687" xr:uid="{00000000-0004-0000-0100-0000AE020000}"/>
    <hyperlink ref="A689" r:id="rId688" xr:uid="{00000000-0004-0000-0100-0000AF020000}"/>
    <hyperlink ref="A690" r:id="rId689" xr:uid="{00000000-0004-0000-0100-0000B0020000}"/>
    <hyperlink ref="A691" r:id="rId690" xr:uid="{00000000-0004-0000-0100-0000B1020000}"/>
    <hyperlink ref="A692" r:id="rId691" xr:uid="{00000000-0004-0000-0100-0000B2020000}"/>
    <hyperlink ref="A693" r:id="rId692" xr:uid="{00000000-0004-0000-0100-0000B3020000}"/>
    <hyperlink ref="A694" r:id="rId693" xr:uid="{00000000-0004-0000-0100-0000B4020000}"/>
    <hyperlink ref="A695" r:id="rId694" xr:uid="{00000000-0004-0000-0100-0000B5020000}"/>
    <hyperlink ref="A696" r:id="rId695" xr:uid="{00000000-0004-0000-0100-0000B6020000}"/>
    <hyperlink ref="A697" r:id="rId696" xr:uid="{00000000-0004-0000-0100-0000B7020000}"/>
    <hyperlink ref="A698" r:id="rId697" xr:uid="{00000000-0004-0000-0100-0000B8020000}"/>
    <hyperlink ref="A699" r:id="rId698" xr:uid="{00000000-0004-0000-0100-0000B9020000}"/>
    <hyperlink ref="A700" r:id="rId699" xr:uid="{00000000-0004-0000-0100-0000BA020000}"/>
    <hyperlink ref="A701" r:id="rId700" xr:uid="{00000000-0004-0000-0100-0000BB020000}"/>
    <hyperlink ref="A702" r:id="rId701" xr:uid="{00000000-0004-0000-0100-0000BC020000}"/>
    <hyperlink ref="A703" r:id="rId702" xr:uid="{00000000-0004-0000-0100-0000BD020000}"/>
    <hyperlink ref="A704" r:id="rId703" xr:uid="{00000000-0004-0000-0100-0000BE020000}"/>
    <hyperlink ref="A705" r:id="rId704" xr:uid="{00000000-0004-0000-0100-0000BF020000}"/>
    <hyperlink ref="A706" r:id="rId705" xr:uid="{00000000-0004-0000-0100-0000C0020000}"/>
    <hyperlink ref="A707" r:id="rId706" xr:uid="{00000000-0004-0000-0100-0000C1020000}"/>
    <hyperlink ref="A708" r:id="rId707" xr:uid="{00000000-0004-0000-0100-0000C2020000}"/>
    <hyperlink ref="A709" r:id="rId708" xr:uid="{00000000-0004-0000-0100-0000C3020000}"/>
    <hyperlink ref="A710" r:id="rId709" xr:uid="{00000000-0004-0000-0100-0000C4020000}"/>
    <hyperlink ref="A711" r:id="rId710" xr:uid="{00000000-0004-0000-0100-0000C5020000}"/>
    <hyperlink ref="A712" r:id="rId711" xr:uid="{00000000-0004-0000-0100-0000C6020000}"/>
    <hyperlink ref="A713" r:id="rId712" xr:uid="{00000000-0004-0000-0100-0000C7020000}"/>
    <hyperlink ref="A714" r:id="rId713" xr:uid="{00000000-0004-0000-0100-0000C8020000}"/>
    <hyperlink ref="A715" r:id="rId714" xr:uid="{00000000-0004-0000-0100-0000C9020000}"/>
    <hyperlink ref="A716" r:id="rId715" xr:uid="{00000000-0004-0000-0100-0000CA020000}"/>
    <hyperlink ref="A717" r:id="rId716" xr:uid="{00000000-0004-0000-0100-0000CB020000}"/>
    <hyperlink ref="A718" r:id="rId717" xr:uid="{00000000-0004-0000-0100-0000CC020000}"/>
    <hyperlink ref="A719" r:id="rId718" xr:uid="{00000000-0004-0000-0100-0000CD020000}"/>
    <hyperlink ref="A720" r:id="rId719" xr:uid="{00000000-0004-0000-0100-0000CE020000}"/>
    <hyperlink ref="A721" r:id="rId720" xr:uid="{00000000-0004-0000-0100-0000CF020000}"/>
    <hyperlink ref="A722" r:id="rId721" xr:uid="{00000000-0004-0000-0100-0000D0020000}"/>
    <hyperlink ref="A723" r:id="rId722" xr:uid="{00000000-0004-0000-0100-0000D1020000}"/>
    <hyperlink ref="A724" r:id="rId723" xr:uid="{00000000-0004-0000-0100-0000D2020000}"/>
    <hyperlink ref="A725" r:id="rId724" xr:uid="{00000000-0004-0000-0100-0000D3020000}"/>
    <hyperlink ref="A726" r:id="rId725" xr:uid="{00000000-0004-0000-0100-0000D4020000}"/>
    <hyperlink ref="A727" r:id="rId726" xr:uid="{00000000-0004-0000-0100-0000D5020000}"/>
    <hyperlink ref="A728" r:id="rId727" xr:uid="{00000000-0004-0000-0100-0000D6020000}"/>
    <hyperlink ref="A729" r:id="rId728" xr:uid="{00000000-0004-0000-0100-0000D7020000}"/>
    <hyperlink ref="A730" r:id="rId729" xr:uid="{00000000-0004-0000-0100-0000D8020000}"/>
    <hyperlink ref="A731" r:id="rId730" xr:uid="{00000000-0004-0000-0100-0000D9020000}"/>
    <hyperlink ref="A732" r:id="rId731" xr:uid="{00000000-0004-0000-0100-0000DA020000}"/>
    <hyperlink ref="A733" r:id="rId732" xr:uid="{00000000-0004-0000-0100-0000DB020000}"/>
    <hyperlink ref="A734" r:id="rId733" xr:uid="{00000000-0004-0000-0100-0000DC020000}"/>
    <hyperlink ref="A735" r:id="rId734" xr:uid="{00000000-0004-0000-0100-0000DD020000}"/>
    <hyperlink ref="A736" r:id="rId735" xr:uid="{00000000-0004-0000-0100-0000DE020000}"/>
    <hyperlink ref="A737" r:id="rId736" xr:uid="{00000000-0004-0000-0100-0000DF020000}"/>
    <hyperlink ref="A738" r:id="rId737" xr:uid="{00000000-0004-0000-0100-0000E0020000}"/>
    <hyperlink ref="A739" r:id="rId738" xr:uid="{00000000-0004-0000-0100-0000E1020000}"/>
    <hyperlink ref="A740" r:id="rId739" xr:uid="{00000000-0004-0000-0100-0000E2020000}"/>
    <hyperlink ref="A741" r:id="rId740" xr:uid="{00000000-0004-0000-0100-0000E3020000}"/>
    <hyperlink ref="A742" r:id="rId741" xr:uid="{00000000-0004-0000-0100-0000E4020000}"/>
    <hyperlink ref="A743" r:id="rId742" xr:uid="{00000000-0004-0000-0100-0000E5020000}"/>
    <hyperlink ref="A744" r:id="rId743" xr:uid="{00000000-0004-0000-0100-0000E6020000}"/>
    <hyperlink ref="A745" r:id="rId744" xr:uid="{00000000-0004-0000-0100-0000E7020000}"/>
    <hyperlink ref="A746" r:id="rId745" xr:uid="{00000000-0004-0000-0100-0000E8020000}"/>
    <hyperlink ref="A747" r:id="rId746" xr:uid="{00000000-0004-0000-0100-0000E9020000}"/>
    <hyperlink ref="A748" r:id="rId747" xr:uid="{00000000-0004-0000-0100-0000EA020000}"/>
    <hyperlink ref="A749" r:id="rId748" xr:uid="{00000000-0004-0000-0100-0000EB020000}"/>
    <hyperlink ref="A750" r:id="rId749" xr:uid="{00000000-0004-0000-0100-0000EC020000}"/>
    <hyperlink ref="A751" r:id="rId750" xr:uid="{00000000-0004-0000-0100-0000ED020000}"/>
    <hyperlink ref="A752" r:id="rId751" xr:uid="{00000000-0004-0000-0100-0000EE020000}"/>
    <hyperlink ref="A753" r:id="rId752" xr:uid="{00000000-0004-0000-0100-0000EF020000}"/>
    <hyperlink ref="A754" r:id="rId753" xr:uid="{00000000-0004-0000-0100-0000F0020000}"/>
    <hyperlink ref="A755" r:id="rId754" xr:uid="{00000000-0004-0000-0100-0000F1020000}"/>
    <hyperlink ref="A756" r:id="rId755" xr:uid="{00000000-0004-0000-0100-0000F2020000}"/>
    <hyperlink ref="A757" r:id="rId756" xr:uid="{00000000-0004-0000-0100-0000F3020000}"/>
    <hyperlink ref="A758" r:id="rId757" xr:uid="{00000000-0004-0000-0100-0000F4020000}"/>
    <hyperlink ref="A759" r:id="rId758" xr:uid="{00000000-0004-0000-0100-0000F5020000}"/>
    <hyperlink ref="A760" r:id="rId759" xr:uid="{00000000-0004-0000-0100-0000F6020000}"/>
    <hyperlink ref="A761" r:id="rId760" xr:uid="{00000000-0004-0000-0100-0000F7020000}"/>
    <hyperlink ref="A762" r:id="rId761" xr:uid="{00000000-0004-0000-0100-0000F8020000}"/>
    <hyperlink ref="A763" r:id="rId762" xr:uid="{00000000-0004-0000-0100-0000F9020000}"/>
    <hyperlink ref="A764" r:id="rId763" xr:uid="{00000000-0004-0000-0100-0000FA020000}"/>
    <hyperlink ref="A765" r:id="rId764" xr:uid="{00000000-0004-0000-0100-0000FB020000}"/>
    <hyperlink ref="A766" r:id="rId765" xr:uid="{00000000-0004-0000-0100-0000FC020000}"/>
    <hyperlink ref="A767" r:id="rId766" xr:uid="{00000000-0004-0000-0100-0000FD020000}"/>
    <hyperlink ref="A768" r:id="rId767" xr:uid="{00000000-0004-0000-0100-0000FE020000}"/>
    <hyperlink ref="A769" r:id="rId768" xr:uid="{00000000-0004-0000-0100-0000FF020000}"/>
    <hyperlink ref="A770" r:id="rId769" xr:uid="{00000000-0004-0000-0100-000000030000}"/>
    <hyperlink ref="A771" r:id="rId770" xr:uid="{00000000-0004-0000-0100-000001030000}"/>
    <hyperlink ref="A772" r:id="rId771" xr:uid="{00000000-0004-0000-0100-000002030000}"/>
    <hyperlink ref="A773" r:id="rId772" xr:uid="{00000000-0004-0000-0100-000003030000}"/>
    <hyperlink ref="A774" r:id="rId773" xr:uid="{00000000-0004-0000-0100-000004030000}"/>
    <hyperlink ref="A775" r:id="rId774" xr:uid="{00000000-0004-0000-0100-000005030000}"/>
    <hyperlink ref="A776" r:id="rId775" xr:uid="{00000000-0004-0000-0100-000006030000}"/>
    <hyperlink ref="A777" r:id="rId776" xr:uid="{00000000-0004-0000-0100-000007030000}"/>
    <hyperlink ref="A778" r:id="rId777" xr:uid="{00000000-0004-0000-0100-000008030000}"/>
    <hyperlink ref="A779" r:id="rId778" xr:uid="{00000000-0004-0000-0100-000009030000}"/>
    <hyperlink ref="A780" r:id="rId779" xr:uid="{00000000-0004-0000-0100-00000A030000}"/>
    <hyperlink ref="A781" r:id="rId780" xr:uid="{00000000-0004-0000-0100-00000B030000}"/>
    <hyperlink ref="A782" r:id="rId781" xr:uid="{00000000-0004-0000-0100-00000C030000}"/>
    <hyperlink ref="A783" r:id="rId782" xr:uid="{00000000-0004-0000-0100-00000D030000}"/>
    <hyperlink ref="A784" r:id="rId783" xr:uid="{00000000-0004-0000-0100-00000E030000}"/>
    <hyperlink ref="A785" r:id="rId784" xr:uid="{00000000-0004-0000-0100-00000F030000}"/>
    <hyperlink ref="A786" r:id="rId785" xr:uid="{00000000-0004-0000-0100-000010030000}"/>
    <hyperlink ref="A787" r:id="rId786" xr:uid="{00000000-0004-0000-0100-000011030000}"/>
    <hyperlink ref="A788" r:id="rId787" xr:uid="{00000000-0004-0000-0100-000012030000}"/>
    <hyperlink ref="A789" r:id="rId788" xr:uid="{00000000-0004-0000-0100-000013030000}"/>
    <hyperlink ref="A790" r:id="rId789" xr:uid="{00000000-0004-0000-0100-000014030000}"/>
    <hyperlink ref="A791" r:id="rId790" xr:uid="{00000000-0004-0000-0100-000015030000}"/>
    <hyperlink ref="A792" r:id="rId791" xr:uid="{00000000-0004-0000-0100-000016030000}"/>
    <hyperlink ref="A793" r:id="rId792" xr:uid="{00000000-0004-0000-0100-000017030000}"/>
    <hyperlink ref="A794" r:id="rId793" xr:uid="{00000000-0004-0000-0100-000018030000}"/>
    <hyperlink ref="A795" r:id="rId794" xr:uid="{00000000-0004-0000-0100-000019030000}"/>
    <hyperlink ref="A796" r:id="rId795" xr:uid="{00000000-0004-0000-0100-00001A030000}"/>
    <hyperlink ref="A797" r:id="rId796" xr:uid="{00000000-0004-0000-0100-00001B030000}"/>
    <hyperlink ref="A798" r:id="rId797" xr:uid="{00000000-0004-0000-0100-00001C030000}"/>
    <hyperlink ref="A799" r:id="rId798" xr:uid="{00000000-0004-0000-0100-00001D030000}"/>
    <hyperlink ref="A800" r:id="rId799" xr:uid="{00000000-0004-0000-0100-00001E030000}"/>
    <hyperlink ref="A801" r:id="rId800" xr:uid="{00000000-0004-0000-0100-00001F030000}"/>
    <hyperlink ref="A802" r:id="rId801" xr:uid="{00000000-0004-0000-0100-000020030000}"/>
    <hyperlink ref="A803" r:id="rId802" xr:uid="{00000000-0004-0000-0100-000021030000}"/>
    <hyperlink ref="A804" r:id="rId803" xr:uid="{00000000-0004-0000-0100-000022030000}"/>
    <hyperlink ref="A805" r:id="rId804" xr:uid="{00000000-0004-0000-0100-000023030000}"/>
    <hyperlink ref="A806" r:id="rId805" xr:uid="{00000000-0004-0000-0100-000024030000}"/>
    <hyperlink ref="A807" r:id="rId806" xr:uid="{00000000-0004-0000-0100-000025030000}"/>
    <hyperlink ref="A808" r:id="rId807" xr:uid="{00000000-0004-0000-0100-000026030000}"/>
    <hyperlink ref="A809" r:id="rId808" xr:uid="{00000000-0004-0000-0100-000027030000}"/>
    <hyperlink ref="A810" r:id="rId809" xr:uid="{00000000-0004-0000-0100-000028030000}"/>
    <hyperlink ref="A811" r:id="rId810" xr:uid="{00000000-0004-0000-0100-000029030000}"/>
    <hyperlink ref="A812" r:id="rId811" xr:uid="{00000000-0004-0000-0100-00002A030000}"/>
    <hyperlink ref="A813" r:id="rId812" xr:uid="{00000000-0004-0000-0100-00002B030000}"/>
    <hyperlink ref="A814" r:id="rId813" xr:uid="{00000000-0004-0000-0100-00002C030000}"/>
    <hyperlink ref="A815" r:id="rId814" xr:uid="{00000000-0004-0000-0100-00002D030000}"/>
    <hyperlink ref="A816" r:id="rId815" xr:uid="{00000000-0004-0000-0100-00002E030000}"/>
    <hyperlink ref="A817" r:id="rId816" xr:uid="{00000000-0004-0000-0100-00002F030000}"/>
    <hyperlink ref="A818" r:id="rId817" xr:uid="{00000000-0004-0000-0100-000030030000}"/>
    <hyperlink ref="A819" r:id="rId818" xr:uid="{00000000-0004-0000-0100-000031030000}"/>
    <hyperlink ref="A820" r:id="rId819" xr:uid="{00000000-0004-0000-0100-000032030000}"/>
    <hyperlink ref="A821" r:id="rId820" xr:uid="{00000000-0004-0000-0100-000033030000}"/>
    <hyperlink ref="A822" r:id="rId821" xr:uid="{00000000-0004-0000-0100-000034030000}"/>
    <hyperlink ref="A823" r:id="rId822" xr:uid="{00000000-0004-0000-0100-000035030000}"/>
    <hyperlink ref="A824" r:id="rId823" xr:uid="{00000000-0004-0000-0100-000036030000}"/>
    <hyperlink ref="A825" r:id="rId824" xr:uid="{00000000-0004-0000-0100-000037030000}"/>
    <hyperlink ref="A826" r:id="rId825" xr:uid="{00000000-0004-0000-0100-000038030000}"/>
    <hyperlink ref="A827" r:id="rId826" xr:uid="{00000000-0004-0000-0100-000039030000}"/>
    <hyperlink ref="A828" r:id="rId827" xr:uid="{00000000-0004-0000-0100-00003A030000}"/>
    <hyperlink ref="A829" r:id="rId828" xr:uid="{00000000-0004-0000-0100-00003B030000}"/>
    <hyperlink ref="A830" r:id="rId829" xr:uid="{00000000-0004-0000-0100-00003C030000}"/>
    <hyperlink ref="A831" r:id="rId830" xr:uid="{00000000-0004-0000-0100-00003D030000}"/>
    <hyperlink ref="A832" r:id="rId831" xr:uid="{00000000-0004-0000-0100-00003E030000}"/>
    <hyperlink ref="A833" r:id="rId832" xr:uid="{00000000-0004-0000-0100-00003F030000}"/>
    <hyperlink ref="A834" r:id="rId833" xr:uid="{00000000-0004-0000-0100-000040030000}"/>
    <hyperlink ref="A835" r:id="rId834" xr:uid="{00000000-0004-0000-0100-000041030000}"/>
    <hyperlink ref="A836" r:id="rId835" xr:uid="{00000000-0004-0000-0100-000042030000}"/>
    <hyperlink ref="A837" r:id="rId836" xr:uid="{00000000-0004-0000-0100-000043030000}"/>
    <hyperlink ref="A838" r:id="rId837" xr:uid="{00000000-0004-0000-0100-000044030000}"/>
    <hyperlink ref="A839" r:id="rId838" xr:uid="{00000000-0004-0000-0100-000045030000}"/>
    <hyperlink ref="A840" r:id="rId839" xr:uid="{00000000-0004-0000-0100-000046030000}"/>
    <hyperlink ref="A841" r:id="rId840" xr:uid="{00000000-0004-0000-0100-000047030000}"/>
    <hyperlink ref="A842" r:id="rId841" xr:uid="{00000000-0004-0000-0100-000048030000}"/>
    <hyperlink ref="A843" r:id="rId842" xr:uid="{00000000-0004-0000-0100-000049030000}"/>
    <hyperlink ref="A844" r:id="rId843" xr:uid="{00000000-0004-0000-0100-00004A030000}"/>
    <hyperlink ref="A845" r:id="rId844" xr:uid="{00000000-0004-0000-0100-00004B030000}"/>
    <hyperlink ref="A846" r:id="rId845" xr:uid="{00000000-0004-0000-0100-00004C030000}"/>
    <hyperlink ref="A847" r:id="rId846" xr:uid="{00000000-0004-0000-0100-00004D030000}"/>
    <hyperlink ref="A848" r:id="rId847" xr:uid="{00000000-0004-0000-0100-00004E030000}"/>
    <hyperlink ref="A849" r:id="rId848" xr:uid="{00000000-0004-0000-0100-00004F030000}"/>
    <hyperlink ref="A850" r:id="rId849" xr:uid="{00000000-0004-0000-0100-000050030000}"/>
    <hyperlink ref="A851" r:id="rId850" xr:uid="{00000000-0004-0000-0100-000051030000}"/>
    <hyperlink ref="A852" r:id="rId851" xr:uid="{00000000-0004-0000-0100-000052030000}"/>
    <hyperlink ref="A853" r:id="rId852" xr:uid="{00000000-0004-0000-0100-000053030000}"/>
    <hyperlink ref="A854" r:id="rId853" xr:uid="{00000000-0004-0000-0100-000054030000}"/>
    <hyperlink ref="A855" r:id="rId854" xr:uid="{00000000-0004-0000-0100-000055030000}"/>
    <hyperlink ref="A856" r:id="rId855" xr:uid="{00000000-0004-0000-0100-000056030000}"/>
    <hyperlink ref="A857" r:id="rId856" xr:uid="{00000000-0004-0000-0100-000057030000}"/>
    <hyperlink ref="A858" r:id="rId857" xr:uid="{00000000-0004-0000-0100-000058030000}"/>
    <hyperlink ref="A859" r:id="rId858" xr:uid="{00000000-0004-0000-0100-000059030000}"/>
    <hyperlink ref="A860" r:id="rId859" xr:uid="{00000000-0004-0000-0100-00005A030000}"/>
    <hyperlink ref="A861" r:id="rId860" xr:uid="{00000000-0004-0000-0100-00005B030000}"/>
    <hyperlink ref="A862" r:id="rId861" xr:uid="{00000000-0004-0000-0100-00005C030000}"/>
    <hyperlink ref="A863" r:id="rId862" xr:uid="{00000000-0004-0000-0100-00005D030000}"/>
    <hyperlink ref="A864" r:id="rId863" xr:uid="{00000000-0004-0000-0100-00005E030000}"/>
    <hyperlink ref="A865" r:id="rId864" xr:uid="{00000000-0004-0000-0100-00005F030000}"/>
    <hyperlink ref="A866" r:id="rId865" xr:uid="{00000000-0004-0000-0100-000060030000}"/>
    <hyperlink ref="A867" r:id="rId866" xr:uid="{00000000-0004-0000-0100-000061030000}"/>
    <hyperlink ref="A868" r:id="rId867" xr:uid="{00000000-0004-0000-0100-000062030000}"/>
    <hyperlink ref="A869" r:id="rId868" xr:uid="{00000000-0004-0000-0100-000063030000}"/>
    <hyperlink ref="A870" r:id="rId869" xr:uid="{00000000-0004-0000-0100-000064030000}"/>
    <hyperlink ref="A871" r:id="rId870" xr:uid="{00000000-0004-0000-0100-000065030000}"/>
    <hyperlink ref="A872" r:id="rId871" xr:uid="{00000000-0004-0000-0100-000066030000}"/>
    <hyperlink ref="A873" r:id="rId872" xr:uid="{00000000-0004-0000-0100-000067030000}"/>
    <hyperlink ref="A874" r:id="rId873" xr:uid="{00000000-0004-0000-0100-000068030000}"/>
    <hyperlink ref="A875" r:id="rId874" xr:uid="{00000000-0004-0000-0100-000069030000}"/>
    <hyperlink ref="A876" r:id="rId875" xr:uid="{00000000-0004-0000-0100-00006A030000}"/>
    <hyperlink ref="A877" r:id="rId876" xr:uid="{00000000-0004-0000-0100-00006B030000}"/>
    <hyperlink ref="A878" r:id="rId877" xr:uid="{00000000-0004-0000-0100-00006C030000}"/>
    <hyperlink ref="A879" r:id="rId878" xr:uid="{00000000-0004-0000-0100-00006D030000}"/>
    <hyperlink ref="A880" r:id="rId879" xr:uid="{00000000-0004-0000-0100-00006E030000}"/>
    <hyperlink ref="A881" r:id="rId880" xr:uid="{00000000-0004-0000-0100-00006F030000}"/>
    <hyperlink ref="A882" r:id="rId881" xr:uid="{00000000-0004-0000-0100-000070030000}"/>
    <hyperlink ref="A883" r:id="rId882" xr:uid="{00000000-0004-0000-0100-000071030000}"/>
    <hyperlink ref="A884" r:id="rId883" xr:uid="{00000000-0004-0000-0100-000072030000}"/>
    <hyperlink ref="A885" r:id="rId884" xr:uid="{00000000-0004-0000-0100-000073030000}"/>
    <hyperlink ref="A886" r:id="rId885" xr:uid="{00000000-0004-0000-0100-000074030000}"/>
    <hyperlink ref="A887" r:id="rId886" xr:uid="{00000000-0004-0000-0100-000075030000}"/>
    <hyperlink ref="A888" r:id="rId887" xr:uid="{00000000-0004-0000-0100-000076030000}"/>
    <hyperlink ref="A889" r:id="rId888" xr:uid="{00000000-0004-0000-0100-000077030000}"/>
    <hyperlink ref="A890" r:id="rId889" xr:uid="{00000000-0004-0000-0100-000078030000}"/>
    <hyperlink ref="A891" r:id="rId890" xr:uid="{00000000-0004-0000-0100-000079030000}"/>
    <hyperlink ref="A892" r:id="rId891" xr:uid="{00000000-0004-0000-0100-00007A030000}"/>
    <hyperlink ref="A893" r:id="rId892" xr:uid="{00000000-0004-0000-0100-00007B030000}"/>
    <hyperlink ref="A894" r:id="rId893" xr:uid="{00000000-0004-0000-0100-00007C030000}"/>
    <hyperlink ref="A895" r:id="rId894" xr:uid="{00000000-0004-0000-0100-00007D030000}"/>
    <hyperlink ref="A896" r:id="rId895" xr:uid="{00000000-0004-0000-0100-00007E030000}"/>
    <hyperlink ref="A897" r:id="rId896" xr:uid="{00000000-0004-0000-0100-00007F030000}"/>
    <hyperlink ref="A898" r:id="rId897" xr:uid="{00000000-0004-0000-0100-000080030000}"/>
    <hyperlink ref="A899" r:id="rId898" xr:uid="{00000000-0004-0000-0100-000081030000}"/>
    <hyperlink ref="A900" r:id="rId899" xr:uid="{00000000-0004-0000-0100-000082030000}"/>
    <hyperlink ref="A901" r:id="rId900" xr:uid="{00000000-0004-0000-0100-000083030000}"/>
    <hyperlink ref="A902" r:id="rId901" xr:uid="{00000000-0004-0000-0100-000084030000}"/>
    <hyperlink ref="A903" r:id="rId902" xr:uid="{00000000-0004-0000-0100-000085030000}"/>
    <hyperlink ref="A904" r:id="rId903" xr:uid="{00000000-0004-0000-0100-000086030000}"/>
    <hyperlink ref="A905" r:id="rId904" xr:uid="{00000000-0004-0000-0100-000087030000}"/>
    <hyperlink ref="A906" r:id="rId905" xr:uid="{00000000-0004-0000-0100-000088030000}"/>
    <hyperlink ref="A907" r:id="rId906" xr:uid="{00000000-0004-0000-0100-000089030000}"/>
    <hyperlink ref="A908" r:id="rId907" xr:uid="{00000000-0004-0000-0100-00008A030000}"/>
    <hyperlink ref="A909" r:id="rId908" xr:uid="{00000000-0004-0000-0100-00008B030000}"/>
    <hyperlink ref="A910" r:id="rId909" xr:uid="{00000000-0004-0000-0100-00008C030000}"/>
    <hyperlink ref="A911" r:id="rId910" xr:uid="{00000000-0004-0000-0100-00008D030000}"/>
    <hyperlink ref="A912" r:id="rId911" xr:uid="{00000000-0004-0000-0100-00008E030000}"/>
    <hyperlink ref="A913" r:id="rId912" xr:uid="{00000000-0004-0000-0100-00008F030000}"/>
    <hyperlink ref="A914" r:id="rId913" xr:uid="{00000000-0004-0000-0100-000090030000}"/>
    <hyperlink ref="A915" r:id="rId914" xr:uid="{00000000-0004-0000-0100-000091030000}"/>
    <hyperlink ref="A916" r:id="rId915" xr:uid="{00000000-0004-0000-0100-000092030000}"/>
    <hyperlink ref="A917" r:id="rId916" xr:uid="{00000000-0004-0000-0100-000093030000}"/>
    <hyperlink ref="A918" r:id="rId917" xr:uid="{00000000-0004-0000-0100-000094030000}"/>
    <hyperlink ref="A919" r:id="rId918" xr:uid="{00000000-0004-0000-0100-000095030000}"/>
    <hyperlink ref="A920" r:id="rId919" xr:uid="{00000000-0004-0000-0100-000096030000}"/>
    <hyperlink ref="A921" r:id="rId920" xr:uid="{00000000-0004-0000-0100-000097030000}"/>
    <hyperlink ref="A922" r:id="rId921" xr:uid="{00000000-0004-0000-0100-000098030000}"/>
    <hyperlink ref="A923" r:id="rId922" xr:uid="{00000000-0004-0000-0100-000099030000}"/>
    <hyperlink ref="A924" r:id="rId923" xr:uid="{00000000-0004-0000-0100-00009A030000}"/>
    <hyperlink ref="A925" r:id="rId924" xr:uid="{00000000-0004-0000-0100-00009B030000}"/>
    <hyperlink ref="A926" r:id="rId925" xr:uid="{00000000-0004-0000-0100-00009C030000}"/>
    <hyperlink ref="A927" r:id="rId926" xr:uid="{00000000-0004-0000-0100-00009D030000}"/>
    <hyperlink ref="A928" r:id="rId927" xr:uid="{00000000-0004-0000-0100-00009E030000}"/>
    <hyperlink ref="A929" r:id="rId928" xr:uid="{00000000-0004-0000-0100-00009F030000}"/>
    <hyperlink ref="A930" r:id="rId929" xr:uid="{00000000-0004-0000-0100-0000A0030000}"/>
    <hyperlink ref="A931" r:id="rId930" xr:uid="{00000000-0004-0000-0100-0000A1030000}"/>
    <hyperlink ref="A932" r:id="rId931" xr:uid="{00000000-0004-0000-0100-0000A2030000}"/>
    <hyperlink ref="A933" r:id="rId932" xr:uid="{00000000-0004-0000-0100-0000A3030000}"/>
    <hyperlink ref="A934" r:id="rId933" xr:uid="{00000000-0004-0000-0100-0000A4030000}"/>
    <hyperlink ref="A935" r:id="rId934" xr:uid="{00000000-0004-0000-0100-0000A5030000}"/>
    <hyperlink ref="A936" r:id="rId935" xr:uid="{00000000-0004-0000-0100-0000A6030000}"/>
    <hyperlink ref="A937" r:id="rId936" xr:uid="{00000000-0004-0000-0100-0000A7030000}"/>
    <hyperlink ref="A938" r:id="rId937" xr:uid="{00000000-0004-0000-0100-0000A8030000}"/>
    <hyperlink ref="A939" r:id="rId938" xr:uid="{00000000-0004-0000-0100-0000A9030000}"/>
    <hyperlink ref="A940" r:id="rId939" xr:uid="{00000000-0004-0000-0100-0000AA030000}"/>
    <hyperlink ref="A941" r:id="rId940" xr:uid="{00000000-0004-0000-0100-0000AB030000}"/>
    <hyperlink ref="A942" r:id="rId941" xr:uid="{00000000-0004-0000-0100-0000AC030000}"/>
    <hyperlink ref="A943" r:id="rId942" xr:uid="{00000000-0004-0000-0100-0000AD030000}"/>
    <hyperlink ref="A944" r:id="rId943" xr:uid="{00000000-0004-0000-0100-0000AE030000}"/>
    <hyperlink ref="A945" r:id="rId944" xr:uid="{00000000-0004-0000-0100-0000AF030000}"/>
    <hyperlink ref="A946" r:id="rId945" xr:uid="{00000000-0004-0000-0100-0000B0030000}"/>
    <hyperlink ref="A947" r:id="rId946" xr:uid="{00000000-0004-0000-0100-0000B1030000}"/>
    <hyperlink ref="A948" r:id="rId947" xr:uid="{00000000-0004-0000-0100-0000B2030000}"/>
    <hyperlink ref="A949" r:id="rId948" xr:uid="{00000000-0004-0000-0100-0000B3030000}"/>
    <hyperlink ref="A950" r:id="rId949" xr:uid="{00000000-0004-0000-0100-0000B4030000}"/>
    <hyperlink ref="A951" r:id="rId950" xr:uid="{00000000-0004-0000-0100-0000B5030000}"/>
    <hyperlink ref="A952" r:id="rId951" xr:uid="{00000000-0004-0000-0100-0000B6030000}"/>
    <hyperlink ref="A953" r:id="rId952" xr:uid="{00000000-0004-0000-0100-0000B7030000}"/>
    <hyperlink ref="A954" r:id="rId953" xr:uid="{00000000-0004-0000-0100-0000B8030000}"/>
    <hyperlink ref="A955" r:id="rId954" xr:uid="{00000000-0004-0000-0100-0000B9030000}"/>
    <hyperlink ref="A956" r:id="rId955" xr:uid="{00000000-0004-0000-0100-0000BA030000}"/>
    <hyperlink ref="A957" r:id="rId956" xr:uid="{00000000-0004-0000-0100-0000BB030000}"/>
    <hyperlink ref="A958" r:id="rId957" xr:uid="{00000000-0004-0000-0100-0000BC030000}"/>
    <hyperlink ref="A959" r:id="rId958" xr:uid="{00000000-0004-0000-0100-0000BD030000}"/>
    <hyperlink ref="A960" r:id="rId959" xr:uid="{00000000-0004-0000-0100-0000BE030000}"/>
    <hyperlink ref="A961" r:id="rId960" xr:uid="{00000000-0004-0000-0100-0000BF030000}"/>
    <hyperlink ref="A962" r:id="rId961" xr:uid="{00000000-0004-0000-0100-0000C0030000}"/>
    <hyperlink ref="A963" r:id="rId962" xr:uid="{00000000-0004-0000-0100-0000C1030000}"/>
    <hyperlink ref="A964" r:id="rId963" xr:uid="{00000000-0004-0000-0100-0000C2030000}"/>
    <hyperlink ref="A965" r:id="rId964" xr:uid="{00000000-0004-0000-0100-0000C3030000}"/>
    <hyperlink ref="A966" r:id="rId965" xr:uid="{00000000-0004-0000-0100-0000C4030000}"/>
    <hyperlink ref="A967" r:id="rId966" xr:uid="{00000000-0004-0000-0100-0000C5030000}"/>
    <hyperlink ref="A968" r:id="rId967" xr:uid="{00000000-0004-0000-0100-0000C6030000}"/>
    <hyperlink ref="A969" r:id="rId968" xr:uid="{00000000-0004-0000-0100-0000C7030000}"/>
    <hyperlink ref="A970" r:id="rId969" xr:uid="{00000000-0004-0000-0100-0000C8030000}"/>
    <hyperlink ref="A971" r:id="rId970" xr:uid="{00000000-0004-0000-0100-0000C9030000}"/>
    <hyperlink ref="A972" r:id="rId971" xr:uid="{00000000-0004-0000-0100-0000CA030000}"/>
    <hyperlink ref="A973" r:id="rId972" xr:uid="{00000000-0004-0000-0100-0000CB030000}"/>
    <hyperlink ref="A974" r:id="rId973" xr:uid="{00000000-0004-0000-0100-0000CC030000}"/>
    <hyperlink ref="A975" r:id="rId974" xr:uid="{00000000-0004-0000-0100-0000CD030000}"/>
    <hyperlink ref="A976" r:id="rId975" xr:uid="{00000000-0004-0000-0100-0000CE030000}"/>
    <hyperlink ref="A977" r:id="rId976" xr:uid="{00000000-0004-0000-0100-0000CF030000}"/>
    <hyperlink ref="A978" r:id="rId977" xr:uid="{00000000-0004-0000-0100-0000D0030000}"/>
    <hyperlink ref="A979" r:id="rId978" xr:uid="{00000000-0004-0000-0100-0000D1030000}"/>
    <hyperlink ref="A980" r:id="rId979" xr:uid="{00000000-0004-0000-0100-0000D2030000}"/>
    <hyperlink ref="A981" r:id="rId980" xr:uid="{00000000-0004-0000-0100-0000D3030000}"/>
    <hyperlink ref="A982" r:id="rId981" xr:uid="{00000000-0004-0000-0100-0000D4030000}"/>
    <hyperlink ref="A983" r:id="rId982" xr:uid="{00000000-0004-0000-0100-0000D5030000}"/>
    <hyperlink ref="A984" r:id="rId983" xr:uid="{00000000-0004-0000-0100-0000D6030000}"/>
    <hyperlink ref="A985" r:id="rId984" xr:uid="{00000000-0004-0000-0100-0000D7030000}"/>
    <hyperlink ref="A986" r:id="rId985" xr:uid="{00000000-0004-0000-0100-0000D8030000}"/>
    <hyperlink ref="A987" r:id="rId986" xr:uid="{00000000-0004-0000-0100-0000D9030000}"/>
    <hyperlink ref="A988" r:id="rId987" xr:uid="{00000000-0004-0000-0100-0000DA030000}"/>
    <hyperlink ref="A989" r:id="rId988" xr:uid="{00000000-0004-0000-0100-0000DB030000}"/>
    <hyperlink ref="A990" r:id="rId989" xr:uid="{00000000-0004-0000-0100-0000DC030000}"/>
    <hyperlink ref="A991" r:id="rId990" xr:uid="{00000000-0004-0000-0100-0000DD030000}"/>
    <hyperlink ref="A992" r:id="rId991" xr:uid="{00000000-0004-0000-0100-0000DE030000}"/>
    <hyperlink ref="A993" r:id="rId992" xr:uid="{00000000-0004-0000-0100-0000DF030000}"/>
    <hyperlink ref="A994" r:id="rId993" xr:uid="{00000000-0004-0000-0100-0000E0030000}"/>
    <hyperlink ref="A995" r:id="rId994" xr:uid="{00000000-0004-0000-0100-0000E1030000}"/>
    <hyperlink ref="A996" r:id="rId995" xr:uid="{00000000-0004-0000-0100-0000E2030000}"/>
    <hyperlink ref="A997" r:id="rId996" xr:uid="{00000000-0004-0000-0100-0000E3030000}"/>
    <hyperlink ref="A998" r:id="rId997" xr:uid="{00000000-0004-0000-0100-0000E4030000}"/>
    <hyperlink ref="A999" r:id="rId998" xr:uid="{00000000-0004-0000-0100-0000E5030000}"/>
    <hyperlink ref="A1000" r:id="rId999" xr:uid="{00000000-0004-0000-0100-0000E6030000}"/>
    <hyperlink ref="A1001" r:id="rId1000" xr:uid="{00000000-0004-0000-0100-0000E7030000}"/>
    <hyperlink ref="A1002" r:id="rId1001" xr:uid="{00000000-0004-0000-0100-0000E8030000}"/>
    <hyperlink ref="A1003" r:id="rId1002" xr:uid="{00000000-0004-0000-0100-0000E9030000}"/>
    <hyperlink ref="A1004" r:id="rId1003" xr:uid="{00000000-0004-0000-0100-0000EA030000}"/>
    <hyperlink ref="A1005" r:id="rId1004" xr:uid="{00000000-0004-0000-0100-0000EB030000}"/>
    <hyperlink ref="A1006" r:id="rId1005" xr:uid="{00000000-0004-0000-0100-0000EC030000}"/>
    <hyperlink ref="A1007" r:id="rId1006" xr:uid="{00000000-0004-0000-0100-0000ED030000}"/>
    <hyperlink ref="A1008" r:id="rId1007" xr:uid="{00000000-0004-0000-0100-0000EE030000}"/>
    <hyperlink ref="A1009" r:id="rId1008" xr:uid="{00000000-0004-0000-0100-0000EF030000}"/>
    <hyperlink ref="A1010" r:id="rId1009" xr:uid="{00000000-0004-0000-0100-0000F0030000}"/>
    <hyperlink ref="A1011" r:id="rId1010" xr:uid="{00000000-0004-0000-0100-0000F1030000}"/>
    <hyperlink ref="A1012" r:id="rId1011" xr:uid="{00000000-0004-0000-0100-0000F2030000}"/>
    <hyperlink ref="A1013" r:id="rId1012" xr:uid="{00000000-0004-0000-0100-0000F3030000}"/>
    <hyperlink ref="A1014" r:id="rId1013" xr:uid="{00000000-0004-0000-0100-0000F4030000}"/>
    <hyperlink ref="A1015" r:id="rId1014" xr:uid="{00000000-0004-0000-0100-0000F5030000}"/>
    <hyperlink ref="A1016" r:id="rId1015" xr:uid="{00000000-0004-0000-0100-0000F6030000}"/>
    <hyperlink ref="A1017" r:id="rId1016" xr:uid="{00000000-0004-0000-0100-0000F7030000}"/>
    <hyperlink ref="A1018" r:id="rId1017" xr:uid="{00000000-0004-0000-0100-0000F8030000}"/>
    <hyperlink ref="A1019" r:id="rId1018" xr:uid="{00000000-0004-0000-0100-0000F9030000}"/>
    <hyperlink ref="A1020" r:id="rId1019" xr:uid="{00000000-0004-0000-0100-0000FA030000}"/>
    <hyperlink ref="A1021" r:id="rId1020" xr:uid="{00000000-0004-0000-0100-0000FB030000}"/>
    <hyperlink ref="A1022" r:id="rId1021" xr:uid="{00000000-0004-0000-0100-0000FC030000}"/>
    <hyperlink ref="A1023" r:id="rId1022" xr:uid="{00000000-0004-0000-0100-0000FD030000}"/>
    <hyperlink ref="A1024" r:id="rId1023" xr:uid="{00000000-0004-0000-0100-0000FE030000}"/>
    <hyperlink ref="A1025" r:id="rId1024" xr:uid="{00000000-0004-0000-0100-0000FF030000}"/>
    <hyperlink ref="A1026" r:id="rId1025" xr:uid="{00000000-0004-0000-0100-000000040000}"/>
    <hyperlink ref="A1027" r:id="rId1026" xr:uid="{00000000-0004-0000-0100-000001040000}"/>
    <hyperlink ref="A1028" r:id="rId1027" xr:uid="{00000000-0004-0000-0100-000002040000}"/>
    <hyperlink ref="A1029" r:id="rId1028" xr:uid="{00000000-0004-0000-0100-000003040000}"/>
    <hyperlink ref="A1030" r:id="rId1029" xr:uid="{00000000-0004-0000-0100-000004040000}"/>
    <hyperlink ref="A1031" r:id="rId1030" xr:uid="{00000000-0004-0000-0100-000005040000}"/>
    <hyperlink ref="A1032" r:id="rId1031" xr:uid="{00000000-0004-0000-0100-000006040000}"/>
    <hyperlink ref="A1033" r:id="rId1032" xr:uid="{00000000-0004-0000-0100-000007040000}"/>
    <hyperlink ref="A1034" r:id="rId1033" xr:uid="{00000000-0004-0000-0100-000008040000}"/>
    <hyperlink ref="A1035" r:id="rId1034" xr:uid="{00000000-0004-0000-0100-000009040000}"/>
    <hyperlink ref="A1036" r:id="rId1035" xr:uid="{00000000-0004-0000-0100-00000A040000}"/>
    <hyperlink ref="A1037" r:id="rId1036" xr:uid="{00000000-0004-0000-0100-00000B040000}"/>
    <hyperlink ref="A1038" r:id="rId1037" xr:uid="{00000000-0004-0000-0100-00000C040000}"/>
    <hyperlink ref="A1039" r:id="rId1038" xr:uid="{00000000-0004-0000-0100-00000D040000}"/>
    <hyperlink ref="A1040" r:id="rId1039" xr:uid="{00000000-0004-0000-0100-00000E040000}"/>
    <hyperlink ref="A1041" r:id="rId1040" xr:uid="{00000000-0004-0000-0100-00000F040000}"/>
    <hyperlink ref="A1042" r:id="rId1041" xr:uid="{00000000-0004-0000-0100-000010040000}"/>
    <hyperlink ref="A1043" r:id="rId1042" xr:uid="{00000000-0004-0000-0100-000011040000}"/>
    <hyperlink ref="A1044" r:id="rId1043" xr:uid="{00000000-0004-0000-0100-000012040000}"/>
    <hyperlink ref="A1045" r:id="rId1044" xr:uid="{00000000-0004-0000-0100-000013040000}"/>
    <hyperlink ref="A1046" r:id="rId1045" xr:uid="{00000000-0004-0000-0100-000014040000}"/>
    <hyperlink ref="A1047" r:id="rId1046" xr:uid="{00000000-0004-0000-0100-000015040000}"/>
    <hyperlink ref="A1048" r:id="rId1047" xr:uid="{00000000-0004-0000-0100-000016040000}"/>
    <hyperlink ref="A1049" r:id="rId1048" xr:uid="{00000000-0004-0000-0100-000017040000}"/>
    <hyperlink ref="A1050" r:id="rId1049" xr:uid="{00000000-0004-0000-0100-000018040000}"/>
    <hyperlink ref="A1051" r:id="rId1050" xr:uid="{00000000-0004-0000-0100-000019040000}"/>
    <hyperlink ref="A1052" r:id="rId1051" xr:uid="{00000000-0004-0000-0100-00001A040000}"/>
    <hyperlink ref="A1053" r:id="rId1052" xr:uid="{00000000-0004-0000-0100-00001B040000}"/>
    <hyperlink ref="A1054" r:id="rId1053" xr:uid="{00000000-0004-0000-0100-00001C040000}"/>
    <hyperlink ref="A1055" r:id="rId1054" xr:uid="{00000000-0004-0000-0100-00001D040000}"/>
    <hyperlink ref="A1056" r:id="rId1055" xr:uid="{00000000-0004-0000-0100-00001E040000}"/>
    <hyperlink ref="A1057" r:id="rId1056" xr:uid="{00000000-0004-0000-0100-00001F040000}"/>
    <hyperlink ref="A1058" r:id="rId1057" xr:uid="{00000000-0004-0000-0100-000020040000}"/>
    <hyperlink ref="A1059" r:id="rId1058" xr:uid="{00000000-0004-0000-0100-000021040000}"/>
    <hyperlink ref="A1060" r:id="rId1059" xr:uid="{00000000-0004-0000-0100-000022040000}"/>
    <hyperlink ref="A1061" r:id="rId1060" xr:uid="{00000000-0004-0000-0100-000023040000}"/>
    <hyperlink ref="A1062" r:id="rId1061" xr:uid="{00000000-0004-0000-0100-000024040000}"/>
    <hyperlink ref="A1063" r:id="rId1062" xr:uid="{00000000-0004-0000-0100-000025040000}"/>
    <hyperlink ref="A1064" r:id="rId1063" xr:uid="{00000000-0004-0000-0100-000026040000}"/>
    <hyperlink ref="A1065" r:id="rId1064" xr:uid="{00000000-0004-0000-0100-000027040000}"/>
    <hyperlink ref="A1066" r:id="rId1065" xr:uid="{00000000-0004-0000-0100-000028040000}"/>
    <hyperlink ref="A1067" r:id="rId1066" xr:uid="{00000000-0004-0000-0100-000029040000}"/>
    <hyperlink ref="A1068" r:id="rId1067" xr:uid="{00000000-0004-0000-0100-00002A040000}"/>
    <hyperlink ref="A1069" r:id="rId1068" xr:uid="{00000000-0004-0000-0100-00002B040000}"/>
    <hyperlink ref="A1070" r:id="rId1069" xr:uid="{00000000-0004-0000-0100-00002C040000}"/>
    <hyperlink ref="A1071" r:id="rId1070" xr:uid="{00000000-0004-0000-0100-00002D040000}"/>
    <hyperlink ref="A1072" r:id="rId1071" xr:uid="{00000000-0004-0000-0100-00002E040000}"/>
    <hyperlink ref="A1073" r:id="rId1072" xr:uid="{00000000-0004-0000-0100-00002F040000}"/>
    <hyperlink ref="A1074" r:id="rId1073" xr:uid="{00000000-0004-0000-0100-000030040000}"/>
    <hyperlink ref="A1075" r:id="rId1074" xr:uid="{00000000-0004-0000-0100-000031040000}"/>
    <hyperlink ref="A1076" r:id="rId1075" xr:uid="{00000000-0004-0000-0100-000032040000}"/>
    <hyperlink ref="A1077" r:id="rId1076" xr:uid="{00000000-0004-0000-0100-000033040000}"/>
    <hyperlink ref="A1078" r:id="rId1077" xr:uid="{00000000-0004-0000-0100-000034040000}"/>
    <hyperlink ref="A1079" r:id="rId1078" xr:uid="{00000000-0004-0000-0100-000035040000}"/>
    <hyperlink ref="A1080" r:id="rId1079" xr:uid="{00000000-0004-0000-0100-000036040000}"/>
    <hyperlink ref="A1081" r:id="rId1080" xr:uid="{00000000-0004-0000-0100-000037040000}"/>
    <hyperlink ref="A1082" r:id="rId1081" xr:uid="{00000000-0004-0000-0100-000038040000}"/>
    <hyperlink ref="A1083" r:id="rId1082" xr:uid="{00000000-0004-0000-0100-000039040000}"/>
    <hyperlink ref="A1084" r:id="rId1083" xr:uid="{00000000-0004-0000-0100-00003A040000}"/>
    <hyperlink ref="A1085" r:id="rId1084" xr:uid="{00000000-0004-0000-0100-00003B040000}"/>
    <hyperlink ref="A1086" r:id="rId1085" xr:uid="{00000000-0004-0000-0100-00003C040000}"/>
    <hyperlink ref="A1087" r:id="rId1086" xr:uid="{00000000-0004-0000-0100-00003D040000}"/>
    <hyperlink ref="A1088" r:id="rId1087" xr:uid="{00000000-0004-0000-0100-00003E040000}"/>
    <hyperlink ref="A1089" r:id="rId1088" xr:uid="{00000000-0004-0000-0100-00003F040000}"/>
    <hyperlink ref="A1090" r:id="rId1089" xr:uid="{00000000-0004-0000-0100-000040040000}"/>
    <hyperlink ref="A1091" r:id="rId1090" xr:uid="{00000000-0004-0000-0100-000041040000}"/>
    <hyperlink ref="A1092" r:id="rId1091" xr:uid="{00000000-0004-0000-0100-000042040000}"/>
    <hyperlink ref="A1093" r:id="rId1092" xr:uid="{00000000-0004-0000-0100-000043040000}"/>
    <hyperlink ref="A1094" r:id="rId1093" xr:uid="{00000000-0004-0000-0100-000044040000}"/>
    <hyperlink ref="A1095" r:id="rId1094" xr:uid="{00000000-0004-0000-0100-000045040000}"/>
    <hyperlink ref="A1096" r:id="rId1095" xr:uid="{00000000-0004-0000-0100-000046040000}"/>
    <hyperlink ref="A1097" r:id="rId1096" xr:uid="{00000000-0004-0000-0100-000047040000}"/>
    <hyperlink ref="A1098" r:id="rId1097" xr:uid="{00000000-0004-0000-0100-000048040000}"/>
    <hyperlink ref="A1099" r:id="rId1098" xr:uid="{00000000-0004-0000-0100-000049040000}"/>
    <hyperlink ref="A1100" r:id="rId1099" xr:uid="{00000000-0004-0000-0100-00004A040000}"/>
    <hyperlink ref="A1101" r:id="rId1100" xr:uid="{00000000-0004-0000-0100-00004B040000}"/>
    <hyperlink ref="A1102" r:id="rId1101" xr:uid="{00000000-0004-0000-0100-00004C040000}"/>
    <hyperlink ref="A1103" r:id="rId1102" xr:uid="{00000000-0004-0000-0100-00004D040000}"/>
    <hyperlink ref="A1104" r:id="rId1103" xr:uid="{00000000-0004-0000-0100-00004E040000}"/>
    <hyperlink ref="A1105" r:id="rId1104" xr:uid="{00000000-0004-0000-0100-00004F040000}"/>
    <hyperlink ref="A1106" r:id="rId1105" xr:uid="{00000000-0004-0000-0100-000050040000}"/>
    <hyperlink ref="A1107" r:id="rId1106" xr:uid="{00000000-0004-0000-0100-000051040000}"/>
    <hyperlink ref="A1108" r:id="rId1107" xr:uid="{00000000-0004-0000-0100-000052040000}"/>
    <hyperlink ref="A1109" r:id="rId1108" xr:uid="{00000000-0004-0000-0100-000053040000}"/>
    <hyperlink ref="A1110" r:id="rId1109" xr:uid="{00000000-0004-0000-0100-000054040000}"/>
    <hyperlink ref="A1111" r:id="rId1110" xr:uid="{00000000-0004-0000-0100-000055040000}"/>
    <hyperlink ref="A1112" r:id="rId1111" xr:uid="{00000000-0004-0000-0100-000056040000}"/>
    <hyperlink ref="A1113" r:id="rId1112" xr:uid="{00000000-0004-0000-0100-000057040000}"/>
    <hyperlink ref="A1114" r:id="rId1113" xr:uid="{00000000-0004-0000-0100-000058040000}"/>
    <hyperlink ref="A1115" r:id="rId1114" xr:uid="{00000000-0004-0000-0100-000059040000}"/>
    <hyperlink ref="A1116" r:id="rId1115" xr:uid="{00000000-0004-0000-0100-00005A040000}"/>
    <hyperlink ref="A1117" r:id="rId1116" xr:uid="{00000000-0004-0000-0100-00005B040000}"/>
    <hyperlink ref="A1118" r:id="rId1117" xr:uid="{00000000-0004-0000-0100-00005C040000}"/>
    <hyperlink ref="A1119" r:id="rId1118" xr:uid="{00000000-0004-0000-0100-00005D040000}"/>
    <hyperlink ref="A1120" r:id="rId1119" xr:uid="{00000000-0004-0000-0100-00005E040000}"/>
    <hyperlink ref="A1121" r:id="rId1120" xr:uid="{00000000-0004-0000-0100-00005F040000}"/>
    <hyperlink ref="A1122" r:id="rId1121" xr:uid="{00000000-0004-0000-0100-000060040000}"/>
    <hyperlink ref="A1123" r:id="rId1122" xr:uid="{00000000-0004-0000-0100-000061040000}"/>
    <hyperlink ref="A1124" r:id="rId1123" xr:uid="{00000000-0004-0000-0100-000062040000}"/>
    <hyperlink ref="A1125" r:id="rId1124" xr:uid="{00000000-0004-0000-0100-000063040000}"/>
    <hyperlink ref="A1126" r:id="rId1125" xr:uid="{00000000-0004-0000-0100-000064040000}"/>
    <hyperlink ref="A1127" r:id="rId1126" xr:uid="{00000000-0004-0000-0100-000065040000}"/>
    <hyperlink ref="A1128" r:id="rId1127" xr:uid="{00000000-0004-0000-0100-000066040000}"/>
    <hyperlink ref="A1129" r:id="rId1128" xr:uid="{00000000-0004-0000-0100-000067040000}"/>
    <hyperlink ref="A1130" r:id="rId1129" xr:uid="{00000000-0004-0000-0100-000068040000}"/>
    <hyperlink ref="A1131" r:id="rId1130" xr:uid="{00000000-0004-0000-0100-000069040000}"/>
    <hyperlink ref="A1132" r:id="rId1131" xr:uid="{00000000-0004-0000-0100-00006A040000}"/>
    <hyperlink ref="A1133" r:id="rId1132" xr:uid="{00000000-0004-0000-0100-00006B040000}"/>
    <hyperlink ref="A1134" r:id="rId1133" xr:uid="{00000000-0004-0000-0100-00006C040000}"/>
    <hyperlink ref="A1135" r:id="rId1134" xr:uid="{00000000-0004-0000-0100-00006D040000}"/>
    <hyperlink ref="A1136" r:id="rId1135" xr:uid="{00000000-0004-0000-0100-00006E040000}"/>
    <hyperlink ref="A1137" r:id="rId1136" xr:uid="{00000000-0004-0000-0100-00006F040000}"/>
    <hyperlink ref="A1138" r:id="rId1137" xr:uid="{00000000-0004-0000-0100-000070040000}"/>
    <hyperlink ref="A1139" r:id="rId1138" xr:uid="{00000000-0004-0000-0100-000071040000}"/>
    <hyperlink ref="A1140" r:id="rId1139" xr:uid="{00000000-0004-0000-0100-000072040000}"/>
    <hyperlink ref="A1141" r:id="rId1140" xr:uid="{00000000-0004-0000-0100-000073040000}"/>
    <hyperlink ref="A1142" r:id="rId1141" xr:uid="{00000000-0004-0000-0100-000074040000}"/>
    <hyperlink ref="A1143" r:id="rId1142" xr:uid="{00000000-0004-0000-0100-000075040000}"/>
    <hyperlink ref="A1144" r:id="rId1143" xr:uid="{00000000-0004-0000-0100-000076040000}"/>
    <hyperlink ref="A1145" r:id="rId1144" xr:uid="{00000000-0004-0000-0100-000077040000}"/>
    <hyperlink ref="A1146" r:id="rId1145" xr:uid="{00000000-0004-0000-0100-000078040000}"/>
    <hyperlink ref="A1147" r:id="rId1146" xr:uid="{00000000-0004-0000-0100-000079040000}"/>
    <hyperlink ref="A1148" r:id="rId1147" xr:uid="{00000000-0004-0000-0100-00007A040000}"/>
    <hyperlink ref="A1149" r:id="rId1148" xr:uid="{00000000-0004-0000-0100-00007B040000}"/>
    <hyperlink ref="A1150" r:id="rId1149" xr:uid="{00000000-0004-0000-0100-00007C040000}"/>
    <hyperlink ref="A1151" r:id="rId1150" xr:uid="{00000000-0004-0000-0100-00007D040000}"/>
    <hyperlink ref="A1152" r:id="rId1151" xr:uid="{00000000-0004-0000-0100-00007E040000}"/>
    <hyperlink ref="A1153" r:id="rId1152" xr:uid="{00000000-0004-0000-0100-00007F040000}"/>
    <hyperlink ref="A1154" r:id="rId1153" xr:uid="{00000000-0004-0000-0100-000080040000}"/>
    <hyperlink ref="A1155" r:id="rId1154" xr:uid="{00000000-0004-0000-0100-000081040000}"/>
    <hyperlink ref="A1156" r:id="rId1155" xr:uid="{00000000-0004-0000-0100-000082040000}"/>
    <hyperlink ref="A1157" r:id="rId1156" xr:uid="{00000000-0004-0000-0100-000083040000}"/>
    <hyperlink ref="A1158" r:id="rId1157" xr:uid="{00000000-0004-0000-0100-000084040000}"/>
    <hyperlink ref="A1159" r:id="rId1158" xr:uid="{00000000-0004-0000-0100-000085040000}"/>
    <hyperlink ref="A1160" r:id="rId1159" xr:uid="{00000000-0004-0000-0100-000086040000}"/>
    <hyperlink ref="A1161" r:id="rId1160" xr:uid="{00000000-0004-0000-0100-000087040000}"/>
    <hyperlink ref="A1162" r:id="rId1161" xr:uid="{00000000-0004-0000-0100-000088040000}"/>
    <hyperlink ref="A1163" r:id="rId1162" xr:uid="{00000000-0004-0000-0100-000089040000}"/>
    <hyperlink ref="A1164" r:id="rId1163" xr:uid="{00000000-0004-0000-0100-00008A040000}"/>
    <hyperlink ref="A1165" r:id="rId1164" xr:uid="{00000000-0004-0000-0100-00008B040000}"/>
    <hyperlink ref="A1166" r:id="rId1165" xr:uid="{00000000-0004-0000-0100-00008C040000}"/>
    <hyperlink ref="A1167" r:id="rId1166" xr:uid="{00000000-0004-0000-0100-00008D040000}"/>
    <hyperlink ref="A1168" r:id="rId1167" xr:uid="{00000000-0004-0000-0100-00008E040000}"/>
    <hyperlink ref="A1169" r:id="rId1168" xr:uid="{00000000-0004-0000-0100-00008F040000}"/>
    <hyperlink ref="A1170" r:id="rId1169" xr:uid="{00000000-0004-0000-0100-000090040000}"/>
    <hyperlink ref="A1171" r:id="rId1170" xr:uid="{00000000-0004-0000-0100-000091040000}"/>
    <hyperlink ref="A1172" r:id="rId1171" xr:uid="{00000000-0004-0000-0100-000092040000}"/>
    <hyperlink ref="A1173" r:id="rId1172" xr:uid="{00000000-0004-0000-0100-000093040000}"/>
    <hyperlink ref="A1174" r:id="rId1173" xr:uid="{00000000-0004-0000-0100-000094040000}"/>
    <hyperlink ref="A1175" r:id="rId1174" xr:uid="{00000000-0004-0000-0100-000095040000}"/>
    <hyperlink ref="A1176" r:id="rId1175" xr:uid="{00000000-0004-0000-0100-000096040000}"/>
    <hyperlink ref="A1177" r:id="rId1176" xr:uid="{00000000-0004-0000-0100-000097040000}"/>
    <hyperlink ref="A1178" r:id="rId1177" xr:uid="{00000000-0004-0000-0100-000098040000}"/>
    <hyperlink ref="A1179" r:id="rId1178" xr:uid="{00000000-0004-0000-0100-000099040000}"/>
    <hyperlink ref="A1180" r:id="rId1179" xr:uid="{00000000-0004-0000-0100-00009A040000}"/>
    <hyperlink ref="A1181" r:id="rId1180" xr:uid="{00000000-0004-0000-0100-00009B040000}"/>
    <hyperlink ref="A1182" r:id="rId1181" xr:uid="{00000000-0004-0000-0100-00009C040000}"/>
    <hyperlink ref="A1183" r:id="rId1182" xr:uid="{00000000-0004-0000-0100-00009D040000}"/>
    <hyperlink ref="A1184" r:id="rId1183" xr:uid="{00000000-0004-0000-0100-00009E040000}"/>
    <hyperlink ref="A1185" r:id="rId1184" xr:uid="{00000000-0004-0000-0100-00009F040000}"/>
    <hyperlink ref="A1186" r:id="rId1185" xr:uid="{00000000-0004-0000-0100-0000A0040000}"/>
    <hyperlink ref="A1187" r:id="rId1186" xr:uid="{00000000-0004-0000-0100-0000A1040000}"/>
    <hyperlink ref="A1188" r:id="rId1187" xr:uid="{00000000-0004-0000-0100-0000A2040000}"/>
    <hyperlink ref="A1189" r:id="rId1188" xr:uid="{00000000-0004-0000-0100-0000A3040000}"/>
    <hyperlink ref="A1190" r:id="rId1189" xr:uid="{00000000-0004-0000-0100-0000A4040000}"/>
    <hyperlink ref="A1191" r:id="rId1190" xr:uid="{00000000-0004-0000-0100-0000A5040000}"/>
    <hyperlink ref="A1192" r:id="rId1191" xr:uid="{00000000-0004-0000-0100-0000A6040000}"/>
    <hyperlink ref="A1193" r:id="rId1192" xr:uid="{00000000-0004-0000-0100-0000A7040000}"/>
    <hyperlink ref="A1194" r:id="rId1193" xr:uid="{00000000-0004-0000-0100-0000A8040000}"/>
    <hyperlink ref="A1195" r:id="rId1194" xr:uid="{00000000-0004-0000-0100-0000A9040000}"/>
    <hyperlink ref="A1196" r:id="rId1195" xr:uid="{00000000-0004-0000-0100-0000AA040000}"/>
    <hyperlink ref="A1197" r:id="rId1196" xr:uid="{00000000-0004-0000-0100-0000AB040000}"/>
    <hyperlink ref="A1198" r:id="rId1197" xr:uid="{00000000-0004-0000-0100-0000AC040000}"/>
    <hyperlink ref="A1199" r:id="rId1198" xr:uid="{00000000-0004-0000-0100-0000AD040000}"/>
    <hyperlink ref="A1200" r:id="rId1199" xr:uid="{00000000-0004-0000-0100-0000AE040000}"/>
    <hyperlink ref="A1201" r:id="rId1200" xr:uid="{00000000-0004-0000-0100-0000AF040000}"/>
    <hyperlink ref="A1202" r:id="rId1201" xr:uid="{00000000-0004-0000-0100-0000B0040000}"/>
    <hyperlink ref="A1203" r:id="rId1202" xr:uid="{00000000-0004-0000-0100-0000B1040000}"/>
    <hyperlink ref="A1204" r:id="rId1203" xr:uid="{00000000-0004-0000-0100-0000B2040000}"/>
    <hyperlink ref="A1205" r:id="rId1204" xr:uid="{00000000-0004-0000-0100-0000B3040000}"/>
    <hyperlink ref="A1206" r:id="rId1205" xr:uid="{00000000-0004-0000-0100-0000B4040000}"/>
    <hyperlink ref="A1207" r:id="rId1206" xr:uid="{00000000-0004-0000-0100-0000B5040000}"/>
    <hyperlink ref="A1208" r:id="rId1207" xr:uid="{00000000-0004-0000-0100-0000B6040000}"/>
    <hyperlink ref="A1209" r:id="rId1208" xr:uid="{00000000-0004-0000-0100-0000B7040000}"/>
    <hyperlink ref="A1210" r:id="rId1209" xr:uid="{00000000-0004-0000-0100-0000B8040000}"/>
    <hyperlink ref="A1211" r:id="rId1210" xr:uid="{00000000-0004-0000-0100-0000B9040000}"/>
    <hyperlink ref="A1212" r:id="rId1211" xr:uid="{00000000-0004-0000-0100-0000BA040000}"/>
    <hyperlink ref="A1213" r:id="rId1212" xr:uid="{00000000-0004-0000-0100-0000BB040000}"/>
    <hyperlink ref="A1214" r:id="rId1213" xr:uid="{00000000-0004-0000-0100-0000BC040000}"/>
    <hyperlink ref="A1215" r:id="rId1214" xr:uid="{00000000-0004-0000-0100-0000BD040000}"/>
    <hyperlink ref="A1216" r:id="rId1215" xr:uid="{00000000-0004-0000-0100-0000BE040000}"/>
    <hyperlink ref="A1217" r:id="rId1216" xr:uid="{00000000-0004-0000-0100-0000BF040000}"/>
    <hyperlink ref="A1218" r:id="rId1217" xr:uid="{00000000-0004-0000-0100-0000C0040000}"/>
    <hyperlink ref="A1219" r:id="rId1218" xr:uid="{00000000-0004-0000-0100-0000C1040000}"/>
    <hyperlink ref="A1220" r:id="rId1219" xr:uid="{00000000-0004-0000-0100-0000C2040000}"/>
    <hyperlink ref="A1221" r:id="rId1220" xr:uid="{00000000-0004-0000-0100-0000C3040000}"/>
    <hyperlink ref="A1222" r:id="rId1221" xr:uid="{00000000-0004-0000-0100-0000C4040000}"/>
    <hyperlink ref="A1223" r:id="rId1222" xr:uid="{00000000-0004-0000-0100-0000C5040000}"/>
    <hyperlink ref="A1224" r:id="rId1223" xr:uid="{00000000-0004-0000-0100-0000C6040000}"/>
    <hyperlink ref="A1225" r:id="rId1224" xr:uid="{00000000-0004-0000-0100-0000C7040000}"/>
    <hyperlink ref="A1226" r:id="rId1225" xr:uid="{00000000-0004-0000-0100-0000C8040000}"/>
    <hyperlink ref="A1227" r:id="rId1226" xr:uid="{00000000-0004-0000-0100-0000C9040000}"/>
    <hyperlink ref="A1228" r:id="rId1227" xr:uid="{00000000-0004-0000-0100-0000CA040000}"/>
    <hyperlink ref="A1229" r:id="rId1228" xr:uid="{00000000-0004-0000-0100-0000CB040000}"/>
    <hyperlink ref="A1230" r:id="rId1229" xr:uid="{00000000-0004-0000-0100-0000CC040000}"/>
    <hyperlink ref="A1231" r:id="rId1230" xr:uid="{00000000-0004-0000-0100-0000CD040000}"/>
    <hyperlink ref="A1232" r:id="rId1231" xr:uid="{00000000-0004-0000-0100-0000CE040000}"/>
    <hyperlink ref="A1233" r:id="rId1232" xr:uid="{00000000-0004-0000-0100-0000CF040000}"/>
    <hyperlink ref="A1234" r:id="rId1233" xr:uid="{00000000-0004-0000-0100-0000D0040000}"/>
    <hyperlink ref="A1235" r:id="rId1234" xr:uid="{00000000-0004-0000-0100-0000D1040000}"/>
    <hyperlink ref="A1236" r:id="rId1235" xr:uid="{00000000-0004-0000-0100-0000D2040000}"/>
    <hyperlink ref="A1237" r:id="rId1236" xr:uid="{00000000-0004-0000-0100-0000D3040000}"/>
    <hyperlink ref="A1238" r:id="rId1237" xr:uid="{00000000-0004-0000-0100-0000D4040000}"/>
    <hyperlink ref="A1239" r:id="rId1238" xr:uid="{00000000-0004-0000-0100-0000D5040000}"/>
    <hyperlink ref="A1240" r:id="rId1239" xr:uid="{00000000-0004-0000-0100-0000D6040000}"/>
    <hyperlink ref="A1241" r:id="rId1240" xr:uid="{00000000-0004-0000-0100-0000D7040000}"/>
    <hyperlink ref="A1242" r:id="rId1241" xr:uid="{00000000-0004-0000-0100-0000D8040000}"/>
    <hyperlink ref="A1243" r:id="rId1242" xr:uid="{00000000-0004-0000-0100-0000D9040000}"/>
    <hyperlink ref="A1244" r:id="rId1243" xr:uid="{00000000-0004-0000-0100-0000DA040000}"/>
    <hyperlink ref="A1245" r:id="rId1244" xr:uid="{00000000-0004-0000-0100-0000DB040000}"/>
    <hyperlink ref="A1246" r:id="rId1245" xr:uid="{00000000-0004-0000-0100-0000DC040000}"/>
    <hyperlink ref="A1247" r:id="rId1246" xr:uid="{00000000-0004-0000-0100-0000DD040000}"/>
    <hyperlink ref="A1248" r:id="rId1247" xr:uid="{00000000-0004-0000-0100-0000DE040000}"/>
    <hyperlink ref="A1249" r:id="rId1248" xr:uid="{00000000-0004-0000-0100-0000DF040000}"/>
    <hyperlink ref="A1250" r:id="rId1249" xr:uid="{00000000-0004-0000-0100-0000E0040000}"/>
    <hyperlink ref="A1251" r:id="rId1250" xr:uid="{00000000-0004-0000-0100-0000E1040000}"/>
    <hyperlink ref="A1252" r:id="rId1251" xr:uid="{00000000-0004-0000-0100-0000E2040000}"/>
    <hyperlink ref="A1253" r:id="rId1252" xr:uid="{00000000-0004-0000-0100-0000E3040000}"/>
    <hyperlink ref="A1254" r:id="rId1253" xr:uid="{00000000-0004-0000-0100-0000E4040000}"/>
    <hyperlink ref="A1255" r:id="rId1254" xr:uid="{00000000-0004-0000-0100-0000E5040000}"/>
    <hyperlink ref="A1256" r:id="rId1255" xr:uid="{00000000-0004-0000-0100-0000E6040000}"/>
    <hyperlink ref="A1257" r:id="rId1256" xr:uid="{00000000-0004-0000-0100-0000E7040000}"/>
    <hyperlink ref="A1258" r:id="rId1257" xr:uid="{00000000-0004-0000-0100-0000E8040000}"/>
    <hyperlink ref="A1259" r:id="rId1258" xr:uid="{00000000-0004-0000-0100-0000E9040000}"/>
    <hyperlink ref="A1260" r:id="rId1259" xr:uid="{00000000-0004-0000-0100-0000EA040000}"/>
    <hyperlink ref="A1261" r:id="rId1260" xr:uid="{00000000-0004-0000-0100-0000EB040000}"/>
    <hyperlink ref="A1262" r:id="rId1261" xr:uid="{00000000-0004-0000-0100-0000EC040000}"/>
    <hyperlink ref="A1263" r:id="rId1262" xr:uid="{00000000-0004-0000-0100-0000ED040000}"/>
    <hyperlink ref="A1264" r:id="rId1263" xr:uid="{00000000-0004-0000-0100-0000EE040000}"/>
    <hyperlink ref="A1265" r:id="rId1264" xr:uid="{00000000-0004-0000-0100-0000EF040000}"/>
    <hyperlink ref="A1266" r:id="rId1265" xr:uid="{00000000-0004-0000-0100-0000F0040000}"/>
    <hyperlink ref="A1267" r:id="rId1266" xr:uid="{00000000-0004-0000-0100-0000F1040000}"/>
    <hyperlink ref="A1268" r:id="rId1267" xr:uid="{00000000-0004-0000-0100-0000F2040000}"/>
    <hyperlink ref="A1269" r:id="rId1268" xr:uid="{00000000-0004-0000-0100-0000F3040000}"/>
    <hyperlink ref="A1270" r:id="rId1269" xr:uid="{00000000-0004-0000-0100-0000F4040000}"/>
    <hyperlink ref="A1271" r:id="rId1270" xr:uid="{00000000-0004-0000-0100-0000F5040000}"/>
    <hyperlink ref="A1272" r:id="rId1271" xr:uid="{00000000-0004-0000-0100-0000F6040000}"/>
    <hyperlink ref="A1273" r:id="rId1272" xr:uid="{00000000-0004-0000-0100-0000F7040000}"/>
    <hyperlink ref="A1274" r:id="rId1273" xr:uid="{00000000-0004-0000-0100-0000F8040000}"/>
    <hyperlink ref="A1275" r:id="rId1274" xr:uid="{00000000-0004-0000-0100-0000F9040000}"/>
    <hyperlink ref="A1276" r:id="rId1275" xr:uid="{00000000-0004-0000-0100-0000FA040000}"/>
    <hyperlink ref="A1277" r:id="rId1276" xr:uid="{00000000-0004-0000-0100-0000FB040000}"/>
    <hyperlink ref="A1278" r:id="rId1277" xr:uid="{00000000-0004-0000-0100-0000FC040000}"/>
    <hyperlink ref="A1279" r:id="rId1278" xr:uid="{00000000-0004-0000-0100-0000FD040000}"/>
    <hyperlink ref="A1280" r:id="rId1279" xr:uid="{00000000-0004-0000-0100-0000FE040000}"/>
    <hyperlink ref="A1281" r:id="rId1280" xr:uid="{00000000-0004-0000-0100-0000FF040000}"/>
    <hyperlink ref="A1282" r:id="rId1281" xr:uid="{00000000-0004-0000-0100-000000050000}"/>
    <hyperlink ref="A1283" r:id="rId1282" xr:uid="{00000000-0004-0000-0100-000001050000}"/>
    <hyperlink ref="A1284" r:id="rId1283" xr:uid="{00000000-0004-0000-0100-000002050000}"/>
    <hyperlink ref="A1285" r:id="rId1284" xr:uid="{00000000-0004-0000-0100-000003050000}"/>
    <hyperlink ref="A1286" r:id="rId1285" xr:uid="{00000000-0004-0000-0100-000004050000}"/>
    <hyperlink ref="A1287" r:id="rId1286" xr:uid="{00000000-0004-0000-0100-000005050000}"/>
    <hyperlink ref="A1288" r:id="rId1287" xr:uid="{00000000-0004-0000-0100-000006050000}"/>
    <hyperlink ref="A1289" r:id="rId1288" xr:uid="{00000000-0004-0000-0100-000007050000}"/>
    <hyperlink ref="A1290" r:id="rId1289" xr:uid="{00000000-0004-0000-0100-000008050000}"/>
    <hyperlink ref="A1291" r:id="rId1290" xr:uid="{00000000-0004-0000-0100-000009050000}"/>
    <hyperlink ref="A1292" r:id="rId1291" xr:uid="{00000000-0004-0000-0100-00000A050000}"/>
    <hyperlink ref="A1293" r:id="rId1292" xr:uid="{00000000-0004-0000-0100-00000B050000}"/>
    <hyperlink ref="A1294" r:id="rId1293" xr:uid="{00000000-0004-0000-0100-00000C050000}"/>
    <hyperlink ref="A1295" r:id="rId1294" xr:uid="{00000000-0004-0000-0100-00000D050000}"/>
    <hyperlink ref="A1296" r:id="rId1295" xr:uid="{00000000-0004-0000-0100-00000E050000}"/>
    <hyperlink ref="A1297" r:id="rId1296" xr:uid="{00000000-0004-0000-0100-00000F050000}"/>
    <hyperlink ref="A1298" r:id="rId1297" xr:uid="{00000000-0004-0000-0100-000010050000}"/>
    <hyperlink ref="A1299" r:id="rId1298" xr:uid="{00000000-0004-0000-0100-000011050000}"/>
    <hyperlink ref="A1300" r:id="rId1299" xr:uid="{00000000-0004-0000-0100-000012050000}"/>
    <hyperlink ref="A1301" r:id="rId1300" xr:uid="{00000000-0004-0000-0100-000013050000}"/>
    <hyperlink ref="A1302" r:id="rId1301" xr:uid="{00000000-0004-0000-0100-000014050000}"/>
    <hyperlink ref="A1303" r:id="rId1302" xr:uid="{00000000-0004-0000-0100-000015050000}"/>
    <hyperlink ref="A1304" r:id="rId1303" xr:uid="{00000000-0004-0000-0100-000016050000}"/>
    <hyperlink ref="A1305" r:id="rId1304" xr:uid="{00000000-0004-0000-0100-000017050000}"/>
    <hyperlink ref="A1306" r:id="rId1305" xr:uid="{00000000-0004-0000-0100-000018050000}"/>
    <hyperlink ref="A1307" r:id="rId1306" xr:uid="{00000000-0004-0000-0100-000019050000}"/>
    <hyperlink ref="A1308" r:id="rId1307" xr:uid="{00000000-0004-0000-0100-00001A050000}"/>
    <hyperlink ref="A1309" r:id="rId1308" xr:uid="{00000000-0004-0000-0100-00001B050000}"/>
    <hyperlink ref="A1310" r:id="rId1309" xr:uid="{00000000-0004-0000-0100-00001C050000}"/>
    <hyperlink ref="A1311" r:id="rId1310" xr:uid="{00000000-0004-0000-0100-00001D050000}"/>
    <hyperlink ref="A1312" r:id="rId1311" xr:uid="{00000000-0004-0000-0100-00001E050000}"/>
    <hyperlink ref="A1313" r:id="rId1312" xr:uid="{00000000-0004-0000-0100-00001F050000}"/>
    <hyperlink ref="A1314" r:id="rId1313" xr:uid="{00000000-0004-0000-0100-000020050000}"/>
    <hyperlink ref="A1315" r:id="rId1314" xr:uid="{00000000-0004-0000-0100-000021050000}"/>
    <hyperlink ref="A1316" r:id="rId1315" xr:uid="{00000000-0004-0000-0100-000022050000}"/>
    <hyperlink ref="A1317" r:id="rId1316" xr:uid="{00000000-0004-0000-0100-000023050000}"/>
    <hyperlink ref="A1318" r:id="rId1317" xr:uid="{00000000-0004-0000-0100-000024050000}"/>
    <hyperlink ref="A1319" r:id="rId1318" xr:uid="{00000000-0004-0000-0100-000025050000}"/>
    <hyperlink ref="A1320" r:id="rId1319" xr:uid="{00000000-0004-0000-0100-000026050000}"/>
    <hyperlink ref="A1321" r:id="rId1320" xr:uid="{00000000-0004-0000-0100-000027050000}"/>
    <hyperlink ref="A1322" r:id="rId1321" xr:uid="{00000000-0004-0000-0100-000028050000}"/>
    <hyperlink ref="A1323" r:id="rId1322" xr:uid="{00000000-0004-0000-0100-000029050000}"/>
    <hyperlink ref="A1324" r:id="rId1323" xr:uid="{00000000-0004-0000-0100-00002A050000}"/>
    <hyperlink ref="A1325" r:id="rId1324" xr:uid="{00000000-0004-0000-0100-00002B050000}"/>
    <hyperlink ref="A1326" r:id="rId1325" xr:uid="{00000000-0004-0000-0100-00002C050000}"/>
    <hyperlink ref="A1327" r:id="rId1326" xr:uid="{00000000-0004-0000-0100-00002D050000}"/>
    <hyperlink ref="A1328" r:id="rId1327" xr:uid="{00000000-0004-0000-0100-00002E050000}"/>
    <hyperlink ref="A1329" r:id="rId1328" xr:uid="{00000000-0004-0000-0100-00002F050000}"/>
    <hyperlink ref="A1330" r:id="rId1329" xr:uid="{00000000-0004-0000-0100-000030050000}"/>
    <hyperlink ref="A1331" r:id="rId1330" xr:uid="{00000000-0004-0000-0100-000031050000}"/>
    <hyperlink ref="A1332" r:id="rId1331" xr:uid="{00000000-0004-0000-0100-000032050000}"/>
    <hyperlink ref="A1333" r:id="rId1332" xr:uid="{00000000-0004-0000-0100-000033050000}"/>
    <hyperlink ref="A1334" r:id="rId1333" xr:uid="{00000000-0004-0000-0100-000034050000}"/>
    <hyperlink ref="A1335" r:id="rId1334" xr:uid="{00000000-0004-0000-0100-000035050000}"/>
    <hyperlink ref="A1336" r:id="rId1335" xr:uid="{00000000-0004-0000-0100-000036050000}"/>
    <hyperlink ref="A1337" r:id="rId1336" xr:uid="{00000000-0004-0000-0100-000037050000}"/>
    <hyperlink ref="A1338" r:id="rId1337" xr:uid="{00000000-0004-0000-0100-000038050000}"/>
    <hyperlink ref="A1339" r:id="rId1338" xr:uid="{00000000-0004-0000-0100-000039050000}"/>
    <hyperlink ref="A1340" r:id="rId1339" xr:uid="{00000000-0004-0000-0100-00003A050000}"/>
    <hyperlink ref="A1341" r:id="rId1340" xr:uid="{00000000-0004-0000-0100-00003B050000}"/>
    <hyperlink ref="A1342" r:id="rId1341" xr:uid="{00000000-0004-0000-0100-00003C050000}"/>
    <hyperlink ref="A1343" r:id="rId1342" xr:uid="{00000000-0004-0000-0100-00003D050000}"/>
    <hyperlink ref="A1344" r:id="rId1343" xr:uid="{00000000-0004-0000-0100-00003E050000}"/>
    <hyperlink ref="A1345" r:id="rId1344" xr:uid="{00000000-0004-0000-0100-00003F050000}"/>
    <hyperlink ref="A1346" r:id="rId1345" xr:uid="{00000000-0004-0000-0100-000040050000}"/>
    <hyperlink ref="A1347" r:id="rId1346" xr:uid="{00000000-0004-0000-0100-000041050000}"/>
    <hyperlink ref="A1348" r:id="rId1347" xr:uid="{00000000-0004-0000-0100-000042050000}"/>
    <hyperlink ref="A1349" r:id="rId1348" xr:uid="{00000000-0004-0000-0100-000043050000}"/>
    <hyperlink ref="A1350" r:id="rId1349" xr:uid="{00000000-0004-0000-0100-000044050000}"/>
    <hyperlink ref="A1351" r:id="rId1350" xr:uid="{00000000-0004-0000-0100-000045050000}"/>
    <hyperlink ref="A1352" r:id="rId1351" xr:uid="{00000000-0004-0000-0100-000046050000}"/>
    <hyperlink ref="A1353" r:id="rId1352" xr:uid="{00000000-0004-0000-0100-000047050000}"/>
    <hyperlink ref="A1354" r:id="rId1353" xr:uid="{00000000-0004-0000-0100-000048050000}"/>
    <hyperlink ref="A1355" r:id="rId1354" xr:uid="{00000000-0004-0000-0100-000049050000}"/>
    <hyperlink ref="A1356" r:id="rId1355" xr:uid="{00000000-0004-0000-0100-00004A050000}"/>
    <hyperlink ref="A1357" r:id="rId1356" xr:uid="{00000000-0004-0000-0100-00004B050000}"/>
    <hyperlink ref="A1358" r:id="rId1357" xr:uid="{00000000-0004-0000-0100-00004C050000}"/>
    <hyperlink ref="A1359" r:id="rId1358" xr:uid="{00000000-0004-0000-0100-00004D050000}"/>
    <hyperlink ref="A1360" r:id="rId1359" xr:uid="{00000000-0004-0000-0100-00004E050000}"/>
    <hyperlink ref="A1361" r:id="rId1360" xr:uid="{00000000-0004-0000-0100-00004F050000}"/>
    <hyperlink ref="A1362" r:id="rId1361" xr:uid="{00000000-0004-0000-0100-000050050000}"/>
    <hyperlink ref="A1363" r:id="rId1362" xr:uid="{00000000-0004-0000-0100-000051050000}"/>
    <hyperlink ref="A1364" r:id="rId1363" xr:uid="{00000000-0004-0000-0100-000052050000}"/>
    <hyperlink ref="A1365" r:id="rId1364" xr:uid="{00000000-0004-0000-0100-000053050000}"/>
    <hyperlink ref="A1366" r:id="rId1365" xr:uid="{00000000-0004-0000-0100-000054050000}"/>
    <hyperlink ref="A1367" r:id="rId1366" xr:uid="{00000000-0004-0000-0100-000055050000}"/>
    <hyperlink ref="A1368" r:id="rId1367" xr:uid="{00000000-0004-0000-0100-000056050000}"/>
    <hyperlink ref="A1369" r:id="rId1368" xr:uid="{00000000-0004-0000-0100-000057050000}"/>
    <hyperlink ref="A1370" r:id="rId1369" xr:uid="{00000000-0004-0000-0100-000058050000}"/>
    <hyperlink ref="A1371" r:id="rId1370" xr:uid="{00000000-0004-0000-0100-000059050000}"/>
    <hyperlink ref="A1372" r:id="rId1371" xr:uid="{00000000-0004-0000-0100-00005A050000}"/>
    <hyperlink ref="A1373" r:id="rId1372" xr:uid="{00000000-0004-0000-0100-00005B050000}"/>
    <hyperlink ref="A1374" r:id="rId1373" xr:uid="{00000000-0004-0000-0100-00005C050000}"/>
    <hyperlink ref="A1375" r:id="rId1374" xr:uid="{00000000-0004-0000-0100-00005D050000}"/>
    <hyperlink ref="A1376" r:id="rId1375" xr:uid="{00000000-0004-0000-0100-00005E050000}"/>
    <hyperlink ref="A1377" r:id="rId1376" xr:uid="{00000000-0004-0000-0100-00005F050000}"/>
    <hyperlink ref="A1378" r:id="rId1377" xr:uid="{00000000-0004-0000-0100-000060050000}"/>
    <hyperlink ref="A1379" r:id="rId1378" xr:uid="{00000000-0004-0000-0100-000061050000}"/>
    <hyperlink ref="A1380" r:id="rId1379" xr:uid="{00000000-0004-0000-0100-000062050000}"/>
    <hyperlink ref="A1381" r:id="rId1380" xr:uid="{00000000-0004-0000-0100-000063050000}"/>
    <hyperlink ref="A1382" r:id="rId1381" xr:uid="{00000000-0004-0000-0100-000064050000}"/>
    <hyperlink ref="A1383" r:id="rId1382" xr:uid="{00000000-0004-0000-0100-000065050000}"/>
    <hyperlink ref="A1384" r:id="rId1383" xr:uid="{00000000-0004-0000-0100-000066050000}"/>
    <hyperlink ref="A1385" r:id="rId1384" xr:uid="{00000000-0004-0000-0100-000067050000}"/>
    <hyperlink ref="A1386" r:id="rId1385" xr:uid="{00000000-0004-0000-0100-000068050000}"/>
    <hyperlink ref="A1387" r:id="rId1386" xr:uid="{00000000-0004-0000-0100-000069050000}"/>
    <hyperlink ref="A1388" r:id="rId1387" xr:uid="{00000000-0004-0000-0100-00006A050000}"/>
    <hyperlink ref="A1389" r:id="rId1388" xr:uid="{00000000-0004-0000-0100-00006B050000}"/>
    <hyperlink ref="A1390" r:id="rId1389" xr:uid="{00000000-0004-0000-0100-00006C050000}"/>
    <hyperlink ref="A1391" r:id="rId1390" xr:uid="{00000000-0004-0000-0100-00006D050000}"/>
    <hyperlink ref="A1392" r:id="rId1391" xr:uid="{00000000-0004-0000-0100-00006E050000}"/>
    <hyperlink ref="A1393" r:id="rId1392" xr:uid="{00000000-0004-0000-0100-00006F050000}"/>
    <hyperlink ref="A1394" r:id="rId1393" xr:uid="{00000000-0004-0000-0100-000070050000}"/>
    <hyperlink ref="A1395" r:id="rId1394" xr:uid="{00000000-0004-0000-0100-000071050000}"/>
    <hyperlink ref="A1396" r:id="rId1395" xr:uid="{00000000-0004-0000-0100-000072050000}"/>
    <hyperlink ref="A1397" r:id="rId1396" xr:uid="{00000000-0004-0000-0100-000073050000}"/>
    <hyperlink ref="A1398" r:id="rId1397" xr:uid="{00000000-0004-0000-0100-000074050000}"/>
    <hyperlink ref="A1399" r:id="rId1398" xr:uid="{00000000-0004-0000-0100-000075050000}"/>
    <hyperlink ref="A1400" r:id="rId1399" xr:uid="{00000000-0004-0000-0100-000076050000}"/>
    <hyperlink ref="A1401" r:id="rId1400" xr:uid="{00000000-0004-0000-0100-000077050000}"/>
    <hyperlink ref="A1402" r:id="rId1401" xr:uid="{00000000-0004-0000-0100-000078050000}"/>
    <hyperlink ref="A1403" r:id="rId1402" xr:uid="{00000000-0004-0000-0100-000079050000}"/>
    <hyperlink ref="A1404" r:id="rId1403" xr:uid="{00000000-0004-0000-0100-00007A050000}"/>
    <hyperlink ref="A1405" r:id="rId1404" xr:uid="{00000000-0004-0000-0100-00007B050000}"/>
    <hyperlink ref="A1406" r:id="rId1405" xr:uid="{00000000-0004-0000-0100-00007C050000}"/>
    <hyperlink ref="A1407" r:id="rId1406" xr:uid="{00000000-0004-0000-0100-00007D050000}"/>
    <hyperlink ref="A1408" r:id="rId1407" xr:uid="{00000000-0004-0000-0100-00007E050000}"/>
    <hyperlink ref="A1409" r:id="rId1408" xr:uid="{00000000-0004-0000-0100-00007F050000}"/>
    <hyperlink ref="A1410" r:id="rId1409" xr:uid="{00000000-0004-0000-0100-000080050000}"/>
    <hyperlink ref="A1411" r:id="rId1410" xr:uid="{00000000-0004-0000-0100-000081050000}"/>
    <hyperlink ref="A1412" r:id="rId1411" xr:uid="{00000000-0004-0000-0100-000082050000}"/>
    <hyperlink ref="A1413" r:id="rId1412" xr:uid="{00000000-0004-0000-0100-000083050000}"/>
    <hyperlink ref="A1414" r:id="rId1413" xr:uid="{00000000-0004-0000-0100-000084050000}"/>
    <hyperlink ref="A1415" r:id="rId1414" xr:uid="{00000000-0004-0000-0100-000085050000}"/>
    <hyperlink ref="A1416" r:id="rId1415" xr:uid="{00000000-0004-0000-0100-000086050000}"/>
    <hyperlink ref="A1417" r:id="rId1416" xr:uid="{00000000-0004-0000-0100-000087050000}"/>
    <hyperlink ref="A1418" r:id="rId1417" xr:uid="{00000000-0004-0000-0100-000088050000}"/>
    <hyperlink ref="A1419" r:id="rId1418" xr:uid="{00000000-0004-0000-0100-000089050000}"/>
    <hyperlink ref="A1420" r:id="rId1419" xr:uid="{00000000-0004-0000-0100-00008A050000}"/>
    <hyperlink ref="A1421" r:id="rId1420" xr:uid="{00000000-0004-0000-0100-00008B050000}"/>
    <hyperlink ref="A1422" r:id="rId1421" xr:uid="{00000000-0004-0000-0100-00008C050000}"/>
    <hyperlink ref="A1423" r:id="rId1422" xr:uid="{00000000-0004-0000-0100-00008D050000}"/>
    <hyperlink ref="A1424" r:id="rId1423" xr:uid="{00000000-0004-0000-0100-00008E050000}"/>
    <hyperlink ref="A1425" r:id="rId1424" xr:uid="{00000000-0004-0000-0100-00008F050000}"/>
    <hyperlink ref="A1426" r:id="rId1425" xr:uid="{00000000-0004-0000-0100-000090050000}"/>
    <hyperlink ref="A1427" r:id="rId1426" xr:uid="{00000000-0004-0000-0100-000091050000}"/>
    <hyperlink ref="A1428" r:id="rId1427" xr:uid="{00000000-0004-0000-0100-000092050000}"/>
    <hyperlink ref="A1429" r:id="rId1428" xr:uid="{00000000-0004-0000-0100-000093050000}"/>
    <hyperlink ref="A1430" r:id="rId1429" xr:uid="{00000000-0004-0000-0100-000094050000}"/>
    <hyperlink ref="A1431" r:id="rId1430" xr:uid="{00000000-0004-0000-0100-000095050000}"/>
    <hyperlink ref="A1432" r:id="rId1431" xr:uid="{00000000-0004-0000-0100-000096050000}"/>
    <hyperlink ref="A1433" r:id="rId1432" xr:uid="{00000000-0004-0000-0100-000097050000}"/>
    <hyperlink ref="A1434" r:id="rId1433" xr:uid="{00000000-0004-0000-0100-000098050000}"/>
    <hyperlink ref="A1435" r:id="rId1434" xr:uid="{00000000-0004-0000-0100-000099050000}"/>
    <hyperlink ref="A1436" r:id="rId1435" xr:uid="{00000000-0004-0000-0100-00009A050000}"/>
    <hyperlink ref="A1437" r:id="rId1436" xr:uid="{00000000-0004-0000-0100-00009B050000}"/>
    <hyperlink ref="A1438" r:id="rId1437" xr:uid="{00000000-0004-0000-0100-00009C050000}"/>
    <hyperlink ref="A1439" r:id="rId1438" xr:uid="{00000000-0004-0000-0100-00009D050000}"/>
    <hyperlink ref="A1440" r:id="rId1439" xr:uid="{00000000-0004-0000-0100-00009E050000}"/>
    <hyperlink ref="A1441" r:id="rId1440" xr:uid="{00000000-0004-0000-0100-00009F050000}"/>
    <hyperlink ref="A1442" r:id="rId1441" xr:uid="{00000000-0004-0000-0100-0000A0050000}"/>
    <hyperlink ref="A1443" r:id="rId1442" xr:uid="{00000000-0004-0000-0100-0000A1050000}"/>
    <hyperlink ref="A1444" r:id="rId1443" xr:uid="{00000000-0004-0000-0100-0000A2050000}"/>
    <hyperlink ref="A1445" r:id="rId1444" xr:uid="{00000000-0004-0000-0100-0000A3050000}"/>
    <hyperlink ref="A1446" r:id="rId1445" xr:uid="{00000000-0004-0000-0100-0000A4050000}"/>
    <hyperlink ref="A1447" r:id="rId1446" xr:uid="{00000000-0004-0000-0100-0000A5050000}"/>
    <hyperlink ref="A1448" r:id="rId1447" xr:uid="{00000000-0004-0000-0100-0000A6050000}"/>
    <hyperlink ref="A1449" r:id="rId1448" xr:uid="{00000000-0004-0000-0100-0000A7050000}"/>
    <hyperlink ref="A1450" r:id="rId1449" xr:uid="{00000000-0004-0000-0100-0000A8050000}"/>
    <hyperlink ref="A1451" r:id="rId1450" xr:uid="{00000000-0004-0000-0100-0000A9050000}"/>
    <hyperlink ref="A1452" r:id="rId1451" xr:uid="{00000000-0004-0000-0100-0000AA050000}"/>
    <hyperlink ref="A1453" r:id="rId1452" xr:uid="{00000000-0004-0000-0100-0000AB050000}"/>
    <hyperlink ref="A1454" r:id="rId1453" xr:uid="{00000000-0004-0000-0100-0000AC050000}"/>
    <hyperlink ref="A1455" r:id="rId1454" xr:uid="{00000000-0004-0000-0100-0000AD050000}"/>
    <hyperlink ref="A1456" r:id="rId1455" xr:uid="{00000000-0004-0000-0100-0000AE050000}"/>
    <hyperlink ref="A1457" r:id="rId1456" xr:uid="{00000000-0004-0000-0100-0000AF050000}"/>
    <hyperlink ref="A1458" r:id="rId1457" xr:uid="{00000000-0004-0000-0100-0000B0050000}"/>
    <hyperlink ref="A1459" r:id="rId1458" xr:uid="{00000000-0004-0000-0100-0000B1050000}"/>
    <hyperlink ref="A1460" r:id="rId1459" xr:uid="{00000000-0004-0000-0100-0000B2050000}"/>
    <hyperlink ref="A1461" r:id="rId1460" xr:uid="{00000000-0004-0000-0100-0000B3050000}"/>
    <hyperlink ref="A1462" r:id="rId1461" xr:uid="{00000000-0004-0000-0100-0000B4050000}"/>
    <hyperlink ref="A1463" r:id="rId1462" xr:uid="{00000000-0004-0000-0100-0000B5050000}"/>
    <hyperlink ref="A1464" r:id="rId1463" xr:uid="{00000000-0004-0000-0100-0000B6050000}"/>
    <hyperlink ref="A1465" r:id="rId1464" xr:uid="{00000000-0004-0000-0100-0000B7050000}"/>
    <hyperlink ref="A1466" r:id="rId1465" xr:uid="{00000000-0004-0000-0100-0000B8050000}"/>
    <hyperlink ref="A1467" r:id="rId1466" xr:uid="{00000000-0004-0000-0100-0000B9050000}"/>
    <hyperlink ref="A1468" r:id="rId1467" xr:uid="{00000000-0004-0000-0100-0000BA050000}"/>
    <hyperlink ref="A1469" r:id="rId1468" xr:uid="{00000000-0004-0000-0100-0000BB050000}"/>
    <hyperlink ref="A1470" r:id="rId1469" xr:uid="{00000000-0004-0000-0100-0000BC050000}"/>
    <hyperlink ref="A1471" r:id="rId1470" xr:uid="{00000000-0004-0000-0100-0000BD050000}"/>
    <hyperlink ref="A1472" r:id="rId1471" xr:uid="{00000000-0004-0000-0100-0000BE050000}"/>
    <hyperlink ref="A1473" r:id="rId1472" xr:uid="{00000000-0004-0000-0100-0000BF050000}"/>
    <hyperlink ref="A1474" r:id="rId1473" xr:uid="{00000000-0004-0000-0100-0000C0050000}"/>
    <hyperlink ref="A1475" r:id="rId1474" xr:uid="{00000000-0004-0000-0100-0000C1050000}"/>
    <hyperlink ref="A1476" r:id="rId1475" xr:uid="{00000000-0004-0000-0100-0000C2050000}"/>
    <hyperlink ref="A1477" r:id="rId1476" xr:uid="{00000000-0004-0000-0100-0000C3050000}"/>
    <hyperlink ref="A1478" r:id="rId1477" xr:uid="{00000000-0004-0000-0100-0000C4050000}"/>
    <hyperlink ref="A1479" r:id="rId1478" xr:uid="{00000000-0004-0000-0100-0000C5050000}"/>
    <hyperlink ref="A1480" r:id="rId1479" xr:uid="{00000000-0004-0000-0100-0000C6050000}"/>
    <hyperlink ref="A1481" r:id="rId1480" xr:uid="{00000000-0004-0000-0100-0000C7050000}"/>
    <hyperlink ref="A1482" r:id="rId1481" xr:uid="{00000000-0004-0000-0100-0000C8050000}"/>
    <hyperlink ref="A1483" r:id="rId1482" xr:uid="{00000000-0004-0000-0100-0000C9050000}"/>
    <hyperlink ref="A1484" r:id="rId1483" xr:uid="{00000000-0004-0000-0100-0000CA050000}"/>
    <hyperlink ref="A1485" r:id="rId1484" xr:uid="{00000000-0004-0000-0100-0000CB050000}"/>
    <hyperlink ref="A1486" r:id="rId1485" xr:uid="{00000000-0004-0000-0100-0000CC050000}"/>
    <hyperlink ref="A1487" r:id="rId1486" xr:uid="{00000000-0004-0000-0100-0000CD050000}"/>
    <hyperlink ref="A1488" r:id="rId1487" xr:uid="{00000000-0004-0000-0100-0000CE050000}"/>
    <hyperlink ref="A1489" r:id="rId1488" xr:uid="{00000000-0004-0000-0100-0000CF050000}"/>
    <hyperlink ref="A1490" r:id="rId1489" xr:uid="{00000000-0004-0000-0100-0000D0050000}"/>
    <hyperlink ref="A1491" r:id="rId1490" xr:uid="{00000000-0004-0000-0100-0000D1050000}"/>
    <hyperlink ref="A1492" r:id="rId1491" xr:uid="{00000000-0004-0000-0100-0000D2050000}"/>
    <hyperlink ref="A1493" r:id="rId1492" xr:uid="{00000000-0004-0000-0100-0000D3050000}"/>
    <hyperlink ref="A1494" r:id="rId1493" xr:uid="{00000000-0004-0000-0100-0000D4050000}"/>
    <hyperlink ref="A1495" r:id="rId1494" xr:uid="{00000000-0004-0000-0100-0000D5050000}"/>
    <hyperlink ref="A1496" r:id="rId1495" xr:uid="{00000000-0004-0000-0100-0000D6050000}"/>
    <hyperlink ref="A1497" r:id="rId1496" xr:uid="{00000000-0004-0000-0100-0000D7050000}"/>
    <hyperlink ref="A1498" r:id="rId1497" xr:uid="{00000000-0004-0000-0100-0000D8050000}"/>
    <hyperlink ref="A1499" r:id="rId1498" xr:uid="{00000000-0004-0000-0100-0000D9050000}"/>
    <hyperlink ref="A1500" r:id="rId1499" xr:uid="{00000000-0004-0000-0100-0000DA050000}"/>
    <hyperlink ref="A1501" r:id="rId1500" xr:uid="{00000000-0004-0000-0100-0000DB050000}"/>
    <hyperlink ref="A1502" r:id="rId1501" xr:uid="{00000000-0004-0000-0100-0000DC050000}"/>
    <hyperlink ref="A1503" r:id="rId1502" xr:uid="{00000000-0004-0000-0100-0000DD050000}"/>
    <hyperlink ref="A1504" r:id="rId1503" xr:uid="{00000000-0004-0000-0100-0000DE050000}"/>
    <hyperlink ref="A1505" r:id="rId1504" xr:uid="{00000000-0004-0000-0100-0000DF050000}"/>
    <hyperlink ref="A1506" r:id="rId1505" xr:uid="{00000000-0004-0000-0100-0000E0050000}"/>
    <hyperlink ref="A1507" r:id="rId1506" xr:uid="{00000000-0004-0000-0100-0000E1050000}"/>
    <hyperlink ref="A1508" r:id="rId1507" xr:uid="{00000000-0004-0000-0100-0000E2050000}"/>
    <hyperlink ref="A1509" r:id="rId1508" xr:uid="{00000000-0004-0000-0100-0000E3050000}"/>
    <hyperlink ref="A1510" r:id="rId1509" xr:uid="{00000000-0004-0000-0100-0000E4050000}"/>
    <hyperlink ref="A1511" r:id="rId1510" xr:uid="{00000000-0004-0000-0100-0000E5050000}"/>
    <hyperlink ref="A1512" r:id="rId1511" xr:uid="{00000000-0004-0000-0100-0000E6050000}"/>
    <hyperlink ref="A1513" r:id="rId1512" xr:uid="{00000000-0004-0000-0100-0000E7050000}"/>
    <hyperlink ref="A1514" r:id="rId1513" xr:uid="{00000000-0004-0000-0100-0000E8050000}"/>
    <hyperlink ref="A1515" r:id="rId1514" xr:uid="{00000000-0004-0000-0100-0000E9050000}"/>
    <hyperlink ref="A1516" r:id="rId1515" xr:uid="{00000000-0004-0000-0100-0000EA050000}"/>
    <hyperlink ref="A1517" r:id="rId1516" xr:uid="{00000000-0004-0000-0100-0000EB050000}"/>
    <hyperlink ref="A1519" r:id="rId1517" xr:uid="{00000000-0004-0000-0100-0000EC050000}"/>
    <hyperlink ref="A1520" r:id="rId1518" xr:uid="{00000000-0004-0000-0100-0000ED050000}"/>
    <hyperlink ref="A1521" r:id="rId1519" xr:uid="{00000000-0004-0000-0100-0000EE050000}"/>
    <hyperlink ref="A1522" r:id="rId1520" xr:uid="{00000000-0004-0000-0100-0000EF050000}"/>
    <hyperlink ref="A1523" r:id="rId1521" xr:uid="{00000000-0004-0000-0100-0000F0050000}"/>
    <hyperlink ref="A1524" r:id="rId1522" xr:uid="{00000000-0004-0000-0100-0000F1050000}"/>
    <hyperlink ref="A1525" r:id="rId1523" xr:uid="{00000000-0004-0000-0100-0000F2050000}"/>
    <hyperlink ref="A1526" r:id="rId1524" xr:uid="{00000000-0004-0000-0100-0000F3050000}"/>
    <hyperlink ref="A1527" r:id="rId1525" xr:uid="{00000000-0004-0000-0100-0000F4050000}"/>
    <hyperlink ref="A1528" r:id="rId1526" xr:uid="{00000000-0004-0000-0100-0000F5050000}"/>
    <hyperlink ref="A1529" r:id="rId1527" xr:uid="{00000000-0004-0000-0100-0000F6050000}"/>
    <hyperlink ref="A1530" r:id="rId1528" xr:uid="{00000000-0004-0000-0100-0000F7050000}"/>
    <hyperlink ref="A1531" r:id="rId1529" xr:uid="{00000000-0004-0000-0100-0000F8050000}"/>
    <hyperlink ref="A1532" r:id="rId1530" xr:uid="{00000000-0004-0000-0100-0000F9050000}"/>
    <hyperlink ref="A1533" r:id="rId1531" xr:uid="{00000000-0004-0000-0100-0000FA050000}"/>
    <hyperlink ref="A1534" r:id="rId1532" xr:uid="{00000000-0004-0000-0100-0000FB050000}"/>
    <hyperlink ref="A1535" r:id="rId1533" xr:uid="{00000000-0004-0000-0100-0000FC050000}"/>
    <hyperlink ref="A1536" r:id="rId1534" xr:uid="{00000000-0004-0000-0100-0000FD050000}"/>
    <hyperlink ref="A1537" r:id="rId1535" xr:uid="{00000000-0004-0000-0100-0000FE050000}"/>
    <hyperlink ref="A1538" r:id="rId1536" xr:uid="{00000000-0004-0000-0100-0000FF050000}"/>
    <hyperlink ref="A1539" r:id="rId1537" xr:uid="{00000000-0004-0000-0100-000000060000}"/>
    <hyperlink ref="A1540" r:id="rId1538" xr:uid="{00000000-0004-0000-0100-000001060000}"/>
    <hyperlink ref="A1541" r:id="rId1539" xr:uid="{00000000-0004-0000-0100-000002060000}"/>
    <hyperlink ref="A1542" r:id="rId1540" xr:uid="{00000000-0004-0000-0100-000003060000}"/>
    <hyperlink ref="A1543" r:id="rId1541" xr:uid="{00000000-0004-0000-0100-000004060000}"/>
    <hyperlink ref="A1544" r:id="rId1542" xr:uid="{00000000-0004-0000-0100-000005060000}"/>
    <hyperlink ref="A1545" r:id="rId1543" xr:uid="{00000000-0004-0000-0100-000006060000}"/>
    <hyperlink ref="A1546" r:id="rId1544" xr:uid="{00000000-0004-0000-0100-000007060000}"/>
    <hyperlink ref="A1547" r:id="rId1545" xr:uid="{00000000-0004-0000-0100-000008060000}"/>
    <hyperlink ref="A1548" r:id="rId1546" xr:uid="{00000000-0004-0000-0100-000009060000}"/>
    <hyperlink ref="A1549" r:id="rId1547" xr:uid="{00000000-0004-0000-0100-00000A060000}"/>
    <hyperlink ref="A1550" r:id="rId1548" xr:uid="{00000000-0004-0000-0100-00000B060000}"/>
    <hyperlink ref="A1551" r:id="rId1549" xr:uid="{00000000-0004-0000-0100-00000C060000}"/>
    <hyperlink ref="A1552" r:id="rId1550" xr:uid="{00000000-0004-0000-0100-00000D060000}"/>
    <hyperlink ref="A1553" r:id="rId1551" xr:uid="{00000000-0004-0000-0100-00000E060000}"/>
    <hyperlink ref="A1554" r:id="rId1552" xr:uid="{00000000-0004-0000-0100-00000F060000}"/>
    <hyperlink ref="A1555" r:id="rId1553" xr:uid="{00000000-0004-0000-0100-000010060000}"/>
    <hyperlink ref="A1556" r:id="rId1554" xr:uid="{00000000-0004-0000-0100-000011060000}"/>
    <hyperlink ref="A1557" r:id="rId1555" xr:uid="{00000000-0004-0000-0100-000012060000}"/>
    <hyperlink ref="A1558" r:id="rId1556" xr:uid="{00000000-0004-0000-0100-000013060000}"/>
    <hyperlink ref="A1559" r:id="rId1557" xr:uid="{00000000-0004-0000-0100-000014060000}"/>
    <hyperlink ref="A1560" r:id="rId1558" xr:uid="{00000000-0004-0000-0100-000015060000}"/>
    <hyperlink ref="A1561" r:id="rId1559" xr:uid="{00000000-0004-0000-0100-000016060000}"/>
    <hyperlink ref="A1562" r:id="rId1560" xr:uid="{00000000-0004-0000-0100-000017060000}"/>
    <hyperlink ref="A1563" r:id="rId1561" xr:uid="{00000000-0004-0000-0100-000018060000}"/>
    <hyperlink ref="A1564" r:id="rId1562" xr:uid="{00000000-0004-0000-0100-000019060000}"/>
    <hyperlink ref="A1565" r:id="rId1563" xr:uid="{00000000-0004-0000-0100-00001A060000}"/>
    <hyperlink ref="A1566" r:id="rId1564" xr:uid="{00000000-0004-0000-0100-00001B060000}"/>
    <hyperlink ref="A1567" r:id="rId1565" xr:uid="{00000000-0004-0000-0100-00001C060000}"/>
    <hyperlink ref="A1568" r:id="rId1566" xr:uid="{00000000-0004-0000-0100-00001D060000}"/>
    <hyperlink ref="A1569" r:id="rId1567" xr:uid="{00000000-0004-0000-0100-00001E060000}"/>
    <hyperlink ref="A1570" r:id="rId1568" xr:uid="{00000000-0004-0000-0100-00001F060000}"/>
    <hyperlink ref="A1571" r:id="rId1569" xr:uid="{00000000-0004-0000-0100-000020060000}"/>
    <hyperlink ref="A1572" r:id="rId1570" xr:uid="{00000000-0004-0000-0100-000021060000}"/>
    <hyperlink ref="A1573" r:id="rId1571" xr:uid="{00000000-0004-0000-0100-000022060000}"/>
    <hyperlink ref="A1574" r:id="rId1572" xr:uid="{00000000-0004-0000-0100-000023060000}"/>
    <hyperlink ref="A1575" r:id="rId1573" xr:uid="{00000000-0004-0000-0100-000024060000}"/>
    <hyperlink ref="A1576" r:id="rId1574" xr:uid="{00000000-0004-0000-0100-000025060000}"/>
    <hyperlink ref="A1577" r:id="rId1575" xr:uid="{00000000-0004-0000-0100-000026060000}"/>
    <hyperlink ref="A1578" r:id="rId1576" xr:uid="{00000000-0004-0000-0100-000027060000}"/>
    <hyperlink ref="A1579" r:id="rId1577" xr:uid="{00000000-0004-0000-0100-000028060000}"/>
    <hyperlink ref="A1580" r:id="rId1578" xr:uid="{00000000-0004-0000-0100-000029060000}"/>
    <hyperlink ref="A1581" r:id="rId1579" xr:uid="{00000000-0004-0000-0100-00002A060000}"/>
    <hyperlink ref="A1582" r:id="rId1580" xr:uid="{00000000-0004-0000-0100-00002B060000}"/>
    <hyperlink ref="A1583" r:id="rId1581" xr:uid="{00000000-0004-0000-0100-00002C060000}"/>
    <hyperlink ref="A1584" r:id="rId1582" xr:uid="{00000000-0004-0000-0100-00002D060000}"/>
    <hyperlink ref="A1585" r:id="rId1583" xr:uid="{00000000-0004-0000-0100-00002E060000}"/>
    <hyperlink ref="A1586" r:id="rId1584" xr:uid="{00000000-0004-0000-0100-00002F060000}"/>
    <hyperlink ref="A1587" r:id="rId1585" xr:uid="{00000000-0004-0000-0100-000030060000}"/>
    <hyperlink ref="A1588" r:id="rId1586" xr:uid="{00000000-0004-0000-0100-000031060000}"/>
    <hyperlink ref="A1589" r:id="rId1587" xr:uid="{00000000-0004-0000-0100-000032060000}"/>
    <hyperlink ref="A1590" r:id="rId1588" xr:uid="{00000000-0004-0000-0100-000033060000}"/>
    <hyperlink ref="A1591" r:id="rId1589" xr:uid="{00000000-0004-0000-0100-000034060000}"/>
    <hyperlink ref="A1592" r:id="rId1590" xr:uid="{00000000-0004-0000-0100-000035060000}"/>
    <hyperlink ref="A1593" r:id="rId1591" xr:uid="{00000000-0004-0000-0100-000036060000}"/>
    <hyperlink ref="A1594" r:id="rId1592" xr:uid="{00000000-0004-0000-0100-000037060000}"/>
    <hyperlink ref="A1595" r:id="rId1593" xr:uid="{00000000-0004-0000-0100-000038060000}"/>
    <hyperlink ref="A1596" r:id="rId1594" xr:uid="{00000000-0004-0000-0100-000039060000}"/>
    <hyperlink ref="A1597" r:id="rId1595" xr:uid="{00000000-0004-0000-0100-00003A060000}"/>
    <hyperlink ref="A1598" r:id="rId1596" xr:uid="{00000000-0004-0000-0100-00003B060000}"/>
    <hyperlink ref="A1599" r:id="rId1597" xr:uid="{00000000-0004-0000-0100-00003C060000}"/>
    <hyperlink ref="A1600" r:id="rId1598" xr:uid="{00000000-0004-0000-0100-00003D060000}"/>
    <hyperlink ref="A1601" r:id="rId1599" xr:uid="{00000000-0004-0000-0100-00003E060000}"/>
    <hyperlink ref="A1602" r:id="rId1600" xr:uid="{00000000-0004-0000-0100-00003F060000}"/>
    <hyperlink ref="A1603" r:id="rId1601" xr:uid="{00000000-0004-0000-0100-000040060000}"/>
    <hyperlink ref="A1604" r:id="rId1602" xr:uid="{00000000-0004-0000-0100-000041060000}"/>
    <hyperlink ref="A1605" r:id="rId1603" xr:uid="{00000000-0004-0000-0100-000042060000}"/>
    <hyperlink ref="A1606" r:id="rId1604" xr:uid="{00000000-0004-0000-0100-000043060000}"/>
    <hyperlink ref="A1607" r:id="rId1605" xr:uid="{00000000-0004-0000-0100-000044060000}"/>
    <hyperlink ref="A1608" r:id="rId1606" xr:uid="{00000000-0004-0000-0100-000045060000}"/>
    <hyperlink ref="A1609" r:id="rId1607" xr:uid="{00000000-0004-0000-0100-000046060000}"/>
    <hyperlink ref="A1610" r:id="rId1608" xr:uid="{00000000-0004-0000-0100-000047060000}"/>
    <hyperlink ref="A1611" r:id="rId1609" xr:uid="{00000000-0004-0000-0100-000048060000}"/>
    <hyperlink ref="A1612" r:id="rId1610" xr:uid="{00000000-0004-0000-0100-000049060000}"/>
    <hyperlink ref="A1613" r:id="rId1611" xr:uid="{00000000-0004-0000-0100-00004A060000}"/>
    <hyperlink ref="A1614" r:id="rId1612" xr:uid="{00000000-0004-0000-0100-00004B060000}"/>
    <hyperlink ref="A1615" r:id="rId1613" xr:uid="{00000000-0004-0000-0100-00004C060000}"/>
    <hyperlink ref="A1616" r:id="rId1614" xr:uid="{00000000-0004-0000-0100-00004D060000}"/>
    <hyperlink ref="A1617" r:id="rId1615" xr:uid="{00000000-0004-0000-0100-00004E060000}"/>
    <hyperlink ref="A1618" r:id="rId1616" xr:uid="{00000000-0004-0000-0100-00004F060000}"/>
    <hyperlink ref="A1619" r:id="rId1617" xr:uid="{00000000-0004-0000-0100-000050060000}"/>
    <hyperlink ref="A1620" r:id="rId1618" xr:uid="{00000000-0004-0000-0100-000051060000}"/>
    <hyperlink ref="A1621" r:id="rId1619" xr:uid="{00000000-0004-0000-0100-000052060000}"/>
    <hyperlink ref="A1622" r:id="rId1620" xr:uid="{00000000-0004-0000-0100-000053060000}"/>
    <hyperlink ref="A1623" r:id="rId1621" xr:uid="{00000000-0004-0000-0100-000054060000}"/>
    <hyperlink ref="A1624" r:id="rId1622" xr:uid="{00000000-0004-0000-0100-000055060000}"/>
    <hyperlink ref="A1625" r:id="rId1623" xr:uid="{00000000-0004-0000-0100-000056060000}"/>
    <hyperlink ref="A1626" r:id="rId1624" xr:uid="{00000000-0004-0000-0100-000057060000}"/>
    <hyperlink ref="A1627" r:id="rId1625" xr:uid="{00000000-0004-0000-0100-000058060000}"/>
    <hyperlink ref="A1628" r:id="rId1626" xr:uid="{00000000-0004-0000-0100-000059060000}"/>
    <hyperlink ref="A1629" r:id="rId1627" xr:uid="{00000000-0004-0000-0100-00005A060000}"/>
    <hyperlink ref="A1630" r:id="rId1628" xr:uid="{00000000-0004-0000-0100-00005B060000}"/>
    <hyperlink ref="A1631" r:id="rId1629" xr:uid="{00000000-0004-0000-0100-00005C060000}"/>
    <hyperlink ref="A1632" r:id="rId1630" xr:uid="{00000000-0004-0000-0100-00005D060000}"/>
    <hyperlink ref="A1633" r:id="rId1631" xr:uid="{00000000-0004-0000-0100-00005E060000}"/>
    <hyperlink ref="A1634" r:id="rId1632" xr:uid="{00000000-0004-0000-0100-00005F060000}"/>
    <hyperlink ref="A1635" r:id="rId1633" xr:uid="{00000000-0004-0000-0100-000060060000}"/>
    <hyperlink ref="A1636" r:id="rId1634" xr:uid="{00000000-0004-0000-0100-000061060000}"/>
    <hyperlink ref="A1637" r:id="rId1635" xr:uid="{00000000-0004-0000-0100-000062060000}"/>
    <hyperlink ref="A1638" r:id="rId1636" xr:uid="{00000000-0004-0000-0100-000063060000}"/>
    <hyperlink ref="A1639" r:id="rId1637" xr:uid="{00000000-0004-0000-0100-000064060000}"/>
    <hyperlink ref="A1640" r:id="rId1638" xr:uid="{00000000-0004-0000-0100-000065060000}"/>
    <hyperlink ref="A1641" r:id="rId1639" xr:uid="{00000000-0004-0000-0100-000066060000}"/>
    <hyperlink ref="A1642" r:id="rId1640" xr:uid="{00000000-0004-0000-0100-000067060000}"/>
    <hyperlink ref="A1643" r:id="rId1641" xr:uid="{00000000-0004-0000-0100-000068060000}"/>
    <hyperlink ref="A1644" r:id="rId1642" xr:uid="{00000000-0004-0000-0100-000069060000}"/>
    <hyperlink ref="A1645" r:id="rId1643" xr:uid="{00000000-0004-0000-0100-00006A060000}"/>
    <hyperlink ref="A1646" r:id="rId1644" xr:uid="{00000000-0004-0000-0100-00006B060000}"/>
    <hyperlink ref="A1647" r:id="rId1645" xr:uid="{00000000-0004-0000-0100-00006C060000}"/>
    <hyperlink ref="A1648" r:id="rId1646" xr:uid="{00000000-0004-0000-0100-00006D060000}"/>
    <hyperlink ref="A1649" r:id="rId1647" xr:uid="{00000000-0004-0000-0100-00006E060000}"/>
    <hyperlink ref="A1650" r:id="rId1648" xr:uid="{00000000-0004-0000-0100-00006F060000}"/>
    <hyperlink ref="A1651" r:id="rId1649" xr:uid="{00000000-0004-0000-0100-000070060000}"/>
    <hyperlink ref="A1652" r:id="rId1650" xr:uid="{00000000-0004-0000-0100-000071060000}"/>
    <hyperlink ref="A1653" r:id="rId1651" xr:uid="{00000000-0004-0000-0100-000072060000}"/>
    <hyperlink ref="A1654" r:id="rId1652" xr:uid="{00000000-0004-0000-0100-000073060000}"/>
    <hyperlink ref="A1655" r:id="rId1653" xr:uid="{00000000-0004-0000-0100-000074060000}"/>
    <hyperlink ref="A1656" r:id="rId1654" xr:uid="{00000000-0004-0000-0100-000075060000}"/>
    <hyperlink ref="A1657" r:id="rId1655" xr:uid="{00000000-0004-0000-0100-000076060000}"/>
    <hyperlink ref="A1658" r:id="rId1656" xr:uid="{00000000-0004-0000-0100-000077060000}"/>
    <hyperlink ref="A1659" r:id="rId1657" xr:uid="{00000000-0004-0000-0100-000078060000}"/>
    <hyperlink ref="A1660" r:id="rId1658" xr:uid="{00000000-0004-0000-0100-000079060000}"/>
    <hyperlink ref="A1661" r:id="rId1659" xr:uid="{00000000-0004-0000-0100-00007A060000}"/>
    <hyperlink ref="A1662" r:id="rId1660" xr:uid="{00000000-0004-0000-0100-00007B060000}"/>
    <hyperlink ref="A1663" r:id="rId1661" xr:uid="{00000000-0004-0000-0100-00007C060000}"/>
    <hyperlink ref="A1664" r:id="rId1662" xr:uid="{00000000-0004-0000-0100-00007D060000}"/>
    <hyperlink ref="A1665" r:id="rId1663" xr:uid="{00000000-0004-0000-0100-00007E060000}"/>
    <hyperlink ref="A1666" r:id="rId1664" xr:uid="{00000000-0004-0000-0100-00007F060000}"/>
    <hyperlink ref="A1667" r:id="rId1665" xr:uid="{00000000-0004-0000-0100-000080060000}"/>
    <hyperlink ref="A1668" r:id="rId1666" xr:uid="{00000000-0004-0000-0100-000081060000}"/>
    <hyperlink ref="A1669" r:id="rId1667" xr:uid="{00000000-0004-0000-0100-000082060000}"/>
    <hyperlink ref="A1670" r:id="rId1668" xr:uid="{00000000-0004-0000-0100-000083060000}"/>
    <hyperlink ref="A1672" r:id="rId1669" xr:uid="{00000000-0004-0000-0100-000084060000}"/>
    <hyperlink ref="A1673" r:id="rId1670" xr:uid="{00000000-0004-0000-0100-000085060000}"/>
    <hyperlink ref="A1674" r:id="rId1671" xr:uid="{00000000-0004-0000-0100-000086060000}"/>
    <hyperlink ref="A1675" r:id="rId1672" xr:uid="{00000000-0004-0000-0100-000087060000}"/>
    <hyperlink ref="A1676" r:id="rId1673" xr:uid="{00000000-0004-0000-0100-000088060000}"/>
    <hyperlink ref="A1677" r:id="rId1674" xr:uid="{00000000-0004-0000-0100-000089060000}"/>
    <hyperlink ref="A1678" r:id="rId1675" xr:uid="{00000000-0004-0000-0100-00008A060000}"/>
    <hyperlink ref="A1679" r:id="rId1676" xr:uid="{00000000-0004-0000-0100-00008B060000}"/>
    <hyperlink ref="A1680" r:id="rId1677" xr:uid="{00000000-0004-0000-0100-00008C060000}"/>
    <hyperlink ref="A1681" r:id="rId1678" xr:uid="{00000000-0004-0000-0100-00008D060000}"/>
    <hyperlink ref="A1682" r:id="rId1679" xr:uid="{00000000-0004-0000-0100-00008E060000}"/>
    <hyperlink ref="A1683" r:id="rId1680" xr:uid="{00000000-0004-0000-0100-00008F060000}"/>
    <hyperlink ref="A1684" r:id="rId1681" xr:uid="{00000000-0004-0000-0100-000090060000}"/>
    <hyperlink ref="A1685" r:id="rId1682" xr:uid="{00000000-0004-0000-0100-000091060000}"/>
    <hyperlink ref="A1686" r:id="rId1683" xr:uid="{00000000-0004-0000-0100-000092060000}"/>
    <hyperlink ref="A1687" r:id="rId1684" xr:uid="{00000000-0004-0000-0100-000093060000}"/>
    <hyperlink ref="A1688" r:id="rId1685" xr:uid="{00000000-0004-0000-0100-000094060000}"/>
    <hyperlink ref="A1689" r:id="rId1686" xr:uid="{00000000-0004-0000-0100-000095060000}"/>
    <hyperlink ref="A1690" r:id="rId1687" xr:uid="{00000000-0004-0000-0100-000096060000}"/>
    <hyperlink ref="A1691" r:id="rId1688" xr:uid="{00000000-0004-0000-0100-000097060000}"/>
    <hyperlink ref="A1692" r:id="rId1689" xr:uid="{00000000-0004-0000-0100-000098060000}"/>
    <hyperlink ref="A1693" r:id="rId1690" xr:uid="{00000000-0004-0000-0100-000099060000}"/>
    <hyperlink ref="A1694" r:id="rId1691" xr:uid="{00000000-0004-0000-0100-00009A060000}"/>
    <hyperlink ref="A1695" r:id="rId1692" xr:uid="{00000000-0004-0000-0100-00009B060000}"/>
    <hyperlink ref="A1696" r:id="rId1693" xr:uid="{00000000-0004-0000-0100-00009C060000}"/>
    <hyperlink ref="A1697" r:id="rId1694" xr:uid="{00000000-0004-0000-0100-00009D060000}"/>
    <hyperlink ref="A1698" r:id="rId1695" xr:uid="{00000000-0004-0000-0100-00009E060000}"/>
    <hyperlink ref="A1699" r:id="rId1696" xr:uid="{00000000-0004-0000-0100-00009F060000}"/>
    <hyperlink ref="A1700" r:id="rId1697" xr:uid="{00000000-0004-0000-0100-0000A0060000}"/>
    <hyperlink ref="A1701" r:id="rId1698" xr:uid="{00000000-0004-0000-0100-0000A1060000}"/>
    <hyperlink ref="A1702" r:id="rId1699" xr:uid="{00000000-0004-0000-0100-0000A2060000}"/>
    <hyperlink ref="A1703" r:id="rId1700" xr:uid="{00000000-0004-0000-0100-0000A3060000}"/>
    <hyperlink ref="A1704" r:id="rId1701" xr:uid="{00000000-0004-0000-0100-0000A4060000}"/>
    <hyperlink ref="A1705" r:id="rId1702" xr:uid="{00000000-0004-0000-0100-0000A5060000}"/>
    <hyperlink ref="A1706" r:id="rId1703" xr:uid="{00000000-0004-0000-0100-0000A6060000}"/>
    <hyperlink ref="A1707" r:id="rId1704" xr:uid="{00000000-0004-0000-0100-0000A7060000}"/>
    <hyperlink ref="A1708" r:id="rId1705" xr:uid="{00000000-0004-0000-0100-0000A8060000}"/>
    <hyperlink ref="A1709" r:id="rId1706" xr:uid="{00000000-0004-0000-0100-0000A9060000}"/>
    <hyperlink ref="A1710" r:id="rId1707" xr:uid="{00000000-0004-0000-0100-0000AA060000}"/>
    <hyperlink ref="A1711" r:id="rId1708" xr:uid="{00000000-0004-0000-0100-0000AB060000}"/>
    <hyperlink ref="A1712" r:id="rId1709" xr:uid="{00000000-0004-0000-0100-0000AC060000}"/>
    <hyperlink ref="A1713" r:id="rId1710" xr:uid="{00000000-0004-0000-0100-0000AD060000}"/>
    <hyperlink ref="A1714" r:id="rId1711" xr:uid="{00000000-0004-0000-0100-0000AE060000}"/>
    <hyperlink ref="A1715" r:id="rId1712" xr:uid="{00000000-0004-0000-0100-0000AF060000}"/>
    <hyperlink ref="A1716" r:id="rId1713" xr:uid="{00000000-0004-0000-0100-0000B0060000}"/>
    <hyperlink ref="A1717" r:id="rId1714" xr:uid="{00000000-0004-0000-0100-0000B1060000}"/>
    <hyperlink ref="A1718" r:id="rId1715" xr:uid="{00000000-0004-0000-0100-0000B2060000}"/>
    <hyperlink ref="A1719" r:id="rId1716" xr:uid="{00000000-0004-0000-0100-0000B3060000}"/>
    <hyperlink ref="A1720" r:id="rId1717" xr:uid="{00000000-0004-0000-0100-0000B4060000}"/>
    <hyperlink ref="A1721" r:id="rId1718" xr:uid="{00000000-0004-0000-0100-0000B5060000}"/>
    <hyperlink ref="A1722" r:id="rId1719" xr:uid="{00000000-0004-0000-0100-0000B6060000}"/>
    <hyperlink ref="A1723" r:id="rId1720" xr:uid="{00000000-0004-0000-0100-0000B7060000}"/>
    <hyperlink ref="A1724" r:id="rId1721" xr:uid="{00000000-0004-0000-0100-0000B8060000}"/>
    <hyperlink ref="A1725" r:id="rId1722" xr:uid="{00000000-0004-0000-0100-0000B9060000}"/>
    <hyperlink ref="A1726" r:id="rId1723" xr:uid="{00000000-0004-0000-0100-0000BA060000}"/>
    <hyperlink ref="A1727" r:id="rId1724" xr:uid="{00000000-0004-0000-0100-0000BB060000}"/>
    <hyperlink ref="A1728" r:id="rId1725" xr:uid="{00000000-0004-0000-0100-0000BC060000}"/>
    <hyperlink ref="A1729" r:id="rId1726" xr:uid="{00000000-0004-0000-0100-0000BD060000}"/>
    <hyperlink ref="A1730" r:id="rId1727" xr:uid="{00000000-0004-0000-0100-0000BE060000}"/>
    <hyperlink ref="A1731" r:id="rId1728" xr:uid="{00000000-0004-0000-0100-0000BF060000}"/>
    <hyperlink ref="A1732" r:id="rId1729" xr:uid="{00000000-0004-0000-0100-0000C0060000}"/>
    <hyperlink ref="A1733" r:id="rId1730" xr:uid="{00000000-0004-0000-0100-0000C1060000}"/>
    <hyperlink ref="A1734" r:id="rId1731" xr:uid="{00000000-0004-0000-0100-0000C2060000}"/>
    <hyperlink ref="A1735" r:id="rId1732" xr:uid="{00000000-0004-0000-0100-0000C3060000}"/>
    <hyperlink ref="A1736" r:id="rId1733" xr:uid="{00000000-0004-0000-0100-0000C4060000}"/>
    <hyperlink ref="A1737" r:id="rId1734" xr:uid="{00000000-0004-0000-0100-0000C5060000}"/>
    <hyperlink ref="A1738" r:id="rId1735" xr:uid="{00000000-0004-0000-0100-0000C6060000}"/>
    <hyperlink ref="A1739" r:id="rId1736" xr:uid="{00000000-0004-0000-0100-0000C7060000}"/>
    <hyperlink ref="A1740" r:id="rId1737" xr:uid="{00000000-0004-0000-0100-0000C8060000}"/>
    <hyperlink ref="A1741" r:id="rId1738" xr:uid="{00000000-0004-0000-0100-0000C9060000}"/>
    <hyperlink ref="A1742" r:id="rId1739" xr:uid="{00000000-0004-0000-0100-0000CA060000}"/>
    <hyperlink ref="A1743" r:id="rId1740" xr:uid="{00000000-0004-0000-0100-0000CB060000}"/>
    <hyperlink ref="A1744" r:id="rId1741" xr:uid="{00000000-0004-0000-0100-0000CC060000}"/>
    <hyperlink ref="A1745" r:id="rId1742" xr:uid="{00000000-0004-0000-0100-0000CD060000}"/>
    <hyperlink ref="A1746" r:id="rId1743" xr:uid="{00000000-0004-0000-0100-0000CE060000}"/>
    <hyperlink ref="A1747" r:id="rId1744" xr:uid="{00000000-0004-0000-0100-0000CF060000}"/>
    <hyperlink ref="A1748" r:id="rId1745" xr:uid="{00000000-0004-0000-0100-0000D0060000}"/>
    <hyperlink ref="A1749" r:id="rId1746" xr:uid="{00000000-0004-0000-0100-0000D1060000}"/>
    <hyperlink ref="A1750" r:id="rId1747" xr:uid="{00000000-0004-0000-0100-0000D2060000}"/>
    <hyperlink ref="A1751" r:id="rId1748" xr:uid="{00000000-0004-0000-0100-0000D3060000}"/>
    <hyperlink ref="A1752" r:id="rId1749" xr:uid="{00000000-0004-0000-0100-0000D4060000}"/>
    <hyperlink ref="A1753" r:id="rId1750" xr:uid="{00000000-0004-0000-0100-0000D5060000}"/>
    <hyperlink ref="A1754" r:id="rId1751" xr:uid="{00000000-0004-0000-0100-0000D6060000}"/>
    <hyperlink ref="A1755" r:id="rId1752" xr:uid="{00000000-0004-0000-0100-0000D7060000}"/>
    <hyperlink ref="A1756" r:id="rId1753" xr:uid="{00000000-0004-0000-0100-0000D8060000}"/>
    <hyperlink ref="A1757" r:id="rId1754" xr:uid="{00000000-0004-0000-0100-0000D9060000}"/>
    <hyperlink ref="A1758" r:id="rId1755" xr:uid="{00000000-0004-0000-0100-0000DA060000}"/>
    <hyperlink ref="A1759" r:id="rId1756" xr:uid="{00000000-0004-0000-0100-0000DB060000}"/>
    <hyperlink ref="A1760" r:id="rId1757" xr:uid="{00000000-0004-0000-0100-0000DC060000}"/>
    <hyperlink ref="A1761" r:id="rId1758" xr:uid="{00000000-0004-0000-0100-0000DD060000}"/>
    <hyperlink ref="A1762" r:id="rId1759" xr:uid="{00000000-0004-0000-0100-0000DE060000}"/>
    <hyperlink ref="A1763" r:id="rId1760" xr:uid="{00000000-0004-0000-0100-0000DF060000}"/>
    <hyperlink ref="A1764" r:id="rId1761" xr:uid="{00000000-0004-0000-0100-0000E0060000}"/>
    <hyperlink ref="A1765" r:id="rId1762" xr:uid="{00000000-0004-0000-0100-0000E1060000}"/>
    <hyperlink ref="A1766" r:id="rId1763" xr:uid="{00000000-0004-0000-0100-0000E2060000}"/>
    <hyperlink ref="A1767" r:id="rId1764" xr:uid="{00000000-0004-0000-0100-0000E3060000}"/>
    <hyperlink ref="A1768" r:id="rId1765" xr:uid="{00000000-0004-0000-0100-0000E4060000}"/>
    <hyperlink ref="A1769" r:id="rId1766" xr:uid="{00000000-0004-0000-0100-0000E5060000}"/>
    <hyperlink ref="A1770" r:id="rId1767" xr:uid="{00000000-0004-0000-0100-0000E6060000}"/>
    <hyperlink ref="A1771" r:id="rId1768" xr:uid="{00000000-0004-0000-0100-0000E7060000}"/>
    <hyperlink ref="A1772" r:id="rId1769" xr:uid="{00000000-0004-0000-0100-0000E8060000}"/>
    <hyperlink ref="A1773" r:id="rId1770" xr:uid="{00000000-0004-0000-0100-0000E9060000}"/>
    <hyperlink ref="A1774" r:id="rId1771" xr:uid="{00000000-0004-0000-0100-0000EA060000}"/>
    <hyperlink ref="A1775" r:id="rId1772" xr:uid="{00000000-0004-0000-0100-0000EB060000}"/>
    <hyperlink ref="A1776" r:id="rId1773" xr:uid="{00000000-0004-0000-0100-0000EC060000}"/>
    <hyperlink ref="A1777" r:id="rId1774" xr:uid="{00000000-0004-0000-0100-0000ED060000}"/>
    <hyperlink ref="A1778" r:id="rId1775" xr:uid="{00000000-0004-0000-0100-0000EE060000}"/>
    <hyperlink ref="A1779" r:id="rId1776" xr:uid="{00000000-0004-0000-0100-0000EF060000}"/>
    <hyperlink ref="A1780" r:id="rId1777" xr:uid="{00000000-0004-0000-0100-0000F0060000}"/>
    <hyperlink ref="A1781" r:id="rId1778" xr:uid="{00000000-0004-0000-0100-0000F1060000}"/>
    <hyperlink ref="A1782" r:id="rId1779" xr:uid="{00000000-0004-0000-0100-0000F2060000}"/>
    <hyperlink ref="A1783" r:id="rId1780" xr:uid="{00000000-0004-0000-0100-0000F3060000}"/>
    <hyperlink ref="A1784" r:id="rId1781" xr:uid="{00000000-0004-0000-0100-0000F4060000}"/>
    <hyperlink ref="A1785" r:id="rId1782" xr:uid="{00000000-0004-0000-0100-0000F5060000}"/>
    <hyperlink ref="A1786" r:id="rId1783" xr:uid="{00000000-0004-0000-0100-0000F6060000}"/>
    <hyperlink ref="A1787" r:id="rId1784" xr:uid="{00000000-0004-0000-0100-0000F7060000}"/>
    <hyperlink ref="A1788" r:id="rId1785" xr:uid="{00000000-0004-0000-0100-0000F8060000}"/>
    <hyperlink ref="A1789" r:id="rId1786" xr:uid="{00000000-0004-0000-0100-0000F9060000}"/>
    <hyperlink ref="A1790" r:id="rId1787" xr:uid="{00000000-0004-0000-0100-0000FA060000}"/>
    <hyperlink ref="A1791" r:id="rId1788" xr:uid="{00000000-0004-0000-0100-0000FB060000}"/>
    <hyperlink ref="A1792" r:id="rId1789" xr:uid="{00000000-0004-0000-0100-0000FC060000}"/>
    <hyperlink ref="A1793" r:id="rId1790" xr:uid="{00000000-0004-0000-0100-0000FD060000}"/>
    <hyperlink ref="A1794" r:id="rId1791" xr:uid="{00000000-0004-0000-0100-0000FE060000}"/>
    <hyperlink ref="A1795" r:id="rId1792" xr:uid="{00000000-0004-0000-0100-0000FF060000}"/>
    <hyperlink ref="A1796" r:id="rId1793" xr:uid="{00000000-0004-0000-0100-000000070000}"/>
    <hyperlink ref="A1797" r:id="rId1794" xr:uid="{00000000-0004-0000-0100-000001070000}"/>
    <hyperlink ref="A1798" r:id="rId1795" xr:uid="{00000000-0004-0000-0100-000002070000}"/>
    <hyperlink ref="A1799" r:id="rId1796" xr:uid="{00000000-0004-0000-0100-000003070000}"/>
    <hyperlink ref="A1800" r:id="rId1797" xr:uid="{00000000-0004-0000-0100-000004070000}"/>
    <hyperlink ref="A1801" r:id="rId1798" xr:uid="{00000000-0004-0000-0100-000005070000}"/>
    <hyperlink ref="A1802" r:id="rId1799" xr:uid="{00000000-0004-0000-0100-000006070000}"/>
    <hyperlink ref="A1803" r:id="rId1800" xr:uid="{00000000-0004-0000-0100-000007070000}"/>
    <hyperlink ref="A1804" r:id="rId1801" xr:uid="{00000000-0004-0000-0100-000008070000}"/>
    <hyperlink ref="A1805" r:id="rId1802" xr:uid="{00000000-0004-0000-0100-000009070000}"/>
    <hyperlink ref="A1806" r:id="rId1803" xr:uid="{00000000-0004-0000-0100-00000A070000}"/>
    <hyperlink ref="A1807" r:id="rId1804" xr:uid="{00000000-0004-0000-0100-00000B070000}"/>
    <hyperlink ref="A1808" r:id="rId1805" xr:uid="{00000000-0004-0000-0100-00000C070000}"/>
    <hyperlink ref="A1809" r:id="rId1806" xr:uid="{00000000-0004-0000-0100-00000D070000}"/>
    <hyperlink ref="A1810" r:id="rId1807" xr:uid="{00000000-0004-0000-0100-00000E070000}"/>
    <hyperlink ref="A1811" r:id="rId1808" xr:uid="{00000000-0004-0000-0100-00000F070000}"/>
    <hyperlink ref="A1812" r:id="rId1809" xr:uid="{00000000-0004-0000-0100-000010070000}"/>
    <hyperlink ref="A1813" r:id="rId1810" xr:uid="{00000000-0004-0000-0100-000011070000}"/>
    <hyperlink ref="A1814" r:id="rId1811" xr:uid="{00000000-0004-0000-0100-000012070000}"/>
    <hyperlink ref="A1815" r:id="rId1812" xr:uid="{00000000-0004-0000-0100-000013070000}"/>
    <hyperlink ref="A1816" r:id="rId1813" xr:uid="{00000000-0004-0000-0100-000014070000}"/>
    <hyperlink ref="A1817" r:id="rId1814" xr:uid="{00000000-0004-0000-0100-000015070000}"/>
    <hyperlink ref="A1818" r:id="rId1815" xr:uid="{00000000-0004-0000-0100-000016070000}"/>
    <hyperlink ref="A1819" r:id="rId1816" xr:uid="{00000000-0004-0000-0100-000017070000}"/>
    <hyperlink ref="A1820" r:id="rId1817" xr:uid="{00000000-0004-0000-0100-000018070000}"/>
    <hyperlink ref="A1821" r:id="rId1818" xr:uid="{00000000-0004-0000-0100-000019070000}"/>
    <hyperlink ref="A1822" r:id="rId1819" xr:uid="{00000000-0004-0000-0100-00001A070000}"/>
    <hyperlink ref="A1823" r:id="rId1820" xr:uid="{00000000-0004-0000-0100-00001B070000}"/>
    <hyperlink ref="A1824" r:id="rId1821" xr:uid="{00000000-0004-0000-0100-00001C070000}"/>
    <hyperlink ref="A1825" r:id="rId1822" xr:uid="{00000000-0004-0000-0100-00001D070000}"/>
    <hyperlink ref="A1826" r:id="rId1823" xr:uid="{00000000-0004-0000-0100-00001E070000}"/>
    <hyperlink ref="A1827" r:id="rId1824" xr:uid="{00000000-0004-0000-0100-00001F070000}"/>
    <hyperlink ref="A1828" r:id="rId1825" xr:uid="{00000000-0004-0000-0100-000020070000}"/>
    <hyperlink ref="A1829" r:id="rId1826" xr:uid="{00000000-0004-0000-0100-000021070000}"/>
    <hyperlink ref="A1830" r:id="rId1827" xr:uid="{00000000-0004-0000-0100-000022070000}"/>
    <hyperlink ref="A1831" r:id="rId1828" xr:uid="{00000000-0004-0000-0100-000023070000}"/>
    <hyperlink ref="A1832" r:id="rId1829" xr:uid="{00000000-0004-0000-0100-000024070000}"/>
    <hyperlink ref="A1833" r:id="rId1830" xr:uid="{00000000-0004-0000-0100-000025070000}"/>
    <hyperlink ref="A1834" r:id="rId1831" xr:uid="{00000000-0004-0000-0100-000026070000}"/>
    <hyperlink ref="A1835" r:id="rId1832" xr:uid="{00000000-0004-0000-0100-000027070000}"/>
    <hyperlink ref="A1836" r:id="rId1833" xr:uid="{00000000-0004-0000-0100-000028070000}"/>
    <hyperlink ref="A1837" r:id="rId1834" xr:uid="{00000000-0004-0000-0100-000029070000}"/>
    <hyperlink ref="A1838" r:id="rId1835" xr:uid="{00000000-0004-0000-0100-00002A070000}"/>
    <hyperlink ref="A1839" r:id="rId1836" xr:uid="{00000000-0004-0000-0100-00002B070000}"/>
    <hyperlink ref="A1840" r:id="rId1837" xr:uid="{00000000-0004-0000-0100-00002C070000}"/>
    <hyperlink ref="A1841" r:id="rId1838" xr:uid="{00000000-0004-0000-0100-00002D070000}"/>
    <hyperlink ref="A1842" r:id="rId1839" xr:uid="{00000000-0004-0000-0100-00002E070000}"/>
    <hyperlink ref="A1843" r:id="rId1840" xr:uid="{00000000-0004-0000-0100-00002F070000}"/>
    <hyperlink ref="A1844" r:id="rId1841" xr:uid="{00000000-0004-0000-0100-000030070000}"/>
    <hyperlink ref="A1845" r:id="rId1842" xr:uid="{00000000-0004-0000-0100-000031070000}"/>
    <hyperlink ref="A1846" r:id="rId1843" xr:uid="{00000000-0004-0000-0100-000032070000}"/>
    <hyperlink ref="A1847" r:id="rId1844" xr:uid="{00000000-0004-0000-0100-000033070000}"/>
    <hyperlink ref="A1848" r:id="rId1845" xr:uid="{00000000-0004-0000-0100-000034070000}"/>
    <hyperlink ref="A1849" r:id="rId1846" xr:uid="{00000000-0004-0000-0100-000035070000}"/>
    <hyperlink ref="A1850" r:id="rId1847" xr:uid="{00000000-0004-0000-0100-000036070000}"/>
    <hyperlink ref="A1851" r:id="rId1848" xr:uid="{00000000-0004-0000-0100-000037070000}"/>
    <hyperlink ref="A1852" r:id="rId1849" xr:uid="{00000000-0004-0000-0100-000038070000}"/>
    <hyperlink ref="A1853" r:id="rId1850" xr:uid="{00000000-0004-0000-0100-000039070000}"/>
    <hyperlink ref="A1854" r:id="rId1851" xr:uid="{00000000-0004-0000-0100-00003A070000}"/>
    <hyperlink ref="A1855" r:id="rId1852" xr:uid="{00000000-0004-0000-0100-00003B070000}"/>
    <hyperlink ref="A1856" r:id="rId1853" xr:uid="{00000000-0004-0000-0100-00003C070000}"/>
    <hyperlink ref="A1857" r:id="rId1854" xr:uid="{00000000-0004-0000-0100-00003D070000}"/>
    <hyperlink ref="A1858" r:id="rId1855" xr:uid="{00000000-0004-0000-0100-00003E070000}"/>
    <hyperlink ref="A1859" r:id="rId1856" xr:uid="{00000000-0004-0000-0100-00003F070000}"/>
    <hyperlink ref="A1860" r:id="rId1857" xr:uid="{00000000-0004-0000-0100-000040070000}"/>
    <hyperlink ref="A1861" r:id="rId1858" xr:uid="{00000000-0004-0000-0100-000041070000}"/>
    <hyperlink ref="A1862" r:id="rId1859" xr:uid="{00000000-0004-0000-0100-000042070000}"/>
    <hyperlink ref="A1863" r:id="rId1860" xr:uid="{00000000-0004-0000-0100-000043070000}"/>
    <hyperlink ref="A1864" r:id="rId1861" xr:uid="{00000000-0004-0000-0100-000044070000}"/>
    <hyperlink ref="A1865" r:id="rId1862" xr:uid="{00000000-0004-0000-0100-000045070000}"/>
    <hyperlink ref="A1866" r:id="rId1863" xr:uid="{00000000-0004-0000-0100-000046070000}"/>
    <hyperlink ref="A1867" r:id="rId1864" xr:uid="{00000000-0004-0000-0100-000047070000}"/>
    <hyperlink ref="A1868" r:id="rId1865" xr:uid="{00000000-0004-0000-0100-000048070000}"/>
    <hyperlink ref="A1869" r:id="rId1866" xr:uid="{00000000-0004-0000-0100-000049070000}"/>
    <hyperlink ref="A1870" r:id="rId1867" xr:uid="{00000000-0004-0000-0100-00004A070000}"/>
    <hyperlink ref="A1871" r:id="rId1868" xr:uid="{00000000-0004-0000-0100-00004B070000}"/>
    <hyperlink ref="A1872" r:id="rId1869" xr:uid="{00000000-0004-0000-0100-00004C070000}"/>
    <hyperlink ref="A1873" r:id="rId1870" xr:uid="{00000000-0004-0000-0100-00004D070000}"/>
    <hyperlink ref="A1874" r:id="rId1871" xr:uid="{00000000-0004-0000-0100-00004E070000}"/>
    <hyperlink ref="A1875" r:id="rId1872" xr:uid="{00000000-0004-0000-0100-00004F070000}"/>
    <hyperlink ref="A1876" r:id="rId1873" xr:uid="{00000000-0004-0000-0100-000050070000}"/>
    <hyperlink ref="A1877" r:id="rId1874" xr:uid="{00000000-0004-0000-0100-000051070000}"/>
    <hyperlink ref="A1878" r:id="rId1875" xr:uid="{00000000-0004-0000-0100-000052070000}"/>
    <hyperlink ref="A1879" r:id="rId1876" xr:uid="{00000000-0004-0000-0100-000053070000}"/>
    <hyperlink ref="A1880" r:id="rId1877" xr:uid="{00000000-0004-0000-0100-000054070000}"/>
    <hyperlink ref="A1881" r:id="rId1878" xr:uid="{00000000-0004-0000-0100-000055070000}"/>
    <hyperlink ref="A1882" r:id="rId1879" xr:uid="{00000000-0004-0000-0100-000056070000}"/>
    <hyperlink ref="A1883" r:id="rId1880" xr:uid="{00000000-0004-0000-0100-000057070000}"/>
    <hyperlink ref="A1884" r:id="rId1881" xr:uid="{00000000-0004-0000-0100-000058070000}"/>
    <hyperlink ref="A1885" r:id="rId1882" xr:uid="{00000000-0004-0000-0100-000059070000}"/>
    <hyperlink ref="A1886" r:id="rId1883" xr:uid="{00000000-0004-0000-0100-00005A070000}"/>
    <hyperlink ref="A1887" r:id="rId1884" xr:uid="{00000000-0004-0000-0100-00005B070000}"/>
    <hyperlink ref="A1888" r:id="rId1885" xr:uid="{00000000-0004-0000-0100-00005C070000}"/>
    <hyperlink ref="A1889" r:id="rId1886" xr:uid="{00000000-0004-0000-0100-00005D070000}"/>
    <hyperlink ref="A1890" r:id="rId1887" xr:uid="{00000000-0004-0000-0100-00005E070000}"/>
    <hyperlink ref="A1891" r:id="rId1888" xr:uid="{00000000-0004-0000-0100-00005F070000}"/>
    <hyperlink ref="A1892" r:id="rId1889" xr:uid="{00000000-0004-0000-0100-000060070000}"/>
    <hyperlink ref="A1893" r:id="rId1890" xr:uid="{00000000-0004-0000-0100-000061070000}"/>
    <hyperlink ref="A1894" r:id="rId1891" xr:uid="{00000000-0004-0000-0100-000062070000}"/>
    <hyperlink ref="A1895" r:id="rId1892" xr:uid="{00000000-0004-0000-0100-000063070000}"/>
    <hyperlink ref="A1896" r:id="rId1893" xr:uid="{00000000-0004-0000-0100-000064070000}"/>
    <hyperlink ref="A1897" r:id="rId1894" xr:uid="{00000000-0004-0000-0100-000065070000}"/>
    <hyperlink ref="A1898" r:id="rId1895" xr:uid="{00000000-0004-0000-0100-000066070000}"/>
    <hyperlink ref="A1899" r:id="rId1896" xr:uid="{00000000-0004-0000-0100-000067070000}"/>
    <hyperlink ref="A1900" r:id="rId1897" xr:uid="{00000000-0004-0000-0100-000068070000}"/>
    <hyperlink ref="A1901" r:id="rId1898" xr:uid="{00000000-0004-0000-0100-000069070000}"/>
    <hyperlink ref="A1902" r:id="rId1899" xr:uid="{00000000-0004-0000-0100-00006A070000}"/>
    <hyperlink ref="A1903" r:id="rId1900" xr:uid="{00000000-0004-0000-0100-00006B070000}"/>
    <hyperlink ref="A1904" r:id="rId1901" xr:uid="{00000000-0004-0000-0100-00006C070000}"/>
    <hyperlink ref="A1905" r:id="rId1902" xr:uid="{00000000-0004-0000-0100-00006D070000}"/>
    <hyperlink ref="A1906" r:id="rId1903" xr:uid="{00000000-0004-0000-0100-00006E070000}"/>
    <hyperlink ref="A1907" r:id="rId1904" xr:uid="{00000000-0004-0000-0100-00006F070000}"/>
    <hyperlink ref="A1908" r:id="rId1905" xr:uid="{00000000-0004-0000-0100-000070070000}"/>
    <hyperlink ref="A1909" r:id="rId1906" xr:uid="{00000000-0004-0000-0100-000071070000}"/>
    <hyperlink ref="A1910" r:id="rId1907" xr:uid="{00000000-0004-0000-0100-000072070000}"/>
    <hyperlink ref="A1911" r:id="rId1908" xr:uid="{00000000-0004-0000-0100-000073070000}"/>
    <hyperlink ref="A1912" r:id="rId1909" xr:uid="{00000000-0004-0000-0100-000074070000}"/>
    <hyperlink ref="A1913" r:id="rId1910" xr:uid="{00000000-0004-0000-0100-000075070000}"/>
    <hyperlink ref="A1914" r:id="rId1911" xr:uid="{00000000-0004-0000-0100-000076070000}"/>
    <hyperlink ref="A1915" r:id="rId1912" xr:uid="{00000000-0004-0000-0100-000077070000}"/>
    <hyperlink ref="A1916" r:id="rId1913" xr:uid="{00000000-0004-0000-0100-000078070000}"/>
    <hyperlink ref="A1917" r:id="rId1914" xr:uid="{00000000-0004-0000-0100-000079070000}"/>
    <hyperlink ref="A1918" r:id="rId1915" xr:uid="{00000000-0004-0000-0100-00007A070000}"/>
    <hyperlink ref="A1919" r:id="rId1916" xr:uid="{00000000-0004-0000-0100-00007B070000}"/>
    <hyperlink ref="A1920" r:id="rId1917" xr:uid="{00000000-0004-0000-0100-00007C070000}"/>
    <hyperlink ref="A1921" r:id="rId1918" xr:uid="{00000000-0004-0000-0100-00007D070000}"/>
    <hyperlink ref="A1922" r:id="rId1919" xr:uid="{00000000-0004-0000-0100-00007E070000}"/>
    <hyperlink ref="A1923" r:id="rId1920" xr:uid="{00000000-0004-0000-0100-00007F070000}"/>
    <hyperlink ref="A1924" r:id="rId1921" xr:uid="{00000000-0004-0000-0100-000080070000}"/>
    <hyperlink ref="A1925" r:id="rId1922" xr:uid="{00000000-0004-0000-0100-000081070000}"/>
    <hyperlink ref="A1926" r:id="rId1923" xr:uid="{00000000-0004-0000-0100-000082070000}"/>
    <hyperlink ref="A1928" r:id="rId1924" xr:uid="{00000000-0004-0000-0100-000083070000}"/>
    <hyperlink ref="A1929" r:id="rId1925" xr:uid="{00000000-0004-0000-0100-000084070000}"/>
    <hyperlink ref="A1930" r:id="rId1926" xr:uid="{00000000-0004-0000-0100-000085070000}"/>
    <hyperlink ref="A1931" r:id="rId1927" xr:uid="{00000000-0004-0000-0100-000086070000}"/>
    <hyperlink ref="A1932" r:id="rId1928" xr:uid="{00000000-0004-0000-0100-000087070000}"/>
    <hyperlink ref="A1933" r:id="rId1929" xr:uid="{00000000-0004-0000-0100-000088070000}"/>
    <hyperlink ref="A1934" r:id="rId1930" xr:uid="{00000000-0004-0000-0100-000089070000}"/>
    <hyperlink ref="A1935" r:id="rId1931" xr:uid="{00000000-0004-0000-0100-00008A070000}"/>
    <hyperlink ref="A1936" r:id="rId1932" xr:uid="{00000000-0004-0000-0100-00008B070000}"/>
    <hyperlink ref="A1937" r:id="rId1933" xr:uid="{00000000-0004-0000-0100-00008C070000}"/>
    <hyperlink ref="A1938" r:id="rId1934" xr:uid="{00000000-0004-0000-0100-00008D070000}"/>
    <hyperlink ref="A1939" r:id="rId1935" xr:uid="{00000000-0004-0000-0100-00008E070000}"/>
    <hyperlink ref="A1940" r:id="rId1936" xr:uid="{00000000-0004-0000-0100-00008F070000}"/>
    <hyperlink ref="A1941" r:id="rId1937" xr:uid="{00000000-0004-0000-0100-000090070000}"/>
    <hyperlink ref="A1942" r:id="rId1938" xr:uid="{00000000-0004-0000-0100-000091070000}"/>
    <hyperlink ref="A1943" r:id="rId1939" xr:uid="{00000000-0004-0000-0100-000092070000}"/>
    <hyperlink ref="A1944" r:id="rId1940" xr:uid="{00000000-0004-0000-0100-000093070000}"/>
    <hyperlink ref="A1945" r:id="rId1941" xr:uid="{00000000-0004-0000-0100-000094070000}"/>
    <hyperlink ref="A1946" r:id="rId1942" xr:uid="{00000000-0004-0000-0100-000095070000}"/>
    <hyperlink ref="A1947" r:id="rId1943" xr:uid="{00000000-0004-0000-0100-000096070000}"/>
    <hyperlink ref="A1948" r:id="rId1944" xr:uid="{00000000-0004-0000-0100-000097070000}"/>
    <hyperlink ref="A1949" r:id="rId1945" xr:uid="{00000000-0004-0000-0100-000098070000}"/>
    <hyperlink ref="A1950" r:id="rId1946" xr:uid="{00000000-0004-0000-0100-000099070000}"/>
    <hyperlink ref="A1951" r:id="rId1947" xr:uid="{00000000-0004-0000-0100-00009A070000}"/>
    <hyperlink ref="A1952" r:id="rId1948" xr:uid="{00000000-0004-0000-0100-00009B070000}"/>
    <hyperlink ref="A1953" r:id="rId1949" xr:uid="{00000000-0004-0000-0100-00009C070000}"/>
    <hyperlink ref="A1954" r:id="rId1950" xr:uid="{00000000-0004-0000-0100-00009D070000}"/>
    <hyperlink ref="A1955" r:id="rId1951" xr:uid="{00000000-0004-0000-0100-00009E070000}"/>
    <hyperlink ref="A1956" r:id="rId1952" xr:uid="{00000000-0004-0000-0100-00009F070000}"/>
    <hyperlink ref="A1957" r:id="rId1953" xr:uid="{00000000-0004-0000-0100-0000A0070000}"/>
    <hyperlink ref="A1958" r:id="rId1954" xr:uid="{00000000-0004-0000-0100-0000A1070000}"/>
    <hyperlink ref="A1959" r:id="rId1955" xr:uid="{00000000-0004-0000-0100-0000A2070000}"/>
    <hyperlink ref="A1960" r:id="rId1956" xr:uid="{00000000-0004-0000-0100-0000A3070000}"/>
    <hyperlink ref="A1961" r:id="rId1957" xr:uid="{00000000-0004-0000-0100-0000A4070000}"/>
    <hyperlink ref="A1962" r:id="rId1958" xr:uid="{00000000-0004-0000-0100-0000A5070000}"/>
    <hyperlink ref="A1963" r:id="rId1959" xr:uid="{00000000-0004-0000-0100-0000A6070000}"/>
    <hyperlink ref="A1964" r:id="rId1960" xr:uid="{00000000-0004-0000-0100-0000A7070000}"/>
    <hyperlink ref="A1965" r:id="rId1961" xr:uid="{00000000-0004-0000-0100-0000A8070000}"/>
    <hyperlink ref="A1966" r:id="rId1962" xr:uid="{00000000-0004-0000-0100-0000A9070000}"/>
    <hyperlink ref="A1967" r:id="rId1963" xr:uid="{00000000-0004-0000-0100-0000AA070000}"/>
    <hyperlink ref="A1968" r:id="rId1964" xr:uid="{00000000-0004-0000-0100-0000AB070000}"/>
    <hyperlink ref="A1969" r:id="rId1965" xr:uid="{00000000-0004-0000-0100-0000AC070000}"/>
    <hyperlink ref="A1970" r:id="rId1966" xr:uid="{00000000-0004-0000-0100-0000AD070000}"/>
    <hyperlink ref="A1971" r:id="rId1967" xr:uid="{00000000-0004-0000-0100-0000AE070000}"/>
    <hyperlink ref="A1972" r:id="rId1968" xr:uid="{00000000-0004-0000-0100-0000AF070000}"/>
    <hyperlink ref="A1973" r:id="rId1969" xr:uid="{00000000-0004-0000-0100-0000B0070000}"/>
    <hyperlink ref="A1974" r:id="rId1970" xr:uid="{00000000-0004-0000-0100-0000B1070000}"/>
    <hyperlink ref="A1975" r:id="rId1971" xr:uid="{00000000-0004-0000-0100-0000B2070000}"/>
    <hyperlink ref="A1976" r:id="rId1972" xr:uid="{00000000-0004-0000-0100-0000B3070000}"/>
    <hyperlink ref="A1977" r:id="rId1973" xr:uid="{00000000-0004-0000-0100-0000B4070000}"/>
    <hyperlink ref="A1978" r:id="rId1974" xr:uid="{00000000-0004-0000-0100-0000B5070000}"/>
    <hyperlink ref="A1979" r:id="rId1975" xr:uid="{00000000-0004-0000-0100-0000B6070000}"/>
    <hyperlink ref="A1980" r:id="rId1976" xr:uid="{00000000-0004-0000-0100-0000B7070000}"/>
    <hyperlink ref="A1981" r:id="rId1977" xr:uid="{00000000-0004-0000-0100-0000B8070000}"/>
    <hyperlink ref="A1982" r:id="rId1978" xr:uid="{00000000-0004-0000-0100-0000B9070000}"/>
    <hyperlink ref="A1983" r:id="rId1979" xr:uid="{00000000-0004-0000-0100-0000BA070000}"/>
    <hyperlink ref="A1984" r:id="rId1980" xr:uid="{00000000-0004-0000-0100-0000BB070000}"/>
    <hyperlink ref="A1985" r:id="rId1981" xr:uid="{00000000-0004-0000-0100-0000BC070000}"/>
    <hyperlink ref="A1986" r:id="rId1982" xr:uid="{00000000-0004-0000-0100-0000BD070000}"/>
    <hyperlink ref="A1987" r:id="rId1983" xr:uid="{00000000-0004-0000-0100-0000BE070000}"/>
    <hyperlink ref="A1988" r:id="rId1984" xr:uid="{00000000-0004-0000-0100-0000BF070000}"/>
    <hyperlink ref="A1989" r:id="rId1985" xr:uid="{00000000-0004-0000-0100-0000C0070000}"/>
    <hyperlink ref="A1990" r:id="rId1986" xr:uid="{00000000-0004-0000-0100-0000C1070000}"/>
    <hyperlink ref="A1991" r:id="rId1987" xr:uid="{00000000-0004-0000-0100-0000C2070000}"/>
    <hyperlink ref="A1992" r:id="rId1988" xr:uid="{00000000-0004-0000-0100-0000C3070000}"/>
    <hyperlink ref="A1993" r:id="rId1989" xr:uid="{00000000-0004-0000-0100-0000C4070000}"/>
    <hyperlink ref="A1994" r:id="rId1990" xr:uid="{00000000-0004-0000-0100-0000C5070000}"/>
    <hyperlink ref="A1995" r:id="rId1991" xr:uid="{00000000-0004-0000-0100-0000C6070000}"/>
    <hyperlink ref="A1996" r:id="rId1992" xr:uid="{00000000-0004-0000-0100-0000C7070000}"/>
    <hyperlink ref="A1997" r:id="rId1993" xr:uid="{00000000-0004-0000-0100-0000C8070000}"/>
    <hyperlink ref="A1998" r:id="rId1994" xr:uid="{00000000-0004-0000-0100-0000C9070000}"/>
    <hyperlink ref="A1999" r:id="rId1995" xr:uid="{00000000-0004-0000-0100-0000CA070000}"/>
    <hyperlink ref="A2000" r:id="rId1996" xr:uid="{00000000-0004-0000-0100-0000CB070000}"/>
    <hyperlink ref="A2001" r:id="rId1997" xr:uid="{00000000-0004-0000-0100-0000CC070000}"/>
    <hyperlink ref="A2002" r:id="rId1998" xr:uid="{00000000-0004-0000-0100-0000CD070000}"/>
    <hyperlink ref="A2003" r:id="rId1999" xr:uid="{00000000-0004-0000-0100-0000CE070000}"/>
    <hyperlink ref="A2004" r:id="rId2000" xr:uid="{00000000-0004-0000-0100-0000CF070000}"/>
    <hyperlink ref="A2005" r:id="rId2001" xr:uid="{00000000-0004-0000-0100-0000D0070000}"/>
    <hyperlink ref="A2006" r:id="rId2002" xr:uid="{00000000-0004-0000-0100-0000D1070000}"/>
    <hyperlink ref="A2007" r:id="rId2003" xr:uid="{00000000-0004-0000-0100-0000D2070000}"/>
    <hyperlink ref="A2008" r:id="rId2004" xr:uid="{00000000-0004-0000-0100-0000D3070000}"/>
    <hyperlink ref="A2009" r:id="rId2005" xr:uid="{00000000-0004-0000-0100-0000D4070000}"/>
    <hyperlink ref="A2010" r:id="rId2006" xr:uid="{00000000-0004-0000-0100-0000D5070000}"/>
    <hyperlink ref="A2011" r:id="rId2007" xr:uid="{00000000-0004-0000-0100-0000D6070000}"/>
    <hyperlink ref="A2012" r:id="rId2008" xr:uid="{00000000-0004-0000-0100-0000D7070000}"/>
    <hyperlink ref="A2013" r:id="rId2009" xr:uid="{00000000-0004-0000-0100-0000D8070000}"/>
    <hyperlink ref="A2014" r:id="rId2010" xr:uid="{00000000-0004-0000-0100-0000D9070000}"/>
    <hyperlink ref="A2015" r:id="rId2011" xr:uid="{00000000-0004-0000-0100-0000DA070000}"/>
    <hyperlink ref="A2016" r:id="rId2012" xr:uid="{00000000-0004-0000-0100-0000DB070000}"/>
    <hyperlink ref="A2017" r:id="rId2013" xr:uid="{00000000-0004-0000-0100-0000DC070000}"/>
    <hyperlink ref="A2018" r:id="rId2014" xr:uid="{00000000-0004-0000-0100-0000DD070000}"/>
    <hyperlink ref="A2019" r:id="rId2015" xr:uid="{00000000-0004-0000-0100-0000DE070000}"/>
    <hyperlink ref="A2020" r:id="rId2016" xr:uid="{00000000-0004-0000-0100-0000DF070000}"/>
    <hyperlink ref="A2021" r:id="rId2017" xr:uid="{00000000-0004-0000-0100-0000E0070000}"/>
    <hyperlink ref="A2022" r:id="rId2018" xr:uid="{00000000-0004-0000-0100-0000E1070000}"/>
    <hyperlink ref="A2023" r:id="rId2019" xr:uid="{00000000-0004-0000-0100-0000E2070000}"/>
    <hyperlink ref="A2024" r:id="rId2020" xr:uid="{00000000-0004-0000-0100-0000E3070000}"/>
    <hyperlink ref="A2025" r:id="rId2021" xr:uid="{00000000-0004-0000-0100-0000E4070000}"/>
    <hyperlink ref="A2026" r:id="rId2022" xr:uid="{00000000-0004-0000-0100-0000E5070000}"/>
    <hyperlink ref="A2027" r:id="rId2023" xr:uid="{00000000-0004-0000-0100-0000E6070000}"/>
    <hyperlink ref="A2028" r:id="rId2024" xr:uid="{00000000-0004-0000-0100-0000E7070000}"/>
    <hyperlink ref="A2029" r:id="rId2025" xr:uid="{00000000-0004-0000-0100-0000E8070000}"/>
    <hyperlink ref="A2030" r:id="rId2026" xr:uid="{00000000-0004-0000-0100-0000E9070000}"/>
    <hyperlink ref="A2031" r:id="rId2027" xr:uid="{00000000-0004-0000-0100-0000EA070000}"/>
    <hyperlink ref="A2032" r:id="rId2028" xr:uid="{00000000-0004-0000-0100-0000EB070000}"/>
    <hyperlink ref="A2033" r:id="rId2029" xr:uid="{00000000-0004-0000-0100-0000EC070000}"/>
    <hyperlink ref="A2034" r:id="rId2030" xr:uid="{00000000-0004-0000-0100-0000ED070000}"/>
    <hyperlink ref="A2035" r:id="rId2031" xr:uid="{00000000-0004-0000-0100-0000EE070000}"/>
    <hyperlink ref="A2036" r:id="rId2032" xr:uid="{00000000-0004-0000-0100-0000EF070000}"/>
    <hyperlink ref="A2037" r:id="rId2033" xr:uid="{00000000-0004-0000-0100-0000F0070000}"/>
    <hyperlink ref="A2038" r:id="rId2034" xr:uid="{00000000-0004-0000-0100-0000F1070000}"/>
    <hyperlink ref="A2039" r:id="rId2035" xr:uid="{00000000-0004-0000-0100-0000F2070000}"/>
    <hyperlink ref="A2040" r:id="rId2036" xr:uid="{00000000-0004-0000-0100-0000F3070000}"/>
    <hyperlink ref="A2041" r:id="rId2037" xr:uid="{00000000-0004-0000-0100-0000F4070000}"/>
    <hyperlink ref="A2042" r:id="rId2038" xr:uid="{00000000-0004-0000-0100-0000F5070000}"/>
    <hyperlink ref="A2043" r:id="rId2039" xr:uid="{00000000-0004-0000-0100-0000F6070000}"/>
    <hyperlink ref="A2044" r:id="rId2040" xr:uid="{00000000-0004-0000-0100-0000F7070000}"/>
    <hyperlink ref="A2045" r:id="rId2041" xr:uid="{00000000-0004-0000-0100-0000F8070000}"/>
    <hyperlink ref="A2046" r:id="rId2042" xr:uid="{00000000-0004-0000-0100-0000F9070000}"/>
    <hyperlink ref="A2047" r:id="rId2043" xr:uid="{00000000-0004-0000-0100-0000FA070000}"/>
    <hyperlink ref="A2048" r:id="rId2044" xr:uid="{00000000-0004-0000-0100-0000FB070000}"/>
    <hyperlink ref="A2049" r:id="rId2045" xr:uid="{00000000-0004-0000-0100-0000FC070000}"/>
    <hyperlink ref="A2050" r:id="rId2046" xr:uid="{00000000-0004-0000-0100-0000FD070000}"/>
    <hyperlink ref="A2051" r:id="rId2047" xr:uid="{00000000-0004-0000-0100-0000FE070000}"/>
    <hyperlink ref="A2052" r:id="rId2048" xr:uid="{00000000-0004-0000-0100-0000FF070000}"/>
    <hyperlink ref="A2053" r:id="rId2049" xr:uid="{00000000-0004-0000-0100-000000080000}"/>
    <hyperlink ref="A2054" r:id="rId2050" xr:uid="{00000000-0004-0000-0100-000001080000}"/>
    <hyperlink ref="A2055" r:id="rId2051" xr:uid="{00000000-0004-0000-0100-000002080000}"/>
    <hyperlink ref="A2056" r:id="rId2052" xr:uid="{00000000-0004-0000-0100-000003080000}"/>
    <hyperlink ref="A2057" r:id="rId2053" xr:uid="{00000000-0004-0000-0100-000004080000}"/>
    <hyperlink ref="A2058" r:id="rId2054" xr:uid="{00000000-0004-0000-0100-000005080000}"/>
    <hyperlink ref="A2059" r:id="rId2055" xr:uid="{00000000-0004-0000-0100-000006080000}"/>
    <hyperlink ref="A2060" r:id="rId2056" xr:uid="{00000000-0004-0000-0100-000007080000}"/>
    <hyperlink ref="A2061" r:id="rId2057" xr:uid="{00000000-0004-0000-0100-000008080000}"/>
    <hyperlink ref="A2062" r:id="rId2058" xr:uid="{00000000-0004-0000-0100-000009080000}"/>
    <hyperlink ref="A2063" r:id="rId2059" xr:uid="{00000000-0004-0000-0100-00000A080000}"/>
    <hyperlink ref="A2064" r:id="rId2060" xr:uid="{00000000-0004-0000-0100-00000B080000}"/>
    <hyperlink ref="A2065" r:id="rId2061" xr:uid="{00000000-0004-0000-0100-00000C080000}"/>
    <hyperlink ref="A2066" r:id="rId2062" xr:uid="{00000000-0004-0000-0100-00000D080000}"/>
    <hyperlink ref="A2067" r:id="rId2063" xr:uid="{00000000-0004-0000-0100-00000E080000}"/>
    <hyperlink ref="A2068" r:id="rId2064" xr:uid="{00000000-0004-0000-0100-00000F080000}"/>
    <hyperlink ref="A2069" r:id="rId2065" xr:uid="{00000000-0004-0000-0100-000010080000}"/>
    <hyperlink ref="A2070" r:id="rId2066" xr:uid="{00000000-0004-0000-0100-000011080000}"/>
    <hyperlink ref="A2071" r:id="rId2067" xr:uid="{00000000-0004-0000-0100-000012080000}"/>
    <hyperlink ref="A2072" r:id="rId2068" xr:uid="{00000000-0004-0000-0100-000013080000}"/>
    <hyperlink ref="A2073" r:id="rId2069" xr:uid="{00000000-0004-0000-0100-000014080000}"/>
    <hyperlink ref="A2074" r:id="rId2070" xr:uid="{00000000-0004-0000-0100-000015080000}"/>
    <hyperlink ref="A2075" r:id="rId2071" xr:uid="{00000000-0004-0000-0100-000016080000}"/>
    <hyperlink ref="A2076" r:id="rId2072" xr:uid="{00000000-0004-0000-0100-000017080000}"/>
    <hyperlink ref="A2077" r:id="rId2073" xr:uid="{00000000-0004-0000-0100-000018080000}"/>
    <hyperlink ref="A2078" r:id="rId2074" xr:uid="{00000000-0004-0000-0100-000019080000}"/>
    <hyperlink ref="A2079" r:id="rId2075" xr:uid="{00000000-0004-0000-0100-00001A080000}"/>
    <hyperlink ref="A2080" r:id="rId2076" xr:uid="{00000000-0004-0000-0100-00001B080000}"/>
    <hyperlink ref="A2081" r:id="rId2077" xr:uid="{00000000-0004-0000-0100-00001C080000}"/>
    <hyperlink ref="A2082" r:id="rId2078" xr:uid="{00000000-0004-0000-0100-00001D080000}"/>
    <hyperlink ref="A2083" r:id="rId2079" xr:uid="{00000000-0004-0000-0100-00001E080000}"/>
    <hyperlink ref="A2084" r:id="rId2080" xr:uid="{00000000-0004-0000-0100-00001F080000}"/>
    <hyperlink ref="A2085" r:id="rId2081" xr:uid="{00000000-0004-0000-0100-000020080000}"/>
    <hyperlink ref="A2086" r:id="rId2082" xr:uid="{00000000-0004-0000-0100-000021080000}"/>
    <hyperlink ref="A2087" r:id="rId2083" xr:uid="{00000000-0004-0000-0100-000022080000}"/>
    <hyperlink ref="A2088" r:id="rId2084" xr:uid="{00000000-0004-0000-0100-000023080000}"/>
    <hyperlink ref="A2089" r:id="rId2085" xr:uid="{00000000-0004-0000-0100-000024080000}"/>
    <hyperlink ref="A2090" r:id="rId2086" xr:uid="{00000000-0004-0000-0100-000025080000}"/>
    <hyperlink ref="A2091" r:id="rId2087" xr:uid="{00000000-0004-0000-0100-000026080000}"/>
    <hyperlink ref="A2092" r:id="rId2088" xr:uid="{00000000-0004-0000-0100-000027080000}"/>
    <hyperlink ref="A2093" r:id="rId2089" xr:uid="{00000000-0004-0000-0100-000028080000}"/>
    <hyperlink ref="A2094" r:id="rId2090" xr:uid="{00000000-0004-0000-0100-000029080000}"/>
    <hyperlink ref="A2095" r:id="rId2091" xr:uid="{00000000-0004-0000-0100-00002A080000}"/>
    <hyperlink ref="A2096" r:id="rId2092" xr:uid="{00000000-0004-0000-0100-00002B080000}"/>
    <hyperlink ref="A2097" r:id="rId2093" xr:uid="{00000000-0004-0000-0100-00002C080000}"/>
    <hyperlink ref="A2098" r:id="rId2094" xr:uid="{00000000-0004-0000-0100-00002D080000}"/>
    <hyperlink ref="A2099" r:id="rId2095" xr:uid="{00000000-0004-0000-0100-00002E080000}"/>
    <hyperlink ref="A2100" r:id="rId2096" xr:uid="{00000000-0004-0000-0100-00002F080000}"/>
    <hyperlink ref="A2101" r:id="rId2097" xr:uid="{00000000-0004-0000-0100-000030080000}"/>
    <hyperlink ref="A2102" r:id="rId2098" xr:uid="{00000000-0004-0000-0100-000031080000}"/>
    <hyperlink ref="A2103" r:id="rId2099" xr:uid="{00000000-0004-0000-0100-000032080000}"/>
    <hyperlink ref="A2104" r:id="rId2100" xr:uid="{00000000-0004-0000-0100-000033080000}"/>
    <hyperlink ref="A2105" r:id="rId2101" xr:uid="{00000000-0004-0000-0100-000034080000}"/>
    <hyperlink ref="A2106" r:id="rId2102" xr:uid="{00000000-0004-0000-0100-000035080000}"/>
    <hyperlink ref="A2107" r:id="rId2103" xr:uid="{00000000-0004-0000-0100-000036080000}"/>
    <hyperlink ref="A2108" r:id="rId2104" xr:uid="{00000000-0004-0000-0100-000037080000}"/>
    <hyperlink ref="A2109" r:id="rId2105" xr:uid="{00000000-0004-0000-0100-000038080000}"/>
    <hyperlink ref="A2110" r:id="rId2106" xr:uid="{00000000-0004-0000-0100-000039080000}"/>
    <hyperlink ref="A2111" r:id="rId2107" xr:uid="{00000000-0004-0000-0100-00003A080000}"/>
    <hyperlink ref="A2112" r:id="rId2108" xr:uid="{00000000-0004-0000-0100-00003B080000}"/>
    <hyperlink ref="A2113" r:id="rId2109" xr:uid="{00000000-0004-0000-0100-00003C080000}"/>
    <hyperlink ref="A2114" r:id="rId2110" xr:uid="{00000000-0004-0000-0100-00003D080000}"/>
    <hyperlink ref="A2115" r:id="rId2111" xr:uid="{00000000-0004-0000-0100-00003E080000}"/>
    <hyperlink ref="A2116" r:id="rId2112" xr:uid="{00000000-0004-0000-0100-00003F080000}"/>
    <hyperlink ref="A2117" r:id="rId2113" xr:uid="{00000000-0004-0000-0100-000040080000}"/>
    <hyperlink ref="A2118" r:id="rId2114" xr:uid="{00000000-0004-0000-0100-000041080000}"/>
    <hyperlink ref="A2119" r:id="rId2115" xr:uid="{00000000-0004-0000-0100-000042080000}"/>
    <hyperlink ref="A2120" r:id="rId2116" xr:uid="{00000000-0004-0000-0100-000043080000}"/>
    <hyperlink ref="A2121" r:id="rId2117" xr:uid="{00000000-0004-0000-0100-000044080000}"/>
    <hyperlink ref="A2122" r:id="rId2118" xr:uid="{00000000-0004-0000-0100-000045080000}"/>
    <hyperlink ref="A2123" r:id="rId2119" xr:uid="{00000000-0004-0000-0100-000046080000}"/>
    <hyperlink ref="A2124" r:id="rId2120" xr:uid="{00000000-0004-0000-0100-000047080000}"/>
    <hyperlink ref="A2125" r:id="rId2121" xr:uid="{00000000-0004-0000-0100-000048080000}"/>
    <hyperlink ref="A2126" r:id="rId2122" xr:uid="{00000000-0004-0000-0100-000049080000}"/>
    <hyperlink ref="A2127" r:id="rId2123" xr:uid="{00000000-0004-0000-0100-00004A080000}"/>
    <hyperlink ref="A2128" r:id="rId2124" xr:uid="{00000000-0004-0000-0100-00004B080000}"/>
    <hyperlink ref="A2129" r:id="rId2125" xr:uid="{00000000-0004-0000-0100-00004C080000}"/>
    <hyperlink ref="A2130" r:id="rId2126" xr:uid="{00000000-0004-0000-0100-00004D080000}"/>
    <hyperlink ref="A2131" r:id="rId2127" xr:uid="{00000000-0004-0000-0100-00004E080000}"/>
    <hyperlink ref="A2132" r:id="rId2128" xr:uid="{00000000-0004-0000-0100-00004F080000}"/>
    <hyperlink ref="A2133" r:id="rId2129" xr:uid="{00000000-0004-0000-0100-000050080000}"/>
    <hyperlink ref="A2134" r:id="rId2130" xr:uid="{00000000-0004-0000-0100-000051080000}"/>
    <hyperlink ref="A2135" r:id="rId2131" xr:uid="{00000000-0004-0000-0100-000052080000}"/>
    <hyperlink ref="A2136" r:id="rId2132" xr:uid="{00000000-0004-0000-0100-000053080000}"/>
    <hyperlink ref="A2137" r:id="rId2133" xr:uid="{00000000-0004-0000-0100-000054080000}"/>
    <hyperlink ref="A2138" r:id="rId2134" xr:uid="{00000000-0004-0000-0100-000055080000}"/>
    <hyperlink ref="A2139" r:id="rId2135" xr:uid="{00000000-0004-0000-0100-000056080000}"/>
    <hyperlink ref="A2140" r:id="rId2136" xr:uid="{00000000-0004-0000-0100-000057080000}"/>
    <hyperlink ref="A2141" r:id="rId2137" xr:uid="{00000000-0004-0000-0100-000058080000}"/>
    <hyperlink ref="A2142" r:id="rId2138" xr:uid="{00000000-0004-0000-0100-000059080000}"/>
    <hyperlink ref="A2143" r:id="rId2139" xr:uid="{00000000-0004-0000-0100-00005A080000}"/>
    <hyperlink ref="A2144" r:id="rId2140" xr:uid="{00000000-0004-0000-0100-00005B080000}"/>
    <hyperlink ref="A2145" r:id="rId2141" xr:uid="{00000000-0004-0000-0100-00005C080000}"/>
    <hyperlink ref="A2146" r:id="rId2142" xr:uid="{00000000-0004-0000-0100-00005D080000}"/>
    <hyperlink ref="A2147" r:id="rId2143" xr:uid="{00000000-0004-0000-0100-00005E080000}"/>
    <hyperlink ref="A2148" r:id="rId2144" xr:uid="{00000000-0004-0000-0100-00005F080000}"/>
    <hyperlink ref="A2149" r:id="rId2145" xr:uid="{00000000-0004-0000-0100-000060080000}"/>
    <hyperlink ref="A2150" r:id="rId2146" xr:uid="{00000000-0004-0000-0100-000061080000}"/>
    <hyperlink ref="A2151" r:id="rId2147" xr:uid="{00000000-0004-0000-0100-000062080000}"/>
    <hyperlink ref="A2152" r:id="rId2148" xr:uid="{00000000-0004-0000-0100-000063080000}"/>
    <hyperlink ref="A2153" r:id="rId2149" xr:uid="{00000000-0004-0000-0100-000064080000}"/>
    <hyperlink ref="A2154" r:id="rId2150" xr:uid="{00000000-0004-0000-0100-000065080000}"/>
    <hyperlink ref="A2155" r:id="rId2151" xr:uid="{00000000-0004-0000-0100-000066080000}"/>
    <hyperlink ref="A2156" r:id="rId2152" xr:uid="{00000000-0004-0000-0100-000067080000}"/>
    <hyperlink ref="A2157" r:id="rId2153" xr:uid="{00000000-0004-0000-0100-000068080000}"/>
    <hyperlink ref="A2158" r:id="rId2154" xr:uid="{00000000-0004-0000-0100-000069080000}"/>
    <hyperlink ref="A2159" r:id="rId2155" xr:uid="{00000000-0004-0000-0100-00006A080000}"/>
    <hyperlink ref="A2160" r:id="rId2156" xr:uid="{00000000-0004-0000-0100-00006B080000}"/>
    <hyperlink ref="A2161" r:id="rId2157" xr:uid="{00000000-0004-0000-0100-00006C080000}"/>
    <hyperlink ref="A2162" r:id="rId2158" xr:uid="{00000000-0004-0000-0100-00006D080000}"/>
    <hyperlink ref="A2163" r:id="rId2159" xr:uid="{00000000-0004-0000-0100-00006E080000}"/>
    <hyperlink ref="A2164" r:id="rId2160" xr:uid="{00000000-0004-0000-0100-00006F080000}"/>
    <hyperlink ref="A2165" r:id="rId2161" xr:uid="{00000000-0004-0000-0100-000070080000}"/>
    <hyperlink ref="A2166" r:id="rId2162" xr:uid="{00000000-0004-0000-0100-000071080000}"/>
    <hyperlink ref="A2167" r:id="rId2163" xr:uid="{00000000-0004-0000-0100-000072080000}"/>
    <hyperlink ref="A2168" r:id="rId2164" xr:uid="{00000000-0004-0000-0100-000073080000}"/>
    <hyperlink ref="A2169" r:id="rId2165" xr:uid="{00000000-0004-0000-0100-000074080000}"/>
    <hyperlink ref="A2170" r:id="rId2166" xr:uid="{00000000-0004-0000-0100-000075080000}"/>
    <hyperlink ref="A2171" r:id="rId2167" xr:uid="{00000000-0004-0000-0100-000076080000}"/>
    <hyperlink ref="A2172" r:id="rId2168" xr:uid="{00000000-0004-0000-0100-000077080000}"/>
    <hyperlink ref="A2173" r:id="rId2169" xr:uid="{00000000-0004-0000-0100-000078080000}"/>
    <hyperlink ref="A2174" r:id="rId2170" xr:uid="{00000000-0004-0000-0100-000079080000}"/>
    <hyperlink ref="A2175" r:id="rId2171" xr:uid="{00000000-0004-0000-0100-00007A080000}"/>
    <hyperlink ref="A2176" r:id="rId2172" xr:uid="{00000000-0004-0000-0100-00007B080000}"/>
    <hyperlink ref="A2177" r:id="rId2173" xr:uid="{00000000-0004-0000-0100-00007C080000}"/>
    <hyperlink ref="A2178" r:id="rId2174" xr:uid="{00000000-0004-0000-0100-00007D080000}"/>
    <hyperlink ref="A2179" r:id="rId2175" xr:uid="{00000000-0004-0000-0100-00007E080000}"/>
    <hyperlink ref="A2180" r:id="rId2176" xr:uid="{00000000-0004-0000-0100-00007F080000}"/>
    <hyperlink ref="A2181" r:id="rId2177" xr:uid="{00000000-0004-0000-0100-000080080000}"/>
    <hyperlink ref="A2182" r:id="rId2178" xr:uid="{00000000-0004-0000-0100-000081080000}"/>
    <hyperlink ref="A2183" r:id="rId2179" xr:uid="{00000000-0004-0000-0100-000082080000}"/>
    <hyperlink ref="A2184" r:id="rId2180" xr:uid="{00000000-0004-0000-0100-000083080000}"/>
    <hyperlink ref="A2185" r:id="rId2181" xr:uid="{00000000-0004-0000-0100-000084080000}"/>
    <hyperlink ref="A2186" r:id="rId2182" xr:uid="{00000000-0004-0000-0100-000085080000}"/>
    <hyperlink ref="A2187" r:id="rId2183" xr:uid="{00000000-0004-0000-0100-000086080000}"/>
    <hyperlink ref="A2188" r:id="rId2184" xr:uid="{00000000-0004-0000-0100-000087080000}"/>
    <hyperlink ref="A2189" r:id="rId2185" xr:uid="{00000000-0004-0000-0100-000088080000}"/>
    <hyperlink ref="A2190" r:id="rId2186" xr:uid="{00000000-0004-0000-0100-000089080000}"/>
    <hyperlink ref="A2191" r:id="rId2187" xr:uid="{00000000-0004-0000-0100-00008A080000}"/>
    <hyperlink ref="A2192" r:id="rId2188" xr:uid="{00000000-0004-0000-0100-00008B080000}"/>
    <hyperlink ref="A2193" r:id="rId2189" xr:uid="{00000000-0004-0000-0100-00008C080000}"/>
    <hyperlink ref="A2194" r:id="rId2190" xr:uid="{00000000-0004-0000-0100-00008D080000}"/>
    <hyperlink ref="A2195" r:id="rId2191" xr:uid="{00000000-0004-0000-0100-00008E080000}"/>
    <hyperlink ref="A2196" r:id="rId2192" xr:uid="{00000000-0004-0000-0100-00008F080000}"/>
    <hyperlink ref="A2197" r:id="rId2193" xr:uid="{00000000-0004-0000-0100-000090080000}"/>
    <hyperlink ref="A2198" r:id="rId2194" xr:uid="{00000000-0004-0000-0100-000091080000}"/>
    <hyperlink ref="A2199" r:id="rId2195" xr:uid="{00000000-0004-0000-0100-000092080000}"/>
    <hyperlink ref="A2200" r:id="rId2196" xr:uid="{00000000-0004-0000-0100-000093080000}"/>
    <hyperlink ref="A2201" r:id="rId2197" xr:uid="{00000000-0004-0000-0100-000094080000}"/>
    <hyperlink ref="A2202" r:id="rId2198" xr:uid="{00000000-0004-0000-0100-000095080000}"/>
    <hyperlink ref="A2203" r:id="rId2199" xr:uid="{00000000-0004-0000-0100-000096080000}"/>
    <hyperlink ref="A2204" r:id="rId2200" xr:uid="{00000000-0004-0000-0100-000097080000}"/>
    <hyperlink ref="A2205" r:id="rId2201" xr:uid="{00000000-0004-0000-0100-000098080000}"/>
    <hyperlink ref="A2206" r:id="rId2202" xr:uid="{00000000-0004-0000-0100-000099080000}"/>
    <hyperlink ref="A2207" r:id="rId2203" xr:uid="{00000000-0004-0000-0100-00009A080000}"/>
    <hyperlink ref="A2208" r:id="rId2204" xr:uid="{00000000-0004-0000-0100-00009B080000}"/>
    <hyperlink ref="A2209" r:id="rId2205" xr:uid="{00000000-0004-0000-0100-00009C080000}"/>
    <hyperlink ref="A2210" r:id="rId2206" xr:uid="{00000000-0004-0000-0100-00009D080000}"/>
    <hyperlink ref="A2211" r:id="rId2207" xr:uid="{00000000-0004-0000-0100-00009E080000}"/>
    <hyperlink ref="A2212" r:id="rId2208" xr:uid="{00000000-0004-0000-0100-00009F080000}"/>
    <hyperlink ref="A2213" r:id="rId2209" xr:uid="{00000000-0004-0000-0100-0000A0080000}"/>
    <hyperlink ref="A2214" r:id="rId2210" xr:uid="{00000000-0004-0000-0100-0000A1080000}"/>
    <hyperlink ref="A2215" r:id="rId2211" xr:uid="{00000000-0004-0000-0100-0000A2080000}"/>
    <hyperlink ref="A2216" r:id="rId2212" xr:uid="{00000000-0004-0000-0100-0000A3080000}"/>
    <hyperlink ref="A2217" r:id="rId2213" xr:uid="{00000000-0004-0000-0100-0000A4080000}"/>
    <hyperlink ref="A2218" r:id="rId2214" xr:uid="{00000000-0004-0000-0100-0000A5080000}"/>
    <hyperlink ref="A2219" r:id="rId2215" xr:uid="{00000000-0004-0000-0100-0000A6080000}"/>
    <hyperlink ref="A2220" r:id="rId2216" xr:uid="{00000000-0004-0000-0100-0000A7080000}"/>
    <hyperlink ref="A2221" r:id="rId2217" xr:uid="{00000000-0004-0000-0100-0000A8080000}"/>
    <hyperlink ref="A2222" r:id="rId2218" xr:uid="{00000000-0004-0000-0100-0000A9080000}"/>
    <hyperlink ref="A2223" r:id="rId2219" xr:uid="{00000000-0004-0000-0100-0000AA080000}"/>
    <hyperlink ref="A2224" r:id="rId2220" xr:uid="{00000000-0004-0000-0100-0000AB080000}"/>
    <hyperlink ref="A2225" r:id="rId2221" xr:uid="{00000000-0004-0000-0100-0000AC080000}"/>
    <hyperlink ref="A2226" r:id="rId2222" xr:uid="{00000000-0004-0000-0100-0000AD080000}"/>
    <hyperlink ref="A2227" r:id="rId2223" xr:uid="{00000000-0004-0000-0100-0000AE080000}"/>
    <hyperlink ref="A2228" r:id="rId2224" xr:uid="{00000000-0004-0000-0100-0000AF080000}"/>
    <hyperlink ref="A2229" r:id="rId2225" xr:uid="{00000000-0004-0000-0100-0000B0080000}"/>
    <hyperlink ref="A2230" r:id="rId2226" xr:uid="{00000000-0004-0000-0100-0000B1080000}"/>
    <hyperlink ref="A2231" r:id="rId2227" xr:uid="{00000000-0004-0000-0100-0000B2080000}"/>
    <hyperlink ref="A2232" r:id="rId2228" xr:uid="{00000000-0004-0000-0100-0000B3080000}"/>
    <hyperlink ref="A2233" r:id="rId2229" xr:uid="{00000000-0004-0000-0100-0000B4080000}"/>
    <hyperlink ref="A2234" r:id="rId2230" xr:uid="{00000000-0004-0000-0100-0000B5080000}"/>
    <hyperlink ref="A2235" r:id="rId2231" xr:uid="{00000000-0004-0000-0100-0000B6080000}"/>
    <hyperlink ref="A2236" r:id="rId2232" xr:uid="{00000000-0004-0000-0100-0000B7080000}"/>
    <hyperlink ref="A2237" r:id="rId2233" xr:uid="{00000000-0004-0000-0100-0000B8080000}"/>
    <hyperlink ref="A2238" r:id="rId2234" xr:uid="{00000000-0004-0000-0100-0000B9080000}"/>
    <hyperlink ref="A2239" r:id="rId2235" xr:uid="{00000000-0004-0000-0100-0000BA080000}"/>
    <hyperlink ref="A2240" r:id="rId2236" xr:uid="{00000000-0004-0000-0100-0000BB080000}"/>
    <hyperlink ref="A2241" r:id="rId2237" xr:uid="{00000000-0004-0000-0100-0000BC080000}"/>
    <hyperlink ref="A2242" r:id="rId2238" xr:uid="{00000000-0004-0000-0100-0000BD080000}"/>
    <hyperlink ref="A2243" r:id="rId2239" xr:uid="{00000000-0004-0000-0100-0000BE080000}"/>
    <hyperlink ref="A2244" r:id="rId2240" xr:uid="{00000000-0004-0000-0100-0000BF080000}"/>
    <hyperlink ref="A2245" r:id="rId2241" xr:uid="{00000000-0004-0000-0100-0000C0080000}"/>
    <hyperlink ref="A2246" r:id="rId2242" xr:uid="{00000000-0004-0000-0100-0000C1080000}"/>
    <hyperlink ref="A2247" r:id="rId2243" xr:uid="{00000000-0004-0000-0100-0000C2080000}"/>
    <hyperlink ref="A2248" r:id="rId2244" xr:uid="{00000000-0004-0000-0100-0000C3080000}"/>
    <hyperlink ref="A2249" r:id="rId2245" xr:uid="{00000000-0004-0000-0100-0000C4080000}"/>
    <hyperlink ref="A2250" r:id="rId2246" xr:uid="{00000000-0004-0000-0100-0000C5080000}"/>
    <hyperlink ref="A2251" r:id="rId2247" xr:uid="{00000000-0004-0000-0100-0000C6080000}"/>
    <hyperlink ref="A2252" r:id="rId2248" xr:uid="{00000000-0004-0000-0100-0000C7080000}"/>
    <hyperlink ref="A2253" r:id="rId2249" xr:uid="{00000000-0004-0000-0100-0000C8080000}"/>
    <hyperlink ref="A2254" r:id="rId2250" xr:uid="{00000000-0004-0000-0100-0000C9080000}"/>
    <hyperlink ref="A2255" r:id="rId2251" xr:uid="{00000000-0004-0000-0100-0000CA080000}"/>
    <hyperlink ref="A2256" r:id="rId2252" xr:uid="{00000000-0004-0000-0100-0000CB080000}"/>
    <hyperlink ref="A2257" r:id="rId2253" xr:uid="{00000000-0004-0000-0100-0000CC080000}"/>
    <hyperlink ref="A2258" r:id="rId2254" xr:uid="{00000000-0004-0000-0100-0000CD080000}"/>
    <hyperlink ref="A2259" r:id="rId2255" xr:uid="{00000000-0004-0000-0100-0000CE080000}"/>
    <hyperlink ref="A2260" r:id="rId2256" xr:uid="{00000000-0004-0000-0100-0000CF080000}"/>
    <hyperlink ref="A2261" r:id="rId2257" xr:uid="{00000000-0004-0000-0100-0000D0080000}"/>
    <hyperlink ref="A2262" r:id="rId2258" xr:uid="{00000000-0004-0000-0100-0000D1080000}"/>
    <hyperlink ref="A2263" r:id="rId2259" xr:uid="{00000000-0004-0000-0100-0000D2080000}"/>
    <hyperlink ref="A2264" r:id="rId2260" xr:uid="{00000000-0004-0000-0100-0000D3080000}"/>
    <hyperlink ref="A2265" r:id="rId2261" xr:uid="{00000000-0004-0000-0100-0000D4080000}"/>
    <hyperlink ref="A2266" r:id="rId2262" xr:uid="{00000000-0004-0000-0100-0000D5080000}"/>
    <hyperlink ref="A2267" r:id="rId2263" xr:uid="{00000000-0004-0000-0100-0000D6080000}"/>
    <hyperlink ref="A2268" r:id="rId2264" xr:uid="{00000000-0004-0000-0100-0000D7080000}"/>
    <hyperlink ref="A2269" r:id="rId2265" xr:uid="{00000000-0004-0000-0100-0000D8080000}"/>
    <hyperlink ref="A2270" r:id="rId2266" xr:uid="{00000000-0004-0000-0100-0000D9080000}"/>
    <hyperlink ref="A2271" r:id="rId2267" xr:uid="{00000000-0004-0000-0100-0000DA080000}"/>
    <hyperlink ref="A2272" r:id="rId2268" xr:uid="{00000000-0004-0000-0100-0000DB080000}"/>
    <hyperlink ref="A2273" r:id="rId2269" xr:uid="{00000000-0004-0000-0100-0000DC080000}"/>
    <hyperlink ref="A2274" r:id="rId2270" xr:uid="{00000000-0004-0000-0100-0000DD080000}"/>
    <hyperlink ref="A2275" r:id="rId2271" xr:uid="{00000000-0004-0000-0100-0000DE080000}"/>
    <hyperlink ref="A2276" r:id="rId2272" xr:uid="{00000000-0004-0000-0100-0000DF080000}"/>
    <hyperlink ref="A2277" r:id="rId2273" xr:uid="{00000000-0004-0000-0100-0000E0080000}"/>
    <hyperlink ref="A2278" r:id="rId2274" xr:uid="{00000000-0004-0000-0100-0000E1080000}"/>
    <hyperlink ref="A2279" r:id="rId2275" xr:uid="{00000000-0004-0000-0100-0000E2080000}"/>
    <hyperlink ref="A2280" r:id="rId2276" xr:uid="{00000000-0004-0000-0100-0000E3080000}"/>
    <hyperlink ref="A2281" r:id="rId2277" xr:uid="{00000000-0004-0000-0100-0000E4080000}"/>
    <hyperlink ref="A2282" r:id="rId2278" xr:uid="{00000000-0004-0000-0100-0000E5080000}"/>
    <hyperlink ref="A2283" r:id="rId2279" xr:uid="{00000000-0004-0000-0100-0000E6080000}"/>
    <hyperlink ref="A2284" r:id="rId2280" xr:uid="{00000000-0004-0000-0100-0000E7080000}"/>
    <hyperlink ref="A2285" r:id="rId2281" xr:uid="{00000000-0004-0000-0100-0000E8080000}"/>
    <hyperlink ref="A2286" r:id="rId2282" xr:uid="{00000000-0004-0000-0100-0000E9080000}"/>
    <hyperlink ref="A2287" r:id="rId2283" xr:uid="{00000000-0004-0000-0100-0000EA080000}"/>
    <hyperlink ref="A2288" r:id="rId2284" xr:uid="{00000000-0004-0000-0100-0000EB080000}"/>
    <hyperlink ref="A2289" r:id="rId2285" xr:uid="{00000000-0004-0000-0100-0000EC080000}"/>
    <hyperlink ref="A2290" r:id="rId2286" xr:uid="{00000000-0004-0000-0100-0000ED080000}"/>
    <hyperlink ref="A2291" r:id="rId2287" xr:uid="{00000000-0004-0000-0100-0000EE080000}"/>
    <hyperlink ref="A2292" r:id="rId2288" xr:uid="{00000000-0004-0000-0100-0000EF080000}"/>
    <hyperlink ref="A2293" r:id="rId2289" xr:uid="{00000000-0004-0000-0100-0000F0080000}"/>
    <hyperlink ref="A2294" r:id="rId2290" xr:uid="{00000000-0004-0000-0100-0000F1080000}"/>
    <hyperlink ref="A2295" r:id="rId2291" xr:uid="{00000000-0004-0000-0100-0000F2080000}"/>
    <hyperlink ref="A2296" r:id="rId2292" xr:uid="{00000000-0004-0000-0100-0000F3080000}"/>
    <hyperlink ref="A2297" r:id="rId2293" xr:uid="{00000000-0004-0000-0100-0000F4080000}"/>
    <hyperlink ref="A2298" r:id="rId2294" xr:uid="{00000000-0004-0000-0100-0000F5080000}"/>
    <hyperlink ref="A2299" r:id="rId2295" xr:uid="{00000000-0004-0000-0100-0000F6080000}"/>
    <hyperlink ref="A2300" r:id="rId2296" xr:uid="{00000000-0004-0000-0100-0000F7080000}"/>
    <hyperlink ref="A2301" r:id="rId2297" xr:uid="{00000000-0004-0000-0100-0000F8080000}"/>
    <hyperlink ref="A2302" r:id="rId2298" xr:uid="{00000000-0004-0000-0100-0000F9080000}"/>
    <hyperlink ref="A2303" r:id="rId2299" xr:uid="{00000000-0004-0000-0100-0000FA080000}"/>
    <hyperlink ref="A2304" r:id="rId2300" xr:uid="{00000000-0004-0000-0100-0000FB080000}"/>
    <hyperlink ref="A2305" r:id="rId2301" xr:uid="{00000000-0004-0000-0100-0000FC080000}"/>
    <hyperlink ref="A2306" r:id="rId2302" xr:uid="{00000000-0004-0000-0100-0000FD080000}"/>
    <hyperlink ref="A2307" r:id="rId2303" xr:uid="{00000000-0004-0000-0100-0000FE080000}"/>
    <hyperlink ref="A2308" r:id="rId2304" xr:uid="{00000000-0004-0000-0100-0000FF080000}"/>
    <hyperlink ref="A2309" r:id="rId2305" xr:uid="{00000000-0004-0000-0100-000000090000}"/>
    <hyperlink ref="A2310" r:id="rId2306" xr:uid="{00000000-0004-0000-0100-000001090000}"/>
    <hyperlink ref="A2311" r:id="rId2307" xr:uid="{00000000-0004-0000-0100-000002090000}"/>
    <hyperlink ref="A2312" r:id="rId2308" xr:uid="{00000000-0004-0000-0100-000003090000}"/>
    <hyperlink ref="A2313" r:id="rId2309" xr:uid="{00000000-0004-0000-0100-000004090000}"/>
    <hyperlink ref="A2314" r:id="rId2310" xr:uid="{00000000-0004-0000-0100-000005090000}"/>
    <hyperlink ref="A2315" r:id="rId2311" xr:uid="{00000000-0004-0000-0100-000006090000}"/>
    <hyperlink ref="A2316" r:id="rId2312" xr:uid="{00000000-0004-0000-0100-000007090000}"/>
    <hyperlink ref="A2317" r:id="rId2313" xr:uid="{00000000-0004-0000-0100-000008090000}"/>
    <hyperlink ref="A2318" r:id="rId2314" xr:uid="{00000000-0004-0000-0100-000009090000}"/>
    <hyperlink ref="A2319" r:id="rId2315" xr:uid="{00000000-0004-0000-0100-00000A090000}"/>
    <hyperlink ref="A2320" r:id="rId2316" xr:uid="{00000000-0004-0000-0100-00000B090000}"/>
    <hyperlink ref="A2321" r:id="rId2317" xr:uid="{00000000-0004-0000-0100-00000C090000}"/>
    <hyperlink ref="A2322" r:id="rId2318" xr:uid="{00000000-0004-0000-0100-00000D090000}"/>
    <hyperlink ref="A2323" r:id="rId2319" xr:uid="{00000000-0004-0000-0100-00000E090000}"/>
    <hyperlink ref="A2324" r:id="rId2320" xr:uid="{00000000-0004-0000-0100-00000F090000}"/>
    <hyperlink ref="A2325" r:id="rId2321" xr:uid="{00000000-0004-0000-0100-000010090000}"/>
    <hyperlink ref="A2326" r:id="rId2322" xr:uid="{00000000-0004-0000-0100-000011090000}"/>
    <hyperlink ref="A2327" r:id="rId2323" xr:uid="{00000000-0004-0000-0100-000012090000}"/>
    <hyperlink ref="A2328" r:id="rId2324" xr:uid="{00000000-0004-0000-0100-000013090000}"/>
    <hyperlink ref="A2329" r:id="rId2325" xr:uid="{00000000-0004-0000-0100-000014090000}"/>
    <hyperlink ref="A2330" r:id="rId2326" xr:uid="{00000000-0004-0000-0100-000015090000}"/>
    <hyperlink ref="A2331" r:id="rId2327" xr:uid="{00000000-0004-0000-0100-000016090000}"/>
    <hyperlink ref="A2332" r:id="rId2328" xr:uid="{00000000-0004-0000-0100-000017090000}"/>
    <hyperlink ref="A2333" r:id="rId2329" xr:uid="{00000000-0004-0000-0100-000018090000}"/>
    <hyperlink ref="A2334" r:id="rId2330" xr:uid="{00000000-0004-0000-0100-000019090000}"/>
    <hyperlink ref="A2335" r:id="rId2331" xr:uid="{00000000-0004-0000-0100-00001A090000}"/>
    <hyperlink ref="A2336" r:id="rId2332" xr:uid="{00000000-0004-0000-0100-00001B090000}"/>
    <hyperlink ref="A2337" r:id="rId2333" xr:uid="{00000000-0004-0000-0100-00001C090000}"/>
    <hyperlink ref="A2338" r:id="rId2334" xr:uid="{00000000-0004-0000-0100-00001D090000}"/>
    <hyperlink ref="A2339" r:id="rId2335" xr:uid="{00000000-0004-0000-0100-00001E090000}"/>
    <hyperlink ref="A2340" r:id="rId2336" xr:uid="{00000000-0004-0000-0100-00001F090000}"/>
    <hyperlink ref="A2341" r:id="rId2337" xr:uid="{00000000-0004-0000-0100-000020090000}"/>
    <hyperlink ref="A2342" r:id="rId2338" xr:uid="{00000000-0004-0000-0100-000021090000}"/>
    <hyperlink ref="A2343" r:id="rId2339" xr:uid="{00000000-0004-0000-0100-000022090000}"/>
    <hyperlink ref="A2344" r:id="rId2340" xr:uid="{00000000-0004-0000-0100-000023090000}"/>
    <hyperlink ref="A2345" r:id="rId2341" xr:uid="{00000000-0004-0000-0100-000024090000}"/>
    <hyperlink ref="A2346" r:id="rId2342" xr:uid="{00000000-0004-0000-0100-000025090000}"/>
    <hyperlink ref="A2347" r:id="rId2343" xr:uid="{00000000-0004-0000-0100-000026090000}"/>
    <hyperlink ref="A2348" r:id="rId2344" xr:uid="{00000000-0004-0000-0100-000027090000}"/>
    <hyperlink ref="A2349" r:id="rId2345" xr:uid="{00000000-0004-0000-0100-000028090000}"/>
    <hyperlink ref="A2350" r:id="rId2346" xr:uid="{00000000-0004-0000-0100-000029090000}"/>
    <hyperlink ref="A2351" r:id="rId2347" xr:uid="{00000000-0004-0000-0100-00002A090000}"/>
    <hyperlink ref="A2352" r:id="rId2348" xr:uid="{00000000-0004-0000-0100-00002B090000}"/>
    <hyperlink ref="A2353" r:id="rId2349" xr:uid="{00000000-0004-0000-0100-00002C090000}"/>
    <hyperlink ref="A2354" r:id="rId2350" xr:uid="{00000000-0004-0000-0100-00002D090000}"/>
    <hyperlink ref="A2355" r:id="rId2351" xr:uid="{00000000-0004-0000-0100-00002E090000}"/>
    <hyperlink ref="A2356" r:id="rId2352" xr:uid="{00000000-0004-0000-0100-00002F090000}"/>
    <hyperlink ref="A2357" r:id="rId2353" xr:uid="{00000000-0004-0000-0100-000030090000}"/>
    <hyperlink ref="A2358" r:id="rId2354" xr:uid="{00000000-0004-0000-0100-000031090000}"/>
    <hyperlink ref="A2359" r:id="rId2355" xr:uid="{00000000-0004-0000-0100-000032090000}"/>
    <hyperlink ref="A2360" r:id="rId2356" xr:uid="{00000000-0004-0000-0100-000033090000}"/>
    <hyperlink ref="A2361" r:id="rId2357" xr:uid="{00000000-0004-0000-0100-000034090000}"/>
    <hyperlink ref="A2362" r:id="rId2358" xr:uid="{00000000-0004-0000-0100-000035090000}"/>
    <hyperlink ref="A2363" r:id="rId2359" xr:uid="{00000000-0004-0000-0100-000036090000}"/>
    <hyperlink ref="A2364" r:id="rId2360" xr:uid="{00000000-0004-0000-0100-000037090000}"/>
    <hyperlink ref="A2365" r:id="rId2361" xr:uid="{00000000-0004-0000-0100-000038090000}"/>
    <hyperlink ref="A2366" r:id="rId2362" xr:uid="{00000000-0004-0000-0100-000039090000}"/>
    <hyperlink ref="A2367" r:id="rId2363" xr:uid="{00000000-0004-0000-0100-00003A090000}"/>
    <hyperlink ref="A2368" r:id="rId2364" xr:uid="{00000000-0004-0000-0100-00003B090000}"/>
    <hyperlink ref="A2369" r:id="rId2365" xr:uid="{00000000-0004-0000-0100-00003C090000}"/>
    <hyperlink ref="A2370" r:id="rId2366" xr:uid="{00000000-0004-0000-0100-00003D090000}"/>
    <hyperlink ref="A2371" r:id="rId2367" xr:uid="{00000000-0004-0000-0100-00003E090000}"/>
    <hyperlink ref="A2372" r:id="rId2368" xr:uid="{00000000-0004-0000-0100-00003F090000}"/>
    <hyperlink ref="A2373" r:id="rId2369" xr:uid="{00000000-0004-0000-0100-000040090000}"/>
    <hyperlink ref="A2374" r:id="rId2370" xr:uid="{00000000-0004-0000-0100-000041090000}"/>
    <hyperlink ref="A2375" r:id="rId2371" xr:uid="{00000000-0004-0000-0100-000042090000}"/>
    <hyperlink ref="A2376" r:id="rId2372" xr:uid="{00000000-0004-0000-0100-000043090000}"/>
    <hyperlink ref="A2377" r:id="rId2373" xr:uid="{00000000-0004-0000-0100-000044090000}"/>
    <hyperlink ref="A2378" r:id="rId2374" xr:uid="{00000000-0004-0000-0100-000045090000}"/>
    <hyperlink ref="A2379" r:id="rId2375" xr:uid="{00000000-0004-0000-0100-000046090000}"/>
    <hyperlink ref="A2380" r:id="rId2376" xr:uid="{00000000-0004-0000-0100-000047090000}"/>
    <hyperlink ref="A2381" r:id="rId2377" xr:uid="{00000000-0004-0000-0100-000048090000}"/>
    <hyperlink ref="A2382" r:id="rId2378" xr:uid="{00000000-0004-0000-0100-000049090000}"/>
    <hyperlink ref="A2383" r:id="rId2379" xr:uid="{00000000-0004-0000-0100-00004A090000}"/>
    <hyperlink ref="A2384" r:id="rId2380" xr:uid="{00000000-0004-0000-0100-00004B090000}"/>
    <hyperlink ref="A2385" r:id="rId2381" xr:uid="{00000000-0004-0000-0100-00004C090000}"/>
    <hyperlink ref="A2386" r:id="rId2382" xr:uid="{00000000-0004-0000-0100-00004D090000}"/>
    <hyperlink ref="A2387" r:id="rId2383" xr:uid="{00000000-0004-0000-0100-00004E090000}"/>
    <hyperlink ref="A2388" r:id="rId2384" xr:uid="{00000000-0004-0000-0100-00004F090000}"/>
    <hyperlink ref="A2389" r:id="rId2385" xr:uid="{00000000-0004-0000-0100-000050090000}"/>
    <hyperlink ref="A2390" r:id="rId2386" xr:uid="{00000000-0004-0000-0100-000051090000}"/>
    <hyperlink ref="A2391" r:id="rId2387" xr:uid="{00000000-0004-0000-0100-000052090000}"/>
    <hyperlink ref="A2392" r:id="rId2388" xr:uid="{00000000-0004-0000-0100-000053090000}"/>
    <hyperlink ref="A2393" r:id="rId2389" xr:uid="{00000000-0004-0000-0100-000054090000}"/>
    <hyperlink ref="A2394" r:id="rId2390" xr:uid="{00000000-0004-0000-0100-000055090000}"/>
    <hyperlink ref="A2395" r:id="rId2391" xr:uid="{00000000-0004-0000-0100-000056090000}"/>
    <hyperlink ref="A2396" r:id="rId2392" xr:uid="{00000000-0004-0000-0100-000057090000}"/>
    <hyperlink ref="A2397" r:id="rId2393" xr:uid="{00000000-0004-0000-0100-000058090000}"/>
    <hyperlink ref="A2398" r:id="rId2394" xr:uid="{00000000-0004-0000-0100-000059090000}"/>
    <hyperlink ref="A2399" r:id="rId2395" xr:uid="{00000000-0004-0000-0100-00005A090000}"/>
    <hyperlink ref="A2400" r:id="rId2396" xr:uid="{00000000-0004-0000-0100-00005B090000}"/>
    <hyperlink ref="A2401" r:id="rId2397" xr:uid="{00000000-0004-0000-0100-00005C090000}"/>
    <hyperlink ref="A2402" r:id="rId2398" xr:uid="{00000000-0004-0000-0100-00005D090000}"/>
    <hyperlink ref="A2403" r:id="rId2399" xr:uid="{00000000-0004-0000-0100-00005E090000}"/>
    <hyperlink ref="A2404" r:id="rId2400" xr:uid="{00000000-0004-0000-0100-00005F090000}"/>
    <hyperlink ref="A2405" r:id="rId2401" xr:uid="{00000000-0004-0000-0100-000060090000}"/>
    <hyperlink ref="A2406" r:id="rId2402" xr:uid="{00000000-0004-0000-0100-000061090000}"/>
    <hyperlink ref="A2407" r:id="rId2403" xr:uid="{00000000-0004-0000-0100-000062090000}"/>
    <hyperlink ref="A2408" r:id="rId2404" xr:uid="{00000000-0004-0000-0100-000063090000}"/>
    <hyperlink ref="A2409" r:id="rId2405" xr:uid="{00000000-0004-0000-0100-000064090000}"/>
    <hyperlink ref="A2410" r:id="rId2406" xr:uid="{00000000-0004-0000-0100-000065090000}"/>
    <hyperlink ref="A2411" r:id="rId2407" xr:uid="{00000000-0004-0000-0100-000066090000}"/>
    <hyperlink ref="A2412" r:id="rId2408" xr:uid="{00000000-0004-0000-0100-000067090000}"/>
    <hyperlink ref="A2413" r:id="rId2409" xr:uid="{00000000-0004-0000-0100-000068090000}"/>
    <hyperlink ref="A2414" r:id="rId2410" xr:uid="{00000000-0004-0000-0100-000069090000}"/>
    <hyperlink ref="A2415" r:id="rId2411" xr:uid="{00000000-0004-0000-0100-00006A090000}"/>
    <hyperlink ref="A2416" r:id="rId2412" xr:uid="{00000000-0004-0000-0100-00006B090000}"/>
    <hyperlink ref="A2417" r:id="rId2413" xr:uid="{00000000-0004-0000-0100-00006C090000}"/>
    <hyperlink ref="A2418" r:id="rId2414" xr:uid="{00000000-0004-0000-0100-00006D090000}"/>
    <hyperlink ref="A2419" r:id="rId2415" xr:uid="{00000000-0004-0000-0100-00006E090000}"/>
    <hyperlink ref="A2420" r:id="rId2416" xr:uid="{00000000-0004-0000-0100-00006F090000}"/>
    <hyperlink ref="A2421" r:id="rId2417" xr:uid="{00000000-0004-0000-0100-000070090000}"/>
    <hyperlink ref="A2422" r:id="rId2418" xr:uid="{00000000-0004-0000-0100-000071090000}"/>
    <hyperlink ref="A2423" r:id="rId2419" xr:uid="{00000000-0004-0000-0100-000072090000}"/>
    <hyperlink ref="A2424" r:id="rId2420" xr:uid="{00000000-0004-0000-0100-000073090000}"/>
    <hyperlink ref="A2425" r:id="rId2421" xr:uid="{00000000-0004-0000-0100-000074090000}"/>
    <hyperlink ref="A2426" r:id="rId2422" xr:uid="{00000000-0004-0000-0100-000075090000}"/>
    <hyperlink ref="A2427" r:id="rId2423" xr:uid="{00000000-0004-0000-0100-000076090000}"/>
    <hyperlink ref="A2428" r:id="rId2424" xr:uid="{00000000-0004-0000-0100-000077090000}"/>
    <hyperlink ref="A2429" r:id="rId2425" xr:uid="{00000000-0004-0000-0100-000078090000}"/>
    <hyperlink ref="A2430" r:id="rId2426" xr:uid="{00000000-0004-0000-0100-000079090000}"/>
    <hyperlink ref="A2431" r:id="rId2427" xr:uid="{00000000-0004-0000-0100-00007A090000}"/>
    <hyperlink ref="A2432" r:id="rId2428" xr:uid="{00000000-0004-0000-0100-00007B090000}"/>
    <hyperlink ref="A2433" r:id="rId2429" xr:uid="{00000000-0004-0000-0100-00007C090000}"/>
    <hyperlink ref="A2434" r:id="rId2430" xr:uid="{00000000-0004-0000-0100-00007D090000}"/>
    <hyperlink ref="A2435" r:id="rId2431" xr:uid="{00000000-0004-0000-0100-00007E090000}"/>
    <hyperlink ref="A2436" r:id="rId2432" xr:uid="{00000000-0004-0000-0100-00007F090000}"/>
    <hyperlink ref="A2437" r:id="rId2433" xr:uid="{00000000-0004-0000-0100-000080090000}"/>
    <hyperlink ref="A2438" r:id="rId2434" xr:uid="{00000000-0004-0000-0100-000081090000}"/>
    <hyperlink ref="A2439" r:id="rId2435" xr:uid="{00000000-0004-0000-0100-000082090000}"/>
    <hyperlink ref="A2440" r:id="rId2436" xr:uid="{00000000-0004-0000-0100-000083090000}"/>
    <hyperlink ref="A2441" r:id="rId2437" xr:uid="{00000000-0004-0000-0100-000084090000}"/>
    <hyperlink ref="A2442" r:id="rId2438" xr:uid="{00000000-0004-0000-0100-000085090000}"/>
    <hyperlink ref="A2443" r:id="rId2439" xr:uid="{00000000-0004-0000-0100-000086090000}"/>
    <hyperlink ref="A2444" r:id="rId2440" xr:uid="{00000000-0004-0000-0100-000087090000}"/>
    <hyperlink ref="A2445" r:id="rId2441" xr:uid="{00000000-0004-0000-0100-000088090000}"/>
    <hyperlink ref="A2446" r:id="rId2442" xr:uid="{00000000-0004-0000-0100-000089090000}"/>
    <hyperlink ref="A2447" r:id="rId2443" xr:uid="{00000000-0004-0000-0100-00008A090000}"/>
    <hyperlink ref="A2448" r:id="rId2444" xr:uid="{00000000-0004-0000-0100-00008B090000}"/>
    <hyperlink ref="A2449" r:id="rId2445" xr:uid="{00000000-0004-0000-0100-00008C090000}"/>
    <hyperlink ref="A2450" r:id="rId2446" xr:uid="{00000000-0004-0000-0100-00008D090000}"/>
    <hyperlink ref="A2451" r:id="rId2447" xr:uid="{00000000-0004-0000-0100-00008E090000}"/>
    <hyperlink ref="A2452" r:id="rId2448" xr:uid="{00000000-0004-0000-0100-00008F090000}"/>
    <hyperlink ref="A2453" r:id="rId2449" xr:uid="{00000000-0004-0000-0100-000090090000}"/>
    <hyperlink ref="A2454" r:id="rId2450" xr:uid="{00000000-0004-0000-0100-000091090000}"/>
    <hyperlink ref="A2455" r:id="rId2451" xr:uid="{00000000-0004-0000-0100-000092090000}"/>
    <hyperlink ref="A2456" r:id="rId2452" xr:uid="{00000000-0004-0000-0100-000093090000}"/>
    <hyperlink ref="A2457" r:id="rId2453" xr:uid="{00000000-0004-0000-0100-000094090000}"/>
    <hyperlink ref="A2458" r:id="rId2454" xr:uid="{00000000-0004-0000-0100-000095090000}"/>
    <hyperlink ref="A2459" r:id="rId2455" xr:uid="{00000000-0004-0000-0100-000096090000}"/>
    <hyperlink ref="A2460" r:id="rId2456" xr:uid="{00000000-0004-0000-0100-000097090000}"/>
    <hyperlink ref="A2462" r:id="rId2457" xr:uid="{00000000-0004-0000-0100-000098090000}"/>
    <hyperlink ref="A2463" r:id="rId2458" xr:uid="{00000000-0004-0000-0100-000099090000}"/>
    <hyperlink ref="A2464" r:id="rId2459" xr:uid="{00000000-0004-0000-0100-00009A090000}"/>
    <hyperlink ref="A2465" r:id="rId2460" xr:uid="{00000000-0004-0000-0100-00009B090000}"/>
    <hyperlink ref="A2466" r:id="rId2461" xr:uid="{00000000-0004-0000-0100-00009C090000}"/>
    <hyperlink ref="A2467" r:id="rId2462" xr:uid="{00000000-0004-0000-0100-00009D090000}"/>
    <hyperlink ref="A2468" r:id="rId2463" xr:uid="{00000000-0004-0000-0100-00009E090000}"/>
    <hyperlink ref="A2469" r:id="rId2464" xr:uid="{00000000-0004-0000-0100-00009F090000}"/>
    <hyperlink ref="A2470" r:id="rId2465" xr:uid="{00000000-0004-0000-0100-0000A0090000}"/>
    <hyperlink ref="A2471" r:id="rId2466" xr:uid="{00000000-0004-0000-0100-0000A1090000}"/>
    <hyperlink ref="A2472" r:id="rId2467" xr:uid="{00000000-0004-0000-0100-0000A2090000}"/>
    <hyperlink ref="A2473" r:id="rId2468" xr:uid="{00000000-0004-0000-0100-0000A3090000}"/>
    <hyperlink ref="A2474" r:id="rId2469" xr:uid="{00000000-0004-0000-0100-0000A4090000}"/>
    <hyperlink ref="A2475" r:id="rId2470" xr:uid="{00000000-0004-0000-0100-0000A5090000}"/>
    <hyperlink ref="A2476" r:id="rId2471" xr:uid="{00000000-0004-0000-0100-0000A6090000}"/>
    <hyperlink ref="A2477" r:id="rId2472" xr:uid="{00000000-0004-0000-0100-0000A7090000}"/>
    <hyperlink ref="A2478" r:id="rId2473" xr:uid="{00000000-0004-0000-0100-0000A8090000}"/>
    <hyperlink ref="A2479" r:id="rId2474" xr:uid="{00000000-0004-0000-0100-0000A9090000}"/>
    <hyperlink ref="A2480" r:id="rId2475" xr:uid="{00000000-0004-0000-0100-0000AA090000}"/>
    <hyperlink ref="A2481" r:id="rId2476" xr:uid="{00000000-0004-0000-0100-0000AB090000}"/>
    <hyperlink ref="A2482" r:id="rId2477" xr:uid="{00000000-0004-0000-0100-0000AC090000}"/>
    <hyperlink ref="A2483" r:id="rId2478" xr:uid="{00000000-0004-0000-0100-0000AD090000}"/>
    <hyperlink ref="A2484" r:id="rId2479" xr:uid="{00000000-0004-0000-0100-0000AE090000}"/>
    <hyperlink ref="A2485" r:id="rId2480" xr:uid="{00000000-0004-0000-0100-0000AF090000}"/>
    <hyperlink ref="A2486" r:id="rId2481" xr:uid="{00000000-0004-0000-0100-0000B0090000}"/>
    <hyperlink ref="A2487" r:id="rId2482" xr:uid="{00000000-0004-0000-0100-0000B1090000}"/>
    <hyperlink ref="A2488" r:id="rId2483" xr:uid="{00000000-0004-0000-0100-0000B2090000}"/>
    <hyperlink ref="A2489" r:id="rId2484" xr:uid="{00000000-0004-0000-0100-0000B3090000}"/>
    <hyperlink ref="A2490" r:id="rId2485" xr:uid="{00000000-0004-0000-0100-0000B4090000}"/>
    <hyperlink ref="A2491" r:id="rId2486" xr:uid="{00000000-0004-0000-0100-0000B5090000}"/>
    <hyperlink ref="A2492" r:id="rId2487" xr:uid="{00000000-0004-0000-0100-0000B6090000}"/>
    <hyperlink ref="A2493" r:id="rId2488" xr:uid="{00000000-0004-0000-0100-0000B7090000}"/>
    <hyperlink ref="A2494" r:id="rId2489" xr:uid="{00000000-0004-0000-0100-0000B8090000}"/>
    <hyperlink ref="A2495" r:id="rId2490" xr:uid="{00000000-0004-0000-0100-0000B9090000}"/>
    <hyperlink ref="A2496" r:id="rId2491" xr:uid="{00000000-0004-0000-0100-0000BA090000}"/>
    <hyperlink ref="A2497" r:id="rId2492" xr:uid="{00000000-0004-0000-0100-0000BB090000}"/>
    <hyperlink ref="A2498" r:id="rId2493" xr:uid="{00000000-0004-0000-0100-0000BC090000}"/>
    <hyperlink ref="A2499" r:id="rId2494" xr:uid="{00000000-0004-0000-0100-0000BD090000}"/>
    <hyperlink ref="A2500" r:id="rId2495" xr:uid="{00000000-0004-0000-0100-0000BE090000}"/>
    <hyperlink ref="A2501" r:id="rId2496" xr:uid="{00000000-0004-0000-0100-0000BF090000}"/>
    <hyperlink ref="A2502" r:id="rId2497" xr:uid="{00000000-0004-0000-0100-0000C0090000}"/>
    <hyperlink ref="A2503" r:id="rId2498" xr:uid="{00000000-0004-0000-0100-0000C1090000}"/>
    <hyperlink ref="A2504" r:id="rId2499" xr:uid="{00000000-0004-0000-0100-0000C2090000}"/>
    <hyperlink ref="A2505" r:id="rId2500" xr:uid="{00000000-0004-0000-0100-0000C3090000}"/>
    <hyperlink ref="A2506" r:id="rId2501" xr:uid="{00000000-0004-0000-0100-0000C4090000}"/>
    <hyperlink ref="A2507" r:id="rId2502" xr:uid="{00000000-0004-0000-0100-0000C5090000}"/>
    <hyperlink ref="A2508" r:id="rId2503" xr:uid="{00000000-0004-0000-0100-0000C6090000}"/>
    <hyperlink ref="A2509" r:id="rId2504" xr:uid="{00000000-0004-0000-0100-0000C7090000}"/>
    <hyperlink ref="A2530" r:id="rId2505" xr:uid="{00000000-0004-0000-0100-0000C8090000}"/>
    <hyperlink ref="A2531" r:id="rId2506" xr:uid="{00000000-0004-0000-0100-0000C9090000}"/>
    <hyperlink ref="A2532" r:id="rId2507" xr:uid="{00000000-0004-0000-0100-0000CA090000}"/>
    <hyperlink ref="A2533" r:id="rId2508" xr:uid="{00000000-0004-0000-0100-0000CB090000}"/>
    <hyperlink ref="A2534" r:id="rId2509" xr:uid="{00000000-0004-0000-0100-0000CC090000}"/>
    <hyperlink ref="A2535" r:id="rId2510" xr:uid="{00000000-0004-0000-0100-0000CD090000}"/>
    <hyperlink ref="A2536" r:id="rId2511" xr:uid="{00000000-0004-0000-0100-0000CE090000}"/>
    <hyperlink ref="A2537" r:id="rId2512" xr:uid="{00000000-0004-0000-0100-0000CF090000}"/>
    <hyperlink ref="A2538" r:id="rId2513" xr:uid="{00000000-0004-0000-0100-0000D0090000}"/>
    <hyperlink ref="A2539" r:id="rId2514" xr:uid="{00000000-0004-0000-0100-0000D1090000}"/>
    <hyperlink ref="A2540" r:id="rId2515" xr:uid="{00000000-0004-0000-0100-0000D2090000}"/>
    <hyperlink ref="A2541" r:id="rId2516" xr:uid="{00000000-0004-0000-0100-0000D3090000}"/>
    <hyperlink ref="A2542" r:id="rId2517" xr:uid="{00000000-0004-0000-0100-0000D4090000}"/>
    <hyperlink ref="A2543" r:id="rId2518" xr:uid="{00000000-0004-0000-0100-0000D5090000}"/>
    <hyperlink ref="A2544" r:id="rId2519" xr:uid="{00000000-0004-0000-0100-0000D6090000}"/>
    <hyperlink ref="A2545" r:id="rId2520" xr:uid="{00000000-0004-0000-0100-0000D7090000}"/>
    <hyperlink ref="A2546" r:id="rId2521" xr:uid="{00000000-0004-0000-0100-0000D8090000}"/>
    <hyperlink ref="A2547" r:id="rId2522" xr:uid="{00000000-0004-0000-0100-0000D9090000}"/>
    <hyperlink ref="A2548" r:id="rId2523" xr:uid="{00000000-0004-0000-0100-0000DA090000}"/>
    <hyperlink ref="A2549" r:id="rId2524" xr:uid="{00000000-0004-0000-0100-0000DB090000}"/>
    <hyperlink ref="A2550" r:id="rId2525" xr:uid="{00000000-0004-0000-0100-0000DC090000}"/>
    <hyperlink ref="A2551" r:id="rId2526" xr:uid="{00000000-0004-0000-0100-0000DD090000}"/>
    <hyperlink ref="A2552" r:id="rId2527" xr:uid="{00000000-0004-0000-0100-0000DE090000}"/>
    <hyperlink ref="A2553" r:id="rId2528" xr:uid="{00000000-0004-0000-0100-0000DF090000}"/>
    <hyperlink ref="A2554" r:id="rId2529" xr:uid="{00000000-0004-0000-0100-0000E0090000}"/>
    <hyperlink ref="A2555" r:id="rId2530" xr:uid="{00000000-0004-0000-0100-0000E1090000}"/>
    <hyperlink ref="A2556" r:id="rId2531" xr:uid="{00000000-0004-0000-0100-0000E2090000}"/>
    <hyperlink ref="A2557" r:id="rId2532" xr:uid="{00000000-0004-0000-0100-0000E3090000}"/>
    <hyperlink ref="A2558" r:id="rId2533" xr:uid="{00000000-0004-0000-0100-0000E4090000}"/>
    <hyperlink ref="A2559" r:id="rId2534" xr:uid="{00000000-0004-0000-0100-0000E5090000}"/>
    <hyperlink ref="A2560" r:id="rId2535" xr:uid="{00000000-0004-0000-0100-0000E6090000}"/>
    <hyperlink ref="A2561" r:id="rId2536" xr:uid="{00000000-0004-0000-0100-0000E7090000}"/>
    <hyperlink ref="A2562" r:id="rId2537" xr:uid="{00000000-0004-0000-0100-0000E8090000}"/>
    <hyperlink ref="A2563" r:id="rId2538" xr:uid="{00000000-0004-0000-0100-0000E9090000}"/>
    <hyperlink ref="A2564" r:id="rId2539" xr:uid="{00000000-0004-0000-0100-0000EA090000}"/>
    <hyperlink ref="A2565" r:id="rId2540" xr:uid="{00000000-0004-0000-0100-0000EB090000}"/>
    <hyperlink ref="A2566" r:id="rId2541" xr:uid="{00000000-0004-0000-0100-0000EC090000}"/>
    <hyperlink ref="A2567" r:id="rId2542" xr:uid="{00000000-0004-0000-0100-0000ED090000}"/>
    <hyperlink ref="A2568" r:id="rId2543" xr:uid="{00000000-0004-0000-0100-0000EE090000}"/>
    <hyperlink ref="A2569" r:id="rId2544" xr:uid="{00000000-0004-0000-0100-0000EF090000}"/>
    <hyperlink ref="A2570" r:id="rId2545" xr:uid="{00000000-0004-0000-0100-0000F0090000}"/>
    <hyperlink ref="A2571" r:id="rId2546" xr:uid="{00000000-0004-0000-0100-0000F1090000}"/>
    <hyperlink ref="A2572" r:id="rId2547" xr:uid="{00000000-0004-0000-0100-0000F2090000}"/>
    <hyperlink ref="A2573" r:id="rId2548" xr:uid="{00000000-0004-0000-0100-0000F3090000}"/>
    <hyperlink ref="A2574" r:id="rId2549" xr:uid="{00000000-0004-0000-0100-0000F4090000}"/>
    <hyperlink ref="A2575" r:id="rId2550" xr:uid="{00000000-0004-0000-0100-0000F5090000}"/>
    <hyperlink ref="A2576" r:id="rId2551" xr:uid="{00000000-0004-0000-0100-0000F6090000}"/>
    <hyperlink ref="A2577" r:id="rId2552" xr:uid="{00000000-0004-0000-0100-0000F7090000}"/>
    <hyperlink ref="A2578" r:id="rId2553" xr:uid="{00000000-0004-0000-0100-0000F8090000}"/>
    <hyperlink ref="A2579" r:id="rId2554" xr:uid="{00000000-0004-0000-0100-0000F9090000}"/>
    <hyperlink ref="A2580" r:id="rId2555" xr:uid="{00000000-0004-0000-0100-0000FA090000}"/>
    <hyperlink ref="A2581" r:id="rId2556" xr:uid="{00000000-0004-0000-0100-0000FB090000}"/>
    <hyperlink ref="A2582" r:id="rId2557" xr:uid="{00000000-0004-0000-0100-0000FC090000}"/>
    <hyperlink ref="A2583" r:id="rId2558" xr:uid="{00000000-0004-0000-0100-0000FD090000}"/>
    <hyperlink ref="A2585" r:id="rId2559" xr:uid="{00000000-0004-0000-0100-0000FE090000}"/>
    <hyperlink ref="A2586" r:id="rId2560" xr:uid="{00000000-0004-0000-0100-0000FF090000}"/>
    <hyperlink ref="A2587" r:id="rId2561" xr:uid="{00000000-0004-0000-0100-0000000A0000}"/>
    <hyperlink ref="A2588" r:id="rId2562" xr:uid="{00000000-0004-0000-0100-0000010A0000}"/>
    <hyperlink ref="A2589" r:id="rId2563" xr:uid="{00000000-0004-0000-0100-0000020A0000}"/>
    <hyperlink ref="A2590" r:id="rId2564" xr:uid="{00000000-0004-0000-0100-0000030A0000}"/>
    <hyperlink ref="A2591" r:id="rId2565" xr:uid="{00000000-0004-0000-0100-0000040A0000}"/>
    <hyperlink ref="A2592" r:id="rId2566" xr:uid="{00000000-0004-0000-0100-0000050A0000}"/>
    <hyperlink ref="A2593" r:id="rId2567" xr:uid="{00000000-0004-0000-0100-0000060A0000}"/>
    <hyperlink ref="A2594" r:id="rId2568" xr:uid="{00000000-0004-0000-0100-0000070A0000}"/>
    <hyperlink ref="A2595" r:id="rId2569" xr:uid="{00000000-0004-0000-0100-0000080A0000}"/>
    <hyperlink ref="A2596" r:id="rId2570" xr:uid="{00000000-0004-0000-0100-0000090A0000}"/>
    <hyperlink ref="A2597" r:id="rId2571" xr:uid="{00000000-0004-0000-0100-00000A0A0000}"/>
    <hyperlink ref="A2598" r:id="rId2572" xr:uid="{00000000-0004-0000-0100-00000B0A0000}"/>
    <hyperlink ref="A2599" r:id="rId2573" xr:uid="{00000000-0004-0000-0100-00000C0A0000}"/>
    <hyperlink ref="A2600" r:id="rId2574" xr:uid="{00000000-0004-0000-0100-00000D0A0000}"/>
    <hyperlink ref="A2601" r:id="rId2575" xr:uid="{00000000-0004-0000-0100-00000E0A0000}"/>
    <hyperlink ref="A2602" r:id="rId2576" xr:uid="{00000000-0004-0000-0100-00000F0A0000}"/>
    <hyperlink ref="A2603" r:id="rId2577" xr:uid="{00000000-0004-0000-0100-0000100A0000}"/>
    <hyperlink ref="A2604" r:id="rId2578" xr:uid="{00000000-0004-0000-0100-0000110A0000}"/>
    <hyperlink ref="A2605" r:id="rId2579" xr:uid="{00000000-0004-0000-0100-0000120A0000}"/>
    <hyperlink ref="A2606" r:id="rId2580" xr:uid="{00000000-0004-0000-0100-0000130A0000}"/>
    <hyperlink ref="A2607" r:id="rId2581" xr:uid="{00000000-0004-0000-0100-0000140A0000}"/>
    <hyperlink ref="A2608" r:id="rId2582" xr:uid="{00000000-0004-0000-0100-0000150A0000}"/>
    <hyperlink ref="A2609" r:id="rId2583" xr:uid="{00000000-0004-0000-0100-0000160A0000}"/>
    <hyperlink ref="A2610" r:id="rId2584" xr:uid="{00000000-0004-0000-0100-0000170A0000}"/>
    <hyperlink ref="A2611" r:id="rId2585" xr:uid="{00000000-0004-0000-0100-0000180A0000}"/>
    <hyperlink ref="A2612" r:id="rId2586" xr:uid="{00000000-0004-0000-0100-0000190A0000}"/>
    <hyperlink ref="A2613" r:id="rId2587" xr:uid="{00000000-0004-0000-0100-00001A0A0000}"/>
    <hyperlink ref="A2614" r:id="rId2588" xr:uid="{00000000-0004-0000-0100-00001B0A0000}"/>
    <hyperlink ref="A2615" r:id="rId2589" xr:uid="{00000000-0004-0000-0100-00001C0A0000}"/>
    <hyperlink ref="A2616" r:id="rId2590" xr:uid="{00000000-0004-0000-0100-00001D0A0000}"/>
    <hyperlink ref="A2617" r:id="rId2591" xr:uid="{00000000-0004-0000-0100-00001E0A0000}"/>
    <hyperlink ref="A2618" r:id="rId2592" xr:uid="{00000000-0004-0000-0100-00001F0A0000}"/>
    <hyperlink ref="A2619" r:id="rId2593" xr:uid="{00000000-0004-0000-0100-0000200A0000}"/>
    <hyperlink ref="A2620" r:id="rId2594" xr:uid="{00000000-0004-0000-0100-0000210A0000}"/>
    <hyperlink ref="A2621" r:id="rId2595" xr:uid="{00000000-0004-0000-0100-0000220A0000}"/>
    <hyperlink ref="A2622" r:id="rId2596" xr:uid="{00000000-0004-0000-0100-0000230A0000}"/>
    <hyperlink ref="A2623" r:id="rId2597" xr:uid="{00000000-0004-0000-0100-0000240A0000}"/>
    <hyperlink ref="A2624" r:id="rId2598" xr:uid="{00000000-0004-0000-0100-0000250A0000}"/>
    <hyperlink ref="A2625" r:id="rId2599" xr:uid="{00000000-0004-0000-0100-0000260A0000}"/>
    <hyperlink ref="A2626" r:id="rId2600" xr:uid="{00000000-0004-0000-0100-0000270A0000}"/>
    <hyperlink ref="A2627" r:id="rId2601" xr:uid="{00000000-0004-0000-0100-0000280A0000}"/>
    <hyperlink ref="A2630" r:id="rId2602" xr:uid="{00000000-0004-0000-0100-0000290A0000}"/>
    <hyperlink ref="A2631" r:id="rId2603" xr:uid="{00000000-0004-0000-0100-00002A0A0000}"/>
    <hyperlink ref="A2632" r:id="rId2604" xr:uid="{00000000-0004-0000-0100-00002B0A0000}"/>
    <hyperlink ref="A2633" r:id="rId2605" xr:uid="{00000000-0004-0000-0100-00002C0A0000}"/>
    <hyperlink ref="A2634" r:id="rId2606" xr:uid="{00000000-0004-0000-0100-00002D0A0000}"/>
    <hyperlink ref="A2635" r:id="rId2607" xr:uid="{00000000-0004-0000-0100-00002E0A0000}"/>
    <hyperlink ref="A2636" r:id="rId2608" xr:uid="{00000000-0004-0000-0100-00002F0A0000}"/>
    <hyperlink ref="A2637" r:id="rId2609" xr:uid="{00000000-0004-0000-0100-0000300A0000}"/>
    <hyperlink ref="A2638" r:id="rId2610" xr:uid="{00000000-0004-0000-0100-0000310A0000}"/>
    <hyperlink ref="A2639" r:id="rId2611" xr:uid="{00000000-0004-0000-0100-0000320A0000}"/>
    <hyperlink ref="A2640" r:id="rId2612" xr:uid="{00000000-0004-0000-0100-0000330A0000}"/>
    <hyperlink ref="A2641" r:id="rId2613" xr:uid="{00000000-0004-0000-0100-0000340A0000}"/>
    <hyperlink ref="A2642" r:id="rId2614" xr:uid="{00000000-0004-0000-0100-0000350A0000}"/>
    <hyperlink ref="A2643" r:id="rId2615" xr:uid="{00000000-0004-0000-0100-0000360A0000}"/>
    <hyperlink ref="A2644" r:id="rId2616" xr:uid="{00000000-0004-0000-0100-0000370A0000}"/>
    <hyperlink ref="A2645" r:id="rId2617" xr:uid="{00000000-0004-0000-0100-0000380A0000}"/>
    <hyperlink ref="A2646" r:id="rId2618" xr:uid="{00000000-0004-0000-0100-0000390A0000}"/>
    <hyperlink ref="A2647" r:id="rId2619" xr:uid="{00000000-0004-0000-0100-00003A0A0000}"/>
    <hyperlink ref="A2648" r:id="rId2620" xr:uid="{00000000-0004-0000-0100-00003B0A0000}"/>
    <hyperlink ref="A2649" r:id="rId2621" xr:uid="{00000000-0004-0000-0100-00003C0A0000}"/>
    <hyperlink ref="A2650" r:id="rId2622" xr:uid="{00000000-0004-0000-0100-00003D0A0000}"/>
    <hyperlink ref="A2651" r:id="rId2623" xr:uid="{00000000-0004-0000-0100-00003E0A0000}"/>
    <hyperlink ref="A2652" r:id="rId2624" xr:uid="{00000000-0004-0000-0100-00003F0A0000}"/>
    <hyperlink ref="A2653" r:id="rId2625" xr:uid="{00000000-0004-0000-0100-0000400A0000}"/>
    <hyperlink ref="A2654" r:id="rId2626" xr:uid="{00000000-0004-0000-0100-0000410A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AB11090"/>
  <sheetViews>
    <sheetView tabSelected="1" topLeftCell="F1" workbookViewId="0">
      <pane ySplit="1" topLeftCell="A2" activePane="bottomLeft" state="frozen"/>
      <selection pane="bottomLeft" activeCell="L13" sqref="L13"/>
    </sheetView>
  </sheetViews>
  <sheetFormatPr defaultColWidth="12.6328125" defaultRowHeight="15.75" customHeight="1"/>
  <cols>
    <col min="1" max="1" width="24.7265625" customWidth="1"/>
    <col min="2" max="2" width="19.26953125" customWidth="1"/>
    <col min="3" max="3" width="35.26953125" customWidth="1"/>
    <col min="4" max="4" width="17.6328125" customWidth="1"/>
    <col min="5" max="5" width="13.453125" customWidth="1"/>
    <col min="6" max="6" width="8.7265625" customWidth="1"/>
    <col min="7" max="7" width="10.7265625" customWidth="1"/>
    <col min="8" max="8" width="13.26953125" customWidth="1"/>
    <col min="9" max="9" width="34.7265625" customWidth="1"/>
    <col min="10" max="10" width="14.08984375" customWidth="1"/>
    <col min="12" max="12" width="12.6328125" style="93"/>
  </cols>
  <sheetData>
    <row r="1" spans="1:28" ht="42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10732</v>
      </c>
      <c r="M1" s="21" t="s">
        <v>2918</v>
      </c>
      <c r="N1" s="21" t="s">
        <v>2919</v>
      </c>
      <c r="O1" s="21" t="s">
        <v>2920</v>
      </c>
      <c r="P1" s="22" t="s">
        <v>2921</v>
      </c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1:28" ht="12.5">
      <c r="B2" s="8" t="s">
        <v>2796</v>
      </c>
      <c r="C2" s="24" t="s">
        <v>2922</v>
      </c>
      <c r="D2" s="25" t="str">
        <f ca="1">IFERROR(__xludf.DUMMYFUNCTION("IFERROR(ARRAYFORMULA(REGEXEXTRACT(C2,""^(?:https?:\/\/)?(?:[^@\n]+@)?(?:www\.)?([^:\/\n]+)"")),"""")"),"itnews.com.au")</f>
        <v>itnews.com.au</v>
      </c>
      <c r="E2" s="26" t="str">
        <f ca="1">IFERROR(__xludf.DUMMYFUNCTION("ARRAYFORMULA(
 IF(D2:D11090="""","""",
  IF(
   COUNTIF(
    ARRAYFORMULA(
     REGEXREPLACE(
      LOWER(
       REGEXREPLACE(
        IMPORTRANGE(
         ""https://docs.google.com/spreadsheets/d/1nuZgVdnBMqrB1hzNbPmr05G3xt78U8lEVJ9uGiV_zCA"",
        "&amp;" ""Leads!H:H""
        ),
        ""https?://|www\\."",""""
       )
      ),
      ""/.*"",""""
     )
    ),
    LOWER(D2:D11090)
   )&gt;0,
   ""Already Exists"",
   ""New""
  )
 )
)
"),"New")</f>
        <v>New</v>
      </c>
      <c r="F2" s="27">
        <v>75</v>
      </c>
      <c r="R2" s="8" t="s">
        <v>2923</v>
      </c>
    </row>
    <row r="3" spans="1:28" ht="12.5" hidden="1">
      <c r="C3" s="28" t="s">
        <v>2924</v>
      </c>
      <c r="D3" s="25" t="str">
        <f ca="1">IFERROR(__xludf.DUMMYFUNCTION("IFERROR(ARRAYFORMULA(REGEXEXTRACT(C3,""^(?:https?:\/\/)?(?:[^@\n]+@)?(?:www\.)?([^:\/\n]+)"")),"""")"),"homebriefings.com")</f>
        <v>homebriefings.com</v>
      </c>
      <c r="E3" s="26" t="str">
        <f ca="1">IFERROR(__xludf.DUMMYFUNCTION("""COMPUTED_VALUE"""),"Already Exists")</f>
        <v>Already Exists</v>
      </c>
      <c r="F3" s="27">
        <v>51</v>
      </c>
      <c r="G3" s="27">
        <v>2300</v>
      </c>
    </row>
    <row r="4" spans="1:28" ht="12.5" hidden="1">
      <c r="C4" s="29" t="s">
        <v>2925</v>
      </c>
      <c r="D4" s="25" t="str">
        <f ca="1">IFERROR(__xludf.DUMMYFUNCTION("IFERROR(ARRAYFORMULA(REGEXEXTRACT(C4,""^(?:https?:\/\/)?(?:[^@\n]+@)?(?:www\.)?([^:\/\n]+)"")),"""")"),"thepinnaclelist.com")</f>
        <v>thepinnaclelist.com</v>
      </c>
      <c r="E4" s="26" t="str">
        <f ca="1">IFERROR(__xludf.DUMMYFUNCTION("""COMPUTED_VALUE"""),"Already Exists")</f>
        <v>Already Exists</v>
      </c>
      <c r="F4" s="27">
        <v>60</v>
      </c>
    </row>
    <row r="5" spans="1:28" ht="12.5">
      <c r="C5" s="28" t="s">
        <v>2926</v>
      </c>
      <c r="D5" s="25" t="str">
        <f ca="1">IFERROR(__xludf.DUMMYFUNCTION("IFERROR(ARRAYFORMULA(REGEXEXTRACT(C5,""^(?:https?:\/\/)?(?:[^@\n]+@)?(?:www\.)?([^:\/\n]+)"")),"""")"),"hyatus.com")</f>
        <v>hyatus.com</v>
      </c>
      <c r="E5" s="26" t="str">
        <f ca="1">IFERROR(__xludf.DUMMYFUNCTION("""COMPUTED_VALUE"""),"New")</f>
        <v>New</v>
      </c>
      <c r="F5" s="27">
        <v>54</v>
      </c>
    </row>
    <row r="6" spans="1:28" ht="12.5" hidden="1">
      <c r="C6" s="29" t="s">
        <v>2927</v>
      </c>
      <c r="D6" s="25" t="str">
        <f ca="1">IFERROR(__xludf.DUMMYFUNCTION("IFERROR(ARRAYFORMULA(REGEXEXTRACT(C6,""^(?:https?:\/\/)?(?:[^@\n]+@)?(?:www\.)?([^:\/\n]+)"")),"""")"),"easyrender.com")</f>
        <v>easyrender.com</v>
      </c>
      <c r="E6" s="26" t="str">
        <f ca="1">IFERROR(__xludf.DUMMYFUNCTION("""COMPUTED_VALUE"""),"Already Exists")</f>
        <v>Already Exists</v>
      </c>
      <c r="F6" s="27">
        <v>45</v>
      </c>
      <c r="G6" s="27">
        <v>4900</v>
      </c>
    </row>
    <row r="7" spans="1:28" ht="12.5">
      <c r="C7" s="29" t="s">
        <v>2928</v>
      </c>
      <c r="D7" s="25" t="str">
        <f ca="1">IFERROR(__xludf.DUMMYFUNCTION("IFERROR(ARRAYFORMULA(REGEXEXTRACT(C7,""^(?:https?:\/\/)?(?:[^@\n]+@)?(?:www\.)?([^:\/\n]+)"")),"""")"),"notrianglestudio.com")</f>
        <v>notrianglestudio.com</v>
      </c>
      <c r="E7" s="26" t="str">
        <f ca="1">IFERROR(__xludf.DUMMYFUNCTION("""COMPUTED_VALUE"""),"New")</f>
        <v>New</v>
      </c>
      <c r="F7" s="27">
        <v>34</v>
      </c>
      <c r="G7" s="27">
        <v>2200</v>
      </c>
    </row>
    <row r="8" spans="1:28" ht="12.5">
      <c r="C8" s="29" t="s">
        <v>2929</v>
      </c>
      <c r="D8" s="25" t="str">
        <f ca="1">IFERROR(__xludf.DUMMYFUNCTION("IFERROR(ARRAYFORMULA(REGEXEXTRACT(C8,""^(?:https?:\/\/)?(?:[^@\n]+@)?(?:www\.)?([^:\/\n]+)"")),"""")"),"garagefarm.net")</f>
        <v>garagefarm.net</v>
      </c>
      <c r="E8" s="26" t="str">
        <f ca="1">IFERROR(__xludf.DUMMYFUNCTION("""COMPUTED_VALUE"""),"New")</f>
        <v>New</v>
      </c>
      <c r="F8" s="27">
        <v>48</v>
      </c>
      <c r="G8" s="27">
        <v>16900</v>
      </c>
    </row>
    <row r="9" spans="1:28" ht="12.5">
      <c r="C9" s="29" t="s">
        <v>2930</v>
      </c>
      <c r="D9" s="25" t="str">
        <f ca="1">IFERROR(__xludf.DUMMYFUNCTION("IFERROR(ARRAYFORMULA(REGEXEXTRACT(C9,""^(?:https?:\/\/)?(?:[^@\n]+@)?(?:www\.)?([^:\/\n]+)"")),"""")"),"mysiteplan.com")</f>
        <v>mysiteplan.com</v>
      </c>
      <c r="E9" s="26" t="str">
        <f ca="1">IFERROR(__xludf.DUMMYFUNCTION("""COMPUTED_VALUE"""),"New")</f>
        <v>New</v>
      </c>
      <c r="F9" s="27">
        <v>36</v>
      </c>
      <c r="G9" s="27">
        <v>11200</v>
      </c>
    </row>
    <row r="10" spans="1:28" ht="12.5">
      <c r="C10" s="29" t="s">
        <v>2931</v>
      </c>
      <c r="D10" s="26" t="str">
        <f ca="1">IFERROR(__xludf.DUMMYFUNCTION("IFERROR(ARRAYFORMULA(REGEXEXTRACT(C10,""^(?:https?:\/\/)?(?:[^@\n]+@)?(?:www\.)?([^:\/\n]+)"")),"""")"),"cove.inc")</f>
        <v>cove.inc</v>
      </c>
      <c r="E10" s="26" t="str">
        <f ca="1">IFERROR(__xludf.DUMMYFUNCTION("""COMPUTED_VALUE"""),"New")</f>
        <v>New</v>
      </c>
      <c r="F10" s="27">
        <v>48</v>
      </c>
      <c r="G10" s="27">
        <v>2900</v>
      </c>
    </row>
    <row r="11" spans="1:28" ht="12.5">
      <c r="C11" s="29" t="s">
        <v>2932</v>
      </c>
      <c r="D11" s="25" t="str">
        <f ca="1">IFERROR(__xludf.DUMMYFUNCTION("IFERROR(ARRAYFORMULA(REGEXEXTRACT(C11,""^(?:https?:\/\/)?(?:[^@\n]+@)?(?:www\.)?([^:\/\n]+)"")),"""")"),"gatheradu.com")</f>
        <v>gatheradu.com</v>
      </c>
      <c r="E11" s="26" t="str">
        <f ca="1">IFERROR(__xludf.DUMMYFUNCTION("""COMPUTED_VALUE"""),"New")</f>
        <v>New</v>
      </c>
      <c r="F11" s="27">
        <v>46</v>
      </c>
      <c r="G11" s="27">
        <v>3200</v>
      </c>
    </row>
    <row r="12" spans="1:28" ht="12.5">
      <c r="C12" s="29" t="s">
        <v>2933</v>
      </c>
      <c r="D12" s="25" t="str">
        <f ca="1">IFERROR(__xludf.DUMMYFUNCTION("IFERROR(ARRAYFORMULA(REGEXEXTRACT(C12,""^(?:https?:\/\/)?(?:[^@\n]+@)?(?:www\.)?([^:\/\n]+)"")),"""")"),"worldcoppersmith.com")</f>
        <v>worldcoppersmith.com</v>
      </c>
      <c r="E12" s="26" t="str">
        <f ca="1">IFERROR(__xludf.DUMMYFUNCTION("""COMPUTED_VALUE"""),"New")</f>
        <v>New</v>
      </c>
      <c r="F12" s="27">
        <v>49</v>
      </c>
      <c r="G12" s="27">
        <v>23300</v>
      </c>
    </row>
    <row r="13" spans="1:28" ht="12.5">
      <c r="C13" s="29" t="s">
        <v>2934</v>
      </c>
      <c r="D13" s="25" t="str">
        <f ca="1">IFERROR(__xludf.DUMMYFUNCTION("IFERROR(ARRAYFORMULA(REGEXEXTRACT(C13,""^(?:https?:\/\/)?(?:[^@\n]+@)?(?:www\.)?([^:\/\n]+)"")),"""")"),"smith.ai")</f>
        <v>smith.ai</v>
      </c>
      <c r="E13" s="26" t="str">
        <f ca="1">IFERROR(__xludf.DUMMYFUNCTION("""COMPUTED_VALUE"""),"New")</f>
        <v>New</v>
      </c>
      <c r="F13" s="27">
        <v>74</v>
      </c>
      <c r="G13" s="27">
        <v>26100</v>
      </c>
    </row>
    <row r="14" spans="1:28" ht="12.5" hidden="1">
      <c r="C14" s="29" t="s">
        <v>2924</v>
      </c>
      <c r="D14" s="25" t="str">
        <f ca="1">IFERROR(__xludf.DUMMYFUNCTION("IFERROR(ARRAYFORMULA(REGEXEXTRACT(C14,""^(?:https?:\/\/)?(?:[^@\n]+@)?(?:www\.)?([^:\/\n]+)"")),"""")"),"homebriefings.com")</f>
        <v>homebriefings.com</v>
      </c>
      <c r="E14" s="26" t="str">
        <f ca="1">IFERROR(__xludf.DUMMYFUNCTION("""COMPUTED_VALUE"""),"Already Exists")</f>
        <v>Already Exists</v>
      </c>
      <c r="F14" s="27">
        <v>52</v>
      </c>
      <c r="G14" s="27">
        <v>3300</v>
      </c>
    </row>
    <row r="15" spans="1:28" ht="12.5">
      <c r="C15" s="29" t="s">
        <v>2935</v>
      </c>
      <c r="D15" s="25" t="str">
        <f ca="1">IFERROR(__xludf.DUMMYFUNCTION("IFERROR(ARRAYFORMULA(REGEXEXTRACT(C15,""^(?:https?:\/\/)?(?:[^@\n]+@)?(?:www\.)?([^:\/\n]+)"")),"""")"),"tripo3d.ai")</f>
        <v>tripo3d.ai</v>
      </c>
      <c r="E15" s="26" t="str">
        <f ca="1">IFERROR(__xludf.DUMMYFUNCTION("""COMPUTED_VALUE"""),"New")</f>
        <v>New</v>
      </c>
      <c r="F15" s="27">
        <v>63</v>
      </c>
      <c r="G15" s="27">
        <v>16000</v>
      </c>
    </row>
    <row r="16" spans="1:28" ht="12.5">
      <c r="C16" s="29" t="s">
        <v>2936</v>
      </c>
      <c r="D16" s="25" t="str">
        <f ca="1">IFERROR(__xludf.DUMMYFUNCTION("IFERROR(ARRAYFORMULA(REGEXEXTRACT(C16,""^(?:https?:\/\/)?(?:[^@\n]+@)?(?:www\.)?([^:\/\n]+)"")),"""")"),"buzzflick.com")</f>
        <v>buzzflick.com</v>
      </c>
      <c r="E16" s="26" t="str">
        <f ca="1">IFERROR(__xludf.DUMMYFUNCTION("""COMPUTED_VALUE"""),"New")</f>
        <v>New</v>
      </c>
      <c r="F16" s="27">
        <v>47</v>
      </c>
      <c r="G16" s="27">
        <v>1400</v>
      </c>
    </row>
    <row r="17" spans="2:7" ht="12.5">
      <c r="C17" s="29" t="s">
        <v>2937</v>
      </c>
      <c r="D17" s="25" t="str">
        <f ca="1">IFERROR(__xludf.DUMMYFUNCTION("IFERROR(ARRAYFORMULA(REGEXEXTRACT(C17,""^(?:https?:\/\/)?(?:[^@\n]+@)?(?:www\.)?([^:\/\n]+)"")),"""")"),"nelsonkb.com")</f>
        <v>nelsonkb.com</v>
      </c>
      <c r="E17" s="26" t="str">
        <f ca="1">IFERROR(__xludf.DUMMYFUNCTION("""COMPUTED_VALUE"""),"New")</f>
        <v>New</v>
      </c>
      <c r="F17" s="27">
        <v>42</v>
      </c>
      <c r="G17" s="27">
        <v>2200</v>
      </c>
    </row>
    <row r="18" spans="2:7" ht="12.5">
      <c r="C18" s="29" t="s">
        <v>2938</v>
      </c>
      <c r="D18" s="25" t="str">
        <f ca="1">IFERROR(__xludf.DUMMYFUNCTION("IFERROR(ARRAYFORMULA(REGEXEXTRACT(C18,""^(?:https?:\/\/)?(?:[^@\n]+@)?(?:www\.)?([^:\/\n]+)"")),"""")"),"amgrents.com")</f>
        <v>amgrents.com</v>
      </c>
      <c r="E18" s="26" t="str">
        <f ca="1">IFERROR(__xludf.DUMMYFUNCTION("""COMPUTED_VALUE"""),"New")</f>
        <v>New</v>
      </c>
      <c r="F18" s="27">
        <v>16</v>
      </c>
      <c r="G18" s="27">
        <v>2100</v>
      </c>
    </row>
    <row r="19" spans="2:7" ht="12.5">
      <c r="C19" s="29" t="s">
        <v>2939</v>
      </c>
      <c r="D19" s="25" t="str">
        <f ca="1">IFERROR(__xludf.DUMMYFUNCTION("IFERROR(ARRAYFORMULA(REGEXEXTRACT(C19,""^(?:https?:\/\/)?(?:[^@\n]+@)?(?:www\.)?([^:\/\n]+)"")),"""")"),"eetimes.com")</f>
        <v>eetimes.com</v>
      </c>
      <c r="E19" s="26" t="str">
        <f ca="1">IFERROR(__xludf.DUMMYFUNCTION("""COMPUTED_VALUE"""),"New")</f>
        <v>New</v>
      </c>
      <c r="F19" s="27">
        <v>80</v>
      </c>
      <c r="G19" s="27">
        <v>59400</v>
      </c>
    </row>
    <row r="20" spans="2:7" ht="12.5">
      <c r="C20" s="29" t="s">
        <v>2940</v>
      </c>
      <c r="D20" s="25" t="str">
        <f ca="1">IFERROR(__xludf.DUMMYFUNCTION("IFERROR(ARRAYFORMULA(REGEXEXTRACT(C20,""^(?:https?:\/\/)?(?:[^@\n]+@)?(?:www\.)?([^:\/\n]+)"")),"""")"),"yourarlington.com")</f>
        <v>yourarlington.com</v>
      </c>
      <c r="E20" s="26" t="str">
        <f ca="1">IFERROR(__xludf.DUMMYFUNCTION("""COMPUTED_VALUE"""),"New")</f>
        <v>New</v>
      </c>
      <c r="F20" s="27">
        <v>46</v>
      </c>
      <c r="G20" s="27">
        <v>562</v>
      </c>
    </row>
    <row r="21" spans="2:7" ht="12.5">
      <c r="C21" s="29" t="s">
        <v>2941</v>
      </c>
      <c r="D21" s="25" t="str">
        <f ca="1">IFERROR(__xludf.DUMMYFUNCTION("IFERROR(ARRAYFORMULA(REGEXEXTRACT(C21,""^(?:https?:\/\/)?(?:[^@\n]+@)?(?:www\.)?([^:\/\n]+)"")),"""")"),"designblendz.com")</f>
        <v>designblendz.com</v>
      </c>
      <c r="E21" s="26" t="str">
        <f ca="1">IFERROR(__xludf.DUMMYFUNCTION("""COMPUTED_VALUE"""),"New")</f>
        <v>New</v>
      </c>
      <c r="F21" s="27">
        <v>48</v>
      </c>
      <c r="G21" s="27">
        <v>1700</v>
      </c>
    </row>
    <row r="22" spans="2:7" ht="12.5">
      <c r="C22" s="29" t="s">
        <v>2942</v>
      </c>
      <c r="D22" s="25" t="str">
        <f ca="1">IFERROR(__xludf.DUMMYFUNCTION("IFERROR(ARRAYFORMULA(REGEXEXTRACT(C22,""^(?:https?:\/\/)?(?:[^@\n]+@)?(?:www\.)?([^:\/\n]+)"")),"""")"),"fbcremodel.com")</f>
        <v>fbcremodel.com</v>
      </c>
      <c r="E22" s="26" t="str">
        <f ca="1">IFERROR(__xludf.DUMMYFUNCTION("""COMPUTED_VALUE"""),"New")</f>
        <v>New</v>
      </c>
      <c r="F22" s="27">
        <v>37</v>
      </c>
      <c r="G22" s="27">
        <v>1300</v>
      </c>
    </row>
    <row r="23" spans="2:7" ht="12.5">
      <c r="C23" s="29" t="s">
        <v>2943</v>
      </c>
      <c r="D23" s="25" t="str">
        <f ca="1">IFERROR(__xludf.DUMMYFUNCTION("IFERROR(ARRAYFORMULA(REGEXEXTRACT(C23,""^(?:https?:\/\/)?(?:[^@\n]+@)?(?:www\.)?([^:\/\n]+)"")),"""")"),"insightrealtynetwork.com")</f>
        <v>insightrealtynetwork.com</v>
      </c>
      <c r="E23" s="26" t="str">
        <f ca="1">IFERROR(__xludf.DUMMYFUNCTION("""COMPUTED_VALUE"""),"New")</f>
        <v>New</v>
      </c>
      <c r="F23" s="27">
        <v>25</v>
      </c>
      <c r="G23" s="27">
        <v>1100</v>
      </c>
    </row>
    <row r="24" spans="2:7" ht="12.5">
      <c r="C24" s="29" t="s">
        <v>2944</v>
      </c>
      <c r="D24" s="25" t="str">
        <f ca="1">IFERROR(__xludf.DUMMYFUNCTION("IFERROR(ARRAYFORMULA(REGEXEXTRACT(C24,""^(?:https?:\/\/)?(?:[^@\n]+@)?(?:www\.)?([^:\/\n]+)"")),"""")"),"oceanhomemag.com")</f>
        <v>oceanhomemag.com</v>
      </c>
      <c r="E24" s="26" t="str">
        <f ca="1">IFERROR(__xludf.DUMMYFUNCTION("""COMPUTED_VALUE"""),"New")</f>
        <v>New</v>
      </c>
      <c r="F24" s="27">
        <v>64</v>
      </c>
      <c r="G24" s="27">
        <v>1300</v>
      </c>
    </row>
    <row r="25" spans="2:7" ht="12.5">
      <c r="B25" s="8" t="s">
        <v>2795</v>
      </c>
      <c r="C25" s="8" t="s">
        <v>2945</v>
      </c>
      <c r="D25" s="25" t="str">
        <f ca="1">IFERROR(__xludf.DUMMYFUNCTION("IFERROR(ARRAYFORMULA(REGEXEXTRACT(C25,""^(?:https?:\/\/)?(?:[^@\n]+@)?(?:www\.)?([^:\/\n]+)"")),"""")"),"furnituretoday.com")</f>
        <v>furnituretoday.com</v>
      </c>
      <c r="E25" s="26" t="str">
        <f ca="1">IFERROR(__xludf.DUMMYFUNCTION("""COMPUTED_VALUE"""),"New")</f>
        <v>New</v>
      </c>
      <c r="F25" s="27">
        <v>76</v>
      </c>
      <c r="G25" s="27">
        <v>10882</v>
      </c>
    </row>
    <row r="26" spans="2:7" ht="12.5">
      <c r="C26" s="8" t="s">
        <v>2946</v>
      </c>
      <c r="D26" s="25" t="str">
        <f ca="1">IFERROR(__xludf.DUMMYFUNCTION("IFERROR(ARRAYFORMULA(REGEXEXTRACT(C26,""^(?:https?:\/\/)?(?:[^@\n]+@)?(?:www\.)?([^:\/\n]+)"")),"""")"),"supanet.com")</f>
        <v>supanet.com</v>
      </c>
      <c r="E26" s="26" t="str">
        <f ca="1">IFERROR(__xludf.DUMMYFUNCTION("""COMPUTED_VALUE"""),"New")</f>
        <v>New</v>
      </c>
      <c r="F26" s="27">
        <v>60</v>
      </c>
      <c r="G26" s="27">
        <v>1069</v>
      </c>
    </row>
    <row r="27" spans="2:7" ht="12.5">
      <c r="C27" s="8" t="s">
        <v>2947</v>
      </c>
      <c r="D27" s="25" t="str">
        <f ca="1">IFERROR(__xludf.DUMMYFUNCTION("IFERROR(ARRAYFORMULA(REGEXEXTRACT(C27,""^(?:https?:\/\/)?(?:[^@\n]+@)?(?:www\.)?([^:\/\n]+)"")),"""")"),"mobilehomeexteriors.com")</f>
        <v>mobilehomeexteriors.com</v>
      </c>
      <c r="E27" s="26" t="str">
        <f ca="1">IFERROR(__xludf.DUMMYFUNCTION("""COMPUTED_VALUE"""),"New")</f>
        <v>New</v>
      </c>
      <c r="F27" s="27">
        <v>62</v>
      </c>
      <c r="G27" s="27">
        <v>2687</v>
      </c>
    </row>
    <row r="28" spans="2:7" ht="12.5">
      <c r="C28" s="8" t="s">
        <v>2948</v>
      </c>
      <c r="D28" s="25" t="str">
        <f ca="1">IFERROR(__xludf.DUMMYFUNCTION("IFERROR(ARRAYFORMULA(REGEXEXTRACT(C28,""^(?:https?:\/\/)?(?:[^@\n]+@)?(?:www\.)?([^:\/\n]+)"")),"""")"),"stanleymartin.com")</f>
        <v>stanleymartin.com</v>
      </c>
      <c r="E28" s="26" t="str">
        <f ca="1">IFERROR(__xludf.DUMMYFUNCTION("""COMPUTED_VALUE"""),"New")</f>
        <v>New</v>
      </c>
      <c r="F28" s="27">
        <v>56</v>
      </c>
      <c r="G28" s="27">
        <v>22244</v>
      </c>
    </row>
    <row r="29" spans="2:7" ht="12.5">
      <c r="C29" s="8" t="s">
        <v>2949</v>
      </c>
      <c r="D29" s="25" t="str">
        <f ca="1">IFERROR(__xludf.DUMMYFUNCTION("IFERROR(ARRAYFORMULA(REGEXEXTRACT(C29,""^(?:https?:\/\/)?(?:[^@\n]+@)?(?:www\.)?([^:\/\n]+)"")),"""")"),"modernflames.com")</f>
        <v>modernflames.com</v>
      </c>
      <c r="E29" s="26" t="str">
        <f ca="1">IFERROR(__xludf.DUMMYFUNCTION("""COMPUTED_VALUE"""),"New")</f>
        <v>New</v>
      </c>
      <c r="F29" s="27">
        <v>58</v>
      </c>
      <c r="G29" s="27">
        <v>9975</v>
      </c>
    </row>
    <row r="30" spans="2:7" ht="12.5">
      <c r="C30" s="8" t="s">
        <v>2950</v>
      </c>
      <c r="D30" s="25" t="str">
        <f ca="1">IFERROR(__xludf.DUMMYFUNCTION("IFERROR(ARRAYFORMULA(REGEXEXTRACT(C30,""^(?:https?:\/\/)?(?:[^@\n]+@)?(?:www\.)?([^:\/\n]+)"")),"""")"),"rapidhomedirect.com")</f>
        <v>rapidhomedirect.com</v>
      </c>
      <c r="E30" s="26" t="str">
        <f ca="1">IFERROR(__xludf.DUMMYFUNCTION("""COMPUTED_VALUE"""),"New")</f>
        <v>New</v>
      </c>
      <c r="F30" s="27">
        <v>63</v>
      </c>
      <c r="G30" s="27">
        <v>8784</v>
      </c>
    </row>
    <row r="31" spans="2:7" ht="12.5">
      <c r="C31" s="8" t="s">
        <v>2951</v>
      </c>
      <c r="D31" s="25" t="str">
        <f ca="1">IFERROR(__xludf.DUMMYFUNCTION("IFERROR(ARRAYFORMULA(REGEXEXTRACT(C31,""^(?:https?:\/\/)?(?:[^@\n]+@)?(?:www\.)?([^:\/\n]+)"")),"""")"),"applianceicon.com")</f>
        <v>applianceicon.com</v>
      </c>
      <c r="E31" s="26" t="str">
        <f ca="1">IFERROR(__xludf.DUMMYFUNCTION("""COMPUTED_VALUE"""),"New")</f>
        <v>New</v>
      </c>
      <c r="F31" s="27">
        <v>58</v>
      </c>
      <c r="G31" s="27">
        <v>0</v>
      </c>
    </row>
    <row r="32" spans="2:7" ht="12.5">
      <c r="C32" s="8" t="s">
        <v>2952</v>
      </c>
      <c r="D32" s="25" t="str">
        <f ca="1">IFERROR(__xludf.DUMMYFUNCTION("IFERROR(ARRAYFORMULA(REGEXEXTRACT(C32,""^(?:https?:\/\/)?(?:[^@\n]+@)?(?:www\.)?([^:\/\n]+)"")),"""")"),"aiotechnicalx.com")</f>
        <v>aiotechnicalx.com</v>
      </c>
      <c r="E32" s="26" t="str">
        <f ca="1">IFERROR(__xludf.DUMMYFUNCTION("""COMPUTED_VALUE"""),"New")</f>
        <v>New</v>
      </c>
      <c r="F32" s="27">
        <v>21</v>
      </c>
      <c r="G32" s="27">
        <v>0</v>
      </c>
    </row>
    <row r="33" spans="3:7" ht="12.5">
      <c r="C33" s="8" t="s">
        <v>2953</v>
      </c>
      <c r="D33" s="25" t="str">
        <f ca="1">IFERROR(__xludf.DUMMYFUNCTION("IFERROR(ARRAYFORMULA(REGEXEXTRACT(C33,""^(?:https?:\/\/)?(?:[^@\n]+@)?(?:www\.)?([^:\/\n]+)"")),"""")"),"fireplaceremotecontrols.com")</f>
        <v>fireplaceremotecontrols.com</v>
      </c>
      <c r="E33" s="26" t="str">
        <f ca="1">IFERROR(__xludf.DUMMYFUNCTION("""COMPUTED_VALUE"""),"New")</f>
        <v>New</v>
      </c>
      <c r="F33" s="27">
        <v>12</v>
      </c>
      <c r="G33" s="27">
        <v>0</v>
      </c>
    </row>
    <row r="34" spans="3:7" ht="12.5">
      <c r="C34" s="8" t="s">
        <v>2954</v>
      </c>
      <c r="D34" s="25" t="str">
        <f ca="1">IFERROR(__xludf.DUMMYFUNCTION("IFERROR(ARRAYFORMULA(REGEXEXTRACT(C34,""^(?:https?:\/\/)?(?:[^@\n]+@)?(?:www\.)?([^:\/\n]+)"")),"""")"),"wissnow.com")</f>
        <v>wissnow.com</v>
      </c>
      <c r="E34" s="26" t="str">
        <f ca="1">IFERROR(__xludf.DUMMYFUNCTION("""COMPUTED_VALUE"""),"New")</f>
        <v>New</v>
      </c>
      <c r="F34" s="27">
        <v>13</v>
      </c>
      <c r="G34" s="27">
        <v>226</v>
      </c>
    </row>
    <row r="35" spans="3:7" ht="12.5">
      <c r="C35" s="8" t="s">
        <v>2955</v>
      </c>
      <c r="D35" s="25" t="str">
        <f ca="1">IFERROR(__xludf.DUMMYFUNCTION("IFERROR(ARRAYFORMULA(REGEXEXTRACT(C35,""^(?:https?:\/\/)?(?:[^@\n]+@)?(?:www\.)?([^:\/\n]+)"")),"""")"),"treeleftbigshop.com")</f>
        <v>treeleftbigshop.com</v>
      </c>
      <c r="E35" s="26" t="str">
        <f ca="1">IFERROR(__xludf.DUMMYFUNCTION("""COMPUTED_VALUE"""),"New")</f>
        <v>New</v>
      </c>
      <c r="F35" s="27">
        <v>53</v>
      </c>
      <c r="G35" s="27">
        <v>991</v>
      </c>
    </row>
    <row r="36" spans="3:7" ht="12.5" hidden="1">
      <c r="C36" s="8" t="s">
        <v>2956</v>
      </c>
      <c r="D36" s="25" t="str">
        <f ca="1">IFERROR(__xludf.DUMMYFUNCTION("IFERROR(ARRAYFORMULA(REGEXEXTRACT(C36,""^(?:https?:\/\/)?(?:[^@\n]+@)?(?:www\.)?([^:\/\n]+)"")),"""")"),"flyarchitecture.net")</f>
        <v>flyarchitecture.net</v>
      </c>
      <c r="E36" s="26" t="str">
        <f ca="1">IFERROR(__xludf.DUMMYFUNCTION("""COMPUTED_VALUE"""),"Already Exists")</f>
        <v>Already Exists</v>
      </c>
      <c r="F36" s="27">
        <v>49</v>
      </c>
      <c r="G36" s="27">
        <v>765</v>
      </c>
    </row>
    <row r="37" spans="3:7" ht="12.5" hidden="1">
      <c r="C37" s="8" t="s">
        <v>2957</v>
      </c>
      <c r="D37" s="25" t="str">
        <f ca="1">IFERROR(__xludf.DUMMYFUNCTION("IFERROR(ARRAYFORMULA(REGEXEXTRACT(C37,""^(?:https?:\/\/)?(?:[^@\n]+@)?(?:www\.)?([^:\/\n]+)"")),"""")"),"middleclasshomes.net")</f>
        <v>middleclasshomes.net</v>
      </c>
      <c r="E37" s="26" t="str">
        <f ca="1">IFERROR(__xludf.DUMMYFUNCTION("""COMPUTED_VALUE"""),"Already Exists")</f>
        <v>Already Exists</v>
      </c>
      <c r="F37" s="27">
        <v>55</v>
      </c>
      <c r="G37" s="27">
        <v>2693</v>
      </c>
    </row>
    <row r="38" spans="3:7" ht="12.5">
      <c r="C38" s="8" t="s">
        <v>2958</v>
      </c>
      <c r="D38" s="25" t="str">
        <f ca="1">IFERROR(__xludf.DUMMYFUNCTION("IFERROR(ARRAYFORMULA(REGEXEXTRACT(C38,""^(?:https?:\/\/)?(?:[^@\n]+@)?(?:www\.)?([^:\/\n]+)"")),"""")"),"designmode24.com")</f>
        <v>designmode24.com</v>
      </c>
      <c r="E38" s="26" t="str">
        <f ca="1">IFERROR(__xludf.DUMMYFUNCTION("""COMPUTED_VALUE"""),"New")</f>
        <v>New</v>
      </c>
      <c r="F38" s="27">
        <v>60</v>
      </c>
      <c r="G38" s="27">
        <v>9252</v>
      </c>
    </row>
    <row r="39" spans="3:7" ht="12.5">
      <c r="C39" s="8" t="s">
        <v>2959</v>
      </c>
      <c r="D39" s="25" t="str">
        <f ca="1">IFERROR(__xludf.DUMMYFUNCTION("IFERROR(ARRAYFORMULA(REGEXEXTRACT(C39,""^(?:https?:\/\/)?(?:[^@\n]+@)?(?:www\.)?([^:\/\n]+)"")),"""")"),"usefulideas.net")</f>
        <v>usefulideas.net</v>
      </c>
      <c r="E39" s="26" t="str">
        <f ca="1">IFERROR(__xludf.DUMMYFUNCTION("""COMPUTED_VALUE"""),"New")</f>
        <v>New</v>
      </c>
      <c r="F39" s="27">
        <v>59</v>
      </c>
      <c r="G39" s="27">
        <v>3138</v>
      </c>
    </row>
    <row r="40" spans="3:7" ht="12.5">
      <c r="C40" s="8" t="s">
        <v>2960</v>
      </c>
      <c r="D40" s="25" t="str">
        <f ca="1">IFERROR(__xludf.DUMMYFUNCTION("IFERROR(ARRAYFORMULA(REGEXEXTRACT(C40,""^(?:https?:\/\/)?(?:[^@\n]+@)?(?:www\.)?([^:\/\n]+)"")),"""")"),"englishsumup.com")</f>
        <v>englishsumup.com</v>
      </c>
      <c r="E40" s="26" t="str">
        <f ca="1">IFERROR(__xludf.DUMMYFUNCTION("""COMPUTED_VALUE"""),"New")</f>
        <v>New</v>
      </c>
      <c r="F40" s="27">
        <v>27</v>
      </c>
      <c r="G40" s="27">
        <v>0</v>
      </c>
    </row>
    <row r="41" spans="3:7" ht="12.5">
      <c r="C41" s="8" t="s">
        <v>2961</v>
      </c>
      <c r="D41" s="25" t="str">
        <f ca="1">IFERROR(__xludf.DUMMYFUNCTION("IFERROR(ARRAYFORMULA(REGEXEXTRACT(C41,""^(?:https?:\/\/)?(?:[^@\n]+@)?(?:www\.)?([^:\/\n]+)"")),"""")"),"infomercial-reviews.org")</f>
        <v>infomercial-reviews.org</v>
      </c>
      <c r="E41" s="26" t="str">
        <f ca="1">IFERROR(__xludf.DUMMYFUNCTION("""COMPUTED_VALUE"""),"New")</f>
        <v>New</v>
      </c>
      <c r="F41" s="27">
        <v>46</v>
      </c>
      <c r="G41" s="27">
        <v>1840</v>
      </c>
    </row>
    <row r="42" spans="3:7" ht="12.5">
      <c r="C42" s="8" t="s">
        <v>2962</v>
      </c>
      <c r="D42" s="25" t="str">
        <f ca="1">IFERROR(__xludf.DUMMYFUNCTION("IFERROR(ARRAYFORMULA(REGEXEXTRACT(C42,""^(?:https?:\/\/)?(?:[^@\n]+@)?(?:www\.)?([^:\/\n]+)"")),"""")"),"propertycostarica.co.uk")</f>
        <v>propertycostarica.co.uk</v>
      </c>
      <c r="E42" s="26" t="str">
        <f ca="1">IFERROR(__xludf.DUMMYFUNCTION("""COMPUTED_VALUE"""),"New")</f>
        <v>New</v>
      </c>
      <c r="F42" s="27">
        <v>13</v>
      </c>
      <c r="G42" s="27">
        <v>9849</v>
      </c>
    </row>
    <row r="43" spans="3:7" ht="12.5">
      <c r="C43" s="8" t="s">
        <v>2963</v>
      </c>
      <c r="D43" s="25" t="str">
        <f ca="1">IFERROR(__xludf.DUMMYFUNCTION("IFERROR(ARRAYFORMULA(REGEXEXTRACT(C43,""^(?:https?:\/\/)?(?:[^@\n]+@)?(?:www\.)?([^:\/\n]+)"")),"""")"),"100percentnorway.com")</f>
        <v>100percentnorway.com</v>
      </c>
      <c r="E43" s="26" t="str">
        <f ca="1">IFERROR(__xludf.DUMMYFUNCTION("""COMPUTED_VALUE"""),"New")</f>
        <v>New</v>
      </c>
      <c r="F43" s="27">
        <v>26</v>
      </c>
      <c r="G43" s="27">
        <v>23</v>
      </c>
    </row>
    <row r="44" spans="3:7" ht="12.5">
      <c r="C44" s="8" t="s">
        <v>2964</v>
      </c>
      <c r="D44" s="25" t="str">
        <f ca="1">IFERROR(__xludf.DUMMYFUNCTION("IFERROR(ARRAYFORMULA(REGEXEXTRACT(C44,""^(?:https?:\/\/)?(?:[^@\n]+@)?(?:www\.)?([^:\/\n]+)"")),"""")"),"europeanraptors.org")</f>
        <v>europeanraptors.org</v>
      </c>
      <c r="E44" s="26" t="str">
        <f ca="1">IFERROR(__xludf.DUMMYFUNCTION("""COMPUTED_VALUE"""),"New")</f>
        <v>New</v>
      </c>
      <c r="F44" s="27">
        <v>39</v>
      </c>
      <c r="G44" s="27">
        <v>127</v>
      </c>
    </row>
    <row r="45" spans="3:7" ht="12.5">
      <c r="C45" s="8" t="s">
        <v>2965</v>
      </c>
      <c r="D45" s="25" t="str">
        <f ca="1">IFERROR(__xludf.DUMMYFUNCTION("IFERROR(ARRAYFORMULA(REGEXEXTRACT(C45,""^(?:https?:\/\/)?(?:[^@\n]+@)?(?:www\.)?([^:\/\n]+)"")),"""")"),"betterthisworld.com")</f>
        <v>betterthisworld.com</v>
      </c>
      <c r="E45" s="26" t="str">
        <f ca="1">IFERROR(__xludf.DUMMYFUNCTION("""COMPUTED_VALUE"""),"New")</f>
        <v>New</v>
      </c>
      <c r="F45" s="27">
        <v>71</v>
      </c>
      <c r="G45" s="27">
        <v>54372</v>
      </c>
    </row>
    <row r="46" spans="3:7" ht="12.5">
      <c r="C46" s="8" t="s">
        <v>2966</v>
      </c>
      <c r="D46" s="25" t="str">
        <f ca="1">IFERROR(__xludf.DUMMYFUNCTION("IFERROR(ARRAYFORMULA(REGEXEXTRACT(C46,""^(?:https?:\/\/)?(?:[^@\n]+@)?(?:www\.)?([^:\/\n]+)"")),"""")"),"whatutalkingboutwillis.com")</f>
        <v>whatutalkingboutwillis.com</v>
      </c>
      <c r="E46" s="26" t="str">
        <f ca="1">IFERROR(__xludf.DUMMYFUNCTION("""COMPUTED_VALUE"""),"New")</f>
        <v>New</v>
      </c>
      <c r="F46" s="27">
        <v>70</v>
      </c>
      <c r="G46" s="27">
        <v>9955</v>
      </c>
    </row>
    <row r="47" spans="3:7" ht="12.5">
      <c r="C47" s="8" t="s">
        <v>2967</v>
      </c>
      <c r="D47" s="25" t="str">
        <f ca="1">IFERROR(__xludf.DUMMYFUNCTION("IFERROR(ARRAYFORMULA(REGEXEXTRACT(C47,""^(?:https?:\/\/)?(?:[^@\n]+@)?(?:www\.)?([^:\/\n]+)"")),"""")"),"saoarchitects.com")</f>
        <v>saoarchitects.com</v>
      </c>
      <c r="E47" s="26" t="str">
        <f ca="1">IFERROR(__xludf.DUMMYFUNCTION("""COMPUTED_VALUE"""),"New")</f>
        <v>New</v>
      </c>
      <c r="F47" s="27">
        <v>37</v>
      </c>
      <c r="G47" s="27">
        <v>325</v>
      </c>
    </row>
    <row r="48" spans="3:7" ht="12.5">
      <c r="C48" s="8" t="s">
        <v>2968</v>
      </c>
      <c r="D48" s="25" t="str">
        <f ca="1">IFERROR(__xludf.DUMMYFUNCTION("IFERROR(ARRAYFORMULA(REGEXEXTRACT(C48,""^(?:https?:\/\/)?(?:[^@\n]+@)?(?:www\.)?([^:\/\n]+)"")),"""")"),"homeplansindia.com")</f>
        <v>homeplansindia.com</v>
      </c>
      <c r="E48" s="26" t="str">
        <f ca="1">IFERROR(__xludf.DUMMYFUNCTION("""COMPUTED_VALUE"""),"New")</f>
        <v>New</v>
      </c>
      <c r="F48" s="27">
        <v>4.8</v>
      </c>
      <c r="G48" s="27">
        <v>38</v>
      </c>
    </row>
    <row r="49" spans="3:7" ht="12.5" hidden="1">
      <c r="C49" s="8" t="s">
        <v>2969</v>
      </c>
      <c r="D49" s="25" t="str">
        <f ca="1">IFERROR(__xludf.DUMMYFUNCTION("IFERROR(ARRAYFORMULA(REGEXEXTRACT(C49,""^(?:https?:\/\/)?(?:[^@\n]+@)?(?:www\.)?([^:\/\n]+)"")),"""")"),"mayfair-london.co.uk")</f>
        <v>mayfair-london.co.uk</v>
      </c>
      <c r="E49" s="26" t="str">
        <f ca="1">IFERROR(__xludf.DUMMYFUNCTION("""COMPUTED_VALUE"""),"Already Exists")</f>
        <v>Already Exists</v>
      </c>
      <c r="F49" s="27">
        <v>49</v>
      </c>
      <c r="G49" s="27">
        <v>13958</v>
      </c>
    </row>
    <row r="50" spans="3:7" ht="12.5">
      <c r="C50" s="8" t="s">
        <v>2970</v>
      </c>
      <c r="D50" s="25" t="str">
        <f ca="1">IFERROR(__xludf.DUMMYFUNCTION("IFERROR(ARRAYFORMULA(REGEXEXTRACT(C50,""^(?:https?:\/\/)?(?:[^@\n]+@)?(?:www\.)?([^:\/\n]+)"")),"""")"),"thetechnotricks.net")</f>
        <v>thetechnotricks.net</v>
      </c>
      <c r="E50" s="26" t="str">
        <f ca="1">IFERROR(__xludf.DUMMYFUNCTION("""COMPUTED_VALUE"""),"New")</f>
        <v>New</v>
      </c>
      <c r="F50" s="27">
        <v>64</v>
      </c>
      <c r="G50" s="27">
        <v>4459</v>
      </c>
    </row>
    <row r="51" spans="3:7" ht="12.5" hidden="1">
      <c r="C51" s="8" t="s">
        <v>2971</v>
      </c>
      <c r="D51" s="25" t="str">
        <f ca="1">IFERROR(__xludf.DUMMYFUNCTION("IFERROR(ARRAYFORMULA(REGEXEXTRACT(C51,""^(?:https?:\/\/)?(?:[^@\n]+@)?(?:www\.)?([^:\/\n]+)"")),"""")"),"yucatanmagazine.com")</f>
        <v>yucatanmagazine.com</v>
      </c>
      <c r="E51" s="26" t="str">
        <f ca="1">IFERROR(__xludf.DUMMYFUNCTION("""COMPUTED_VALUE"""),"Already Exists")</f>
        <v>Already Exists</v>
      </c>
      <c r="F51" s="27">
        <v>50</v>
      </c>
      <c r="G51" s="27">
        <v>6553</v>
      </c>
    </row>
    <row r="52" spans="3:7" ht="12.5">
      <c r="C52" s="8" t="s">
        <v>2972</v>
      </c>
      <c r="D52" s="25" t="str">
        <f ca="1">IFERROR(__xludf.DUMMYFUNCTION("IFERROR(ARRAYFORMULA(REGEXEXTRACT(C52,""^(?:https?:\/\/)?(?:[^@\n]+@)?(?:www\.)?([^:\/\n]+)"")),"""")"),"modularchetecture.com")</f>
        <v>modularchetecture.com</v>
      </c>
      <c r="E52" s="26" t="str">
        <f ca="1">IFERROR(__xludf.DUMMYFUNCTION("""COMPUTED_VALUE"""),"New")</f>
        <v>New</v>
      </c>
      <c r="F52" s="27">
        <v>41</v>
      </c>
      <c r="G52" s="27">
        <v>200</v>
      </c>
    </row>
    <row r="53" spans="3:7" ht="12.5">
      <c r="C53" s="8" t="s">
        <v>2973</v>
      </c>
      <c r="D53" s="25" t="str">
        <f ca="1">IFERROR(__xludf.DUMMYFUNCTION("IFERROR(ARRAYFORMULA(REGEXEXTRACT(C53,""^(?:https?:\/\/)?(?:[^@\n]+@)?(?:www\.)?([^:\/\n]+)"")),"""")"),"globelivemedia.com")</f>
        <v>globelivemedia.com</v>
      </c>
      <c r="E53" s="26" t="str">
        <f ca="1">IFERROR(__xludf.DUMMYFUNCTION("""COMPUTED_VALUE"""),"New")</f>
        <v>New</v>
      </c>
      <c r="F53" s="27">
        <v>23</v>
      </c>
      <c r="G53" s="27">
        <v>0</v>
      </c>
    </row>
    <row r="54" spans="3:7" ht="12.5">
      <c r="C54" s="8" t="s">
        <v>2974</v>
      </c>
      <c r="D54" s="25" t="str">
        <f ca="1">IFERROR(__xludf.DUMMYFUNCTION("IFERROR(ARRAYFORMULA(REGEXEXTRACT(C54,""^(?:https?:\/\/)?(?:[^@\n]+@)?(?:www\.)?([^:\/\n]+)"")),"""")"),"artsusshop.com")</f>
        <v>artsusshop.com</v>
      </c>
      <c r="E54" s="26" t="str">
        <f ca="1">IFERROR(__xludf.DUMMYFUNCTION("""COMPUTED_VALUE"""),"New")</f>
        <v>New</v>
      </c>
      <c r="F54" s="27">
        <v>50</v>
      </c>
      <c r="G54" s="27">
        <v>705</v>
      </c>
    </row>
    <row r="55" spans="3:7" ht="12.5">
      <c r="C55" s="8" t="s">
        <v>2975</v>
      </c>
      <c r="D55" s="25" t="str">
        <f ca="1">IFERROR(__xludf.DUMMYFUNCTION("IFERROR(ARRAYFORMULA(REGEXEXTRACT(C55,""^(?:https?:\/\/)?(?:[^@\n]+@)?(?:www\.)?([^:\/\n]+)"")),"""")"),"bigboxratio.com")</f>
        <v>bigboxratio.com</v>
      </c>
      <c r="E55" s="26" t="str">
        <f ca="1">IFERROR(__xludf.DUMMYFUNCTION("""COMPUTED_VALUE"""),"New")</f>
        <v>New</v>
      </c>
      <c r="F55" s="27">
        <v>66</v>
      </c>
      <c r="G55" s="27">
        <v>10738</v>
      </c>
    </row>
    <row r="56" spans="3:7" ht="12.5" hidden="1">
      <c r="C56" s="8" t="s">
        <v>2976</v>
      </c>
      <c r="D56" s="25" t="str">
        <f ca="1">IFERROR(__xludf.DUMMYFUNCTION("IFERROR(ARRAYFORMULA(REGEXEXTRACT(C56,""^(?:https?:\/\/)?(?:[^@\n]+@)?(?:www\.)?([^:\/\n]+)"")),"""")"),"goodnever.com")</f>
        <v>goodnever.com</v>
      </c>
      <c r="E56" s="26" t="str">
        <f ca="1">IFERROR(__xludf.DUMMYFUNCTION("""COMPUTED_VALUE"""),"Already Exists")</f>
        <v>Already Exists</v>
      </c>
      <c r="F56" s="27">
        <v>53</v>
      </c>
      <c r="G56" s="27">
        <v>831</v>
      </c>
    </row>
    <row r="57" spans="3:7" ht="12.5" hidden="1">
      <c r="C57" s="8" t="s">
        <v>2977</v>
      </c>
      <c r="D57" s="25" t="str">
        <f ca="1">IFERROR(__xludf.DUMMYFUNCTION("IFERROR(ARRAYFORMULA(REGEXEXTRACT(C57,""^(?:https?:\/\/)?(?:[^@\n]+@)?(?:www\.)?([^:\/\n]+)"")),"""")"),"techktimes.co.uk")</f>
        <v>techktimes.co.uk</v>
      </c>
      <c r="E57" s="26" t="str">
        <f ca="1">IFERROR(__xludf.DUMMYFUNCTION("""COMPUTED_VALUE"""),"Already Exists")</f>
        <v>Already Exists</v>
      </c>
      <c r="F57" s="27">
        <v>46</v>
      </c>
      <c r="G57" s="27">
        <v>12042</v>
      </c>
    </row>
    <row r="58" spans="3:7" ht="12.5">
      <c r="C58" s="8" t="s">
        <v>2978</v>
      </c>
      <c r="D58" s="25" t="str">
        <f ca="1">IFERROR(__xludf.DUMMYFUNCTION("IFERROR(ARRAYFORMULA(REGEXEXTRACT(C58,""^(?:https?:\/\/)?(?:[^@\n]+@)?(?:www\.)?([^:\/\n]+)"")),"""")"),"blog.donajobrand.com")</f>
        <v>blog.donajobrand.com</v>
      </c>
      <c r="E58" s="26" t="str">
        <f ca="1">IFERROR(__xludf.DUMMYFUNCTION("""COMPUTED_VALUE"""),"New")</f>
        <v>New</v>
      </c>
      <c r="F58" s="27">
        <v>38</v>
      </c>
      <c r="G58" s="27">
        <v>235</v>
      </c>
    </row>
    <row r="59" spans="3:7" ht="12.5">
      <c r="C59" s="8" t="s">
        <v>2979</v>
      </c>
      <c r="D59" s="25" t="str">
        <f ca="1">IFERROR(__xludf.DUMMYFUNCTION("IFERROR(ARRAYFORMULA(REGEXEXTRACT(C59,""^(?:https?:\/\/)?(?:[^@\n]+@)?(?:www\.)?([^:\/\n]+)"")),"""")"),"casabelforte.com")</f>
        <v>casabelforte.com</v>
      </c>
      <c r="E59" s="26" t="str">
        <f ca="1">IFERROR(__xludf.DUMMYFUNCTION("""COMPUTED_VALUE"""),"New")</f>
        <v>New</v>
      </c>
      <c r="F59" s="27">
        <v>1.3</v>
      </c>
      <c r="G59" s="27">
        <v>62</v>
      </c>
    </row>
    <row r="60" spans="3:7" ht="12.5">
      <c r="C60" s="8" t="s">
        <v>2980</v>
      </c>
      <c r="D60" s="25" t="str">
        <f ca="1">IFERROR(__xludf.DUMMYFUNCTION("IFERROR(ARRAYFORMULA(REGEXEXTRACT(C60,""^(?:https?:\/\/)?(?:[^@\n]+@)?(?:www\.)?([^:\/\n]+)"")),"""")"),"celebhub.co.uk")</f>
        <v>celebhub.co.uk</v>
      </c>
      <c r="E60" s="26" t="str">
        <f ca="1">IFERROR(__xludf.DUMMYFUNCTION("""COMPUTED_VALUE"""),"New")</f>
        <v>New</v>
      </c>
      <c r="F60" s="27">
        <v>18</v>
      </c>
      <c r="G60" s="27">
        <v>29</v>
      </c>
    </row>
    <row r="61" spans="3:7" ht="12.5">
      <c r="C61" s="8" t="s">
        <v>2981</v>
      </c>
      <c r="D61" s="25" t="str">
        <f ca="1">IFERROR(__xludf.DUMMYFUNCTION("IFERROR(ARRAYFORMULA(REGEXEXTRACT(C61,""^(?:https?:\/\/)?(?:[^@\n]+@)?(?:www\.)?([^:\/\n]+)"")),"""")"),"forbesnetwork.co.uk")</f>
        <v>forbesnetwork.co.uk</v>
      </c>
      <c r="E61" s="26" t="str">
        <f ca="1">IFERROR(__xludf.DUMMYFUNCTION("""COMPUTED_VALUE"""),"New")</f>
        <v>New</v>
      </c>
      <c r="F61" s="27">
        <v>30</v>
      </c>
      <c r="G61" s="27">
        <v>358</v>
      </c>
    </row>
    <row r="62" spans="3:7" ht="12.5">
      <c r="C62" s="8" t="s">
        <v>2982</v>
      </c>
      <c r="D62" s="25" t="str">
        <f ca="1">IFERROR(__xludf.DUMMYFUNCTION("IFERROR(ARRAYFORMULA(REGEXEXTRACT(C62,""^(?:https?:\/\/)?(?:[^@\n]+@)?(?:www\.)?([^:\/\n]+)"")),"""")"),"ges2016.org")</f>
        <v>ges2016.org</v>
      </c>
      <c r="E62" s="26" t="str">
        <f ca="1">IFERROR(__xludf.DUMMYFUNCTION("""COMPUTED_VALUE"""),"New")</f>
        <v>New</v>
      </c>
      <c r="F62" s="27">
        <v>43</v>
      </c>
      <c r="G62" s="27">
        <v>0</v>
      </c>
    </row>
    <row r="63" spans="3:7" ht="12.5">
      <c r="C63" s="8" t="s">
        <v>2983</v>
      </c>
      <c r="D63" s="25" t="str">
        <f ca="1">IFERROR(__xludf.DUMMYFUNCTION("IFERROR(ARRAYFORMULA(REGEXEXTRACT(C63,""^(?:https?:\/\/)?(?:[^@\n]+@)?(?:www\.)?([^:\/\n]+)"")),"""")"),"xomba.com")</f>
        <v>xomba.com</v>
      </c>
      <c r="E63" s="26" t="str">
        <f ca="1">IFERROR(__xludf.DUMMYFUNCTION("""COMPUTED_VALUE"""),"New")</f>
        <v>New</v>
      </c>
      <c r="F63" s="27">
        <v>34</v>
      </c>
      <c r="G63" s="27">
        <v>0</v>
      </c>
    </row>
    <row r="64" spans="3:7" ht="12.5" hidden="1">
      <c r="C64" s="8" t="s">
        <v>2984</v>
      </c>
      <c r="D64" s="25" t="str">
        <f ca="1">IFERROR(__xludf.DUMMYFUNCTION("IFERROR(ARRAYFORMULA(REGEXEXTRACT(C64,""^(?:https?:\/\/)?(?:[^@\n]+@)?(?:www\.)?([^:\/\n]+)"")),"""")"),"downtonabbeycooks.com")</f>
        <v>downtonabbeycooks.com</v>
      </c>
      <c r="E64" s="26" t="str">
        <f ca="1">IFERROR(__xludf.DUMMYFUNCTION("""COMPUTED_VALUE"""),"Already Exists")</f>
        <v>Already Exists</v>
      </c>
      <c r="F64" s="27">
        <v>30</v>
      </c>
      <c r="G64" s="27">
        <v>2177</v>
      </c>
    </row>
    <row r="65" spans="3:7" ht="12.5" hidden="1">
      <c r="C65" s="8" t="s">
        <v>2985</v>
      </c>
      <c r="D65" s="25" t="str">
        <f ca="1">IFERROR(__xludf.DUMMYFUNCTION("IFERROR(ARRAYFORMULA(REGEXEXTRACT(C65,""^(?:https?:\/\/)?(?:[^@\n]+@)?(?:www\.)?([^:\/\n]+)"")),"""")"),"growingfamily.co.uk")</f>
        <v>growingfamily.co.uk</v>
      </c>
      <c r="E65" s="26" t="str">
        <f ca="1">IFERROR(__xludf.DUMMYFUNCTION("""COMPUTED_VALUE"""),"Already Exists")</f>
        <v>Already Exists</v>
      </c>
      <c r="F65" s="27">
        <v>48</v>
      </c>
      <c r="G65" s="27">
        <v>15674</v>
      </c>
    </row>
    <row r="66" spans="3:7" ht="12.5">
      <c r="C66" s="8" t="s">
        <v>2986</v>
      </c>
      <c r="D66" s="25" t="str">
        <f ca="1">IFERROR(__xludf.DUMMYFUNCTION("IFERROR(ARRAYFORMULA(REGEXEXTRACT(C66,""^(?:https?:\/\/)?(?:[^@\n]+@)?(?:www\.)?([^:\/\n]+)"")),"""")"),"allaroundthe-house.com")</f>
        <v>allaroundthe-house.com</v>
      </c>
      <c r="E66" s="26" t="str">
        <f ca="1">IFERROR(__xludf.DUMMYFUNCTION("""COMPUTED_VALUE"""),"New")</f>
        <v>New</v>
      </c>
      <c r="F66" s="27">
        <v>49</v>
      </c>
      <c r="G66" s="27">
        <v>17</v>
      </c>
    </row>
    <row r="67" spans="3:7" ht="12.5">
      <c r="C67" s="8" t="s">
        <v>2987</v>
      </c>
      <c r="D67" s="25" t="str">
        <f ca="1">IFERROR(__xludf.DUMMYFUNCTION("IFERROR(ARRAYFORMULA(REGEXEXTRACT(C67,""^(?:https?:\/\/)?(?:[^@\n]+@)?(?:www\.)?([^:\/\n]+)"")),"""")"),"thelondoneconomic.com")</f>
        <v>thelondoneconomic.com</v>
      </c>
      <c r="E67" s="26" t="str">
        <f ca="1">IFERROR(__xludf.DUMMYFUNCTION("""COMPUTED_VALUE"""),"New")</f>
        <v>New</v>
      </c>
      <c r="F67" s="27">
        <v>73</v>
      </c>
      <c r="G67" s="27">
        <v>8997</v>
      </c>
    </row>
    <row r="68" spans="3:7" ht="12.5">
      <c r="C68" s="8" t="s">
        <v>2988</v>
      </c>
      <c r="D68" s="25" t="str">
        <f ca="1">IFERROR(__xludf.DUMMYFUNCTION("IFERROR(ARRAYFORMULA(REGEXEXTRACT(C68,""^(?:https?:\/\/)?(?:[^@\n]+@)?(?:www\.)?([^:\/\n]+)"")),"""")"),"adultist.org")</f>
        <v>adultist.org</v>
      </c>
      <c r="E68" s="26" t="str">
        <f ca="1">IFERROR(__xludf.DUMMYFUNCTION("""COMPUTED_VALUE"""),"New")</f>
        <v>New</v>
      </c>
      <c r="F68" s="27">
        <v>8</v>
      </c>
      <c r="G68" s="27">
        <v>74</v>
      </c>
    </row>
    <row r="69" spans="3:7" ht="12.5">
      <c r="C69" s="8" t="s">
        <v>2989</v>
      </c>
      <c r="D69" s="25" t="str">
        <f ca="1">IFERROR(__xludf.DUMMYFUNCTION("IFERROR(ARRAYFORMULA(REGEXEXTRACT(C69,""^(?:https?:\/\/)?(?:[^@\n]+@)?(?:www\.)?([^:\/\n]+)"")),"""")"),"corefactors.in")</f>
        <v>corefactors.in</v>
      </c>
      <c r="E69" s="26" t="str">
        <f ca="1">IFERROR(__xludf.DUMMYFUNCTION("""COMPUTED_VALUE"""),"New")</f>
        <v>New</v>
      </c>
      <c r="F69" s="27">
        <v>51</v>
      </c>
      <c r="G69" s="27">
        <v>23</v>
      </c>
    </row>
    <row r="70" spans="3:7" ht="12.5">
      <c r="C70" s="8" t="s">
        <v>2990</v>
      </c>
      <c r="D70" s="25" t="str">
        <f ca="1">IFERROR(__xludf.DUMMYFUNCTION("IFERROR(ARRAYFORMULA(REGEXEXTRACT(C70,""^(?:https?:\/\/)?(?:[^@\n]+@)?(?:www\.)?([^:\/\n]+)"")),"""")"),"upbeatgeek.com")</f>
        <v>upbeatgeek.com</v>
      </c>
      <c r="E70" s="26" t="str">
        <f ca="1">IFERROR(__xludf.DUMMYFUNCTION("""COMPUTED_VALUE"""),"New")</f>
        <v>New</v>
      </c>
      <c r="F70" s="27">
        <v>59</v>
      </c>
      <c r="G70" s="27">
        <v>224</v>
      </c>
    </row>
    <row r="71" spans="3:7" ht="12.5">
      <c r="C71" s="8" t="s">
        <v>2991</v>
      </c>
      <c r="D71" s="25" t="str">
        <f ca="1">IFERROR(__xludf.DUMMYFUNCTION("IFERROR(ARRAYFORMULA(REGEXEXTRACT(C71,""^(?:https?:\/\/)?(?:[^@\n]+@)?(?:www\.)?([^:\/\n]+)"")),"""")"),"celebrebuzz.com")</f>
        <v>celebrebuzz.com</v>
      </c>
      <c r="E71" s="26" t="str">
        <f ca="1">IFERROR(__xludf.DUMMYFUNCTION("""COMPUTED_VALUE"""),"New")</f>
        <v>New</v>
      </c>
      <c r="F71" s="27">
        <v>49</v>
      </c>
      <c r="G71" s="30">
        <v>27852</v>
      </c>
    </row>
    <row r="72" spans="3:7" ht="12.5">
      <c r="C72" s="8" t="s">
        <v>2992</v>
      </c>
      <c r="D72" s="25" t="str">
        <f ca="1">IFERROR(__xludf.DUMMYFUNCTION("IFERROR(ARRAYFORMULA(REGEXEXTRACT(C72,""^(?:https?:\/\/)?(?:[^@\n]+@)?(?:www\.)?([^:\/\n]+)"")),"""")"),"vmccam.net")</f>
        <v>vmccam.net</v>
      </c>
      <c r="E72" s="26" t="str">
        <f ca="1">IFERROR(__xludf.DUMMYFUNCTION("""COMPUTED_VALUE"""),"New")</f>
        <v>New</v>
      </c>
      <c r="F72" s="27">
        <v>42</v>
      </c>
      <c r="G72" s="27">
        <v>0</v>
      </c>
    </row>
    <row r="73" spans="3:7" ht="12.5">
      <c r="C73" s="8" t="s">
        <v>2993</v>
      </c>
      <c r="D73" s="25" t="str">
        <f ca="1">IFERROR(__xludf.DUMMYFUNCTION("IFERROR(ARRAYFORMULA(REGEXEXTRACT(C73,""^(?:https?:\/\/)?(?:[^@\n]+@)?(?:www\.)?([^:\/\n]+)"")),"""")"),"osmosetech.com")</f>
        <v>osmosetech.com</v>
      </c>
      <c r="E73" s="26" t="str">
        <f ca="1">IFERROR(__xludf.DUMMYFUNCTION("""COMPUTED_VALUE"""),"New")</f>
        <v>New</v>
      </c>
      <c r="F73" s="27">
        <v>40</v>
      </c>
      <c r="G73" s="27">
        <v>239</v>
      </c>
    </row>
    <row r="74" spans="3:7" ht="12.5">
      <c r="C74" s="27" t="s">
        <v>2994</v>
      </c>
      <c r="D74" s="26" t="str">
        <f ca="1">IFERROR(__xludf.DUMMYFUNCTION("IFERROR(ARRAYFORMULA(REGEXEXTRACT(C74,""^(?:https?:\/\/)?(?:[^@\n]+@)?(?:www\.)?([^:\/\n]+)"")),"""")"),"e-hallpass.blog")</f>
        <v>e-hallpass.blog</v>
      </c>
      <c r="E74" s="26" t="str">
        <f ca="1">IFERROR(__xludf.DUMMYFUNCTION("""COMPUTED_VALUE"""),"New")</f>
        <v>New</v>
      </c>
      <c r="F74" s="27">
        <v>25</v>
      </c>
      <c r="G74" s="27">
        <v>162</v>
      </c>
    </row>
    <row r="75" spans="3:7" ht="12.5">
      <c r="C75" s="8" t="s">
        <v>2995</v>
      </c>
      <c r="D75" s="25" t="str">
        <f ca="1">IFERROR(__xludf.DUMMYFUNCTION("IFERROR(ARRAYFORMULA(REGEXEXTRACT(C75,""^(?:https?:\/\/)?(?:[^@\n]+@)?(?:www\.)?([^:\/\n]+)"")),"""")"),"tricklings.com")</f>
        <v>tricklings.com</v>
      </c>
      <c r="E75" s="26" t="str">
        <f ca="1">IFERROR(__xludf.DUMMYFUNCTION("""COMPUTED_VALUE"""),"New")</f>
        <v>New</v>
      </c>
      <c r="F75" s="27">
        <v>32</v>
      </c>
      <c r="G75" s="27">
        <v>120</v>
      </c>
    </row>
    <row r="76" spans="3:7" ht="12.5">
      <c r="C76" s="8" t="s">
        <v>2996</v>
      </c>
      <c r="D76" s="25" t="str">
        <f ca="1">IFERROR(__xludf.DUMMYFUNCTION("IFERROR(ARRAYFORMULA(REGEXEXTRACT(C76,""^(?:https?:\/\/)?(?:[^@\n]+@)?(?:www\.)?([^:\/\n]+)"")),"""")"),"photosqn.com")</f>
        <v>photosqn.com</v>
      </c>
      <c r="E76" s="26" t="str">
        <f ca="1">IFERROR(__xludf.DUMMYFUNCTION("""COMPUTED_VALUE"""),"New")</f>
        <v>New</v>
      </c>
      <c r="F76" s="27">
        <v>29</v>
      </c>
      <c r="G76" s="27">
        <v>0</v>
      </c>
    </row>
    <row r="77" spans="3:7" ht="12.5">
      <c r="C77" s="8" t="s">
        <v>2997</v>
      </c>
      <c r="D77" s="25" t="str">
        <f ca="1">IFERROR(__xludf.DUMMYFUNCTION("IFERROR(ARRAYFORMULA(REGEXEXTRACT(C77,""^(?:https?:\/\/)?(?:[^@\n]+@)?(?:www\.)?([^:\/\n]+)"")),"""")"),"erikchristianjohnson.com")</f>
        <v>erikchristianjohnson.com</v>
      </c>
      <c r="E77" s="26" t="str">
        <f ca="1">IFERROR(__xludf.DUMMYFUNCTION("""COMPUTED_VALUE"""),"New")</f>
        <v>New</v>
      </c>
      <c r="F77" s="27">
        <v>25</v>
      </c>
      <c r="G77" s="27">
        <v>0</v>
      </c>
    </row>
    <row r="78" spans="3:7" ht="12.5">
      <c r="C78" s="8" t="s">
        <v>2998</v>
      </c>
      <c r="D78" s="25" t="str">
        <f ca="1">IFERROR(__xludf.DUMMYFUNCTION("IFERROR(ARRAYFORMULA(REGEXEXTRACT(C78,""^(?:https?:\/\/)?(?:[^@\n]+@)?(?:www\.)?([^:\/\n]+)"")),"""")"),"pillreports.net")</f>
        <v>pillreports.net</v>
      </c>
      <c r="E78" s="26" t="str">
        <f ca="1">IFERROR(__xludf.DUMMYFUNCTION("""COMPUTED_VALUE"""),"New")</f>
        <v>New</v>
      </c>
      <c r="F78" s="27">
        <v>32</v>
      </c>
      <c r="G78" s="27">
        <v>14269</v>
      </c>
    </row>
    <row r="79" spans="3:7" ht="12.5">
      <c r="C79" s="8" t="s">
        <v>2999</v>
      </c>
      <c r="D79" s="25" t="str">
        <f ca="1">IFERROR(__xludf.DUMMYFUNCTION("IFERROR(ARRAYFORMULA(REGEXEXTRACT(C79,""^(?:https?:\/\/)?(?:[^@\n]+@)?(?:www\.)?([^:\/\n]+)"")),"""")"),"hayaudio.com")</f>
        <v>hayaudio.com</v>
      </c>
      <c r="E79" s="26" t="str">
        <f ca="1">IFERROR(__xludf.DUMMYFUNCTION("""COMPUTED_VALUE"""),"New")</f>
        <v>New</v>
      </c>
      <c r="F79" s="27">
        <v>48</v>
      </c>
      <c r="G79" s="27">
        <v>12</v>
      </c>
    </row>
    <row r="80" spans="3:7" ht="12.5">
      <c r="C80" s="8" t="s">
        <v>3000</v>
      </c>
      <c r="D80" s="25" t="str">
        <f ca="1">IFERROR(__xludf.DUMMYFUNCTION("IFERROR(ARRAYFORMULA(REGEXEXTRACT(C80,""^(?:https?:\/\/)?(?:[^@\n]+@)?(?:www\.)?([^:\/\n]+)"")),"""")"),"yourhomedesigncenter.com")</f>
        <v>yourhomedesigncenter.com</v>
      </c>
      <c r="E80" s="26" t="str">
        <f ca="1">IFERROR(__xludf.DUMMYFUNCTION("""COMPUTED_VALUE"""),"New")</f>
        <v>New</v>
      </c>
      <c r="F80" s="27">
        <v>12</v>
      </c>
      <c r="G80" s="27">
        <v>0</v>
      </c>
    </row>
    <row r="81" spans="3:7" ht="12.5">
      <c r="C81" s="8" t="s">
        <v>3001</v>
      </c>
      <c r="D81" s="25" t="str">
        <f ca="1">IFERROR(__xludf.DUMMYFUNCTION("IFERROR(ARRAYFORMULA(REGEXEXTRACT(C81,""^(?:https?:\/\/)?(?:[^@\n]+@)?(?:www\.)?([^:\/\n]+)"")),"""")"),"scornful-chainstay.com")</f>
        <v>scornful-chainstay.com</v>
      </c>
      <c r="E81" s="26" t="str">
        <f ca="1">IFERROR(__xludf.DUMMYFUNCTION("""COMPUTED_VALUE"""),"New")</f>
        <v>New</v>
      </c>
      <c r="F81" s="27">
        <v>0</v>
      </c>
      <c r="G81" s="27">
        <v>0</v>
      </c>
    </row>
    <row r="82" spans="3:7" ht="12.5">
      <c r="C82" s="8" t="s">
        <v>3002</v>
      </c>
      <c r="D82" s="25" t="str">
        <f ca="1">IFERROR(__xludf.DUMMYFUNCTION("IFERROR(ARRAYFORMULA(REGEXEXTRACT(C82,""^(?:https?:\/\/)?(?:[^@\n]+@)?(?:www\.)?([^:\/\n]+)"")),"""")"),"same-vol.org")</f>
        <v>same-vol.org</v>
      </c>
      <c r="E82" s="26" t="str">
        <f ca="1">IFERROR(__xludf.DUMMYFUNCTION("""COMPUTED_VALUE"""),"New")</f>
        <v>New</v>
      </c>
      <c r="F82" s="27">
        <v>0</v>
      </c>
      <c r="G82" s="27">
        <v>0</v>
      </c>
    </row>
    <row r="83" spans="3:7" ht="12.5">
      <c r="C83" s="8" t="s">
        <v>3003</v>
      </c>
      <c r="D83" s="25" t="str">
        <f ca="1">IFERROR(__xludf.DUMMYFUNCTION("IFERROR(ARRAYFORMULA(REGEXEXTRACT(C83,""^(?:https?:\/\/)?(?:[^@\n]+@)?(?:www\.)?([^:\/\n]+)"")),"""")"),"ultraupdates.com")</f>
        <v>ultraupdates.com</v>
      </c>
      <c r="E83" s="26" t="str">
        <f ca="1">IFERROR(__xludf.DUMMYFUNCTION("""COMPUTED_VALUE"""),"New")</f>
        <v>New</v>
      </c>
      <c r="F83" s="27">
        <v>70</v>
      </c>
      <c r="G83" s="30">
        <v>1807</v>
      </c>
    </row>
    <row r="84" spans="3:7" ht="12.5">
      <c r="C84" s="8" t="s">
        <v>3004</v>
      </c>
      <c r="D84" s="25" t="str">
        <f ca="1">IFERROR(__xludf.DUMMYFUNCTION("IFERROR(ARRAYFORMULA(REGEXEXTRACT(C84,""^(?:https?:\/\/)?(?:[^@\n]+@)?(?:www\.)?([^:\/\n]+)"")),"""")"),"thedailymanchester.co.uk")</f>
        <v>thedailymanchester.co.uk</v>
      </c>
      <c r="E84" s="26" t="str">
        <f ca="1">IFERROR(__xludf.DUMMYFUNCTION("""COMPUTED_VALUE"""),"New")</f>
        <v>New</v>
      </c>
      <c r="F84" s="27">
        <v>2</v>
      </c>
      <c r="G84" s="27">
        <v>0</v>
      </c>
    </row>
    <row r="85" spans="3:7" ht="12.5">
      <c r="C85" s="8" t="s">
        <v>3005</v>
      </c>
      <c r="D85" s="25" t="str">
        <f ca="1">IFERROR(__xludf.DUMMYFUNCTION("IFERROR(ARRAYFORMULA(REGEXEXTRACT(C85,""^(?:https?:\/\/)?(?:[^@\n]+@)?(?:www\.)?([^:\/\n]+)"")),"""")"),"360mag.co.uk")</f>
        <v>360mag.co.uk</v>
      </c>
      <c r="E85" s="26" t="str">
        <f ca="1">IFERROR(__xludf.DUMMYFUNCTION("""COMPUTED_VALUE"""),"New")</f>
        <v>New</v>
      </c>
      <c r="F85" s="27">
        <v>3</v>
      </c>
      <c r="G85" s="27">
        <v>0</v>
      </c>
    </row>
    <row r="86" spans="3:7" ht="12.5">
      <c r="C86" s="8" t="s">
        <v>3006</v>
      </c>
      <c r="D86" s="25" t="str">
        <f ca="1">IFERROR(__xludf.DUMMYFUNCTION("IFERROR(ARRAYFORMULA(REGEXEXTRACT(C86,""^(?:https?:\/\/)?(?:[^@\n]+@)?(?:www\.)?([^:\/\n]+)"")),"""")"),"thelondonmedia.co.uk")</f>
        <v>thelondonmedia.co.uk</v>
      </c>
      <c r="E86" s="26" t="str">
        <f ca="1">IFERROR(__xludf.DUMMYFUNCTION("""COMPUTED_VALUE"""),"New")</f>
        <v>New</v>
      </c>
      <c r="F86" s="27">
        <v>4.0999999999999996</v>
      </c>
      <c r="G86" s="27">
        <v>0</v>
      </c>
    </row>
    <row r="87" spans="3:7" ht="12.5">
      <c r="C87" s="8" t="s">
        <v>3007</v>
      </c>
      <c r="D87" s="25" t="str">
        <f ca="1">IFERROR(__xludf.DUMMYFUNCTION("IFERROR(ARRAYFORMULA(REGEXEXTRACT(C87,""^(?:https?:\/\/)?(?:[^@\n]+@)?(?:www\.)?([^:\/\n]+)"")),"""")"),"howgem.com")</f>
        <v>howgem.com</v>
      </c>
      <c r="E87" s="26" t="str">
        <f ca="1">IFERROR(__xludf.DUMMYFUNCTION("""COMPUTED_VALUE"""),"New")</f>
        <v>New</v>
      </c>
      <c r="F87" s="27">
        <v>1.7</v>
      </c>
      <c r="G87" s="27">
        <v>0</v>
      </c>
    </row>
    <row r="88" spans="3:7" ht="12.5">
      <c r="C88" s="8" t="s">
        <v>3008</v>
      </c>
      <c r="D88" s="25" t="str">
        <f ca="1">IFERROR(__xludf.DUMMYFUNCTION("IFERROR(ARRAYFORMULA(REGEXEXTRACT(C88,""^(?:https?:\/\/)?(?:[^@\n]+@)?(?:www\.)?([^:\/\n]+)"")),"""")"),"thedesigninspiration.com")</f>
        <v>thedesigninspiration.com</v>
      </c>
      <c r="E88" s="26" t="str">
        <f ca="1">IFERROR(__xludf.DUMMYFUNCTION("""COMPUTED_VALUE"""),"New")</f>
        <v>New</v>
      </c>
      <c r="F88" s="27">
        <v>59</v>
      </c>
      <c r="G88" s="27">
        <v>1954</v>
      </c>
    </row>
    <row r="89" spans="3:7" ht="12.5">
      <c r="C89" s="8" t="s">
        <v>3009</v>
      </c>
      <c r="D89" s="25" t="str">
        <f ca="1">IFERROR(__xludf.DUMMYFUNCTION("IFERROR(ARRAYFORMULA(REGEXEXTRACT(C89,""^(?:https?:\/\/)?(?:[^@\n]+@)?(?:www\.)?([^:\/\n]+)"")),"""")"),"globallyinform.com")</f>
        <v>globallyinform.com</v>
      </c>
      <c r="E89" s="26" t="str">
        <f ca="1">IFERROR(__xludf.DUMMYFUNCTION("""COMPUTED_VALUE"""),"New")</f>
        <v>New</v>
      </c>
      <c r="F89" s="27">
        <v>46</v>
      </c>
      <c r="G89" s="27">
        <v>27</v>
      </c>
    </row>
    <row r="90" spans="3:7" ht="12.5">
      <c r="C90" s="8" t="s">
        <v>3010</v>
      </c>
      <c r="D90" s="25" t="str">
        <f ca="1">IFERROR(__xludf.DUMMYFUNCTION("IFERROR(ARRAYFORMULA(REGEXEXTRACT(C90,""^(?:https?:\/\/)?(?:[^@\n]+@)?(?:www\.)?([^:\/\n]+)"")),"""")"),"metaldevastationradio.com")</f>
        <v>metaldevastationradio.com</v>
      </c>
      <c r="E90" s="26" t="str">
        <f ca="1">IFERROR(__xludf.DUMMYFUNCTION("""COMPUTED_VALUE"""),"New")</f>
        <v>New</v>
      </c>
      <c r="F90" s="27">
        <v>61</v>
      </c>
      <c r="G90" s="27">
        <v>1048</v>
      </c>
    </row>
    <row r="91" spans="3:7" ht="12.5">
      <c r="C91" s="8" t="s">
        <v>3011</v>
      </c>
      <c r="D91" s="25" t="str">
        <f ca="1">IFERROR(__xludf.DUMMYFUNCTION("IFERROR(ARRAYFORMULA(REGEXEXTRACT(C91,""^(?:https?:\/\/)?(?:[^@\n]+@)?(?:www\.)?([^:\/\n]+)"")),"""")"),"cyberpulseltd.co.uk")</f>
        <v>cyberpulseltd.co.uk</v>
      </c>
      <c r="E91" s="26" t="str">
        <f ca="1">IFERROR(__xludf.DUMMYFUNCTION("""COMPUTED_VALUE"""),"New")</f>
        <v>New</v>
      </c>
      <c r="F91" s="27">
        <v>8</v>
      </c>
      <c r="G91" s="27">
        <v>19</v>
      </c>
    </row>
    <row r="92" spans="3:7" ht="12.5">
      <c r="C92" s="8" t="s">
        <v>3012</v>
      </c>
      <c r="D92" s="25" t="str">
        <f ca="1">IFERROR(__xludf.DUMMYFUNCTION("IFERROR(ARRAYFORMULA(REGEXEXTRACT(C92,""^(?:https?:\/\/)?(?:[^@\n]+@)?(?:www\.)?([^:\/\n]+)"")),"""")"),"noodlemagazined.com")</f>
        <v>noodlemagazined.com</v>
      </c>
      <c r="E92" s="26" t="str">
        <f ca="1">IFERROR(__xludf.DUMMYFUNCTION("""COMPUTED_VALUE"""),"New")</f>
        <v>New</v>
      </c>
      <c r="F92" s="27">
        <v>61</v>
      </c>
      <c r="G92" s="27">
        <v>32</v>
      </c>
    </row>
    <row r="93" spans="3:7" ht="12.5">
      <c r="C93" s="8" t="s">
        <v>3013</v>
      </c>
      <c r="D93" s="25" t="str">
        <f ca="1">IFERROR(__xludf.DUMMYFUNCTION("IFERROR(ARRAYFORMULA(REGEXEXTRACT(C93,""^(?:https?:\/\/)?(?:[^@\n]+@)?(?:www\.)?([^:\/\n]+)"")),"""")"),"syllablescounter.com")</f>
        <v>syllablescounter.com</v>
      </c>
      <c r="E93" s="26" t="str">
        <f ca="1">IFERROR(__xludf.DUMMYFUNCTION("""COMPUTED_VALUE"""),"New")</f>
        <v>New</v>
      </c>
      <c r="F93" s="27">
        <v>4</v>
      </c>
      <c r="G93" s="27">
        <v>8</v>
      </c>
    </row>
    <row r="94" spans="3:7" ht="12.5">
      <c r="C94" s="8" t="s">
        <v>3014</v>
      </c>
      <c r="D94" s="25" t="str">
        <f ca="1">IFERROR(__xludf.DUMMYFUNCTION("IFERROR(ARRAYFORMULA(REGEXEXTRACT(C94,""^(?:https?:\/\/)?(?:[^@\n]+@)?(?:www\.)?([^:\/\n]+)"")),"""")"),"pixwox.org")</f>
        <v>pixwox.org</v>
      </c>
      <c r="E94" s="26" t="str">
        <f ca="1">IFERROR(__xludf.DUMMYFUNCTION("""COMPUTED_VALUE"""),"New")</f>
        <v>New</v>
      </c>
      <c r="F94" s="27">
        <v>2.8</v>
      </c>
      <c r="G94" s="27">
        <v>0</v>
      </c>
    </row>
    <row r="95" spans="3:7" ht="12.5">
      <c r="C95" s="8" t="s">
        <v>3015</v>
      </c>
      <c r="D95" s="25" t="str">
        <f ca="1">IFERROR(__xludf.DUMMYFUNCTION("IFERROR(ARRAYFORMULA(REGEXEXTRACT(C95,""^(?:https?:\/\/)?(?:[^@\n]+@)?(?:www\.)?([^:\/\n]+)"")),"""")"),"calennox.co.uk")</f>
        <v>calennox.co.uk</v>
      </c>
      <c r="E95" s="26" t="str">
        <f ca="1">IFERROR(__xludf.DUMMYFUNCTION("""COMPUTED_VALUE"""),"New")</f>
        <v>New</v>
      </c>
      <c r="F95" s="27">
        <v>8</v>
      </c>
      <c r="G95" s="27">
        <v>99</v>
      </c>
    </row>
    <row r="96" spans="3:7" ht="12.5">
      <c r="C96" s="8" t="s">
        <v>3016</v>
      </c>
      <c r="D96" s="25" t="str">
        <f ca="1">IFERROR(__xludf.DUMMYFUNCTION("IFERROR(ARRAYFORMULA(REGEXEXTRACT(C96,""^(?:https?:\/\/)?(?:[^@\n]+@)?(?:www\.)?([^:\/\n]+)"")),"""")"),"thegeneralnews.co.uk")</f>
        <v>thegeneralnews.co.uk</v>
      </c>
      <c r="E96" s="26" t="str">
        <f ca="1">IFERROR(__xludf.DUMMYFUNCTION("""COMPUTED_VALUE"""),"New")</f>
        <v>New</v>
      </c>
      <c r="F96" s="27">
        <v>0</v>
      </c>
      <c r="G96" s="27">
        <v>0</v>
      </c>
    </row>
    <row r="97" spans="2:7" ht="12.5">
      <c r="C97" s="8" t="s">
        <v>3017</v>
      </c>
      <c r="D97" s="25" t="str">
        <f ca="1">IFERROR(__xludf.DUMMYFUNCTION("IFERROR(ARRAYFORMULA(REGEXEXTRACT(C97,""^(?:https?:\/\/)?(?:[^@\n]+@)?(?:www\.)?([^:\/\n]+)"")),"""")"),"thebestadvicezone.com")</f>
        <v>thebestadvicezone.com</v>
      </c>
      <c r="E97" s="26" t="str">
        <f ca="1">IFERROR(__xludf.DUMMYFUNCTION("""COMPUTED_VALUE"""),"New")</f>
        <v>New</v>
      </c>
      <c r="F97" s="27">
        <v>0</v>
      </c>
      <c r="G97" s="27">
        <v>0</v>
      </c>
    </row>
    <row r="98" spans="2:7" ht="12.5">
      <c r="C98" s="8" t="s">
        <v>3018</v>
      </c>
      <c r="D98" s="25" t="str">
        <f ca="1">IFERROR(__xludf.DUMMYFUNCTION("IFERROR(ARRAYFORMULA(REGEXEXTRACT(C98,""^(?:https?:\/\/)?(?:[^@\n]+@)?(?:www\.)?([^:\/\n]+)"")),"""")"),"second-fledgling.com")</f>
        <v>second-fledgling.com</v>
      </c>
      <c r="E98" s="26" t="str">
        <f ca="1">IFERROR(__xludf.DUMMYFUNCTION("""COMPUTED_VALUE"""),"New")</f>
        <v>New</v>
      </c>
      <c r="F98" s="27">
        <v>0</v>
      </c>
      <c r="G98" s="27">
        <v>0</v>
      </c>
    </row>
    <row r="99" spans="2:7" ht="12.5">
      <c r="B99" s="27" t="s">
        <v>3019</v>
      </c>
      <c r="C99" s="8" t="s">
        <v>3020</v>
      </c>
      <c r="D99" s="25" t="str">
        <f ca="1">IFERROR(__xludf.DUMMYFUNCTION("IFERROR(ARRAYFORMULA(REGEXEXTRACT(C99,""^(?:https?:\/\/)?(?:[^@\n]+@)?(?:www\.)?([^:\/\n]+)"")),"""")"),"tapinto.net")</f>
        <v>tapinto.net</v>
      </c>
      <c r="E99" s="26" t="str">
        <f ca="1">IFERROR(__xludf.DUMMYFUNCTION("""COMPUTED_VALUE"""),"New")</f>
        <v>New</v>
      </c>
    </row>
    <row r="100" spans="2:7" ht="12.5">
      <c r="C100" s="8" t="s">
        <v>3021</v>
      </c>
      <c r="D100" s="25" t="str">
        <f ca="1">IFERROR(__xludf.DUMMYFUNCTION("IFERROR(ARRAYFORMULA(REGEXEXTRACT(C100,""^(?:https?:\/\/)?(?:[^@\n]+@)?(?:www\.)?([^:\/\n]+)"")),"""")"),"thesunchronicle.com")</f>
        <v>thesunchronicle.com</v>
      </c>
      <c r="E100" s="26" t="str">
        <f ca="1">IFERROR(__xludf.DUMMYFUNCTION("""COMPUTED_VALUE"""),"New")</f>
        <v>New</v>
      </c>
    </row>
    <row r="101" spans="2:7" ht="12.5">
      <c r="C101" s="8" t="s">
        <v>3022</v>
      </c>
      <c r="D101" s="25" t="str">
        <f ca="1">IFERROR(__xludf.DUMMYFUNCTION("IFERROR(ARRAYFORMULA(REGEXEXTRACT(C101,""^(?:https?:\/\/)?(?:[^@\n]+@)?(?:www\.)?([^:\/\n]+)"")),"""")"),"timescall.com")</f>
        <v>timescall.com</v>
      </c>
      <c r="E101" s="26" t="str">
        <f ca="1">IFERROR(__xludf.DUMMYFUNCTION("""COMPUTED_VALUE"""),"New")</f>
        <v>New</v>
      </c>
    </row>
    <row r="102" spans="2:7" ht="12.5">
      <c r="C102" s="8" t="s">
        <v>3023</v>
      </c>
      <c r="D102" s="25" t="str">
        <f ca="1">IFERROR(__xludf.DUMMYFUNCTION("IFERROR(ARRAYFORMULA(REGEXEXTRACT(C102,""^(?:https?:\/\/)?(?:[^@\n]+@)?(?:www\.)?([^:\/\n]+)"")),"""")"),"placester.com")</f>
        <v>placester.com</v>
      </c>
      <c r="E102" s="26" t="str">
        <f ca="1">IFERROR(__xludf.DUMMYFUNCTION("""COMPUTED_VALUE"""),"New")</f>
        <v>New</v>
      </c>
    </row>
    <row r="103" spans="2:7" ht="12.5">
      <c r="C103" s="8" t="s">
        <v>3024</v>
      </c>
      <c r="D103" s="25" t="str">
        <f ca="1">IFERROR(__xludf.DUMMYFUNCTION("IFERROR(ARRAYFORMULA(REGEXEXTRACT(C103,""^(?:https?:\/\/)?(?:[^@\n]+@)?(?:www\.)?([^:\/\n]+)"")),"""")"),"reporterherald.com")</f>
        <v>reporterherald.com</v>
      </c>
      <c r="E103" s="26" t="str">
        <f ca="1">IFERROR(__xludf.DUMMYFUNCTION("""COMPUTED_VALUE"""),"New")</f>
        <v>New</v>
      </c>
    </row>
    <row r="104" spans="2:7" ht="12.5">
      <c r="C104" s="8" t="s">
        <v>3025</v>
      </c>
      <c r="D104" s="25" t="str">
        <f ca="1">IFERROR(__xludf.DUMMYFUNCTION("IFERROR(ARRAYFORMULA(REGEXEXTRACT(C104,""^(?:https?:\/\/)?(?:[^@\n]+@)?(?:www\.)?([^:\/\n]+)"")),"""")"),"sentinelcolorado.com")</f>
        <v>sentinelcolorado.com</v>
      </c>
      <c r="E104" s="26" t="str">
        <f ca="1">IFERROR(__xludf.DUMMYFUNCTION("""COMPUTED_VALUE"""),"New")</f>
        <v>New</v>
      </c>
    </row>
    <row r="105" spans="2:7" ht="12.5">
      <c r="C105" s="8" t="s">
        <v>3026</v>
      </c>
      <c r="D105" s="25" t="str">
        <f ca="1">IFERROR(__xludf.DUMMYFUNCTION("IFERROR(ARRAYFORMULA(REGEXEXTRACT(C105,""^(?:https?:\/\/)?(?:[^@\n]+@)?(?:www\.)?([^:\/\n]+)"")),"""")"),"localrealtyservice.com")</f>
        <v>localrealtyservice.com</v>
      </c>
      <c r="E105" s="26" t="str">
        <f ca="1">IFERROR(__xludf.DUMMYFUNCTION("""COMPUTED_VALUE"""),"New")</f>
        <v>New</v>
      </c>
    </row>
    <row r="106" spans="2:7" ht="12.5">
      <c r="C106" s="8" t="s">
        <v>3027</v>
      </c>
      <c r="D106" s="25" t="str">
        <f ca="1">IFERROR(__xludf.DUMMYFUNCTION("IFERROR(ARRAYFORMULA(REGEXEXTRACT(C106,""^(?:https?:\/\/)?(?:[^@\n]+@)?(?:www\.)?([^:\/\n]+)"")),"""")"),"businessnewstips.com")</f>
        <v>businessnewstips.com</v>
      </c>
      <c r="E106" s="26" t="str">
        <f ca="1">IFERROR(__xludf.DUMMYFUNCTION("""COMPUTED_VALUE"""),"New")</f>
        <v>New</v>
      </c>
    </row>
    <row r="107" spans="2:7" ht="12.5">
      <c r="C107" s="8" t="s">
        <v>3028</v>
      </c>
      <c r="D107" s="25" t="str">
        <f ca="1">IFERROR(__xludf.DUMMYFUNCTION("IFERROR(ARRAYFORMULA(REGEXEXTRACT(C107,""^(?:https?:\/\/)?(?:[^@\n]+@)?(?:www\.)?([^:\/\n]+)"")),"""")"),"surreynowleader.com")</f>
        <v>surreynowleader.com</v>
      </c>
      <c r="E107" s="26" t="str">
        <f ca="1">IFERROR(__xludf.DUMMYFUNCTION("""COMPUTED_VALUE"""),"New")</f>
        <v>New</v>
      </c>
    </row>
    <row r="108" spans="2:7" ht="12.5">
      <c r="C108" s="8" t="s">
        <v>3029</v>
      </c>
      <c r="D108" s="25" t="str">
        <f ca="1">IFERROR(__xludf.DUMMYFUNCTION("IFERROR(ARRAYFORMULA(REGEXEXTRACT(C108,""^(?:https?:\/\/)?(?:[^@\n]+@)?(?:www\.)?([^:\/\n]+)"")),"""")"),"kelownacapnews.com")</f>
        <v>kelownacapnews.com</v>
      </c>
      <c r="E108" s="26" t="str">
        <f ca="1">IFERROR(__xludf.DUMMYFUNCTION("""COMPUTED_VALUE"""),"New")</f>
        <v>New</v>
      </c>
    </row>
    <row r="109" spans="2:7" ht="12.5">
      <c r="C109" s="8" t="s">
        <v>3030</v>
      </c>
      <c r="D109" s="25" t="str">
        <f ca="1">IFERROR(__xludf.DUMMYFUNCTION("IFERROR(ARRAYFORMULA(REGEXEXTRACT(C109,""^(?:https?:\/\/)?(?:[^@\n]+@)?(?:www\.)?([^:\/\n]+)"")),"""")"),"debtfreedr.com")</f>
        <v>debtfreedr.com</v>
      </c>
      <c r="E109" s="26" t="str">
        <f ca="1">IFERROR(__xludf.DUMMYFUNCTION("""COMPUTED_VALUE"""),"New")</f>
        <v>New</v>
      </c>
    </row>
    <row r="110" spans="2:7" ht="12.5">
      <c r="C110" s="8" t="s">
        <v>3031</v>
      </c>
      <c r="D110" s="25" t="str">
        <f ca="1">IFERROR(__xludf.DUMMYFUNCTION("IFERROR(ARRAYFORMULA(REGEXEXTRACT(C110,""^(?:https?:\/\/)?(?:[^@\n]+@)?(?:www\.)?([^:\/\n]+)"")),"""")"),"perkinscoie.com")</f>
        <v>perkinscoie.com</v>
      </c>
      <c r="E110" s="26" t="str">
        <f ca="1">IFERROR(__xludf.DUMMYFUNCTION("""COMPUTED_VALUE"""),"New")</f>
        <v>New</v>
      </c>
    </row>
    <row r="111" spans="2:7" ht="12.5">
      <c r="C111" s="8" t="s">
        <v>3032</v>
      </c>
      <c r="D111" s="25" t="str">
        <f ca="1">IFERROR(__xludf.DUMMYFUNCTION("IFERROR(ARRAYFORMULA(REGEXEXTRACT(C111,""^(?:https?:\/\/)?(?:[^@\n]+@)?(?:www\.)?([^:\/\n]+)"")),"""")"),"langleyadvancetimes.com")</f>
        <v>langleyadvancetimes.com</v>
      </c>
      <c r="E111" s="26" t="str">
        <f ca="1">IFERROR(__xludf.DUMMYFUNCTION("""COMPUTED_VALUE"""),"New")</f>
        <v>New</v>
      </c>
    </row>
    <row r="112" spans="2:7" ht="12.5">
      <c r="C112" s="8" t="s">
        <v>3033</v>
      </c>
      <c r="D112" s="25" t="str">
        <f ca="1">IFERROR(__xludf.DUMMYFUNCTION("IFERROR(ARRAYFORMULA(REGEXEXTRACT(C112,""^(?:https?:\/\/)?(?:[^@\n]+@)?(?:www\.)?([^:\/\n]+)"")),"""")"),"williampitt.com")</f>
        <v>williampitt.com</v>
      </c>
      <c r="E112" s="26" t="str">
        <f ca="1">IFERROR(__xludf.DUMMYFUNCTION("""COMPUTED_VALUE"""),"New")</f>
        <v>New</v>
      </c>
    </row>
    <row r="113" spans="3:7" ht="12.5">
      <c r="C113" s="8" t="s">
        <v>3034</v>
      </c>
      <c r="D113" s="25" t="str">
        <f ca="1">IFERROR(__xludf.DUMMYFUNCTION("IFERROR(ARRAYFORMULA(REGEXEXTRACT(C113,""^(?:https?:\/\/)?(?:[^@\n]+@)?(?:www\.)?([^:\/\n]+)"")),"""")"),"hmbreview.com")</f>
        <v>hmbreview.com</v>
      </c>
      <c r="E113" s="26" t="str">
        <f ca="1">IFERROR(__xludf.DUMMYFUNCTION("""COMPUTED_VALUE"""),"New")</f>
        <v>New</v>
      </c>
    </row>
    <row r="114" spans="3:7" ht="12.5">
      <c r="C114" s="8" t="s">
        <v>3035</v>
      </c>
      <c r="D114" s="25" t="str">
        <f ca="1">IFERROR(__xludf.DUMMYFUNCTION("IFERROR(ARRAYFORMULA(REGEXEXTRACT(C114,""^(?:https?:\/\/)?(?:[^@\n]+@)?(?:www\.)?([^:\/\n]+)"")),"""")"),"sportico.com")</f>
        <v>sportico.com</v>
      </c>
      <c r="E114" s="26" t="str">
        <f ca="1">IFERROR(__xludf.DUMMYFUNCTION("""COMPUTED_VALUE"""),"New")</f>
        <v>New</v>
      </c>
    </row>
    <row r="115" spans="3:7" ht="12.5">
      <c r="C115" s="8" t="s">
        <v>3036</v>
      </c>
      <c r="D115" s="25" t="str">
        <f ca="1">IFERROR(__xludf.DUMMYFUNCTION("IFERROR(ARRAYFORMULA(REGEXEXTRACT(C115,""^(?:https?:\/\/)?(?:[^@\n]+@)?(?:www\.)?([^:\/\n]+)"")),"""")"),"thetomkatstudio.com")</f>
        <v>thetomkatstudio.com</v>
      </c>
      <c r="E115" s="26" t="str">
        <f ca="1">IFERROR(__xludf.DUMMYFUNCTION("""COMPUTED_VALUE"""),"New")</f>
        <v>New</v>
      </c>
    </row>
    <row r="116" spans="3:7" ht="12.5">
      <c r="C116" s="8" t="s">
        <v>3037</v>
      </c>
      <c r="D116" s="25" t="str">
        <f ca="1">IFERROR(__xludf.DUMMYFUNCTION("IFERROR(ARRAYFORMULA(REGEXEXTRACT(C116,""^(?:https?:\/\/)?(?:[^@\n]+@)?(?:www\.)?([^:\/\n]+)"")),"""")"),"appraisalinstitute.org")</f>
        <v>appraisalinstitute.org</v>
      </c>
      <c r="E116" s="26" t="str">
        <f ca="1">IFERROR(__xludf.DUMMYFUNCTION("""COMPUTED_VALUE"""),"New")</f>
        <v>New</v>
      </c>
    </row>
    <row r="117" spans="3:7" ht="12.5">
      <c r="C117" s="8" t="s">
        <v>3038</v>
      </c>
      <c r="D117" s="25" t="str">
        <f ca="1">IFERROR(__xludf.DUMMYFUNCTION("IFERROR(ARRAYFORMULA(REGEXEXTRACT(C117,""^(?:https?:\/\/)?(?:[^@\n]+@)?(?:www\.)?([^:\/\n]+)"")),"""")"),"cpbj.com")</f>
        <v>cpbj.com</v>
      </c>
      <c r="E117" s="26" t="str">
        <f ca="1">IFERROR(__xludf.DUMMYFUNCTION("""COMPUTED_VALUE"""),"New")</f>
        <v>New</v>
      </c>
    </row>
    <row r="118" spans="3:7" ht="12.5">
      <c r="C118" s="8" t="s">
        <v>3039</v>
      </c>
      <c r="D118" s="25" t="str">
        <f ca="1">IFERROR(__xludf.DUMMYFUNCTION("IFERROR(ARRAYFORMULA(REGEXEXTRACT(C118,""^(?:https?:\/\/)?(?:[^@\n]+@)?(?:www\.)?([^:\/\n]+)"")),"""")"),"realtyexecutives.com")</f>
        <v>realtyexecutives.com</v>
      </c>
      <c r="E118" s="26" t="str">
        <f ca="1">IFERROR(__xludf.DUMMYFUNCTION("""COMPUTED_VALUE"""),"New")</f>
        <v>New</v>
      </c>
    </row>
    <row r="119" spans="3:7" ht="12.5">
      <c r="C119" s="8" t="s">
        <v>3040</v>
      </c>
      <c r="D119" s="25" t="str">
        <f ca="1">IFERROR(__xludf.DUMMYFUNCTION("IFERROR(ARRAYFORMULA(REGEXEXTRACT(C119,""^(?:https?:\/\/)?(?:[^@\n]+@)?(?:www\.)?([^:\/\n]+)"")),"""")"),"comoxvalleyrecord.com")</f>
        <v>comoxvalleyrecord.com</v>
      </c>
      <c r="E119" s="26" t="str">
        <f ca="1">IFERROR(__xludf.DUMMYFUNCTION("""COMPUTED_VALUE"""),"New")</f>
        <v>New</v>
      </c>
    </row>
    <row r="120" spans="3:7" ht="12.5">
      <c r="C120" s="8" t="s">
        <v>3041</v>
      </c>
      <c r="D120" s="25" t="str">
        <f ca="1">IFERROR(__xludf.DUMMYFUNCTION("IFERROR(ARRAYFORMULA(REGEXEXTRACT(C120,""^(?:https?:\/\/)?(?:[^@\n]+@)?(?:www\.)?([^:\/\n]+)"")),"""")"),"cottagesgardens.com")</f>
        <v>cottagesgardens.com</v>
      </c>
      <c r="E120" s="26" t="str">
        <f ca="1">IFERROR(__xludf.DUMMYFUNCTION("""COMPUTED_VALUE"""),"New")</f>
        <v>New</v>
      </c>
    </row>
    <row r="121" spans="3:7" ht="12.5">
      <c r="C121" s="8" t="s">
        <v>3042</v>
      </c>
      <c r="D121" s="25" t="str">
        <f ca="1">IFERROR(__xludf.DUMMYFUNCTION("IFERROR(ARRAYFORMULA(REGEXEXTRACT(C121,""^(?:https?:\/\/)?(?:[^@\n]+@)?(?:www\.)?([^:\/\n]+)"")),"""")"),"fortunebuilders.com")</f>
        <v>fortunebuilders.com</v>
      </c>
      <c r="E121" s="26" t="str">
        <f ca="1">IFERROR(__xludf.DUMMYFUNCTION("""COMPUTED_VALUE"""),"New")</f>
        <v>New</v>
      </c>
    </row>
    <row r="122" spans="3:7" ht="12.5">
      <c r="C122" s="8" t="s">
        <v>3043</v>
      </c>
      <c r="D122" s="25" t="str">
        <f ca="1">IFERROR(__xludf.DUMMYFUNCTION("IFERROR(ARRAYFORMULA(REGEXEXTRACT(C122,""^(?:https?:\/\/)?(?:[^@\n]+@)?(?:www\.)?([^:\/\n]+)"")),"""")"),"alamosanews.com")</f>
        <v>alamosanews.com</v>
      </c>
      <c r="E122" s="26" t="str">
        <f ca="1">IFERROR(__xludf.DUMMYFUNCTION("""COMPUTED_VALUE"""),"New")</f>
        <v>New</v>
      </c>
    </row>
    <row r="123" spans="3:7" ht="12.5">
      <c r="C123" s="8" t="s">
        <v>3044</v>
      </c>
      <c r="D123" s="25" t="str">
        <f ca="1">IFERROR(__xludf.DUMMYFUNCTION("IFERROR(ARRAYFORMULA(REGEXEXTRACT(C123,""^(?:https?:\/\/)?(?:[^@\n]+@)?(?:www\.)?([^:\/\n]+)"")),"""")"),"irem.org")</f>
        <v>irem.org</v>
      </c>
      <c r="E123" s="26" t="str">
        <f ca="1">IFERROR(__xludf.DUMMYFUNCTION("""COMPUTED_VALUE"""),"New")</f>
        <v>New</v>
      </c>
    </row>
    <row r="124" spans="3:7" ht="12.5" hidden="1">
      <c r="C124" s="8" t="s">
        <v>3045</v>
      </c>
      <c r="D124" s="25" t="str">
        <f ca="1">IFERROR(__xludf.DUMMYFUNCTION("IFERROR(ARRAYFORMULA(REGEXEXTRACT(C124,""^(?:https?:\/\/)?(?:[^@\n]+@)?(?:www\.)?([^:\/\n]+)"")),"""")"),"homesgofast.com")</f>
        <v>homesgofast.com</v>
      </c>
      <c r="E124" s="26" t="str">
        <f ca="1">IFERROR(__xludf.DUMMYFUNCTION("""COMPUTED_VALUE"""),"Already Exists")</f>
        <v>Already Exists</v>
      </c>
      <c r="F124" s="27">
        <v>34</v>
      </c>
      <c r="G124" s="27">
        <v>102</v>
      </c>
    </row>
    <row r="125" spans="3:7" ht="12.5">
      <c r="C125" s="8" t="s">
        <v>3046</v>
      </c>
      <c r="D125" s="25" t="str">
        <f ca="1">IFERROR(__xludf.DUMMYFUNCTION("IFERROR(ARRAYFORMULA(REGEXEXTRACT(C125,""^(?:https?:\/\/)?(?:[^@\n]+@)?(?:www\.)?([^:\/\n]+)"")),"""")"),"theprogress.com")</f>
        <v>theprogress.com</v>
      </c>
      <c r="E125" s="26" t="str">
        <f ca="1">IFERROR(__xludf.DUMMYFUNCTION("""COMPUTED_VALUE"""),"New")</f>
        <v>New</v>
      </c>
      <c r="F125" s="27">
        <v>61</v>
      </c>
      <c r="G125" s="27">
        <v>8200</v>
      </c>
    </row>
    <row r="126" spans="3:7" ht="12.5">
      <c r="C126" s="8" t="s">
        <v>3047</v>
      </c>
      <c r="D126" s="25" t="str">
        <f ca="1">IFERROR(__xludf.DUMMYFUNCTION("IFERROR(ARRAYFORMULA(REGEXEXTRACT(C126,""^(?:https?:\/\/)?(?:[^@\n]+@)?(?:www\.)?([^:\/\n]+)"")),"""")"),"chicagoagentmagazine.com")</f>
        <v>chicagoagentmagazine.com</v>
      </c>
      <c r="E126" s="26" t="str">
        <f ca="1">IFERROR(__xludf.DUMMYFUNCTION("""COMPUTED_VALUE"""),"New")</f>
        <v>New</v>
      </c>
      <c r="F126" s="27">
        <v>65</v>
      </c>
      <c r="G126" s="27">
        <v>3000</v>
      </c>
    </row>
    <row r="127" spans="3:7" ht="12.5">
      <c r="C127" s="8" t="s">
        <v>3048</v>
      </c>
      <c r="D127" s="25" t="str">
        <f ca="1">IFERROR(__xludf.DUMMYFUNCTION("IFERROR(ARRAYFORMULA(REGEXEXTRACT(C127,""^(?:https?:\/\/)?(?:[^@\n]+@)?(?:www\.)?([^:\/\n]+)"")),"""")"),"mapleridgenews.com")</f>
        <v>mapleridgenews.com</v>
      </c>
      <c r="E127" s="26" t="str">
        <f ca="1">IFERROR(__xludf.DUMMYFUNCTION("""COMPUTED_VALUE"""),"New")</f>
        <v>New</v>
      </c>
      <c r="F127" s="27">
        <v>63</v>
      </c>
      <c r="G127" s="30">
        <v>11800</v>
      </c>
    </row>
    <row r="128" spans="3:7" ht="12.5">
      <c r="C128" s="8" t="s">
        <v>3049</v>
      </c>
      <c r="D128" s="25" t="str">
        <f ca="1">IFERROR(__xludf.DUMMYFUNCTION("IFERROR(ARRAYFORMULA(REGEXEXTRACT(C128,""^(?:https?:\/\/)?(?:[^@\n]+@)?(?:www\.)?([^:\/\n]+)"")),"""")"),"pentictonwesternnews.com")</f>
        <v>pentictonwesternnews.com</v>
      </c>
      <c r="E128" s="26" t="str">
        <f ca="1">IFERROR(__xludf.DUMMYFUNCTION("""COMPUTED_VALUE"""),"New")</f>
        <v>New</v>
      </c>
      <c r="F128" s="27">
        <v>56</v>
      </c>
      <c r="G128" s="27">
        <v>3800</v>
      </c>
    </row>
    <row r="129" spans="3:7" ht="12.5">
      <c r="C129" s="8" t="s">
        <v>3050</v>
      </c>
      <c r="D129" s="25" t="str">
        <f ca="1">IFERROR(__xludf.DUMMYFUNCTION("IFERROR(ARRAYFORMULA(REGEXEXTRACT(C129,""^(?:https?:\/\/)?(?:[^@\n]+@)?(?:www\.)?([^:\/\n]+)"")),"""")"),"cowichanvalleycitizen.com")</f>
        <v>cowichanvalleycitizen.com</v>
      </c>
      <c r="E129" s="26" t="str">
        <f ca="1">IFERROR(__xludf.DUMMYFUNCTION("""COMPUTED_VALUE"""),"New")</f>
        <v>New</v>
      </c>
      <c r="F129" s="27">
        <v>55</v>
      </c>
      <c r="G129" s="27">
        <v>3300</v>
      </c>
    </row>
    <row r="130" spans="3:7" ht="12.5">
      <c r="C130" s="8" t="s">
        <v>3051</v>
      </c>
      <c r="D130" s="25" t="str">
        <f ca="1">IFERROR(__xludf.DUMMYFUNCTION("IFERROR(ARRAYFORMULA(REGEXEXTRACT(C130,""^(?:https?:\/\/)?(?:[^@\n]+@)?(?:www\.)?([^:\/\n]+)"")),"""")"),"beverly-hanks.com")</f>
        <v>beverly-hanks.com</v>
      </c>
      <c r="E130" s="26" t="str">
        <f ca="1">IFERROR(__xludf.DUMMYFUNCTION("""COMPUTED_VALUE"""),"New")</f>
        <v>New</v>
      </c>
      <c r="F130" s="27">
        <v>63</v>
      </c>
      <c r="G130" s="30">
        <v>24800</v>
      </c>
    </row>
    <row r="131" spans="3:7" ht="12.5">
      <c r="C131" s="8" t="s">
        <v>3052</v>
      </c>
      <c r="D131" s="25" t="str">
        <f ca="1">IFERROR(__xludf.DUMMYFUNCTION("IFERROR(ARRAYFORMULA(REGEXEXTRACT(C131,""^(?:https?:\/\/)?(?:[^@\n]+@)?(?:www\.)?([^:\/\n]+)"")),"""")"),"hobokengirl.com")</f>
        <v>hobokengirl.com</v>
      </c>
      <c r="E131" s="26" t="str">
        <f ca="1">IFERROR(__xludf.DUMMYFUNCTION("""COMPUTED_VALUE"""),"New")</f>
        <v>New</v>
      </c>
      <c r="F131" s="27">
        <v>68</v>
      </c>
      <c r="G131" s="30">
        <v>24400</v>
      </c>
    </row>
    <row r="132" spans="3:7" ht="12.5">
      <c r="C132" s="8" t="s">
        <v>3053</v>
      </c>
      <c r="D132" s="25" t="str">
        <f ca="1">IFERROR(__xludf.DUMMYFUNCTION("IFERROR(ARRAYFORMULA(REGEXEXTRACT(C132,""^(?:https?:\/\/)?(?:[^@\n]+@)?(?:www\.)?([^:\/\n]+)"")),"""")"),"islandfreepress.org")</f>
        <v>islandfreepress.org</v>
      </c>
      <c r="E132" s="26" t="str">
        <f ca="1">IFERROR(__xludf.DUMMYFUNCTION("""COMPUTED_VALUE"""),"New")</f>
        <v>New</v>
      </c>
      <c r="F132" s="27">
        <v>54</v>
      </c>
      <c r="G132" s="27">
        <v>5300</v>
      </c>
    </row>
    <row r="133" spans="3:7" ht="12.5">
      <c r="C133" s="8" t="s">
        <v>3054</v>
      </c>
      <c r="D133" s="25" t="str">
        <f ca="1">IFERROR(__xludf.DUMMYFUNCTION("IFERROR(ARRAYFORMULA(REGEXEXTRACT(C133,""^(?:https?:\/\/)?(?:[^@\n]+@)?(?:www\.)?([^:\/\n]+)"")),"""")"),"albernivalleynews.com")</f>
        <v>albernivalleynews.com</v>
      </c>
      <c r="E133" s="26" t="str">
        <f ca="1">IFERROR(__xludf.DUMMYFUNCTION("""COMPUTED_VALUE"""),"New")</f>
        <v>New</v>
      </c>
      <c r="F133" s="27">
        <v>52</v>
      </c>
      <c r="G133" s="27">
        <v>4100</v>
      </c>
    </row>
    <row r="134" spans="3:7" ht="12.5">
      <c r="C134" s="8" t="s">
        <v>3055</v>
      </c>
      <c r="D134" s="25" t="str">
        <f ca="1">IFERROR(__xludf.DUMMYFUNCTION("IFERROR(ARRAYFORMULA(REGEXEXTRACT(C134,""^(?:https?:\/\/)?(?:[^@\n]+@)?(?:www\.)?([^:\/\n]+)"")),"""")"),"narpm.org")</f>
        <v>narpm.org</v>
      </c>
      <c r="E134" s="26" t="str">
        <f ca="1">IFERROR(__xludf.DUMMYFUNCTION("""COMPUTED_VALUE"""),"New")</f>
        <v>New</v>
      </c>
      <c r="F134" s="27">
        <v>73</v>
      </c>
      <c r="G134" s="30">
        <v>7900</v>
      </c>
    </row>
    <row r="135" spans="3:7" ht="12.5">
      <c r="C135" s="8" t="s">
        <v>3056</v>
      </c>
      <c r="D135" s="25" t="str">
        <f ca="1">IFERROR(__xludf.DUMMYFUNCTION("IFERROR(ARRAYFORMULA(REGEXEXTRACT(C135,""^(?:https?:\/\/)?(?:[^@\n]+@)?(?:www\.)?([^:\/\n]+)"")),"""")"),"northforker.com")</f>
        <v>northforker.com</v>
      </c>
      <c r="E135" s="26" t="str">
        <f ca="1">IFERROR(__xludf.DUMMYFUNCTION("""COMPUTED_VALUE"""),"New")</f>
        <v>New</v>
      </c>
      <c r="F135" s="27">
        <v>62</v>
      </c>
      <c r="G135" s="30">
        <v>3600</v>
      </c>
    </row>
    <row r="136" spans="3:7" ht="12.5">
      <c r="C136" s="8" t="s">
        <v>3057</v>
      </c>
      <c r="D136" s="25" t="str">
        <f ca="1">IFERROR(__xludf.DUMMYFUNCTION("IFERROR(ARRAYFORMULA(REGEXEXTRACT(C136,""^(?:https?:\/\/)?(?:[^@\n]+@)?(?:www\.)?([^:\/\n]+)"")),"""")"),"sparkrental.com")</f>
        <v>sparkrental.com</v>
      </c>
      <c r="E136" s="26" t="str">
        <f ca="1">IFERROR(__xludf.DUMMYFUNCTION("""COMPUTED_VALUE"""),"New")</f>
        <v>New</v>
      </c>
      <c r="F136" s="27">
        <v>55</v>
      </c>
      <c r="G136" s="30">
        <v>4800</v>
      </c>
    </row>
    <row r="137" spans="3:7" ht="12.5">
      <c r="C137" s="8" t="s">
        <v>3058</v>
      </c>
      <c r="D137" s="25" t="str">
        <f ca="1">IFERROR(__xludf.DUMMYFUNCTION("IFERROR(ARRAYFORMULA(REGEXEXTRACT(C137,""^(?:https?:\/\/)?(?:[^@\n]+@)?(?:www\.)?([^:\/\n]+)"")),"""")"),"thenorthernview.com")</f>
        <v>thenorthernview.com</v>
      </c>
      <c r="E137" s="26" t="str">
        <f ca="1">IFERROR(__xludf.DUMMYFUNCTION("""COMPUTED_VALUE"""),"New")</f>
        <v>New</v>
      </c>
      <c r="F137" s="27">
        <v>52</v>
      </c>
      <c r="G137" s="27">
        <v>3100</v>
      </c>
    </row>
    <row r="138" spans="3:7" ht="12.5">
      <c r="C138" s="8" t="s">
        <v>3059</v>
      </c>
      <c r="D138" s="25" t="str">
        <f ca="1">IFERROR(__xludf.DUMMYFUNCTION("IFERROR(ARRAYFORMULA(REGEXEXTRACT(C138,""^(?:https?:\/\/)?(?:[^@\n]+@)?(?:www\.)?([^:\/\n]+)"")),"""")"),"aldergrovestar.com")</f>
        <v>aldergrovestar.com</v>
      </c>
      <c r="E138" s="26" t="str">
        <f ca="1">IFERROR(__xludf.DUMMYFUNCTION("""COMPUTED_VALUE"""),"New")</f>
        <v>New</v>
      </c>
      <c r="F138" s="27">
        <v>50</v>
      </c>
      <c r="G138" s="27">
        <v>3000</v>
      </c>
    </row>
    <row r="139" spans="3:7" ht="12.5">
      <c r="C139" s="8" t="s">
        <v>3060</v>
      </c>
      <c r="D139" s="25" t="str">
        <f ca="1">IFERROR(__xludf.DUMMYFUNCTION("IFERROR(ARRAYFORMULA(REGEXEXTRACT(C139,""^(?:https?:\/\/)?(?:[^@\n]+@)?(?:www\.)?([^:\/\n]+)"")),"""")"),"cloverdalereporter.com")</f>
        <v>cloverdalereporter.com</v>
      </c>
      <c r="E139" s="26" t="str">
        <f ca="1">IFERROR(__xludf.DUMMYFUNCTION("""COMPUTED_VALUE"""),"New")</f>
        <v>New</v>
      </c>
      <c r="F139" s="27">
        <v>46</v>
      </c>
      <c r="G139" s="27">
        <v>1000</v>
      </c>
    </row>
    <row r="140" spans="3:7" ht="12.5">
      <c r="C140" s="8" t="s">
        <v>3061</v>
      </c>
      <c r="D140" s="25" t="str">
        <f ca="1">IFERROR(__xludf.DUMMYFUNCTION("IFERROR(ARRAYFORMULA(REGEXEXTRACT(C140,""^(?:https?:\/\/)?(?:[^@\n]+@)?(?:www\.)?([^:\/\n]+)"")),"""")"),"peerstreet.com")</f>
        <v>peerstreet.com</v>
      </c>
      <c r="E140" s="26" t="str">
        <f ca="1">IFERROR(__xludf.DUMMYFUNCTION("""COMPUTED_VALUE"""),"New")</f>
        <v>New</v>
      </c>
      <c r="F140" s="27">
        <v>47</v>
      </c>
      <c r="G140" s="27">
        <v>1500</v>
      </c>
    </row>
    <row r="141" spans="3:7" ht="12.5">
      <c r="C141" s="8" t="s">
        <v>3062</v>
      </c>
      <c r="D141" s="25" t="str">
        <f ca="1">IFERROR(__xludf.DUMMYFUNCTION("IFERROR(ARRAYFORMULA(REGEXEXTRACT(C141,""^(?:https?:\/\/)?(?:[^@\n]+@)?(?:www\.)?([^:\/\n]+)"")),"""")"),"oakbaynews.com")</f>
        <v>oakbaynews.com</v>
      </c>
      <c r="E141" s="26" t="str">
        <f ca="1">IFERROR(__xludf.DUMMYFUNCTION("""COMPUTED_VALUE"""),"New")</f>
        <v>New</v>
      </c>
      <c r="F141" s="27">
        <v>53</v>
      </c>
      <c r="G141" s="27">
        <v>1200</v>
      </c>
    </row>
    <row r="142" spans="3:7" ht="12.5">
      <c r="C142" s="8" t="s">
        <v>3063</v>
      </c>
      <c r="D142" s="25" t="str">
        <f ca="1">IFERROR(__xludf.DUMMYFUNCTION("IFERROR(ARRAYFORMULA(REGEXEXTRACT(C142,""^(?:https?:\/\/)?(?:[^@\n]+@)?(?:www\.)?([^:\/\n]+)"")),"""")"),"saanichnews.com")</f>
        <v>saanichnews.com</v>
      </c>
      <c r="E142" s="26" t="str">
        <f ca="1">IFERROR(__xludf.DUMMYFUNCTION("""COMPUTED_VALUE"""),"New")</f>
        <v>New</v>
      </c>
      <c r="F142" s="27">
        <v>60</v>
      </c>
      <c r="G142" s="27">
        <v>1500</v>
      </c>
    </row>
    <row r="143" spans="3:7" ht="12.5">
      <c r="C143" s="8" t="s">
        <v>3064</v>
      </c>
      <c r="D143" s="25" t="str">
        <f ca="1">IFERROR(__xludf.DUMMYFUNCTION("IFERROR(ARRAYFORMULA(REGEXEXTRACT(C143,""^(?:https?:\/\/)?(?:[^@\n]+@)?(?:www\.)?([^:\/\n]+)"")),"""")"),"rochesterrealestateblog.com")</f>
        <v>rochesterrealestateblog.com</v>
      </c>
      <c r="E143" s="26" t="str">
        <f ca="1">IFERROR(__xludf.DUMMYFUNCTION("""COMPUTED_VALUE"""),"New")</f>
        <v>New</v>
      </c>
      <c r="F143" s="27">
        <v>53</v>
      </c>
      <c r="G143" s="27">
        <v>323</v>
      </c>
    </row>
    <row r="144" spans="3:7" ht="12.5">
      <c r="C144" s="8" t="s">
        <v>3065</v>
      </c>
      <c r="D144" s="25" t="str">
        <f ca="1">IFERROR(__xludf.DUMMYFUNCTION("IFERROR(ARRAYFORMULA(REGEXEXTRACT(C144,""^(?:https?:\/\/)?(?:[^@\n]+@)?(?:www\.)?([^:\/\n]+)"")),"""")"),"haltonpardee.com")</f>
        <v>haltonpardee.com</v>
      </c>
      <c r="E144" s="26" t="str">
        <f ca="1">IFERROR(__xludf.DUMMYFUNCTION("""COMPUTED_VALUE"""),"New")</f>
        <v>New</v>
      </c>
      <c r="F144" s="27">
        <v>41</v>
      </c>
      <c r="G144" s="27">
        <v>828</v>
      </c>
    </row>
    <row r="145" spans="3:7" ht="12.5">
      <c r="C145" s="8" t="s">
        <v>3066</v>
      </c>
      <c r="D145" s="25" t="str">
        <f ca="1">IFERROR(__xludf.DUMMYFUNCTION("IFERROR(ARRAYFORMULA(REGEXEXTRACT(C145,""^(?:https?:\/\/)?(?:[^@\n]+@)?(?:www\.)?([^:\/\n]+)"")),"""")"),"missioncityrecord.com")</f>
        <v>missioncityrecord.com</v>
      </c>
      <c r="E145" s="26" t="str">
        <f ca="1">IFERROR(__xludf.DUMMYFUNCTION("""COMPUTED_VALUE"""),"New")</f>
        <v>New</v>
      </c>
      <c r="F145" s="27">
        <v>52</v>
      </c>
      <c r="G145" s="27">
        <v>4700</v>
      </c>
    </row>
    <row r="146" spans="3:7" ht="12.5">
      <c r="C146" s="8" t="s">
        <v>3067</v>
      </c>
      <c r="D146" s="25" t="str">
        <f ca="1">IFERROR(__xludf.DUMMYFUNCTION("IFERROR(ARRAYFORMULA(REGEXEXTRACT(C146,""^(?:https?:\/\/)?(?:[^@\n]+@)?(?:www\.)?([^:\/\n]+)"")),"""")"),"homie.com")</f>
        <v>homie.com</v>
      </c>
      <c r="E146" s="26" t="str">
        <f ca="1">IFERROR(__xludf.DUMMYFUNCTION("""COMPUTED_VALUE"""),"New")</f>
        <v>New</v>
      </c>
      <c r="F146" s="27">
        <v>52</v>
      </c>
      <c r="G146" s="27">
        <v>2700</v>
      </c>
    </row>
    <row r="147" spans="3:7" ht="12.5">
      <c r="C147" s="8" t="s">
        <v>3068</v>
      </c>
      <c r="D147" s="25" t="str">
        <f ca="1">IFERROR(__xludf.DUMMYFUNCTION("IFERROR(ARRAYFORMULA(REGEXEXTRACT(C147,""^(?:https?:\/\/)?(?:[^@\n]+@)?(?:www\.)?([^:\/\n]+)"")),"""")"),"land.com")</f>
        <v>land.com</v>
      </c>
      <c r="E147" s="26" t="str">
        <f ca="1">IFERROR(__xludf.DUMMYFUNCTION("""COMPUTED_VALUE"""),"New")</f>
        <v>New</v>
      </c>
      <c r="F147" s="27">
        <v>71</v>
      </c>
      <c r="G147" s="27">
        <v>4000</v>
      </c>
    </row>
    <row r="148" spans="3:7" ht="12.5" hidden="1">
      <c r="C148" s="8" t="s">
        <v>3069</v>
      </c>
      <c r="D148" s="25" t="str">
        <f ca="1">IFERROR(__xludf.DUMMYFUNCTION("IFERROR(ARRAYFORMULA(REGEXEXTRACT(C148,""^(?:https?:\/\/)?(?:[^@\n]+@)?(?:www\.)?([^:\/\n]+)"")),"""")"),"realestatemagazine.ca")</f>
        <v>realestatemagazine.ca</v>
      </c>
      <c r="E148" s="26" t="str">
        <f ca="1">IFERROR(__xludf.DUMMYFUNCTION("""COMPUTED_VALUE"""),"Already Exists")</f>
        <v>Already Exists</v>
      </c>
      <c r="F148" s="27">
        <v>67</v>
      </c>
      <c r="G148" s="27">
        <v>2400</v>
      </c>
    </row>
    <row r="149" spans="3:7" ht="12.5">
      <c r="C149" s="8" t="s">
        <v>3070</v>
      </c>
      <c r="D149" s="25" t="str">
        <f ca="1">IFERROR(__xludf.DUMMYFUNCTION("IFERROR(ARRAYFORMULA(REGEXEXTRACT(C149,""^(?:https?:\/\/)?(?:[^@\n]+@)?(?:www\.)?([^:\/\n]+)"")),"""")"),"agassizharrisonobserver.com")</f>
        <v>agassizharrisonobserver.com</v>
      </c>
      <c r="E149" s="26" t="str">
        <f ca="1">IFERROR(__xludf.DUMMYFUNCTION("""COMPUTED_VALUE"""),"New")</f>
        <v>New</v>
      </c>
      <c r="F149" s="27">
        <v>44</v>
      </c>
      <c r="G149" s="27">
        <v>666</v>
      </c>
    </row>
    <row r="150" spans="3:7" ht="12.5">
      <c r="C150" s="8" t="s">
        <v>3071</v>
      </c>
      <c r="D150" s="25" t="str">
        <f ca="1">IFERROR(__xludf.DUMMYFUNCTION("IFERROR(ARRAYFORMULA(REGEXEXTRACT(C150,""^(?:https?:\/\/)?(?:[^@\n]+@)?(?:www\.)?([^:\/\n]+)"")),"""")"),"westerlynews.ca")</f>
        <v>westerlynews.ca</v>
      </c>
      <c r="E150" s="26" t="str">
        <f ca="1">IFERROR(__xludf.DUMMYFUNCTION("""COMPUTED_VALUE"""),"New")</f>
        <v>New</v>
      </c>
      <c r="F150" s="27">
        <v>47</v>
      </c>
      <c r="G150" s="27">
        <v>765</v>
      </c>
    </row>
    <row r="151" spans="3:7" ht="12.5">
      <c r="C151" s="8" t="s">
        <v>3072</v>
      </c>
      <c r="D151" s="25" t="str">
        <f ca="1">IFERROR(__xludf.DUMMYFUNCTION("IFERROR(ARRAYFORMULA(REGEXEXTRACT(C151,""^(?:https?:\/\/)?(?:[^@\n]+@)?(?:www\.)?([^:\/\n]+)"")),"""")"),"cityhomecollective.com")</f>
        <v>cityhomecollective.com</v>
      </c>
      <c r="E151" s="26" t="str">
        <f ca="1">IFERROR(__xludf.DUMMYFUNCTION("""COMPUTED_VALUE"""),"New")</f>
        <v>New</v>
      </c>
      <c r="F151" s="27">
        <v>47</v>
      </c>
      <c r="G151" s="27">
        <v>930</v>
      </c>
    </row>
    <row r="152" spans="3:7" ht="12.5">
      <c r="C152" s="8" t="s">
        <v>3073</v>
      </c>
      <c r="D152" s="25" t="str">
        <f ca="1">IFERROR(__xludf.DUMMYFUNCTION("IFERROR(ARRAYFORMULA(REGEXEXTRACT(C152,""^(?:https?:\/\/)?(?:[^@\n]+@)?(?:www\.)?([^:\/\n]+)"")),"""")"),"interior-news.com")</f>
        <v>interior-news.com</v>
      </c>
      <c r="E152" s="26" t="str">
        <f ca="1">IFERROR(__xludf.DUMMYFUNCTION("""COMPUTED_VALUE"""),"New")</f>
        <v>New</v>
      </c>
      <c r="F152" s="27">
        <v>47</v>
      </c>
      <c r="G152" s="27">
        <v>1200</v>
      </c>
    </row>
    <row r="153" spans="3:7" ht="12.5">
      <c r="C153" s="8" t="s">
        <v>3074</v>
      </c>
      <c r="D153" s="25" t="str">
        <f ca="1">IFERROR(__xludf.DUMMYFUNCTION("IFERROR(ARRAYFORMULA(REGEXEXTRACT(C153,""^(?:https?:\/\/)?(?:[^@\n]+@)?(?:www\.)?([^:\/\n]+)"")),"""")"),"vancouverislandfreedaily.com")</f>
        <v>vancouverislandfreedaily.com</v>
      </c>
      <c r="E153" s="26" t="str">
        <f ca="1">IFERROR(__xludf.DUMMYFUNCTION("""COMPUTED_VALUE"""),"New")</f>
        <v>New</v>
      </c>
      <c r="F153" s="27">
        <v>55</v>
      </c>
      <c r="G153" s="27">
        <v>3200</v>
      </c>
    </row>
    <row r="154" spans="3:7" ht="12.5">
      <c r="C154" s="8" t="s">
        <v>3075</v>
      </c>
      <c r="D154" s="25" t="str">
        <f ca="1">IFERROR(__xludf.DUMMYFUNCTION("IFERROR(ARRAYFORMULA(REGEXEXTRACT(C154,""^(?:https?:\/\/)?(?:[^@\n]+@)?(?:www\.)?([^:\/\n]+)"")),"""")"),"heartworkorg.com")</f>
        <v>heartworkorg.com</v>
      </c>
      <c r="E154" s="26" t="str">
        <f ca="1">IFERROR(__xludf.DUMMYFUNCTION("""COMPUTED_VALUE"""),"New")</f>
        <v>New</v>
      </c>
      <c r="F154" s="27">
        <v>42</v>
      </c>
      <c r="G154" s="27">
        <v>2600</v>
      </c>
    </row>
    <row r="155" spans="3:7" ht="12.5">
      <c r="C155" s="8" t="s">
        <v>3076</v>
      </c>
      <c r="D155" s="25" t="str">
        <f ca="1">IFERROR(__xludf.DUMMYFUNCTION("IFERROR(ARRAYFORMULA(REGEXEXTRACT(C155,""^(?:https?:\/\/)?(?:[^@\n]+@)?(?:www\.)?([^:\/\n]+)"")),"""")"),"realatlas.com")</f>
        <v>realatlas.com</v>
      </c>
      <c r="E155" s="26" t="str">
        <f ca="1">IFERROR(__xludf.DUMMYFUNCTION("""COMPUTED_VALUE"""),"New")</f>
        <v>New</v>
      </c>
      <c r="F155" s="27">
        <v>43</v>
      </c>
      <c r="G155" s="27">
        <v>1100</v>
      </c>
    </row>
    <row r="156" spans="3:7" ht="12.5">
      <c r="C156" s="8" t="s">
        <v>3077</v>
      </c>
      <c r="D156" s="25" t="str">
        <f ca="1">IFERROR(__xludf.DUMMYFUNCTION("IFERROR(ARRAYFORMULA(REGEXEXTRACT(C156,""^(?:https?:\/\/)?(?:[^@\n]+@)?(?:www\.)?([^:\/\n]+)"")),"""")"),"castlegarnews.com")</f>
        <v>castlegarnews.com</v>
      </c>
      <c r="E156" s="26" t="str">
        <f ca="1">IFERROR(__xludf.DUMMYFUNCTION("""COMPUTED_VALUE"""),"New")</f>
        <v>New</v>
      </c>
      <c r="F156" s="27">
        <v>49</v>
      </c>
      <c r="G156" s="27">
        <v>1600</v>
      </c>
    </row>
    <row r="157" spans="3:7" ht="12.5">
      <c r="C157" s="8" t="s">
        <v>3078</v>
      </c>
      <c r="D157" s="25" t="str">
        <f ca="1">IFERROR(__xludf.DUMMYFUNCTION("IFERROR(ARRAYFORMULA(REGEXEXTRACT(C157,""^(?:https?:\/\/)?(?:[^@\n]+@)?(?:www\.)?([^:\/\n]+)"")),"""")"),"eaglevalleynews.com")</f>
        <v>eaglevalleynews.com</v>
      </c>
      <c r="E157" s="26" t="str">
        <f ca="1">IFERROR(__xludf.DUMMYFUNCTION("""COMPUTED_VALUE"""),"New")</f>
        <v>New</v>
      </c>
      <c r="F157" s="27">
        <v>35</v>
      </c>
      <c r="G157" s="27">
        <v>10500</v>
      </c>
    </row>
    <row r="158" spans="3:7" ht="12.5">
      <c r="C158" s="8" t="s">
        <v>3079</v>
      </c>
      <c r="D158" s="25" t="str">
        <f ca="1">IFERROR(__xludf.DUMMYFUNCTION("IFERROR(ARRAYFORMULA(REGEXEXTRACT(C158,""^(?:https?:\/\/)?(?:[^@\n]+@)?(?:www\.)?([^:\/\n]+)"")),"""")"),"parkcitymag.com")</f>
        <v>parkcitymag.com</v>
      </c>
      <c r="E158" s="26" t="str">
        <f ca="1">IFERROR(__xludf.DUMMYFUNCTION("""COMPUTED_VALUE"""),"New")</f>
        <v>New</v>
      </c>
      <c r="F158" s="27">
        <v>50</v>
      </c>
      <c r="G158" s="27">
        <v>4400</v>
      </c>
    </row>
    <row r="159" spans="3:7" ht="12.5">
      <c r="C159" s="8" t="s">
        <v>3080</v>
      </c>
      <c r="D159" s="25" t="str">
        <f ca="1">IFERROR(__xludf.DUMMYFUNCTION("IFERROR(ARRAYFORMULA(REGEXEXTRACT(C159,""^(?:https?:\/\/)?(?:[^@\n]+@)?(?:www\.)?([^:\/\n]+)"")),"""")"),"morrisoncohen.com")</f>
        <v>morrisoncohen.com</v>
      </c>
      <c r="E159" s="26" t="str">
        <f ca="1">IFERROR(__xludf.DUMMYFUNCTION("""COMPUTED_VALUE"""),"New")</f>
        <v>New</v>
      </c>
      <c r="F159" s="27">
        <v>37</v>
      </c>
      <c r="G159" s="27">
        <v>2300</v>
      </c>
    </row>
    <row r="160" spans="3:7" ht="12.5">
      <c r="C160" s="8" t="s">
        <v>3081</v>
      </c>
      <c r="D160" s="25" t="str">
        <f ca="1">IFERROR(__xludf.DUMMYFUNCTION("IFERROR(ARRAYFORMULA(REGEXEXTRACT(C160,""^(?:https?:\/\/)?(?:[^@\n]+@)?(?:www\.)?([^:\/\n]+)"")),"""")"),"equitymultiple.com")</f>
        <v>equitymultiple.com</v>
      </c>
      <c r="E160" s="26" t="str">
        <f ca="1">IFERROR(__xludf.DUMMYFUNCTION("""COMPUTED_VALUE"""),"New")</f>
        <v>New</v>
      </c>
      <c r="F160" s="27">
        <v>53</v>
      </c>
      <c r="G160" s="27">
        <v>22600</v>
      </c>
    </row>
    <row r="161" spans="3:7" ht="12.5">
      <c r="C161" s="8" t="s">
        <v>3082</v>
      </c>
      <c r="D161" s="25" t="str">
        <f ca="1">IFERROR(__xludf.DUMMYFUNCTION("IFERROR(ARRAYFORMULA(REGEXEXTRACT(C161,""^(?:https?:\/\/)?(?:[^@\n]+@)?(?:www\.)?([^:\/\n]+)"")),"""")"),"nreig.com")</f>
        <v>nreig.com</v>
      </c>
      <c r="E161" s="26" t="str">
        <f ca="1">IFERROR(__xludf.DUMMYFUNCTION("""COMPUTED_VALUE"""),"New")</f>
        <v>New</v>
      </c>
      <c r="F161" s="27">
        <v>47</v>
      </c>
      <c r="G161" s="27">
        <v>5600</v>
      </c>
    </row>
    <row r="162" spans="3:7" ht="12.5">
      <c r="C162" s="8" t="s">
        <v>3083</v>
      </c>
      <c r="D162" s="25" t="str">
        <f ca="1">IFERROR(__xludf.DUMMYFUNCTION("IFERROR(ARRAYFORMULA(REGEXEXTRACT(C162,""^(?:https?:\/\/)?(?:[^@\n]+@)?(?:www\.)?([^:\/\n]+)"")),"""")"),"ponokanews.com")</f>
        <v>ponokanews.com</v>
      </c>
      <c r="E162" s="26" t="str">
        <f ca="1">IFERROR(__xludf.DUMMYFUNCTION("""COMPUTED_VALUE"""),"New")</f>
        <v>New</v>
      </c>
      <c r="F162" s="27">
        <v>39</v>
      </c>
      <c r="G162" s="27">
        <v>845</v>
      </c>
    </row>
    <row r="163" spans="3:7" ht="12.5">
      <c r="C163" s="8" t="s">
        <v>3084</v>
      </c>
      <c r="D163" s="25" t="str">
        <f ca="1">IFERROR(__xludf.DUMMYFUNCTION("IFERROR(ARRAYFORMULA(REGEXEXTRACT(C163,""^(?:https?:\/\/)?(?:[^@\n]+@)?(?:www\.)?([^:\/\n]+)"")),"""")"),"northdeltareporter.com")</f>
        <v>northdeltareporter.com</v>
      </c>
      <c r="E163" s="26" t="str">
        <f ca="1">IFERROR(__xludf.DUMMYFUNCTION("""COMPUTED_VALUE"""),"New")</f>
        <v>New</v>
      </c>
      <c r="F163" s="27">
        <v>46</v>
      </c>
      <c r="G163" s="27">
        <v>2900</v>
      </c>
    </row>
    <row r="164" spans="3:7" ht="12.5" hidden="1">
      <c r="C164" s="8" t="s">
        <v>3085</v>
      </c>
      <c r="D164" s="25" t="str">
        <f ca="1">IFERROR(__xludf.DUMMYFUNCTION("IFERROR(ARRAYFORMULA(REGEXEXTRACT(C164,""^(?:https?:\/\/)?(?:[^@\n]+@)?(?:www\.)?([^:\/\n]+)"")),"""")"),"houstonagentmagazine.com")</f>
        <v>houstonagentmagazine.com</v>
      </c>
      <c r="E164" s="26" t="str">
        <f ca="1">IFERROR(__xludf.DUMMYFUNCTION("""COMPUTED_VALUE"""),"Already Exists")</f>
        <v>Already Exists</v>
      </c>
      <c r="F164" s="27">
        <v>53</v>
      </c>
      <c r="G164" s="27">
        <v>827</v>
      </c>
    </row>
    <row r="165" spans="3:7" ht="12.5">
      <c r="C165" s="8" t="s">
        <v>3086</v>
      </c>
      <c r="D165" s="25" t="str">
        <f ca="1">IFERROR(__xludf.DUMMYFUNCTION("IFERROR(ARRAYFORMULA(REGEXEXTRACT(C165,""^(?:https?:\/\/)?(?:[^@\n]+@)?(?:www\.)?([^:\/\n]+)"")),"""")"),"specializedreg.com")</f>
        <v>specializedreg.com</v>
      </c>
      <c r="E165" s="26" t="str">
        <f ca="1">IFERROR(__xludf.DUMMYFUNCTION("""COMPUTED_VALUE"""),"New")</f>
        <v>New</v>
      </c>
      <c r="F165" s="27">
        <v>27</v>
      </c>
      <c r="G165" s="27">
        <v>327</v>
      </c>
    </row>
    <row r="166" spans="3:7" ht="12.5">
      <c r="C166" s="8" t="s">
        <v>3087</v>
      </c>
      <c r="D166" s="25" t="str">
        <f ca="1">IFERROR(__xludf.DUMMYFUNCTION("IFERROR(ARRAYFORMULA(REGEXEXTRACT(C166,""^(?:https?:\/\/)?(?:[^@\n]+@)?(?:www\.)?([^:\/\n]+)"")),"""")"),"diversyfund.com")</f>
        <v>diversyfund.com</v>
      </c>
      <c r="E166" s="26" t="str">
        <f ca="1">IFERROR(__xludf.DUMMYFUNCTION("""COMPUTED_VALUE"""),"New")</f>
        <v>New</v>
      </c>
      <c r="F166" s="27">
        <v>50</v>
      </c>
      <c r="G166" s="27">
        <v>1800</v>
      </c>
    </row>
    <row r="167" spans="3:7" ht="12.5">
      <c r="C167" s="8" t="s">
        <v>3088</v>
      </c>
      <c r="D167" s="25" t="str">
        <f ca="1">IFERROR(__xludf.DUMMYFUNCTION("IFERROR(ARRAYFORMULA(REGEXEXTRACT(C167,""^(?:https?:\/\/)?(?:[^@\n]+@)?(?:www\.)?([^:\/\n]+)"")),"""")"),"southbayresidential.com")</f>
        <v>southbayresidential.com</v>
      </c>
      <c r="E167" s="26" t="str">
        <f ca="1">IFERROR(__xludf.DUMMYFUNCTION("""COMPUTED_VALUE"""),"New")</f>
        <v>New</v>
      </c>
      <c r="F167" s="27">
        <v>29</v>
      </c>
      <c r="G167" s="27">
        <v>434</v>
      </c>
    </row>
    <row r="168" spans="3:7" ht="12.5">
      <c r="C168" s="8" t="s">
        <v>3089</v>
      </c>
      <c r="D168" s="25" t="str">
        <f ca="1">IFERROR(__xludf.DUMMYFUNCTION("IFERROR(ARRAYFORMULA(REGEXEXTRACT(C168,""^(?:https?:\/\/)?(?:[^@\n]+@)?(?:www\.)?([^:\/\n]+)"")),"""")"),"blanchardandcalhoun.com")</f>
        <v>blanchardandcalhoun.com</v>
      </c>
      <c r="E168" s="26" t="str">
        <f ca="1">IFERROR(__xludf.DUMMYFUNCTION("""COMPUTED_VALUE"""),"New")</f>
        <v>New</v>
      </c>
      <c r="F168" s="27">
        <v>32</v>
      </c>
      <c r="G168" s="27">
        <v>443</v>
      </c>
    </row>
    <row r="169" spans="3:7" ht="12.5">
      <c r="C169" s="8" t="s">
        <v>3090</v>
      </c>
      <c r="D169" s="25" t="str">
        <f ca="1">IFERROR(__xludf.DUMMYFUNCTION("IFERROR(ARRAYFORMULA(REGEXEXTRACT(C169,""^(?:https?:\/\/)?(?:[^@\n]+@)?(?:www\.)?([^:\/\n]+)"")),"""")"),"kay-grant.com")</f>
        <v>kay-grant.com</v>
      </c>
      <c r="E169" s="26" t="str">
        <f ca="1">IFERROR(__xludf.DUMMYFUNCTION("""COMPUTED_VALUE"""),"New")</f>
        <v>New</v>
      </c>
      <c r="F169" s="27">
        <v>38</v>
      </c>
      <c r="G169" s="27">
        <v>499</v>
      </c>
    </row>
    <row r="170" spans="3:7" ht="12.5" hidden="1">
      <c r="C170" s="8" t="s">
        <v>3091</v>
      </c>
      <c r="D170" s="25" t="str">
        <f ca="1">IFERROR(__xludf.DUMMYFUNCTION("IFERROR(ARRAYFORMULA(REGEXEXTRACT(C170,""^(?:https?:\/\/)?(?:[^@\n]+@)?(?:www\.)?([^:\/\n]+)"")),"""")"),"realtyna.com")</f>
        <v>realtyna.com</v>
      </c>
      <c r="E170" s="26" t="str">
        <f ca="1">IFERROR(__xludf.DUMMYFUNCTION("""COMPUTED_VALUE"""),"Already Exists")</f>
        <v>Already Exists</v>
      </c>
      <c r="F170" s="27">
        <v>79</v>
      </c>
      <c r="G170" s="27">
        <v>7800</v>
      </c>
    </row>
    <row r="171" spans="3:7" ht="12.5" hidden="1">
      <c r="C171" s="8" t="s">
        <v>3092</v>
      </c>
      <c r="D171" s="25" t="str">
        <f ca="1">IFERROR(__xludf.DUMMYFUNCTION("IFERROR(ARRAYFORMULA(REGEXEXTRACT(C171,""^(?:https?:\/\/)?(?:[^@\n]+@)?(?:www\.)?([^:\/\n]+)"")),"""")"),"aaplonline.com")</f>
        <v>aaplonline.com</v>
      </c>
      <c r="E171" s="26" t="str">
        <f ca="1">IFERROR(__xludf.DUMMYFUNCTION("""COMPUTED_VALUE"""),"Already Exists")</f>
        <v>Already Exists</v>
      </c>
      <c r="F171" s="27">
        <v>58</v>
      </c>
      <c r="G171" s="27">
        <v>2800</v>
      </c>
    </row>
    <row r="172" spans="3:7" ht="12.5">
      <c r="C172" s="8" t="s">
        <v>3093</v>
      </c>
      <c r="D172" s="25" t="str">
        <f ca="1">IFERROR(__xludf.DUMMYFUNCTION("IFERROR(ARRAYFORMULA(REGEXEXTRACT(C172,""^(?:https?:\/\/)?(?:[^@\n]+@)?(?:www\.)?([^:\/\n]+)"")),"""")"),"thefrontsteps.com")</f>
        <v>thefrontsteps.com</v>
      </c>
      <c r="E172" s="26" t="str">
        <f ca="1">IFERROR(__xludf.DUMMYFUNCTION("""COMPUTED_VALUE"""),"New")</f>
        <v>New</v>
      </c>
      <c r="F172" s="27">
        <v>26</v>
      </c>
      <c r="G172" s="27">
        <v>444</v>
      </c>
    </row>
    <row r="173" spans="3:7" ht="12.5">
      <c r="C173" s="8" t="s">
        <v>3094</v>
      </c>
      <c r="D173" s="25" t="str">
        <f ca="1">IFERROR(__xludf.DUMMYFUNCTION("IFERROR(ARRAYFORMULA(REGEXEXTRACT(C173,""^(?:https?:\/\/)?(?:[^@\n]+@)?(?:www\.)?([^:\/\n]+)"")),"""")"),"picor.com")</f>
        <v>picor.com</v>
      </c>
      <c r="E173" s="26" t="str">
        <f ca="1">IFERROR(__xludf.DUMMYFUNCTION("""COMPUTED_VALUE"""),"New")</f>
        <v>New</v>
      </c>
      <c r="F173" s="27">
        <v>31</v>
      </c>
      <c r="G173" s="27">
        <v>540</v>
      </c>
    </row>
    <row r="174" spans="3:7" ht="12.5">
      <c r="C174" s="8" t="s">
        <v>3095</v>
      </c>
      <c r="D174" s="25" t="str">
        <f ca="1">IFERROR(__xludf.DUMMYFUNCTION("IFERROR(ARRAYFORMULA(REGEXEXTRACT(C174,""^(?:https?:\/\/)?(?:[^@\n]+@)?(?:www\.)?([^:\/\n]+)"")),"""")"),"realtynxt.com")</f>
        <v>realtynxt.com</v>
      </c>
      <c r="E174" s="26" t="str">
        <f ca="1">IFERROR(__xludf.DUMMYFUNCTION("""COMPUTED_VALUE"""),"New")</f>
        <v>New</v>
      </c>
      <c r="F174" s="27">
        <v>51</v>
      </c>
      <c r="G174" s="27">
        <v>7600</v>
      </c>
    </row>
    <row r="175" spans="3:7" ht="12.5" hidden="1">
      <c r="C175" s="8" t="s">
        <v>3096</v>
      </c>
      <c r="D175" s="25" t="str">
        <f ca="1">IFERROR(__xludf.DUMMYFUNCTION("IFERROR(ARRAYFORMULA(REGEXEXTRACT(C175,""^(?:https?:\/\/)?(?:[^@\n]+@)?(?:www\.)?([^:\/\n]+)"")),"""")"),"wellingtonhometeam.com")</f>
        <v>wellingtonhometeam.com</v>
      </c>
      <c r="E175" s="26" t="str">
        <f ca="1">IFERROR(__xludf.DUMMYFUNCTION("""COMPUTED_VALUE"""),"Already Exists")</f>
        <v>Already Exists</v>
      </c>
      <c r="F175" s="27">
        <v>33</v>
      </c>
      <c r="G175" s="27">
        <v>249</v>
      </c>
    </row>
    <row r="176" spans="3:7" ht="12.5">
      <c r="C176" s="8" t="s">
        <v>3097</v>
      </c>
      <c r="D176" s="25" t="str">
        <f ca="1">IFERROR(__xludf.DUMMYFUNCTION("IFERROR(ARRAYFORMULA(REGEXEXTRACT(C176,""^(?:https?:\/\/)?(?:[^@\n]+@)?(?:www\.)?([^:\/\n]+)"")),"""")"),"adventuresincre.com")</f>
        <v>adventuresincre.com</v>
      </c>
      <c r="E176" s="26" t="str">
        <f ca="1">IFERROR(__xludf.DUMMYFUNCTION("""COMPUTED_VALUE"""),"New")</f>
        <v>New</v>
      </c>
      <c r="F176" s="27">
        <v>48</v>
      </c>
      <c r="G176" s="27">
        <v>27400</v>
      </c>
    </row>
    <row r="177" spans="1:28" ht="12.5" hidden="1">
      <c r="C177" s="8" t="s">
        <v>3098</v>
      </c>
      <c r="D177" s="25" t="str">
        <f ca="1">IFERROR(__xludf.DUMMYFUNCTION("IFERROR(ARRAYFORMULA(REGEXEXTRACT(C177,""^(?:https?:\/\/)?(?:[^@\n]+@)?(?:www\.)?([^:\/\n]+)"")),"""")"),"homeia.com")</f>
        <v>homeia.com</v>
      </c>
      <c r="E177" s="26" t="str">
        <f ca="1">IFERROR(__xludf.DUMMYFUNCTION("""COMPUTED_VALUE"""),"Already Exists")</f>
        <v>Already Exists</v>
      </c>
      <c r="F177" s="27">
        <v>40</v>
      </c>
      <c r="G177" s="27">
        <v>2600</v>
      </c>
    </row>
    <row r="178" spans="1:28" ht="12.5" hidden="1">
      <c r="C178" s="8" t="s">
        <v>3099</v>
      </c>
      <c r="D178" s="25" t="str">
        <f ca="1">IFERROR(__xludf.DUMMYFUNCTION("IFERROR(ARRAYFORMULA(REGEXEXTRACT(C178,""^(?:https?:\/\/)?(?:[^@\n]+@)?(?:www\.)?([^:\/\n]+)"")),"""")"),"realestateinvesting.com")</f>
        <v>realestateinvesting.com</v>
      </c>
      <c r="E178" s="26" t="str">
        <f ca="1">IFERROR(__xludf.DUMMYFUNCTION("""COMPUTED_VALUE"""),"Already Exists")</f>
        <v>Already Exists</v>
      </c>
      <c r="F178" s="27">
        <v>45</v>
      </c>
      <c r="G178" s="27">
        <v>1400</v>
      </c>
    </row>
    <row r="179" spans="1:28" ht="12.5">
      <c r="C179" s="8" t="s">
        <v>3100</v>
      </c>
      <c r="D179" s="25" t="str">
        <f ca="1">IFERROR(__xludf.DUMMYFUNCTION("IFERROR(ARRAYFORMULA(REGEXEXTRACT(C179,""^(?:https?:\/\/)?(?:[^@\n]+@)?(?:www\.)?([^:\/\n]+)"")),"""")"),"lightboxre.com")</f>
        <v>lightboxre.com</v>
      </c>
      <c r="E179" s="26" t="str">
        <f ca="1">IFERROR(__xludf.DUMMYFUNCTION("""COMPUTED_VALUE"""),"New")</f>
        <v>New</v>
      </c>
      <c r="F179" s="27">
        <v>65</v>
      </c>
      <c r="G179" s="27">
        <v>25400</v>
      </c>
    </row>
    <row r="180" spans="1:28" ht="12.5">
      <c r="C180" s="8" t="s">
        <v>3101</v>
      </c>
      <c r="D180" s="25" t="str">
        <f ca="1">IFERROR(__xludf.DUMMYFUNCTION("IFERROR(ARRAYFORMULA(REGEXEXTRACT(C180,""^(?:https?:\/\/)?(?:[^@\n]+@)?(?:www\.)?([^:\/\n]+)"")),"""")"),"jpfco.com")</f>
        <v>jpfco.com</v>
      </c>
      <c r="E180" s="26" t="str">
        <f ca="1">IFERROR(__xludf.DUMMYFUNCTION("""COMPUTED_VALUE"""),"New")</f>
        <v>New</v>
      </c>
      <c r="F180" s="27">
        <v>32</v>
      </c>
      <c r="G180" s="27">
        <v>1300</v>
      </c>
    </row>
    <row r="181" spans="1:28" ht="12.5">
      <c r="C181" s="8" t="s">
        <v>3102</v>
      </c>
      <c r="D181" s="25" t="str">
        <f ca="1">IFERROR(__xludf.DUMMYFUNCTION("IFERROR(ARRAYFORMULA(REGEXEXTRACT(C181,""^(?:https?:\/\/)?(?:[^@\n]+@)?(?:www\.)?([^:\/\n]+)"")),"""")"),"workwithfocus.com")</f>
        <v>workwithfocus.com</v>
      </c>
      <c r="E181" s="26" t="str">
        <f ca="1">IFERROR(__xludf.DUMMYFUNCTION("""COMPUTED_VALUE"""),"New")</f>
        <v>New</v>
      </c>
      <c r="F181" s="27">
        <v>32</v>
      </c>
      <c r="G181" s="27">
        <v>1100</v>
      </c>
    </row>
    <row r="182" spans="1:28" ht="12.5">
      <c r="C182" s="8" t="s">
        <v>3103</v>
      </c>
      <c r="D182" s="25" t="str">
        <f ca="1">IFERROR(__xludf.DUMMYFUNCTION("IFERROR(ARRAYFORMULA(REGEXEXTRACT(C182,""^(?:https?:\/\/)?(?:[^@\n]+@)?(?:www\.)?([^:\/\n]+)"")),"""")"),"fnrpusa.com")</f>
        <v>fnrpusa.com</v>
      </c>
      <c r="E182" s="26" t="str">
        <f ca="1">IFERROR(__xludf.DUMMYFUNCTION("""COMPUTED_VALUE"""),"New")</f>
        <v>New</v>
      </c>
      <c r="F182" s="27">
        <v>49</v>
      </c>
      <c r="G182" s="27">
        <v>16000</v>
      </c>
    </row>
    <row r="183" spans="1:28" ht="12.5">
      <c r="C183" s="8" t="s">
        <v>3104</v>
      </c>
      <c r="D183" s="25" t="str">
        <f ca="1">IFERROR(__xludf.DUMMYFUNCTION("IFERROR(ARRAYFORMULA(REGEXEXTRACT(C183,""^(?:https?:\/\/)?(?:[^@\n]+@)?(?:www\.)?([^:\/\n]+)"")),"""")"),"teamlaguna.com")</f>
        <v>teamlaguna.com</v>
      </c>
      <c r="E183" s="26" t="str">
        <f ca="1">IFERROR(__xludf.DUMMYFUNCTION("""COMPUTED_VALUE"""),"New")</f>
        <v>New</v>
      </c>
      <c r="F183" s="27">
        <v>27</v>
      </c>
      <c r="G183" s="27">
        <v>1700</v>
      </c>
    </row>
    <row r="184" spans="1:28" ht="12.5">
      <c r="C184" s="8" t="s">
        <v>3105</v>
      </c>
      <c r="D184" s="25" t="str">
        <f ca="1">IFERROR(__xludf.DUMMYFUNCTION("IFERROR(ARRAYFORMULA(REGEXEXTRACT(C184,""^(?:https?:\/\/)?(?:[^@\n]+@)?(?:www\.)?([^:\/\n]+)"")),"""")"),"insideparkcityrealestate.com")</f>
        <v>insideparkcityrealestate.com</v>
      </c>
      <c r="E184" s="26" t="str">
        <f ca="1">IFERROR(__xludf.DUMMYFUNCTION("""COMPUTED_VALUE"""),"New")</f>
        <v>New</v>
      </c>
      <c r="F184" s="27">
        <v>21</v>
      </c>
      <c r="G184" s="27">
        <v>906</v>
      </c>
    </row>
    <row r="185" spans="1:28" ht="12.5">
      <c r="C185" s="8" t="s">
        <v>3106</v>
      </c>
      <c r="D185" s="25" t="str">
        <f ca="1">IFERROR(__xludf.DUMMYFUNCTION("IFERROR(ARRAYFORMULA(REGEXEXTRACT(C185,""^(?:https?:\/\/)?(?:[^@\n]+@)?(?:www\.)?([^:\/\n]+)"")),"""")"),"realestateinfoguide.com")</f>
        <v>realestateinfoguide.com</v>
      </c>
      <c r="E185" s="26" t="str">
        <f ca="1">IFERROR(__xludf.DUMMYFUNCTION("""COMPUTED_VALUE"""),"New")</f>
        <v>New</v>
      </c>
      <c r="F185" s="27">
        <v>17</v>
      </c>
      <c r="G185" s="27">
        <v>357</v>
      </c>
    </row>
    <row r="186" spans="1:28" ht="12.5">
      <c r="C186" s="8" t="s">
        <v>3107</v>
      </c>
      <c r="D186" s="25" t="str">
        <f ca="1">IFERROR(__xludf.DUMMYFUNCTION("IFERROR(ARRAYFORMULA(REGEXEXTRACT(C186,""^(?:https?:\/\/)?(?:[^@\n]+@)?(?:www\.)?([^:\/\n]+)"")),"""")"),"realestateinsavannah.net")</f>
        <v>realestateinsavannah.net</v>
      </c>
      <c r="E186" s="26" t="str">
        <f ca="1">IFERROR(__xludf.DUMMYFUNCTION("""COMPUTED_VALUE"""),"New")</f>
        <v>New</v>
      </c>
      <c r="F186" s="27">
        <v>9</v>
      </c>
      <c r="G186" s="27">
        <v>312</v>
      </c>
    </row>
    <row r="187" spans="1:28" ht="12.5">
      <c r="C187" s="8" t="s">
        <v>3108</v>
      </c>
      <c r="D187" s="25" t="str">
        <f ca="1">IFERROR(__xludf.DUMMYFUNCTION("IFERROR(ARRAYFORMULA(REGEXEXTRACT(C187,""^(?:https?:\/\/)?(?:[^@\n]+@)?(?:www\.)?([^:\/\n]+)"")),"""")"),"semiretiredmd.com")</f>
        <v>semiretiredmd.com</v>
      </c>
      <c r="E187" s="26" t="str">
        <f ca="1">IFERROR(__xludf.DUMMYFUNCTION("""COMPUTED_VALUE"""),"New")</f>
        <v>New</v>
      </c>
      <c r="F187" s="27">
        <v>31</v>
      </c>
      <c r="G187" s="27">
        <v>570</v>
      </c>
    </row>
    <row r="188" spans="1:28" ht="12.5">
      <c r="C188" s="8" t="s">
        <v>3109</v>
      </c>
      <c r="D188" s="25" t="str">
        <f ca="1">IFERROR(__xludf.DUMMYFUNCTION("IFERROR(ARRAYFORMULA(REGEXEXTRACT(C188,""^(?:https?:\/\/)?(?:[^@\n]+@)?(?:www\.)?([^:\/\n]+)"")),"""")"),"bayareamodern.com")</f>
        <v>bayareamodern.com</v>
      </c>
      <c r="E188" s="26" t="str">
        <f ca="1">IFERROR(__xludf.DUMMYFUNCTION("""COMPUTED_VALUE"""),"New")</f>
        <v>New</v>
      </c>
      <c r="F188" s="27">
        <v>30</v>
      </c>
      <c r="G188" s="27">
        <v>1300</v>
      </c>
    </row>
    <row r="189" spans="1:28" ht="12.5">
      <c r="C189" s="8" t="s">
        <v>3110</v>
      </c>
      <c r="D189" s="25" t="str">
        <f ca="1">IFERROR(__xludf.DUMMYFUNCTION("IFERROR(ARRAYFORMULA(REGEXEXTRACT(C189,""^(?:https?:\/\/)?(?:[^@\n]+@)?(?:www\.)?([^:\/\n]+)"")),"""")"),"revrealestateschool.com")</f>
        <v>revrealestateschool.com</v>
      </c>
      <c r="E189" s="26" t="str">
        <f ca="1">IFERROR(__xludf.DUMMYFUNCTION("""COMPUTED_VALUE"""),"New")</f>
        <v>New</v>
      </c>
      <c r="F189" s="27">
        <v>36</v>
      </c>
      <c r="G189" s="27">
        <v>390</v>
      </c>
    </row>
    <row r="190" spans="1:28" ht="12.5">
      <c r="C190" s="8" t="s">
        <v>3111</v>
      </c>
      <c r="D190" s="25" t="str">
        <f ca="1">IFERROR(__xludf.DUMMYFUNCTION("IFERROR(ARRAYFORMULA(REGEXEXTRACT(C190,""^(?:https?:\/\/)?(?:[^@\n]+@)?(?:www\.)?([^:\/\n]+)"")),"""")"),"thepropertytribune.com.au")</f>
        <v>thepropertytribune.com.au</v>
      </c>
      <c r="E190" s="26" t="str">
        <f ca="1">IFERROR(__xludf.DUMMYFUNCTION("""COMPUTED_VALUE"""),"New")</f>
        <v>New</v>
      </c>
      <c r="F190" s="27">
        <v>55</v>
      </c>
      <c r="G190" s="27">
        <v>3900</v>
      </c>
    </row>
    <row r="191" spans="1:28" ht="12.5">
      <c r="A191" s="31"/>
      <c r="B191" s="32" t="s">
        <v>3112</v>
      </c>
      <c r="C191" s="32" t="s">
        <v>3113</v>
      </c>
      <c r="D191" s="32" t="s">
        <v>3114</v>
      </c>
      <c r="E191" s="31" t="str">
        <f ca="1">IFERROR(__xludf.DUMMYFUNCTION("""COMPUTED_VALUE"""),"New")</f>
        <v>New</v>
      </c>
      <c r="F191" s="33">
        <v>31</v>
      </c>
      <c r="G191" s="33">
        <v>12400</v>
      </c>
      <c r="H191" s="33" t="s">
        <v>3115</v>
      </c>
      <c r="I191" s="33" t="s">
        <v>3116</v>
      </c>
      <c r="J191" s="31"/>
      <c r="K191" s="31"/>
      <c r="L191" s="31"/>
      <c r="M191" s="33" t="s">
        <v>3117</v>
      </c>
      <c r="N191" s="34">
        <v>46062</v>
      </c>
      <c r="O191" s="34">
        <v>46064</v>
      </c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</row>
    <row r="192" spans="1:28" ht="12.5" hidden="1">
      <c r="B192" s="8" t="s">
        <v>3112</v>
      </c>
      <c r="C192" s="35" t="s">
        <v>3118</v>
      </c>
      <c r="D192" s="8" t="s">
        <v>3119</v>
      </c>
      <c r="E192" s="26" t="str">
        <f ca="1">IFERROR(__xludf.DUMMYFUNCTION("""COMPUTED_VALUE"""),"Already Exists")</f>
        <v>Already Exists</v>
      </c>
      <c r="F192" s="27">
        <v>69</v>
      </c>
      <c r="G192" s="27">
        <v>4600</v>
      </c>
      <c r="H192" s="27" t="s">
        <v>3120</v>
      </c>
      <c r="I192" s="27" t="s">
        <v>3121</v>
      </c>
      <c r="M192" s="36" t="s">
        <v>3117</v>
      </c>
      <c r="N192" s="37">
        <v>46062</v>
      </c>
      <c r="O192" s="37">
        <v>46064</v>
      </c>
    </row>
    <row r="193" spans="2:16" ht="12.5">
      <c r="B193" s="8" t="s">
        <v>3112</v>
      </c>
      <c r="C193" s="8" t="s">
        <v>3122</v>
      </c>
      <c r="D193" s="8" t="s">
        <v>3123</v>
      </c>
      <c r="E193" s="26" t="str">
        <f ca="1">IFERROR(__xludf.DUMMYFUNCTION("""COMPUTED_VALUE"""),"New")</f>
        <v>New</v>
      </c>
      <c r="F193" s="27">
        <v>53</v>
      </c>
      <c r="G193" s="27">
        <v>2100</v>
      </c>
      <c r="H193" s="27" t="s">
        <v>3124</v>
      </c>
      <c r="I193" s="27" t="s">
        <v>3125</v>
      </c>
      <c r="J193" s="27" t="s">
        <v>3126</v>
      </c>
      <c r="M193" s="36" t="s">
        <v>3117</v>
      </c>
      <c r="N193" s="37">
        <v>46062</v>
      </c>
      <c r="O193" s="37">
        <v>46064</v>
      </c>
    </row>
    <row r="194" spans="2:16" ht="12.5">
      <c r="B194" s="8" t="s">
        <v>3112</v>
      </c>
      <c r="C194" s="8" t="s">
        <v>3127</v>
      </c>
      <c r="D194" s="8" t="s">
        <v>3128</v>
      </c>
      <c r="E194" s="26" t="str">
        <f ca="1">IFERROR(__xludf.DUMMYFUNCTION("""COMPUTED_VALUE"""),"New")</f>
        <v>New</v>
      </c>
      <c r="F194" s="27">
        <v>25</v>
      </c>
      <c r="G194" s="27">
        <v>2100</v>
      </c>
      <c r="H194" s="27" t="s">
        <v>3129</v>
      </c>
      <c r="I194" s="27" t="s">
        <v>3130</v>
      </c>
      <c r="J194" s="27" t="s">
        <v>3131</v>
      </c>
      <c r="M194" s="36" t="s">
        <v>3117</v>
      </c>
      <c r="N194" s="37">
        <v>46062</v>
      </c>
      <c r="O194" s="37">
        <v>46064</v>
      </c>
    </row>
    <row r="195" spans="2:16" ht="12.5" hidden="1">
      <c r="B195" s="8" t="s">
        <v>3112</v>
      </c>
      <c r="C195" s="8" t="s">
        <v>3132</v>
      </c>
      <c r="D195" s="8" t="s">
        <v>3133</v>
      </c>
      <c r="E195" s="26" t="str">
        <f ca="1">IFERROR(__xludf.DUMMYFUNCTION("""COMPUTED_VALUE"""),"Already Exists")</f>
        <v>Already Exists</v>
      </c>
      <c r="F195" s="27">
        <v>53</v>
      </c>
      <c r="G195" s="27">
        <v>2400</v>
      </c>
      <c r="J195" s="27" t="s">
        <v>3134</v>
      </c>
    </row>
    <row r="196" spans="2:16" ht="12.5">
      <c r="B196" s="8" t="s">
        <v>3112</v>
      </c>
      <c r="C196" s="8" t="s">
        <v>3135</v>
      </c>
      <c r="D196" s="8" t="s">
        <v>3136</v>
      </c>
      <c r="E196" s="26" t="str">
        <f ca="1">IFERROR(__xludf.DUMMYFUNCTION("""COMPUTED_VALUE"""),"New")</f>
        <v>New</v>
      </c>
      <c r="F196" s="27">
        <v>73</v>
      </c>
      <c r="G196" s="27">
        <v>32100</v>
      </c>
      <c r="H196" s="27" t="s">
        <v>3137</v>
      </c>
      <c r="I196" s="27" t="s">
        <v>3138</v>
      </c>
      <c r="J196" s="27" t="s">
        <v>3139</v>
      </c>
      <c r="M196" s="36" t="s">
        <v>3117</v>
      </c>
      <c r="N196" s="37">
        <v>46062</v>
      </c>
      <c r="O196" s="37">
        <v>46064</v>
      </c>
    </row>
    <row r="197" spans="2:16" ht="12.5">
      <c r="B197" s="8" t="s">
        <v>3112</v>
      </c>
      <c r="C197" s="8" t="s">
        <v>3140</v>
      </c>
      <c r="D197" s="8" t="s">
        <v>3141</v>
      </c>
      <c r="E197" s="26" t="str">
        <f ca="1">IFERROR(__xludf.DUMMYFUNCTION("""COMPUTED_VALUE"""),"New")</f>
        <v>New</v>
      </c>
      <c r="F197" s="27">
        <v>35</v>
      </c>
      <c r="G197" s="27">
        <v>2600</v>
      </c>
      <c r="I197" s="27" t="s">
        <v>3142</v>
      </c>
      <c r="J197" s="27" t="s">
        <v>3143</v>
      </c>
      <c r="M197" s="36" t="s">
        <v>3117</v>
      </c>
      <c r="N197" s="37">
        <v>46062</v>
      </c>
      <c r="O197" s="37">
        <v>46064</v>
      </c>
    </row>
    <row r="198" spans="2:16" ht="12.5">
      <c r="B198" s="8" t="s">
        <v>3112</v>
      </c>
      <c r="C198" s="8" t="s">
        <v>3144</v>
      </c>
      <c r="D198" s="8" t="s">
        <v>2467</v>
      </c>
      <c r="E198" s="26" t="str">
        <f ca="1">IFERROR(__xludf.DUMMYFUNCTION("""COMPUTED_VALUE"""),"New")</f>
        <v>New</v>
      </c>
      <c r="F198" s="27">
        <v>52</v>
      </c>
      <c r="G198" s="27">
        <v>12300</v>
      </c>
      <c r="H198" s="27" t="s">
        <v>3145</v>
      </c>
      <c r="I198" s="27" t="s">
        <v>3146</v>
      </c>
      <c r="J198" s="27" t="s">
        <v>3147</v>
      </c>
      <c r="M198" s="36" t="s">
        <v>3117</v>
      </c>
      <c r="N198" s="37">
        <v>46062</v>
      </c>
      <c r="O198" s="37">
        <v>46064</v>
      </c>
    </row>
    <row r="199" spans="2:16" ht="12.5">
      <c r="B199" s="8" t="s">
        <v>3112</v>
      </c>
      <c r="C199" s="8" t="s">
        <v>3148</v>
      </c>
      <c r="D199" s="8" t="s">
        <v>3149</v>
      </c>
      <c r="E199" s="26" t="str">
        <f ca="1">IFERROR(__xludf.DUMMYFUNCTION("""COMPUTED_VALUE"""),"New")</f>
        <v>New</v>
      </c>
      <c r="F199" s="27">
        <v>35</v>
      </c>
      <c r="G199" s="27">
        <v>9200</v>
      </c>
      <c r="H199" s="27" t="s">
        <v>3150</v>
      </c>
      <c r="I199" s="27" t="s">
        <v>3151</v>
      </c>
      <c r="J199" s="27" t="s">
        <v>3152</v>
      </c>
      <c r="M199" s="36" t="s">
        <v>3117</v>
      </c>
      <c r="N199" s="37">
        <v>46062</v>
      </c>
      <c r="O199" s="37">
        <v>46064</v>
      </c>
    </row>
    <row r="200" spans="2:16" ht="12.5" hidden="1">
      <c r="B200" s="8" t="s">
        <v>3112</v>
      </c>
      <c r="C200" s="8" t="s">
        <v>3153</v>
      </c>
      <c r="D200" s="8" t="s">
        <v>3154</v>
      </c>
      <c r="E200" s="26" t="str">
        <f ca="1">IFERROR(__xludf.DUMMYFUNCTION("""COMPUTED_VALUE"""),"Already Exists")</f>
        <v>Already Exists</v>
      </c>
      <c r="F200" s="27">
        <v>38</v>
      </c>
      <c r="G200" s="27">
        <v>2700</v>
      </c>
      <c r="H200" s="27" t="s">
        <v>3155</v>
      </c>
      <c r="I200" s="27" t="s">
        <v>3156</v>
      </c>
      <c r="J200" s="27" t="s">
        <v>3157</v>
      </c>
    </row>
    <row r="201" spans="2:16" ht="12.5">
      <c r="B201" s="8" t="s">
        <v>3112</v>
      </c>
      <c r="C201" s="8" t="s">
        <v>3158</v>
      </c>
      <c r="D201" s="8" t="s">
        <v>3159</v>
      </c>
      <c r="E201" s="26" t="str">
        <f ca="1">IFERROR(__xludf.DUMMYFUNCTION("""COMPUTED_VALUE"""),"New")</f>
        <v>New</v>
      </c>
      <c r="F201" s="27">
        <v>64</v>
      </c>
      <c r="G201" s="27">
        <v>52000</v>
      </c>
      <c r="H201" s="27" t="s">
        <v>3160</v>
      </c>
      <c r="I201" s="27" t="s">
        <v>3161</v>
      </c>
      <c r="J201" s="27" t="s">
        <v>3162</v>
      </c>
      <c r="M201" s="36" t="s">
        <v>3117</v>
      </c>
      <c r="N201" s="37">
        <v>46062</v>
      </c>
      <c r="O201" s="37">
        <v>46064</v>
      </c>
    </row>
    <row r="202" spans="2:16" ht="12.5">
      <c r="B202" s="8" t="s">
        <v>3112</v>
      </c>
      <c r="C202" s="8" t="s">
        <v>3163</v>
      </c>
      <c r="D202" s="8" t="s">
        <v>3164</v>
      </c>
      <c r="E202" s="26" t="str">
        <f ca="1">IFERROR(__xludf.DUMMYFUNCTION("""COMPUTED_VALUE"""),"New")</f>
        <v>New</v>
      </c>
      <c r="F202" s="27">
        <v>49</v>
      </c>
      <c r="G202" s="27">
        <v>1600</v>
      </c>
      <c r="H202" s="27" t="s">
        <v>3165</v>
      </c>
      <c r="I202" s="27" t="s">
        <v>3166</v>
      </c>
      <c r="J202" s="27" t="s">
        <v>3167</v>
      </c>
      <c r="M202" s="36" t="s">
        <v>3117</v>
      </c>
      <c r="N202" s="37">
        <v>46062</v>
      </c>
      <c r="O202" s="37">
        <v>46064</v>
      </c>
    </row>
    <row r="203" spans="2:16" ht="12.5">
      <c r="B203" s="8" t="s">
        <v>3112</v>
      </c>
      <c r="C203" s="8" t="s">
        <v>3168</v>
      </c>
      <c r="D203" s="8" t="s">
        <v>3169</v>
      </c>
      <c r="E203" s="26" t="str">
        <f ca="1">IFERROR(__xludf.DUMMYFUNCTION("""COMPUTED_VALUE"""),"New")</f>
        <v>New</v>
      </c>
      <c r="F203" s="27">
        <v>74</v>
      </c>
      <c r="G203" s="27">
        <v>45100</v>
      </c>
      <c r="H203" s="27" t="s">
        <v>3170</v>
      </c>
      <c r="I203" s="27" t="s">
        <v>3171</v>
      </c>
      <c r="M203" s="36" t="s">
        <v>3117</v>
      </c>
      <c r="N203" s="37">
        <v>46062</v>
      </c>
      <c r="O203" s="37">
        <v>46065</v>
      </c>
    </row>
    <row r="204" spans="2:16" ht="12.5" hidden="1">
      <c r="B204" s="8" t="s">
        <v>3112</v>
      </c>
      <c r="C204" s="8" t="s">
        <v>3172</v>
      </c>
      <c r="D204" s="8" t="s">
        <v>3173</v>
      </c>
      <c r="E204" s="26" t="str">
        <f ca="1">IFERROR(__xludf.DUMMYFUNCTION("""COMPUTED_VALUE"""),"Already Exists")</f>
        <v>Already Exists</v>
      </c>
      <c r="F204" s="27">
        <v>41</v>
      </c>
      <c r="G204" s="27">
        <v>4800</v>
      </c>
      <c r="H204" s="27" t="s">
        <v>3174</v>
      </c>
      <c r="J204" s="27" t="s">
        <v>3175</v>
      </c>
    </row>
    <row r="205" spans="2:16" ht="12.5" hidden="1">
      <c r="B205" s="8" t="s">
        <v>3112</v>
      </c>
      <c r="C205" s="8" t="s">
        <v>3176</v>
      </c>
      <c r="D205" s="8" t="s">
        <v>3177</v>
      </c>
      <c r="E205" s="26" t="str">
        <f ca="1">IFERROR(__xludf.DUMMYFUNCTION("""COMPUTED_VALUE"""),"Already Exists")</f>
        <v>Already Exists</v>
      </c>
      <c r="F205" s="27">
        <v>68</v>
      </c>
      <c r="G205" s="27">
        <v>1000</v>
      </c>
      <c r="H205" s="27" t="s">
        <v>3178</v>
      </c>
      <c r="I205" s="27" t="s">
        <v>3179</v>
      </c>
    </row>
    <row r="206" spans="2:16" ht="12.5" hidden="1">
      <c r="B206" s="8" t="s">
        <v>3112</v>
      </c>
      <c r="C206" s="8" t="s">
        <v>3180</v>
      </c>
      <c r="D206" s="8" t="s">
        <v>3181</v>
      </c>
      <c r="E206" s="26" t="str">
        <f ca="1">IFERROR(__xludf.DUMMYFUNCTION("""COMPUTED_VALUE"""),"Already Exists")</f>
        <v>Already Exists</v>
      </c>
      <c r="F206" s="27">
        <v>34</v>
      </c>
      <c r="G206" s="27">
        <v>2900</v>
      </c>
      <c r="J206" s="27" t="s">
        <v>3182</v>
      </c>
    </row>
    <row r="207" spans="2:16" ht="12.5" hidden="1">
      <c r="B207" s="8" t="s">
        <v>3112</v>
      </c>
      <c r="C207" s="8" t="s">
        <v>3183</v>
      </c>
      <c r="D207" s="8" t="s">
        <v>3184</v>
      </c>
      <c r="E207" s="26" t="str">
        <f ca="1">IFERROR(__xludf.DUMMYFUNCTION("""COMPUTED_VALUE"""),"Already Exists")</f>
        <v>Already Exists</v>
      </c>
      <c r="F207" s="27">
        <v>70</v>
      </c>
      <c r="G207" s="27">
        <v>7200</v>
      </c>
      <c r="H207" s="27" t="s">
        <v>3185</v>
      </c>
      <c r="I207" s="27" t="s">
        <v>3186</v>
      </c>
    </row>
    <row r="208" spans="2:16" ht="12.5">
      <c r="B208" s="8" t="s">
        <v>3112</v>
      </c>
      <c r="C208" s="8" t="s">
        <v>3187</v>
      </c>
      <c r="D208" s="8" t="s">
        <v>3188</v>
      </c>
      <c r="E208" s="26" t="str">
        <f ca="1">IFERROR(__xludf.DUMMYFUNCTION("""COMPUTED_VALUE"""),"New")</f>
        <v>New</v>
      </c>
      <c r="F208" s="27">
        <v>60</v>
      </c>
      <c r="G208" s="27">
        <v>13200</v>
      </c>
      <c r="H208" s="27" t="s">
        <v>3189</v>
      </c>
      <c r="I208" s="27" t="s">
        <v>3190</v>
      </c>
      <c r="M208" s="36" t="s">
        <v>3117</v>
      </c>
      <c r="N208" s="37">
        <v>46062</v>
      </c>
      <c r="O208" s="37">
        <v>46065</v>
      </c>
      <c r="P208" s="26"/>
    </row>
    <row r="209" spans="2:16" ht="12.5">
      <c r="B209" s="8" t="s">
        <v>3112</v>
      </c>
      <c r="C209" s="8" t="s">
        <v>3191</v>
      </c>
      <c r="D209" s="8" t="s">
        <v>3192</v>
      </c>
      <c r="E209" s="26" t="str">
        <f ca="1">IFERROR(__xludf.DUMMYFUNCTION("""COMPUTED_VALUE"""),"New")</f>
        <v>New</v>
      </c>
      <c r="F209" s="27">
        <v>40</v>
      </c>
      <c r="G209" s="27">
        <v>3000</v>
      </c>
      <c r="J209" s="27" t="s">
        <v>3193</v>
      </c>
      <c r="M209" s="36" t="s">
        <v>3117</v>
      </c>
      <c r="N209" s="37">
        <v>46062</v>
      </c>
      <c r="O209" s="37">
        <v>46065</v>
      </c>
      <c r="P209" s="26"/>
    </row>
    <row r="210" spans="2:16" ht="12.5">
      <c r="B210" s="8" t="s">
        <v>3112</v>
      </c>
      <c r="C210" s="8" t="s">
        <v>3194</v>
      </c>
      <c r="D210" s="8" t="s">
        <v>3195</v>
      </c>
      <c r="E210" s="26" t="str">
        <f ca="1">IFERROR(__xludf.DUMMYFUNCTION("""COMPUTED_VALUE"""),"New")</f>
        <v>New</v>
      </c>
      <c r="F210" s="27">
        <v>63</v>
      </c>
      <c r="G210" s="27">
        <v>14400</v>
      </c>
      <c r="H210" s="27" t="s">
        <v>3196</v>
      </c>
      <c r="I210" s="27" t="s">
        <v>3197</v>
      </c>
      <c r="M210" s="36" t="s">
        <v>3117</v>
      </c>
      <c r="N210" s="37">
        <v>46062</v>
      </c>
      <c r="O210" s="37">
        <v>46065</v>
      </c>
      <c r="P210" s="26"/>
    </row>
    <row r="211" spans="2:16" ht="12.5" hidden="1">
      <c r="B211" s="8" t="s">
        <v>3112</v>
      </c>
      <c r="C211" s="8" t="s">
        <v>3198</v>
      </c>
      <c r="D211" s="35" t="s">
        <v>3199</v>
      </c>
      <c r="E211" s="26" t="str">
        <f ca="1">IFERROR(__xludf.DUMMYFUNCTION("""COMPUTED_VALUE"""),"Already Exists")</f>
        <v>Already Exists</v>
      </c>
      <c r="F211" s="27">
        <v>55</v>
      </c>
      <c r="G211" s="27">
        <v>2400</v>
      </c>
      <c r="J211" s="27" t="s">
        <v>3200</v>
      </c>
      <c r="M211" s="36" t="s">
        <v>3117</v>
      </c>
      <c r="N211" s="37">
        <v>46062</v>
      </c>
      <c r="O211" s="37">
        <v>46065</v>
      </c>
      <c r="P211" s="27" t="s">
        <v>3201</v>
      </c>
    </row>
    <row r="212" spans="2:16" ht="12.5" hidden="1">
      <c r="B212" s="8" t="s">
        <v>3112</v>
      </c>
      <c r="C212" s="8" t="s">
        <v>3202</v>
      </c>
      <c r="D212" s="8" t="s">
        <v>3203</v>
      </c>
      <c r="E212" s="26" t="str">
        <f ca="1">IFERROR(__xludf.DUMMYFUNCTION("""COMPUTED_VALUE"""),"Already Exists")</f>
        <v>Already Exists</v>
      </c>
      <c r="F212" s="27">
        <v>47</v>
      </c>
      <c r="G212" s="27">
        <v>2700</v>
      </c>
      <c r="H212" s="27" t="s">
        <v>3204</v>
      </c>
      <c r="I212" s="27" t="s">
        <v>3205</v>
      </c>
      <c r="J212" s="27" t="s">
        <v>3206</v>
      </c>
      <c r="P212" s="26"/>
    </row>
    <row r="213" spans="2:16" ht="12.5">
      <c r="B213" s="8" t="s">
        <v>3112</v>
      </c>
      <c r="C213" s="8" t="s">
        <v>3207</v>
      </c>
      <c r="D213" s="8" t="s">
        <v>3208</v>
      </c>
      <c r="E213" s="26" t="str">
        <f ca="1">IFERROR(__xludf.DUMMYFUNCTION("""COMPUTED_VALUE"""),"New")</f>
        <v>New</v>
      </c>
      <c r="F213" s="27">
        <v>25</v>
      </c>
      <c r="G213" s="27">
        <v>1200</v>
      </c>
      <c r="H213" s="27" t="s">
        <v>3209</v>
      </c>
      <c r="I213" s="27" t="s">
        <v>3210</v>
      </c>
      <c r="J213" s="27" t="s">
        <v>3211</v>
      </c>
      <c r="M213" s="36" t="s">
        <v>3117</v>
      </c>
      <c r="N213" s="37">
        <v>46062</v>
      </c>
      <c r="O213" s="37">
        <v>46065</v>
      </c>
      <c r="P213" s="26"/>
    </row>
    <row r="214" spans="2:16" ht="12.5">
      <c r="B214" s="8" t="s">
        <v>3112</v>
      </c>
      <c r="C214" s="8" t="s">
        <v>3212</v>
      </c>
      <c r="D214" s="8" t="s">
        <v>3213</v>
      </c>
      <c r="E214" s="26" t="str">
        <f ca="1">IFERROR(__xludf.DUMMYFUNCTION("""COMPUTED_VALUE"""),"New")</f>
        <v>New</v>
      </c>
      <c r="F214" s="27">
        <v>41</v>
      </c>
      <c r="G214" s="27">
        <v>1800</v>
      </c>
      <c r="H214" s="38" t="s">
        <v>3214</v>
      </c>
      <c r="I214" s="38" t="s">
        <v>3215</v>
      </c>
      <c r="J214" s="38" t="s">
        <v>3216</v>
      </c>
      <c r="N214" s="39"/>
      <c r="O214" s="39"/>
      <c r="P214" s="26"/>
    </row>
    <row r="215" spans="2:16" ht="12.5" hidden="1">
      <c r="B215" s="8" t="s">
        <v>3112</v>
      </c>
      <c r="C215" s="35" t="s">
        <v>3217</v>
      </c>
      <c r="D215" s="8" t="s">
        <v>3218</v>
      </c>
      <c r="E215" s="26" t="str">
        <f ca="1">IFERROR(__xludf.DUMMYFUNCTION("""COMPUTED_VALUE"""),"Already Exists")</f>
        <v>Already Exists</v>
      </c>
      <c r="F215" s="27">
        <v>45</v>
      </c>
      <c r="G215" s="27">
        <v>2000</v>
      </c>
      <c r="H215" s="27" t="s">
        <v>3219</v>
      </c>
      <c r="I215" s="27" t="s">
        <v>3220</v>
      </c>
      <c r="M215" s="36" t="s">
        <v>3117</v>
      </c>
      <c r="N215" s="37">
        <v>46062</v>
      </c>
      <c r="O215" s="37">
        <v>46065</v>
      </c>
      <c r="P215" s="27" t="s">
        <v>3201</v>
      </c>
    </row>
    <row r="216" spans="2:16" ht="12.5" hidden="1">
      <c r="B216" s="8" t="s">
        <v>3112</v>
      </c>
      <c r="C216" s="8" t="s">
        <v>3221</v>
      </c>
      <c r="D216" s="8" t="s">
        <v>3222</v>
      </c>
      <c r="E216" s="26" t="str">
        <f ca="1">IFERROR(__xludf.DUMMYFUNCTION("""COMPUTED_VALUE"""),"Already Exists")</f>
        <v>Already Exists</v>
      </c>
      <c r="F216" s="27">
        <v>37</v>
      </c>
      <c r="G216" s="27">
        <v>11200</v>
      </c>
      <c r="J216" s="27" t="s">
        <v>3223</v>
      </c>
      <c r="P216" s="26"/>
    </row>
    <row r="217" spans="2:16" ht="12.5" hidden="1">
      <c r="B217" s="8" t="s">
        <v>3112</v>
      </c>
      <c r="C217" s="8" t="s">
        <v>3224</v>
      </c>
      <c r="D217" s="8" t="s">
        <v>3225</v>
      </c>
      <c r="E217" s="26" t="str">
        <f ca="1">IFERROR(__xludf.DUMMYFUNCTION("""COMPUTED_VALUE"""),"Already Exists")</f>
        <v>Already Exists</v>
      </c>
      <c r="F217" s="27">
        <v>49</v>
      </c>
      <c r="G217" s="27">
        <v>39000</v>
      </c>
      <c r="J217" s="27" t="s">
        <v>3226</v>
      </c>
      <c r="P217" s="26"/>
    </row>
    <row r="218" spans="2:16" ht="12.5" hidden="1">
      <c r="B218" s="8" t="s">
        <v>3112</v>
      </c>
      <c r="C218" s="8" t="s">
        <v>3227</v>
      </c>
      <c r="D218" s="8" t="s">
        <v>3228</v>
      </c>
      <c r="E218" s="26" t="str">
        <f ca="1">IFERROR(__xludf.DUMMYFUNCTION("""COMPUTED_VALUE"""),"Already Exists")</f>
        <v>Already Exists</v>
      </c>
      <c r="F218" s="27">
        <v>45</v>
      </c>
      <c r="G218" s="27">
        <v>1100</v>
      </c>
      <c r="H218" s="27" t="s">
        <v>3229</v>
      </c>
      <c r="I218" s="27" t="s">
        <v>3230</v>
      </c>
      <c r="P218" s="26"/>
    </row>
    <row r="219" spans="2:16" ht="12.5">
      <c r="B219" s="8" t="s">
        <v>3112</v>
      </c>
      <c r="C219" s="8" t="s">
        <v>3231</v>
      </c>
      <c r="D219" s="8" t="s">
        <v>3232</v>
      </c>
      <c r="E219" s="26" t="str">
        <f ca="1">IFERROR(__xludf.DUMMYFUNCTION("""COMPUTED_VALUE"""),"New")</f>
        <v>New</v>
      </c>
      <c r="F219" s="27">
        <v>56</v>
      </c>
      <c r="G219" s="27">
        <v>5800</v>
      </c>
      <c r="J219" s="27" t="s">
        <v>3233</v>
      </c>
      <c r="M219" s="36" t="s">
        <v>3117</v>
      </c>
      <c r="N219" s="37">
        <v>46062</v>
      </c>
      <c r="O219" s="37">
        <v>46065</v>
      </c>
      <c r="P219" s="26"/>
    </row>
    <row r="220" spans="2:16" ht="12.5">
      <c r="B220" s="8" t="s">
        <v>3112</v>
      </c>
      <c r="C220" s="8" t="s">
        <v>3234</v>
      </c>
      <c r="D220" s="8" t="s">
        <v>3235</v>
      </c>
      <c r="E220" s="26" t="str">
        <f ca="1">IFERROR(__xludf.DUMMYFUNCTION("""COMPUTED_VALUE"""),"New")</f>
        <v>New</v>
      </c>
      <c r="F220" s="27">
        <v>70</v>
      </c>
      <c r="G220" s="27">
        <v>5700</v>
      </c>
      <c r="H220" s="27" t="s">
        <v>3236</v>
      </c>
      <c r="I220" s="27" t="s">
        <v>3237</v>
      </c>
      <c r="J220" s="27" t="s">
        <v>3238</v>
      </c>
      <c r="M220" s="36" t="s">
        <v>3117</v>
      </c>
      <c r="N220" s="37">
        <v>46062</v>
      </c>
      <c r="O220" s="37">
        <v>46065</v>
      </c>
      <c r="P220" s="26"/>
    </row>
    <row r="221" spans="2:16" ht="12.5" hidden="1">
      <c r="B221" s="8" t="s">
        <v>3112</v>
      </c>
      <c r="C221" s="8" t="s">
        <v>3239</v>
      </c>
      <c r="D221" s="8" t="s">
        <v>3240</v>
      </c>
      <c r="E221" s="26" t="str">
        <f ca="1">IFERROR(__xludf.DUMMYFUNCTION("""COMPUTED_VALUE"""),"Already Exists")</f>
        <v>Already Exists</v>
      </c>
      <c r="F221" s="27">
        <v>70</v>
      </c>
      <c r="G221" s="27">
        <v>4900</v>
      </c>
      <c r="J221" s="27" t="s">
        <v>3241</v>
      </c>
      <c r="P221" s="26"/>
    </row>
    <row r="222" spans="2:16" ht="12.5" hidden="1">
      <c r="B222" s="8" t="s">
        <v>3112</v>
      </c>
      <c r="C222" s="35" t="s">
        <v>3242</v>
      </c>
      <c r="D222" s="8" t="s">
        <v>3243</v>
      </c>
      <c r="E222" s="26" t="str">
        <f ca="1">IFERROR(__xludf.DUMMYFUNCTION("""COMPUTED_VALUE"""),"Already Exists")</f>
        <v>Already Exists</v>
      </c>
      <c r="F222" s="27">
        <v>66</v>
      </c>
      <c r="G222" s="27">
        <v>2200</v>
      </c>
      <c r="J222" s="27" t="s">
        <v>3244</v>
      </c>
      <c r="P222" s="27" t="s">
        <v>3201</v>
      </c>
    </row>
    <row r="223" spans="2:16" ht="12.5" hidden="1">
      <c r="B223" s="8" t="s">
        <v>3112</v>
      </c>
      <c r="C223" s="8" t="s">
        <v>3245</v>
      </c>
      <c r="D223" s="8" t="s">
        <v>3246</v>
      </c>
      <c r="E223" s="26" t="str">
        <f ca="1">IFERROR(__xludf.DUMMYFUNCTION("""COMPUTED_VALUE"""),"Already Exists")</f>
        <v>Already Exists</v>
      </c>
      <c r="F223" s="27">
        <v>30</v>
      </c>
      <c r="G223" s="27">
        <v>1900</v>
      </c>
      <c r="H223" s="27" t="s">
        <v>3247</v>
      </c>
      <c r="J223" s="27" t="s">
        <v>3248</v>
      </c>
      <c r="P223" s="26"/>
    </row>
    <row r="224" spans="2:16" ht="12.5" hidden="1">
      <c r="B224" s="8" t="s">
        <v>3112</v>
      </c>
      <c r="C224" s="8" t="s">
        <v>3249</v>
      </c>
      <c r="D224" s="8" t="s">
        <v>3250</v>
      </c>
      <c r="E224" s="26" t="str">
        <f ca="1">IFERROR(__xludf.DUMMYFUNCTION("""COMPUTED_VALUE"""),"Already Exists")</f>
        <v>Already Exists</v>
      </c>
      <c r="F224" s="27">
        <v>40</v>
      </c>
      <c r="G224" s="27">
        <v>1900</v>
      </c>
      <c r="J224" s="27" t="s">
        <v>3251</v>
      </c>
      <c r="P224" s="26"/>
    </row>
    <row r="225" spans="2:16" ht="12.5" hidden="1">
      <c r="B225" s="8" t="s">
        <v>3112</v>
      </c>
      <c r="C225" s="8" t="s">
        <v>3252</v>
      </c>
      <c r="D225" s="8" t="s">
        <v>3253</v>
      </c>
      <c r="E225" s="26" t="str">
        <f ca="1">IFERROR(__xludf.DUMMYFUNCTION("""COMPUTED_VALUE"""),"Already Exists")</f>
        <v>Already Exists</v>
      </c>
      <c r="F225" s="27">
        <v>57</v>
      </c>
      <c r="G225" s="27">
        <v>1700</v>
      </c>
      <c r="J225" s="27" t="s">
        <v>3254</v>
      </c>
      <c r="P225" s="26"/>
    </row>
    <row r="226" spans="2:16" ht="12.5" hidden="1">
      <c r="B226" s="8" t="s">
        <v>3112</v>
      </c>
      <c r="C226" s="35" t="s">
        <v>3255</v>
      </c>
      <c r="D226" s="8" t="s">
        <v>3256</v>
      </c>
      <c r="E226" s="26" t="str">
        <f ca="1">IFERROR(__xludf.DUMMYFUNCTION("""COMPUTED_VALUE"""),"Already Exists")</f>
        <v>Already Exists</v>
      </c>
      <c r="F226" s="27">
        <v>50</v>
      </c>
      <c r="G226" s="27">
        <v>1500</v>
      </c>
      <c r="H226" s="27" t="s">
        <v>3257</v>
      </c>
      <c r="J226" s="27" t="s">
        <v>3258</v>
      </c>
      <c r="P226" s="27" t="s">
        <v>3201</v>
      </c>
    </row>
    <row r="227" spans="2:16" ht="12.5">
      <c r="B227" s="8" t="s">
        <v>3112</v>
      </c>
      <c r="C227" s="8" t="s">
        <v>1291</v>
      </c>
      <c r="D227" s="8" t="s">
        <v>2206</v>
      </c>
      <c r="E227" s="26" t="str">
        <f ca="1">IFERROR(__xludf.DUMMYFUNCTION("""COMPUTED_VALUE"""),"New")</f>
        <v>New</v>
      </c>
      <c r="F227" s="27">
        <v>39</v>
      </c>
      <c r="G227" s="27">
        <v>14000</v>
      </c>
      <c r="J227" s="27" t="s">
        <v>3259</v>
      </c>
      <c r="M227" s="36" t="s">
        <v>3117</v>
      </c>
      <c r="N227" s="37">
        <v>46062</v>
      </c>
      <c r="O227" s="37">
        <v>46065</v>
      </c>
    </row>
    <row r="228" spans="2:16" ht="12.5" hidden="1">
      <c r="B228" s="8" t="s">
        <v>3112</v>
      </c>
      <c r="C228" s="8" t="s">
        <v>3260</v>
      </c>
      <c r="D228" s="8" t="s">
        <v>3261</v>
      </c>
      <c r="E228" s="26" t="str">
        <f ca="1">IFERROR(__xludf.DUMMYFUNCTION("""COMPUTED_VALUE"""),"Already Exists")</f>
        <v>Already Exists</v>
      </c>
      <c r="F228" s="27">
        <v>37</v>
      </c>
      <c r="G228" s="27">
        <v>3300</v>
      </c>
      <c r="H228" s="27" t="s">
        <v>3262</v>
      </c>
      <c r="I228" s="27" t="s">
        <v>3263</v>
      </c>
    </row>
    <row r="229" spans="2:16" ht="12.5" hidden="1">
      <c r="B229" s="8" t="s">
        <v>3112</v>
      </c>
      <c r="C229" s="8" t="s">
        <v>3264</v>
      </c>
      <c r="D229" s="8" t="s">
        <v>3265</v>
      </c>
      <c r="E229" s="26" t="str">
        <f ca="1">IFERROR(__xludf.DUMMYFUNCTION("""COMPUTED_VALUE"""),"Already Exists")</f>
        <v>Already Exists</v>
      </c>
      <c r="F229" s="27">
        <v>39</v>
      </c>
      <c r="G229" s="27">
        <v>3000</v>
      </c>
      <c r="I229" s="27" t="s">
        <v>3266</v>
      </c>
      <c r="J229" s="27" t="s">
        <v>3267</v>
      </c>
    </row>
    <row r="230" spans="2:16" ht="12.5">
      <c r="B230" s="8" t="s">
        <v>3112</v>
      </c>
      <c r="C230" s="8" t="s">
        <v>3268</v>
      </c>
      <c r="D230" s="8" t="s">
        <v>3269</v>
      </c>
      <c r="E230" s="26" t="str">
        <f ca="1">IFERROR(__xludf.DUMMYFUNCTION("""COMPUTED_VALUE"""),"New")</f>
        <v>New</v>
      </c>
      <c r="F230" s="27">
        <v>46</v>
      </c>
      <c r="G230" s="27">
        <v>9100</v>
      </c>
      <c r="H230" s="27" t="s">
        <v>3270</v>
      </c>
      <c r="I230" s="27" t="s">
        <v>3271</v>
      </c>
      <c r="M230" s="36" t="s">
        <v>3117</v>
      </c>
      <c r="N230" s="37">
        <v>46062</v>
      </c>
      <c r="O230" s="37">
        <v>46066</v>
      </c>
    </row>
    <row r="231" spans="2:16" ht="12.5">
      <c r="B231" s="8" t="s">
        <v>3112</v>
      </c>
      <c r="C231" s="8" t="s">
        <v>3272</v>
      </c>
      <c r="D231" s="8" t="s">
        <v>3273</v>
      </c>
      <c r="E231" s="26" t="str">
        <f ca="1">IFERROR(__xludf.DUMMYFUNCTION("""COMPUTED_VALUE"""),"New")</f>
        <v>New</v>
      </c>
      <c r="F231" s="27">
        <v>41</v>
      </c>
      <c r="G231" s="27">
        <v>3000</v>
      </c>
      <c r="H231" s="27" t="s">
        <v>3274</v>
      </c>
      <c r="I231" s="27" t="s">
        <v>3275</v>
      </c>
      <c r="J231" s="27" t="s">
        <v>3276</v>
      </c>
      <c r="M231" s="36" t="s">
        <v>3117</v>
      </c>
      <c r="N231" s="37">
        <v>46062</v>
      </c>
      <c r="O231" s="37">
        <v>46066</v>
      </c>
    </row>
    <row r="232" spans="2:16" ht="12.5">
      <c r="B232" s="8" t="s">
        <v>3112</v>
      </c>
      <c r="C232" s="8" t="s">
        <v>3277</v>
      </c>
      <c r="D232" s="8" t="s">
        <v>3278</v>
      </c>
      <c r="E232" s="26" t="str">
        <f ca="1">IFERROR(__xludf.DUMMYFUNCTION("""COMPUTED_VALUE"""),"New")</f>
        <v>New</v>
      </c>
      <c r="F232" s="27">
        <v>32</v>
      </c>
      <c r="G232" s="27">
        <v>3200</v>
      </c>
      <c r="J232" s="27" t="s">
        <v>3279</v>
      </c>
      <c r="M232" s="36" t="s">
        <v>3117</v>
      </c>
      <c r="N232" s="37">
        <v>46062</v>
      </c>
      <c r="O232" s="37">
        <v>46066</v>
      </c>
    </row>
    <row r="233" spans="2:16" ht="12.5" hidden="1">
      <c r="B233" s="8" t="s">
        <v>3112</v>
      </c>
      <c r="C233" s="8" t="s">
        <v>3280</v>
      </c>
      <c r="D233" s="8" t="s">
        <v>3281</v>
      </c>
      <c r="E233" s="26" t="str">
        <f ca="1">IFERROR(__xludf.DUMMYFUNCTION("""COMPUTED_VALUE"""),"Already Exists")</f>
        <v>Already Exists</v>
      </c>
      <c r="F233" s="27">
        <v>62</v>
      </c>
      <c r="G233" s="27">
        <v>14700</v>
      </c>
      <c r="J233" s="27" t="s">
        <v>3282</v>
      </c>
    </row>
    <row r="234" spans="2:16" ht="12.5">
      <c r="B234" s="8" t="s">
        <v>3112</v>
      </c>
      <c r="C234" s="8" t="s">
        <v>3283</v>
      </c>
      <c r="D234" s="8" t="s">
        <v>3284</v>
      </c>
      <c r="E234" s="26" t="str">
        <f ca="1">IFERROR(__xludf.DUMMYFUNCTION("""COMPUTED_VALUE"""),"New")</f>
        <v>New</v>
      </c>
      <c r="F234" s="27">
        <v>32</v>
      </c>
      <c r="G234" s="27">
        <v>1900</v>
      </c>
      <c r="H234" s="27" t="s">
        <v>3285</v>
      </c>
      <c r="I234" s="27" t="s">
        <v>3286</v>
      </c>
      <c r="J234" s="27" t="s">
        <v>3287</v>
      </c>
      <c r="M234" s="36" t="s">
        <v>3117</v>
      </c>
      <c r="N234" s="37">
        <v>46062</v>
      </c>
      <c r="O234" s="37">
        <v>46066</v>
      </c>
    </row>
    <row r="235" spans="2:16" ht="12.5">
      <c r="B235" s="8" t="s">
        <v>3112</v>
      </c>
      <c r="C235" s="8" t="s">
        <v>3288</v>
      </c>
      <c r="D235" s="8" t="s">
        <v>3289</v>
      </c>
      <c r="E235" s="26" t="str">
        <f ca="1">IFERROR(__xludf.DUMMYFUNCTION("""COMPUTED_VALUE"""),"New")</f>
        <v>New</v>
      </c>
      <c r="F235" s="27">
        <v>50</v>
      </c>
      <c r="G235" s="27">
        <v>312500</v>
      </c>
      <c r="H235" s="27" t="s">
        <v>3290</v>
      </c>
      <c r="I235" s="27" t="s">
        <v>3291</v>
      </c>
      <c r="J235" s="27" t="s">
        <v>3292</v>
      </c>
      <c r="M235" s="36" t="s">
        <v>3117</v>
      </c>
      <c r="N235" s="37">
        <v>46062</v>
      </c>
      <c r="O235" s="37">
        <v>46066</v>
      </c>
    </row>
    <row r="236" spans="2:16" ht="12.5">
      <c r="B236" s="8" t="s">
        <v>3112</v>
      </c>
      <c r="C236" s="8" t="s">
        <v>3293</v>
      </c>
      <c r="D236" s="8" t="s">
        <v>3294</v>
      </c>
      <c r="E236" s="26" t="str">
        <f ca="1">IFERROR(__xludf.DUMMYFUNCTION("""COMPUTED_VALUE"""),"New")</f>
        <v>New</v>
      </c>
      <c r="F236" s="27">
        <v>34</v>
      </c>
      <c r="G236" s="27">
        <v>4200</v>
      </c>
      <c r="H236" s="27" t="s">
        <v>3295</v>
      </c>
      <c r="I236" s="27" t="s">
        <v>3296</v>
      </c>
      <c r="J236" s="27" t="s">
        <v>3297</v>
      </c>
      <c r="M236" s="36" t="s">
        <v>3117</v>
      </c>
      <c r="N236" s="37">
        <v>46062</v>
      </c>
      <c r="O236" s="37">
        <v>46066</v>
      </c>
    </row>
    <row r="237" spans="2:16" ht="12.5">
      <c r="B237" s="8" t="s">
        <v>3112</v>
      </c>
      <c r="C237" s="8" t="s">
        <v>3298</v>
      </c>
      <c r="D237" s="8" t="s">
        <v>3299</v>
      </c>
      <c r="E237" s="26" t="str">
        <f ca="1">IFERROR(__xludf.DUMMYFUNCTION("""COMPUTED_VALUE"""),"New")</f>
        <v>New</v>
      </c>
      <c r="F237" s="27">
        <v>33</v>
      </c>
      <c r="G237" s="27">
        <v>5100</v>
      </c>
      <c r="I237" s="27" t="s">
        <v>3300</v>
      </c>
      <c r="J237" s="27" t="s">
        <v>3301</v>
      </c>
      <c r="M237" s="36" t="s">
        <v>3117</v>
      </c>
      <c r="N237" s="37">
        <v>46062</v>
      </c>
      <c r="O237" s="37">
        <v>46066</v>
      </c>
    </row>
    <row r="238" spans="2:16" ht="12.5">
      <c r="B238" s="8" t="s">
        <v>3112</v>
      </c>
      <c r="C238" s="8" t="s">
        <v>3302</v>
      </c>
      <c r="D238" s="8" t="s">
        <v>3303</v>
      </c>
      <c r="E238" s="26" t="str">
        <f ca="1">IFERROR(__xludf.DUMMYFUNCTION("""COMPUTED_VALUE"""),"New")</f>
        <v>New</v>
      </c>
      <c r="F238" s="27">
        <v>32</v>
      </c>
      <c r="G238" s="27">
        <v>1400</v>
      </c>
      <c r="H238" s="27" t="s">
        <v>3304</v>
      </c>
      <c r="I238" s="27" t="s">
        <v>3305</v>
      </c>
      <c r="J238" s="27" t="s">
        <v>3306</v>
      </c>
      <c r="M238" s="36" t="s">
        <v>3117</v>
      </c>
      <c r="N238" s="37">
        <v>46062</v>
      </c>
      <c r="O238" s="37">
        <v>46066</v>
      </c>
    </row>
    <row r="239" spans="2:16" ht="12.5" hidden="1">
      <c r="B239" s="8" t="s">
        <v>3112</v>
      </c>
      <c r="C239" s="40" t="s">
        <v>3307</v>
      </c>
      <c r="D239" s="41" t="str">
        <f ca="1">IFERROR(__xludf.DUMMYFUNCTION("IFERROR(ARRAYFORMULA(REGEXEXTRACT(C239,""^(?:https?:\/\/)?(?:[^@\n]+@)?(?:www\.)?([^:\/\n]+)"")),"""")"),"riseapartments.com")</f>
        <v>riseapartments.com</v>
      </c>
      <c r="E239" s="26" t="str">
        <f ca="1">IFERROR(__xludf.DUMMYFUNCTION("""COMPUTED_VALUE"""),"Already Exists")</f>
        <v>Already Exists</v>
      </c>
      <c r="F239" s="42">
        <v>32</v>
      </c>
      <c r="G239" s="43" t="s">
        <v>3308</v>
      </c>
      <c r="J239" s="27" t="s">
        <v>3309</v>
      </c>
      <c r="P239" s="27" t="s">
        <v>3201</v>
      </c>
    </row>
    <row r="240" spans="2:16" ht="12.5" hidden="1">
      <c r="B240" s="8" t="s">
        <v>3112</v>
      </c>
      <c r="C240" s="41" t="s">
        <v>3310</v>
      </c>
      <c r="D240" s="41" t="str">
        <f ca="1">IFERROR(__xludf.DUMMYFUNCTION("IFERROR(ARRAYFORMULA(REGEXEXTRACT(C240,""^(?:https?:\/\/)?(?:[^@\n]+@)?(?:www\.)?([^:\/\n]+)"")),"""")"),"finnandemma.com")</f>
        <v>finnandemma.com</v>
      </c>
      <c r="E240" s="26" t="str">
        <f ca="1">IFERROR(__xludf.DUMMYFUNCTION("""COMPUTED_VALUE"""),"Already Exists")</f>
        <v>Already Exists</v>
      </c>
      <c r="F240" s="42">
        <v>50</v>
      </c>
      <c r="G240" s="43" t="s">
        <v>3311</v>
      </c>
      <c r="J240" s="27" t="s">
        <v>3312</v>
      </c>
      <c r="M240" s="36" t="s">
        <v>3117</v>
      </c>
      <c r="N240" s="37">
        <v>46062</v>
      </c>
      <c r="O240" s="37">
        <v>46066</v>
      </c>
    </row>
    <row r="241" spans="2:16" ht="12.5">
      <c r="B241" s="8" t="s">
        <v>3112</v>
      </c>
      <c r="C241" s="41" t="s">
        <v>3313</v>
      </c>
      <c r="D241" s="41" t="str">
        <f ca="1">IFERROR(__xludf.DUMMYFUNCTION("IFERROR(ARRAYFORMULA(REGEXEXTRACT(C241,""^(?:https?:\/\/)?(?:[^@\n]+@)?(?:www\.)?([^:\/\n]+)"")),"""")"),"spyglassrealty.com")</f>
        <v>spyglassrealty.com</v>
      </c>
      <c r="E241" s="26" t="str">
        <f ca="1">IFERROR(__xludf.DUMMYFUNCTION("""COMPUTED_VALUE"""),"New")</f>
        <v>New</v>
      </c>
      <c r="F241" s="42">
        <v>46</v>
      </c>
      <c r="G241" s="43" t="s">
        <v>3314</v>
      </c>
      <c r="H241" s="27" t="s">
        <v>3315</v>
      </c>
      <c r="I241" s="27" t="s">
        <v>3316</v>
      </c>
      <c r="J241" s="27" t="s">
        <v>3317</v>
      </c>
      <c r="M241" s="36" t="s">
        <v>3117</v>
      </c>
      <c r="N241" s="37">
        <v>46062</v>
      </c>
      <c r="O241" s="37">
        <v>46066</v>
      </c>
    </row>
    <row r="242" spans="2:16" ht="12.5" hidden="1">
      <c r="B242" s="8" t="s">
        <v>3112</v>
      </c>
      <c r="C242" s="40" t="s">
        <v>3318</v>
      </c>
      <c r="D242" s="41" t="str">
        <f ca="1">IFERROR(__xludf.DUMMYFUNCTION("IFERROR(ARRAYFORMULA(REGEXEXTRACT(C242,""^(?:https?:\/\/)?(?:[^@\n]+@)?(?:www\.)?([^:\/\n]+)"")),"""")"),"shineyourlightblog.com")</f>
        <v>shineyourlightblog.com</v>
      </c>
      <c r="E242" s="26" t="str">
        <f ca="1">IFERROR(__xludf.DUMMYFUNCTION("""COMPUTED_VALUE"""),"Already Exists")</f>
        <v>Already Exists</v>
      </c>
      <c r="F242" s="42">
        <v>42</v>
      </c>
      <c r="G242" s="43" t="s">
        <v>3319</v>
      </c>
      <c r="H242" s="27" t="s">
        <v>3320</v>
      </c>
      <c r="J242" s="27" t="s">
        <v>3321</v>
      </c>
      <c r="P242" s="27" t="s">
        <v>3201</v>
      </c>
    </row>
    <row r="243" spans="2:16" ht="12.5">
      <c r="B243" s="8" t="s">
        <v>3112</v>
      </c>
      <c r="C243" s="44" t="s">
        <v>3322</v>
      </c>
      <c r="D243" s="41" t="str">
        <f ca="1">IFERROR(__xludf.DUMMYFUNCTION("IFERROR(ARRAYFORMULA(REGEXEXTRACT(C243,""^(?:https?:\/\/)?(?:[^@\n]+@)?(?:www\.)?([^:\/\n]+)"")),"""")"),"gritdaily.com")</f>
        <v>gritdaily.com</v>
      </c>
      <c r="E243" s="26" t="str">
        <f ca="1">IFERROR(__xludf.DUMMYFUNCTION("""COMPUTED_VALUE"""),"New")</f>
        <v>New</v>
      </c>
      <c r="F243" s="42">
        <v>75</v>
      </c>
      <c r="G243" s="43" t="s">
        <v>3323</v>
      </c>
      <c r="H243" s="27" t="s">
        <v>3324</v>
      </c>
      <c r="I243" s="27" t="s">
        <v>3325</v>
      </c>
      <c r="J243" s="27" t="s">
        <v>3326</v>
      </c>
      <c r="M243" s="36" t="s">
        <v>3117</v>
      </c>
      <c r="N243" s="37">
        <v>46062</v>
      </c>
      <c r="O243" s="37"/>
      <c r="P243" s="27" t="s">
        <v>3201</v>
      </c>
    </row>
    <row r="244" spans="2:16" ht="12.5">
      <c r="B244" s="8" t="s">
        <v>3112</v>
      </c>
      <c r="C244" s="44" t="s">
        <v>3327</v>
      </c>
      <c r="D244" s="41" t="str">
        <f ca="1">IFERROR(__xludf.DUMMYFUNCTION("IFERROR(ARRAYFORMULA(REGEXEXTRACT(C244,""^(?:https?:\/\/)?(?:[^@\n]+@)?(?:www\.)?([^:\/\n]+)"")),"""")"),"greencitytimes.com")</f>
        <v>greencitytimes.com</v>
      </c>
      <c r="E244" s="26" t="str">
        <f ca="1">IFERROR(__xludf.DUMMYFUNCTION("""COMPUTED_VALUE"""),"New")</f>
        <v>New</v>
      </c>
      <c r="F244" s="42">
        <v>52</v>
      </c>
      <c r="G244" s="43" t="s">
        <v>3328</v>
      </c>
      <c r="J244" s="27" t="s">
        <v>3329</v>
      </c>
      <c r="M244" s="36" t="s">
        <v>3117</v>
      </c>
      <c r="N244" s="37">
        <v>46062</v>
      </c>
      <c r="O244" s="37">
        <v>46067</v>
      </c>
      <c r="P244" s="27" t="s">
        <v>3201</v>
      </c>
    </row>
    <row r="245" spans="2:16" ht="12.5">
      <c r="B245" s="8" t="s">
        <v>3112</v>
      </c>
      <c r="C245" s="41" t="s">
        <v>3330</v>
      </c>
      <c r="D245" s="41" t="str">
        <f ca="1">IFERROR(__xludf.DUMMYFUNCTION("IFERROR(ARRAYFORMULA(REGEXEXTRACT(C245,""^(?:https?:\/\/)?(?:[^@\n]+@)?(?:www\.)?([^:\/\n]+)"")),"""")"),"kevinszabojrplumbing.net")</f>
        <v>kevinszabojrplumbing.net</v>
      </c>
      <c r="E245" s="26" t="str">
        <f ca="1">IFERROR(__xludf.DUMMYFUNCTION("""COMPUTED_VALUE"""),"New")</f>
        <v>New</v>
      </c>
      <c r="F245" s="42">
        <v>41</v>
      </c>
      <c r="G245" s="43" t="s">
        <v>3331</v>
      </c>
      <c r="H245" s="27" t="s">
        <v>3332</v>
      </c>
      <c r="I245" s="27" t="s">
        <v>3333</v>
      </c>
      <c r="J245" s="27" t="s">
        <v>3334</v>
      </c>
      <c r="M245" s="36" t="s">
        <v>3117</v>
      </c>
      <c r="N245" s="37">
        <v>46062</v>
      </c>
      <c r="O245" s="37">
        <v>46067</v>
      </c>
      <c r="P245" s="26"/>
    </row>
    <row r="246" spans="2:16" ht="14">
      <c r="B246" s="8" t="s">
        <v>3112</v>
      </c>
      <c r="C246" s="45" t="s">
        <v>3335</v>
      </c>
      <c r="D246" s="41" t="str">
        <f ca="1">IFERROR(__xludf.DUMMYFUNCTION("IFERROR(ARRAYFORMULA(REGEXEXTRACT(C246,""^(?:https?:\/\/)?(?:[^@\n]+@)?(?:www\.)?([^:\/\n]+)"")),"""")"),"simplyinsurance.com")</f>
        <v>simplyinsurance.com</v>
      </c>
      <c r="E246" s="26" t="str">
        <f ca="1">IFERROR(__xludf.DUMMYFUNCTION("""COMPUTED_VALUE"""),"New")</f>
        <v>New</v>
      </c>
      <c r="F246" s="42">
        <v>63</v>
      </c>
      <c r="G246" s="43" t="s">
        <v>3323</v>
      </c>
      <c r="H246" s="38" t="s">
        <v>3336</v>
      </c>
      <c r="I246" s="38" t="s">
        <v>3337</v>
      </c>
      <c r="J246" s="38" t="s">
        <v>3338</v>
      </c>
    </row>
    <row r="247" spans="2:16" ht="12.5">
      <c r="B247" s="8" t="s">
        <v>3112</v>
      </c>
      <c r="C247" s="41" t="s">
        <v>3339</v>
      </c>
      <c r="D247" s="41" t="str">
        <f ca="1">IFERROR(__xludf.DUMMYFUNCTION("IFERROR(ARRAYFORMULA(REGEXEXTRACT(C247,""^(?:https?:\/\/)?(?:[^@\n]+@)?(?:www\.)?([^:\/\n]+)"")),"""")"),"clearsurance.com")</f>
        <v>clearsurance.com</v>
      </c>
      <c r="E247" s="26" t="str">
        <f ca="1">IFERROR(__xludf.DUMMYFUNCTION("""COMPUTED_VALUE"""),"New")</f>
        <v>New</v>
      </c>
      <c r="F247" s="42">
        <v>57</v>
      </c>
      <c r="G247" s="43" t="s">
        <v>3340</v>
      </c>
      <c r="J247" s="38" t="s">
        <v>3341</v>
      </c>
      <c r="N247" s="37"/>
      <c r="O247" s="37"/>
    </row>
    <row r="248" spans="2:16" ht="12.5">
      <c r="B248" s="8" t="s">
        <v>3112</v>
      </c>
      <c r="C248" s="41" t="s">
        <v>3342</v>
      </c>
      <c r="D248" s="41" t="str">
        <f ca="1">IFERROR(__xludf.DUMMYFUNCTION("IFERROR(ARRAYFORMULA(REGEXEXTRACT(C248,""^(?:https?:\/\/)?(?:[^@\n]+@)?(?:www\.)?([^:\/\n]+)"")),"""")"),"republicmoving.com")</f>
        <v>republicmoving.com</v>
      </c>
      <c r="E248" s="26" t="str">
        <f ca="1">IFERROR(__xludf.DUMMYFUNCTION("""COMPUTED_VALUE"""),"New")</f>
        <v>New</v>
      </c>
      <c r="F248" s="42">
        <v>46</v>
      </c>
      <c r="G248" s="43" t="s">
        <v>3343</v>
      </c>
      <c r="H248" s="27" t="s">
        <v>3344</v>
      </c>
      <c r="I248" s="27" t="s">
        <v>3345</v>
      </c>
      <c r="M248" s="36" t="s">
        <v>3117</v>
      </c>
      <c r="N248" s="37">
        <v>46062</v>
      </c>
      <c r="O248" s="37">
        <v>46067</v>
      </c>
      <c r="P248" s="26"/>
    </row>
    <row r="249" spans="2:16" ht="12.5" hidden="1">
      <c r="B249" s="8" t="s">
        <v>3112</v>
      </c>
      <c r="C249" s="40" t="s">
        <v>3346</v>
      </c>
      <c r="D249" s="41" t="str">
        <f ca="1">IFERROR(__xludf.DUMMYFUNCTION("IFERROR(ARRAYFORMULA(REGEXEXTRACT(C249,""^(?:https?:\/\/)?(?:[^@\n]+@)?(?:www\.)?([^:\/\n]+)"")),"""")"),"contractormag.com")</f>
        <v>contractormag.com</v>
      </c>
      <c r="E249" s="26" t="str">
        <f ca="1">IFERROR(__xludf.DUMMYFUNCTION("""COMPUTED_VALUE"""),"Already Exists")</f>
        <v>Already Exists</v>
      </c>
      <c r="F249" s="42">
        <v>70</v>
      </c>
      <c r="G249" s="43" t="s">
        <v>3347</v>
      </c>
      <c r="H249" s="27" t="s">
        <v>3348</v>
      </c>
      <c r="I249" s="27" t="s">
        <v>3349</v>
      </c>
      <c r="J249" s="27" t="s">
        <v>3350</v>
      </c>
      <c r="P249" s="27" t="s">
        <v>3201</v>
      </c>
    </row>
    <row r="250" spans="2:16" ht="12.5">
      <c r="B250" s="8" t="s">
        <v>3112</v>
      </c>
      <c r="C250" s="41" t="s">
        <v>3351</v>
      </c>
      <c r="D250" s="41" t="str">
        <f ca="1">IFERROR(__xludf.DUMMYFUNCTION("IFERROR(ARRAYFORMULA(REGEXEXTRACT(C250,""^(?:https?:\/\/)?(?:[^@\n]+@)?(?:www\.)?([^:\/\n]+)"")),"""")"),"move4lessmoving.com")</f>
        <v>move4lessmoving.com</v>
      </c>
      <c r="E250" s="26" t="str">
        <f ca="1">IFERROR(__xludf.DUMMYFUNCTION("""COMPUTED_VALUE"""),"New")</f>
        <v>New</v>
      </c>
      <c r="F250" s="42">
        <v>28</v>
      </c>
      <c r="G250" s="43" t="s">
        <v>3352</v>
      </c>
      <c r="H250" s="27" t="s">
        <v>3353</v>
      </c>
      <c r="I250" s="27" t="s">
        <v>3354</v>
      </c>
      <c r="J250" s="27" t="s">
        <v>3355</v>
      </c>
      <c r="M250" s="36" t="s">
        <v>3117</v>
      </c>
      <c r="N250" s="37">
        <v>46062</v>
      </c>
      <c r="O250" s="37">
        <v>46067</v>
      </c>
      <c r="P250" s="26"/>
    </row>
    <row r="251" spans="2:16" ht="12.5">
      <c r="B251" s="8" t="s">
        <v>3112</v>
      </c>
      <c r="C251" s="41" t="s">
        <v>3356</v>
      </c>
      <c r="D251" s="41" t="str">
        <f ca="1">IFERROR(__xludf.DUMMYFUNCTION("IFERROR(ARRAYFORMULA(REGEXEXTRACT(C251,""^(?:https?:\/\/)?(?:[^@\n]+@)?(?:www\.)?([^:\/\n]+)"")),"""")"),"copypress.com")</f>
        <v>copypress.com</v>
      </c>
      <c r="E251" s="26" t="str">
        <f ca="1">IFERROR(__xludf.DUMMYFUNCTION("""COMPUTED_VALUE"""),"New")</f>
        <v>New</v>
      </c>
      <c r="F251" s="42">
        <v>69</v>
      </c>
      <c r="G251" s="43" t="s">
        <v>3357</v>
      </c>
      <c r="H251" s="27" t="s">
        <v>3358</v>
      </c>
      <c r="I251" s="27" t="s">
        <v>3359</v>
      </c>
      <c r="M251" s="36" t="s">
        <v>3117</v>
      </c>
      <c r="N251" s="37">
        <v>46062</v>
      </c>
      <c r="O251" s="37">
        <v>46067</v>
      </c>
      <c r="P251" s="26"/>
    </row>
    <row r="252" spans="2:16" ht="12.5">
      <c r="B252" s="8" t="s">
        <v>3112</v>
      </c>
      <c r="C252" s="44" t="s">
        <v>3360</v>
      </c>
      <c r="D252" s="41" t="str">
        <f ca="1">IFERROR(__xludf.DUMMYFUNCTION("IFERROR(ARRAYFORMULA(REGEXEXTRACT(C252,""^(?:https?:\/\/)?(?:[^@\n]+@)?(?:www\.)?([^:\/\n]+)"")),"""")"),"blog.safetyculture.com")</f>
        <v>blog.safetyculture.com</v>
      </c>
      <c r="E252" s="26" t="str">
        <f ca="1">IFERROR(__xludf.DUMMYFUNCTION("""COMPUTED_VALUE"""),"New")</f>
        <v>New</v>
      </c>
      <c r="F252" s="42">
        <v>81</v>
      </c>
      <c r="G252" s="43" t="s">
        <v>3361</v>
      </c>
      <c r="I252" s="27" t="s">
        <v>3362</v>
      </c>
      <c r="J252" s="27" t="s">
        <v>3363</v>
      </c>
      <c r="P252" s="27" t="s">
        <v>3201</v>
      </c>
    </row>
    <row r="253" spans="2:16" ht="12.5">
      <c r="B253" s="8" t="s">
        <v>3112</v>
      </c>
      <c r="C253" s="41" t="s">
        <v>3364</v>
      </c>
      <c r="D253" s="41" t="str">
        <f ca="1">IFERROR(__xludf.DUMMYFUNCTION("IFERROR(ARRAYFORMULA(REGEXEXTRACT(C253,""^(?:https?:\/\/)?(?:[^@\n]+@)?(?:www\.)?([^:\/\n]+)"")),"""")"),"modlar.com")</f>
        <v>modlar.com</v>
      </c>
      <c r="E253" s="26" t="str">
        <f ca="1">IFERROR(__xludf.DUMMYFUNCTION("""COMPUTED_VALUE"""),"New")</f>
        <v>New</v>
      </c>
      <c r="F253" s="42">
        <v>48</v>
      </c>
      <c r="G253" s="43" t="s">
        <v>3365</v>
      </c>
      <c r="H253" s="27" t="s">
        <v>3366</v>
      </c>
      <c r="I253" s="27" t="s">
        <v>3367</v>
      </c>
      <c r="J253" s="27" t="s">
        <v>3368</v>
      </c>
      <c r="M253" s="36" t="s">
        <v>3117</v>
      </c>
      <c r="N253" s="37">
        <v>46062</v>
      </c>
      <c r="O253" s="37">
        <v>46067</v>
      </c>
      <c r="P253" s="26"/>
    </row>
    <row r="254" spans="2:16" ht="12.5">
      <c r="B254" s="8" t="s">
        <v>3112</v>
      </c>
      <c r="C254" s="41" t="s">
        <v>3369</v>
      </c>
      <c r="D254" s="41" t="str">
        <f ca="1">IFERROR(__xludf.DUMMYFUNCTION("IFERROR(ARRAYFORMULA(REGEXEXTRACT(C254,""^(?:https?:\/\/)?(?:[^@\n]+@)?(?:www\.)?([^:\/\n]+)"")),"""")"),"workast.com")</f>
        <v>workast.com</v>
      </c>
      <c r="E254" s="26" t="str">
        <f ca="1">IFERROR(__xludf.DUMMYFUNCTION("""COMPUTED_VALUE"""),"New")</f>
        <v>New</v>
      </c>
      <c r="F254" s="42">
        <v>68</v>
      </c>
      <c r="G254" s="43" t="s">
        <v>3370</v>
      </c>
      <c r="H254" s="27" t="s">
        <v>3371</v>
      </c>
      <c r="I254" s="27" t="s">
        <v>3372</v>
      </c>
      <c r="M254" s="36" t="s">
        <v>3117</v>
      </c>
      <c r="N254" s="37">
        <v>46062</v>
      </c>
      <c r="O254" s="37">
        <v>46067</v>
      </c>
      <c r="P254" s="26"/>
    </row>
    <row r="255" spans="2:16" ht="14.5" hidden="1">
      <c r="B255" s="8" t="s">
        <v>3112</v>
      </c>
      <c r="C255" s="46" t="s">
        <v>3373</v>
      </c>
      <c r="D255" s="41" t="str">
        <f ca="1">IFERROR(__xludf.DUMMYFUNCTION("IFERROR(ARRAYFORMULA(REGEXEXTRACT(C255,""^(?:https?:\/\/)?(?:[^@\n]+@)?(?:www\.)?([^:\/\n]+)"")),"""")"),"diyhomecomfort.com")</f>
        <v>diyhomecomfort.com</v>
      </c>
      <c r="E255" s="26" t="str">
        <f ca="1">IFERROR(__xludf.DUMMYFUNCTION("""COMPUTED_VALUE"""),"Already Exists")</f>
        <v>Already Exists</v>
      </c>
      <c r="F255" s="27">
        <v>32</v>
      </c>
      <c r="G255" s="27">
        <v>1481</v>
      </c>
    </row>
    <row r="256" spans="2:16" ht="14.5">
      <c r="B256" s="8" t="s">
        <v>3112</v>
      </c>
      <c r="C256" s="46" t="s">
        <v>3374</v>
      </c>
      <c r="D256" s="41" t="str">
        <f ca="1">IFERROR(__xludf.DUMMYFUNCTION("IFERROR(ARRAYFORMULA(REGEXEXTRACT(C256,""^(?:https?:\/\/)?(?:[^@\n]+@)?(?:www\.)?([^:\/\n]+)"")),"""")"),"aamstg1.wpenginepowered.com")</f>
        <v>aamstg1.wpenginepowered.com</v>
      </c>
      <c r="E256" s="26" t="str">
        <f ca="1">IFERROR(__xludf.DUMMYFUNCTION("""COMPUTED_VALUE"""),"New")</f>
        <v>New</v>
      </c>
      <c r="F256" s="27">
        <v>91</v>
      </c>
      <c r="G256" s="27">
        <v>17562</v>
      </c>
    </row>
    <row r="257" spans="2:16" ht="14.5" hidden="1">
      <c r="B257" s="8" t="s">
        <v>3112</v>
      </c>
      <c r="C257" s="46" t="s">
        <v>3375</v>
      </c>
      <c r="D257" s="41" t="str">
        <f ca="1">IFERROR(__xludf.DUMMYFUNCTION("IFERROR(ARRAYFORMULA(REGEXEXTRACT(C257,""^(?:https?:\/\/)?(?:[^@\n]+@)?(?:www\.)?([^:\/\n]+)"")),"""")"),"whisperingbold.com")</f>
        <v>whisperingbold.com</v>
      </c>
      <c r="E257" s="26" t="str">
        <f ca="1">IFERROR(__xludf.DUMMYFUNCTION("""COMPUTED_VALUE"""),"Already Exists")</f>
        <v>Already Exists</v>
      </c>
      <c r="F257" s="27">
        <v>28</v>
      </c>
      <c r="G257" s="27">
        <v>1673</v>
      </c>
    </row>
    <row r="258" spans="2:16" ht="14.5" hidden="1">
      <c r="B258" s="8" t="s">
        <v>3112</v>
      </c>
      <c r="C258" s="47" t="s">
        <v>3376</v>
      </c>
      <c r="D258" s="41" t="str">
        <f ca="1">IFERROR(__xludf.DUMMYFUNCTION("IFERROR(ARRAYFORMULA(REGEXEXTRACT(C258,""^(?:https?:\/\/)?(?:[^@\n]+@)?(?:www\.)?([^:\/\n]+)"")),"""")"),"dwellect.com")</f>
        <v>dwellect.com</v>
      </c>
      <c r="E258" s="26" t="str">
        <f ca="1">IFERROR(__xludf.DUMMYFUNCTION("""COMPUTED_VALUE"""),"Already Exists")</f>
        <v>Already Exists</v>
      </c>
      <c r="F258" s="27">
        <v>50</v>
      </c>
      <c r="G258" s="27">
        <v>1022</v>
      </c>
      <c r="J258" s="27" t="s">
        <v>3377</v>
      </c>
      <c r="M258" s="27" t="s">
        <v>3117</v>
      </c>
      <c r="N258" s="48">
        <v>46028</v>
      </c>
      <c r="P258" s="27" t="s">
        <v>3201</v>
      </c>
    </row>
    <row r="259" spans="2:16" ht="14.5">
      <c r="B259" s="8" t="s">
        <v>3112</v>
      </c>
      <c r="C259" s="46" t="s">
        <v>3378</v>
      </c>
      <c r="D259" s="41" t="str">
        <f ca="1">IFERROR(__xludf.DUMMYFUNCTION("IFERROR(ARRAYFORMULA(REGEXEXTRACT(C259,""^(?:https?:\/\/)?(?:[^@\n]+@)?(?:www\.)?([^:\/\n]+)"")),"""")"),"bespoke-bride.com")</f>
        <v>bespoke-bride.com</v>
      </c>
      <c r="E259" s="26" t="str">
        <f ca="1">IFERROR(__xludf.DUMMYFUNCTION("""COMPUTED_VALUE"""),"New")</f>
        <v>New</v>
      </c>
      <c r="F259" s="27">
        <v>60</v>
      </c>
      <c r="G259" s="27">
        <v>1709</v>
      </c>
      <c r="M259" s="27" t="s">
        <v>3117</v>
      </c>
      <c r="N259" s="48">
        <v>46028</v>
      </c>
      <c r="P259" s="26"/>
    </row>
    <row r="260" spans="2:16" ht="14.5" hidden="1">
      <c r="B260" s="8" t="s">
        <v>3112</v>
      </c>
      <c r="C260" s="46" t="s">
        <v>3379</v>
      </c>
      <c r="D260" s="41" t="str">
        <f ca="1">IFERROR(__xludf.DUMMYFUNCTION("IFERROR(ARRAYFORMULA(REGEXEXTRACT(C260,""^(?:https?:\/\/)?(?:[^@\n]+@)?(?:www\.)?([^:\/\n]+)"")),"""")"),"houseofcoco.net")</f>
        <v>houseofcoco.net</v>
      </c>
      <c r="E260" s="26" t="str">
        <f ca="1">IFERROR(__xludf.DUMMYFUNCTION("""COMPUTED_VALUE"""),"Already Exists")</f>
        <v>Already Exists</v>
      </c>
      <c r="F260" s="27">
        <v>64</v>
      </c>
      <c r="G260" s="27">
        <v>2907</v>
      </c>
      <c r="M260" s="27" t="s">
        <v>3117</v>
      </c>
      <c r="N260" s="48">
        <v>46028</v>
      </c>
      <c r="P260" s="26"/>
    </row>
    <row r="261" spans="2:16" ht="14.5">
      <c r="B261" s="8" t="s">
        <v>3112</v>
      </c>
      <c r="C261" s="47" t="s">
        <v>3380</v>
      </c>
      <c r="D261" s="41" t="str">
        <f ca="1">IFERROR(__xludf.DUMMYFUNCTION("IFERROR(ARRAYFORMULA(REGEXEXTRACT(C261,""^(?:https?:\/\/)?(?:[^@\n]+@)?(?:www\.)?([^:\/\n]+)"")),"""")"),"accordinglaw.com")</f>
        <v>accordinglaw.com</v>
      </c>
      <c r="E261" s="26" t="str">
        <f ca="1">IFERROR(__xludf.DUMMYFUNCTION("""COMPUTED_VALUE"""),"New")</f>
        <v>New</v>
      </c>
      <c r="F261" s="27">
        <v>21</v>
      </c>
      <c r="G261" s="27">
        <v>1446</v>
      </c>
      <c r="J261" s="27" t="s">
        <v>3381</v>
      </c>
      <c r="M261" s="27" t="s">
        <v>3117</v>
      </c>
      <c r="N261" s="48">
        <v>46028</v>
      </c>
      <c r="P261" s="27" t="s">
        <v>3201</v>
      </c>
    </row>
    <row r="262" spans="2:16" ht="14.5" hidden="1">
      <c r="B262" s="8" t="s">
        <v>3112</v>
      </c>
      <c r="C262" s="46" t="s">
        <v>3382</v>
      </c>
      <c r="D262" s="41" t="str">
        <f ca="1">IFERROR(__xludf.DUMMYFUNCTION("IFERROR(ARRAYFORMULA(REGEXEXTRACT(C262,""^(?:https?:\/\/)?(?:[^@\n]+@)?(?:www\.)?([^:\/\n]+)"")),"""")"),"tidalloans.com")</f>
        <v>tidalloans.com</v>
      </c>
      <c r="E262" s="26" t="str">
        <f ca="1">IFERROR(__xludf.DUMMYFUNCTION("""COMPUTED_VALUE"""),"Already Exists")</f>
        <v>Already Exists</v>
      </c>
      <c r="F262" s="27">
        <v>26</v>
      </c>
      <c r="G262" s="27">
        <v>2891</v>
      </c>
      <c r="M262" s="27" t="s">
        <v>3117</v>
      </c>
      <c r="N262" s="48">
        <v>46028</v>
      </c>
      <c r="P262" s="26"/>
    </row>
    <row r="263" spans="2:16" ht="14.5">
      <c r="B263" s="8" t="s">
        <v>3112</v>
      </c>
      <c r="C263" s="49" t="s">
        <v>3383</v>
      </c>
      <c r="D263" s="41" t="str">
        <f ca="1">IFERROR(__xludf.DUMMYFUNCTION("IFERROR(ARRAYFORMULA(REGEXEXTRACT(C263,""^(?:https?:\/\/)?(?:[^@\n]+@)?(?:www\.)?([^:\/\n]+)"")),"""")"),"nashvillerealestate.com")</f>
        <v>nashvillerealestate.com</v>
      </c>
      <c r="E263" s="26" t="str">
        <f ca="1">IFERROR(__xludf.DUMMYFUNCTION("""COMPUTED_VALUE"""),"New")</f>
        <v>New</v>
      </c>
      <c r="F263" s="27">
        <v>32</v>
      </c>
      <c r="G263" s="27">
        <v>1156</v>
      </c>
      <c r="H263" s="27" t="s">
        <v>3384</v>
      </c>
      <c r="I263" s="27" t="s">
        <v>3385</v>
      </c>
      <c r="M263" s="27" t="s">
        <v>3117</v>
      </c>
      <c r="N263" s="48">
        <v>46028</v>
      </c>
      <c r="O263" s="37">
        <v>46067</v>
      </c>
      <c r="P263" s="26"/>
    </row>
    <row r="264" spans="2:16" ht="14.5">
      <c r="B264" s="8" t="s">
        <v>3112</v>
      </c>
      <c r="C264" s="49" t="s">
        <v>3386</v>
      </c>
      <c r="D264" s="41" t="str">
        <f ca="1">IFERROR(__xludf.DUMMYFUNCTION("IFERROR(ARRAYFORMULA(REGEXEXTRACT(C264,""^(?:https?:\/\/)?(?:[^@\n]+@)?(?:www\.)?([^:\/\n]+)"")),"""")"),"washingtonian.com")</f>
        <v>washingtonian.com</v>
      </c>
      <c r="E264" s="26" t="str">
        <f ca="1">IFERROR(__xludf.DUMMYFUNCTION("""COMPUTED_VALUE"""),"New")</f>
        <v>New</v>
      </c>
      <c r="F264" s="27">
        <v>82</v>
      </c>
      <c r="G264" s="27">
        <v>98366</v>
      </c>
      <c r="H264" s="27" t="s">
        <v>3387</v>
      </c>
      <c r="I264" s="27" t="s">
        <v>3388</v>
      </c>
      <c r="J264" s="27" t="s">
        <v>3389</v>
      </c>
      <c r="M264" s="27" t="s">
        <v>3117</v>
      </c>
      <c r="N264" s="48">
        <v>46028</v>
      </c>
      <c r="O264" s="37">
        <v>46067</v>
      </c>
      <c r="P264" s="26"/>
    </row>
    <row r="265" spans="2:16" ht="14.5" hidden="1">
      <c r="B265" s="8" t="s">
        <v>3112</v>
      </c>
      <c r="C265" s="46" t="s">
        <v>3390</v>
      </c>
      <c r="D265" s="41" t="str">
        <f ca="1">IFERROR(__xludf.DUMMYFUNCTION("IFERROR(ARRAYFORMULA(REGEXEXTRACT(C265,""^(?:https?:\/\/)?(?:[^@\n]+@)?(?:www\.)?([^:\/\n]+)"")),"""")"),"programminginsider.com")</f>
        <v>programminginsider.com</v>
      </c>
      <c r="E265" s="26" t="str">
        <f ca="1">IFERROR(__xludf.DUMMYFUNCTION("""COMPUTED_VALUE"""),"Already Exists")</f>
        <v>Already Exists</v>
      </c>
      <c r="F265" s="27">
        <v>69</v>
      </c>
      <c r="G265" s="27">
        <v>6973</v>
      </c>
      <c r="M265" s="27" t="s">
        <v>3117</v>
      </c>
      <c r="N265" s="48">
        <v>46028</v>
      </c>
      <c r="P265" s="26"/>
    </row>
    <row r="266" spans="2:16" ht="14.5" hidden="1">
      <c r="B266" s="8" t="s">
        <v>3112</v>
      </c>
      <c r="C266" s="47" t="s">
        <v>3391</v>
      </c>
      <c r="D266" s="41" t="str">
        <f ca="1">IFERROR(__xludf.DUMMYFUNCTION("IFERROR(ARRAYFORMULA(REGEXEXTRACT(C266,""^(?:https?:\/\/)?(?:[^@\n]+@)?(?:www\.)?([^:\/\n]+)"")),"""")"),"womenontopp.com")</f>
        <v>womenontopp.com</v>
      </c>
      <c r="E266" s="26" t="str">
        <f ca="1">IFERROR(__xludf.DUMMYFUNCTION("""COMPUTED_VALUE"""),"Already Exists")</f>
        <v>Already Exists</v>
      </c>
      <c r="F266" s="27">
        <v>47</v>
      </c>
      <c r="G266" s="27">
        <v>1507</v>
      </c>
      <c r="H266" s="27" t="s">
        <v>3392</v>
      </c>
      <c r="J266" s="27" t="s">
        <v>3393</v>
      </c>
      <c r="M266" s="27" t="s">
        <v>3117</v>
      </c>
      <c r="N266" s="48">
        <v>46028</v>
      </c>
      <c r="P266" s="27" t="s">
        <v>3201</v>
      </c>
    </row>
    <row r="267" spans="2:16" ht="14.5">
      <c r="B267" s="8" t="s">
        <v>3112</v>
      </c>
      <c r="C267" s="46" t="s">
        <v>3394</v>
      </c>
      <c r="D267" s="41" t="str">
        <f ca="1">IFERROR(__xludf.DUMMYFUNCTION("IFERROR(ARRAYFORMULA(REGEXEXTRACT(C267,""^(?:https?:\/\/)?(?:[^@\n]+@)?(?:www\.)?([^:\/\n]+)"")),"""")"),"investorshangout.com")</f>
        <v>investorshangout.com</v>
      </c>
      <c r="E267" s="26" t="str">
        <f ca="1">IFERROR(__xludf.DUMMYFUNCTION("""COMPUTED_VALUE"""),"New")</f>
        <v>New</v>
      </c>
      <c r="F267" s="27">
        <v>71</v>
      </c>
      <c r="G267" s="27">
        <v>4186</v>
      </c>
      <c r="M267" s="27" t="s">
        <v>3117</v>
      </c>
      <c r="N267" s="48">
        <v>46028</v>
      </c>
      <c r="O267" s="37"/>
      <c r="P267" s="26"/>
    </row>
    <row r="268" spans="2:16" ht="14.5" hidden="1">
      <c r="B268" s="8" t="s">
        <v>3112</v>
      </c>
      <c r="C268" s="46" t="s">
        <v>3395</v>
      </c>
      <c r="D268" s="41" t="str">
        <f ca="1">IFERROR(__xludf.DUMMYFUNCTION("IFERROR(ARRAYFORMULA(REGEXEXTRACT(C268,""^(?:https?:\/\/)?(?:[^@\n]+@)?(?:www\.)?([^:\/\n]+)"")),"""")"),"illustrarch.com")</f>
        <v>illustrarch.com</v>
      </c>
      <c r="E268" s="26" t="str">
        <f ca="1">IFERROR(__xludf.DUMMYFUNCTION("""COMPUTED_VALUE"""),"Already Exists")</f>
        <v>Already Exists</v>
      </c>
      <c r="F268" s="27">
        <v>58</v>
      </c>
      <c r="G268" s="27">
        <v>3918</v>
      </c>
      <c r="M268" s="27" t="s">
        <v>3117</v>
      </c>
      <c r="N268" s="48">
        <v>46028</v>
      </c>
      <c r="P268" s="26"/>
    </row>
    <row r="269" spans="2:16" ht="14.5" hidden="1">
      <c r="B269" s="8" t="s">
        <v>3112</v>
      </c>
      <c r="C269" s="46" t="s">
        <v>3396</v>
      </c>
      <c r="D269" s="41" t="str">
        <f ca="1">IFERROR(__xludf.DUMMYFUNCTION("IFERROR(ARRAYFORMULA(REGEXEXTRACT(C269,""^(?:https?:\/\/)?(?:[^@\n]+@)?(?:www\.)?([^:\/\n]+)"")),"""")"),"constrofacilitator.com")</f>
        <v>constrofacilitator.com</v>
      </c>
      <c r="E269" s="26" t="str">
        <f ca="1">IFERROR(__xludf.DUMMYFUNCTION("""COMPUTED_VALUE"""),"Already Exists")</f>
        <v>Already Exists</v>
      </c>
      <c r="F269" s="27">
        <v>54</v>
      </c>
      <c r="G269" s="27">
        <v>1535</v>
      </c>
      <c r="M269" s="27" t="s">
        <v>3117</v>
      </c>
      <c r="N269" s="48">
        <v>46028</v>
      </c>
      <c r="P269" s="26"/>
    </row>
    <row r="270" spans="2:16" ht="14.5">
      <c r="B270" s="8" t="s">
        <v>3112</v>
      </c>
      <c r="C270" s="49" t="s">
        <v>3397</v>
      </c>
      <c r="D270" s="41" t="str">
        <f ca="1">IFERROR(__xludf.DUMMYFUNCTION("IFERROR(ARRAYFORMULA(REGEXEXTRACT(C270,""^(?:https?:\/\/)?(?:[^@\n]+@)?(?:www\.)?([^:\/\n]+)"")),"""")"),"awaylands.com")</f>
        <v>awaylands.com</v>
      </c>
      <c r="E270" s="26" t="str">
        <f ca="1">IFERROR(__xludf.DUMMYFUNCTION("""COMPUTED_VALUE"""),"New")</f>
        <v>New</v>
      </c>
      <c r="F270" s="27">
        <v>32</v>
      </c>
      <c r="G270" s="27">
        <v>78366</v>
      </c>
      <c r="H270" s="27" t="s">
        <v>3398</v>
      </c>
      <c r="I270" s="27" t="s">
        <v>3399</v>
      </c>
      <c r="J270" s="27" t="s">
        <v>3400</v>
      </c>
      <c r="M270" s="27" t="s">
        <v>3117</v>
      </c>
      <c r="N270" s="48">
        <v>46028</v>
      </c>
      <c r="O270" s="37">
        <v>46068</v>
      </c>
      <c r="P270" s="26"/>
    </row>
    <row r="271" spans="2:16" ht="14.5" hidden="1">
      <c r="B271" s="8" t="s">
        <v>3112</v>
      </c>
      <c r="C271" s="46" t="s">
        <v>3401</v>
      </c>
      <c r="D271" s="41" t="str">
        <f ca="1">IFERROR(__xludf.DUMMYFUNCTION("IFERROR(ARRAYFORMULA(REGEXEXTRACT(C271,""^(?:https?:\/\/)?(?:[^@\n]+@)?(?:www\.)?([^:\/\n]+)"")),"""")"),"thearchitectsdiary.com")</f>
        <v>thearchitectsdiary.com</v>
      </c>
      <c r="E271" s="26" t="str">
        <f ca="1">IFERROR(__xludf.DUMMYFUNCTION("""COMPUTED_VALUE"""),"Already Exists")</f>
        <v>Already Exists</v>
      </c>
      <c r="F271" s="27">
        <v>68</v>
      </c>
      <c r="G271" s="27">
        <v>49116</v>
      </c>
      <c r="M271" s="27" t="s">
        <v>3117</v>
      </c>
      <c r="N271" s="48">
        <v>46028</v>
      </c>
      <c r="P271" s="26"/>
    </row>
    <row r="272" spans="2:16" ht="12.5">
      <c r="B272" s="8" t="s">
        <v>3112</v>
      </c>
      <c r="C272" s="50" t="s">
        <v>3402</v>
      </c>
      <c r="D272" s="41" t="str">
        <f ca="1">IFERROR(__xludf.DUMMYFUNCTION("IFERROR(ARRAYFORMULA(REGEXEXTRACT(C272,""^(?:https?:\/\/)?(?:[^@\n]+@)?(?:www\.)?([^:\/\n]+)"")),"""")"),"beycome.com")</f>
        <v>beycome.com</v>
      </c>
      <c r="E272" s="26" t="str">
        <f ca="1">IFERROR(__xludf.DUMMYFUNCTION("""COMPUTED_VALUE"""),"New")</f>
        <v>New</v>
      </c>
      <c r="F272" s="42">
        <v>43</v>
      </c>
      <c r="G272" s="43" t="s">
        <v>3403</v>
      </c>
      <c r="H272" s="51"/>
      <c r="I272" s="51"/>
      <c r="J272" s="51" t="s">
        <v>3404</v>
      </c>
      <c r="M272" s="27" t="s">
        <v>3117</v>
      </c>
      <c r="N272" s="48">
        <v>46028</v>
      </c>
      <c r="O272" s="37">
        <v>46068</v>
      </c>
      <c r="P272" s="26"/>
    </row>
    <row r="273" spans="1:16" ht="12.5">
      <c r="B273" s="8" t="s">
        <v>3112</v>
      </c>
      <c r="C273" s="50" t="s">
        <v>3405</v>
      </c>
      <c r="D273" s="41" t="str">
        <f ca="1">IFERROR(__xludf.DUMMYFUNCTION("IFERROR(ARRAYFORMULA(REGEXEXTRACT(C273,""^(?:https?:\/\/)?(?:[^@\n]+@)?(?:www\.)?([^:\/\n]+)"")),"""")"),"enrichest.com")</f>
        <v>enrichest.com</v>
      </c>
      <c r="E273" s="26" t="str">
        <f ca="1">IFERROR(__xludf.DUMMYFUNCTION("""COMPUTED_VALUE"""),"New")</f>
        <v>New</v>
      </c>
      <c r="F273" s="42">
        <v>44</v>
      </c>
      <c r="G273" s="43" t="s">
        <v>3406</v>
      </c>
      <c r="H273" s="51"/>
      <c r="I273" s="51"/>
      <c r="J273" s="51" t="s">
        <v>3407</v>
      </c>
      <c r="M273" s="27" t="s">
        <v>3117</v>
      </c>
      <c r="N273" s="48">
        <v>46028</v>
      </c>
      <c r="P273" s="26"/>
    </row>
    <row r="274" spans="1:16" ht="14">
      <c r="B274" s="8" t="s">
        <v>3112</v>
      </c>
      <c r="C274" s="52" t="s">
        <v>3408</v>
      </c>
      <c r="D274" s="41" t="str">
        <f ca="1">IFERROR(__xludf.DUMMYFUNCTION("IFERROR(ARRAYFORMULA(REGEXEXTRACT(C274,""^(?:https?:\/\/)?(?:[^@\n]+@)?(?:www\.)?([^:\/\n]+)"")),"""")"),"flock.com")</f>
        <v>flock.com</v>
      </c>
      <c r="E274" s="26" t="str">
        <f ca="1">IFERROR(__xludf.DUMMYFUNCTION("""COMPUTED_VALUE"""),"New")</f>
        <v>New</v>
      </c>
      <c r="F274" s="42">
        <v>77</v>
      </c>
      <c r="G274" s="43" t="s">
        <v>3409</v>
      </c>
      <c r="H274" s="51" t="s">
        <v>3410</v>
      </c>
      <c r="I274" s="51" t="s">
        <v>3411</v>
      </c>
      <c r="J274" s="51"/>
      <c r="M274" s="27" t="s">
        <v>3117</v>
      </c>
      <c r="N274" s="48">
        <v>46028</v>
      </c>
      <c r="O274" s="37">
        <v>46068</v>
      </c>
      <c r="P274" s="26"/>
    </row>
    <row r="275" spans="1:16" ht="12.5">
      <c r="B275" s="8" t="s">
        <v>3112</v>
      </c>
      <c r="C275" s="50" t="s">
        <v>3412</v>
      </c>
      <c r="D275" s="41" t="str">
        <f ca="1">IFERROR(__xludf.DUMMYFUNCTION("IFERROR(ARRAYFORMULA(REGEXEXTRACT(C275,""^(?:https?:\/\/)?(?:[^@\n]+@)?(?:www\.)?([^:\/\n]+)"")),"""")"),"wasteremovalusa.com")</f>
        <v>wasteremovalusa.com</v>
      </c>
      <c r="E275" s="26" t="str">
        <f ca="1">IFERROR(__xludf.DUMMYFUNCTION("""COMPUTED_VALUE"""),"New")</f>
        <v>New</v>
      </c>
      <c r="F275" s="42">
        <v>61</v>
      </c>
      <c r="G275" s="43" t="s">
        <v>3347</v>
      </c>
      <c r="H275" s="51"/>
      <c r="I275" s="51"/>
      <c r="J275" s="51" t="s">
        <v>3413</v>
      </c>
      <c r="M275" s="27" t="s">
        <v>3117</v>
      </c>
      <c r="N275" s="48">
        <v>46028</v>
      </c>
      <c r="O275" s="48">
        <v>46068</v>
      </c>
      <c r="P275" s="26"/>
    </row>
    <row r="276" spans="1:16" ht="12.5">
      <c r="A276" s="3" t="s">
        <v>38</v>
      </c>
      <c r="B276" s="53" t="s">
        <v>2798</v>
      </c>
      <c r="C276" s="8" t="s">
        <v>3414</v>
      </c>
      <c r="D276" s="41" t="str">
        <f ca="1">IFERROR(__xludf.DUMMYFUNCTION("IFERROR(ARRAYFORMULA(REGEXEXTRACT(C276,""^(?:https?:\/\/)?(?:[^@\n]+@)?(?:www\.)?([^:\/\n]+)"")),"""")"),"outerbanks.com")</f>
        <v>outerbanks.com</v>
      </c>
      <c r="E276" s="26" t="str">
        <f ca="1">IFERROR(__xludf.DUMMYFUNCTION("""COMPUTED_VALUE"""),"New")</f>
        <v>New</v>
      </c>
      <c r="F276" s="27">
        <v>59</v>
      </c>
      <c r="G276" s="27">
        <v>31491</v>
      </c>
      <c r="P276" s="26"/>
    </row>
    <row r="277" spans="1:16" ht="12.5">
      <c r="A277" s="3" t="s">
        <v>38</v>
      </c>
      <c r="B277" s="3" t="s">
        <v>2798</v>
      </c>
      <c r="C277" s="8" t="s">
        <v>3415</v>
      </c>
      <c r="D277" s="41" t="str">
        <f ca="1">IFERROR(__xludf.DUMMYFUNCTION("IFERROR(ARRAYFORMULA(REGEXEXTRACT(C277,""^(?:https?:\/\/)?(?:[^@\n]+@)?(?:www\.)?([^:\/\n]+)"")),"""")"),"nagsheadguide.com")</f>
        <v>nagsheadguide.com</v>
      </c>
      <c r="E277" s="26" t="str">
        <f ca="1">IFERROR(__xludf.DUMMYFUNCTION("""COMPUTED_VALUE"""),"New")</f>
        <v>New</v>
      </c>
      <c r="F277" s="27">
        <v>33</v>
      </c>
      <c r="G277" s="27">
        <v>5071</v>
      </c>
      <c r="P277" s="26"/>
    </row>
    <row r="278" spans="1:16" ht="12.5">
      <c r="A278" s="3" t="s">
        <v>38</v>
      </c>
      <c r="B278" s="3" t="s">
        <v>2798</v>
      </c>
      <c r="C278" s="8" t="s">
        <v>3416</v>
      </c>
      <c r="D278" s="41" t="str">
        <f ca="1">IFERROR(__xludf.DUMMYFUNCTION("IFERROR(ARRAYFORMULA(REGEXEXTRACT(C278,""^(?:https?:\/\/)?(?:[^@\n]+@)?(?:www\.)?([^:\/\n]+)"")),"""")"),"corollaguide.com")</f>
        <v>corollaguide.com</v>
      </c>
      <c r="E278" s="26" t="str">
        <f ca="1">IFERROR(__xludf.DUMMYFUNCTION("""COMPUTED_VALUE"""),"New")</f>
        <v>New</v>
      </c>
      <c r="F278" s="27">
        <v>31</v>
      </c>
      <c r="G278" s="27">
        <v>2751</v>
      </c>
      <c r="P278" s="26"/>
    </row>
    <row r="279" spans="1:16" ht="12.5">
      <c r="A279" s="3" t="s">
        <v>38</v>
      </c>
      <c r="B279" s="3" t="s">
        <v>2798</v>
      </c>
      <c r="C279" s="8" t="s">
        <v>3417</v>
      </c>
      <c r="D279" s="41" t="str">
        <f ca="1">IFERROR(__xludf.DUMMYFUNCTION("IFERROR(ARRAYFORMULA(REGEXEXTRACT(C279,""^(?:https?:\/\/)?(?:[^@\n]+@)?(?:www\.)?([^:\/\n]+)"")),"""")"),"obxguides.com")</f>
        <v>obxguides.com</v>
      </c>
      <c r="E279" s="26" t="str">
        <f ca="1">IFERROR(__xludf.DUMMYFUNCTION("""COMPUTED_VALUE"""),"New")</f>
        <v>New</v>
      </c>
      <c r="F279" s="27">
        <v>52</v>
      </c>
      <c r="G279" s="27">
        <v>10685</v>
      </c>
      <c r="P279" s="26"/>
    </row>
    <row r="280" spans="1:16" ht="12.5">
      <c r="A280" s="3" t="s">
        <v>38</v>
      </c>
      <c r="B280" s="3" t="s">
        <v>2798</v>
      </c>
      <c r="C280" s="8" t="s">
        <v>3418</v>
      </c>
      <c r="D280" s="41" t="str">
        <f ca="1">IFERROR(__xludf.DUMMYFUNCTION("IFERROR(ARRAYFORMULA(REGEXEXTRACT(C280,""^(?:https?:\/\/)?(?:[^@\n]+@)?(?:www\.)?([^:\/\n]+)"")),"""")"),"thelostcolony.org")</f>
        <v>thelostcolony.org</v>
      </c>
      <c r="E280" s="26" t="str">
        <f ca="1">IFERROR(__xludf.DUMMYFUNCTION("""COMPUTED_VALUE"""),"New")</f>
        <v>New</v>
      </c>
      <c r="F280" s="27">
        <v>49</v>
      </c>
      <c r="G280" s="27">
        <v>2311</v>
      </c>
      <c r="P280" s="26"/>
    </row>
    <row r="281" spans="1:16" ht="12.5">
      <c r="A281" s="3" t="s">
        <v>38</v>
      </c>
      <c r="B281" s="3" t="s">
        <v>2798</v>
      </c>
      <c r="C281" s="8" t="s">
        <v>3419</v>
      </c>
      <c r="D281" s="41" t="str">
        <f ca="1">IFERROR(__xludf.DUMMYFUNCTION("IFERROR(ARRAYFORMULA(REGEXEXTRACT(C281,""^(?:https?:\/\/)?(?:[^@\n]+@)?(?:www\.)?([^:\/\n]+)"")),"""")"),"duckncguide.com")</f>
        <v>duckncguide.com</v>
      </c>
      <c r="E281" s="26" t="str">
        <f ca="1">IFERROR(__xludf.DUMMYFUNCTION("""COMPUTED_VALUE"""),"New")</f>
        <v>New</v>
      </c>
      <c r="F281" s="27">
        <v>27</v>
      </c>
      <c r="G281" s="27">
        <v>2826</v>
      </c>
      <c r="P281" s="26"/>
    </row>
    <row r="282" spans="1:16" ht="12.5">
      <c r="A282" s="3" t="s">
        <v>38</v>
      </c>
      <c r="B282" s="3" t="s">
        <v>2798</v>
      </c>
      <c r="C282" s="8" t="s">
        <v>3420</v>
      </c>
      <c r="D282" s="41" t="str">
        <f ca="1">IFERROR(__xludf.DUMMYFUNCTION("IFERROR(ARRAYFORMULA(REGEXEXTRACT(C282,""^(?:https?:\/\/)?(?:[^@\n]+@)?(?:www\.)?([^:\/\n]+)"")),"""")"),"eater.com")</f>
        <v>eater.com</v>
      </c>
      <c r="E282" s="26" t="str">
        <f ca="1">IFERROR(__xludf.DUMMYFUNCTION("""COMPUTED_VALUE"""),"New")</f>
        <v>New</v>
      </c>
      <c r="F282" s="27">
        <v>90</v>
      </c>
      <c r="G282" s="27">
        <v>1883416</v>
      </c>
      <c r="P282" s="26"/>
    </row>
    <row r="283" spans="1:16" ht="12.5">
      <c r="A283" s="3" t="s">
        <v>38</v>
      </c>
      <c r="B283" s="3" t="s">
        <v>2798</v>
      </c>
      <c r="C283" s="11" t="s">
        <v>3421</v>
      </c>
      <c r="D283" s="41" t="str">
        <f ca="1">IFERROR(__xludf.DUMMYFUNCTION("IFERROR(ARRAYFORMULA(REGEXEXTRACT(C283,""^(?:https?:\/\/)?(?:[^@\n]+@)?(?:www\.)?([^:\/\n]+)"")),"""")"),"northernouterbanks.com")</f>
        <v>northernouterbanks.com</v>
      </c>
      <c r="E283" s="26" t="str">
        <f ca="1">IFERROR(__xludf.DUMMYFUNCTION("""COMPUTED_VALUE"""),"New")</f>
        <v>New</v>
      </c>
      <c r="F283" s="27">
        <v>41</v>
      </c>
      <c r="G283" s="27">
        <v>7214</v>
      </c>
      <c r="J283" s="27" t="s">
        <v>3422</v>
      </c>
      <c r="M283" s="27" t="s">
        <v>3117</v>
      </c>
      <c r="N283" s="48">
        <v>46029</v>
      </c>
      <c r="O283" s="48">
        <v>46068</v>
      </c>
      <c r="P283" s="26"/>
    </row>
    <row r="284" spans="1:16" ht="12.5">
      <c r="A284" s="3" t="s">
        <v>38</v>
      </c>
      <c r="B284" s="3" t="s">
        <v>2798</v>
      </c>
      <c r="C284" s="8" t="s">
        <v>3423</v>
      </c>
      <c r="D284" s="41" t="str">
        <f ca="1">IFERROR(__xludf.DUMMYFUNCTION("IFERROR(ARRAYFORMULA(REGEXEXTRACT(C284,""^(?:https?:\/\/)?(?:[^@\n]+@)?(?:www\.)?([^:\/\n]+)"")),"""")"),"engagebay.com")</f>
        <v>engagebay.com</v>
      </c>
      <c r="E284" s="26" t="str">
        <f ca="1">IFERROR(__xludf.DUMMYFUNCTION("""COMPUTED_VALUE"""),"New")</f>
        <v>New</v>
      </c>
      <c r="F284" s="27">
        <v>78</v>
      </c>
      <c r="G284" s="27">
        <v>62328</v>
      </c>
      <c r="P284" s="26"/>
    </row>
    <row r="285" spans="1:16" ht="12.5">
      <c r="A285" s="3" t="s">
        <v>38</v>
      </c>
      <c r="B285" s="3" t="s">
        <v>2798</v>
      </c>
      <c r="C285" s="11" t="s">
        <v>3424</v>
      </c>
      <c r="D285" s="41" t="str">
        <f ca="1">IFERROR(__xludf.DUMMYFUNCTION("IFERROR(ARRAYFORMULA(REGEXEXTRACT(C285,""^(?:https?:\/\/)?(?:[^@\n]+@)?(?:www\.)?([^:\/\n]+)"")),"""")"),"outerbanksvoice.com")</f>
        <v>outerbanksvoice.com</v>
      </c>
      <c r="E285" s="26" t="str">
        <f ca="1">IFERROR(__xludf.DUMMYFUNCTION("""COMPUTED_VALUE"""),"New")</f>
        <v>New</v>
      </c>
      <c r="F285" s="27">
        <v>57</v>
      </c>
      <c r="G285" s="27">
        <v>10266</v>
      </c>
      <c r="H285" s="27" t="s">
        <v>3425</v>
      </c>
      <c r="I285" s="27" t="s">
        <v>3426</v>
      </c>
      <c r="J285" s="27" t="s">
        <v>3427</v>
      </c>
      <c r="M285" s="27" t="s">
        <v>3117</v>
      </c>
      <c r="N285" s="48">
        <v>46029</v>
      </c>
      <c r="O285" s="48">
        <v>46068</v>
      </c>
      <c r="P285" s="26"/>
    </row>
    <row r="286" spans="1:16" ht="12.5">
      <c r="A286" s="3" t="s">
        <v>38</v>
      </c>
      <c r="B286" s="3" t="s">
        <v>2798</v>
      </c>
      <c r="C286" s="8" t="s">
        <v>3428</v>
      </c>
      <c r="D286" s="41" t="str">
        <f ca="1">IFERROR(__xludf.DUMMYFUNCTION("IFERROR(ARRAYFORMULA(REGEXEXTRACT(C286,""^(?:https?:\/\/)?(?:[^@\n]+@)?(?:www\.)?([^:\/\n]+)"")),"""")"),"ducknc.gov")</f>
        <v>ducknc.gov</v>
      </c>
      <c r="E286" s="26" t="str">
        <f ca="1">IFERROR(__xludf.DUMMYFUNCTION("""COMPUTED_VALUE"""),"New")</f>
        <v>New</v>
      </c>
      <c r="F286" s="27">
        <v>48</v>
      </c>
      <c r="G286" s="27">
        <v>9193</v>
      </c>
      <c r="P286" s="26"/>
    </row>
    <row r="287" spans="1:16" ht="12.5">
      <c r="A287" s="3" t="s">
        <v>38</v>
      </c>
      <c r="B287" s="3" t="s">
        <v>2798</v>
      </c>
      <c r="C287" s="8" t="s">
        <v>3429</v>
      </c>
      <c r="D287" s="41" t="str">
        <f ca="1">IFERROR(__xludf.DUMMYFUNCTION("IFERROR(ARRAYFORMULA(REGEXEXTRACT(C287,""^(?:https?:\/\/)?(?:[^@\n]+@)?(?:www\.)?([^:\/\n]+)"")),"""")"),"outerbanksthisweek.com")</f>
        <v>outerbanksthisweek.com</v>
      </c>
      <c r="E287" s="26" t="str">
        <f ca="1">IFERROR(__xludf.DUMMYFUNCTION("""COMPUTED_VALUE"""),"New")</f>
        <v>New</v>
      </c>
      <c r="F287" s="27">
        <v>59</v>
      </c>
      <c r="G287" s="27">
        <v>2612</v>
      </c>
      <c r="P287" s="26"/>
    </row>
    <row r="288" spans="1:16" ht="12.5">
      <c r="A288" s="3" t="s">
        <v>38</v>
      </c>
      <c r="B288" s="3" t="s">
        <v>2798</v>
      </c>
      <c r="C288" s="8" t="s">
        <v>3430</v>
      </c>
      <c r="D288" s="41" t="str">
        <f ca="1">IFERROR(__xludf.DUMMYFUNCTION("IFERROR(ARRAYFORMULA(REGEXEXTRACT(C288,""^(?:https?:\/\/)?(?:[^@\n]+@)?(?:www\.)?([^:\/\n]+)"")),"""")"),"everyqueer.com")</f>
        <v>everyqueer.com</v>
      </c>
      <c r="E288" s="26" t="str">
        <f ca="1">IFERROR(__xludf.DUMMYFUNCTION("""COMPUTED_VALUE"""),"New")</f>
        <v>New</v>
      </c>
      <c r="F288" s="27">
        <v>42</v>
      </c>
      <c r="G288" s="27">
        <v>10070</v>
      </c>
      <c r="P288" s="26"/>
    </row>
    <row r="289" spans="1:16" ht="12.5">
      <c r="A289" s="3" t="s">
        <v>38</v>
      </c>
      <c r="B289" s="3" t="s">
        <v>2798</v>
      </c>
      <c r="C289" s="8" t="s">
        <v>3431</v>
      </c>
      <c r="D289" s="41" t="str">
        <f ca="1">IFERROR(__xludf.DUMMYFUNCTION("IFERROR(ARRAYFORMULA(REGEXEXTRACT(C289,""^(?:https?:\/\/)?(?:[^@\n]+@)?(?:www\.)?([^:\/\n]+)"")),"""")"),"coherentmarketinsights.com")</f>
        <v>coherentmarketinsights.com</v>
      </c>
      <c r="E289" s="26" t="str">
        <f ca="1">IFERROR(__xludf.DUMMYFUNCTION("""COMPUTED_VALUE"""),"New")</f>
        <v>New</v>
      </c>
      <c r="F289" s="27">
        <v>76</v>
      </c>
      <c r="G289" s="27">
        <v>8032</v>
      </c>
      <c r="P289" s="26"/>
    </row>
    <row r="290" spans="1:16" ht="12.5">
      <c r="A290" s="3" t="s">
        <v>38</v>
      </c>
      <c r="B290" s="3" t="s">
        <v>2798</v>
      </c>
      <c r="C290" s="8" t="s">
        <v>3432</v>
      </c>
      <c r="D290" s="41" t="str">
        <f ca="1">IFERROR(__xludf.DUMMYFUNCTION("IFERROR(ARRAYFORMULA(REGEXEXTRACT(C290,""^(?:https?:\/\/)?(?:[^@\n]+@)?(?:www\.)?([^:\/\n]+)"")),"""")"),"outerbanks.org")</f>
        <v>outerbanks.org</v>
      </c>
      <c r="E290" s="26" t="str">
        <f ca="1">IFERROR(__xludf.DUMMYFUNCTION("""COMPUTED_VALUE"""),"New")</f>
        <v>New</v>
      </c>
      <c r="F290" s="27">
        <v>68</v>
      </c>
      <c r="G290" s="27">
        <v>156326</v>
      </c>
      <c r="P290" s="26"/>
    </row>
    <row r="291" spans="1:16" ht="12.5" hidden="1">
      <c r="A291" s="3" t="s">
        <v>38</v>
      </c>
      <c r="B291" s="3" t="s">
        <v>2798</v>
      </c>
      <c r="C291" s="8" t="s">
        <v>3433</v>
      </c>
      <c r="D291" s="41" t="str">
        <f ca="1">IFERROR(__xludf.DUMMYFUNCTION("IFERROR(ARRAYFORMULA(REGEXEXTRACT(C291,""^(?:https?:\/\/)?(?:[^@\n]+@)?(?:www\.)?([^:\/\n]+)"")),"""")"),"rentbottomline.com")</f>
        <v>rentbottomline.com</v>
      </c>
      <c r="E291" s="26" t="str">
        <f ca="1">IFERROR(__xludf.DUMMYFUNCTION("""COMPUTED_VALUE"""),"Already Exists")</f>
        <v>Already Exists</v>
      </c>
      <c r="F291" s="27">
        <v>30</v>
      </c>
      <c r="G291" s="27">
        <v>2781</v>
      </c>
      <c r="P291" s="26"/>
    </row>
    <row r="292" spans="1:16" ht="12.5" hidden="1">
      <c r="A292" s="3" t="s">
        <v>38</v>
      </c>
      <c r="B292" s="3" t="s">
        <v>2798</v>
      </c>
      <c r="C292" s="8" t="s">
        <v>3434</v>
      </c>
      <c r="D292" s="41" t="str">
        <f ca="1">IFERROR(__xludf.DUMMYFUNCTION("IFERROR(ARRAYFORMULA(REGEXEXTRACT(C292,""^(?:https?:\/\/)?(?:[^@\n]+@)?(?:www\.)?([^:\/\n]+)"")),"""")"),"businessabc.net")</f>
        <v>businessabc.net</v>
      </c>
      <c r="E292" s="26" t="str">
        <f ca="1">IFERROR(__xludf.DUMMYFUNCTION("""COMPUTED_VALUE"""),"Already Exists")</f>
        <v>Already Exists</v>
      </c>
      <c r="F292" s="27">
        <v>80</v>
      </c>
      <c r="G292" s="27">
        <v>11971</v>
      </c>
      <c r="P292" s="26"/>
    </row>
    <row r="293" spans="1:16" ht="12.5" hidden="1">
      <c r="A293" s="3" t="s">
        <v>38</v>
      </c>
      <c r="B293" s="3" t="s">
        <v>2798</v>
      </c>
      <c r="C293" s="8" t="s">
        <v>3435</v>
      </c>
      <c r="D293" s="41" t="str">
        <f ca="1">IFERROR(__xludf.DUMMYFUNCTION("IFERROR(ARRAYFORMULA(REGEXEXTRACT(C293,""^(?:https?:\/\/)?(?:[^@\n]+@)?(?:www\.)?([^:\/\n]+)"")),"""")"),"simpleshowing.com")</f>
        <v>simpleshowing.com</v>
      </c>
      <c r="E293" s="26" t="str">
        <f ca="1">IFERROR(__xludf.DUMMYFUNCTION("""COMPUTED_VALUE"""),"Already Exists")</f>
        <v>Already Exists</v>
      </c>
      <c r="F293" s="27">
        <v>49</v>
      </c>
      <c r="G293" s="27">
        <v>2111</v>
      </c>
      <c r="P293" s="26"/>
    </row>
    <row r="294" spans="1:16" ht="12.5">
      <c r="A294" s="3" t="s">
        <v>38</v>
      </c>
      <c r="B294" s="3" t="s">
        <v>2798</v>
      </c>
      <c r="C294" s="8" t="s">
        <v>3436</v>
      </c>
      <c r="D294" s="41" t="str">
        <f ca="1">IFERROR(__xludf.DUMMYFUNCTION("IFERROR(ARRAYFORMULA(REGEXEXTRACT(C294,""^(?:https?:\/\/)?(?:[^@\n]+@)?(?:www\.)?([^:\/\n]+)"")),"""")"),"daytranslations.com")</f>
        <v>daytranslations.com</v>
      </c>
      <c r="E294" s="26" t="str">
        <f ca="1">IFERROR(__xludf.DUMMYFUNCTION("""COMPUTED_VALUE"""),"New")</f>
        <v>New</v>
      </c>
      <c r="F294" s="27">
        <v>74</v>
      </c>
      <c r="G294" s="27">
        <v>28327</v>
      </c>
      <c r="P294" s="26"/>
    </row>
    <row r="295" spans="1:16" ht="12.5">
      <c r="A295" s="3" t="s">
        <v>38</v>
      </c>
      <c r="B295" s="3" t="s">
        <v>2798</v>
      </c>
      <c r="C295" s="8" t="s">
        <v>3437</v>
      </c>
      <c r="D295" s="41" t="str">
        <f ca="1">IFERROR(__xludf.DUMMYFUNCTION("IFERROR(ARRAYFORMULA(REGEXEXTRACT(C295,""^(?:https?:\/\/)?(?:[^@\n]+@)?(?:www\.)?([^:\/\n]+)"")),"""")"),"todaysmama.com")</f>
        <v>todaysmama.com</v>
      </c>
      <c r="E295" s="26" t="str">
        <f ca="1">IFERROR(__xludf.DUMMYFUNCTION("""COMPUTED_VALUE"""),"New")</f>
        <v>New</v>
      </c>
      <c r="F295" s="27">
        <v>50</v>
      </c>
      <c r="G295" s="27">
        <v>2818</v>
      </c>
      <c r="P295" s="26"/>
    </row>
    <row r="296" spans="1:16" ht="12.5">
      <c r="A296" s="3" t="s">
        <v>38</v>
      </c>
      <c r="B296" s="3" t="s">
        <v>2798</v>
      </c>
      <c r="C296" s="8" t="s">
        <v>3438</v>
      </c>
      <c r="D296" s="41" t="str">
        <f ca="1">IFERROR(__xludf.DUMMYFUNCTION("IFERROR(ARRAYFORMULA(REGEXEXTRACT(C296,""^(?:https?:\/\/)?(?:[^@\n]+@)?(?:www\.)?([^:\/\n]+)"")),"""")"),"fintechzoom.io")</f>
        <v>fintechzoom.io</v>
      </c>
      <c r="E296" s="26" t="str">
        <f ca="1">IFERROR(__xludf.DUMMYFUNCTION("""COMPUTED_VALUE"""),"New")</f>
        <v>New</v>
      </c>
      <c r="F296" s="27">
        <v>72</v>
      </c>
      <c r="G296" s="27">
        <v>2506</v>
      </c>
      <c r="P296" s="26"/>
    </row>
    <row r="297" spans="1:16" ht="12.5" hidden="1">
      <c r="A297" s="3" t="s">
        <v>38</v>
      </c>
      <c r="B297" s="3" t="s">
        <v>2798</v>
      </c>
      <c r="C297" s="8" t="s">
        <v>3439</v>
      </c>
      <c r="D297" s="41" t="str">
        <f ca="1">IFERROR(__xludf.DUMMYFUNCTION("IFERROR(ARRAYFORMULA(REGEXEXTRACT(C297,""^(?:https?:\/\/)?(?:[^@\n]+@)?(?:www\.)?([^:\/\n]+)"")),"""")"),"nomadisbeautiful.com")</f>
        <v>nomadisbeautiful.com</v>
      </c>
      <c r="E297" s="26" t="str">
        <f ca="1">IFERROR(__xludf.DUMMYFUNCTION("""COMPUTED_VALUE"""),"Already Exists")</f>
        <v>Already Exists</v>
      </c>
      <c r="F297" s="27">
        <v>35</v>
      </c>
      <c r="G297" s="27">
        <v>1431</v>
      </c>
      <c r="P297" s="26"/>
    </row>
    <row r="298" spans="1:16" ht="12.5">
      <c r="A298" s="3" t="s">
        <v>38</v>
      </c>
      <c r="B298" s="3" t="s">
        <v>2798</v>
      </c>
      <c r="C298" s="8" t="s">
        <v>3440</v>
      </c>
      <c r="D298" s="41" t="str">
        <f ca="1">IFERROR(__xludf.DUMMYFUNCTION("IFERROR(ARRAYFORMULA(REGEXEXTRACT(C298,""^(?:https?:\/\/)?(?:[^@\n]+@)?(?:www\.)?([^:\/\n]+)"")),"""")"),"hmdb.org")</f>
        <v>hmdb.org</v>
      </c>
      <c r="E298" s="26" t="str">
        <f ca="1">IFERROR(__xludf.DUMMYFUNCTION("""COMPUTED_VALUE"""),"New")</f>
        <v>New</v>
      </c>
      <c r="F298" s="27">
        <v>77</v>
      </c>
      <c r="G298" s="27">
        <v>17194</v>
      </c>
      <c r="P298" s="26"/>
    </row>
    <row r="299" spans="1:16" ht="12.5">
      <c r="A299" s="3" t="s">
        <v>38</v>
      </c>
      <c r="B299" s="3" t="s">
        <v>2798</v>
      </c>
      <c r="C299" s="8" t="s">
        <v>3441</v>
      </c>
      <c r="D299" s="41" t="str">
        <f ca="1">IFERROR(__xludf.DUMMYFUNCTION("IFERROR(ARRAYFORMULA(REGEXEXTRACT(C299,""^(?:https?:\/\/)?(?:[^@\n]+@)?(?:www\.)?([^:\/\n]+)"")),"""")"),"business.elizabethcitychamber.org")</f>
        <v>business.elizabethcitychamber.org</v>
      </c>
      <c r="E299" s="26" t="str">
        <f ca="1">IFERROR(__xludf.DUMMYFUNCTION("""COMPUTED_VALUE"""),"New")</f>
        <v>New</v>
      </c>
      <c r="F299" s="27">
        <v>29</v>
      </c>
      <c r="G299" s="27">
        <v>1358</v>
      </c>
      <c r="P299" s="26"/>
    </row>
    <row r="300" spans="1:16" ht="12.5">
      <c r="A300" s="3" t="s">
        <v>38</v>
      </c>
      <c r="B300" s="3" t="s">
        <v>2798</v>
      </c>
      <c r="C300" s="8" t="s">
        <v>3442</v>
      </c>
      <c r="D300" s="41" t="str">
        <f ca="1">IFERROR(__xludf.DUMMYFUNCTION("IFERROR(ARRAYFORMULA(REGEXEXTRACT(C300,""^(?:https?:\/\/)?(?:[^@\n]+@)?(?:www\.)?([^:\/\n]+)"")),"""")"),"yovenice.com")</f>
        <v>yovenice.com</v>
      </c>
      <c r="E300" s="26" t="str">
        <f ca="1">IFERROR(__xludf.DUMMYFUNCTION("""COMPUTED_VALUE"""),"New")</f>
        <v>New</v>
      </c>
      <c r="F300" s="27">
        <v>50</v>
      </c>
      <c r="G300" s="27">
        <v>1494</v>
      </c>
      <c r="P300" s="26"/>
    </row>
    <row r="301" spans="1:16" ht="12.5">
      <c r="A301" s="3" t="s">
        <v>38</v>
      </c>
      <c r="B301" s="3" t="s">
        <v>2798</v>
      </c>
      <c r="C301" s="8" t="s">
        <v>3443</v>
      </c>
      <c r="D301" s="41" t="str">
        <f ca="1">IFERROR(__xludf.DUMMYFUNCTION("IFERROR(ARRAYFORMULA(REGEXEXTRACT(C301,""^(?:https?:\/\/)?(?:[^@\n]+@)?(?:www\.)?([^:\/\n]+)"")),"""")"),"appycouple.com")</f>
        <v>appycouple.com</v>
      </c>
      <c r="E301" s="26" t="str">
        <f ca="1">IFERROR(__xludf.DUMMYFUNCTION("""COMPUTED_VALUE"""),"New")</f>
        <v>New</v>
      </c>
      <c r="F301" s="27">
        <v>65</v>
      </c>
      <c r="G301" s="27">
        <v>1311</v>
      </c>
      <c r="P301" s="26"/>
    </row>
    <row r="302" spans="1:16" ht="12.5" hidden="1">
      <c r="A302" s="3" t="s">
        <v>38</v>
      </c>
      <c r="B302" s="3" t="s">
        <v>2798</v>
      </c>
      <c r="C302" s="8" t="s">
        <v>3444</v>
      </c>
      <c r="D302" s="41" t="str">
        <f ca="1">IFERROR(__xludf.DUMMYFUNCTION("IFERROR(ARRAYFORMULA(REGEXEXTRACT(C302,""^(?:https?:\/\/)?(?:[^@\n]+@)?(?:www\.)?([^:\/\n]+)"")),"""")"),"omnihomeideas.com")</f>
        <v>omnihomeideas.com</v>
      </c>
      <c r="E302" s="26" t="str">
        <f ca="1">IFERROR(__xludf.DUMMYFUNCTION("""COMPUTED_VALUE"""),"Already Exists")</f>
        <v>Already Exists</v>
      </c>
      <c r="F302" s="27">
        <v>39</v>
      </c>
      <c r="G302" s="27">
        <v>3476</v>
      </c>
      <c r="P302" s="26"/>
    </row>
    <row r="303" spans="1:16" ht="12.5">
      <c r="A303" s="3" t="s">
        <v>38</v>
      </c>
      <c r="B303" s="3" t="s">
        <v>2798</v>
      </c>
      <c r="C303" s="8" t="s">
        <v>3445</v>
      </c>
      <c r="D303" s="41" t="str">
        <f ca="1">IFERROR(__xludf.DUMMYFUNCTION("IFERROR(ARRAYFORMULA(REGEXEXTRACT(C303,""^(?:https?:\/\/)?(?:[^@\n]+@)?(?:www\.)?([^:\/\n]+)"")),"""")"),"grokipedia.com")</f>
        <v>grokipedia.com</v>
      </c>
      <c r="E303" s="26" t="str">
        <f ca="1">IFERROR(__xludf.DUMMYFUNCTION("""COMPUTED_VALUE"""),"New")</f>
        <v>New</v>
      </c>
      <c r="F303" s="27">
        <v>72</v>
      </c>
      <c r="G303" s="27">
        <v>570735</v>
      </c>
      <c r="P303" s="26"/>
    </row>
    <row r="304" spans="1:16" ht="12.5">
      <c r="A304" s="3" t="s">
        <v>38</v>
      </c>
      <c r="B304" s="3" t="s">
        <v>2798</v>
      </c>
      <c r="C304" s="11" t="s">
        <v>3446</v>
      </c>
      <c r="D304" s="41" t="str">
        <f ca="1">IFERROR(__xludf.DUMMYFUNCTION("IFERROR(ARRAYFORMULA(REGEXEXTRACT(C304,""^(?:https?:\/\/)?(?:[^@\n]+@)?(?:www\.)?([^:\/\n]+)"")),"""")"),"wanderwithwonder.com")</f>
        <v>wanderwithwonder.com</v>
      </c>
      <c r="E304" s="26" t="str">
        <f ca="1">IFERROR(__xludf.DUMMYFUNCTION("""COMPUTED_VALUE"""),"New")</f>
        <v>New</v>
      </c>
      <c r="F304" s="27">
        <v>50</v>
      </c>
      <c r="G304" s="27">
        <v>7840</v>
      </c>
      <c r="J304" s="27" t="s">
        <v>3447</v>
      </c>
      <c r="M304" s="27" t="s">
        <v>3117</v>
      </c>
      <c r="N304" s="48">
        <v>46029</v>
      </c>
      <c r="O304" s="48">
        <v>46068</v>
      </c>
      <c r="P304" s="26"/>
    </row>
    <row r="305" spans="1:16" ht="12.5" hidden="1">
      <c r="A305" s="3" t="s">
        <v>38</v>
      </c>
      <c r="B305" s="3" t="s">
        <v>2798</v>
      </c>
      <c r="C305" s="8" t="s">
        <v>3448</v>
      </c>
      <c r="D305" s="41" t="str">
        <f ca="1">IFERROR(__xludf.DUMMYFUNCTION("IFERROR(ARRAYFORMULA(REGEXEXTRACT(C305,""^(?:https?:\/\/)?(?:[^@\n]+@)?(?:www\.)?([^:\/\n]+)"")),"""")"),"offthemrkt.com")</f>
        <v>offthemrkt.com</v>
      </c>
      <c r="E305" s="26" t="str">
        <f ca="1">IFERROR(__xludf.DUMMYFUNCTION("""COMPUTED_VALUE"""),"Already Exists")</f>
        <v>Already Exists</v>
      </c>
      <c r="F305" s="27">
        <v>63</v>
      </c>
      <c r="G305" s="27">
        <v>1439</v>
      </c>
      <c r="P305" s="26"/>
    </row>
    <row r="306" spans="1:16" ht="12.5">
      <c r="A306" s="3" t="s">
        <v>38</v>
      </c>
      <c r="B306" s="3" t="s">
        <v>2798</v>
      </c>
      <c r="C306" s="8" t="s">
        <v>3449</v>
      </c>
      <c r="D306" s="41" t="str">
        <f ca="1">IFERROR(__xludf.DUMMYFUNCTION("IFERROR(ARRAYFORMULA(REGEXEXTRACT(C306,""^(?:https?:\/\/)?(?:[^@\n]+@)?(?:www\.)?([^:\/\n]+)"")),"""")"),"clairesfootsteps.com")</f>
        <v>clairesfootsteps.com</v>
      </c>
      <c r="E306" s="26" t="str">
        <f ca="1">IFERROR(__xludf.DUMMYFUNCTION("""COMPUTED_VALUE"""),"New")</f>
        <v>New</v>
      </c>
      <c r="F306" s="27">
        <v>38</v>
      </c>
      <c r="G306" s="27">
        <v>8457</v>
      </c>
      <c r="P306" s="26"/>
    </row>
    <row r="307" spans="1:16" ht="12.5">
      <c r="A307" s="3" t="s">
        <v>38</v>
      </c>
      <c r="B307" s="3" t="s">
        <v>2798</v>
      </c>
      <c r="C307" s="8" t="s">
        <v>3450</v>
      </c>
      <c r="D307" s="41" t="str">
        <f ca="1">IFERROR(__xludf.DUMMYFUNCTION("IFERROR(ARRAYFORMULA(REGEXEXTRACT(C307,""^(?:https?:\/\/)?(?:[^@\n]+@)?(?:www\.)?([^:\/\n]+)"")),"""")"),"usghostadventures.com")</f>
        <v>usghostadventures.com</v>
      </c>
      <c r="E307" s="26" t="str">
        <f ca="1">IFERROR(__xludf.DUMMYFUNCTION("""COMPUTED_VALUE"""),"New")</f>
        <v>New</v>
      </c>
      <c r="F307" s="27">
        <v>62</v>
      </c>
      <c r="G307" s="27">
        <v>56124</v>
      </c>
      <c r="P307" s="26"/>
    </row>
    <row r="308" spans="1:16" ht="12.5">
      <c r="A308" s="3" t="s">
        <v>38</v>
      </c>
      <c r="B308" s="3" t="s">
        <v>2798</v>
      </c>
      <c r="C308" s="8" t="s">
        <v>3451</v>
      </c>
      <c r="D308" s="41" t="str">
        <f ca="1">IFERROR(__xludf.DUMMYFUNCTION("IFERROR(ARRAYFORMULA(REGEXEXTRACT(C308,""^(?:https?:\/\/)?(?:[^@\n]+@)?(?:www\.)?([^:\/\n]+)"")),"""")"),"exploringthenorth.com")</f>
        <v>exploringthenorth.com</v>
      </c>
      <c r="E308" s="26" t="str">
        <f ca="1">IFERROR(__xludf.DUMMYFUNCTION("""COMPUTED_VALUE"""),"New")</f>
        <v>New</v>
      </c>
      <c r="F308" s="27">
        <v>49</v>
      </c>
      <c r="G308" s="27">
        <v>1848</v>
      </c>
      <c r="P308" s="26"/>
    </row>
    <row r="309" spans="1:16" ht="12.5" hidden="1">
      <c r="A309" s="3" t="s">
        <v>38</v>
      </c>
      <c r="B309" s="3" t="s">
        <v>2798</v>
      </c>
      <c r="C309" s="8" t="s">
        <v>3452</v>
      </c>
      <c r="D309" s="41" t="str">
        <f ca="1">IFERROR(__xludf.DUMMYFUNCTION("IFERROR(ARRAYFORMULA(REGEXEXTRACT(C309,""^(?:https?:\/\/)?(?:[^@\n]+@)?(?:www\.)?([^:\/\n]+)"")),"""")"),"daltxrealestate.com")</f>
        <v>daltxrealestate.com</v>
      </c>
      <c r="E309" s="26" t="str">
        <f ca="1">IFERROR(__xludf.DUMMYFUNCTION("""COMPUTED_VALUE"""),"Already Exists")</f>
        <v>Already Exists</v>
      </c>
      <c r="F309" s="27">
        <v>56</v>
      </c>
      <c r="G309" s="27">
        <v>1113</v>
      </c>
      <c r="P309" s="26"/>
    </row>
    <row r="310" spans="1:16" ht="12.5" hidden="1">
      <c r="A310" s="3" t="s">
        <v>38</v>
      </c>
      <c r="B310" s="3" t="s">
        <v>2798</v>
      </c>
      <c r="C310" s="8" t="s">
        <v>3453</v>
      </c>
      <c r="D310" s="41" t="str">
        <f ca="1">IFERROR(__xludf.DUMMYFUNCTION("IFERROR(ARRAYFORMULA(REGEXEXTRACT(C310,""^(?:https?:\/\/)?(?:[^@\n]+@)?(?:www\.)?([^:\/\n]+)"")),"""")"),"tamaracamerablog.com")</f>
        <v>tamaracamerablog.com</v>
      </c>
      <c r="E310" s="26" t="str">
        <f ca="1">IFERROR(__xludf.DUMMYFUNCTION("""COMPUTED_VALUE"""),"Already Exists")</f>
        <v>Already Exists</v>
      </c>
      <c r="F310" s="27">
        <v>59</v>
      </c>
      <c r="G310" s="27">
        <v>9122</v>
      </c>
      <c r="P310" s="26"/>
    </row>
    <row r="311" spans="1:16" ht="12.5" hidden="1">
      <c r="A311" s="3" t="s">
        <v>38</v>
      </c>
      <c r="B311" s="3" t="s">
        <v>2798</v>
      </c>
      <c r="C311" s="8" t="s">
        <v>3454</v>
      </c>
      <c r="D311" s="41" t="str">
        <f ca="1">IFERROR(__xludf.DUMMYFUNCTION("IFERROR(ARRAYFORMULA(REGEXEXTRACT(C311,""^(?:https?:\/\/)?(?:[^@\n]+@)?(?:www\.)?([^:\/\n]+)"")),"""")"),"mommykatandkids.com")</f>
        <v>mommykatandkids.com</v>
      </c>
      <c r="E311" s="26" t="str">
        <f ca="1">IFERROR(__xludf.DUMMYFUNCTION("""COMPUTED_VALUE"""),"Already Exists")</f>
        <v>Already Exists</v>
      </c>
      <c r="F311" s="27">
        <v>41</v>
      </c>
      <c r="G311" s="27">
        <v>1313</v>
      </c>
      <c r="P311" s="26"/>
    </row>
    <row r="312" spans="1:16" ht="12.5" hidden="1">
      <c r="A312" s="3" t="s">
        <v>38</v>
      </c>
      <c r="B312" s="3" t="s">
        <v>2798</v>
      </c>
      <c r="C312" s="8" t="s">
        <v>3455</v>
      </c>
      <c r="D312" s="41" t="str">
        <f ca="1">IFERROR(__xludf.DUMMYFUNCTION("IFERROR(ARRAYFORMULA(REGEXEXTRACT(C312,""^(?:https?:\/\/)?(?:[^@\n]+@)?(?:www\.)?([^:\/\n]+)"")),"""")"),"programminginsider.com")</f>
        <v>programminginsider.com</v>
      </c>
      <c r="E312" s="26" t="str">
        <f ca="1">IFERROR(__xludf.DUMMYFUNCTION("""COMPUTED_VALUE"""),"Already Exists")</f>
        <v>Already Exists</v>
      </c>
      <c r="F312" s="27">
        <v>70</v>
      </c>
      <c r="G312" s="27">
        <v>7789</v>
      </c>
      <c r="P312" s="26"/>
    </row>
    <row r="313" spans="1:16" ht="12.5" hidden="1">
      <c r="A313" s="3" t="s">
        <v>38</v>
      </c>
      <c r="B313" s="3" t="s">
        <v>2798</v>
      </c>
      <c r="C313" s="8" t="s">
        <v>3456</v>
      </c>
      <c r="D313" s="41" t="str">
        <f ca="1">IFERROR(__xludf.DUMMYFUNCTION("IFERROR(ARRAYFORMULA(REGEXEXTRACT(C313,""^(?:https?:\/\/)?(?:[^@\n]+@)?(?:www\.)?([^:\/\n]+)"")),"""")"),"millennialmagazine.com")</f>
        <v>millennialmagazine.com</v>
      </c>
      <c r="E313" s="26" t="str">
        <f ca="1">IFERROR(__xludf.DUMMYFUNCTION("""COMPUTED_VALUE"""),"Already Exists")</f>
        <v>Already Exists</v>
      </c>
      <c r="F313" s="27">
        <v>57</v>
      </c>
      <c r="G313" s="27">
        <v>37296</v>
      </c>
      <c r="P313" s="26"/>
    </row>
    <row r="314" spans="1:16" ht="12.5">
      <c r="A314" s="3" t="s">
        <v>38</v>
      </c>
      <c r="B314" s="3" t="s">
        <v>2798</v>
      </c>
      <c r="C314" s="8" t="s">
        <v>3457</v>
      </c>
      <c r="D314" s="41" t="str">
        <f ca="1">IFERROR(__xludf.DUMMYFUNCTION("IFERROR(ARRAYFORMULA(REGEXEXTRACT(C314,""^(?:https?:\/\/)?(?:[^@\n]+@)?(?:www\.)?([^:\/\n]+)"")),"""")"),"columbus.momcollective.com")</f>
        <v>columbus.momcollective.com</v>
      </c>
      <c r="E314" s="26" t="str">
        <f ca="1">IFERROR(__xludf.DUMMYFUNCTION("""COMPUTED_VALUE"""),"New")</f>
        <v>New</v>
      </c>
      <c r="F314" s="27">
        <v>69</v>
      </c>
      <c r="G314" s="27">
        <v>4452</v>
      </c>
      <c r="P314" s="26"/>
    </row>
    <row r="315" spans="1:16" ht="12.5" hidden="1">
      <c r="A315" s="3" t="s">
        <v>38</v>
      </c>
      <c r="B315" s="3" t="s">
        <v>2798</v>
      </c>
      <c r="C315" s="8" t="s">
        <v>3458</v>
      </c>
      <c r="D315" s="41" t="str">
        <f ca="1">IFERROR(__xludf.DUMMYFUNCTION("IFERROR(ARRAYFORMULA(REGEXEXTRACT(C315,""^(?:https?:\/\/)?(?:[^@\n]+@)?(?:www\.)?([^:\/\n]+)"")),"""")"),"thislifeintrips.com")</f>
        <v>thislifeintrips.com</v>
      </c>
      <c r="E315" s="26" t="str">
        <f ca="1">IFERROR(__xludf.DUMMYFUNCTION("""COMPUTED_VALUE"""),"Already Exists")</f>
        <v>Already Exists</v>
      </c>
      <c r="F315" s="27">
        <v>32</v>
      </c>
      <c r="G315" s="27">
        <v>13941</v>
      </c>
      <c r="P315" s="26"/>
    </row>
    <row r="316" spans="1:16" ht="12.5">
      <c r="A316" s="3" t="s">
        <v>38</v>
      </c>
      <c r="B316" s="3" t="s">
        <v>2798</v>
      </c>
      <c r="C316" s="8" t="s">
        <v>3459</v>
      </c>
      <c r="D316" s="41" t="str">
        <f ca="1">IFERROR(__xludf.DUMMYFUNCTION("IFERROR(ARRAYFORMULA(REGEXEXTRACT(C316,""^(?:https?:\/\/)?(?:[^@\n]+@)?(?:www\.)?([^:\/\n]+)"")),"""")"),"educba.com")</f>
        <v>educba.com</v>
      </c>
      <c r="E316" s="26" t="str">
        <f ca="1">IFERROR(__xludf.DUMMYFUNCTION("""COMPUTED_VALUE"""),"New")</f>
        <v>New</v>
      </c>
      <c r="F316" s="27">
        <v>75</v>
      </c>
      <c r="G316" s="27">
        <v>34245</v>
      </c>
      <c r="P316" s="26"/>
    </row>
    <row r="317" spans="1:16" ht="12.5">
      <c r="A317" s="3" t="s">
        <v>38</v>
      </c>
      <c r="B317" s="3" t="s">
        <v>2798</v>
      </c>
      <c r="C317" s="54" t="s">
        <v>3460</v>
      </c>
      <c r="D317" s="41" t="str">
        <f ca="1">IFERROR(__xludf.DUMMYFUNCTION("IFERROR(ARRAYFORMULA(REGEXEXTRACT(C317,""^(?:https?:\/\/)?(?:[^@\n]+@)?(?:www\.)?([^:\/\n]+)"")),"""")"),"buffettnews.com")</f>
        <v>buffettnews.com</v>
      </c>
      <c r="E317" s="26" t="str">
        <f ca="1">IFERROR(__xludf.DUMMYFUNCTION("""COMPUTED_VALUE"""),"New")</f>
        <v>New</v>
      </c>
      <c r="F317" s="27">
        <v>35</v>
      </c>
      <c r="G317" s="27">
        <v>4832</v>
      </c>
      <c r="P317" s="26"/>
    </row>
    <row r="318" spans="1:16" ht="12.5" hidden="1">
      <c r="A318" s="3" t="s">
        <v>38</v>
      </c>
      <c r="B318" s="3" t="s">
        <v>2798</v>
      </c>
      <c r="C318" s="8" t="s">
        <v>3461</v>
      </c>
      <c r="D318" s="41" t="str">
        <f ca="1">IFERROR(__xludf.DUMMYFUNCTION("IFERROR(ARRAYFORMULA(REGEXEXTRACT(C318,""^(?:https?:\/\/)?(?:[^@\n]+@)?(?:www\.)?([^:\/\n]+)"")),"""")"),"talentedladiesclub.com")</f>
        <v>talentedladiesclub.com</v>
      </c>
      <c r="E318" s="26" t="str">
        <f ca="1">IFERROR(__xludf.DUMMYFUNCTION("""COMPUTED_VALUE"""),"Already Exists")</f>
        <v>Already Exists</v>
      </c>
      <c r="F318" s="27">
        <v>61</v>
      </c>
      <c r="G318" s="27">
        <v>3615</v>
      </c>
      <c r="P318" s="26"/>
    </row>
    <row r="319" spans="1:16" ht="12.5" hidden="1">
      <c r="A319" s="3" t="s">
        <v>38</v>
      </c>
      <c r="B319" s="3" t="s">
        <v>2798</v>
      </c>
      <c r="C319" s="8" t="s">
        <v>3462</v>
      </c>
      <c r="D319" s="41" t="str">
        <f ca="1">IFERROR(__xludf.DUMMYFUNCTION("IFERROR(ARRAYFORMULA(REGEXEXTRACT(C319,""^(?:https?:\/\/)?(?:[^@\n]+@)?(?:www\.)?([^:\/\n]+)"")),"""")"),"vabeach.com")</f>
        <v>vabeach.com</v>
      </c>
      <c r="E319" s="26" t="str">
        <f ca="1">IFERROR(__xludf.DUMMYFUNCTION("""COMPUTED_VALUE"""),"Already Exists")</f>
        <v>Already Exists</v>
      </c>
      <c r="F319" s="27">
        <v>51</v>
      </c>
      <c r="G319" s="27">
        <v>5817</v>
      </c>
      <c r="P319" s="26"/>
    </row>
    <row r="320" spans="1:16" ht="12.5">
      <c r="A320" s="3" t="s">
        <v>38</v>
      </c>
      <c r="B320" s="3" t="s">
        <v>2798</v>
      </c>
      <c r="C320" s="8" t="s">
        <v>3463</v>
      </c>
      <c r="D320" s="41" t="str">
        <f ca="1">IFERROR(__xludf.DUMMYFUNCTION("IFERROR(ARRAYFORMULA(REGEXEXTRACT(C320,""^(?:https?:\/\/)?(?:[^@\n]+@)?(?:www\.)?([^:\/\n]+)"")),"""")"),"peanutsorpretzels.com")</f>
        <v>peanutsorpretzels.com</v>
      </c>
      <c r="E320" s="26" t="str">
        <f ca="1">IFERROR(__xludf.DUMMYFUNCTION("""COMPUTED_VALUE"""),"New")</f>
        <v>New</v>
      </c>
      <c r="F320" s="27">
        <v>32</v>
      </c>
      <c r="G320" s="27">
        <v>1123</v>
      </c>
      <c r="P320" s="26"/>
    </row>
    <row r="321" spans="1:16" ht="12.5">
      <c r="A321" s="3" t="s">
        <v>38</v>
      </c>
      <c r="B321" s="3" t="s">
        <v>2798</v>
      </c>
      <c r="C321" s="11" t="s">
        <v>3464</v>
      </c>
      <c r="D321" s="41" t="str">
        <f ca="1">IFERROR(__xludf.DUMMYFUNCTION("IFERROR(ARRAYFORMULA(REGEXEXTRACT(C321,""^(?:https?:\/\/)?(?:[^@\n]+@)?(?:www\.)?([^:\/\n]+)"")),"""")"),"gonomad.com")</f>
        <v>gonomad.com</v>
      </c>
      <c r="E321" s="26" t="str">
        <f ca="1">IFERROR(__xludf.DUMMYFUNCTION("""COMPUTED_VALUE"""),"New")</f>
        <v>New</v>
      </c>
      <c r="F321" s="27">
        <v>62</v>
      </c>
      <c r="G321" s="27">
        <v>14028</v>
      </c>
      <c r="J321" s="38" t="s">
        <v>3465</v>
      </c>
      <c r="M321" s="38" t="s">
        <v>3117</v>
      </c>
      <c r="N321" s="55">
        <v>46029</v>
      </c>
      <c r="O321" s="48"/>
      <c r="P321" s="26"/>
    </row>
    <row r="322" spans="1:16" ht="12.5">
      <c r="A322" s="3" t="s">
        <v>38</v>
      </c>
      <c r="B322" s="3" t="s">
        <v>2798</v>
      </c>
      <c r="C322" s="8" t="s">
        <v>3466</v>
      </c>
      <c r="D322" s="41" t="str">
        <f ca="1">IFERROR(__xludf.DUMMYFUNCTION("IFERROR(ARRAYFORMULA(REGEXEXTRACT(C322,""^(?:https?:\/\/)?(?:[^@\n]+@)?(?:www\.)?([^:\/\n]+)"")),"""")"),"ourculturemag.com")</f>
        <v>ourculturemag.com</v>
      </c>
      <c r="E322" s="26" t="str">
        <f ca="1">IFERROR(__xludf.DUMMYFUNCTION("""COMPUTED_VALUE"""),"New")</f>
        <v>New</v>
      </c>
      <c r="F322" s="27">
        <v>63</v>
      </c>
      <c r="G322" s="27">
        <v>11102</v>
      </c>
      <c r="P322" s="26"/>
    </row>
    <row r="323" spans="1:16" ht="12.5">
      <c r="A323" s="3" t="s">
        <v>38</v>
      </c>
      <c r="B323" s="3" t="s">
        <v>2798</v>
      </c>
      <c r="C323" s="8" t="s">
        <v>3467</v>
      </c>
      <c r="D323" s="41" t="str">
        <f ca="1">IFERROR(__xludf.DUMMYFUNCTION("IFERROR(ARRAYFORMULA(REGEXEXTRACT(C323,""^(?:https?:\/\/)?(?:[^@\n]+@)?(?:www\.)?([^:\/\n]+)"")),"""")"),"purewander.com")</f>
        <v>purewander.com</v>
      </c>
      <c r="E323" s="26" t="str">
        <f ca="1">IFERROR(__xludf.DUMMYFUNCTION("""COMPUTED_VALUE"""),"New")</f>
        <v>New</v>
      </c>
      <c r="F323" s="27">
        <v>38</v>
      </c>
      <c r="G323" s="27">
        <v>1836</v>
      </c>
      <c r="P323" s="26"/>
    </row>
    <row r="324" spans="1:16" ht="12.5" hidden="1">
      <c r="A324" s="3" t="s">
        <v>38</v>
      </c>
      <c r="B324" s="3" t="s">
        <v>2798</v>
      </c>
      <c r="C324" s="8" t="s">
        <v>3468</v>
      </c>
      <c r="D324" s="41" t="str">
        <f ca="1">IFERROR(__xludf.DUMMYFUNCTION("IFERROR(ARRAYFORMULA(REGEXEXTRACT(C324,""^(?:https?:\/\/)?(?:[^@\n]+@)?(?:www\.)?([^:\/\n]+)"")),"""")"),"the-travel-bunny.com")</f>
        <v>the-travel-bunny.com</v>
      </c>
      <c r="E324" s="26" t="str">
        <f ca="1">IFERROR(__xludf.DUMMYFUNCTION("""COMPUTED_VALUE"""),"Already Exists")</f>
        <v>Already Exists</v>
      </c>
      <c r="F324" s="27">
        <v>33</v>
      </c>
      <c r="G324" s="27">
        <v>1179</v>
      </c>
      <c r="P324" s="26"/>
    </row>
    <row r="325" spans="1:16" ht="12.5">
      <c r="A325" s="3" t="s">
        <v>38</v>
      </c>
      <c r="B325" s="3" t="s">
        <v>2798</v>
      </c>
      <c r="C325" s="8" t="s">
        <v>3469</v>
      </c>
      <c r="D325" s="41" t="str">
        <f ca="1">IFERROR(__xludf.DUMMYFUNCTION("IFERROR(ARRAYFORMULA(REGEXEXTRACT(C325,""^(?:https?:\/\/)?(?:[^@\n]+@)?(?:www\.)?([^:\/\n]+)"")),"""")"),"foodfuntravel.com")</f>
        <v>foodfuntravel.com</v>
      </c>
      <c r="E325" s="26" t="str">
        <f ca="1">IFERROR(__xludf.DUMMYFUNCTION("""COMPUTED_VALUE"""),"New")</f>
        <v>New</v>
      </c>
      <c r="F325" s="27">
        <v>40</v>
      </c>
      <c r="G325" s="27">
        <v>1514</v>
      </c>
      <c r="P325" s="26"/>
    </row>
    <row r="326" spans="1:16" ht="12.5" hidden="1">
      <c r="A326" s="3" t="s">
        <v>38</v>
      </c>
      <c r="B326" s="3" t="s">
        <v>2798</v>
      </c>
      <c r="C326" s="8" t="s">
        <v>3470</v>
      </c>
      <c r="D326" s="41" t="str">
        <f ca="1">IFERROR(__xludf.DUMMYFUNCTION("IFERROR(ARRAYFORMULA(REGEXEXTRACT(C326,""^(?:https?:\/\/)?(?:[^@\n]+@)?(?:www\.)?([^:\/\n]+)"")),"""")"),"thepinnaclelist.com")</f>
        <v>thepinnaclelist.com</v>
      </c>
      <c r="E326" s="26" t="str">
        <f ca="1">IFERROR(__xludf.DUMMYFUNCTION("""COMPUTED_VALUE"""),"Already Exists")</f>
        <v>Already Exists</v>
      </c>
      <c r="F326" s="27">
        <v>57</v>
      </c>
      <c r="G326" s="27">
        <v>1156</v>
      </c>
      <c r="P326" s="26"/>
    </row>
    <row r="327" spans="1:16" ht="12.5">
      <c r="A327" s="3" t="s">
        <v>38</v>
      </c>
      <c r="B327" s="3" t="s">
        <v>2798</v>
      </c>
      <c r="C327" s="8" t="s">
        <v>3471</v>
      </c>
      <c r="D327" s="41" t="str">
        <f ca="1">IFERROR(__xludf.DUMMYFUNCTION("IFERROR(ARRAYFORMULA(REGEXEXTRACT(C327,""^(?:https?:\/\/)?(?:[^@\n]+@)?(?:www\.)?([^:\/\n]+)"")),"""")"),"millo.co")</f>
        <v>millo.co</v>
      </c>
      <c r="E327" s="26" t="str">
        <f ca="1">IFERROR(__xludf.DUMMYFUNCTION("""COMPUTED_VALUE"""),"New")</f>
        <v>New</v>
      </c>
      <c r="F327" s="27">
        <v>71</v>
      </c>
      <c r="G327" s="27">
        <v>5677</v>
      </c>
      <c r="P327" s="26"/>
    </row>
    <row r="328" spans="1:16" ht="12.5">
      <c r="A328" s="3" t="s">
        <v>38</v>
      </c>
      <c r="B328" s="3" t="s">
        <v>2798</v>
      </c>
      <c r="C328" s="8" t="s">
        <v>3472</v>
      </c>
      <c r="D328" s="41" t="str">
        <f ca="1">IFERROR(__xludf.DUMMYFUNCTION("IFERROR(ARRAYFORMULA(REGEXEXTRACT(C328,""^(?:https?:\/\/)?(?:[^@\n]+@)?(?:www\.)?([^:\/\n]+)"")),"""")"),"growingupbilingual.com")</f>
        <v>growingupbilingual.com</v>
      </c>
      <c r="E328" s="26" t="str">
        <f ca="1">IFERROR(__xludf.DUMMYFUNCTION("""COMPUTED_VALUE"""),"New")</f>
        <v>New</v>
      </c>
      <c r="F328" s="27">
        <v>46</v>
      </c>
      <c r="G328" s="27">
        <v>41706</v>
      </c>
      <c r="P328" s="26"/>
    </row>
    <row r="329" spans="1:16" ht="12.5">
      <c r="A329" s="3" t="s">
        <v>38</v>
      </c>
      <c r="B329" s="3" t="s">
        <v>2798</v>
      </c>
      <c r="C329" s="8" t="s">
        <v>3473</v>
      </c>
      <c r="D329" s="41" t="str">
        <f ca="1">IFERROR(__xludf.DUMMYFUNCTION("IFERROR(ARRAYFORMULA(REGEXEXTRACT(C329,""^(?:https?:\/\/)?(?:[^@\n]+@)?(?:www\.)?([^:\/\n]+)"")),"""")"),"alvinology.com")</f>
        <v>alvinology.com</v>
      </c>
      <c r="E329" s="26" t="str">
        <f ca="1">IFERROR(__xludf.DUMMYFUNCTION("""COMPUTED_VALUE"""),"New")</f>
        <v>New</v>
      </c>
      <c r="F329" s="27">
        <v>51</v>
      </c>
      <c r="G329" s="27">
        <v>3635</v>
      </c>
      <c r="P329" s="26"/>
    </row>
    <row r="330" spans="1:16" ht="12.5">
      <c r="A330" s="3" t="s">
        <v>38</v>
      </c>
      <c r="B330" s="3" t="s">
        <v>2798</v>
      </c>
      <c r="C330" s="8" t="s">
        <v>3474</v>
      </c>
      <c r="D330" s="41" t="str">
        <f ca="1">IFERROR(__xludf.DUMMYFUNCTION("IFERROR(ARRAYFORMULA(REGEXEXTRACT(C330,""^(?:https?:\/\/)?(?:[^@\n]+@)?(?:www\.)?([^:\/\n]+)"")),"""")"),"sunnysweetdays.com")</f>
        <v>sunnysweetdays.com</v>
      </c>
      <c r="E330" s="26" t="str">
        <f ca="1">IFERROR(__xludf.DUMMYFUNCTION("""COMPUTED_VALUE"""),"New")</f>
        <v>New</v>
      </c>
      <c r="F330" s="27">
        <v>50</v>
      </c>
      <c r="G330" s="27">
        <v>2112</v>
      </c>
      <c r="P330" s="26"/>
    </row>
    <row r="331" spans="1:16" ht="12.5" hidden="1">
      <c r="A331" s="3" t="s">
        <v>38</v>
      </c>
      <c r="B331" s="3" t="s">
        <v>2798</v>
      </c>
      <c r="C331" s="8" t="s">
        <v>3475</v>
      </c>
      <c r="D331" s="41" t="str">
        <f ca="1">IFERROR(__xludf.DUMMYFUNCTION("IFERROR(ARRAYFORMULA(REGEXEXTRACT(C331,""^(?:https?:\/\/)?(?:[^@\n]+@)?(?:www\.)?([^:\/\n]+)"")),"""")"),"explorewitherin.com")</f>
        <v>explorewitherin.com</v>
      </c>
      <c r="E331" s="26" t="str">
        <f ca="1">IFERROR(__xludf.DUMMYFUNCTION("""COMPUTED_VALUE"""),"Already Exists")</f>
        <v>Already Exists</v>
      </c>
      <c r="F331" s="27">
        <v>27</v>
      </c>
      <c r="G331" s="27">
        <v>1501</v>
      </c>
      <c r="P331" s="26"/>
    </row>
    <row r="332" spans="1:16" ht="12.5" hidden="1">
      <c r="A332" s="3" t="s">
        <v>38</v>
      </c>
      <c r="B332" s="3" t="s">
        <v>2798</v>
      </c>
      <c r="C332" s="8" t="s">
        <v>3476</v>
      </c>
      <c r="D332" s="41" t="str">
        <f ca="1">IFERROR(__xludf.DUMMYFUNCTION("IFERROR(ARRAYFORMULA(REGEXEXTRACT(C332,""^(?:https?:\/\/)?(?:[^@\n]+@)?(?:www\.)?([^:\/\n]+)"")),"""")"),"travelbeginsat40.com")</f>
        <v>travelbeginsat40.com</v>
      </c>
      <c r="E332" s="26" t="str">
        <f ca="1">IFERROR(__xludf.DUMMYFUNCTION("""COMPUTED_VALUE"""),"Already Exists")</f>
        <v>Already Exists</v>
      </c>
      <c r="F332" s="27">
        <v>48</v>
      </c>
      <c r="G332" s="27">
        <v>5958</v>
      </c>
      <c r="P332" s="26"/>
    </row>
    <row r="333" spans="1:16" ht="12.5" hidden="1">
      <c r="A333" s="3" t="s">
        <v>38</v>
      </c>
      <c r="B333" s="3" t="s">
        <v>2798</v>
      </c>
      <c r="C333" s="8" t="s">
        <v>3477</v>
      </c>
      <c r="D333" s="41" t="str">
        <f ca="1">IFERROR(__xludf.DUMMYFUNCTION("IFERROR(ARRAYFORMULA(REGEXEXTRACT(C333,""^(?:https?:\/\/)?(?:[^@\n]+@)?(?:www\.)?([^:\/\n]+)"")),"""")"),"swaggermagazine.com")</f>
        <v>swaggermagazine.com</v>
      </c>
      <c r="E333" s="26" t="str">
        <f ca="1">IFERROR(__xludf.DUMMYFUNCTION("""COMPUTED_VALUE"""),"Already Exists")</f>
        <v>Already Exists</v>
      </c>
      <c r="F333" s="27">
        <v>62</v>
      </c>
      <c r="G333" s="27">
        <v>1395</v>
      </c>
      <c r="P333" s="26"/>
    </row>
    <row r="334" spans="1:16" ht="12.5">
      <c r="A334" s="3" t="s">
        <v>38</v>
      </c>
      <c r="B334" s="3" t="s">
        <v>2798</v>
      </c>
      <c r="C334" s="11" t="s">
        <v>3478</v>
      </c>
      <c r="D334" s="41" t="str">
        <f ca="1">IFERROR(__xludf.DUMMYFUNCTION("IFERROR(ARRAYFORMULA(REGEXEXTRACT(C334,""^(?:https?:\/\/)?(?:[^@\n]+@)?(?:www\.)?([^:\/\n]+)"")),"""")"),"breakingtravelnews.com")</f>
        <v>breakingtravelnews.com</v>
      </c>
      <c r="E334" s="26" t="str">
        <f ca="1">IFERROR(__xludf.DUMMYFUNCTION("""COMPUTED_VALUE"""),"New")</f>
        <v>New</v>
      </c>
      <c r="F334" s="27">
        <v>72</v>
      </c>
      <c r="G334" s="27">
        <v>6880</v>
      </c>
      <c r="J334" s="27" t="s">
        <v>3479</v>
      </c>
      <c r="M334" s="27" t="s">
        <v>3117</v>
      </c>
      <c r="N334" s="48">
        <v>46029</v>
      </c>
      <c r="O334" s="48">
        <v>46068</v>
      </c>
      <c r="P334" s="26"/>
    </row>
    <row r="335" spans="1:16" ht="12.5" hidden="1">
      <c r="A335" s="3" t="s">
        <v>38</v>
      </c>
      <c r="B335" s="3" t="s">
        <v>2798</v>
      </c>
      <c r="C335" s="8" t="s">
        <v>3480</v>
      </c>
      <c r="D335" s="41" t="str">
        <f ca="1">IFERROR(__xludf.DUMMYFUNCTION("IFERROR(ARRAYFORMULA(REGEXEXTRACT(C335,""^(?:https?:\/\/)?(?:[^@\n]+@)?(?:www\.)?([^:\/\n]+)"")),"""")"),"terristeffes.com")</f>
        <v>terristeffes.com</v>
      </c>
      <c r="E335" s="26" t="str">
        <f ca="1">IFERROR(__xludf.DUMMYFUNCTION("""COMPUTED_VALUE"""),"Already Exists")</f>
        <v>Already Exists</v>
      </c>
      <c r="F335" s="27">
        <v>49</v>
      </c>
      <c r="G335" s="27">
        <v>1000</v>
      </c>
      <c r="P335" s="26"/>
    </row>
    <row r="336" spans="1:16" ht="12.5">
      <c r="A336" s="3" t="s">
        <v>38</v>
      </c>
      <c r="B336" s="3" t="s">
        <v>2798</v>
      </c>
      <c r="C336" s="8" t="s">
        <v>3481</v>
      </c>
      <c r="D336" s="41" t="str">
        <f ca="1">IFERROR(__xludf.DUMMYFUNCTION("IFERROR(ARRAYFORMULA(REGEXEXTRACT(C336,""^(?:https?:\/\/)?(?:[^@\n]+@)?(?:www\.)?([^:\/\n]+)"")),"""")"),"lasgrutasturismo.gob.ar")</f>
        <v>lasgrutasturismo.gob.ar</v>
      </c>
      <c r="E336" s="26" t="str">
        <f ca="1">IFERROR(__xludf.DUMMYFUNCTION("""COMPUTED_VALUE"""),"New")</f>
        <v>New</v>
      </c>
      <c r="F336" s="27">
        <v>34</v>
      </c>
      <c r="G336" s="27">
        <v>9321</v>
      </c>
      <c r="P336" s="26"/>
    </row>
    <row r="337" spans="1:16" ht="12.5" hidden="1">
      <c r="A337" s="3" t="s">
        <v>38</v>
      </c>
      <c r="B337" s="3" t="s">
        <v>2798</v>
      </c>
      <c r="C337" s="8" t="s">
        <v>3482</v>
      </c>
      <c r="D337" s="41" t="str">
        <f ca="1">IFERROR(__xludf.DUMMYFUNCTION("IFERROR(ARRAYFORMULA(REGEXEXTRACT(C337,""^(?:https?:\/\/)?(?:[^@\n]+@)?(?:www\.)?([^:\/\n]+)"")),"""")"),"salonprivemag.com")</f>
        <v>salonprivemag.com</v>
      </c>
      <c r="E337" s="26" t="str">
        <f ca="1">IFERROR(__xludf.DUMMYFUNCTION("""COMPUTED_VALUE"""),"Already Exists")</f>
        <v>Already Exists</v>
      </c>
      <c r="F337" s="27">
        <v>54</v>
      </c>
      <c r="G337" s="27">
        <v>8544</v>
      </c>
      <c r="P337" s="26"/>
    </row>
    <row r="338" spans="1:16" ht="12.5">
      <c r="A338" s="3" t="s">
        <v>38</v>
      </c>
      <c r="B338" s="3" t="s">
        <v>2798</v>
      </c>
      <c r="C338" s="8" t="s">
        <v>3483</v>
      </c>
      <c r="D338" s="41" t="str">
        <f ca="1">IFERROR(__xludf.DUMMYFUNCTION("IFERROR(ARRAYFORMULA(REGEXEXTRACT(C338,""^(?:https?:\/\/)?(?:[^@\n]+@)?(?:www\.)?([^:\/\n]+)"")),"""")"),"search.ezilon.com")</f>
        <v>search.ezilon.com</v>
      </c>
      <c r="E338" s="26" t="str">
        <f ca="1">IFERROR(__xludf.DUMMYFUNCTION("""COMPUTED_VALUE"""),"New")</f>
        <v>New</v>
      </c>
      <c r="F338" s="27">
        <v>53</v>
      </c>
      <c r="G338" s="27">
        <v>28923</v>
      </c>
      <c r="P338" s="26"/>
    </row>
    <row r="339" spans="1:16" ht="12.5">
      <c r="A339" s="3" t="s">
        <v>38</v>
      </c>
      <c r="B339" s="3" t="s">
        <v>2798</v>
      </c>
      <c r="C339" s="8" t="s">
        <v>3484</v>
      </c>
      <c r="D339" s="41" t="str">
        <f ca="1">IFERROR(__xludf.DUMMYFUNCTION("IFERROR(ARRAYFORMULA(REGEXEXTRACT(C339,""^(?:https?:\/\/)?(?:[^@\n]+@)?(?:www\.)?([^:\/\n]+)"")),"""")"),"davisart.com")</f>
        <v>davisart.com</v>
      </c>
      <c r="E339" s="26" t="str">
        <f ca="1">IFERROR(__xludf.DUMMYFUNCTION("""COMPUTED_VALUE"""),"New")</f>
        <v>New</v>
      </c>
      <c r="F339" s="27">
        <v>56</v>
      </c>
      <c r="G339" s="27">
        <v>2879</v>
      </c>
      <c r="P339" s="26"/>
    </row>
    <row r="340" spans="1:16" ht="12.5">
      <c r="A340" s="3" t="s">
        <v>38</v>
      </c>
      <c r="B340" s="3" t="s">
        <v>2798</v>
      </c>
      <c r="C340" s="8" t="s">
        <v>3485</v>
      </c>
      <c r="D340" s="41" t="str">
        <f ca="1">IFERROR(__xludf.DUMMYFUNCTION("IFERROR(ARRAYFORMULA(REGEXEXTRACT(C340,""^(?:https?:\/\/)?(?:[^@\n]+@)?(?:www\.)?([^:\/\n]+)"")),"""")"),"jetsettimes.com")</f>
        <v>jetsettimes.com</v>
      </c>
      <c r="E340" s="26" t="str">
        <f ca="1">IFERROR(__xludf.DUMMYFUNCTION("""COMPUTED_VALUE"""),"New")</f>
        <v>New</v>
      </c>
      <c r="F340" s="27">
        <v>51</v>
      </c>
      <c r="G340" s="27">
        <v>3358</v>
      </c>
      <c r="P340" s="26"/>
    </row>
    <row r="341" spans="1:16" ht="12.5">
      <c r="A341" s="3" t="s">
        <v>38</v>
      </c>
      <c r="B341" s="3" t="s">
        <v>2798</v>
      </c>
      <c r="C341" s="8" t="s">
        <v>3486</v>
      </c>
      <c r="D341" s="41" t="str">
        <f ca="1">IFERROR(__xludf.DUMMYFUNCTION("IFERROR(ARRAYFORMULA(REGEXEXTRACT(C341,""^(?:https?:\/\/)?(?:[^@\n]+@)?(?:www\.)?([^:\/\n]+)"")),"""")"),"outerbanksassociationofrealtors.growthzoneapp.com")</f>
        <v>outerbanksassociationofrealtors.growthzoneapp.com</v>
      </c>
      <c r="E341" s="26" t="str">
        <f ca="1">IFERROR(__xludf.DUMMYFUNCTION("""COMPUTED_VALUE"""),"New")</f>
        <v>New</v>
      </c>
      <c r="F341" s="27">
        <v>78</v>
      </c>
      <c r="G341" s="27">
        <v>10358</v>
      </c>
      <c r="P341" s="26"/>
    </row>
    <row r="342" spans="1:16" ht="12.5">
      <c r="A342" s="3" t="s">
        <v>38</v>
      </c>
      <c r="B342" s="3" t="s">
        <v>2798</v>
      </c>
      <c r="C342" s="8" t="s">
        <v>3487</v>
      </c>
      <c r="D342" s="41" t="str">
        <f ca="1">IFERROR(__xludf.DUMMYFUNCTION("IFERROR(ARRAYFORMULA(REGEXEXTRACT(C342,""^(?:https?:\/\/)?(?:[^@\n]+@)?(?:www\.)?([^:\/\n]+)"")),"""")"),"s1030794421.onlinehome.us")</f>
        <v>s1030794421.onlinehome.us</v>
      </c>
      <c r="E342" s="26" t="str">
        <f ca="1">IFERROR(__xludf.DUMMYFUNCTION("""COMPUTED_VALUE"""),"New")</f>
        <v>New</v>
      </c>
      <c r="F342" s="27">
        <v>81</v>
      </c>
      <c r="G342" s="27">
        <v>2746</v>
      </c>
      <c r="P342" s="26"/>
    </row>
    <row r="343" spans="1:16" ht="12.5">
      <c r="A343" s="3" t="s">
        <v>38</v>
      </c>
      <c r="B343" s="3" t="s">
        <v>2798</v>
      </c>
      <c r="C343" s="8" t="s">
        <v>3488</v>
      </c>
      <c r="D343" s="41" t="str">
        <f ca="1">IFERROR(__xludf.DUMMYFUNCTION("IFERROR(ARRAYFORMULA(REGEXEXTRACT(C343,""^(?:https?:\/\/)?(?:[^@\n]+@)?(?:www\.)?([^:\/\n]+)"")),"""")"),"mondomulia.com")</f>
        <v>mondomulia.com</v>
      </c>
      <c r="E343" s="26" t="str">
        <f ca="1">IFERROR(__xludf.DUMMYFUNCTION("""COMPUTED_VALUE"""),"New")</f>
        <v>New</v>
      </c>
      <c r="F343" s="27">
        <v>31</v>
      </c>
      <c r="G343" s="27">
        <v>1725</v>
      </c>
      <c r="P343" s="26"/>
    </row>
    <row r="344" spans="1:16" ht="12.5">
      <c r="A344" s="3" t="s">
        <v>38</v>
      </c>
      <c r="B344" s="3" t="s">
        <v>2798</v>
      </c>
      <c r="C344" s="8" t="s">
        <v>3489</v>
      </c>
      <c r="D344" s="41" t="str">
        <f ca="1">IFERROR(__xludf.DUMMYFUNCTION("IFERROR(ARRAYFORMULA(REGEXEXTRACT(C344,""^(?:https?:\/\/)?(?:[^@\n]+@)?(?:www\.)?([^:\/\n]+)"")),"""")"),"visitnc.com")</f>
        <v>visitnc.com</v>
      </c>
      <c r="E344" s="26" t="str">
        <f ca="1">IFERROR(__xludf.DUMMYFUNCTION("""COMPUTED_VALUE"""),"New")</f>
        <v>New</v>
      </c>
      <c r="F344" s="27">
        <v>74</v>
      </c>
      <c r="G344" s="27">
        <v>93971</v>
      </c>
      <c r="P344" s="26"/>
    </row>
    <row r="345" spans="1:16" ht="12.5">
      <c r="A345" s="3" t="s">
        <v>38</v>
      </c>
      <c r="B345" s="3" t="s">
        <v>2798</v>
      </c>
      <c r="C345" s="8" t="s">
        <v>3490</v>
      </c>
      <c r="D345" s="41" t="str">
        <f ca="1">IFERROR(__xludf.DUMMYFUNCTION("IFERROR(ARRAYFORMULA(REGEXEXTRACT(C345,""^(?:https?:\/\/)?(?:[^@\n]+@)?(?:www\.)?([^:\/\n]+)"")),"""")"),"justonewayticket.com")</f>
        <v>justonewayticket.com</v>
      </c>
      <c r="E345" s="26" t="str">
        <f ca="1">IFERROR(__xludf.DUMMYFUNCTION("""COMPUTED_VALUE"""),"New")</f>
        <v>New</v>
      </c>
      <c r="F345" s="27">
        <v>56</v>
      </c>
      <c r="G345" s="27">
        <v>1623</v>
      </c>
      <c r="P345" s="26"/>
    </row>
    <row r="346" spans="1:16" ht="12.5" hidden="1">
      <c r="A346" s="3" t="s">
        <v>38</v>
      </c>
      <c r="B346" s="3" t="s">
        <v>2798</v>
      </c>
      <c r="C346" s="8" t="s">
        <v>3491</v>
      </c>
      <c r="D346" s="41" t="str">
        <f ca="1">IFERROR(__xludf.DUMMYFUNCTION("IFERROR(ARRAYFORMULA(REGEXEXTRACT(C346,""^(?:https?:\/\/)?(?:[^@\n]+@)?(?:www\.)?([^:\/\n]+)"")),"""")"),"accidentalhipstermum.com")</f>
        <v>accidentalhipstermum.com</v>
      </c>
      <c r="E346" s="26" t="str">
        <f ca="1">IFERROR(__xludf.DUMMYFUNCTION("""COMPUTED_VALUE"""),"Already Exists")</f>
        <v>Already Exists</v>
      </c>
      <c r="F346" s="27">
        <v>27</v>
      </c>
      <c r="G346" s="27">
        <v>1199</v>
      </c>
      <c r="P346" s="26"/>
    </row>
    <row r="347" spans="1:16" ht="12.5">
      <c r="A347" s="3" t="s">
        <v>38</v>
      </c>
      <c r="B347" s="3" t="s">
        <v>2798</v>
      </c>
      <c r="C347" s="8" t="s">
        <v>3492</v>
      </c>
      <c r="D347" s="41" t="str">
        <f ca="1">IFERROR(__xludf.DUMMYFUNCTION("IFERROR(ARRAYFORMULA(REGEXEXTRACT(C347,""^(?:https?:\/\/)?(?:[^@\n]+@)?(?:www\.)?([^:\/\n]+)"")),"""")"),"ctinsider.com")</f>
        <v>ctinsider.com</v>
      </c>
      <c r="E347" s="26" t="str">
        <f ca="1">IFERROR(__xludf.DUMMYFUNCTION("""COMPUTED_VALUE"""),"New")</f>
        <v>New</v>
      </c>
      <c r="F347" s="27">
        <v>79</v>
      </c>
      <c r="G347" s="27">
        <v>270268</v>
      </c>
      <c r="P347" s="26"/>
    </row>
    <row r="348" spans="1:16" ht="12.5" hidden="1">
      <c r="A348" s="3" t="s">
        <v>38</v>
      </c>
      <c r="B348" s="3" t="s">
        <v>2798</v>
      </c>
      <c r="C348" s="8" t="s">
        <v>3493</v>
      </c>
      <c r="D348" s="41" t="str">
        <f ca="1">IFERROR(__xludf.DUMMYFUNCTION("IFERROR(ARRAYFORMULA(REGEXEXTRACT(C348,""^(?:https?:\/\/)?(?:[^@\n]+@)?(?:www\.)?([^:\/\n]+)"")),"""")"),"onestep4ward.com")</f>
        <v>onestep4ward.com</v>
      </c>
      <c r="E348" s="26" t="str">
        <f ca="1">IFERROR(__xludf.DUMMYFUNCTION("""COMPUTED_VALUE"""),"Already Exists")</f>
        <v>Already Exists</v>
      </c>
      <c r="F348" s="27">
        <v>55</v>
      </c>
      <c r="G348" s="27">
        <v>25390</v>
      </c>
      <c r="P348" s="26"/>
    </row>
    <row r="349" spans="1:16" ht="12.5" hidden="1">
      <c r="A349" s="3" t="s">
        <v>38</v>
      </c>
      <c r="B349" s="3" t="s">
        <v>2798</v>
      </c>
      <c r="C349" s="8" t="s">
        <v>3494</v>
      </c>
      <c r="D349" s="41" t="str">
        <f ca="1">IFERROR(__xludf.DUMMYFUNCTION("IFERROR(ARRAYFORMULA(REGEXEXTRACT(C349,""^(?:https?:\/\/)?(?:[^@\n]+@)?(?:www\.)?([^:\/\n]+)"")),"""")"),"seaislenews.com")</f>
        <v>seaislenews.com</v>
      </c>
      <c r="E349" s="26" t="str">
        <f ca="1">IFERROR(__xludf.DUMMYFUNCTION("""COMPUTED_VALUE"""),"Already Exists")</f>
        <v>Already Exists</v>
      </c>
      <c r="F349" s="27">
        <v>55</v>
      </c>
      <c r="G349" s="27">
        <v>1508</v>
      </c>
      <c r="P349" s="26"/>
    </row>
    <row r="350" spans="1:16" ht="12.5">
      <c r="A350" s="3" t="s">
        <v>38</v>
      </c>
      <c r="B350" s="3" t="s">
        <v>2798</v>
      </c>
      <c r="C350" s="8" t="s">
        <v>3495</v>
      </c>
      <c r="D350" s="41" t="str">
        <f ca="1">IFERROR(__xludf.DUMMYFUNCTION("IFERROR(ARRAYFORMULA(REGEXEXTRACT(C350,""^(?:https?:\/\/)?(?:[^@\n]+@)?(?:www\.)?([^:\/\n]+)"")),"""")"),"podgorze.babinski.pl")</f>
        <v>podgorze.babinski.pl</v>
      </c>
      <c r="E350" s="26" t="str">
        <f ca="1">IFERROR(__xludf.DUMMYFUNCTION("""COMPUTED_VALUE"""),"New")</f>
        <v>New</v>
      </c>
      <c r="F350" s="27">
        <v>41</v>
      </c>
      <c r="G350" s="27">
        <v>2853</v>
      </c>
      <c r="P350" s="26"/>
    </row>
    <row r="351" spans="1:16" ht="12.5">
      <c r="A351" s="3" t="s">
        <v>38</v>
      </c>
      <c r="B351" s="3" t="s">
        <v>2798</v>
      </c>
      <c r="C351" s="8" t="s">
        <v>3496</v>
      </c>
      <c r="D351" s="41" t="str">
        <f ca="1">IFERROR(__xludf.DUMMYFUNCTION("IFERROR(ARRAYFORMULA(REGEXEXTRACT(C351,""^(?:https?:\/\/)?(?:[^@\n]+@)?(?:www\.)?([^:\/\n]+)"")),"""")"),"ranktracker.com")</f>
        <v>ranktracker.com</v>
      </c>
      <c r="E351" s="26" t="str">
        <f ca="1">IFERROR(__xludf.DUMMYFUNCTION("""COMPUTED_VALUE"""),"New")</f>
        <v>New</v>
      </c>
      <c r="F351" s="27">
        <v>77</v>
      </c>
      <c r="G351" s="27">
        <v>71250</v>
      </c>
      <c r="P351" s="26"/>
    </row>
    <row r="352" spans="1:16" ht="12.5">
      <c r="A352" s="3" t="s">
        <v>38</v>
      </c>
      <c r="B352" s="3" t="s">
        <v>2798</v>
      </c>
      <c r="C352" s="8" t="s">
        <v>3497</v>
      </c>
      <c r="D352" s="41" t="str">
        <f ca="1">IFERROR(__xludf.DUMMYFUNCTION("IFERROR(ARRAYFORMULA(REGEXEXTRACT(C352,""^(?:https?:\/\/)?(?:[^@\n]+@)?(?:www\.)?([^:\/\n]+)"")),"""")"),"eofire.com")</f>
        <v>eofire.com</v>
      </c>
      <c r="E352" s="26" t="str">
        <f ca="1">IFERROR(__xludf.DUMMYFUNCTION("""COMPUTED_VALUE"""),"New")</f>
        <v>New</v>
      </c>
      <c r="F352" s="27">
        <v>76</v>
      </c>
      <c r="G352" s="27">
        <v>1128</v>
      </c>
      <c r="P352" s="26"/>
    </row>
    <row r="353" spans="1:16" ht="12.5">
      <c r="A353" s="3" t="s">
        <v>38</v>
      </c>
      <c r="B353" s="3" t="s">
        <v>2798</v>
      </c>
      <c r="C353" s="8" t="s">
        <v>3498</v>
      </c>
      <c r="D353" s="41" t="str">
        <f ca="1">IFERROR(__xludf.DUMMYFUNCTION("IFERROR(ARRAYFORMULA(REGEXEXTRACT(C353,""^(?:https?:\/\/)?(?:[^@\n]+@)?(?:www\.)?([^:\/\n]+)"")),"""")"),"beverlyboy.com")</f>
        <v>beverlyboy.com</v>
      </c>
      <c r="E353" s="26" t="str">
        <f ca="1">IFERROR(__xludf.DUMMYFUNCTION("""COMPUTED_VALUE"""),"New")</f>
        <v>New</v>
      </c>
      <c r="F353" s="27">
        <v>49</v>
      </c>
      <c r="G353" s="27">
        <v>13909</v>
      </c>
      <c r="P353" s="26"/>
    </row>
    <row r="354" spans="1:16" ht="12.5" hidden="1">
      <c r="A354" s="3" t="s">
        <v>38</v>
      </c>
      <c r="B354" s="3" t="s">
        <v>2798</v>
      </c>
      <c r="C354" s="8" t="s">
        <v>3499</v>
      </c>
      <c r="D354" s="41" t="str">
        <f ca="1">IFERROR(__xludf.DUMMYFUNCTION("IFERROR(ARRAYFORMULA(REGEXEXTRACT(C354,""^(?:https?:\/\/)?(?:[^@\n]+@)?(?:www\.)?([^:\/\n]+)"")),"""")"),"drprem.com")</f>
        <v>drprem.com</v>
      </c>
      <c r="E354" s="26" t="str">
        <f ca="1">IFERROR(__xludf.DUMMYFUNCTION("""COMPUTED_VALUE"""),"Already Exists")</f>
        <v>Already Exists</v>
      </c>
      <c r="F354" s="27">
        <v>55</v>
      </c>
      <c r="G354" s="27">
        <v>1103</v>
      </c>
    </row>
    <row r="355" spans="1:16" ht="12.5">
      <c r="A355" s="3" t="s">
        <v>38</v>
      </c>
      <c r="B355" s="3" t="s">
        <v>2798</v>
      </c>
      <c r="C355" s="8" t="s">
        <v>3500</v>
      </c>
      <c r="D355" s="41" t="str">
        <f ca="1">IFERROR(__xludf.DUMMYFUNCTION("IFERROR(ARRAYFORMULA(REGEXEXTRACT(C355,""^(?:https?:\/\/)?(?:[^@\n]+@)?(?:www\.)?([^:\/\n]+)"")),"""")"),"vagabondjourney.com")</f>
        <v>vagabondjourney.com</v>
      </c>
      <c r="E355" s="26" t="str">
        <f ca="1">IFERROR(__xludf.DUMMYFUNCTION("""COMPUTED_VALUE"""),"New")</f>
        <v>New</v>
      </c>
      <c r="F355" s="27">
        <v>41</v>
      </c>
      <c r="G355" s="27">
        <v>1168</v>
      </c>
      <c r="P355" s="26"/>
    </row>
    <row r="356" spans="1:16" ht="12.5">
      <c r="A356" s="3" t="s">
        <v>38</v>
      </c>
      <c r="B356" s="3" t="s">
        <v>2798</v>
      </c>
      <c r="C356" s="11" t="s">
        <v>3501</v>
      </c>
      <c r="D356" s="41" t="str">
        <f ca="1">IFERROR(__xludf.DUMMYFUNCTION("IFERROR(ARRAYFORMULA(REGEXEXTRACT(C356,""^(?:https?:\/\/)?(?:[^@\n]+@)?(?:www\.)?([^:\/\n]+)"")),"""")"),"azbigmedia.com")</f>
        <v>azbigmedia.com</v>
      </c>
      <c r="E356" s="26" t="str">
        <f ca="1">IFERROR(__xludf.DUMMYFUNCTION("""COMPUTED_VALUE"""),"New")</f>
        <v>New</v>
      </c>
      <c r="F356" s="27">
        <v>77</v>
      </c>
      <c r="G356" s="27">
        <v>15332</v>
      </c>
      <c r="H356" s="27" t="s">
        <v>3502</v>
      </c>
      <c r="I356" s="27" t="s">
        <v>3503</v>
      </c>
      <c r="J356" s="27" t="s">
        <v>3504</v>
      </c>
      <c r="M356" s="27" t="s">
        <v>3117</v>
      </c>
      <c r="N356" s="48">
        <v>46029</v>
      </c>
      <c r="O356" s="48">
        <v>46068</v>
      </c>
      <c r="P356" s="26"/>
    </row>
    <row r="357" spans="1:16" ht="12.5" hidden="1">
      <c r="A357" s="3" t="s">
        <v>38</v>
      </c>
      <c r="B357" s="3" t="s">
        <v>2798</v>
      </c>
      <c r="C357" s="56" t="s">
        <v>3505</v>
      </c>
      <c r="D357" s="41" t="str">
        <f ca="1">IFERROR(__xludf.DUMMYFUNCTION("IFERROR(ARRAYFORMULA(REGEXEXTRACT(C357,""^(?:https?:\/\/)?(?:[^@\n]+@)?(?:www\.)?([^:\/\n]+)"")),"""")"),"nyweekly.com")</f>
        <v>nyweekly.com</v>
      </c>
      <c r="E357" s="26" t="str">
        <f ca="1">IFERROR(__xludf.DUMMYFUNCTION("""COMPUTED_VALUE"""),"Already Exists")</f>
        <v>Already Exists</v>
      </c>
      <c r="F357" s="27">
        <v>77</v>
      </c>
      <c r="G357" s="27">
        <v>1091</v>
      </c>
      <c r="J357" s="27" t="s">
        <v>3506</v>
      </c>
      <c r="M357" s="27" t="s">
        <v>3117</v>
      </c>
      <c r="N357" s="48">
        <v>46029</v>
      </c>
      <c r="P357" s="27" t="s">
        <v>3201</v>
      </c>
    </row>
    <row r="358" spans="1:16" ht="12.5">
      <c r="A358" s="3" t="s">
        <v>38</v>
      </c>
      <c r="B358" s="3" t="s">
        <v>2798</v>
      </c>
      <c r="C358" s="8" t="s">
        <v>3507</v>
      </c>
      <c r="D358" s="41" t="str">
        <f ca="1">IFERROR(__xludf.DUMMYFUNCTION("IFERROR(ARRAYFORMULA(REGEXEXTRACT(C358,""^(?:https?:\/\/)?(?:[^@\n]+@)?(?:www\.)?([^:\/\n]+)"")),"""")"),"entrepreneursbreak.com")</f>
        <v>entrepreneursbreak.com</v>
      </c>
      <c r="E358" s="26" t="str">
        <f ca="1">IFERROR(__xludf.DUMMYFUNCTION("""COMPUTED_VALUE"""),"New")</f>
        <v>New</v>
      </c>
      <c r="F358" s="27">
        <v>58</v>
      </c>
      <c r="G358" s="27">
        <v>4191</v>
      </c>
      <c r="P358" s="26"/>
    </row>
    <row r="359" spans="1:16" ht="12.5">
      <c r="A359" s="3" t="s">
        <v>38</v>
      </c>
      <c r="B359" s="3" t="s">
        <v>2798</v>
      </c>
      <c r="C359" s="8" t="s">
        <v>3508</v>
      </c>
      <c r="D359" s="41" t="str">
        <f ca="1">IFERROR(__xludf.DUMMYFUNCTION("IFERROR(ARRAYFORMULA(REGEXEXTRACT(C359,""^(?:https?:\/\/)?(?:[^@\n]+@)?(?:www\.)?([^:\/\n]+)"")),"""")"),"boomermagazine.com")</f>
        <v>boomermagazine.com</v>
      </c>
      <c r="E359" s="26" t="str">
        <f ca="1">IFERROR(__xludf.DUMMYFUNCTION("""COMPUTED_VALUE"""),"New")</f>
        <v>New</v>
      </c>
      <c r="F359" s="27">
        <v>47</v>
      </c>
      <c r="G359" s="27">
        <v>7056</v>
      </c>
      <c r="P359" s="26"/>
    </row>
    <row r="360" spans="1:16" ht="12.5" hidden="1">
      <c r="A360" s="3" t="s">
        <v>38</v>
      </c>
      <c r="B360" s="3" t="s">
        <v>2798</v>
      </c>
      <c r="C360" s="8" t="s">
        <v>3509</v>
      </c>
      <c r="D360" s="41" t="str">
        <f ca="1">IFERROR(__xludf.DUMMYFUNCTION("IFERROR(ARRAYFORMULA(REGEXEXTRACT(C360,""^(?:https?:\/\/)?(?:[^@\n]+@)?(?:www\.)?([^:\/\n]+)"")),"""")"),"pommietravels.com")</f>
        <v>pommietravels.com</v>
      </c>
      <c r="E360" s="26" t="str">
        <f ca="1">IFERROR(__xludf.DUMMYFUNCTION("""COMPUTED_VALUE"""),"Already Exists")</f>
        <v>Already Exists</v>
      </c>
      <c r="F360" s="27">
        <v>38</v>
      </c>
      <c r="G360" s="27">
        <v>3941</v>
      </c>
    </row>
    <row r="361" spans="1:16" ht="12.5">
      <c r="A361" s="3" t="s">
        <v>38</v>
      </c>
      <c r="B361" s="3" t="s">
        <v>2798</v>
      </c>
      <c r="C361" s="8" t="s">
        <v>3510</v>
      </c>
      <c r="D361" s="41" t="str">
        <f ca="1">IFERROR(__xludf.DUMMYFUNCTION("IFERROR(ARRAYFORMULA(REGEXEXTRACT(C361,""^(?:https?:\/\/)?(?:[^@\n]+@)?(?:www\.)?([^:\/\n]+)"")),"""")"),"user1641665.sites.myregisteredsite.com")</f>
        <v>user1641665.sites.myregisteredsite.com</v>
      </c>
      <c r="E361" s="26" t="str">
        <f ca="1">IFERROR(__xludf.DUMMYFUNCTION("""COMPUTED_VALUE"""),"New")</f>
        <v>New</v>
      </c>
      <c r="F361" s="27">
        <v>86</v>
      </c>
      <c r="G361" s="27">
        <v>7491</v>
      </c>
      <c r="P361" s="26"/>
    </row>
    <row r="362" spans="1:16" ht="12.5">
      <c r="A362" s="3" t="s">
        <v>38</v>
      </c>
      <c r="B362" s="3" t="s">
        <v>2798</v>
      </c>
      <c r="C362" s="8" t="s">
        <v>3511</v>
      </c>
      <c r="D362" s="41" t="str">
        <f ca="1">IFERROR(__xludf.DUMMYFUNCTION("IFERROR(ARRAYFORMULA(REGEXEXTRACT(C362,""^(?:https?:\/\/)?(?:[^@\n]+@)?(?:www\.)?([^:\/\n]+)"")),"""")"),"theredheadbaker.com")</f>
        <v>theredheadbaker.com</v>
      </c>
      <c r="E362" s="26" t="str">
        <f ca="1">IFERROR(__xludf.DUMMYFUNCTION("""COMPUTED_VALUE"""),"New")</f>
        <v>New</v>
      </c>
      <c r="F362" s="27">
        <v>44</v>
      </c>
      <c r="G362" s="27">
        <v>4348</v>
      </c>
      <c r="P362" s="26"/>
    </row>
    <row r="363" spans="1:16" ht="12.5">
      <c r="A363" s="3" t="s">
        <v>38</v>
      </c>
      <c r="B363" s="3" t="s">
        <v>2798</v>
      </c>
      <c r="C363" s="8" t="s">
        <v>3512</v>
      </c>
      <c r="D363" s="41" t="str">
        <f ca="1">IFERROR(__xludf.DUMMYFUNCTION("IFERROR(ARRAYFORMULA(REGEXEXTRACT(C363,""^(?:https?:\/\/)?(?:[^@\n]+@)?(?:www\.)?([^:\/\n]+)"")),"""")"),"prettyopinionated.com")</f>
        <v>prettyopinionated.com</v>
      </c>
      <c r="E363" s="26" t="str">
        <f ca="1">IFERROR(__xludf.DUMMYFUNCTION("""COMPUTED_VALUE"""),"New")</f>
        <v>New</v>
      </c>
      <c r="F363" s="27">
        <v>43</v>
      </c>
      <c r="G363" s="27">
        <v>4136</v>
      </c>
      <c r="P363" s="26"/>
    </row>
    <row r="364" spans="1:16" ht="12.5">
      <c r="A364" s="3" t="s">
        <v>38</v>
      </c>
      <c r="B364" s="3" t="s">
        <v>2798</v>
      </c>
      <c r="C364" s="8" t="s">
        <v>3513</v>
      </c>
      <c r="D364" s="41" t="str">
        <f ca="1">IFERROR(__xludf.DUMMYFUNCTION("IFERROR(ARRAYFORMULA(REGEXEXTRACT(C364,""^(?:https?:\/\/)?(?:[^@\n]+@)?(?:www\.)?([^:\/\n]+)"")),"""")"),"provenexpert.com")</f>
        <v>provenexpert.com</v>
      </c>
      <c r="E364" s="26" t="str">
        <f ca="1">IFERROR(__xludf.DUMMYFUNCTION("""COMPUTED_VALUE"""),"New")</f>
        <v>New</v>
      </c>
      <c r="F364" s="27">
        <v>91</v>
      </c>
      <c r="G364" s="27">
        <v>61859</v>
      </c>
      <c r="P364" s="26"/>
    </row>
    <row r="365" spans="1:16" ht="12.5">
      <c r="A365" s="3" t="s">
        <v>38</v>
      </c>
      <c r="B365" s="3" t="s">
        <v>2798</v>
      </c>
      <c r="C365" s="8" t="s">
        <v>3514</v>
      </c>
      <c r="D365" s="41" t="str">
        <f ca="1">IFERROR(__xludf.DUMMYFUNCTION("IFERROR(ARRAYFORMULA(REGEXEXTRACT(C365,""^(?:https?:\/\/)?(?:[^@\n]+@)?(?:www\.)?([^:\/\n]+)"")),"""")"),"coastalvirginiamag.com")</f>
        <v>coastalvirginiamag.com</v>
      </c>
      <c r="E365" s="26" t="str">
        <f ca="1">IFERROR(__xludf.DUMMYFUNCTION("""COMPUTED_VALUE"""),"New")</f>
        <v>New</v>
      </c>
      <c r="F365" s="27">
        <v>65</v>
      </c>
      <c r="G365" s="27">
        <v>1949</v>
      </c>
      <c r="P365" s="26"/>
    </row>
    <row r="366" spans="1:16" ht="12.5">
      <c r="A366" s="3" t="s">
        <v>38</v>
      </c>
      <c r="B366" s="3" t="s">
        <v>2798</v>
      </c>
      <c r="C366" s="8" t="s">
        <v>3515</v>
      </c>
      <c r="D366" s="41" t="str">
        <f ca="1">IFERROR(__xludf.DUMMYFUNCTION("IFERROR(ARRAYFORMULA(REGEXEXTRACT(C366,""^(?:https?:\/\/)?(?:[^@\n]+@)?(?:www\.)?([^:\/\n]+)"")),"""")"),"thedigestonline.com")</f>
        <v>thedigestonline.com</v>
      </c>
      <c r="E366" s="26" t="str">
        <f ca="1">IFERROR(__xludf.DUMMYFUNCTION("""COMPUTED_VALUE"""),"New")</f>
        <v>New</v>
      </c>
      <c r="F366" s="27">
        <v>59</v>
      </c>
      <c r="G366" s="27">
        <v>7695</v>
      </c>
      <c r="P366" s="26"/>
    </row>
    <row r="367" spans="1:16" ht="12.5">
      <c r="A367" s="3" t="s">
        <v>38</v>
      </c>
      <c r="B367" s="3" t="s">
        <v>2798</v>
      </c>
      <c r="C367" s="8" t="s">
        <v>3516</v>
      </c>
      <c r="D367" s="41" t="str">
        <f ca="1">IFERROR(__xludf.DUMMYFUNCTION("IFERROR(ARRAYFORMULA(REGEXEXTRACT(C367,""^(?:https?:\/\/)?(?:[^@\n]+@)?(?:www\.)?([^:\/\n]+)"")),"""")"),"petswelcome.com")</f>
        <v>petswelcome.com</v>
      </c>
      <c r="E367" s="26" t="str">
        <f ca="1">IFERROR(__xludf.DUMMYFUNCTION("""COMPUTED_VALUE"""),"New")</f>
        <v>New</v>
      </c>
      <c r="F367" s="27">
        <v>69</v>
      </c>
      <c r="G367" s="27">
        <v>21163</v>
      </c>
      <c r="P367" s="26"/>
    </row>
    <row r="368" spans="1:16" ht="12.5">
      <c r="A368" s="3" t="s">
        <v>38</v>
      </c>
      <c r="B368" s="3" t="s">
        <v>2798</v>
      </c>
      <c r="C368" s="8" t="s">
        <v>3517</v>
      </c>
      <c r="D368" s="41" t="str">
        <f ca="1">IFERROR(__xludf.DUMMYFUNCTION("IFERROR(ARRAYFORMULA(REGEXEXTRACT(C368,""^(?:https?:\/\/)?(?:[^@\n]+@)?(?:www\.)?([^:\/\n]+)"")),"""")"),"peoplesmart.com")</f>
        <v>peoplesmart.com</v>
      </c>
      <c r="E368" s="26" t="str">
        <f ca="1">IFERROR(__xludf.DUMMYFUNCTION("""COMPUTED_VALUE"""),"New")</f>
        <v>New</v>
      </c>
      <c r="F368" s="27">
        <v>50</v>
      </c>
      <c r="G368" s="27">
        <v>1668</v>
      </c>
      <c r="P368" s="26"/>
    </row>
    <row r="369" spans="1:16" ht="12.5">
      <c r="A369" s="3" t="s">
        <v>38</v>
      </c>
      <c r="B369" s="3" t="s">
        <v>2798</v>
      </c>
      <c r="C369" s="11" t="s">
        <v>3518</v>
      </c>
      <c r="D369" s="41" t="str">
        <f ca="1">IFERROR(__xludf.DUMMYFUNCTION("IFERROR(ARRAYFORMULA(REGEXEXTRACT(C369,""^(?:https?:\/\/)?(?:[^@\n]+@)?(?:www\.)?([^:\/\n]+)"")),"""")"),"charlottemagazine.com")</f>
        <v>charlottemagazine.com</v>
      </c>
      <c r="E369" s="26" t="str">
        <f ca="1">IFERROR(__xludf.DUMMYFUNCTION("""COMPUTED_VALUE"""),"New")</f>
        <v>New</v>
      </c>
      <c r="F369" s="27">
        <v>71</v>
      </c>
      <c r="G369" s="27">
        <v>25436</v>
      </c>
      <c r="H369" s="27" t="s">
        <v>3519</v>
      </c>
      <c r="I369" s="27" t="s">
        <v>3520</v>
      </c>
      <c r="J369" s="27" t="s">
        <v>3521</v>
      </c>
      <c r="M369" s="27" t="s">
        <v>3117</v>
      </c>
      <c r="N369" s="48">
        <v>46029</v>
      </c>
      <c r="O369" s="48">
        <v>46068</v>
      </c>
      <c r="P369" s="26"/>
    </row>
    <row r="370" spans="1:16" ht="12.5">
      <c r="A370" s="3" t="s">
        <v>38</v>
      </c>
      <c r="B370" s="3" t="s">
        <v>2798</v>
      </c>
      <c r="C370" s="8" t="s">
        <v>3522</v>
      </c>
      <c r="D370" s="41" t="str">
        <f ca="1">IFERROR(__xludf.DUMMYFUNCTION("IFERROR(ARRAYFORMULA(REGEXEXTRACT(C370,""^(?:https?:\/\/)?(?:[^@\n]+@)?(?:www\.)?([^:\/\n]+)"")),"""")"),"wgbh.org")</f>
        <v>wgbh.org</v>
      </c>
      <c r="E370" s="26" t="str">
        <f ca="1">IFERROR(__xludf.DUMMYFUNCTION("""COMPUTED_VALUE"""),"New")</f>
        <v>New</v>
      </c>
      <c r="F370" s="27">
        <v>81</v>
      </c>
      <c r="G370" s="27">
        <v>62263</v>
      </c>
      <c r="P370" s="26"/>
    </row>
    <row r="371" spans="1:16" ht="12.5" hidden="1">
      <c r="A371" s="3" t="s">
        <v>38</v>
      </c>
      <c r="B371" s="3" t="s">
        <v>2798</v>
      </c>
      <c r="C371" s="11" t="s">
        <v>3523</v>
      </c>
      <c r="D371" s="41" t="str">
        <f ca="1">IFERROR(__xludf.DUMMYFUNCTION("IFERROR(ARRAYFORMULA(REGEXEXTRACT(C371,""^(?:https?:\/\/)?(?:[^@\n]+@)?(?:www\.)?([^:\/\n]+)"")),"""")"),"literallydarling.com")</f>
        <v>literallydarling.com</v>
      </c>
      <c r="E371" s="26" t="str">
        <f ca="1">IFERROR(__xludf.DUMMYFUNCTION("""COMPUTED_VALUE"""),"Already Exists")</f>
        <v>Already Exists</v>
      </c>
      <c r="F371" s="27">
        <v>39</v>
      </c>
      <c r="G371" s="27">
        <v>1165</v>
      </c>
      <c r="H371" s="27" t="s">
        <v>3524</v>
      </c>
      <c r="I371" s="27" t="s">
        <v>3525</v>
      </c>
      <c r="J371" s="27" t="s">
        <v>3526</v>
      </c>
      <c r="M371" s="27" t="s">
        <v>3117</v>
      </c>
      <c r="N371" s="48">
        <v>46029</v>
      </c>
      <c r="P371" s="26"/>
    </row>
    <row r="372" spans="1:16" ht="12.5" hidden="1">
      <c r="A372" s="3" t="s">
        <v>38</v>
      </c>
      <c r="B372" s="3" t="s">
        <v>2798</v>
      </c>
      <c r="C372" s="8" t="s">
        <v>3527</v>
      </c>
      <c r="D372" s="41" t="str">
        <f ca="1">IFERROR(__xludf.DUMMYFUNCTION("IFERROR(ARRAYFORMULA(REGEXEXTRACT(C372,""^(?:https?:\/\/)?(?:[^@\n]+@)?(?:www\.)?([^:\/\n]+)"")),"""")"),"mklibrary.com")</f>
        <v>mklibrary.com</v>
      </c>
      <c r="E372" s="26" t="str">
        <f ca="1">IFERROR(__xludf.DUMMYFUNCTION("""COMPUTED_VALUE"""),"Already Exists")</f>
        <v>Already Exists</v>
      </c>
      <c r="F372" s="27">
        <v>72</v>
      </c>
      <c r="G372" s="27">
        <v>2131</v>
      </c>
    </row>
    <row r="373" spans="1:16" ht="12.5">
      <c r="A373" s="3" t="s">
        <v>38</v>
      </c>
      <c r="B373" s="3" t="s">
        <v>2798</v>
      </c>
      <c r="C373" s="8" t="s">
        <v>3528</v>
      </c>
      <c r="D373" s="41" t="str">
        <f ca="1">IFERROR(__xludf.DUMMYFUNCTION("IFERROR(ARRAYFORMULA(REGEXEXTRACT(C373,""^(?:https?:\/\/)?(?:[^@\n]+@)?(?:www\.)?([^:\/\n]+)"")),"""")"),"soaringbear.tripod.com")</f>
        <v>soaringbear.tripod.com</v>
      </c>
      <c r="E373" s="26" t="str">
        <f ca="1">IFERROR(__xludf.DUMMYFUNCTION("""COMPUTED_VALUE"""),"New")</f>
        <v>New</v>
      </c>
      <c r="F373" s="27">
        <v>89</v>
      </c>
      <c r="G373" s="27">
        <v>237760</v>
      </c>
      <c r="P373" s="26"/>
    </row>
    <row r="374" spans="1:16" ht="12.5" hidden="1">
      <c r="A374" s="3" t="s">
        <v>38</v>
      </c>
      <c r="B374" s="3" t="s">
        <v>2798</v>
      </c>
      <c r="C374" s="8" t="s">
        <v>3529</v>
      </c>
      <c r="D374" s="41" t="str">
        <f ca="1">IFERROR(__xludf.DUMMYFUNCTION("IFERROR(ARRAYFORMULA(REGEXEXTRACT(C374,""^(?:https?:\/\/)?(?:[^@\n]+@)?(?:www\.)?([^:\/\n]+)"")),"""")"),"ocnjdaily.com")</f>
        <v>ocnjdaily.com</v>
      </c>
      <c r="E374" s="26" t="str">
        <f ca="1">IFERROR(__xludf.DUMMYFUNCTION("""COMPUTED_VALUE"""),"Already Exists")</f>
        <v>Already Exists</v>
      </c>
      <c r="F374" s="27">
        <v>67</v>
      </c>
      <c r="G374" s="27">
        <v>11549</v>
      </c>
    </row>
    <row r="375" spans="1:16" ht="12.5">
      <c r="A375" s="3" t="s">
        <v>38</v>
      </c>
      <c r="B375" s="3" t="s">
        <v>2798</v>
      </c>
      <c r="C375" s="8" t="s">
        <v>3530</v>
      </c>
      <c r="D375" s="41" t="str">
        <f ca="1">IFERROR(__xludf.DUMMYFUNCTION("IFERROR(ARRAYFORMULA(REGEXEXTRACT(C375,""^(?:https?:\/\/)?(?:[^@\n]+@)?(?:www\.)?([^:\/\n]+)"")),"""")"),"woodyhigh123.wixsite.com")</f>
        <v>woodyhigh123.wixsite.com</v>
      </c>
      <c r="E375" s="26" t="str">
        <f ca="1">IFERROR(__xludf.DUMMYFUNCTION("""COMPUTED_VALUE"""),"New")</f>
        <v>New</v>
      </c>
      <c r="F375" s="27">
        <v>94</v>
      </c>
      <c r="G375" s="27">
        <v>1955559</v>
      </c>
      <c r="P375" s="26"/>
    </row>
    <row r="376" spans="1:16" ht="12.5">
      <c r="A376" s="3" t="s">
        <v>38</v>
      </c>
      <c r="B376" s="3" t="s">
        <v>2798</v>
      </c>
      <c r="C376" s="8" t="s">
        <v>3531</v>
      </c>
      <c r="D376" s="41" t="str">
        <f ca="1">IFERROR(__xludf.DUMMYFUNCTION("IFERROR(ARRAYFORMULA(REGEXEXTRACT(C376,""^(?:https?:\/\/)?(?:[^@\n]+@)?(?:www\.)?([^:\/\n]+)"")),"""")"),"virginiaplaces.org")</f>
        <v>virginiaplaces.org</v>
      </c>
      <c r="E376" s="26" t="str">
        <f ca="1">IFERROR(__xludf.DUMMYFUNCTION("""COMPUTED_VALUE"""),"New")</f>
        <v>New</v>
      </c>
      <c r="F376" s="27">
        <v>55</v>
      </c>
      <c r="G376" s="27">
        <v>5746</v>
      </c>
      <c r="P376" s="26"/>
    </row>
    <row r="377" spans="1:16" ht="12.5" hidden="1">
      <c r="A377" s="3" t="s">
        <v>38</v>
      </c>
      <c r="B377" s="3" t="s">
        <v>2798</v>
      </c>
      <c r="C377" s="8" t="s">
        <v>3532</v>
      </c>
      <c r="D377" s="41" t="str">
        <f ca="1">IFERROR(__xludf.DUMMYFUNCTION("IFERROR(ARRAYFORMULA(REGEXEXTRACT(C377,""^(?:https?:\/\/)?(?:[^@\n]+@)?(?:www\.)?([^:\/\n]+)"")),"""")"),"travelsafe-abroad.com")</f>
        <v>travelsafe-abroad.com</v>
      </c>
      <c r="E377" s="26" t="str">
        <f ca="1">IFERROR(__xludf.DUMMYFUNCTION("""COMPUTED_VALUE"""),"Already Exists")</f>
        <v>Already Exists</v>
      </c>
      <c r="F377" s="27">
        <v>58</v>
      </c>
      <c r="G377" s="27">
        <v>12413</v>
      </c>
    </row>
    <row r="378" spans="1:16" ht="12.5">
      <c r="A378" s="3" t="s">
        <v>38</v>
      </c>
      <c r="B378" s="3" t="s">
        <v>2798</v>
      </c>
      <c r="C378" s="8" t="s">
        <v>3533</v>
      </c>
      <c r="D378" s="41" t="str">
        <f ca="1">IFERROR(__xludf.DUMMYFUNCTION("IFERROR(ARRAYFORMULA(REGEXEXTRACT(C378,""^(?:https?:\/\/)?(?:[^@\n]+@)?(?:www\.)?([^:\/\n]+)"")),"""")"),"opencart.com")</f>
        <v>opencart.com</v>
      </c>
      <c r="E378" s="26" t="str">
        <f ca="1">IFERROR(__xludf.DUMMYFUNCTION("""COMPUTED_VALUE"""),"New")</f>
        <v>New</v>
      </c>
      <c r="F378" s="27">
        <v>91</v>
      </c>
      <c r="G378" s="27">
        <v>31376</v>
      </c>
      <c r="P378" s="26"/>
    </row>
    <row r="379" spans="1:16" ht="12.5">
      <c r="A379" s="3" t="s">
        <v>38</v>
      </c>
      <c r="B379" s="3" t="s">
        <v>2798</v>
      </c>
      <c r="C379" s="8" t="s">
        <v>3534</v>
      </c>
      <c r="D379" s="41" t="str">
        <f ca="1">IFERROR(__xludf.DUMMYFUNCTION("IFERROR(ARRAYFORMULA(REGEXEXTRACT(C379,""^(?:https?:\/\/)?(?:[^@\n]+@)?(?:www\.)?([^:\/\n]+)"")),"""")"),"lifeinabreakdown.com")</f>
        <v>lifeinabreakdown.com</v>
      </c>
      <c r="E379" s="26" t="str">
        <f ca="1">IFERROR(__xludf.DUMMYFUNCTION("""COMPUTED_VALUE"""),"New")</f>
        <v>New</v>
      </c>
      <c r="F379" s="27">
        <v>56</v>
      </c>
      <c r="G379" s="27">
        <v>1169</v>
      </c>
      <c r="P379" s="26"/>
    </row>
    <row r="380" spans="1:16" ht="12.5">
      <c r="A380" s="3" t="s">
        <v>38</v>
      </c>
      <c r="B380" s="3" t="s">
        <v>2798</v>
      </c>
      <c r="C380" s="8" t="s">
        <v>3535</v>
      </c>
      <c r="D380" s="41" t="str">
        <f ca="1">IFERROR(__xludf.DUMMYFUNCTION("IFERROR(ARRAYFORMULA(REGEXEXTRACT(C380,""^(?:https?:\/\/)?(?:[^@\n]+@)?(?:www\.)?([^:\/\n]+)"")),"""")"),"urbanmatter.com")</f>
        <v>urbanmatter.com</v>
      </c>
      <c r="E380" s="26" t="str">
        <f ca="1">IFERROR(__xludf.DUMMYFUNCTION("""COMPUTED_VALUE"""),"New")</f>
        <v>New</v>
      </c>
      <c r="F380" s="27">
        <v>70</v>
      </c>
      <c r="G380" s="27">
        <v>18546</v>
      </c>
      <c r="P380" s="26"/>
    </row>
    <row r="381" spans="1:16" ht="12.5">
      <c r="A381" s="3" t="s">
        <v>38</v>
      </c>
      <c r="B381" s="3" t="s">
        <v>2798</v>
      </c>
      <c r="C381" s="8" t="s">
        <v>3536</v>
      </c>
      <c r="D381" s="41" t="str">
        <f ca="1">IFERROR(__xludf.DUMMYFUNCTION("IFERROR(ARRAYFORMULA(REGEXEXTRACT(C381,""^(?:https?:\/\/)?(?:[^@\n]+@)?(?:www\.)?([^:\/\n]+)"")),"""")"),"humbledollar.com")</f>
        <v>humbledollar.com</v>
      </c>
      <c r="E381" s="26" t="str">
        <f ca="1">IFERROR(__xludf.DUMMYFUNCTION("""COMPUTED_VALUE"""),"New")</f>
        <v>New</v>
      </c>
      <c r="F381" s="27">
        <v>49</v>
      </c>
      <c r="G381" s="27">
        <v>8809</v>
      </c>
      <c r="P381" s="26"/>
    </row>
    <row r="382" spans="1:16" ht="12.5">
      <c r="A382" s="3" t="s">
        <v>38</v>
      </c>
      <c r="B382" s="3" t="s">
        <v>2798</v>
      </c>
      <c r="C382" s="8" t="s">
        <v>3537</v>
      </c>
      <c r="D382" s="41" t="str">
        <f ca="1">IFERROR(__xludf.DUMMYFUNCTION("IFERROR(ARRAYFORMULA(REGEXEXTRACT(C382,""^(?:https?:\/\/)?(?:[^@\n]+@)?(?:www\.)?([^:\/\n]+)"")),"""")"),"snopes.com")</f>
        <v>snopes.com</v>
      </c>
      <c r="E382" s="26" t="str">
        <f ca="1">IFERROR(__xludf.DUMMYFUNCTION("""COMPUTED_VALUE"""),"New")</f>
        <v>New</v>
      </c>
      <c r="F382" s="27">
        <v>86</v>
      </c>
      <c r="G382" s="27">
        <v>462392</v>
      </c>
      <c r="P382" s="26"/>
    </row>
    <row r="383" spans="1:16" ht="12.5">
      <c r="A383" s="3" t="s">
        <v>38</v>
      </c>
      <c r="B383" s="3" t="s">
        <v>2798</v>
      </c>
      <c r="C383" s="8" t="s">
        <v>3538</v>
      </c>
      <c r="D383" s="41" t="str">
        <f ca="1">IFERROR(__xludf.DUMMYFUNCTION("IFERROR(ARRAYFORMULA(REGEXEXTRACT(C383,""^(?:https?:\/\/)?(?:[^@\n]+@)?(?:www\.)?([^:\/\n]+)"")),"""")"),"toolify.ai")</f>
        <v>toolify.ai</v>
      </c>
      <c r="E383" s="26" t="str">
        <f ca="1">IFERROR(__xludf.DUMMYFUNCTION("""COMPUTED_VALUE"""),"New")</f>
        <v>New</v>
      </c>
      <c r="F383" s="27">
        <v>73</v>
      </c>
      <c r="G383" s="27">
        <v>41361</v>
      </c>
      <c r="P383" s="26"/>
    </row>
    <row r="384" spans="1:16" ht="12.5">
      <c r="A384" s="3" t="s">
        <v>38</v>
      </c>
      <c r="B384" s="3" t="s">
        <v>2798</v>
      </c>
      <c r="C384" s="8" t="s">
        <v>3539</v>
      </c>
      <c r="D384" s="41" t="str">
        <f ca="1">IFERROR(__xludf.DUMMYFUNCTION("IFERROR(ARRAYFORMULA(REGEXEXTRACT(C384,""^(?:https?:\/\/)?(?:[^@\n]+@)?(?:www\.)?([^:\/\n]+)"")),"""")"),"blog.ncagr.gov")</f>
        <v>blog.ncagr.gov</v>
      </c>
      <c r="E384" s="26" t="str">
        <f ca="1">IFERROR(__xludf.DUMMYFUNCTION("""COMPUTED_VALUE"""),"New")</f>
        <v>New</v>
      </c>
      <c r="F384" s="27">
        <v>77</v>
      </c>
      <c r="G384" s="27">
        <v>46557</v>
      </c>
      <c r="P384" s="26"/>
    </row>
    <row r="385" spans="1:16" ht="12.5">
      <c r="A385" s="3" t="s">
        <v>38</v>
      </c>
      <c r="B385" s="3" t="s">
        <v>2798</v>
      </c>
      <c r="C385" s="8" t="s">
        <v>3540</v>
      </c>
      <c r="D385" s="41" t="str">
        <f ca="1">IFERROR(__xludf.DUMMYFUNCTION("IFERROR(ARRAYFORMULA(REGEXEXTRACT(C385,""^(?:https?:\/\/)?(?:[^@\n]+@)?(?:www\.)?([^:\/\n]+)"")),"""")"),"ofwhiskeyandwords.com")</f>
        <v>ofwhiskeyandwords.com</v>
      </c>
      <c r="E385" s="26" t="str">
        <f ca="1">IFERROR(__xludf.DUMMYFUNCTION("""COMPUTED_VALUE"""),"New")</f>
        <v>New</v>
      </c>
      <c r="F385" s="27">
        <v>27</v>
      </c>
      <c r="G385" s="27">
        <v>2934</v>
      </c>
      <c r="P385" s="26"/>
    </row>
    <row r="386" spans="1:16" ht="12.5">
      <c r="A386" s="3" t="s">
        <v>38</v>
      </c>
      <c r="B386" s="3" t="s">
        <v>2798</v>
      </c>
      <c r="C386" s="8" t="s">
        <v>3541</v>
      </c>
      <c r="D386" s="41" t="str">
        <f ca="1">IFERROR(__xludf.DUMMYFUNCTION("IFERROR(ARRAYFORMULA(REGEXEXTRACT(C386,""^(?:https?:\/\/)?(?:[^@\n]+@)?(?:www\.)?([^:\/\n]+)"")),"""")"),"wanderlog.com")</f>
        <v>wanderlog.com</v>
      </c>
      <c r="E386" s="26" t="str">
        <f ca="1">IFERROR(__xludf.DUMMYFUNCTION("""COMPUTED_VALUE"""),"New")</f>
        <v>New</v>
      </c>
      <c r="F386" s="27">
        <v>75</v>
      </c>
      <c r="G386" s="27">
        <v>2238445</v>
      </c>
      <c r="P386" s="26"/>
    </row>
    <row r="387" spans="1:16" ht="12.5">
      <c r="A387" s="3" t="s">
        <v>38</v>
      </c>
      <c r="B387" s="3" t="s">
        <v>2798</v>
      </c>
      <c r="C387" s="8" t="s">
        <v>3542</v>
      </c>
      <c r="D387" s="41" t="str">
        <f ca="1">IFERROR(__xludf.DUMMYFUNCTION("IFERROR(ARRAYFORMULA(REGEXEXTRACT(C387,""^(?:https?:\/\/)?(?:[^@\n]+@)?(?:www\.)?([^:\/\n]+)"")),"""")"),"travelwiththesmile.com")</f>
        <v>travelwiththesmile.com</v>
      </c>
      <c r="E387" s="26" t="str">
        <f ca="1">IFERROR(__xludf.DUMMYFUNCTION("""COMPUTED_VALUE"""),"New")</f>
        <v>New</v>
      </c>
      <c r="F387" s="27">
        <v>29</v>
      </c>
      <c r="G387" s="27">
        <v>23119</v>
      </c>
      <c r="P387" s="26"/>
    </row>
    <row r="388" spans="1:16" ht="12.5">
      <c r="A388" s="3" t="s">
        <v>38</v>
      </c>
      <c r="B388" s="3" t="s">
        <v>2798</v>
      </c>
      <c r="C388" s="8" t="s">
        <v>3543</v>
      </c>
      <c r="D388" s="41" t="str">
        <f ca="1">IFERROR(__xludf.DUMMYFUNCTION("IFERROR(ARRAYFORMULA(REGEXEXTRACT(C388,""^(?:https?:\/\/)?(?:[^@\n]+@)?(?:www\.)?([^:\/\n]+)"")),"""")"),"myemail.constantcontact.com")</f>
        <v>myemail.constantcontact.com</v>
      </c>
      <c r="E388" s="26" t="str">
        <f ca="1">IFERROR(__xludf.DUMMYFUNCTION("""COMPUTED_VALUE"""),"New")</f>
        <v>New</v>
      </c>
      <c r="F388" s="27">
        <v>92</v>
      </c>
      <c r="G388" s="27">
        <v>500313</v>
      </c>
      <c r="P388" s="26"/>
    </row>
    <row r="389" spans="1:16" ht="12.5">
      <c r="A389" s="3" t="s">
        <v>38</v>
      </c>
      <c r="B389" s="3" t="s">
        <v>2798</v>
      </c>
      <c r="C389" s="8" t="s">
        <v>3544</v>
      </c>
      <c r="D389" s="41" t="str">
        <f ca="1">IFERROR(__xludf.DUMMYFUNCTION("IFERROR(ARRAYFORMULA(REGEXEXTRACT(C389,""^(?:https?:\/\/)?(?:[^@\n]+@)?(?:www\.)?([^:\/\n]+)"")),"""")"),"runjumpscrap.com")</f>
        <v>runjumpscrap.com</v>
      </c>
      <c r="E389" s="26" t="str">
        <f ca="1">IFERROR(__xludf.DUMMYFUNCTION("""COMPUTED_VALUE"""),"New")</f>
        <v>New</v>
      </c>
      <c r="F389" s="27">
        <v>24</v>
      </c>
      <c r="G389" s="27">
        <v>1686</v>
      </c>
      <c r="P389" s="26"/>
    </row>
    <row r="390" spans="1:16" ht="12.5">
      <c r="A390" s="3" t="s">
        <v>38</v>
      </c>
      <c r="B390" s="3" t="s">
        <v>2798</v>
      </c>
      <c r="C390" s="8" t="s">
        <v>3545</v>
      </c>
      <c r="D390" s="41" t="str">
        <f ca="1">IFERROR(__xludf.DUMMYFUNCTION("IFERROR(ARRAYFORMULA(REGEXEXTRACT(C390,""^(?:https?:\/\/)?(?:[^@\n]+@)?(?:www\.)?([^:\/\n]+)"")),"""")"),"hatterasblog.surforsound.com")</f>
        <v>hatterasblog.surforsound.com</v>
      </c>
      <c r="E390" s="26" t="str">
        <f ca="1">IFERROR(__xludf.DUMMYFUNCTION("""COMPUTED_VALUE"""),"New")</f>
        <v>New</v>
      </c>
      <c r="F390" s="27">
        <v>43</v>
      </c>
      <c r="G390" s="27">
        <v>13567</v>
      </c>
      <c r="P390" s="26"/>
    </row>
    <row r="391" spans="1:16" ht="12.5" hidden="1">
      <c r="A391" s="3" t="s">
        <v>38</v>
      </c>
      <c r="B391" s="3" t="s">
        <v>2798</v>
      </c>
      <c r="C391" s="8" t="s">
        <v>3546</v>
      </c>
      <c r="D391" s="41" t="str">
        <f ca="1">IFERROR(__xludf.DUMMYFUNCTION("IFERROR(ARRAYFORMULA(REGEXEXTRACT(C391,""^(?:https?:\/\/)?(?:[^@\n]+@)?(?:www\.)?([^:\/\n]+)"")),"""")"),"1883magazine.com")</f>
        <v>1883magazine.com</v>
      </c>
      <c r="E391" s="26" t="str">
        <f ca="1">IFERROR(__xludf.DUMMYFUNCTION("""COMPUTED_VALUE"""),"Already Exists")</f>
        <v>Already Exists</v>
      </c>
      <c r="F391" s="27">
        <v>68</v>
      </c>
      <c r="G391" s="27">
        <v>5423</v>
      </c>
    </row>
    <row r="392" spans="1:16" ht="12.5">
      <c r="A392" s="3" t="s">
        <v>38</v>
      </c>
      <c r="B392" s="3" t="s">
        <v>2798</v>
      </c>
      <c r="C392" s="8" t="s">
        <v>3547</v>
      </c>
      <c r="D392" s="41" t="str">
        <f ca="1">IFERROR(__xludf.DUMMYFUNCTION("IFERROR(ARRAYFORMULA(REGEXEXTRACT(C392,""^(?:https?:\/\/)?(?:[^@\n]+@)?(?:www\.)?([^:\/\n]+)"")),"""")"),"rannkly.com")</f>
        <v>rannkly.com</v>
      </c>
      <c r="E392" s="26" t="str">
        <f ca="1">IFERROR(__xludf.DUMMYFUNCTION("""COMPUTED_VALUE"""),"New")</f>
        <v>New</v>
      </c>
      <c r="F392" s="27">
        <v>54</v>
      </c>
      <c r="G392" s="27">
        <v>1444</v>
      </c>
      <c r="P392" s="26"/>
    </row>
    <row r="393" spans="1:16" ht="12.5">
      <c r="A393" s="3" t="s">
        <v>38</v>
      </c>
      <c r="B393" s="17" t="s">
        <v>2800</v>
      </c>
      <c r="C393" s="8" t="s">
        <v>3548</v>
      </c>
      <c r="D393" s="41" t="str">
        <f ca="1">IFERROR(__xludf.DUMMYFUNCTION("IFERROR(ARRAYFORMULA(REGEXEXTRACT(C393,""^(?:https?:\/\/)?(?:[^@\n]+@)?(?:www\.)?([^:\/\n]+)"")),"""")"),"fox17online.com")</f>
        <v>fox17online.com</v>
      </c>
      <c r="E393" s="26" t="str">
        <f ca="1">IFERROR(__xludf.DUMMYFUNCTION("""COMPUTED_VALUE"""),"New")</f>
        <v>New</v>
      </c>
      <c r="F393" s="27">
        <v>76</v>
      </c>
      <c r="G393" s="27">
        <v>68455</v>
      </c>
      <c r="P393" s="26"/>
    </row>
    <row r="394" spans="1:16" ht="12.5" hidden="1">
      <c r="A394" s="3" t="s">
        <v>38</v>
      </c>
      <c r="B394" s="8" t="s">
        <v>2800</v>
      </c>
      <c r="C394" s="8" t="s">
        <v>3549</v>
      </c>
      <c r="D394" s="41" t="str">
        <f ca="1">IFERROR(__xludf.DUMMYFUNCTION("IFERROR(ARRAYFORMULA(REGEXEXTRACT(C394,""^(?:https?:\/\/)?(?:[^@\n]+@)?(?:www\.)?([^:\/\n]+)"")),"""")"),"luxurytravelmagazine.com")</f>
        <v>luxurytravelmagazine.com</v>
      </c>
      <c r="E394" s="26" t="str">
        <f ca="1">IFERROR(__xludf.DUMMYFUNCTION("""COMPUTED_VALUE"""),"Already Exists")</f>
        <v>Already Exists</v>
      </c>
      <c r="F394" s="27">
        <v>73</v>
      </c>
      <c r="G394" s="27">
        <v>5495</v>
      </c>
    </row>
    <row r="395" spans="1:16" ht="12.5">
      <c r="A395" s="3" t="s">
        <v>38</v>
      </c>
      <c r="B395" s="8" t="s">
        <v>2800</v>
      </c>
      <c r="C395" s="8" t="s">
        <v>3550</v>
      </c>
      <c r="D395" s="41" t="str">
        <f ca="1">IFERROR(__xludf.DUMMYFUNCTION("IFERROR(ARRAYFORMULA(REGEXEXTRACT(C395,""^(?:https?:\/\/)?(?:[^@\n]+@)?(?:www\.)?([^:\/\n]+)"")),"""")"),"achrnews.com")</f>
        <v>achrnews.com</v>
      </c>
      <c r="E395" s="26" t="str">
        <f ca="1">IFERROR(__xludf.DUMMYFUNCTION("""COMPUTED_VALUE"""),"New")</f>
        <v>New</v>
      </c>
      <c r="F395" s="27">
        <v>78</v>
      </c>
      <c r="G395" s="27">
        <v>31587</v>
      </c>
      <c r="P395" s="26"/>
    </row>
    <row r="396" spans="1:16" ht="12.5">
      <c r="A396" s="3" t="s">
        <v>38</v>
      </c>
      <c r="B396" s="8" t="s">
        <v>2800</v>
      </c>
      <c r="C396" s="8" t="s">
        <v>3551</v>
      </c>
      <c r="D396" s="41" t="str">
        <f ca="1">IFERROR(__xludf.DUMMYFUNCTION("IFERROR(ARRAYFORMULA(REGEXEXTRACT(C396,""^(?:https?:\/\/)?(?:[^@\n]+@)?(?:www\.)?([^:\/\n]+)"")),"""")"),"nearbynow.co")</f>
        <v>nearbynow.co</v>
      </c>
      <c r="E396" s="26" t="str">
        <f ca="1">IFERROR(__xludf.DUMMYFUNCTION("""COMPUTED_VALUE"""),"New")</f>
        <v>New</v>
      </c>
      <c r="F396" s="27">
        <v>47</v>
      </c>
      <c r="G396" s="27">
        <v>3043</v>
      </c>
      <c r="P396" s="26"/>
    </row>
    <row r="397" spans="1:16" ht="12.5" hidden="1">
      <c r="A397" s="3" t="s">
        <v>38</v>
      </c>
      <c r="B397" s="8" t="s">
        <v>2800</v>
      </c>
      <c r="C397" s="8" t="s">
        <v>3552</v>
      </c>
      <c r="D397" s="41" t="str">
        <f ca="1">IFERROR(__xludf.DUMMYFUNCTION("IFERROR(ARRAYFORMULA(REGEXEXTRACT(C397,""^(?:https?:\/\/)?(?:[^@\n]+@)?(?:www\.)?([^:\/\n]+)"")),"""")"),"wemadethislife.com")</f>
        <v>wemadethislife.com</v>
      </c>
      <c r="E397" s="26" t="str">
        <f ca="1">IFERROR(__xludf.DUMMYFUNCTION("""COMPUTED_VALUE"""),"Already Exists")</f>
        <v>Already Exists</v>
      </c>
      <c r="F397" s="27">
        <v>34</v>
      </c>
      <c r="G397" s="27">
        <v>1784</v>
      </c>
    </row>
    <row r="398" spans="1:16" ht="12.5">
      <c r="A398" s="3" t="s">
        <v>38</v>
      </c>
      <c r="B398" s="8" t="s">
        <v>2800</v>
      </c>
      <c r="C398" s="8" t="s">
        <v>3553</v>
      </c>
      <c r="D398" s="41" t="str">
        <f ca="1">IFERROR(__xludf.DUMMYFUNCTION("IFERROR(ARRAYFORMULA(REGEXEXTRACT(C398,""^(?:https?:\/\/)?(?:[^@\n]+@)?(?:www\.)?([^:\/\n]+)"")),"""")"),"promptloop.com")</f>
        <v>promptloop.com</v>
      </c>
      <c r="E398" s="26" t="str">
        <f ca="1">IFERROR(__xludf.DUMMYFUNCTION("""COMPUTED_VALUE"""),"New")</f>
        <v>New</v>
      </c>
      <c r="F398" s="27">
        <v>40</v>
      </c>
      <c r="G398" s="27">
        <v>3373</v>
      </c>
      <c r="P398" s="26"/>
    </row>
    <row r="399" spans="1:16" ht="12.5">
      <c r="A399" s="3" t="s">
        <v>38</v>
      </c>
      <c r="B399" s="8" t="s">
        <v>2800</v>
      </c>
      <c r="C399" s="8" t="s">
        <v>3554</v>
      </c>
      <c r="D399" s="41" t="str">
        <f ca="1">IFERROR(__xludf.DUMMYFUNCTION("IFERROR(ARRAYFORMULA(REGEXEXTRACT(C399,""^(?:https?:\/\/)?(?:[^@\n]+@)?(?:www\.)?([^:\/\n]+)"")),"""")"),"downtobid.com")</f>
        <v>downtobid.com</v>
      </c>
      <c r="E399" s="26" t="str">
        <f ca="1">IFERROR(__xludf.DUMMYFUNCTION("""COMPUTED_VALUE"""),"New")</f>
        <v>New</v>
      </c>
      <c r="F399" s="27">
        <v>35</v>
      </c>
      <c r="G399" s="27">
        <v>4766</v>
      </c>
      <c r="P399" s="26"/>
    </row>
    <row r="400" spans="1:16" ht="12.5">
      <c r="A400" s="3" t="s">
        <v>38</v>
      </c>
      <c r="B400" s="8" t="s">
        <v>2800</v>
      </c>
      <c r="C400" s="8" t="s">
        <v>3555</v>
      </c>
      <c r="D400" s="41" t="str">
        <f ca="1">IFERROR(__xludf.DUMMYFUNCTION("IFERROR(ARRAYFORMULA(REGEXEXTRACT(C400,""^(?:https?:\/\/)?(?:[^@\n]+@)?(?:www\.)?([^:\/\n]+)"")),"""")"),"lennox.com")</f>
        <v>lennox.com</v>
      </c>
      <c r="E400" s="26" t="str">
        <f ca="1">IFERROR(__xludf.DUMMYFUNCTION("""COMPUTED_VALUE"""),"New")</f>
        <v>New</v>
      </c>
      <c r="F400" s="27">
        <v>79</v>
      </c>
      <c r="G400" s="27">
        <v>258606</v>
      </c>
      <c r="P400" s="26"/>
    </row>
    <row r="401" spans="1:16" ht="12.5">
      <c r="A401" s="3" t="s">
        <v>38</v>
      </c>
      <c r="B401" s="8" t="s">
        <v>2800</v>
      </c>
      <c r="C401" s="8" t="s">
        <v>3556</v>
      </c>
      <c r="D401" s="41" t="str">
        <f ca="1">IFERROR(__xludf.DUMMYFUNCTION("IFERROR(ARRAYFORMULA(REGEXEXTRACT(C401,""^(?:https?:\/\/)?(?:[^@\n]+@)?(?:www\.)?([^:\/\n]+)"")),"""")"),"wzzm13.com")</f>
        <v>wzzm13.com</v>
      </c>
      <c r="E401" s="26" t="str">
        <f ca="1">IFERROR(__xludf.DUMMYFUNCTION("""COMPUTED_VALUE"""),"New")</f>
        <v>New</v>
      </c>
      <c r="F401" s="27">
        <v>74</v>
      </c>
      <c r="G401" s="27">
        <v>227861</v>
      </c>
      <c r="P401" s="26"/>
    </row>
    <row r="402" spans="1:16" ht="12.5">
      <c r="A402" s="3" t="s">
        <v>38</v>
      </c>
      <c r="B402" s="8" t="s">
        <v>2800</v>
      </c>
      <c r="C402" s="8" t="s">
        <v>3557</v>
      </c>
      <c r="D402" s="41" t="str">
        <f ca="1">IFERROR(__xludf.DUMMYFUNCTION("IFERROR(ARRAYFORMULA(REGEXEXTRACT(C402,""^(?:https?:\/\/)?(?:[^@\n]+@)?(?:www\.)?([^:\/\n]+)"")),"""")"),"contractorfinder.bradfordwhite.com")</f>
        <v>contractorfinder.bradfordwhite.com</v>
      </c>
      <c r="E402" s="26" t="str">
        <f ca="1">IFERROR(__xludf.DUMMYFUNCTION("""COMPUTED_VALUE"""),"New")</f>
        <v>New</v>
      </c>
      <c r="F402" s="27">
        <v>74</v>
      </c>
      <c r="G402" s="27">
        <v>90120</v>
      </c>
      <c r="P402" s="26"/>
    </row>
    <row r="403" spans="1:16" ht="12.5">
      <c r="A403" s="3" t="s">
        <v>38</v>
      </c>
      <c r="B403" s="8" t="s">
        <v>2800</v>
      </c>
      <c r="C403" s="8" t="s">
        <v>3558</v>
      </c>
      <c r="D403" s="41" t="str">
        <f ca="1">IFERROR(__xludf.DUMMYFUNCTION("IFERROR(ARRAYFORMULA(REGEXEXTRACT(C403,""^(?:https?:\/\/)?(?:[^@\n]+@)?(?:www\.)?([^:\/\n]+)"")),"""")"),"woodradio.iheart.com")</f>
        <v>woodradio.iheart.com</v>
      </c>
      <c r="E403" s="26" t="str">
        <f ca="1">IFERROR(__xludf.DUMMYFUNCTION("""COMPUTED_VALUE"""),"New")</f>
        <v>New</v>
      </c>
      <c r="F403" s="27">
        <v>91</v>
      </c>
      <c r="G403" s="27">
        <v>2173885</v>
      </c>
      <c r="P403" s="26"/>
    </row>
    <row r="404" spans="1:16" ht="12.5">
      <c r="A404" s="3" t="s">
        <v>38</v>
      </c>
      <c r="B404" s="8" t="s">
        <v>2800</v>
      </c>
      <c r="C404" s="8" t="s">
        <v>3559</v>
      </c>
      <c r="D404" s="41" t="str">
        <f ca="1">IFERROR(__xludf.DUMMYFUNCTION("IFERROR(ARRAYFORMULA(REGEXEXTRACT(C404,""^(?:https?:\/\/)?(?:[^@\n]+@)?(?:www\.)?([^:\/\n]+)"")),"""")"),"hvac-blog.acca.org")</f>
        <v>hvac-blog.acca.org</v>
      </c>
      <c r="E404" s="26" t="str">
        <f ca="1">IFERROR(__xludf.DUMMYFUNCTION("""COMPUTED_VALUE"""),"New")</f>
        <v>New</v>
      </c>
      <c r="F404" s="27">
        <v>77</v>
      </c>
      <c r="G404" s="27">
        <v>21367</v>
      </c>
      <c r="P404" s="26"/>
    </row>
    <row r="405" spans="1:16" ht="12.5">
      <c r="A405" s="3" t="s">
        <v>38</v>
      </c>
      <c r="B405" s="8" t="s">
        <v>2800</v>
      </c>
      <c r="C405" s="8" t="s">
        <v>3560</v>
      </c>
      <c r="D405" s="41" t="str">
        <f ca="1">IFERROR(__xludf.DUMMYFUNCTION("IFERROR(ARRAYFORMULA(REGEXEXTRACT(C405,""^(?:https?:\/\/)?(?:[^@\n]+@)?(?:www\.)?([^:\/\n]+)"")),"""")"),"mail.kroxam.com")</f>
        <v>mail.kroxam.com</v>
      </c>
      <c r="E405" s="26" t="str">
        <f ca="1">IFERROR(__xludf.DUMMYFUNCTION("""COMPUTED_VALUE"""),"New")</f>
        <v>New</v>
      </c>
      <c r="F405" s="27">
        <v>32</v>
      </c>
      <c r="G405" s="27">
        <v>2866</v>
      </c>
      <c r="P405" s="26"/>
    </row>
    <row r="406" spans="1:16" ht="12.5">
      <c r="A406" s="3" t="s">
        <v>38</v>
      </c>
      <c r="B406" s="8" t="s">
        <v>2800</v>
      </c>
      <c r="C406" s="8" t="s">
        <v>3561</v>
      </c>
      <c r="D406" s="41" t="str">
        <f ca="1">IFERROR(__xludf.DUMMYFUNCTION("IFERROR(ARRAYFORMULA(REGEXEXTRACT(C406,""^(?:https?:\/\/)?(?:[^@\n]+@)?(?:www\.)?([^:\/\n]+)"")),"""")"),"local.statewaterheaters.com")</f>
        <v>local.statewaterheaters.com</v>
      </c>
      <c r="E406" s="26" t="str">
        <f ca="1">IFERROR(__xludf.DUMMYFUNCTION("""COMPUTED_VALUE"""),"New")</f>
        <v>New</v>
      </c>
      <c r="F406" s="27">
        <v>63</v>
      </c>
      <c r="G406" s="27">
        <v>37889</v>
      </c>
      <c r="P406" s="26"/>
    </row>
    <row r="407" spans="1:16" ht="12.5">
      <c r="A407" s="3" t="s">
        <v>38</v>
      </c>
      <c r="B407" s="8" t="s">
        <v>2800</v>
      </c>
      <c r="C407" s="8" t="s">
        <v>3562</v>
      </c>
      <c r="D407" s="41" t="str">
        <f ca="1">IFERROR(__xludf.DUMMYFUNCTION("IFERROR(ARRAYFORMULA(REGEXEXTRACT(C407,""^(?:https?:\/\/)?(?:[^@\n]+@)?(?:www\.)?([^:\/\n]+)"")),"""")"),"michigansaves.org")</f>
        <v>michigansaves.org</v>
      </c>
      <c r="E407" s="26" t="str">
        <f ca="1">IFERROR(__xludf.DUMMYFUNCTION("""COMPUTED_VALUE"""),"New")</f>
        <v>New</v>
      </c>
      <c r="F407" s="27">
        <v>64</v>
      </c>
      <c r="G407" s="27">
        <v>2129</v>
      </c>
      <c r="P407" s="26"/>
    </row>
    <row r="408" spans="1:16" ht="12.5">
      <c r="A408" s="3" t="s">
        <v>38</v>
      </c>
      <c r="B408" s="8" t="s">
        <v>2800</v>
      </c>
      <c r="C408" s="8" t="s">
        <v>3563</v>
      </c>
      <c r="D408" s="41" t="str">
        <f ca="1">IFERROR(__xludf.DUMMYFUNCTION("IFERROR(ARRAYFORMULA(REGEXEXTRACT(C408,""^(?:https?:\/\/)?(?:[^@\n]+@)?(?:www\.)?([^:\/\n]+)"")),"""")"),"townplanner.com")</f>
        <v>townplanner.com</v>
      </c>
      <c r="E408" s="26" t="str">
        <f ca="1">IFERROR(__xludf.DUMMYFUNCTION("""COMPUTED_VALUE"""),"New")</f>
        <v>New</v>
      </c>
      <c r="F408" s="27">
        <v>60</v>
      </c>
      <c r="G408" s="27">
        <v>2034</v>
      </c>
      <c r="P408" s="26"/>
    </row>
    <row r="409" spans="1:16" ht="12.5">
      <c r="A409" s="3" t="s">
        <v>38</v>
      </c>
      <c r="B409" s="57" t="s">
        <v>2801</v>
      </c>
      <c r="C409" s="8" t="s">
        <v>3564</v>
      </c>
      <c r="D409" s="41" t="str">
        <f ca="1">IFERROR(__xludf.DUMMYFUNCTION("IFERROR(ARRAYFORMULA(REGEXEXTRACT(C409,""^(?:https?:\/\/)?(?:[^@\n]+@)?(?:www\.)?([^:\/\n]+)"")),"""")"),"precisionpest.org")</f>
        <v>precisionpest.org</v>
      </c>
      <c r="E409" s="26" t="str">
        <f ca="1">IFERROR(__xludf.DUMMYFUNCTION("""COMPUTED_VALUE"""),"New")</f>
        <v>New</v>
      </c>
      <c r="F409" s="27">
        <v>37</v>
      </c>
      <c r="G409" s="27">
        <v>1944</v>
      </c>
      <c r="P409" s="26"/>
    </row>
    <row r="410" spans="1:16" ht="12.5">
      <c r="A410" s="3" t="s">
        <v>38</v>
      </c>
      <c r="B410" s="12" t="s">
        <v>2801</v>
      </c>
      <c r="C410" s="8" t="s">
        <v>3565</v>
      </c>
      <c r="D410" s="41" t="str">
        <f ca="1">IFERROR(__xludf.DUMMYFUNCTION("IFERROR(ARRAYFORMULA(REGEXEXTRACT(C410,""^(?:https?:\/\/)?(?:[^@\n]+@)?(?:www\.)?([^:\/\n]+)"")),"""")"),"healthstartsinthekitchen.com")</f>
        <v>healthstartsinthekitchen.com</v>
      </c>
      <c r="E410" s="26" t="str">
        <f ca="1">IFERROR(__xludf.DUMMYFUNCTION("""COMPUTED_VALUE"""),"New")</f>
        <v>New</v>
      </c>
      <c r="F410" s="27">
        <v>55</v>
      </c>
      <c r="G410" s="27">
        <v>22145</v>
      </c>
      <c r="P410" s="26"/>
    </row>
    <row r="411" spans="1:16" ht="12.5" hidden="1">
      <c r="A411" s="3" t="s">
        <v>38</v>
      </c>
      <c r="B411" s="12" t="s">
        <v>2801</v>
      </c>
      <c r="C411" s="8" t="s">
        <v>3566</v>
      </c>
      <c r="D411" s="41" t="str">
        <f ca="1">IFERROR(__xludf.DUMMYFUNCTION("IFERROR(ARRAYFORMULA(REGEXEXTRACT(C411,""^(?:https?:\/\/)?(?:[^@\n]+@)?(?:www\.)?([^:\/\n]+)"")),"""")"),"jackcooper.com")</f>
        <v>jackcooper.com</v>
      </c>
      <c r="E411" s="26" t="str">
        <f ca="1">IFERROR(__xludf.DUMMYFUNCTION("""COMPUTED_VALUE"""),"Already Exists")</f>
        <v>Already Exists</v>
      </c>
      <c r="F411" s="27">
        <v>62</v>
      </c>
      <c r="G411" s="27">
        <v>44363</v>
      </c>
    </row>
    <row r="412" spans="1:16" ht="12.5">
      <c r="A412" s="3" t="s">
        <v>38</v>
      </c>
      <c r="B412" s="12" t="s">
        <v>2801</v>
      </c>
      <c r="C412" s="8" t="s">
        <v>3567</v>
      </c>
      <c r="D412" s="41" t="str">
        <f ca="1">IFERROR(__xludf.DUMMYFUNCTION("IFERROR(ARRAYFORMULA(REGEXEXTRACT(C412,""^(?:https?:\/\/)?(?:[^@\n]+@)?(?:www\.)?([^:\/\n]+)"")),"""")"),"kylechamber.org")</f>
        <v>kylechamber.org</v>
      </c>
      <c r="E412" s="26" t="str">
        <f ca="1">IFERROR(__xludf.DUMMYFUNCTION("""COMPUTED_VALUE"""),"New")</f>
        <v>New</v>
      </c>
      <c r="F412" s="27">
        <v>35</v>
      </c>
      <c r="G412" s="27">
        <v>3220</v>
      </c>
      <c r="P412" s="26"/>
    </row>
    <row r="413" spans="1:16" ht="12.5">
      <c r="A413" s="3" t="s">
        <v>38</v>
      </c>
      <c r="B413" s="12" t="s">
        <v>2801</v>
      </c>
      <c r="C413" s="8" t="s">
        <v>3568</v>
      </c>
      <c r="D413" s="41" t="str">
        <f ca="1">IFERROR(__xludf.DUMMYFUNCTION("IFERROR(ARRAYFORMULA(REGEXEXTRACT(C413,""^(?:https?:\/\/)?(?:[^@\n]+@)?(?:www\.)?([^:\/\n]+)"")),"""")"),"expertise.com")</f>
        <v>expertise.com</v>
      </c>
      <c r="E413" s="26" t="str">
        <f ca="1">IFERROR(__xludf.DUMMYFUNCTION("""COMPUTED_VALUE"""),"New")</f>
        <v>New</v>
      </c>
      <c r="F413" s="27">
        <v>88</v>
      </c>
      <c r="G413" s="27">
        <v>1080</v>
      </c>
      <c r="P413" s="26"/>
    </row>
    <row r="414" spans="1:16" ht="12.5" hidden="1">
      <c r="A414" s="3" t="s">
        <v>38</v>
      </c>
      <c r="B414" s="12" t="s">
        <v>2801</v>
      </c>
      <c r="C414" s="8" t="s">
        <v>3569</v>
      </c>
      <c r="D414" s="41" t="str">
        <f ca="1">IFERROR(__xludf.DUMMYFUNCTION("IFERROR(ARRAYFORMULA(REGEXEXTRACT(C414,""^(?:https?:\/\/)?(?:[^@\n]+@)?(?:www\.)?([^:\/\n]+)"")),"""")"),"yourhomify.com")</f>
        <v>yourhomify.com</v>
      </c>
      <c r="E414" s="26" t="str">
        <f ca="1">IFERROR(__xludf.DUMMYFUNCTION("""COMPUTED_VALUE"""),"Already Exists")</f>
        <v>Already Exists</v>
      </c>
      <c r="F414" s="27">
        <v>43</v>
      </c>
      <c r="G414" s="27">
        <v>2531</v>
      </c>
    </row>
    <row r="415" spans="1:16" ht="12.5" hidden="1">
      <c r="A415" s="3" t="s">
        <v>38</v>
      </c>
      <c r="B415" s="12" t="s">
        <v>2801</v>
      </c>
      <c r="C415" s="56" t="s">
        <v>3570</v>
      </c>
      <c r="D415" s="41" t="str">
        <f ca="1">IFERROR(__xludf.DUMMYFUNCTION("IFERROR(ARRAYFORMULA(REGEXEXTRACT(C415,""^(?:https?:\/\/)?(?:[^@\n]+@)?(?:www\.)?([^:\/\n]+)"")),"""")"),"reerin.com")</f>
        <v>reerin.com</v>
      </c>
      <c r="E415" s="26" t="str">
        <f ca="1">IFERROR(__xludf.DUMMYFUNCTION("""COMPUTED_VALUE"""),"Already Exists")</f>
        <v>Already Exists</v>
      </c>
      <c r="F415" s="27">
        <v>33</v>
      </c>
      <c r="G415" s="27">
        <v>1231</v>
      </c>
      <c r="H415" s="27" t="s">
        <v>3571</v>
      </c>
      <c r="I415" s="27" t="s">
        <v>3572</v>
      </c>
      <c r="M415" s="27" t="s">
        <v>3117</v>
      </c>
      <c r="N415" s="48">
        <v>46029</v>
      </c>
      <c r="P415" s="27" t="s">
        <v>3201</v>
      </c>
    </row>
    <row r="416" spans="1:16" ht="12.5">
      <c r="A416" s="3" t="s">
        <v>38</v>
      </c>
      <c r="B416" s="12" t="s">
        <v>2801</v>
      </c>
      <c r="C416" s="8" t="s">
        <v>3573</v>
      </c>
      <c r="D416" s="41" t="str">
        <f ca="1">IFERROR(__xludf.DUMMYFUNCTION("IFERROR(ARRAYFORMULA(REGEXEXTRACT(C416,""^(?:https?:\/\/)?(?:[^@\n]+@)?(?:www\.)?([^:\/\n]+)"")),"""")"),"girlcooksworld.com")</f>
        <v>girlcooksworld.com</v>
      </c>
      <c r="E416" s="26" t="str">
        <f ca="1">IFERROR(__xludf.DUMMYFUNCTION("""COMPUTED_VALUE"""),"New")</f>
        <v>New</v>
      </c>
      <c r="F416" s="27">
        <v>50</v>
      </c>
      <c r="G416" s="27">
        <v>1497</v>
      </c>
      <c r="J416" s="8" t="s">
        <v>3574</v>
      </c>
      <c r="M416" s="27" t="s">
        <v>3117</v>
      </c>
      <c r="N416" s="48">
        <v>46029</v>
      </c>
      <c r="P416" s="26"/>
    </row>
    <row r="417" spans="1:16" ht="12.5" hidden="1">
      <c r="A417" s="3" t="s">
        <v>38</v>
      </c>
      <c r="B417" s="12" t="s">
        <v>2801</v>
      </c>
      <c r="C417" s="35" t="s">
        <v>3575</v>
      </c>
      <c r="D417" s="41" t="str">
        <f ca="1">IFERROR(__xludf.DUMMYFUNCTION("IFERROR(ARRAYFORMULA(REGEXEXTRACT(C417,""^(?:https?:\/\/)?(?:[^@\n]+@)?(?:www\.)?([^:\/\n]+)"")),"""")"),"fieldpromax.com")</f>
        <v>fieldpromax.com</v>
      </c>
      <c r="E417" s="26" t="str">
        <f ca="1">IFERROR(__xludf.DUMMYFUNCTION("""COMPUTED_VALUE"""),"Already Exists")</f>
        <v>Already Exists</v>
      </c>
      <c r="F417" s="27">
        <v>64</v>
      </c>
      <c r="G417" s="27">
        <v>6232</v>
      </c>
      <c r="H417" s="27" t="s">
        <v>3576</v>
      </c>
      <c r="I417" s="27" t="s">
        <v>3577</v>
      </c>
      <c r="J417" s="27" t="s">
        <v>3578</v>
      </c>
      <c r="M417" s="27" t="s">
        <v>3117</v>
      </c>
      <c r="N417" s="48">
        <v>46029</v>
      </c>
      <c r="P417" s="27" t="s">
        <v>3201</v>
      </c>
    </row>
    <row r="418" spans="1:16" ht="12.5" hidden="1">
      <c r="A418" s="3" t="s">
        <v>38</v>
      </c>
      <c r="B418" s="12" t="s">
        <v>2801</v>
      </c>
      <c r="C418" s="8" t="s">
        <v>3579</v>
      </c>
      <c r="D418" s="41" t="str">
        <f ca="1">IFERROR(__xludf.DUMMYFUNCTION("IFERROR(ARRAYFORMULA(REGEXEXTRACT(C418,""^(?:https?:\/\/)?(?:[^@\n]+@)?(?:www\.)?([^:\/\n]+)"")),"""")"),"thehowtohome.com")</f>
        <v>thehowtohome.com</v>
      </c>
      <c r="E418" s="26" t="str">
        <f ca="1">IFERROR(__xludf.DUMMYFUNCTION("""COMPUTED_VALUE"""),"Already Exists")</f>
        <v>Already Exists</v>
      </c>
      <c r="F418" s="27">
        <v>50</v>
      </c>
      <c r="G418" s="27">
        <v>7472</v>
      </c>
    </row>
    <row r="419" spans="1:16" ht="12.5" hidden="1">
      <c r="A419" s="3" t="s">
        <v>38</v>
      </c>
      <c r="B419" s="12" t="s">
        <v>2801</v>
      </c>
      <c r="C419" s="8" t="s">
        <v>3580</v>
      </c>
      <c r="D419" s="41" t="str">
        <f ca="1">IFERROR(__xludf.DUMMYFUNCTION("IFERROR(ARRAYFORMULA(REGEXEXTRACT(C419,""^(?:https?:\/\/)?(?:[^@\n]+@)?(?:www\.)?([^:\/\n]+)"")),"""")"),"newlifestyles.com")</f>
        <v>newlifestyles.com</v>
      </c>
      <c r="E419" s="26" t="str">
        <f ca="1">IFERROR(__xludf.DUMMYFUNCTION("""COMPUTED_VALUE"""),"Already Exists")</f>
        <v>Already Exists</v>
      </c>
      <c r="F419" s="27">
        <v>53</v>
      </c>
      <c r="G419" s="27">
        <v>1591</v>
      </c>
    </row>
    <row r="420" spans="1:16" ht="12.5">
      <c r="A420" s="15" t="s">
        <v>38</v>
      </c>
      <c r="B420" s="12" t="s">
        <v>2801</v>
      </c>
      <c r="C420" s="8" t="s">
        <v>3581</v>
      </c>
      <c r="D420" s="41" t="str">
        <f ca="1">IFERROR(__xludf.DUMMYFUNCTION("IFERROR(ARRAYFORMULA(REGEXEXTRACT(C420,""^(?:https?:\/\/)?(?:[^@\n]+@)?(?:www\.)?([^:\/\n]+)"")),"""")"),"inven.ai")</f>
        <v>inven.ai</v>
      </c>
      <c r="E420" s="26" t="str">
        <f ca="1">IFERROR(__xludf.DUMMYFUNCTION("""COMPUTED_VALUE"""),"New")</f>
        <v>New</v>
      </c>
      <c r="F420" s="27">
        <v>47</v>
      </c>
      <c r="G420" s="27">
        <v>6358</v>
      </c>
      <c r="P420" s="26"/>
    </row>
    <row r="421" spans="1:16" ht="12.5" hidden="1">
      <c r="A421" s="3" t="s">
        <v>38</v>
      </c>
      <c r="B421" s="12" t="s">
        <v>2801</v>
      </c>
      <c r="C421" s="8" t="s">
        <v>3582</v>
      </c>
      <c r="D421" s="41" t="str">
        <f ca="1">IFERROR(__xludf.DUMMYFUNCTION("IFERROR(ARRAYFORMULA(REGEXEXTRACT(C421,""^(?:https?:\/\/)?(?:[^@\n]+@)?(?:www\.)?([^:\/\n]+)"")),"""")"),"woombie.com")</f>
        <v>woombie.com</v>
      </c>
      <c r="E421" s="26" t="str">
        <f ca="1">IFERROR(__xludf.DUMMYFUNCTION("""COMPUTED_VALUE"""),"Already Exists")</f>
        <v>Already Exists</v>
      </c>
      <c r="F421" s="27">
        <v>46</v>
      </c>
      <c r="G421" s="27">
        <v>2743</v>
      </c>
    </row>
    <row r="422" spans="1:16" ht="12.5" hidden="1">
      <c r="A422" s="3" t="s">
        <v>38</v>
      </c>
      <c r="B422" s="12" t="s">
        <v>2801</v>
      </c>
      <c r="C422" s="8" t="s">
        <v>3583</v>
      </c>
      <c r="D422" s="41" t="str">
        <f ca="1">IFERROR(__xludf.DUMMYFUNCTION("IFERROR(ARRAYFORMULA(REGEXEXTRACT(C422,""^(?:https?:\/\/)?(?:[^@\n]+@)?(?:www\.)?([^:\/\n]+)"")),"""")"),"ecogardener.com")</f>
        <v>ecogardener.com</v>
      </c>
      <c r="E422" s="26" t="str">
        <f ca="1">IFERROR(__xludf.DUMMYFUNCTION("""COMPUTED_VALUE"""),"Already Exists")</f>
        <v>Already Exists</v>
      </c>
      <c r="F422" s="27">
        <v>34</v>
      </c>
      <c r="G422" s="27">
        <v>1829</v>
      </c>
    </row>
    <row r="423" spans="1:16" ht="12.5" hidden="1">
      <c r="A423" s="3" t="s">
        <v>38</v>
      </c>
      <c r="B423" s="12" t="s">
        <v>2801</v>
      </c>
      <c r="C423" s="8" t="s">
        <v>3584</v>
      </c>
      <c r="D423" s="41" t="str">
        <f ca="1">IFERROR(__xludf.DUMMYFUNCTION("IFERROR(ARRAYFORMULA(REGEXEXTRACT(C423,""^(?:https?:\/\/)?(?:[^@\n]+@)?(?:www\.)?([^:\/\n]+)"")),"""")"),"thestay-at-home-momsurvivalguide.com")</f>
        <v>thestay-at-home-momsurvivalguide.com</v>
      </c>
      <c r="E423" s="26" t="str">
        <f ca="1">IFERROR(__xludf.DUMMYFUNCTION("""COMPUTED_VALUE"""),"Already Exists")</f>
        <v>Already Exists</v>
      </c>
      <c r="F423" s="27">
        <v>45</v>
      </c>
      <c r="G423" s="27">
        <v>2263</v>
      </c>
    </row>
    <row r="424" spans="1:16" ht="12.5">
      <c r="A424" s="3" t="s">
        <v>38</v>
      </c>
      <c r="B424" s="12" t="s">
        <v>2801</v>
      </c>
      <c r="C424" s="8" t="s">
        <v>3585</v>
      </c>
      <c r="D424" s="41" t="str">
        <f ca="1">IFERROR(__xludf.DUMMYFUNCTION("IFERROR(ARRAYFORMULA(REGEXEXTRACT(C424,""^(?:https?:\/\/)?(?:[^@\n]+@)?(?:www\.)?([^:\/\n]+)"")),"""")"),"focusingonwildlife.com")</f>
        <v>focusingonwildlife.com</v>
      </c>
      <c r="E424" s="26" t="str">
        <f ca="1">IFERROR(__xludf.DUMMYFUNCTION("""COMPUTED_VALUE"""),"New")</f>
        <v>New</v>
      </c>
      <c r="F424" s="27">
        <v>48</v>
      </c>
      <c r="G424" s="27">
        <v>2002</v>
      </c>
      <c r="P424" s="26"/>
    </row>
    <row r="425" spans="1:16" ht="12.5" hidden="1">
      <c r="A425" s="3" t="s">
        <v>38</v>
      </c>
      <c r="B425" s="12" t="s">
        <v>2801</v>
      </c>
      <c r="C425" s="8" t="s">
        <v>3586</v>
      </c>
      <c r="D425" s="41" t="str">
        <f ca="1">IFERROR(__xludf.DUMMYFUNCTION("IFERROR(ARRAYFORMULA(REGEXEXTRACT(C425,""^(?:https?:\/\/)?(?:[^@\n]+@)?(?:www\.)?([^:\/\n]+)"")),"""")"),"robinwaite.com")</f>
        <v>robinwaite.com</v>
      </c>
      <c r="E425" s="26" t="str">
        <f ca="1">IFERROR(__xludf.DUMMYFUNCTION("""COMPUTED_VALUE"""),"Already Exists")</f>
        <v>Already Exists</v>
      </c>
      <c r="F425" s="27">
        <v>70</v>
      </c>
      <c r="G425" s="27">
        <v>2806</v>
      </c>
    </row>
    <row r="426" spans="1:16" ht="12.5" hidden="1">
      <c r="A426" s="3" t="s">
        <v>38</v>
      </c>
      <c r="B426" s="12" t="s">
        <v>2801</v>
      </c>
      <c r="C426" s="8" t="s">
        <v>3587</v>
      </c>
      <c r="D426" s="41" t="str">
        <f ca="1">IFERROR(__xludf.DUMMYFUNCTION("IFERROR(ARRAYFORMULA(REGEXEXTRACT(C426,""^(?:https?:\/\/)?(?:[^@\n]+@)?(?:www\.)?([^:\/\n]+)"")),"""")"),"officefinder.com")</f>
        <v>officefinder.com</v>
      </c>
      <c r="E426" s="26" t="str">
        <f ca="1">IFERROR(__xludf.DUMMYFUNCTION("""COMPUTED_VALUE"""),"Already Exists")</f>
        <v>Already Exists</v>
      </c>
      <c r="F426" s="27">
        <v>45</v>
      </c>
      <c r="G426" s="27">
        <v>2710</v>
      </c>
    </row>
    <row r="427" spans="1:16" ht="12.5" hidden="1">
      <c r="A427" s="3" t="s">
        <v>38</v>
      </c>
      <c r="B427" s="12" t="s">
        <v>2801</v>
      </c>
      <c r="C427" s="8" t="s">
        <v>3588</v>
      </c>
      <c r="D427" s="41" t="str">
        <f ca="1">IFERROR(__xludf.DUMMYFUNCTION("IFERROR(ARRAYFORMULA(REGEXEXTRACT(C427,""^(?:https?:\/\/)?(?:[^@\n]+@)?(?:www\.)?([^:\/\n]+)"")),"""")"),"houstonsuburb.com")</f>
        <v>houstonsuburb.com</v>
      </c>
      <c r="E427" s="26" t="str">
        <f ca="1">IFERROR(__xludf.DUMMYFUNCTION("""COMPUTED_VALUE"""),"Already Exists")</f>
        <v>Already Exists</v>
      </c>
      <c r="F427" s="27">
        <v>29</v>
      </c>
      <c r="G427" s="27">
        <v>2574</v>
      </c>
    </row>
    <row r="428" spans="1:16" ht="12.5" hidden="1">
      <c r="A428" s="3" t="s">
        <v>38</v>
      </c>
      <c r="B428" s="12" t="s">
        <v>2801</v>
      </c>
      <c r="C428" s="8" t="s">
        <v>3589</v>
      </c>
      <c r="D428" s="41" t="str">
        <f ca="1">IFERROR(__xludf.DUMMYFUNCTION("IFERROR(ARRAYFORMULA(REGEXEXTRACT(C428,""^(?:https?:\/\/)?(?:[^@\n]+@)?(?:www\.)?([^:\/\n]+)"")),"""")"),"realtytimes.com")</f>
        <v>realtytimes.com</v>
      </c>
      <c r="E428" s="26" t="str">
        <f ca="1">IFERROR(__xludf.DUMMYFUNCTION("""COMPUTED_VALUE"""),"Already Exists")</f>
        <v>Already Exists</v>
      </c>
      <c r="F428" s="27">
        <v>75</v>
      </c>
      <c r="G428" s="27">
        <v>1843</v>
      </c>
    </row>
    <row r="429" spans="1:16" ht="12.5" hidden="1">
      <c r="A429" s="3" t="s">
        <v>38</v>
      </c>
      <c r="B429" s="12" t="s">
        <v>2801</v>
      </c>
      <c r="C429" s="8" t="s">
        <v>3590</v>
      </c>
      <c r="D429" s="41" t="str">
        <f ca="1">IFERROR(__xludf.DUMMYFUNCTION("IFERROR(ARRAYFORMULA(REGEXEXTRACT(C429,""^(?:https?:\/\/)?(?:[^@\n]+@)?(?:www\.)?([^:\/\n]+)"")),"""")"),"cience.com")</f>
        <v>cience.com</v>
      </c>
      <c r="E429" s="26" t="str">
        <f ca="1">IFERROR(__xludf.DUMMYFUNCTION("""COMPUTED_VALUE"""),"Already Exists")</f>
        <v>Already Exists</v>
      </c>
      <c r="F429" s="27">
        <v>74</v>
      </c>
      <c r="G429" s="27">
        <v>2690</v>
      </c>
    </row>
    <row r="430" spans="1:16" ht="12.5" hidden="1">
      <c r="A430" s="3" t="s">
        <v>38</v>
      </c>
      <c r="B430" s="12" t="s">
        <v>2801</v>
      </c>
      <c r="C430" s="8" t="s">
        <v>3591</v>
      </c>
      <c r="D430" s="41" t="str">
        <f ca="1">IFERROR(__xludf.DUMMYFUNCTION("IFERROR(ARRAYFORMULA(REGEXEXTRACT(C430,""^(?:https?:\/\/)?(?:[^@\n]+@)?(?:www\.)?([^:\/\n]+)"")),"""")"),"rentalrealestate.com")</f>
        <v>rentalrealestate.com</v>
      </c>
      <c r="E430" s="26" t="str">
        <f ca="1">IFERROR(__xludf.DUMMYFUNCTION("""COMPUTED_VALUE"""),"Already Exists")</f>
        <v>Already Exists</v>
      </c>
      <c r="F430" s="27">
        <v>36</v>
      </c>
      <c r="G430" s="27">
        <v>3755</v>
      </c>
    </row>
    <row r="431" spans="1:16" ht="12.5">
      <c r="A431" s="3" t="s">
        <v>38</v>
      </c>
      <c r="B431" s="12" t="s">
        <v>2801</v>
      </c>
      <c r="C431" s="8" t="s">
        <v>3592</v>
      </c>
      <c r="D431" s="41" t="str">
        <f ca="1">IFERROR(__xludf.DUMMYFUNCTION("IFERROR(ARRAYFORMULA(REGEXEXTRACT(C431,""^(?:https?:\/\/)?(?:[^@\n]+@)?(?:www\.)?([^:\/\n]+)"")),"""")"),"trip-hop")</f>
        <v>trip-hop</v>
      </c>
      <c r="E431" s="26" t="str">
        <f ca="1">IFERROR(__xludf.DUMMYFUNCTION("""COMPUTED_VALUE"""),"New")</f>
        <v>New</v>
      </c>
      <c r="F431" s="27">
        <v>63</v>
      </c>
      <c r="G431" s="27">
        <v>4820</v>
      </c>
      <c r="P431" s="26"/>
    </row>
    <row r="432" spans="1:16" ht="12.5" hidden="1">
      <c r="A432" s="3" t="s">
        <v>38</v>
      </c>
      <c r="B432" s="12" t="s">
        <v>2801</v>
      </c>
      <c r="C432" s="8" t="s">
        <v>3593</v>
      </c>
      <c r="D432" s="41" t="str">
        <f ca="1">IFERROR(__xludf.DUMMYFUNCTION("IFERROR(ARRAYFORMULA(REGEXEXTRACT(C432,""^(?:https?:\/\/)?(?:[^@\n]+@)?(?:www\.)?([^:\/\n]+)"")),"""")"),"smallbusinesscoach.org")</f>
        <v>smallbusinesscoach.org</v>
      </c>
      <c r="E432" s="26" t="str">
        <f ca="1">IFERROR(__xludf.DUMMYFUNCTION("""COMPUTED_VALUE"""),"Already Exists")</f>
        <v>Already Exists</v>
      </c>
      <c r="F432" s="27">
        <v>56</v>
      </c>
      <c r="G432" s="27">
        <v>5198</v>
      </c>
    </row>
    <row r="433" spans="1:28" ht="12.5">
      <c r="A433" s="3" t="s">
        <v>38</v>
      </c>
      <c r="B433" s="12" t="s">
        <v>2801</v>
      </c>
      <c r="C433" s="8" t="s">
        <v>3594</v>
      </c>
      <c r="D433" s="41" t="str">
        <f ca="1">IFERROR(__xludf.DUMMYFUNCTION("IFERROR(ARRAYFORMULA(REGEXEXTRACT(C433,""^(?:https?:\/\/)?(?:[^@\n]+@)?(?:www\.)?([^:\/\n]+)"")),"""")"),"bestaccessdoors.com")</f>
        <v>bestaccessdoors.com</v>
      </c>
      <c r="E433" s="26" t="str">
        <f ca="1">IFERROR(__xludf.DUMMYFUNCTION("""COMPUTED_VALUE"""),"New")</f>
        <v>New</v>
      </c>
      <c r="F433" s="27">
        <v>55</v>
      </c>
      <c r="G433" s="27">
        <v>15946</v>
      </c>
      <c r="I433" s="27" t="s">
        <v>3595</v>
      </c>
      <c r="J433" s="27" t="s">
        <v>3596</v>
      </c>
      <c r="M433" s="27" t="s">
        <v>3117</v>
      </c>
      <c r="N433" s="48">
        <v>46029</v>
      </c>
      <c r="O433" s="48">
        <v>46068</v>
      </c>
      <c r="P433" s="26"/>
    </row>
    <row r="434" spans="1:28" ht="12.5">
      <c r="A434" s="3" t="s">
        <v>38</v>
      </c>
      <c r="B434" s="12" t="s">
        <v>2801</v>
      </c>
      <c r="C434" s="8" t="s">
        <v>3597</v>
      </c>
      <c r="D434" s="41" t="str">
        <f ca="1">IFERROR(__xludf.DUMMYFUNCTION("IFERROR(ARRAYFORMULA(REGEXEXTRACT(C434,""^(?:https?:\/\/)?(?:[^@\n]+@)?(?:www\.)?([^:\/\n]+)"")),"""")"),"wiza.co")</f>
        <v>wiza.co</v>
      </c>
      <c r="E434" s="26" t="str">
        <f ca="1">IFERROR(__xludf.DUMMYFUNCTION("""COMPUTED_VALUE"""),"New")</f>
        <v>New</v>
      </c>
      <c r="F434" s="27">
        <v>70</v>
      </c>
      <c r="G434" s="27">
        <v>29282</v>
      </c>
      <c r="P434" s="26"/>
    </row>
    <row r="435" spans="1:28" ht="12.5">
      <c r="A435" s="3" t="s">
        <v>38</v>
      </c>
      <c r="B435" s="12" t="s">
        <v>2801</v>
      </c>
      <c r="C435" s="8" t="s">
        <v>3598</v>
      </c>
      <c r="D435" s="41" t="str">
        <f ca="1">IFERROR(__xludf.DUMMYFUNCTION("IFERROR(ARRAYFORMULA(REGEXEXTRACT(C435,""^(?:https?:\/\/)?(?:[^@\n]+@)?(?:www\.)?([^:\/\n]+)"")),"""")"),"austinaptassoc.com")</f>
        <v>austinaptassoc.com</v>
      </c>
      <c r="E435" s="26" t="str">
        <f ca="1">IFERROR(__xludf.DUMMYFUNCTION("""COMPUTED_VALUE"""),"New")</f>
        <v>New</v>
      </c>
      <c r="F435" s="27">
        <v>41</v>
      </c>
      <c r="G435" s="27">
        <v>1183</v>
      </c>
      <c r="P435" s="26"/>
    </row>
    <row r="436" spans="1:28" ht="12.5">
      <c r="A436" s="3" t="s">
        <v>38</v>
      </c>
      <c r="B436" s="12" t="s">
        <v>2801</v>
      </c>
      <c r="C436" s="8" t="s">
        <v>3599</v>
      </c>
      <c r="D436" s="41" t="str">
        <f ca="1">IFERROR(__xludf.DUMMYFUNCTION("IFERROR(ARRAYFORMULA(REGEXEXTRACT(C436,""^(?:https?:\/\/)?(?:[^@\n]+@)?(?:www\.)?([^:\/\n]+)"")),"""")"),"news.marketersmedia.com")</f>
        <v>news.marketersmedia.com</v>
      </c>
      <c r="E436" s="26" t="str">
        <f ca="1">IFERROR(__xludf.DUMMYFUNCTION("""COMPUTED_VALUE"""),"New")</f>
        <v>New</v>
      </c>
      <c r="F436" s="27">
        <v>72</v>
      </c>
      <c r="G436" s="27">
        <v>3872</v>
      </c>
      <c r="P436" s="26"/>
    </row>
    <row r="437" spans="1:28" ht="12.5">
      <c r="A437" s="3" t="s">
        <v>38</v>
      </c>
      <c r="B437" s="12" t="s">
        <v>2801</v>
      </c>
      <c r="C437" s="8" t="s">
        <v>3600</v>
      </c>
      <c r="D437" s="41" t="str">
        <f ca="1">IFERROR(__xludf.DUMMYFUNCTION("IFERROR(ARRAYFORMULA(REGEXEXTRACT(C437,""^(?:https?:\/\/)?(?:[^@\n]+@)?(?:www\.)?([^:\/\n]+)"")),"""")"),"stage.searchaustinhomes.com")</f>
        <v>stage.searchaustinhomes.com</v>
      </c>
      <c r="E437" s="26" t="str">
        <f ca="1">IFERROR(__xludf.DUMMYFUNCTION("""COMPUTED_VALUE"""),"New")</f>
        <v>New</v>
      </c>
      <c r="F437" s="27">
        <v>31</v>
      </c>
      <c r="G437" s="27">
        <v>1155</v>
      </c>
      <c r="P437" s="26"/>
    </row>
    <row r="438" spans="1:28" ht="12.5">
      <c r="A438" s="3" t="s">
        <v>38</v>
      </c>
      <c r="B438" s="57" t="s">
        <v>2802</v>
      </c>
      <c r="C438" s="8" t="s">
        <v>3601</v>
      </c>
      <c r="D438" s="41" t="str">
        <f ca="1">IFERROR(__xludf.DUMMYFUNCTION("IFERROR(ARRAYFORMULA(REGEXEXTRACT(C438,""^(?:https?:\/\/)?(?:[^@\n]+@)?(?:www\.)?([^:\/\n]+)"")),"""")"),"gvsulakers.com")</f>
        <v>gvsulakers.com</v>
      </c>
      <c r="E438" s="26" t="str">
        <f ca="1">IFERROR(__xludf.DUMMYFUNCTION("""COMPUTED_VALUE"""),"New")</f>
        <v>New</v>
      </c>
      <c r="F438" s="27">
        <v>57</v>
      </c>
      <c r="G438" s="27">
        <v>8723</v>
      </c>
      <c r="P438" s="26"/>
    </row>
    <row r="439" spans="1:28" ht="12.5">
      <c r="A439" s="58" t="s">
        <v>38</v>
      </c>
      <c r="B439" s="58" t="s">
        <v>2802</v>
      </c>
      <c r="C439" s="59" t="s">
        <v>3602</v>
      </c>
      <c r="D439" s="60" t="str">
        <f ca="1">IFERROR(__xludf.DUMMYFUNCTION("IFERROR(ARRAYFORMULA(REGEXEXTRACT(C439,""^(?:https?:\/\/)?(?:[^@\n]+@)?(?:www\.)?([^:\/\n]+)"")),"""")"),"blog.callcustombuilt.com")</f>
        <v>blog.callcustombuilt.com</v>
      </c>
      <c r="E439" s="61" t="str">
        <f ca="1">IFERROR(__xludf.DUMMYFUNCTION("""COMPUTED_VALUE"""),"New")</f>
        <v>New</v>
      </c>
      <c r="F439" s="62">
        <v>34</v>
      </c>
      <c r="G439" s="62">
        <v>4861</v>
      </c>
      <c r="H439" s="62" t="s">
        <v>3603</v>
      </c>
      <c r="I439" s="61"/>
      <c r="J439" s="62" t="s">
        <v>3604</v>
      </c>
      <c r="K439" s="61"/>
      <c r="L439" s="61"/>
      <c r="M439" s="62" t="s">
        <v>3117</v>
      </c>
      <c r="N439" s="63">
        <v>46029</v>
      </c>
      <c r="O439" s="63">
        <v>46069</v>
      </c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</row>
    <row r="440" spans="1:28" ht="12.5">
      <c r="A440" s="3" t="s">
        <v>38</v>
      </c>
      <c r="B440" s="12" t="s">
        <v>2802</v>
      </c>
      <c r="C440" s="8" t="s">
        <v>3605</v>
      </c>
      <c r="D440" s="41" t="str">
        <f ca="1">IFERROR(__xludf.DUMMYFUNCTION("IFERROR(ARRAYFORMULA(REGEXEXTRACT(C440,""^(?:https?:\/\/)?(?:[^@\n]+@)?(?:www\.)?([^:\/\n]+)"")),"""")"),"web.milwaukeenari.org")</f>
        <v>web.milwaukeenari.org</v>
      </c>
      <c r="E440" s="26" t="str">
        <f ca="1">IFERROR(__xludf.DUMMYFUNCTION("""COMPUTED_VALUE"""),"New")</f>
        <v>New</v>
      </c>
      <c r="F440" s="27">
        <v>42</v>
      </c>
      <c r="G440" s="27">
        <v>1300</v>
      </c>
      <c r="P440" s="26"/>
    </row>
    <row r="441" spans="1:28" ht="12.5" hidden="1">
      <c r="A441" s="3" t="s">
        <v>38</v>
      </c>
      <c r="B441" s="12" t="s">
        <v>2802</v>
      </c>
      <c r="C441" s="8" t="s">
        <v>3606</v>
      </c>
      <c r="D441" s="41" t="str">
        <f ca="1">IFERROR(__xludf.DUMMYFUNCTION("IFERROR(ARRAYFORMULA(REGEXEXTRACT(C441,""^(?:https?:\/\/)?(?:[^@\n]+@)?(?:www\.)?([^:\/\n]+)"")),"""")"),"resident.com")</f>
        <v>resident.com</v>
      </c>
      <c r="E441" s="26" t="str">
        <f ca="1">IFERROR(__xludf.DUMMYFUNCTION("""COMPUTED_VALUE"""),"Already Exists")</f>
        <v>Already Exists</v>
      </c>
      <c r="F441" s="27">
        <v>71</v>
      </c>
      <c r="G441" s="27">
        <v>35292</v>
      </c>
    </row>
    <row r="442" spans="1:28" ht="12.5">
      <c r="A442" s="3" t="s">
        <v>38</v>
      </c>
      <c r="B442" s="12" t="s">
        <v>2802</v>
      </c>
      <c r="C442" s="8" t="s">
        <v>3607</v>
      </c>
      <c r="D442" s="41" t="str">
        <f ca="1">IFERROR(__xludf.DUMMYFUNCTION("IFERROR(ARRAYFORMULA(REGEXEXTRACT(C442,""^(?:https?:\/\/)?(?:[^@\n]+@)?(?:www\.)?([^:\/\n]+)"")),"""")"),"novihomeshow.com")</f>
        <v>novihomeshow.com</v>
      </c>
      <c r="E442" s="26" t="str">
        <f ca="1">IFERROR(__xludf.DUMMYFUNCTION("""COMPUTED_VALUE"""),"New")</f>
        <v>New</v>
      </c>
      <c r="F442" s="27">
        <v>31</v>
      </c>
      <c r="G442" s="27">
        <v>1983</v>
      </c>
      <c r="P442" s="26"/>
    </row>
    <row r="443" spans="1:28" ht="12.5">
      <c r="A443" s="3" t="s">
        <v>38</v>
      </c>
      <c r="B443" s="12" t="s">
        <v>2802</v>
      </c>
      <c r="C443" s="8" t="s">
        <v>3608</v>
      </c>
      <c r="D443" s="41" t="str">
        <f ca="1">IFERROR(__xludf.DUMMYFUNCTION("IFERROR(ARRAYFORMULA(REGEXEXTRACT(C443,""^(?:https?:\/\/)?(?:[^@\n]+@)?(?:www\.)?([^:\/\n]+)"")),"""")"),"sense.com")</f>
        <v>sense.com</v>
      </c>
      <c r="E443" s="26" t="str">
        <f ca="1">IFERROR(__xludf.DUMMYFUNCTION("""COMPUTED_VALUE"""),"New")</f>
        <v>New</v>
      </c>
      <c r="F443" s="27">
        <v>64</v>
      </c>
      <c r="G443" s="27">
        <v>14937</v>
      </c>
      <c r="P443" s="26"/>
    </row>
    <row r="444" spans="1:28" ht="12.5">
      <c r="A444" s="3" t="s">
        <v>38</v>
      </c>
      <c r="B444" s="12" t="s">
        <v>2802</v>
      </c>
      <c r="C444" s="8" t="s">
        <v>3609</v>
      </c>
      <c r="D444" s="41" t="str">
        <f ca="1">IFERROR(__xludf.DUMMYFUNCTION("IFERROR(ARRAYFORMULA(REGEXEXTRACT(C444,""^(?:https?:\/\/)?(?:[^@\n]+@)?(?:www\.)?([^:\/\n]+)"")),"""")"),"growjo.com")</f>
        <v>growjo.com</v>
      </c>
      <c r="E444" s="26" t="str">
        <f ca="1">IFERROR(__xludf.DUMMYFUNCTION("""COMPUTED_VALUE"""),"New")</f>
        <v>New</v>
      </c>
      <c r="F444" s="27">
        <v>64</v>
      </c>
      <c r="G444" s="27">
        <v>28515</v>
      </c>
      <c r="P444" s="26"/>
    </row>
    <row r="445" spans="1:28" ht="12.5" hidden="1">
      <c r="A445" s="3" t="s">
        <v>38</v>
      </c>
      <c r="B445" s="12" t="s">
        <v>2802</v>
      </c>
      <c r="C445" s="8" t="s">
        <v>3610</v>
      </c>
      <c r="D445" s="41" t="str">
        <f ca="1">IFERROR(__xludf.DUMMYFUNCTION("IFERROR(ARRAYFORMULA(REGEXEXTRACT(C445,""^(?:https?:\/\/)?(?:[^@\n]+@)?(?:www\.)?([^:\/\n]+)"")),"""")"),"homelight.com")</f>
        <v>homelight.com</v>
      </c>
      <c r="E445" s="26" t="str">
        <f ca="1">IFERROR(__xludf.DUMMYFUNCTION("""COMPUTED_VALUE"""),"Already Exists")</f>
        <v>Already Exists</v>
      </c>
      <c r="F445" s="27">
        <v>79</v>
      </c>
      <c r="G445" s="27">
        <v>241904</v>
      </c>
    </row>
    <row r="446" spans="1:28" ht="12.5">
      <c r="A446" s="3" t="s">
        <v>38</v>
      </c>
      <c r="B446" s="12" t="s">
        <v>2802</v>
      </c>
      <c r="C446" s="8" t="s">
        <v>3611</v>
      </c>
      <c r="D446" s="41" t="str">
        <f ca="1">IFERROR(__xludf.DUMMYFUNCTION("IFERROR(ARRAYFORMULA(REGEXEXTRACT(C446,""^(?:https?:\/\/)?(?:[^@\n]+@)?(?:www\.)?([^:\/\n]+)"")),"""")"),"joesdaily.com")</f>
        <v>joesdaily.com</v>
      </c>
      <c r="E446" s="26" t="str">
        <f ca="1">IFERROR(__xludf.DUMMYFUNCTION("""COMPUTED_VALUE"""),"New")</f>
        <v>New</v>
      </c>
      <c r="F446" s="27">
        <v>56</v>
      </c>
      <c r="G446" s="27">
        <v>2011</v>
      </c>
      <c r="I446" s="27" t="s">
        <v>3612</v>
      </c>
      <c r="M446" s="27" t="s">
        <v>3117</v>
      </c>
      <c r="N446" s="48">
        <v>46029</v>
      </c>
      <c r="O446" s="48">
        <v>46069</v>
      </c>
      <c r="P446" s="26"/>
    </row>
    <row r="447" spans="1:28" ht="12.5">
      <c r="A447" s="3" t="s">
        <v>38</v>
      </c>
      <c r="B447" s="12" t="s">
        <v>2802</v>
      </c>
      <c r="C447" s="8" t="s">
        <v>3613</v>
      </c>
      <c r="D447" s="41" t="str">
        <f ca="1">IFERROR(__xludf.DUMMYFUNCTION("IFERROR(ARRAYFORMULA(REGEXEXTRACT(C447,""^(?:https?:\/\/)?(?:[^@\n]+@)?(?:www\.)?([^:\/\n]+)"")),"""")"),"milwaukeeadmirals.com")</f>
        <v>milwaukeeadmirals.com</v>
      </c>
      <c r="E447" s="26" t="str">
        <f ca="1">IFERROR(__xludf.DUMMYFUNCTION("""COMPUTED_VALUE"""),"New")</f>
        <v>New</v>
      </c>
      <c r="F447" s="27">
        <v>54</v>
      </c>
      <c r="G447" s="27">
        <v>29617</v>
      </c>
      <c r="P447" s="26"/>
    </row>
    <row r="448" spans="1:28" ht="12.5">
      <c r="A448" s="3" t="s">
        <v>38</v>
      </c>
      <c r="B448" s="12" t="s">
        <v>2802</v>
      </c>
      <c r="C448" s="8" t="s">
        <v>3614</v>
      </c>
      <c r="D448" s="41" t="str">
        <f ca="1">IFERROR(__xludf.DUMMYFUNCTION("IFERROR(ARRAYFORMULA(REGEXEXTRACT(C448,""^(?:https?:\/\/)?(?:[^@\n]+@)?(?:www\.)?([^:\/\n]+)"")),"""")"),"pinterest.com")</f>
        <v>pinterest.com</v>
      </c>
      <c r="E448" s="26" t="str">
        <f ca="1">IFERROR(__xludf.DUMMYFUNCTION("""COMPUTED_VALUE"""),"New")</f>
        <v>New</v>
      </c>
      <c r="F448" s="27">
        <v>97</v>
      </c>
      <c r="G448" s="27">
        <v>591007360</v>
      </c>
      <c r="P448" s="26"/>
    </row>
    <row r="449" spans="1:16" ht="12.5" hidden="1">
      <c r="A449" s="3" t="s">
        <v>38</v>
      </c>
      <c r="B449" s="12" t="s">
        <v>2802</v>
      </c>
      <c r="C449" s="8" t="s">
        <v>3615</v>
      </c>
      <c r="D449" s="41" t="str">
        <f ca="1">IFERROR(__xludf.DUMMYFUNCTION("IFERROR(ARRAYFORMULA(REGEXEXTRACT(C449,""^(?:https?:\/\/)?(?:[^@\n]+@)?(?:www\.)?([^:\/\n]+)"")),"""")"),"corbyhomes.com")</f>
        <v>corbyhomes.com</v>
      </c>
      <c r="E449" s="26" t="str">
        <f ca="1">IFERROR(__xludf.DUMMYFUNCTION("""COMPUTED_VALUE"""),"Already Exists")</f>
        <v>Already Exists</v>
      </c>
      <c r="F449" s="27">
        <v>41</v>
      </c>
      <c r="G449" s="27">
        <v>2037</v>
      </c>
    </row>
    <row r="450" spans="1:16" ht="12.5">
      <c r="A450" s="3" t="s">
        <v>38</v>
      </c>
      <c r="B450" s="12" t="s">
        <v>2802</v>
      </c>
      <c r="C450" s="8" t="s">
        <v>3616</v>
      </c>
      <c r="D450" s="41" t="str">
        <f ca="1">IFERROR(__xludf.DUMMYFUNCTION("IFERROR(ARRAYFORMULA(REGEXEXTRACT(C450,""^(?:https?:\/\/)?(?:[^@\n]+@)?(?:www\.)?([^:\/\n]+)"")),"""")"),"amdurproductions.com")</f>
        <v>amdurproductions.com</v>
      </c>
      <c r="E450" s="26" t="str">
        <f ca="1">IFERROR(__xludf.DUMMYFUNCTION("""COMPUTED_VALUE"""),"New")</f>
        <v>New</v>
      </c>
      <c r="F450" s="27">
        <v>59</v>
      </c>
      <c r="G450" s="27">
        <v>1720</v>
      </c>
      <c r="P450" s="26"/>
    </row>
    <row r="451" spans="1:16" ht="12.5" hidden="1">
      <c r="A451" s="3" t="s">
        <v>38</v>
      </c>
      <c r="B451" s="12" t="s">
        <v>2802</v>
      </c>
      <c r="C451" s="35" t="s">
        <v>3617</v>
      </c>
      <c r="D451" s="41" t="str">
        <f ca="1">IFERROR(__xludf.DUMMYFUNCTION("IFERROR(ARRAYFORMULA(REGEXEXTRACT(C451,""^(?:https?:\/\/)?(?:[^@\n]+@)?(?:www\.)?([^:\/\n]+)"")),"""")"),"homedit.com")</f>
        <v>homedit.com</v>
      </c>
      <c r="E451" s="26" t="str">
        <f ca="1">IFERROR(__xludf.DUMMYFUNCTION("""COMPUTED_VALUE"""),"Already Exists")</f>
        <v>Already Exists</v>
      </c>
      <c r="F451" s="27">
        <v>76</v>
      </c>
      <c r="G451" s="27">
        <v>19729</v>
      </c>
      <c r="H451" s="27" t="s">
        <v>3618</v>
      </c>
      <c r="I451" s="27" t="s">
        <v>3619</v>
      </c>
      <c r="J451" s="27" t="s">
        <v>3620</v>
      </c>
      <c r="M451" s="27" t="s">
        <v>3117</v>
      </c>
      <c r="N451" s="48">
        <v>46029</v>
      </c>
      <c r="P451" s="26"/>
    </row>
    <row r="452" spans="1:16" ht="12.5" hidden="1">
      <c r="A452" s="3" t="s">
        <v>38</v>
      </c>
      <c r="B452" s="12" t="s">
        <v>2802</v>
      </c>
      <c r="C452" s="8" t="s">
        <v>3621</v>
      </c>
      <c r="D452" s="41" t="str">
        <f ca="1">IFERROR(__xludf.DUMMYFUNCTION("IFERROR(ARRAYFORMULA(REGEXEXTRACT(C452,""^(?:https?:\/\/)?(?:[^@\n]+@)?(?:www\.)?([^:\/\n]+)"")),"""")"),"pinuphouses.com")</f>
        <v>pinuphouses.com</v>
      </c>
      <c r="E452" s="26" t="str">
        <f ca="1">IFERROR(__xludf.DUMMYFUNCTION("""COMPUTED_VALUE"""),"Already Exists")</f>
        <v>Already Exists</v>
      </c>
      <c r="F452" s="27">
        <v>41</v>
      </c>
      <c r="G452" s="27">
        <v>16522</v>
      </c>
    </row>
    <row r="453" spans="1:16" ht="12.5" hidden="1">
      <c r="A453" s="3" t="s">
        <v>38</v>
      </c>
      <c r="B453" s="12" t="s">
        <v>2802</v>
      </c>
      <c r="C453" s="8" t="s">
        <v>3622</v>
      </c>
      <c r="D453" s="41" t="str">
        <f ca="1">IFERROR(__xludf.DUMMYFUNCTION("IFERROR(ARRAYFORMULA(REGEXEXTRACT(C453,""^(?:https?:\/\/)?(?:[^@\n]+@)?(?:www\.)?([^:\/\n]+)"")),"""")"),"seasonsincolour.com")</f>
        <v>seasonsincolour.com</v>
      </c>
      <c r="E453" s="26" t="str">
        <f ca="1">IFERROR(__xludf.DUMMYFUNCTION("""COMPUTED_VALUE"""),"Already Exists")</f>
        <v>Already Exists</v>
      </c>
      <c r="F453" s="27">
        <v>54</v>
      </c>
      <c r="G453" s="27">
        <v>1721</v>
      </c>
    </row>
    <row r="454" spans="1:16" ht="12.5" hidden="1">
      <c r="A454" s="15" t="s">
        <v>38</v>
      </c>
      <c r="B454" s="12" t="s">
        <v>2802</v>
      </c>
      <c r="C454" s="35" t="s">
        <v>3623</v>
      </c>
      <c r="D454" s="41" t="str">
        <f ca="1">IFERROR(__xludf.DUMMYFUNCTION("IFERROR(ARRAYFORMULA(REGEXEXTRACT(C454,""^(?:https?:\/\/)?(?:[^@\n]+@)?(?:www\.)?([^:\/\n]+)"")),"""")"),"gigwise.com")</f>
        <v>gigwise.com</v>
      </c>
      <c r="E454" s="26" t="str">
        <f ca="1">IFERROR(__xludf.DUMMYFUNCTION("""COMPUTED_VALUE"""),"Already Exists")</f>
        <v>Already Exists</v>
      </c>
      <c r="F454" s="27">
        <v>68</v>
      </c>
      <c r="G454" s="27">
        <v>268353</v>
      </c>
      <c r="H454" s="27" t="s">
        <v>3624</v>
      </c>
      <c r="I454" s="27" t="s">
        <v>3625</v>
      </c>
      <c r="J454" s="27" t="s">
        <v>3626</v>
      </c>
      <c r="M454" s="27" t="s">
        <v>3117</v>
      </c>
      <c r="N454" s="48">
        <v>46029</v>
      </c>
      <c r="P454" s="27" t="s">
        <v>3201</v>
      </c>
    </row>
    <row r="455" spans="1:16" ht="12.5" hidden="1">
      <c r="A455" s="3" t="s">
        <v>38</v>
      </c>
      <c r="B455" s="12" t="s">
        <v>2802</v>
      </c>
      <c r="C455" s="8" t="s">
        <v>3627</v>
      </c>
      <c r="D455" s="41" t="str">
        <f ca="1">IFERROR(__xludf.DUMMYFUNCTION("IFERROR(ARRAYFORMULA(REGEXEXTRACT(C455,""^(?:https?:\/\/)?(?:[^@\n]+@)?(?:www\.)?([^:\/\n]+)"")),"""")"),"thedecorfix.com")</f>
        <v>thedecorfix.com</v>
      </c>
      <c r="E455" s="26" t="str">
        <f ca="1">IFERROR(__xludf.DUMMYFUNCTION("""COMPUTED_VALUE"""),"Already Exists")</f>
        <v>Already Exists</v>
      </c>
      <c r="F455" s="27">
        <v>38</v>
      </c>
      <c r="G455" s="27">
        <v>1452</v>
      </c>
    </row>
    <row r="456" spans="1:16" ht="12.5">
      <c r="A456" s="3" t="s">
        <v>38</v>
      </c>
      <c r="B456" s="12" t="s">
        <v>2802</v>
      </c>
      <c r="C456" s="11" t="s">
        <v>3628</v>
      </c>
      <c r="D456" s="41" t="str">
        <f ca="1">IFERROR(__xludf.DUMMYFUNCTION("IFERROR(ARRAYFORMULA(REGEXEXTRACT(C456,""^(?:https?:\/\/)?(?:[^@\n]+@)?(?:www\.)?([^:\/\n]+)"")),"""")"),"hipmamasplace.com")</f>
        <v>hipmamasplace.com</v>
      </c>
      <c r="E456" s="26" t="str">
        <f ca="1">IFERROR(__xludf.DUMMYFUNCTION("""COMPUTED_VALUE"""),"New")</f>
        <v>New</v>
      </c>
      <c r="F456" s="27">
        <v>41</v>
      </c>
      <c r="G456" s="27">
        <v>1525</v>
      </c>
      <c r="H456" s="27" t="s">
        <v>3629</v>
      </c>
      <c r="I456" s="27" t="s">
        <v>3630</v>
      </c>
      <c r="M456" s="27" t="s">
        <v>3117</v>
      </c>
      <c r="N456" s="48">
        <v>46030</v>
      </c>
      <c r="O456" s="48">
        <v>46069</v>
      </c>
      <c r="P456" s="26"/>
    </row>
    <row r="457" spans="1:16" ht="12.5" hidden="1">
      <c r="A457" s="3" t="s">
        <v>38</v>
      </c>
      <c r="B457" s="12" t="s">
        <v>2802</v>
      </c>
      <c r="C457" s="8" t="s">
        <v>3631</v>
      </c>
      <c r="D457" s="41" t="str">
        <f ca="1">IFERROR(__xludf.DUMMYFUNCTION("IFERROR(ARRAYFORMULA(REGEXEXTRACT(C457,""^(?:https?:\/\/)?(?:[^@\n]+@)?(?:www\.)?([^:\/\n]+)"")),"""")"),"homeworlddesign.com")</f>
        <v>homeworlddesign.com</v>
      </c>
      <c r="E457" s="26" t="str">
        <f ca="1">IFERROR(__xludf.DUMMYFUNCTION("""COMPUTED_VALUE"""),"Already Exists")</f>
        <v>Already Exists</v>
      </c>
      <c r="F457" s="27">
        <v>61</v>
      </c>
      <c r="G457" s="27">
        <v>1299</v>
      </c>
    </row>
    <row r="458" spans="1:16" ht="12.5">
      <c r="A458" s="3" t="s">
        <v>38</v>
      </c>
      <c r="B458" s="12" t="s">
        <v>2802</v>
      </c>
      <c r="C458" s="11" t="s">
        <v>3632</v>
      </c>
      <c r="D458" s="41" t="str">
        <f ca="1">IFERROR(__xludf.DUMMYFUNCTION("IFERROR(ARRAYFORMULA(REGEXEXTRACT(C458,""^(?:https?:\/\/)?(?:[^@\n]+@)?(?:www\.)?([^:\/\n]+)"")),"""")"),"proremodeler.com")</f>
        <v>proremodeler.com</v>
      </c>
      <c r="E458" s="26" t="str">
        <f ca="1">IFERROR(__xludf.DUMMYFUNCTION("""COMPUTED_VALUE"""),"New")</f>
        <v>New</v>
      </c>
      <c r="F458" s="27">
        <v>67</v>
      </c>
      <c r="G458" s="27">
        <v>1018</v>
      </c>
      <c r="H458" s="27" t="s">
        <v>3633</v>
      </c>
      <c r="I458" s="27" t="s">
        <v>3634</v>
      </c>
      <c r="J458" s="27" t="s">
        <v>3635</v>
      </c>
      <c r="M458" s="27" t="s">
        <v>3117</v>
      </c>
      <c r="N458" s="48">
        <v>46030</v>
      </c>
      <c r="O458" s="48">
        <v>46069</v>
      </c>
      <c r="P458" s="26"/>
    </row>
    <row r="459" spans="1:16" ht="12.5" hidden="1">
      <c r="A459" s="3" t="s">
        <v>38</v>
      </c>
      <c r="B459" s="12" t="s">
        <v>2802</v>
      </c>
      <c r="C459" s="8" t="s">
        <v>3636</v>
      </c>
      <c r="D459" s="41" t="str">
        <f ca="1">IFERROR(__xludf.DUMMYFUNCTION("IFERROR(ARRAYFORMULA(REGEXEXTRACT(C459,""^(?:https?:\/\/)?(?:[^@\n]+@)?(?:www\.)?([^:\/\n]+)"")),"""")"),"designscene.net")</f>
        <v>designscene.net</v>
      </c>
      <c r="E459" s="26" t="str">
        <f ca="1">IFERROR(__xludf.DUMMYFUNCTION("""COMPUTED_VALUE"""),"Already Exists")</f>
        <v>Already Exists</v>
      </c>
      <c r="F459" s="27">
        <v>68</v>
      </c>
      <c r="G459" s="27">
        <v>6126</v>
      </c>
    </row>
    <row r="460" spans="1:16" ht="12.5" hidden="1">
      <c r="A460" s="3" t="s">
        <v>38</v>
      </c>
      <c r="B460" s="12" t="s">
        <v>2802</v>
      </c>
      <c r="C460" s="8" t="s">
        <v>3637</v>
      </c>
      <c r="D460" s="41" t="str">
        <f ca="1">IFERROR(__xludf.DUMMYFUNCTION("IFERROR(ARRAYFORMULA(REGEXEXTRACT(C460,""^(?:https?:\/\/)?(?:[^@\n]+@)?(?:www\.)?([^:\/\n]+)"")),"""")"),"randylemmon.com")</f>
        <v>randylemmon.com</v>
      </c>
      <c r="E460" s="26" t="str">
        <f ca="1">IFERROR(__xludf.DUMMYFUNCTION("""COMPUTED_VALUE"""),"Already Exists")</f>
        <v>Already Exists</v>
      </c>
      <c r="F460" s="27">
        <v>56</v>
      </c>
      <c r="G460" s="27">
        <v>4181</v>
      </c>
    </row>
    <row r="461" spans="1:16" ht="12.5" hidden="1">
      <c r="A461" s="3" t="s">
        <v>38</v>
      </c>
      <c r="B461" s="12" t="s">
        <v>2802</v>
      </c>
      <c r="C461" s="8" t="s">
        <v>3638</v>
      </c>
      <c r="D461" s="41" t="str">
        <f ca="1">IFERROR(__xludf.DUMMYFUNCTION("IFERROR(ARRAYFORMULA(REGEXEXTRACT(C461,""^(?:https?:\/\/)?(?:[^@\n]+@)?(?:www\.)?([^:\/\n]+)"")),"""")"),"homebusinessmag.com")</f>
        <v>homebusinessmag.com</v>
      </c>
      <c r="E461" s="26" t="str">
        <f ca="1">IFERROR(__xludf.DUMMYFUNCTION("""COMPUTED_VALUE"""),"Already Exists")</f>
        <v>Already Exists</v>
      </c>
      <c r="F461" s="27">
        <v>71</v>
      </c>
      <c r="G461" s="27">
        <v>3347</v>
      </c>
    </row>
    <row r="462" spans="1:16" ht="12.5" hidden="1">
      <c r="A462" s="3" t="s">
        <v>38</v>
      </c>
      <c r="B462" s="12" t="s">
        <v>2802</v>
      </c>
      <c r="C462" s="8" t="s">
        <v>3639</v>
      </c>
      <c r="D462" s="41" t="str">
        <f ca="1">IFERROR(__xludf.DUMMYFUNCTION("IFERROR(ARRAYFORMULA(REGEXEXTRACT(C462,""^(?:https?:\/\/)?(?:[^@\n]+@)?(?:www\.)?([^:\/\n]+)"")),"""")"),"justsimplymom.com")</f>
        <v>justsimplymom.com</v>
      </c>
      <c r="E462" s="26" t="str">
        <f ca="1">IFERROR(__xludf.DUMMYFUNCTION("""COMPUTED_VALUE"""),"Already Exists")</f>
        <v>Already Exists</v>
      </c>
      <c r="F462" s="27">
        <v>35</v>
      </c>
      <c r="G462" s="27">
        <v>1727</v>
      </c>
    </row>
    <row r="463" spans="1:16" ht="12.5" hidden="1">
      <c r="A463" s="3" t="s">
        <v>38</v>
      </c>
      <c r="B463" s="12" t="s">
        <v>2802</v>
      </c>
      <c r="C463" s="8" t="s">
        <v>3640</v>
      </c>
      <c r="D463" s="41" t="str">
        <f ca="1">IFERROR(__xludf.DUMMYFUNCTION("IFERROR(ARRAYFORMULA(REGEXEXTRACT(C463,""^(?:https?:\/\/)?(?:[^@\n]+@)?(?:www\.)?([^:\/\n]+)"")),"""")"),"ahouseinthehills.com")</f>
        <v>ahouseinthehills.com</v>
      </c>
      <c r="E463" s="26" t="str">
        <f ca="1">IFERROR(__xludf.DUMMYFUNCTION("""COMPUTED_VALUE"""),"Already Exists")</f>
        <v>Already Exists</v>
      </c>
      <c r="F463" s="27">
        <v>58</v>
      </c>
      <c r="G463" s="27">
        <v>6037</v>
      </c>
    </row>
    <row r="464" spans="1:16" ht="12.5">
      <c r="A464" s="3" t="s">
        <v>38</v>
      </c>
      <c r="B464" s="12" t="s">
        <v>2802</v>
      </c>
      <c r="C464" s="8" t="s">
        <v>3641</v>
      </c>
      <c r="D464" s="41" t="str">
        <f ca="1">IFERROR(__xludf.DUMMYFUNCTION("IFERROR(ARRAYFORMULA(REGEXEXTRACT(C464,""^(?:https?:\/\/)?(?:[^@\n]+@)?(?:www\.)?([^:\/\n]+)"")),"""")"),"homeadvisor.com")</f>
        <v>homeadvisor.com</v>
      </c>
      <c r="E464" s="26" t="str">
        <f ca="1">IFERROR(__xludf.DUMMYFUNCTION("""COMPUTED_VALUE"""),"New")</f>
        <v>New</v>
      </c>
      <c r="F464" s="27">
        <v>91</v>
      </c>
      <c r="G464" s="27">
        <v>197782</v>
      </c>
      <c r="O464" s="48"/>
      <c r="P464" s="26"/>
    </row>
    <row r="465" spans="1:16" ht="12.5" hidden="1">
      <c r="A465" s="3" t="s">
        <v>38</v>
      </c>
      <c r="B465" s="12" t="s">
        <v>2802</v>
      </c>
      <c r="C465" s="56" t="s">
        <v>3642</v>
      </c>
      <c r="D465" s="41" t="str">
        <f ca="1">IFERROR(__xludf.DUMMYFUNCTION("IFERROR(ARRAYFORMULA(REGEXEXTRACT(C465,""^(?:https?:\/\/)?(?:[^@\n]+@)?(?:www\.)?([^:\/\n]+)"")),"""")"),"sipthestyle.com")</f>
        <v>sipthestyle.com</v>
      </c>
      <c r="E465" s="26" t="str">
        <f ca="1">IFERROR(__xludf.DUMMYFUNCTION("""COMPUTED_VALUE"""),"Already Exists")</f>
        <v>Already Exists</v>
      </c>
      <c r="F465" s="27">
        <v>60</v>
      </c>
      <c r="G465" s="27">
        <v>5166</v>
      </c>
      <c r="J465" s="27" t="s">
        <v>3643</v>
      </c>
      <c r="M465" s="27" t="s">
        <v>3117</v>
      </c>
      <c r="N465" s="48">
        <v>46030</v>
      </c>
      <c r="P465" s="27" t="s">
        <v>3201</v>
      </c>
    </row>
    <row r="466" spans="1:16" ht="12.5" hidden="1">
      <c r="A466" s="3" t="s">
        <v>38</v>
      </c>
      <c r="B466" s="12" t="s">
        <v>2802</v>
      </c>
      <c r="C466" s="8" t="s">
        <v>3644</v>
      </c>
      <c r="D466" s="41" t="str">
        <f ca="1">IFERROR(__xludf.DUMMYFUNCTION("IFERROR(ARRAYFORMULA(REGEXEXTRACT(C466,""^(?:https?:\/\/)?(?:[^@\n]+@)?(?:www\.)?([^:\/\n]+)"")),"""")"),"emmareed.net")</f>
        <v>emmareed.net</v>
      </c>
      <c r="E466" s="26" t="str">
        <f ca="1">IFERROR(__xludf.DUMMYFUNCTION("""COMPUTED_VALUE"""),"Already Exists")</f>
        <v>Already Exists</v>
      </c>
      <c r="F466" s="27">
        <v>40</v>
      </c>
      <c r="G466" s="27">
        <v>8671</v>
      </c>
    </row>
    <row r="467" spans="1:16" ht="12.5" hidden="1">
      <c r="A467" s="3" t="s">
        <v>38</v>
      </c>
      <c r="B467" s="12" t="s">
        <v>2802</v>
      </c>
      <c r="C467" s="8" t="s">
        <v>3645</v>
      </c>
      <c r="D467" s="41" t="str">
        <f ca="1">IFERROR(__xludf.DUMMYFUNCTION("IFERROR(ARRAYFORMULA(REGEXEXTRACT(C467,""^(?:https?:\/\/)?(?:[^@\n]+@)?(?:www\.)?([^:\/\n]+)"")),"""")"),"gloryofthesnow.com")</f>
        <v>gloryofthesnow.com</v>
      </c>
      <c r="E467" s="26" t="str">
        <f ca="1">IFERROR(__xludf.DUMMYFUNCTION("""COMPUTED_VALUE"""),"Already Exists")</f>
        <v>Already Exists</v>
      </c>
      <c r="F467" s="27">
        <v>71</v>
      </c>
      <c r="G467" s="27">
        <v>2705</v>
      </c>
    </row>
    <row r="468" spans="1:16" ht="12.5" hidden="1">
      <c r="A468" s="3" t="s">
        <v>38</v>
      </c>
      <c r="B468" s="12" t="s">
        <v>2802</v>
      </c>
      <c r="C468" s="56" t="s">
        <v>3646</v>
      </c>
      <c r="D468" s="41" t="str">
        <f ca="1">IFERROR(__xludf.DUMMYFUNCTION("IFERROR(ARRAYFORMULA(REGEXEXTRACT(C468,""^(?:https?:\/\/)?(?:[^@\n]+@)?(?:www\.)?([^:\/\n]+)"")),"""")"),"art-sheep.com")</f>
        <v>art-sheep.com</v>
      </c>
      <c r="E468" s="26" t="str">
        <f ca="1">IFERROR(__xludf.DUMMYFUNCTION("""COMPUTED_VALUE"""),"Already Exists")</f>
        <v>Already Exists</v>
      </c>
      <c r="F468" s="27">
        <v>39</v>
      </c>
      <c r="G468" s="27">
        <v>3190</v>
      </c>
      <c r="I468" s="27" t="s">
        <v>3647</v>
      </c>
      <c r="J468" s="27" t="s">
        <v>3648</v>
      </c>
      <c r="M468" s="27" t="s">
        <v>3117</v>
      </c>
      <c r="N468" s="48">
        <v>46030</v>
      </c>
      <c r="P468" s="27" t="s">
        <v>3201</v>
      </c>
    </row>
    <row r="469" spans="1:16" ht="12.5" hidden="1">
      <c r="A469" s="3" t="s">
        <v>38</v>
      </c>
      <c r="B469" s="12" t="s">
        <v>2802</v>
      </c>
      <c r="C469" s="56" t="s">
        <v>3649</v>
      </c>
      <c r="D469" s="41" t="str">
        <f ca="1">IFERROR(__xludf.DUMMYFUNCTION("IFERROR(ARRAYFORMULA(REGEXEXTRACT(C469,""^(?:https?:\/\/)?(?:[^@\n]+@)?(?:www\.)?([^:\/\n]+)"")),"""")"),"brewminate.com")</f>
        <v>brewminate.com</v>
      </c>
      <c r="E469" s="26" t="str">
        <f ca="1">IFERROR(__xludf.DUMMYFUNCTION("""COMPUTED_VALUE"""),"Already Exists")</f>
        <v>Already Exists</v>
      </c>
      <c r="F469" s="27">
        <v>59</v>
      </c>
      <c r="G469" s="27">
        <v>2551</v>
      </c>
      <c r="J469" s="27" t="s">
        <v>3650</v>
      </c>
      <c r="M469" s="27" t="s">
        <v>3117</v>
      </c>
      <c r="N469" s="48">
        <v>46030</v>
      </c>
      <c r="O469" s="48">
        <v>46069</v>
      </c>
      <c r="P469" s="27" t="s">
        <v>3201</v>
      </c>
    </row>
    <row r="470" spans="1:16" ht="12.5">
      <c r="A470" s="3" t="s">
        <v>38</v>
      </c>
      <c r="B470" s="12" t="s">
        <v>2802</v>
      </c>
      <c r="C470" s="11" t="s">
        <v>3651</v>
      </c>
      <c r="D470" s="41" t="str">
        <f ca="1">IFERROR(__xludf.DUMMYFUNCTION("IFERROR(ARRAYFORMULA(REGEXEXTRACT(C470,""^(?:https?:\/\/)?(?:[^@\n]+@)?(?:www\.)?([^:\/\n]+)"")),"""")"),"grandmagazine.com")</f>
        <v>grandmagazine.com</v>
      </c>
      <c r="E470" s="26" t="str">
        <f ca="1">IFERROR(__xludf.DUMMYFUNCTION("""COMPUTED_VALUE"""),"New")</f>
        <v>New</v>
      </c>
      <c r="F470" s="27">
        <v>49</v>
      </c>
      <c r="G470" s="27">
        <v>2300</v>
      </c>
      <c r="H470" s="27" t="s">
        <v>3652</v>
      </c>
      <c r="I470" s="27" t="s">
        <v>3653</v>
      </c>
      <c r="J470" s="27" t="s">
        <v>3654</v>
      </c>
      <c r="M470" s="27" t="s">
        <v>3117</v>
      </c>
      <c r="N470" s="48">
        <v>46030</v>
      </c>
      <c r="O470" s="48">
        <v>46069</v>
      </c>
      <c r="P470" s="26"/>
    </row>
    <row r="471" spans="1:16" ht="12.5" hidden="1">
      <c r="A471" s="3" t="s">
        <v>38</v>
      </c>
      <c r="B471" s="12" t="s">
        <v>2802</v>
      </c>
      <c r="C471" s="8" t="s">
        <v>3655</v>
      </c>
      <c r="D471" s="41" t="str">
        <f ca="1">IFERROR(__xludf.DUMMYFUNCTION("IFERROR(ARRAYFORMULA(REGEXEXTRACT(C471,""^(?:https?:\/\/)?(?:[^@\n]+@)?(?:www\.)?([^:\/\n]+)"")),"""")"),"alittledelightful.com")</f>
        <v>alittledelightful.com</v>
      </c>
      <c r="E471" s="26" t="str">
        <f ca="1">IFERROR(__xludf.DUMMYFUNCTION("""COMPUTED_VALUE"""),"Already Exists")</f>
        <v>Already Exists</v>
      </c>
      <c r="F471" s="27">
        <v>66</v>
      </c>
      <c r="G471" s="27">
        <v>18319</v>
      </c>
    </row>
    <row r="472" spans="1:16" ht="12.5" hidden="1">
      <c r="A472" s="3" t="s">
        <v>38</v>
      </c>
      <c r="B472" s="12" t="s">
        <v>2802</v>
      </c>
      <c r="C472" s="56" t="s">
        <v>3656</v>
      </c>
      <c r="D472" s="41" t="str">
        <f ca="1">IFERROR(__xludf.DUMMYFUNCTION("IFERROR(ARRAYFORMULA(REGEXEXTRACT(C472,""^(?:https?:\/\/)?(?:[^@\n]+@)?(?:www\.)?([^:\/\n]+)"")),"""")"),"wispwillow.com")</f>
        <v>wispwillow.com</v>
      </c>
      <c r="E472" s="26" t="str">
        <f ca="1">IFERROR(__xludf.DUMMYFUNCTION("""COMPUTED_VALUE"""),"Already Exists")</f>
        <v>Already Exists</v>
      </c>
      <c r="F472" s="27">
        <v>47</v>
      </c>
      <c r="G472" s="27">
        <v>5235</v>
      </c>
      <c r="I472" s="27" t="s">
        <v>3657</v>
      </c>
      <c r="J472" s="27" t="s">
        <v>3658</v>
      </c>
      <c r="M472" s="27" t="s">
        <v>3117</v>
      </c>
      <c r="N472" s="48">
        <v>46030</v>
      </c>
      <c r="P472" s="27" t="s">
        <v>3201</v>
      </c>
    </row>
    <row r="473" spans="1:16" ht="12.5" hidden="1">
      <c r="A473" s="3" t="s">
        <v>38</v>
      </c>
      <c r="B473" s="12" t="s">
        <v>2802</v>
      </c>
      <c r="C473" s="56" t="s">
        <v>3659</v>
      </c>
      <c r="D473" s="41" t="str">
        <f ca="1">IFERROR(__xludf.DUMMYFUNCTION("IFERROR(ARRAYFORMULA(REGEXEXTRACT(C473,""^(?:https?:\/\/)?(?:[^@\n]+@)?(?:www\.)?([^:\/\n]+)"")),"""")"),"upcyclethat.com")</f>
        <v>upcyclethat.com</v>
      </c>
      <c r="E473" s="26" t="str">
        <f ca="1">IFERROR(__xludf.DUMMYFUNCTION("""COMPUTED_VALUE"""),"Already Exists")</f>
        <v>Already Exists</v>
      </c>
      <c r="F473" s="27">
        <v>69</v>
      </c>
      <c r="G473" s="27">
        <v>5439</v>
      </c>
      <c r="J473" s="27" t="s">
        <v>3660</v>
      </c>
      <c r="M473" s="27" t="s">
        <v>3117</v>
      </c>
      <c r="N473" s="48">
        <v>46030</v>
      </c>
      <c r="P473" s="27" t="s">
        <v>3201</v>
      </c>
    </row>
    <row r="474" spans="1:16" ht="12.5" hidden="1">
      <c r="A474" s="3" t="s">
        <v>38</v>
      </c>
      <c r="B474" s="12" t="s">
        <v>2802</v>
      </c>
      <c r="C474" s="56" t="s">
        <v>3661</v>
      </c>
      <c r="D474" s="41" t="str">
        <f ca="1">IFERROR(__xludf.DUMMYFUNCTION("IFERROR(ARRAYFORMULA(REGEXEXTRACT(C474,""^(?:https?:\/\/)?(?:[^@\n]+@)?(?:www\.)?([^:\/\n]+)"")),"""")"),"conservamome.com")</f>
        <v>conservamome.com</v>
      </c>
      <c r="E474" s="26" t="str">
        <f ca="1">IFERROR(__xludf.DUMMYFUNCTION("""COMPUTED_VALUE"""),"Already Exists")</f>
        <v>Already Exists</v>
      </c>
      <c r="F474" s="27">
        <v>45</v>
      </c>
      <c r="G474" s="27">
        <v>1160</v>
      </c>
      <c r="H474" s="27" t="s">
        <v>3662</v>
      </c>
      <c r="I474" s="27" t="s">
        <v>3663</v>
      </c>
      <c r="M474" s="27" t="s">
        <v>3117</v>
      </c>
      <c r="N474" s="48">
        <v>46030</v>
      </c>
      <c r="O474" s="48">
        <v>46069</v>
      </c>
      <c r="P474" s="27" t="s">
        <v>3201</v>
      </c>
    </row>
    <row r="475" spans="1:16" ht="12.5" hidden="1">
      <c r="A475" s="3" t="s">
        <v>38</v>
      </c>
      <c r="B475" s="12" t="s">
        <v>2802</v>
      </c>
      <c r="C475" s="8" t="s">
        <v>3664</v>
      </c>
      <c r="D475" s="41" t="str">
        <f ca="1">IFERROR(__xludf.DUMMYFUNCTION("IFERROR(ARRAYFORMULA(REGEXEXTRACT(C475,""^(?:https?:\/\/)?(?:[^@\n]+@)?(?:www\.)?([^:\/\n]+)"")),"""")"),"snoozye.com")</f>
        <v>snoozye.com</v>
      </c>
      <c r="E475" s="26" t="str">
        <f ca="1">IFERROR(__xludf.DUMMYFUNCTION("""COMPUTED_VALUE"""),"Already Exists")</f>
        <v>Already Exists</v>
      </c>
      <c r="F475" s="27">
        <v>44</v>
      </c>
      <c r="G475" s="27">
        <v>4039</v>
      </c>
    </row>
    <row r="476" spans="1:16" ht="12.5" hidden="1">
      <c r="A476" s="3" t="s">
        <v>38</v>
      </c>
      <c r="B476" s="12" t="s">
        <v>2802</v>
      </c>
      <c r="C476" s="8" t="s">
        <v>3665</v>
      </c>
      <c r="D476" s="41" t="str">
        <f ca="1">IFERROR(__xludf.DUMMYFUNCTION("IFERROR(ARRAYFORMULA(REGEXEXTRACT(C476,""^(?:https?:\/\/)?(?:[^@\n]+@)?(?:www\.)?([^:\/\n]+)"")),"""")"),"mystayathomeadventures.com")</f>
        <v>mystayathomeadventures.com</v>
      </c>
      <c r="E476" s="26" t="str">
        <f ca="1">IFERROR(__xludf.DUMMYFUNCTION("""COMPUTED_VALUE"""),"Already Exists")</f>
        <v>Already Exists</v>
      </c>
      <c r="F476" s="27">
        <v>40</v>
      </c>
      <c r="G476" s="27">
        <v>2282</v>
      </c>
    </row>
    <row r="477" spans="1:16" ht="12.5" hidden="1">
      <c r="A477" s="3" t="s">
        <v>38</v>
      </c>
      <c r="B477" s="12" t="s">
        <v>2802</v>
      </c>
      <c r="C477" s="56" t="s">
        <v>3666</v>
      </c>
      <c r="D477" s="41" t="str">
        <f ca="1">IFERROR(__xludf.DUMMYFUNCTION("IFERROR(ARRAYFORMULA(REGEXEXTRACT(C477,""^(?:https?:\/\/)?(?:[^@\n]+@)?(?:www\.)?([^:\/\n]+)"")),"""")"),"whipperberry.com")</f>
        <v>whipperberry.com</v>
      </c>
      <c r="E477" s="26" t="str">
        <f ca="1">IFERROR(__xludf.DUMMYFUNCTION("""COMPUTED_VALUE"""),"Already Exists")</f>
        <v>Already Exists</v>
      </c>
      <c r="F477" s="27">
        <v>53</v>
      </c>
      <c r="G477" s="27">
        <v>1441</v>
      </c>
      <c r="H477" s="27" t="s">
        <v>3667</v>
      </c>
      <c r="I477" s="27" t="s">
        <v>3668</v>
      </c>
      <c r="N477" s="48">
        <v>46030</v>
      </c>
      <c r="P477" s="27" t="s">
        <v>3201</v>
      </c>
    </row>
    <row r="478" spans="1:16" ht="12.5">
      <c r="A478" s="3" t="s">
        <v>38</v>
      </c>
      <c r="B478" s="12" t="s">
        <v>2802</v>
      </c>
      <c r="C478" s="8" t="s">
        <v>3669</v>
      </c>
      <c r="D478" s="41" t="str">
        <f ca="1">IFERROR(__xludf.DUMMYFUNCTION("IFERROR(ARRAYFORMULA(REGEXEXTRACT(C478,""^(?:https?:\/\/)?(?:[^@\n]+@)?(?:www\.)?([^:\/\n]+)"")),"""")"),"mirrorreview.com")</f>
        <v>mirrorreview.com</v>
      </c>
      <c r="E478" s="26" t="str">
        <f ca="1">IFERROR(__xludf.DUMMYFUNCTION("""COMPUTED_VALUE"""),"New")</f>
        <v>New</v>
      </c>
      <c r="F478" s="27">
        <v>68</v>
      </c>
      <c r="G478" s="27">
        <v>6574</v>
      </c>
      <c r="P478" s="26"/>
    </row>
    <row r="479" spans="1:16" ht="12.5" hidden="1">
      <c r="A479" s="3" t="s">
        <v>38</v>
      </c>
      <c r="B479" s="12" t="s">
        <v>2802</v>
      </c>
      <c r="C479" s="8" t="s">
        <v>3670</v>
      </c>
      <c r="D479" s="41" t="str">
        <f ca="1">IFERROR(__xludf.DUMMYFUNCTION("IFERROR(ARRAYFORMULA(REGEXEXTRACT(C479,""^(?:https?:\/\/)?(?:[^@\n]+@)?(?:www\.)?([^:\/\n]+)"")),"""")"),"opplehouse.com")</f>
        <v>opplehouse.com</v>
      </c>
      <c r="E479" s="26" t="str">
        <f ca="1">IFERROR(__xludf.DUMMYFUNCTION("""COMPUTED_VALUE"""),"Already Exists")</f>
        <v>Already Exists</v>
      </c>
      <c r="F479" s="27">
        <v>59</v>
      </c>
      <c r="G479" s="27">
        <v>5921</v>
      </c>
    </row>
    <row r="480" spans="1:16" ht="12.5" hidden="1">
      <c r="A480" s="3" t="s">
        <v>38</v>
      </c>
      <c r="B480" s="12" t="s">
        <v>2802</v>
      </c>
      <c r="C480" s="56" t="s">
        <v>3671</v>
      </c>
      <c r="D480" s="41" t="str">
        <f ca="1">IFERROR(__xludf.DUMMYFUNCTION("IFERROR(ARRAYFORMULA(REGEXEXTRACT(C480,""^(?:https?:\/\/)?(?:[^@\n]+@)?(?:www\.)?([^:\/\n]+)"")),"""")"),"crazylaura.com")</f>
        <v>crazylaura.com</v>
      </c>
      <c r="E480" s="26" t="str">
        <f ca="1">IFERROR(__xludf.DUMMYFUNCTION("""COMPUTED_VALUE"""),"Already Exists")</f>
        <v>Already Exists</v>
      </c>
      <c r="F480" s="27">
        <v>37</v>
      </c>
      <c r="G480" s="27">
        <v>2161</v>
      </c>
      <c r="H480" s="27" t="s">
        <v>3672</v>
      </c>
      <c r="J480" s="27" t="s">
        <v>3673</v>
      </c>
      <c r="M480" s="27" t="s">
        <v>3117</v>
      </c>
      <c r="N480" s="48">
        <v>46030</v>
      </c>
      <c r="P480" s="27" t="s">
        <v>3201</v>
      </c>
    </row>
    <row r="481" spans="1:16" ht="12.5">
      <c r="A481" s="3" t="s">
        <v>38</v>
      </c>
      <c r="B481" s="12" t="s">
        <v>2802</v>
      </c>
      <c r="C481" s="8" t="s">
        <v>3674</v>
      </c>
      <c r="D481" s="41" t="str">
        <f ca="1">IFERROR(__xludf.DUMMYFUNCTION("IFERROR(ARRAYFORMULA(REGEXEXTRACT(C481,""^(?:https?:\/\/)?(?:[^@\n]+@)?(?:www\.)?([^:\/\n]+)"")),"""")"),"balto.ai")</f>
        <v>balto.ai</v>
      </c>
      <c r="E481" s="26" t="str">
        <f ca="1">IFERROR(__xludf.DUMMYFUNCTION("""COMPUTED_VALUE"""),"New")</f>
        <v>New</v>
      </c>
      <c r="F481" s="27">
        <v>58</v>
      </c>
      <c r="G481" s="27">
        <v>8222</v>
      </c>
      <c r="P481" s="26"/>
    </row>
    <row r="482" spans="1:16" ht="12.5">
      <c r="A482" s="3" t="s">
        <v>38</v>
      </c>
      <c r="B482" s="12" t="s">
        <v>2802</v>
      </c>
      <c r="C482" s="11" t="s">
        <v>3675</v>
      </c>
      <c r="D482" s="41" t="str">
        <f ca="1">IFERROR(__xludf.DUMMYFUNCTION("IFERROR(ARRAYFORMULA(REGEXEXTRACT(C482,""^(?:https?:\/\/)?(?:[^@\n]+@)?(?:www\.)?([^:\/\n]+)"")),"""")"),"luxurybath.com")</f>
        <v>luxurybath.com</v>
      </c>
      <c r="E482" s="26" t="str">
        <f ca="1">IFERROR(__xludf.DUMMYFUNCTION("""COMPUTED_VALUE"""),"New")</f>
        <v>New</v>
      </c>
      <c r="F482" s="27">
        <v>40</v>
      </c>
      <c r="G482" s="27">
        <v>3294</v>
      </c>
      <c r="H482" s="27" t="s">
        <v>3676</v>
      </c>
      <c r="I482" s="27" t="s">
        <v>3677</v>
      </c>
      <c r="M482" s="27" t="s">
        <v>3117</v>
      </c>
      <c r="N482" s="48">
        <v>46030</v>
      </c>
      <c r="O482" s="48">
        <v>46069</v>
      </c>
      <c r="P482" s="26"/>
    </row>
    <row r="483" spans="1:16" ht="12.5" hidden="1">
      <c r="A483" s="3" t="s">
        <v>38</v>
      </c>
      <c r="B483" s="12" t="s">
        <v>2802</v>
      </c>
      <c r="C483" s="56" t="s">
        <v>3678</v>
      </c>
      <c r="D483" s="41" t="str">
        <f ca="1">IFERROR(__xludf.DUMMYFUNCTION("IFERROR(ARRAYFORMULA(REGEXEXTRACT(C483,""^(?:https?:\/\/)?(?:[^@\n]+@)?(?:www\.)?([^:\/\n]+)"")),"""")"),"agirlworthsaving.net")</f>
        <v>agirlworthsaving.net</v>
      </c>
      <c r="E483" s="26" t="str">
        <f ca="1">IFERROR(__xludf.DUMMYFUNCTION("""COMPUTED_VALUE"""),"Already Exists")</f>
        <v>Already Exists</v>
      </c>
      <c r="F483" s="27">
        <v>48</v>
      </c>
      <c r="G483" s="27">
        <v>1381</v>
      </c>
      <c r="H483" s="27" t="s">
        <v>3679</v>
      </c>
      <c r="J483" s="27" t="s">
        <v>3680</v>
      </c>
      <c r="M483" s="27" t="s">
        <v>3117</v>
      </c>
      <c r="N483" s="48">
        <v>46030</v>
      </c>
      <c r="P483" s="27" t="s">
        <v>3201</v>
      </c>
    </row>
    <row r="484" spans="1:16" ht="12.5" hidden="1">
      <c r="A484" s="3" t="s">
        <v>38</v>
      </c>
      <c r="B484" s="12" t="s">
        <v>2802</v>
      </c>
      <c r="C484" s="8" t="s">
        <v>3681</v>
      </c>
      <c r="D484" s="41" t="str">
        <f ca="1">IFERROR(__xludf.DUMMYFUNCTION("IFERROR(ARRAYFORMULA(REGEXEXTRACT(C484,""^(?:https?:\/\/)?(?:[^@\n]+@)?(?:www\.)?([^:\/\n]+)"")),"""")"),"enthrallinggumption.com")</f>
        <v>enthrallinggumption.com</v>
      </c>
      <c r="E484" s="26" t="str">
        <f ca="1">IFERROR(__xludf.DUMMYFUNCTION("""COMPUTED_VALUE"""),"Already Exists")</f>
        <v>Already Exists</v>
      </c>
      <c r="F484" s="27">
        <v>54</v>
      </c>
      <c r="G484" s="27">
        <v>21961</v>
      </c>
    </row>
    <row r="485" spans="1:16" ht="14">
      <c r="A485" s="3" t="s">
        <v>38</v>
      </c>
      <c r="B485" s="12" t="s">
        <v>2802</v>
      </c>
      <c r="C485" s="8" t="s">
        <v>3682</v>
      </c>
      <c r="D485" s="41" t="str">
        <f ca="1">IFERROR(__xludf.DUMMYFUNCTION("IFERROR(ARRAYFORMULA(REGEXEXTRACT(C485,""^(?:https?:\/\/)?(?:[^@\n]+@)?(?:www\.)?([^:\/\n]+)"")),"""")"),"tangyhouse.com")</f>
        <v>tangyhouse.com</v>
      </c>
      <c r="E485" s="26" t="str">
        <f ca="1">IFERROR(__xludf.DUMMYFUNCTION("""COMPUTED_VALUE"""),"New")</f>
        <v>New</v>
      </c>
      <c r="F485" s="27">
        <v>42</v>
      </c>
      <c r="G485" s="27">
        <v>4834</v>
      </c>
      <c r="J485" s="64"/>
      <c r="P485" s="26"/>
    </row>
    <row r="486" spans="1:16" ht="12.5" hidden="1">
      <c r="A486" s="3" t="s">
        <v>38</v>
      </c>
      <c r="B486" s="12" t="s">
        <v>2802</v>
      </c>
      <c r="C486" s="8" t="s">
        <v>3683</v>
      </c>
      <c r="D486" s="41" t="str">
        <f ca="1">IFERROR(__xludf.DUMMYFUNCTION("IFERROR(ARRAYFORMULA(REGEXEXTRACT(C486,""^(?:https?:\/\/)?(?:[^@\n]+@)?(?:www\.)?([^:\/\n]+)"")),"""")"),"mossandfog.com")</f>
        <v>mossandfog.com</v>
      </c>
      <c r="E486" s="26" t="str">
        <f ca="1">IFERROR(__xludf.DUMMYFUNCTION("""COMPUTED_VALUE"""),"Already Exists")</f>
        <v>Already Exists</v>
      </c>
      <c r="F486" s="27">
        <v>53</v>
      </c>
      <c r="G486" s="27">
        <v>1843</v>
      </c>
    </row>
    <row r="487" spans="1:16" ht="12.5">
      <c r="A487" s="3" t="s">
        <v>38</v>
      </c>
      <c r="B487" s="12" t="s">
        <v>2802</v>
      </c>
      <c r="C487" s="8" t="s">
        <v>3684</v>
      </c>
      <c r="D487" s="41" t="str">
        <f ca="1">IFERROR(__xludf.DUMMYFUNCTION("IFERROR(ARRAYFORMULA(REGEXEXTRACT(C487,""^(?:https?:\/\/)?(?:[^@\n]+@)?(?:www\.)?([^:\/\n]+)"")),"""")"),"kalamazoohomepagemi.memberzone.com")</f>
        <v>kalamazoohomepagemi.memberzone.com</v>
      </c>
      <c r="E487" s="26" t="str">
        <f ca="1">IFERROR(__xludf.DUMMYFUNCTION("""COMPUTED_VALUE"""),"New")</f>
        <v>New</v>
      </c>
      <c r="F487" s="27">
        <v>62</v>
      </c>
      <c r="G487" s="27">
        <v>3964</v>
      </c>
      <c r="P487" s="26"/>
    </row>
    <row r="488" spans="1:16" ht="12.5">
      <c r="A488" s="3" t="s">
        <v>38</v>
      </c>
      <c r="B488" s="12" t="s">
        <v>2802</v>
      </c>
      <c r="C488" s="11" t="s">
        <v>3685</v>
      </c>
      <c r="D488" s="41" t="str">
        <f ca="1">IFERROR(__xludf.DUMMYFUNCTION("IFERROR(ARRAYFORMULA(REGEXEXTRACT(C488,""^(?:https?:\/\/)?(?:[^@\n]+@)?(?:www\.)?([^:\/\n]+)"")),"""")"),"hookedhome.com")</f>
        <v>hookedhome.com</v>
      </c>
      <c r="E488" s="26" t="str">
        <f ca="1">IFERROR(__xludf.DUMMYFUNCTION("""COMPUTED_VALUE"""),"New")</f>
        <v>New</v>
      </c>
      <c r="F488" s="27">
        <v>43</v>
      </c>
      <c r="G488" s="27">
        <v>2876</v>
      </c>
      <c r="H488" s="27" t="s">
        <v>3686</v>
      </c>
      <c r="I488" s="38" t="s">
        <v>3687</v>
      </c>
      <c r="M488" s="27" t="s">
        <v>3117</v>
      </c>
      <c r="N488" s="48">
        <v>46030</v>
      </c>
      <c r="P488" s="26"/>
    </row>
    <row r="489" spans="1:16" ht="12.5" hidden="1">
      <c r="A489" s="3" t="s">
        <v>38</v>
      </c>
      <c r="B489" s="12" t="s">
        <v>2802</v>
      </c>
      <c r="C489" s="8" t="s">
        <v>3688</v>
      </c>
      <c r="D489" s="41" t="str">
        <f ca="1">IFERROR(__xludf.DUMMYFUNCTION("IFERROR(ARRAYFORMULA(REGEXEXTRACT(C489,""^(?:https?:\/\/)?(?:[^@\n]+@)?(?:www\.)?([^:\/\n]+)"")),"""")"),"northiowatoday.com")</f>
        <v>northiowatoday.com</v>
      </c>
      <c r="E489" s="26" t="str">
        <f ca="1">IFERROR(__xludf.DUMMYFUNCTION("""COMPUTED_VALUE"""),"Already Exists")</f>
        <v>Already Exists</v>
      </c>
      <c r="F489" s="27">
        <v>41</v>
      </c>
      <c r="G489" s="27">
        <v>1043</v>
      </c>
    </row>
    <row r="490" spans="1:16" ht="12.5" hidden="1">
      <c r="A490" s="3" t="s">
        <v>38</v>
      </c>
      <c r="B490" s="12" t="s">
        <v>2802</v>
      </c>
      <c r="C490" s="8" t="s">
        <v>3689</v>
      </c>
      <c r="D490" s="41" t="str">
        <f ca="1">IFERROR(__xludf.DUMMYFUNCTION("IFERROR(ARRAYFORMULA(REGEXEXTRACT(C490,""^(?:https?:\/\/)?(?:[^@\n]+@)?(?:www\.)?([^:\/\n]+)"")),"""")"),"re-thinkingthefuture.com")</f>
        <v>re-thinkingthefuture.com</v>
      </c>
      <c r="E490" s="26" t="str">
        <f ca="1">IFERROR(__xludf.DUMMYFUNCTION("""COMPUTED_VALUE"""),"Already Exists")</f>
        <v>Already Exists</v>
      </c>
      <c r="F490" s="27">
        <v>75</v>
      </c>
      <c r="G490" s="27">
        <v>154904</v>
      </c>
    </row>
    <row r="491" spans="1:16" ht="12.5">
      <c r="A491" s="3" t="s">
        <v>38</v>
      </c>
      <c r="B491" s="12" t="s">
        <v>2802</v>
      </c>
      <c r="C491" s="8" t="s">
        <v>3690</v>
      </c>
      <c r="D491" s="41" t="str">
        <f ca="1">IFERROR(__xludf.DUMMYFUNCTION("IFERROR(ARRAYFORMULA(REGEXEXTRACT(C491,""^(?:https?:\/\/)?(?:[^@\n]+@)?(?:www\.)?([^:\/\n]+)"")),"""")"),"usehatchapp.com")</f>
        <v>usehatchapp.com</v>
      </c>
      <c r="E491" s="26" t="str">
        <f ca="1">IFERROR(__xludf.DUMMYFUNCTION("""COMPUTED_VALUE"""),"New")</f>
        <v>New</v>
      </c>
      <c r="F491" s="27">
        <v>72</v>
      </c>
      <c r="G491" s="27">
        <v>7985</v>
      </c>
      <c r="M491" s="65"/>
      <c r="P491" s="26"/>
    </row>
    <row r="492" spans="1:16" ht="12.5">
      <c r="A492" s="3" t="s">
        <v>38</v>
      </c>
      <c r="B492" s="12" t="s">
        <v>2802</v>
      </c>
      <c r="C492" s="8" t="s">
        <v>3691</v>
      </c>
      <c r="D492" s="41" t="str">
        <f ca="1">IFERROR(__xludf.DUMMYFUNCTION("IFERROR(ARRAYFORMULA(REGEXEXTRACT(C492,""^(?:https?:\/\/)?(?:[^@\n]+@)?(?:www\.)?([^:\/\n]+)"")),"""")"),"theorg.com")</f>
        <v>theorg.com</v>
      </c>
      <c r="E492" s="26" t="str">
        <f ca="1">IFERROR(__xludf.DUMMYFUNCTION("""COMPUTED_VALUE"""),"New")</f>
        <v>New</v>
      </c>
      <c r="F492" s="27">
        <v>75</v>
      </c>
      <c r="G492" s="27">
        <v>77242</v>
      </c>
      <c r="P492" s="26"/>
    </row>
    <row r="493" spans="1:16" ht="12.5" hidden="1">
      <c r="A493" s="3" t="s">
        <v>38</v>
      </c>
      <c r="B493" s="12" t="s">
        <v>2802</v>
      </c>
      <c r="C493" s="8" t="s">
        <v>3692</v>
      </c>
      <c r="D493" s="41" t="str">
        <f ca="1">IFERROR(__xludf.DUMMYFUNCTION("IFERROR(ARRAYFORMULA(REGEXEXTRACT(C493,""^(?:https?:\/\/)?(?:[^@\n]+@)?(?:www\.)?([^:\/\n]+)"")),"""")"),"s3da-design.com")</f>
        <v>s3da-design.com</v>
      </c>
      <c r="E493" s="26" t="str">
        <f ca="1">IFERROR(__xludf.DUMMYFUNCTION("""COMPUTED_VALUE"""),"Already Exists")</f>
        <v>Already Exists</v>
      </c>
      <c r="F493" s="27">
        <v>40</v>
      </c>
      <c r="G493" s="27">
        <v>1622</v>
      </c>
    </row>
    <row r="494" spans="1:16" ht="12.5">
      <c r="A494" s="3" t="s">
        <v>38</v>
      </c>
      <c r="B494" s="12" t="s">
        <v>2802</v>
      </c>
      <c r="C494" s="8" t="s">
        <v>3693</v>
      </c>
      <c r="D494" s="41" t="str">
        <f ca="1">IFERROR(__xludf.DUMMYFUNCTION("IFERROR(ARRAYFORMULA(REGEXEXTRACT(C494,""^(?:https?:\/\/)?(?:[^@\n]+@)?(?:www\.)?([^:\/\n]+)"")),"""")"),"womanaroundtown.com")</f>
        <v>womanaroundtown.com</v>
      </c>
      <c r="E494" s="26" t="str">
        <f ca="1">IFERROR(__xludf.DUMMYFUNCTION("""COMPUTED_VALUE"""),"New")</f>
        <v>New</v>
      </c>
      <c r="F494" s="27">
        <v>62</v>
      </c>
      <c r="G494" s="27">
        <v>3242</v>
      </c>
      <c r="P494" s="26"/>
    </row>
    <row r="495" spans="1:16" ht="12.5" hidden="1">
      <c r="A495" s="3" t="s">
        <v>38</v>
      </c>
      <c r="B495" s="12" t="s">
        <v>2802</v>
      </c>
      <c r="C495" s="8" t="s">
        <v>3694</v>
      </c>
      <c r="D495" s="41" t="str">
        <f ca="1">IFERROR(__xludf.DUMMYFUNCTION("IFERROR(ARRAYFORMULA(REGEXEXTRACT(C495,""^(?:https?:\/\/)?(?:[^@\n]+@)?(?:www\.)?([^:\/\n]+)"")),"""")"),"home-hearted.com")</f>
        <v>home-hearted.com</v>
      </c>
      <c r="E495" s="26" t="str">
        <f ca="1">IFERROR(__xludf.DUMMYFUNCTION("""COMPUTED_VALUE"""),"Already Exists")</f>
        <v>Already Exists</v>
      </c>
      <c r="F495" s="27">
        <v>67</v>
      </c>
      <c r="G495" s="27">
        <v>1741</v>
      </c>
    </row>
    <row r="496" spans="1:16" ht="12.5" hidden="1">
      <c r="A496" s="3" t="s">
        <v>38</v>
      </c>
      <c r="B496" s="12" t="s">
        <v>2802</v>
      </c>
      <c r="C496" s="8" t="s">
        <v>3695</v>
      </c>
      <c r="D496" s="41" t="str">
        <f ca="1">IFERROR(__xludf.DUMMYFUNCTION("IFERROR(ARRAYFORMULA(REGEXEXTRACT(C496,""^(?:https?:\/\/)?(?:[^@\n]+@)?(?:www\.)?([^:\/\n]+)"")),"""")"),"urbansplatter.com")</f>
        <v>urbansplatter.com</v>
      </c>
      <c r="E496" s="26" t="str">
        <f ca="1">IFERROR(__xludf.DUMMYFUNCTION("""COMPUTED_VALUE"""),"Already Exists")</f>
        <v>Already Exists</v>
      </c>
      <c r="F496" s="27">
        <v>62</v>
      </c>
      <c r="G496" s="27">
        <v>30090</v>
      </c>
    </row>
    <row r="497" spans="1:16" ht="12.5" hidden="1">
      <c r="A497" s="3" t="s">
        <v>38</v>
      </c>
      <c r="B497" s="12" t="s">
        <v>2802</v>
      </c>
      <c r="C497" s="8" t="s">
        <v>3696</v>
      </c>
      <c r="D497" s="41" t="str">
        <f ca="1">IFERROR(__xludf.DUMMYFUNCTION("IFERROR(ARRAYFORMULA(REGEXEXTRACT(C497,""^(?:https?:\/\/)?(?:[^@\n]+@)?(?:www\.)?([^:\/\n]+)"")),"""")"),"ccr-mag.com")</f>
        <v>ccr-mag.com</v>
      </c>
      <c r="E497" s="26" t="str">
        <f ca="1">IFERROR(__xludf.DUMMYFUNCTION("""COMPUTED_VALUE"""),"Already Exists")</f>
        <v>Already Exists</v>
      </c>
      <c r="F497" s="27">
        <v>63</v>
      </c>
      <c r="G497" s="27">
        <v>3142</v>
      </c>
    </row>
    <row r="498" spans="1:16" ht="12.5">
      <c r="A498" s="3" t="s">
        <v>38</v>
      </c>
      <c r="B498" s="12" t="s">
        <v>2802</v>
      </c>
      <c r="C498" s="8" t="s">
        <v>3697</v>
      </c>
      <c r="D498" s="41" t="str">
        <f ca="1">IFERROR(__xludf.DUMMYFUNCTION("IFERROR(ARRAYFORMULA(REGEXEXTRACT(C498,""^(?:https?:\/\/)?(?:[^@\n]+@)?(?:www\.)?([^:\/\n]+)"")),"""")"),"sales.superagi.com")</f>
        <v>sales.superagi.com</v>
      </c>
      <c r="E498" s="26" t="str">
        <f ca="1">IFERROR(__xludf.DUMMYFUNCTION("""COMPUTED_VALUE"""),"New")</f>
        <v>New</v>
      </c>
      <c r="F498" s="27">
        <v>73</v>
      </c>
      <c r="G498" s="27">
        <v>11714</v>
      </c>
      <c r="P498" s="26"/>
    </row>
    <row r="499" spans="1:16" ht="12.5" hidden="1">
      <c r="A499" s="3" t="s">
        <v>38</v>
      </c>
      <c r="B499" s="12" t="s">
        <v>2802</v>
      </c>
      <c r="C499" s="8" t="s">
        <v>3698</v>
      </c>
      <c r="D499" s="41" t="str">
        <f ca="1">IFERROR(__xludf.DUMMYFUNCTION("IFERROR(ARRAYFORMULA(REGEXEXTRACT(C499,""^(?:https?:\/\/)?(?:[^@\n]+@)?(?:www\.)?([^:\/\n]+)"")),"""")"),"finehomesandliving.com")</f>
        <v>finehomesandliving.com</v>
      </c>
      <c r="E499" s="26" t="str">
        <f ca="1">IFERROR(__xludf.DUMMYFUNCTION("""COMPUTED_VALUE"""),"Already Exists")</f>
        <v>Already Exists</v>
      </c>
      <c r="F499" s="27">
        <v>61</v>
      </c>
      <c r="G499" s="27">
        <v>3916</v>
      </c>
    </row>
    <row r="500" spans="1:16" ht="12.5" hidden="1">
      <c r="A500" s="3" t="s">
        <v>38</v>
      </c>
      <c r="B500" s="12" t="s">
        <v>2802</v>
      </c>
      <c r="C500" s="8" t="s">
        <v>3699</v>
      </c>
      <c r="D500" s="41" t="str">
        <f ca="1">IFERROR(__xludf.DUMMYFUNCTION("IFERROR(ARRAYFORMULA(REGEXEXTRACT(C500,""^(?:https?:\/\/)?(?:[^@\n]+@)?(?:www\.)?([^:\/\n]+)"")),"""")"),"homelovr.com")</f>
        <v>homelovr.com</v>
      </c>
      <c r="E500" s="26" t="str">
        <f ca="1">IFERROR(__xludf.DUMMYFUNCTION("""COMPUTED_VALUE"""),"Already Exists")</f>
        <v>Already Exists</v>
      </c>
      <c r="F500" s="27">
        <v>34</v>
      </c>
      <c r="G500" s="27">
        <v>8869</v>
      </c>
    </row>
    <row r="501" spans="1:16" ht="12.5" hidden="1">
      <c r="A501" s="3" t="s">
        <v>38</v>
      </c>
      <c r="B501" s="12" t="s">
        <v>2802</v>
      </c>
      <c r="C501" s="8" t="s">
        <v>3700</v>
      </c>
      <c r="D501" s="41" t="str">
        <f ca="1">IFERROR(__xludf.DUMMYFUNCTION("IFERROR(ARRAYFORMULA(REGEXEXTRACT(C501,""^(?:https?:\/\/)?(?:[^@\n]+@)?(?:www\.)?([^:\/\n]+)"")),"""")"),"e-architect.com")</f>
        <v>e-architect.com</v>
      </c>
      <c r="E501" s="26" t="str">
        <f ca="1">IFERROR(__xludf.DUMMYFUNCTION("""COMPUTED_VALUE"""),"Already Exists")</f>
        <v>Already Exists</v>
      </c>
      <c r="F501" s="27">
        <v>73</v>
      </c>
      <c r="G501" s="27">
        <v>2683</v>
      </c>
    </row>
    <row r="502" spans="1:16" ht="12.5" hidden="1">
      <c r="A502" s="3" t="s">
        <v>38</v>
      </c>
      <c r="B502" s="12" t="s">
        <v>2802</v>
      </c>
      <c r="C502" s="8" t="s">
        <v>3701</v>
      </c>
      <c r="D502" s="41" t="str">
        <f ca="1">IFERROR(__xludf.DUMMYFUNCTION("IFERROR(ARRAYFORMULA(REGEXEXTRACT(C502,""^(?:https?:\/\/)?(?:[^@\n]+@)?(?:www\.)?([^:\/\n]+)"")),"""")"),"forgetfulmomma.com")</f>
        <v>forgetfulmomma.com</v>
      </c>
      <c r="E502" s="26" t="str">
        <f ca="1">IFERROR(__xludf.DUMMYFUNCTION("""COMPUTED_VALUE"""),"Already Exists")</f>
        <v>Already Exists</v>
      </c>
      <c r="F502" s="27">
        <v>26</v>
      </c>
      <c r="G502" s="27">
        <v>5971</v>
      </c>
    </row>
    <row r="503" spans="1:16" ht="12.5" hidden="1">
      <c r="A503" s="3" t="s">
        <v>38</v>
      </c>
      <c r="B503" s="12" t="s">
        <v>2802</v>
      </c>
      <c r="C503" s="8" t="s">
        <v>3702</v>
      </c>
      <c r="D503" s="41" t="str">
        <f ca="1">IFERROR(__xludf.DUMMYFUNCTION("IFERROR(ARRAYFORMULA(REGEXEXTRACT(C503,""^(?:https?:\/\/)?(?:[^@\n]+@)?(?:www\.)?([^:\/\n]+)"")),"""")"),"cuindependent.com")</f>
        <v>cuindependent.com</v>
      </c>
      <c r="E503" s="26" t="str">
        <f ca="1">IFERROR(__xludf.DUMMYFUNCTION("""COMPUTED_VALUE"""),"Already Exists")</f>
        <v>Already Exists</v>
      </c>
      <c r="F503" s="27">
        <v>50</v>
      </c>
      <c r="G503" s="27">
        <v>38822</v>
      </c>
    </row>
    <row r="504" spans="1:16" ht="12.5" hidden="1">
      <c r="A504" s="3" t="s">
        <v>38</v>
      </c>
      <c r="B504" s="12" t="s">
        <v>2802</v>
      </c>
      <c r="C504" s="8" t="s">
        <v>3703</v>
      </c>
      <c r="D504" s="41" t="str">
        <f ca="1">IFERROR(__xludf.DUMMYFUNCTION("IFERROR(ARRAYFORMULA(REGEXEXTRACT(C504,""^(?:https?:\/\/)?(?:[^@\n]+@)?(?:www\.)?([^:\/\n]+)"")),"""")"),"metapress.com")</f>
        <v>metapress.com</v>
      </c>
      <c r="E504" s="26" t="str">
        <f ca="1">IFERROR(__xludf.DUMMYFUNCTION("""COMPUTED_VALUE"""),"Already Exists")</f>
        <v>Already Exists</v>
      </c>
      <c r="F504" s="27">
        <v>80</v>
      </c>
      <c r="G504" s="27">
        <v>18079</v>
      </c>
    </row>
    <row r="505" spans="1:16" ht="12.5" hidden="1">
      <c r="A505" s="3" t="s">
        <v>38</v>
      </c>
      <c r="B505" s="12" t="s">
        <v>2802</v>
      </c>
      <c r="C505" s="8" t="s">
        <v>3704</v>
      </c>
      <c r="D505" s="41" t="str">
        <f ca="1">IFERROR(__xludf.DUMMYFUNCTION("IFERROR(ARRAYFORMULA(REGEXEXTRACT(C505,""^(?:https?:\/\/)?(?:[^@\n]+@)?(?:www\.)?([^:\/\n]+)"")),"""")"),"luxurylifestyle.com")</f>
        <v>luxurylifestyle.com</v>
      </c>
      <c r="E505" s="26" t="str">
        <f ca="1">IFERROR(__xludf.DUMMYFUNCTION("""COMPUTED_VALUE"""),"Already Exists")</f>
        <v>Already Exists</v>
      </c>
      <c r="F505" s="27">
        <v>48</v>
      </c>
      <c r="G505" s="27">
        <v>1816</v>
      </c>
    </row>
    <row r="506" spans="1:16" ht="12.5" hidden="1">
      <c r="A506" s="3" t="s">
        <v>38</v>
      </c>
      <c r="B506" s="12" t="s">
        <v>2802</v>
      </c>
      <c r="C506" s="8" t="s">
        <v>3705</v>
      </c>
      <c r="D506" s="41" t="str">
        <f ca="1">IFERROR(__xludf.DUMMYFUNCTION("IFERROR(ARRAYFORMULA(REGEXEXTRACT(C506,""^(?:https?:\/\/)?(?:[^@\n]+@)?(?:www\.)?([^:\/\n]+)"")),"""")"),"todays-woman.net")</f>
        <v>todays-woman.net</v>
      </c>
      <c r="E506" s="26" t="str">
        <f ca="1">IFERROR(__xludf.DUMMYFUNCTION("""COMPUTED_VALUE"""),"Already Exists")</f>
        <v>Already Exists</v>
      </c>
      <c r="F506" s="27">
        <v>38</v>
      </c>
      <c r="G506" s="27">
        <v>3025</v>
      </c>
    </row>
    <row r="507" spans="1:16" ht="12.5" hidden="1">
      <c r="A507" s="3" t="s">
        <v>38</v>
      </c>
      <c r="B507" s="12" t="s">
        <v>2802</v>
      </c>
      <c r="C507" s="8" t="s">
        <v>3706</v>
      </c>
      <c r="D507" s="41" t="str">
        <f ca="1">IFERROR(__xludf.DUMMYFUNCTION("IFERROR(ARRAYFORMULA(REGEXEXTRACT(C507,""^(?:https?:\/\/)?(?:[^@\n]+@)?(?:www\.)?([^:\/\n]+)"")),"""")"),"justluxe.com")</f>
        <v>justluxe.com</v>
      </c>
      <c r="E507" s="26" t="str">
        <f ca="1">IFERROR(__xludf.DUMMYFUNCTION("""COMPUTED_VALUE"""),"Already Exists")</f>
        <v>Already Exists</v>
      </c>
      <c r="F507" s="27">
        <v>72</v>
      </c>
      <c r="G507" s="27">
        <v>8212</v>
      </c>
    </row>
    <row r="508" spans="1:16" ht="12.5">
      <c r="A508" s="3" t="s">
        <v>38</v>
      </c>
      <c r="B508" s="12" t="s">
        <v>2802</v>
      </c>
      <c r="C508" s="8" t="s">
        <v>3707</v>
      </c>
      <c r="D508" s="41" t="str">
        <f ca="1">IFERROR(__xludf.DUMMYFUNCTION("IFERROR(ARRAYFORMULA(REGEXEXTRACT(C508,""^(?:https?:\/\/)?(?:[^@\n]+@)?(?:www\.)?([^:\/\n]+)"")),"""")"),"clodura.ai")</f>
        <v>clodura.ai</v>
      </c>
      <c r="E508" s="26" t="str">
        <f ca="1">IFERROR(__xludf.DUMMYFUNCTION("""COMPUTED_VALUE"""),"New")</f>
        <v>New</v>
      </c>
      <c r="F508" s="27">
        <v>62</v>
      </c>
      <c r="G508" s="27">
        <v>2634</v>
      </c>
      <c r="P508" s="26"/>
    </row>
    <row r="509" spans="1:16" ht="12.5">
      <c r="A509" s="3" t="s">
        <v>38</v>
      </c>
      <c r="B509" s="12" t="s">
        <v>2802</v>
      </c>
      <c r="C509" s="8" t="s">
        <v>3708</v>
      </c>
      <c r="D509" s="41" t="str">
        <f ca="1">IFERROR(__xludf.DUMMYFUNCTION("IFERROR(ARRAYFORMULA(REGEXEXTRACT(C509,""^(?:https?:\/\/)?(?:[^@\n]+@)?(?:www\.)?([^:\/\n]+)"")),"""")"),"partnerbase.com")</f>
        <v>partnerbase.com</v>
      </c>
      <c r="E509" s="26" t="str">
        <f ca="1">IFERROR(__xludf.DUMMYFUNCTION("""COMPUTED_VALUE"""),"New")</f>
        <v>New</v>
      </c>
      <c r="F509" s="27">
        <v>44</v>
      </c>
      <c r="G509" s="27">
        <v>3342</v>
      </c>
      <c r="P509" s="26"/>
    </row>
    <row r="510" spans="1:16" ht="12.5">
      <c r="A510" s="3" t="s">
        <v>38</v>
      </c>
      <c r="B510" s="12" t="s">
        <v>2802</v>
      </c>
      <c r="C510" s="8" t="s">
        <v>3709</v>
      </c>
      <c r="D510" s="41" t="str">
        <f ca="1">IFERROR(__xludf.DUMMYFUNCTION("IFERROR(ARRAYFORMULA(REGEXEXTRACT(C510,""^(?:https?:\/\/)?(?:[^@\n]+@)?(?:www\.)?([^:\/\n]+)"")),"""")"),"business.brightoncoc.org")</f>
        <v>business.brightoncoc.org</v>
      </c>
      <c r="E510" s="26" t="str">
        <f ca="1">IFERROR(__xludf.DUMMYFUNCTION("""COMPUTED_VALUE"""),"New")</f>
        <v>New</v>
      </c>
      <c r="F510" s="27">
        <v>48</v>
      </c>
      <c r="G510" s="27">
        <v>2918</v>
      </c>
      <c r="P510" s="26"/>
    </row>
    <row r="511" spans="1:16" ht="12.5" hidden="1">
      <c r="A511" s="3" t="s">
        <v>38</v>
      </c>
      <c r="B511" s="12" t="s">
        <v>2802</v>
      </c>
      <c r="C511" s="8" t="s">
        <v>3710</v>
      </c>
      <c r="D511" s="41" t="str">
        <f ca="1">IFERROR(__xludf.DUMMYFUNCTION("IFERROR(ARRAYFORMULA(REGEXEXTRACT(C511,""^(?:https?:\/\/)?(?:[^@\n]+@)?(?:www\.)?([^:\/\n]+)"")),"""")"),"theinspirationedit.com")</f>
        <v>theinspirationedit.com</v>
      </c>
      <c r="E511" s="26" t="str">
        <f ca="1">IFERROR(__xludf.DUMMYFUNCTION("""COMPUTED_VALUE"""),"Already Exists")</f>
        <v>Already Exists</v>
      </c>
      <c r="F511" s="27">
        <v>56</v>
      </c>
      <c r="G511" s="27">
        <v>9727</v>
      </c>
    </row>
    <row r="512" spans="1:16" ht="12.5">
      <c r="A512" s="3" t="s">
        <v>38</v>
      </c>
      <c r="B512" s="12" t="s">
        <v>2802</v>
      </c>
      <c r="C512" s="8" t="s">
        <v>3711</v>
      </c>
      <c r="D512" s="41" t="str">
        <f ca="1">IFERROR(__xludf.DUMMYFUNCTION("IFERROR(ARRAYFORMULA(REGEXEXTRACT(C512,""^(?:https?:\/\/)?(?:[^@\n]+@)?(?:www\.)?([^:\/\n]+)"")),"""")"),"milwaukeenariwiassoc.weblinkconnect.com")</f>
        <v>milwaukeenariwiassoc.weblinkconnect.com</v>
      </c>
      <c r="E512" s="26" t="str">
        <f ca="1">IFERROR(__xludf.DUMMYFUNCTION("""COMPUTED_VALUE"""),"New")</f>
        <v>New</v>
      </c>
      <c r="F512" s="27">
        <v>71</v>
      </c>
      <c r="G512" s="27">
        <v>9056</v>
      </c>
      <c r="P512" s="26"/>
    </row>
    <row r="513" spans="1:16" ht="12.5" hidden="1">
      <c r="A513" s="3" t="s">
        <v>38</v>
      </c>
      <c r="B513" s="12" t="s">
        <v>2802</v>
      </c>
      <c r="C513" s="56" t="s">
        <v>3712</v>
      </c>
      <c r="D513" s="41" t="str">
        <f ca="1">IFERROR(__xludf.DUMMYFUNCTION("IFERROR(ARRAYFORMULA(REGEXEXTRACT(C513,""^(?:https?:\/\/)?(?:[^@\n]+@)?(?:www\.)?([^:\/\n]+)"")),"""")"),"suziethefoodie.com")</f>
        <v>suziethefoodie.com</v>
      </c>
      <c r="E513" s="26" t="str">
        <f ca="1">IFERROR(__xludf.DUMMYFUNCTION("""COMPUTED_VALUE"""),"Already Exists")</f>
        <v>Already Exists</v>
      </c>
      <c r="F513" s="27">
        <v>53</v>
      </c>
      <c r="G513" s="27">
        <v>38049</v>
      </c>
      <c r="H513" s="27" t="s">
        <v>3713</v>
      </c>
      <c r="I513" s="27" t="s">
        <v>3714</v>
      </c>
      <c r="M513" s="27" t="s">
        <v>3715</v>
      </c>
      <c r="N513" s="48">
        <v>46030</v>
      </c>
      <c r="P513" s="27" t="s">
        <v>3201</v>
      </c>
    </row>
    <row r="514" spans="1:16" ht="12.5" hidden="1">
      <c r="A514" s="3" t="s">
        <v>38</v>
      </c>
      <c r="B514" s="12" t="s">
        <v>2802</v>
      </c>
      <c r="C514" s="56" t="s">
        <v>3716</v>
      </c>
      <c r="D514" s="41" t="str">
        <f ca="1">IFERROR(__xludf.DUMMYFUNCTION("IFERROR(ARRAYFORMULA(REGEXEXTRACT(C514,""^(?:https?:\/\/)?(?:[^@\n]+@)?(?:www\.)?([^:\/\n]+)"")),"""")"),"jupiterhadley.com")</f>
        <v>jupiterhadley.com</v>
      </c>
      <c r="E514" s="26" t="str">
        <f ca="1">IFERROR(__xludf.DUMMYFUNCTION("""COMPUTED_VALUE"""),"Already Exists")</f>
        <v>Already Exists</v>
      </c>
      <c r="F514" s="27">
        <v>37</v>
      </c>
      <c r="G514" s="27">
        <v>4410</v>
      </c>
      <c r="H514" s="27" t="s">
        <v>3717</v>
      </c>
      <c r="I514" s="27" t="s">
        <v>3718</v>
      </c>
      <c r="M514" s="27" t="s">
        <v>3715</v>
      </c>
      <c r="N514" s="48">
        <v>46030</v>
      </c>
      <c r="P514" s="27" t="s">
        <v>3201</v>
      </c>
    </row>
    <row r="515" spans="1:16" ht="12.5" hidden="1">
      <c r="A515" s="3" t="s">
        <v>38</v>
      </c>
      <c r="B515" s="12" t="s">
        <v>2802</v>
      </c>
      <c r="C515" s="56" t="s">
        <v>3719</v>
      </c>
      <c r="D515" s="41" t="str">
        <f ca="1">IFERROR(__xludf.DUMMYFUNCTION("IFERROR(ARRAYFORMULA(REGEXEXTRACT(C515,""^(?:https?:\/\/)?(?:[^@\n]+@)?(?:www\.)?([^:\/\n]+)"")),"""")"),"wisconsinmommy.com")</f>
        <v>wisconsinmommy.com</v>
      </c>
      <c r="E515" s="26" t="str">
        <f ca="1">IFERROR(__xludf.DUMMYFUNCTION("""COMPUTED_VALUE"""),"Already Exists")</f>
        <v>Already Exists</v>
      </c>
      <c r="F515" s="27">
        <v>34</v>
      </c>
      <c r="G515" s="27">
        <v>2315</v>
      </c>
      <c r="H515" s="27" t="s">
        <v>3720</v>
      </c>
      <c r="I515" s="27" t="s">
        <v>3721</v>
      </c>
      <c r="M515" s="27" t="s">
        <v>3715</v>
      </c>
      <c r="N515" s="48">
        <v>46030</v>
      </c>
      <c r="P515" s="27" t="s">
        <v>3201</v>
      </c>
    </row>
    <row r="516" spans="1:16" ht="12.5">
      <c r="A516" s="3" t="s">
        <v>38</v>
      </c>
      <c r="B516" s="12" t="s">
        <v>2802</v>
      </c>
      <c r="C516" s="8" t="s">
        <v>3722</v>
      </c>
      <c r="D516" s="41" t="str">
        <f ca="1">IFERROR(__xludf.DUMMYFUNCTION("IFERROR(ARRAYFORMULA(REGEXEXTRACT(C516,""^(?:https?:\/\/)?(?:[^@\n]+@)?(?:www\.)?([^:\/\n]+)"")),"""")"),"local.dailyherald.com")</f>
        <v>local.dailyherald.com</v>
      </c>
      <c r="E516" s="26" t="str">
        <f ca="1">IFERROR(__xludf.DUMMYFUNCTION("""COMPUTED_VALUE"""),"New")</f>
        <v>New</v>
      </c>
      <c r="F516" s="27">
        <v>81</v>
      </c>
      <c r="G516" s="27">
        <v>48417</v>
      </c>
      <c r="P516" s="26"/>
    </row>
    <row r="517" spans="1:16" ht="12.5">
      <c r="A517" s="3" t="s">
        <v>38</v>
      </c>
      <c r="B517" s="12" t="s">
        <v>2802</v>
      </c>
      <c r="C517" s="8" t="s">
        <v>3723</v>
      </c>
      <c r="D517" s="41" t="str">
        <f ca="1">IFERROR(__xludf.DUMMYFUNCTION("IFERROR(ARRAYFORMULA(REGEXEXTRACT(C517,""^(?:https?:\/\/)?(?:[^@\n]+@)?(?:www\.)?([^:\/\n]+)"")),"""")"),"reviews.birdeye.com")</f>
        <v>reviews.birdeye.com</v>
      </c>
      <c r="E517" s="26" t="str">
        <f ca="1">IFERROR(__xludf.DUMMYFUNCTION("""COMPUTED_VALUE"""),"New")</f>
        <v>New</v>
      </c>
      <c r="F517" s="27">
        <v>85</v>
      </c>
      <c r="G517" s="27">
        <v>374741</v>
      </c>
      <c r="P517" s="26"/>
    </row>
    <row r="518" spans="1:16" ht="12.5" hidden="1">
      <c r="A518" s="3" t="s">
        <v>38</v>
      </c>
      <c r="B518" s="12" t="s">
        <v>2802</v>
      </c>
      <c r="C518" s="8" t="s">
        <v>3724</v>
      </c>
      <c r="D518" s="41" t="str">
        <f ca="1">IFERROR(__xludf.DUMMYFUNCTION("IFERROR(ARRAYFORMULA(REGEXEXTRACT(C518,""^(?:https?:\/\/)?(?:[^@\n]+@)?(?:www\.)?([^:\/\n]+)"")),"""")"),"livepositively.com")</f>
        <v>livepositively.com</v>
      </c>
      <c r="E518" s="26" t="str">
        <f ca="1">IFERROR(__xludf.DUMMYFUNCTION("""COMPUTED_VALUE"""),"Already Exists")</f>
        <v>Already Exists</v>
      </c>
      <c r="F518" s="27">
        <v>73</v>
      </c>
      <c r="G518" s="27">
        <v>26606</v>
      </c>
    </row>
    <row r="519" spans="1:16" ht="12.5">
      <c r="A519" s="3" t="s">
        <v>38</v>
      </c>
      <c r="B519" s="12" t="s">
        <v>2802</v>
      </c>
      <c r="C519" s="8" t="s">
        <v>3725</v>
      </c>
      <c r="D519" s="41" t="str">
        <f ca="1">IFERROR(__xludf.DUMMYFUNCTION("IFERROR(ARRAYFORMULA(REGEXEXTRACT(C519,""^(?:https?:\/\/)?(?:[^@\n]+@)?(?:www\.)?([^:\/\n]+)"")),"""")"),"ezlocal.com")</f>
        <v>ezlocal.com</v>
      </c>
      <c r="E519" s="26" t="str">
        <f ca="1">IFERROR(__xludf.DUMMYFUNCTION("""COMPUTED_VALUE"""),"New")</f>
        <v>New</v>
      </c>
      <c r="F519" s="27">
        <v>80</v>
      </c>
      <c r="G519" s="27">
        <v>2825</v>
      </c>
      <c r="P519" s="26"/>
    </row>
    <row r="520" spans="1:16" ht="12.5">
      <c r="A520" s="3" t="s">
        <v>38</v>
      </c>
      <c r="B520" s="12" t="s">
        <v>2802</v>
      </c>
      <c r="C520" s="11" t="s">
        <v>3726</v>
      </c>
      <c r="D520" s="41" t="str">
        <f ca="1">IFERROR(__xludf.DUMMYFUNCTION("IFERROR(ARRAYFORMULA(REGEXEXTRACT(C520,""^(?:https?:\/\/)?(?:[^@\n]+@)?(?:www\.)?([^:\/\n]+)"")),"""")"),"nerdymamma.com")</f>
        <v>nerdymamma.com</v>
      </c>
      <c r="E520" s="26" t="str">
        <f ca="1">IFERROR(__xludf.DUMMYFUNCTION("""COMPUTED_VALUE"""),"New")</f>
        <v>New</v>
      </c>
      <c r="F520" s="27">
        <v>49</v>
      </c>
      <c r="G520" s="27">
        <v>4643</v>
      </c>
      <c r="H520" s="27" t="s">
        <v>3727</v>
      </c>
      <c r="J520" s="27" t="s">
        <v>3728</v>
      </c>
      <c r="M520" s="27" t="s">
        <v>3715</v>
      </c>
      <c r="N520" s="48">
        <v>46030</v>
      </c>
      <c r="O520" s="48">
        <v>46084</v>
      </c>
      <c r="P520" s="26"/>
    </row>
    <row r="521" spans="1:16" ht="12.5" hidden="1">
      <c r="A521" s="3" t="s">
        <v>38</v>
      </c>
      <c r="B521" s="12" t="s">
        <v>2802</v>
      </c>
      <c r="C521" s="11" t="s">
        <v>3729</v>
      </c>
      <c r="D521" s="41" t="str">
        <f ca="1">IFERROR(__xludf.DUMMYFUNCTION("IFERROR(ARRAYFORMULA(REGEXEXTRACT(C521,""^(?:https?:\/\/)?(?:[^@\n]+@)?(?:www\.)?([^:\/\n]+)"")),"""")"),"thebossmagazine.com")</f>
        <v>thebossmagazine.com</v>
      </c>
      <c r="E521" s="26" t="str">
        <f ca="1">IFERROR(__xludf.DUMMYFUNCTION("""COMPUTED_VALUE"""),"Already Exists")</f>
        <v>Already Exists</v>
      </c>
      <c r="F521" s="27">
        <v>72</v>
      </c>
      <c r="G521" s="27">
        <v>2588</v>
      </c>
      <c r="I521" s="27" t="s">
        <v>3730</v>
      </c>
      <c r="J521" s="27" t="s">
        <v>3731</v>
      </c>
      <c r="M521" s="27" t="s">
        <v>3715</v>
      </c>
      <c r="N521" s="48">
        <v>46030</v>
      </c>
      <c r="P521" s="26"/>
    </row>
    <row r="522" spans="1:16" ht="12.5" hidden="1">
      <c r="A522" s="3" t="s">
        <v>38</v>
      </c>
      <c r="B522" s="12" t="s">
        <v>2802</v>
      </c>
      <c r="C522" s="56" t="s">
        <v>3732</v>
      </c>
      <c r="D522" s="41" t="str">
        <f ca="1">IFERROR(__xludf.DUMMYFUNCTION("IFERROR(ARRAYFORMULA(REGEXEXTRACT(C522,""^(?:https?:\/\/)?(?:[^@\n]+@)?(?:www\.)?([^:\/\n]+)"")),"""")"),"burlapandblue.com")</f>
        <v>burlapandblue.com</v>
      </c>
      <c r="E522" s="26" t="str">
        <f ca="1">IFERROR(__xludf.DUMMYFUNCTION("""COMPUTED_VALUE"""),"Already Exists")</f>
        <v>Already Exists</v>
      </c>
      <c r="F522" s="27">
        <v>52</v>
      </c>
      <c r="G522" s="27">
        <v>3155</v>
      </c>
      <c r="J522" s="27" t="s">
        <v>3733</v>
      </c>
      <c r="M522" s="27" t="s">
        <v>3715</v>
      </c>
      <c r="N522" s="48">
        <v>46030</v>
      </c>
      <c r="P522" s="27" t="s">
        <v>3201</v>
      </c>
    </row>
    <row r="523" spans="1:16" ht="12.5" hidden="1">
      <c r="A523" s="3" t="s">
        <v>38</v>
      </c>
      <c r="B523" s="12" t="s">
        <v>2802</v>
      </c>
      <c r="C523" s="56" t="s">
        <v>3734</v>
      </c>
      <c r="D523" s="41" t="str">
        <f ca="1">IFERROR(__xludf.DUMMYFUNCTION("IFERROR(ARRAYFORMULA(REGEXEXTRACT(C523,""^(?:https?:\/\/)?(?:[^@\n]+@)?(?:www\.)?([^:\/\n]+)"")),"""")"),"havokjournal.com")</f>
        <v>havokjournal.com</v>
      </c>
      <c r="E523" s="26" t="str">
        <f ca="1">IFERROR(__xludf.DUMMYFUNCTION("""COMPUTED_VALUE"""),"Already Exists")</f>
        <v>Already Exists</v>
      </c>
      <c r="F523" s="27">
        <v>51</v>
      </c>
      <c r="G523" s="27">
        <v>3624</v>
      </c>
      <c r="J523" s="27" t="s">
        <v>3735</v>
      </c>
      <c r="M523" s="27" t="s">
        <v>3715</v>
      </c>
      <c r="N523" s="48">
        <v>46030</v>
      </c>
      <c r="P523" s="27" t="s">
        <v>3201</v>
      </c>
    </row>
    <row r="524" spans="1:16" ht="12.5">
      <c r="A524" s="3" t="s">
        <v>38</v>
      </c>
      <c r="B524" s="12" t="s">
        <v>2802</v>
      </c>
      <c r="C524" s="8" t="s">
        <v>3736</v>
      </c>
      <c r="D524" s="41" t="str">
        <f ca="1">IFERROR(__xludf.DUMMYFUNCTION("IFERROR(ARRAYFORMULA(REGEXEXTRACT(C524,""^(?:https?:\/\/)?(?:[^@\n]+@)?(?:www\.)?([^:\/\n]+)"")),"""")"),"directory.coldlytics.com")</f>
        <v>directory.coldlytics.com</v>
      </c>
      <c r="E524" s="26" t="str">
        <f ca="1">IFERROR(__xludf.DUMMYFUNCTION("""COMPUTED_VALUE"""),"New")</f>
        <v>New</v>
      </c>
      <c r="F524" s="27">
        <v>32</v>
      </c>
      <c r="G524" s="27">
        <v>4038</v>
      </c>
      <c r="P524" s="26"/>
    </row>
    <row r="525" spans="1:16" ht="12.5" hidden="1">
      <c r="A525" s="3" t="s">
        <v>38</v>
      </c>
      <c r="B525" s="12" t="s">
        <v>2802</v>
      </c>
      <c r="C525" s="8" t="s">
        <v>3737</v>
      </c>
      <c r="D525" s="41" t="str">
        <f ca="1">IFERROR(__xludf.DUMMYFUNCTION("IFERROR(ARRAYFORMULA(REGEXEXTRACT(C525,""^(?:https?:\/\/)?(?:[^@\n]+@)?(?:www\.)?([^:\/\n]+)"")),"""")"),"mommacuisine.com")</f>
        <v>mommacuisine.com</v>
      </c>
      <c r="E525" s="26" t="str">
        <f ca="1">IFERROR(__xludf.DUMMYFUNCTION("""COMPUTED_VALUE"""),"Already Exists")</f>
        <v>Already Exists</v>
      </c>
      <c r="F525" s="27">
        <v>28</v>
      </c>
      <c r="G525" s="27">
        <v>1947</v>
      </c>
    </row>
    <row r="526" spans="1:16" ht="12.5" hidden="1">
      <c r="A526" s="3" t="s">
        <v>38</v>
      </c>
      <c r="B526" s="12" t="s">
        <v>2802</v>
      </c>
      <c r="C526" s="8" t="s">
        <v>3738</v>
      </c>
      <c r="D526" s="41" t="str">
        <f ca="1">IFERROR(__xludf.DUMMYFUNCTION("IFERROR(ARRAYFORMULA(REGEXEXTRACT(C526,""^(?:https?:\/\/)?(?:[^@\n]+@)?(?:www\.)?([^:\/\n]+)"")),"""")"),"emmysmummy.com")</f>
        <v>emmysmummy.com</v>
      </c>
      <c r="E526" s="26" t="str">
        <f ca="1">IFERROR(__xludf.DUMMYFUNCTION("""COMPUTED_VALUE"""),"Already Exists")</f>
        <v>Already Exists</v>
      </c>
      <c r="F526" s="27">
        <v>39</v>
      </c>
      <c r="G526" s="27">
        <v>1167</v>
      </c>
    </row>
    <row r="527" spans="1:16" ht="12.5" hidden="1">
      <c r="A527" s="3" t="s">
        <v>38</v>
      </c>
      <c r="B527" s="12" t="s">
        <v>2802</v>
      </c>
      <c r="C527" s="8" t="s">
        <v>3739</v>
      </c>
      <c r="D527" s="41" t="str">
        <f ca="1">IFERROR(__xludf.DUMMYFUNCTION("IFERROR(ARRAYFORMULA(REGEXEXTRACT(C527,""^(?:https?:\/\/)?(?:[^@\n]+@)?(?:www\.)?([^:\/\n]+)"")),"""")"),"thedailytribute.com")</f>
        <v>thedailytribute.com</v>
      </c>
      <c r="E527" s="26" t="str">
        <f ca="1">IFERROR(__xludf.DUMMYFUNCTION("""COMPUTED_VALUE"""),"Already Exists")</f>
        <v>Already Exists</v>
      </c>
      <c r="F527" s="27">
        <v>57</v>
      </c>
      <c r="G527" s="27">
        <v>1282</v>
      </c>
    </row>
    <row r="528" spans="1:16" ht="12.5" hidden="1">
      <c r="A528" s="3" t="s">
        <v>38</v>
      </c>
      <c r="B528" s="12" t="s">
        <v>2802</v>
      </c>
      <c r="C528" s="8" t="s">
        <v>3740</v>
      </c>
      <c r="D528" s="41" t="str">
        <f ca="1">IFERROR(__xludf.DUMMYFUNCTION("IFERROR(ARRAYFORMULA(REGEXEXTRACT(C528,""^(?:https?:\/\/)?(?:[^@\n]+@)?(?:www\.)?([^:\/\n]+)"")),"""")"),"katescreativespace.com")</f>
        <v>katescreativespace.com</v>
      </c>
      <c r="E528" s="26" t="str">
        <f ca="1">IFERROR(__xludf.DUMMYFUNCTION("""COMPUTED_VALUE"""),"Already Exists")</f>
        <v>Already Exists</v>
      </c>
      <c r="F528" s="27">
        <v>42</v>
      </c>
      <c r="G528" s="27">
        <v>1086</v>
      </c>
    </row>
    <row r="529" spans="1:16" ht="14.5">
      <c r="A529" s="3" t="s">
        <v>38</v>
      </c>
      <c r="B529" s="17" t="s">
        <v>2805</v>
      </c>
      <c r="C529" s="46" t="s">
        <v>3741</v>
      </c>
      <c r="D529" s="41" t="str">
        <f ca="1">IFERROR(__xludf.DUMMYFUNCTION("IFERROR(ARRAYFORMULA(REGEXEXTRACT(C529,""^(?:https?:\/\/)?(?:[^@\n]+@)?(?:www\.)?([^:\/\n]+)"")),"""")"),"going.com")</f>
        <v>going.com</v>
      </c>
      <c r="E529" s="26" t="str">
        <f ca="1">IFERROR(__xludf.DUMMYFUNCTION("""COMPUTED_VALUE"""),"New")</f>
        <v>New</v>
      </c>
      <c r="P529" s="26"/>
    </row>
    <row r="530" spans="1:16" ht="14.5">
      <c r="A530" s="3" t="s">
        <v>38</v>
      </c>
      <c r="B530" s="15" t="s">
        <v>2805</v>
      </c>
      <c r="C530" s="46" t="s">
        <v>3742</v>
      </c>
      <c r="D530" s="41" t="str">
        <f ca="1">IFERROR(__xludf.DUMMYFUNCTION("IFERROR(ARRAYFORMULA(REGEXEXTRACT(C530,""^(?:https?:\/\/)?(?:[^@\n]+@)?(?:www\.)?([^:\/\n]+)"")),"""")"),"trustedtraders.which.co.uk")</f>
        <v>trustedtraders.which.co.uk</v>
      </c>
      <c r="E530" s="26" t="str">
        <f ca="1">IFERROR(__xludf.DUMMYFUNCTION("""COMPUTED_VALUE"""),"New")</f>
        <v>New</v>
      </c>
      <c r="P530" s="26"/>
    </row>
    <row r="531" spans="1:16" ht="14.5">
      <c r="A531" s="3" t="s">
        <v>38</v>
      </c>
      <c r="B531" s="15" t="s">
        <v>2805</v>
      </c>
      <c r="C531" s="46" t="s">
        <v>3743</v>
      </c>
      <c r="D531" s="41" t="str">
        <f ca="1">IFERROR(__xludf.DUMMYFUNCTION("IFERROR(ARRAYFORMULA(REGEXEXTRACT(C531,""^(?:https?:\/\/)?(?:[^@\n]+@)?(?:www\.)?([^:\/\n]+)"")),"""")"),"timesforthetimes.co.uk")</f>
        <v>timesforthetimes.co.uk</v>
      </c>
      <c r="E531" s="26" t="str">
        <f ca="1">IFERROR(__xludf.DUMMYFUNCTION("""COMPUTED_VALUE"""),"New")</f>
        <v>New</v>
      </c>
      <c r="P531" s="26"/>
    </row>
    <row r="532" spans="1:16" ht="14.5" hidden="1">
      <c r="A532" s="3" t="s">
        <v>38</v>
      </c>
      <c r="B532" s="15" t="s">
        <v>2805</v>
      </c>
      <c r="C532" s="46" t="s">
        <v>3744</v>
      </c>
      <c r="D532" s="41" t="str">
        <f ca="1">IFERROR(__xludf.DUMMYFUNCTION("IFERROR(ARRAYFORMULA(REGEXEXTRACT(C532,""^(?:https?:\/\/)?(?:[^@\n]+@)?(?:www\.)?([^:\/\n]+)"")),"""")"),"hisforhomeblog.com")</f>
        <v>hisforhomeblog.com</v>
      </c>
      <c r="E532" s="26" t="str">
        <f ca="1">IFERROR(__xludf.DUMMYFUNCTION("""COMPUTED_VALUE"""),"Already Exists")</f>
        <v>Already Exists</v>
      </c>
    </row>
    <row r="533" spans="1:16" ht="14.5">
      <c r="A533" s="3" t="s">
        <v>38</v>
      </c>
      <c r="B533" s="15" t="s">
        <v>2805</v>
      </c>
      <c r="C533" s="46" t="s">
        <v>3745</v>
      </c>
      <c r="D533" s="41" t="str">
        <f ca="1">IFERROR(__xludf.DUMMYFUNCTION("IFERROR(ARRAYFORMULA(REGEXEXTRACT(C533,""^(?:https?:\/\/)?(?:[^@\n]+@)?(?:www\.)?([^:\/\n]+)"")),"""")"),"peevish.co.uk")</f>
        <v>peevish.co.uk</v>
      </c>
      <c r="E533" s="26" t="str">
        <f ca="1">IFERROR(__xludf.DUMMYFUNCTION("""COMPUTED_VALUE"""),"New")</f>
        <v>New</v>
      </c>
      <c r="P533" s="26"/>
    </row>
    <row r="534" spans="1:16" ht="14.5">
      <c r="A534" s="3" t="s">
        <v>38</v>
      </c>
      <c r="B534" s="15" t="s">
        <v>2805</v>
      </c>
      <c r="C534" s="49" t="s">
        <v>3746</v>
      </c>
      <c r="D534" s="41" t="str">
        <f ca="1">IFERROR(__xludf.DUMMYFUNCTION("IFERROR(ARRAYFORMULA(REGEXEXTRACT(C534,""^(?:https?:\/\/)?(?:[^@\n]+@)?(?:www\.)?([^:\/\n]+)"")),"""")"),"hollywoodmirrors.co.uk")</f>
        <v>hollywoodmirrors.co.uk</v>
      </c>
      <c r="E534" s="26" t="str">
        <f ca="1">IFERROR(__xludf.DUMMYFUNCTION("""COMPUTED_VALUE"""),"New")</f>
        <v>New</v>
      </c>
      <c r="F534" s="27">
        <v>50</v>
      </c>
      <c r="G534" s="27">
        <v>40900</v>
      </c>
      <c r="J534" s="27" t="s">
        <v>3747</v>
      </c>
      <c r="K534" s="27" t="s">
        <v>3748</v>
      </c>
      <c r="L534" s="112"/>
      <c r="M534" s="66" t="s">
        <v>3117</v>
      </c>
      <c r="N534" s="48">
        <v>46033</v>
      </c>
      <c r="O534" s="48">
        <v>46069</v>
      </c>
      <c r="P534" s="26"/>
    </row>
    <row r="535" spans="1:16" ht="14.5" hidden="1">
      <c r="A535" s="3" t="s">
        <v>38</v>
      </c>
      <c r="B535" s="15" t="s">
        <v>2805</v>
      </c>
      <c r="C535" s="46" t="s">
        <v>3749</v>
      </c>
      <c r="D535" s="41" t="str">
        <f ca="1">IFERROR(__xludf.DUMMYFUNCTION("IFERROR(ARRAYFORMULA(REGEXEXTRACT(C535,""^(?:https?:\/\/)?(?:[^@\n]+@)?(?:www\.)?([^:\/\n]+)"")),"""")"),"lovechicliving.co.uk")</f>
        <v>lovechicliving.co.uk</v>
      </c>
      <c r="E535" s="26" t="str">
        <f ca="1">IFERROR(__xludf.DUMMYFUNCTION("""COMPUTED_VALUE"""),"Already Exists")</f>
        <v>Already Exists</v>
      </c>
    </row>
    <row r="536" spans="1:16" ht="14.5">
      <c r="A536" s="3" t="s">
        <v>38</v>
      </c>
      <c r="B536" s="15" t="s">
        <v>2805</v>
      </c>
      <c r="C536" s="46" t="s">
        <v>3750</v>
      </c>
      <c r="D536" s="41" t="str">
        <f ca="1">IFERROR(__xludf.DUMMYFUNCTION("IFERROR(ARRAYFORMULA(REGEXEXTRACT(C536,""^(?:https?:\/\/)?(?:[^@\n]+@)?(?:www\.)?([^:\/\n]+)"")),"""")"),"ibtimes.co.uk")</f>
        <v>ibtimes.co.uk</v>
      </c>
      <c r="E536" s="26" t="str">
        <f ca="1">IFERROR(__xludf.DUMMYFUNCTION("""COMPUTED_VALUE"""),"New")</f>
        <v>New</v>
      </c>
      <c r="P536" s="26"/>
    </row>
    <row r="537" spans="1:16" ht="14.5">
      <c r="A537" s="3" t="s">
        <v>38</v>
      </c>
      <c r="B537" s="15" t="s">
        <v>2805</v>
      </c>
      <c r="C537" s="46" t="s">
        <v>3751</v>
      </c>
      <c r="D537" s="41" t="str">
        <f ca="1">IFERROR(__xludf.DUMMYFUNCTION("IFERROR(ARRAYFORMULA(REGEXEXTRACT(C537,""^(?:https?:\/\/)?(?:[^@\n]+@)?(?:www\.)?([^:\/\n]+)"")),"""")"),"americanspcc.org")</f>
        <v>americanspcc.org</v>
      </c>
      <c r="E537" s="26" t="str">
        <f ca="1">IFERROR(__xludf.DUMMYFUNCTION("""COMPUTED_VALUE"""),"New")</f>
        <v>New</v>
      </c>
      <c r="P537" s="26"/>
    </row>
    <row r="538" spans="1:16" ht="14.5">
      <c r="A538" s="3" t="s">
        <v>38</v>
      </c>
      <c r="B538" s="15" t="s">
        <v>2805</v>
      </c>
      <c r="C538" s="46" t="s">
        <v>3752</v>
      </c>
      <c r="D538" s="41" t="str">
        <f ca="1">IFERROR(__xludf.DUMMYFUNCTION("IFERROR(ARRAYFORMULA(REGEXEXTRACT(C538,""^(?:https?:\/\/)?(?:[^@\n]+@)?(?:www\.)?([^:\/\n]+)"")),"""")"),"threebestrated.co.uk")</f>
        <v>threebestrated.co.uk</v>
      </c>
      <c r="E538" s="26" t="str">
        <f ca="1">IFERROR(__xludf.DUMMYFUNCTION("""COMPUTED_VALUE"""),"New")</f>
        <v>New</v>
      </c>
      <c r="P538" s="26"/>
    </row>
    <row r="539" spans="1:16" ht="14.5" hidden="1">
      <c r="A539" s="3" t="s">
        <v>38</v>
      </c>
      <c r="B539" s="15" t="s">
        <v>2805</v>
      </c>
      <c r="C539" s="49" t="s">
        <v>3753</v>
      </c>
      <c r="D539" s="41" t="str">
        <f ca="1">IFERROR(__xludf.DUMMYFUNCTION("IFERROR(ARRAYFORMULA(REGEXEXTRACT(C539,""^(?:https?:\/\/)?(?:[^@\n]+@)?(?:www\.)?([^:\/\n]+)"")),"""")"),"intheplayroom.co.uk")</f>
        <v>intheplayroom.co.uk</v>
      </c>
      <c r="E539" s="26" t="str">
        <f ca="1">IFERROR(__xludf.DUMMYFUNCTION("""COMPUTED_VALUE"""),"Already Exists")</f>
        <v>Already Exists</v>
      </c>
      <c r="F539" s="27">
        <v>60</v>
      </c>
      <c r="G539" s="27">
        <v>5600</v>
      </c>
      <c r="H539" s="27" t="s">
        <v>3754</v>
      </c>
      <c r="I539" s="27" t="s">
        <v>3755</v>
      </c>
      <c r="K539" s="27" t="s">
        <v>3756</v>
      </c>
      <c r="L539" s="112"/>
      <c r="M539" s="66" t="s">
        <v>3117</v>
      </c>
      <c r="N539" s="48">
        <v>46033</v>
      </c>
      <c r="O539" s="48">
        <v>46069</v>
      </c>
      <c r="P539" s="26"/>
    </row>
    <row r="540" spans="1:16" ht="14.5" hidden="1">
      <c r="A540" s="3" t="s">
        <v>38</v>
      </c>
      <c r="B540" s="15" t="s">
        <v>2805</v>
      </c>
      <c r="C540" s="46" t="s">
        <v>3757</v>
      </c>
      <c r="D540" s="41" t="str">
        <f ca="1">IFERROR(__xludf.DUMMYFUNCTION("IFERROR(ARRAYFORMULA(REGEXEXTRACT(C540,""^(?:https?:\/\/)?(?:[^@\n]+@)?(?:www\.)?([^:\/\n]+)"")),"""")"),"luxuo.com")</f>
        <v>luxuo.com</v>
      </c>
      <c r="E540" s="26" t="str">
        <f ca="1">IFERROR(__xludf.DUMMYFUNCTION("""COMPUTED_VALUE"""),"Already Exists")</f>
        <v>Already Exists</v>
      </c>
    </row>
    <row r="541" spans="1:16" ht="14.5">
      <c r="A541" s="3" t="s">
        <v>38</v>
      </c>
      <c r="B541" s="15" t="s">
        <v>2805</v>
      </c>
      <c r="C541" s="46" t="s">
        <v>3758</v>
      </c>
      <c r="D541" s="41" t="str">
        <f ca="1">IFERROR(__xludf.DUMMYFUNCTION("IFERROR(ARRAYFORMULA(REGEXEXTRACT(C541,""^(?:https?:\/\/)?(?:[^@\n]+@)?(?:www\.)?([^:\/\n]+)"")),"""")"),"healthstaffdiscounts.co.uk")</f>
        <v>healthstaffdiscounts.co.uk</v>
      </c>
      <c r="E541" s="26" t="str">
        <f ca="1">IFERROR(__xludf.DUMMYFUNCTION("""COMPUTED_VALUE"""),"New")</f>
        <v>New</v>
      </c>
      <c r="P541" s="26"/>
    </row>
    <row r="542" spans="1:16" ht="14.5">
      <c r="A542" s="3" t="s">
        <v>38</v>
      </c>
      <c r="B542" s="15" t="s">
        <v>2805</v>
      </c>
      <c r="C542" s="46" t="s">
        <v>3759</v>
      </c>
      <c r="D542" s="41" t="str">
        <f ca="1">IFERROR(__xludf.DUMMYFUNCTION("IFERROR(ARRAYFORMULA(REGEXEXTRACT(C542,""^(?:https?:\/\/)?(?:[^@\n]+@)?(?:www\.)?([^:\/\n]+)"")),"""")"),"mordictionary.neocities.org")</f>
        <v>mordictionary.neocities.org</v>
      </c>
      <c r="E542" s="26" t="str">
        <f ca="1">IFERROR(__xludf.DUMMYFUNCTION("""COMPUTED_VALUE"""),"New")</f>
        <v>New</v>
      </c>
      <c r="P542" s="26"/>
    </row>
    <row r="543" spans="1:16" ht="14.5">
      <c r="A543" s="3" t="s">
        <v>38</v>
      </c>
      <c r="B543" s="15" t="s">
        <v>2805</v>
      </c>
      <c r="C543" s="46" t="s">
        <v>3760</v>
      </c>
      <c r="D543" s="41" t="str">
        <f ca="1">IFERROR(__xludf.DUMMYFUNCTION("IFERROR(ARRAYFORMULA(REGEXEXTRACT(C543,""^(?:https?:\/\/)?(?:[^@\n]+@)?(?:www\.)?([^:\/\n]+)"")),"""")"),"diib.com")</f>
        <v>diib.com</v>
      </c>
      <c r="E543" s="26" t="str">
        <f ca="1">IFERROR(__xludf.DUMMYFUNCTION("""COMPUTED_VALUE"""),"New")</f>
        <v>New</v>
      </c>
      <c r="P543" s="26"/>
    </row>
    <row r="544" spans="1:16" ht="14.5" hidden="1">
      <c r="A544" s="3" t="s">
        <v>38</v>
      </c>
      <c r="B544" s="15" t="s">
        <v>2805</v>
      </c>
      <c r="C544" s="46" t="s">
        <v>3761</v>
      </c>
      <c r="D544" s="41" t="str">
        <f ca="1">IFERROR(__xludf.DUMMYFUNCTION("IFERROR(ARRAYFORMULA(REGEXEXTRACT(C544,""^(?:https?:\/\/)?(?:[^@\n]+@)?(?:www\.)?([^:\/\n]+)"")),"""")"),"inkl.com")</f>
        <v>inkl.com</v>
      </c>
      <c r="E544" s="26" t="str">
        <f ca="1">IFERROR(__xludf.DUMMYFUNCTION("""COMPUTED_VALUE"""),"Already Exists")</f>
        <v>Already Exists</v>
      </c>
    </row>
    <row r="545" spans="1:16" ht="14.5" hidden="1">
      <c r="A545" s="3" t="s">
        <v>38</v>
      </c>
      <c r="B545" s="15" t="s">
        <v>2805</v>
      </c>
      <c r="C545" s="46" t="s">
        <v>3762</v>
      </c>
      <c r="D545" s="41" t="str">
        <f ca="1">IFERROR(__xludf.DUMMYFUNCTION("IFERROR(ARRAYFORMULA(REGEXEXTRACT(C545,""^(?:https?:\/\/)?(?:[^@\n]+@)?(?:www\.)?([^:\/\n]+)"")),"""")"),"bmmagazine.co.uk")</f>
        <v>bmmagazine.co.uk</v>
      </c>
      <c r="E545" s="26" t="str">
        <f ca="1">IFERROR(__xludf.DUMMYFUNCTION("""COMPUTED_VALUE"""),"Already Exists")</f>
        <v>Already Exists</v>
      </c>
    </row>
    <row r="546" spans="1:16" ht="14.5">
      <c r="A546" s="3" t="s">
        <v>38</v>
      </c>
      <c r="B546" s="15" t="s">
        <v>2805</v>
      </c>
      <c r="C546" s="46" t="s">
        <v>3763</v>
      </c>
      <c r="D546" s="41" t="str">
        <f ca="1">IFERROR(__xludf.DUMMYFUNCTION("IFERROR(ARRAYFORMULA(REGEXEXTRACT(C546,""^(?:https?:\/\/)?(?:[^@\n]+@)?(?:www\.)?([^:\/\n]+)"")),"""")"),"weareaspire.com")</f>
        <v>weareaspire.com</v>
      </c>
      <c r="E546" s="26" t="str">
        <f ca="1">IFERROR(__xludf.DUMMYFUNCTION("""COMPUTED_VALUE"""),"New")</f>
        <v>New</v>
      </c>
      <c r="P546" s="26"/>
    </row>
    <row r="547" spans="1:16" ht="14.5" hidden="1">
      <c r="A547" s="3" t="s">
        <v>38</v>
      </c>
      <c r="B547" s="15" t="s">
        <v>2805</v>
      </c>
      <c r="C547" s="46" t="s">
        <v>3764</v>
      </c>
      <c r="D547" s="41" t="str">
        <f ca="1">IFERROR(__xludf.DUMMYFUNCTION("IFERROR(ARRAYFORMULA(REGEXEXTRACT(C547,""^(?:https?:\/\/)?(?:[^@\n]+@)?(?:www\.)?([^:\/\n]+)"")),"""")"),"mummyconstant.com")</f>
        <v>mummyconstant.com</v>
      </c>
      <c r="E547" s="26" t="str">
        <f ca="1">IFERROR(__xludf.DUMMYFUNCTION("""COMPUTED_VALUE"""),"Already Exists")</f>
        <v>Already Exists</v>
      </c>
    </row>
    <row r="548" spans="1:16" ht="14.5" hidden="1">
      <c r="A548" s="3" t="s">
        <v>38</v>
      </c>
      <c r="B548" s="15" t="s">
        <v>2805</v>
      </c>
      <c r="C548" s="46" t="s">
        <v>3765</v>
      </c>
      <c r="D548" s="41" t="str">
        <f ca="1">IFERROR(__xludf.DUMMYFUNCTION("IFERROR(ARRAYFORMULA(REGEXEXTRACT(C548,""^(?:https?:\/\/)?(?:[^@\n]+@)?(?:www\.)?([^:\/\n]+)"")),"""")"),"londondaily.news")</f>
        <v>londondaily.news</v>
      </c>
      <c r="E548" s="26" t="str">
        <f ca="1">IFERROR(__xludf.DUMMYFUNCTION("""COMPUTED_VALUE"""),"Already Exists")</f>
        <v>Already Exists</v>
      </c>
    </row>
    <row r="549" spans="1:16" ht="14.5">
      <c r="A549" s="3" t="s">
        <v>38</v>
      </c>
      <c r="B549" s="15" t="s">
        <v>2805</v>
      </c>
      <c r="C549" s="46" t="s">
        <v>3766</v>
      </c>
      <c r="D549" s="41" t="str">
        <f ca="1">IFERROR(__xludf.DUMMYFUNCTION("IFERROR(ARRAYFORMULA(REGEXEXTRACT(C549,""^(?:https?:\/\/)?(?:[^@\n]+@)?(?:www\.)?([^:\/\n]+)"")),"""")"),"mylocalservices.co.uk")</f>
        <v>mylocalservices.co.uk</v>
      </c>
      <c r="E549" s="26" t="str">
        <f ca="1">IFERROR(__xludf.DUMMYFUNCTION("""COMPUTED_VALUE"""),"New")</f>
        <v>New</v>
      </c>
      <c r="P549" s="26"/>
    </row>
    <row r="550" spans="1:16" ht="14.5" hidden="1">
      <c r="A550" s="3" t="s">
        <v>38</v>
      </c>
      <c r="B550" s="15" t="s">
        <v>2805</v>
      </c>
      <c r="C550" s="46" t="s">
        <v>3767</v>
      </c>
      <c r="D550" s="41" t="str">
        <f ca="1">IFERROR(__xludf.DUMMYFUNCTION("IFERROR(ARRAYFORMULA(REGEXEXTRACT(C550,""^(?:https?:\/\/)?(?:[^@\n]+@)?(?:www\.)?([^:\/\n]+)"")),"""")"),"nethouseprices.com")</f>
        <v>nethouseprices.com</v>
      </c>
      <c r="E550" s="26" t="str">
        <f ca="1">IFERROR(__xludf.DUMMYFUNCTION("""COMPUTED_VALUE"""),"Already Exists")</f>
        <v>Already Exists</v>
      </c>
    </row>
    <row r="551" spans="1:16" ht="14.5">
      <c r="A551" s="3" t="s">
        <v>38</v>
      </c>
      <c r="B551" s="15" t="s">
        <v>2805</v>
      </c>
      <c r="C551" s="49" t="s">
        <v>3768</v>
      </c>
      <c r="D551" s="41" t="str">
        <f ca="1">IFERROR(__xludf.DUMMYFUNCTION("IFERROR(ARRAYFORMULA(REGEXEXTRACT(C551,""^(?:https?:\/\/)?(?:[^@\n]+@)?(?:www\.)?([^:\/\n]+)"")),"""")"),"london-post.co.uk")</f>
        <v>london-post.co.uk</v>
      </c>
      <c r="E551" s="26" t="str">
        <f ca="1">IFERROR(__xludf.DUMMYFUNCTION("""COMPUTED_VALUE"""),"New")</f>
        <v>New</v>
      </c>
      <c r="F551" s="27">
        <v>68</v>
      </c>
      <c r="G551" s="27">
        <v>1700</v>
      </c>
      <c r="H551" s="27" t="s">
        <v>3769</v>
      </c>
      <c r="I551" s="38" t="s">
        <v>3770</v>
      </c>
      <c r="J551" s="27" t="s">
        <v>3771</v>
      </c>
      <c r="K551" s="27" t="s">
        <v>3772</v>
      </c>
      <c r="L551" s="112"/>
      <c r="M551" s="66" t="s">
        <v>3117</v>
      </c>
      <c r="N551" s="48">
        <v>46033</v>
      </c>
      <c r="P551" s="26"/>
    </row>
    <row r="552" spans="1:16" ht="14.5">
      <c r="A552" s="3" t="s">
        <v>38</v>
      </c>
      <c r="B552" s="15" t="s">
        <v>2805</v>
      </c>
      <c r="C552" s="49" t="s">
        <v>3773</v>
      </c>
      <c r="D552" s="41" t="str">
        <f ca="1">IFERROR(__xludf.DUMMYFUNCTION("IFERROR(ARRAYFORMULA(REGEXEXTRACT(C552,""^(?:https?:\/\/)?(?:[^@\n]+@)?(?:www\.)?([^:\/\n]+)"")),"""")"),"littlestuff.co.uk")</f>
        <v>littlestuff.co.uk</v>
      </c>
      <c r="E552" s="26" t="str">
        <f ca="1">IFERROR(__xludf.DUMMYFUNCTION("""COMPUTED_VALUE"""),"New")</f>
        <v>New</v>
      </c>
      <c r="F552" s="27">
        <v>38</v>
      </c>
      <c r="G552" s="27">
        <v>6900</v>
      </c>
      <c r="J552" s="27" t="s">
        <v>3774</v>
      </c>
      <c r="K552" s="27" t="s">
        <v>3772</v>
      </c>
      <c r="L552" s="112"/>
      <c r="M552" s="66" t="s">
        <v>3117</v>
      </c>
      <c r="N552" s="48">
        <v>46033</v>
      </c>
      <c r="O552" s="48">
        <v>46070</v>
      </c>
      <c r="P552" s="26"/>
    </row>
    <row r="553" spans="1:16" ht="14.5" hidden="1">
      <c r="A553" s="3" t="s">
        <v>38</v>
      </c>
      <c r="B553" s="15" t="s">
        <v>2805</v>
      </c>
      <c r="C553" s="46" t="s">
        <v>3775</v>
      </c>
      <c r="D553" s="41" t="str">
        <f ca="1">IFERROR(__xludf.DUMMYFUNCTION("IFERROR(ARRAYFORMULA(REGEXEXTRACT(C553,""^(?:https?:\/\/)?(?:[^@\n]+@)?(?:www\.)?([^:\/\n]+)"")),"""")"),"londonlovesbusiness.com")</f>
        <v>londonlovesbusiness.com</v>
      </c>
      <c r="E553" s="26" t="str">
        <f ca="1">IFERROR(__xludf.DUMMYFUNCTION("""COMPUTED_VALUE"""),"Already Exists")</f>
        <v>Already Exists</v>
      </c>
    </row>
    <row r="554" spans="1:16" ht="14.5">
      <c r="A554" s="3" t="s">
        <v>38</v>
      </c>
      <c r="B554" s="15" t="s">
        <v>2805</v>
      </c>
      <c r="C554" s="46" t="s">
        <v>3776</v>
      </c>
      <c r="D554" s="41" t="str">
        <f ca="1">IFERROR(__xludf.DUMMYFUNCTION("IFERROR(ARRAYFORMULA(REGEXEXTRACT(C554,""^(?:https?:\/\/)?(?:[^@\n]+@)?(?:www\.)?([^:\/\n]+)"")),"""")"),"landing.residentialland.com")</f>
        <v>landing.residentialland.com</v>
      </c>
      <c r="E554" s="26" t="str">
        <f ca="1">IFERROR(__xludf.DUMMYFUNCTION("""COMPUTED_VALUE"""),"New")</f>
        <v>New</v>
      </c>
      <c r="P554" s="26"/>
    </row>
    <row r="555" spans="1:16" ht="14.5">
      <c r="A555" s="3" t="s">
        <v>38</v>
      </c>
      <c r="B555" s="15" t="s">
        <v>2805</v>
      </c>
      <c r="C555" s="46" t="s">
        <v>3777</v>
      </c>
      <c r="D555" s="41" t="str">
        <f ca="1">IFERROR(__xludf.DUMMYFUNCTION("IFERROR(ARRAYFORMULA(REGEXEXTRACT(C555,""^(?:https?:\/\/)?(?:[^@\n]+@)?(?:www\.)?([^:\/\n]+)"")),"""")"),"clay.earth")</f>
        <v>clay.earth</v>
      </c>
      <c r="E555" s="26" t="str">
        <f ca="1">IFERROR(__xludf.DUMMYFUNCTION("""COMPUTED_VALUE"""),"New")</f>
        <v>New</v>
      </c>
      <c r="P555" s="26"/>
    </row>
    <row r="556" spans="1:16" ht="14.5">
      <c r="A556" s="3" t="s">
        <v>38</v>
      </c>
      <c r="B556" s="15" t="s">
        <v>2805</v>
      </c>
      <c r="C556" s="46" t="s">
        <v>3778</v>
      </c>
      <c r="D556" s="41" t="str">
        <f ca="1">IFERROR(__xludf.DUMMYFUNCTION("IFERROR(ARRAYFORMULA(REGEXEXTRACT(C556,""^(?:https?:\/\/)?(?:[^@\n]+@)?(?:www\.)?([^:\/\n]+)"")),"""")"),"thestudentroom.co.uk")</f>
        <v>thestudentroom.co.uk</v>
      </c>
      <c r="E556" s="26" t="str">
        <f ca="1">IFERROR(__xludf.DUMMYFUNCTION("""COMPUTED_VALUE"""),"New")</f>
        <v>New</v>
      </c>
      <c r="P556" s="26"/>
    </row>
    <row r="557" spans="1:16" ht="14.5">
      <c r="A557" s="3" t="s">
        <v>38</v>
      </c>
      <c r="B557" s="15" t="s">
        <v>2805</v>
      </c>
      <c r="C557" s="46" t="s">
        <v>3779</v>
      </c>
      <c r="D557" s="41" t="str">
        <f ca="1">IFERROR(__xludf.DUMMYFUNCTION("IFERROR(ARRAYFORMULA(REGEXEXTRACT(C557,""^(?:https?:\/\/)?(?:[^@\n]+@)?(?:www\.)?([^:\/\n]+)"")),"""")"),"britishforcesdiscounts.co.uk")</f>
        <v>britishforcesdiscounts.co.uk</v>
      </c>
      <c r="E557" s="26" t="str">
        <f ca="1">IFERROR(__xludf.DUMMYFUNCTION("""COMPUTED_VALUE"""),"New")</f>
        <v>New</v>
      </c>
      <c r="P557" s="26"/>
    </row>
    <row r="558" spans="1:16" ht="14.5" hidden="1">
      <c r="A558" s="3" t="s">
        <v>38</v>
      </c>
      <c r="B558" s="57" t="s">
        <v>2804</v>
      </c>
      <c r="C558" s="46" t="s">
        <v>3780</v>
      </c>
      <c r="D558" s="41" t="str">
        <f ca="1">IFERROR(__xludf.DUMMYFUNCTION("IFERROR(ARRAYFORMULA(REGEXEXTRACT(C558,""^(?:https?:\/\/)?(?:[^@\n]+@)?(?:www\.)?([^:\/\n]+)"")),"""")"),"amazingarchitecture.com")</f>
        <v>amazingarchitecture.com</v>
      </c>
      <c r="E558" s="26" t="str">
        <f ca="1">IFERROR(__xludf.DUMMYFUNCTION("""COMPUTED_VALUE"""),"Already Exists")</f>
        <v>Already Exists</v>
      </c>
    </row>
    <row r="559" spans="1:16" ht="14.5">
      <c r="A559" s="3" t="s">
        <v>38</v>
      </c>
      <c r="B559" s="3" t="s">
        <v>2804</v>
      </c>
      <c r="C559" s="46" t="s">
        <v>3781</v>
      </c>
      <c r="D559" s="41" t="str">
        <f ca="1">IFERROR(__xludf.DUMMYFUNCTION("IFERROR(ARRAYFORMULA(REGEXEXTRACT(C559,""^(?:https?:\/\/)?(?:[^@\n]+@)?(?:www\.)?([^:\/\n]+)"")),"""")"),"realtor.com")</f>
        <v>realtor.com</v>
      </c>
      <c r="E559" s="26" t="str">
        <f ca="1">IFERROR(__xludf.DUMMYFUNCTION("""COMPUTED_VALUE"""),"New")</f>
        <v>New</v>
      </c>
      <c r="P559" s="26"/>
    </row>
    <row r="560" spans="1:16" ht="14.5">
      <c r="A560" s="3" t="s">
        <v>38</v>
      </c>
      <c r="B560" s="3" t="s">
        <v>2804</v>
      </c>
      <c r="C560" s="46" t="s">
        <v>3782</v>
      </c>
      <c r="D560" s="41" t="str">
        <f ca="1">IFERROR(__xludf.DUMMYFUNCTION("IFERROR(ARRAYFORMULA(REGEXEXTRACT(C560,""^(?:https?:\/\/)?(?:[^@\n]+@)?(?:www\.)?([^:\/\n]+)"")),"""")"),"dawn.com")</f>
        <v>dawn.com</v>
      </c>
      <c r="E560" s="26" t="str">
        <f ca="1">IFERROR(__xludf.DUMMYFUNCTION("""COMPUTED_VALUE"""),"New")</f>
        <v>New</v>
      </c>
      <c r="P560" s="26"/>
    </row>
    <row r="561" spans="1:16" ht="14.5">
      <c r="A561" s="3" t="s">
        <v>38</v>
      </c>
      <c r="B561" s="3" t="s">
        <v>2804</v>
      </c>
      <c r="C561" s="46" t="s">
        <v>3783</v>
      </c>
      <c r="D561" s="41" t="str">
        <f ca="1">IFERROR(__xludf.DUMMYFUNCTION("IFERROR(ARRAYFORMULA(REGEXEXTRACT(C561,""^(?:https?:\/\/)?(?:[^@\n]+@)?(?:www\.)?([^:\/\n]+)"")),"""")"),"sfgate.com")</f>
        <v>sfgate.com</v>
      </c>
      <c r="E561" s="26" t="str">
        <f ca="1">IFERROR(__xludf.DUMMYFUNCTION("""COMPUTED_VALUE"""),"New")</f>
        <v>New</v>
      </c>
      <c r="P561" s="26"/>
    </row>
    <row r="562" spans="1:16" ht="14.5">
      <c r="A562" s="3" t="s">
        <v>38</v>
      </c>
      <c r="B562" s="3" t="s">
        <v>2804</v>
      </c>
      <c r="C562" s="46" t="s">
        <v>3784</v>
      </c>
      <c r="D562" s="41" t="str">
        <f ca="1">IFERROR(__xludf.DUMMYFUNCTION("IFERROR(ARRAYFORMULA(REGEXEXTRACT(C562,""^(?:https?:\/\/)?(?:[^@\n]+@)?(?:www\.)?([^:\/\n]+)"")),"""")"),"timesofmalta.com")</f>
        <v>timesofmalta.com</v>
      </c>
      <c r="E562" s="26" t="str">
        <f ca="1">IFERROR(__xludf.DUMMYFUNCTION("""COMPUTED_VALUE"""),"New")</f>
        <v>New</v>
      </c>
      <c r="P562" s="26"/>
    </row>
    <row r="563" spans="1:16" ht="14.5">
      <c r="A563" s="12" t="s">
        <v>38</v>
      </c>
      <c r="B563" s="12" t="s">
        <v>2804</v>
      </c>
      <c r="C563" s="67" t="s">
        <v>3785</v>
      </c>
      <c r="D563" s="68" t="str">
        <f ca="1">IFERROR(__xludf.DUMMYFUNCTION("IFERROR(ARRAYFORMULA(REGEXEXTRACT(C563,""^(?:https?:\/\/)?(?:[^@\n]+@)?(?:www\.)?([^:\/\n]+)"")),"""")"),"apartmenttherapy.com")</f>
        <v>apartmenttherapy.com</v>
      </c>
      <c r="E563" s="26" t="str">
        <f ca="1">IFERROR(__xludf.DUMMYFUNCTION("""COMPUTED_VALUE"""),"New")</f>
        <v>New</v>
      </c>
      <c r="P563" s="26"/>
    </row>
    <row r="564" spans="1:16" ht="14.5">
      <c r="A564" s="3" t="s">
        <v>38</v>
      </c>
      <c r="B564" s="3" t="s">
        <v>2804</v>
      </c>
      <c r="C564" s="46" t="s">
        <v>3786</v>
      </c>
      <c r="D564" s="41" t="str">
        <f ca="1">IFERROR(__xludf.DUMMYFUNCTION("IFERROR(ARRAYFORMULA(REGEXEXTRACT(C564,""^(?:https?:\/\/)?(?:[^@\n]+@)?(?:www\.)?([^:\/\n]+)"")),"""")"),"gobankingrates.com")</f>
        <v>gobankingrates.com</v>
      </c>
      <c r="E564" s="26" t="str">
        <f ca="1">IFERROR(__xludf.DUMMYFUNCTION("""COMPUTED_VALUE"""),"New")</f>
        <v>New</v>
      </c>
      <c r="P564" s="26"/>
    </row>
    <row r="565" spans="1:16" ht="14.5">
      <c r="A565" s="3" t="s">
        <v>38</v>
      </c>
      <c r="B565" s="3" t="s">
        <v>2804</v>
      </c>
      <c r="C565" s="46" t="s">
        <v>3787</v>
      </c>
      <c r="D565" s="41" t="str">
        <f ca="1">IFERROR(__xludf.DUMMYFUNCTION("IFERROR(ARRAYFORMULA(REGEXEXTRACT(C565,""^(?:https?:\/\/)?(?:[^@\n]+@)?(?:www\.)?([^:\/\n]+)"")),"""")"),"wallstreetmojo.com")</f>
        <v>wallstreetmojo.com</v>
      </c>
      <c r="E565" s="26" t="str">
        <f ca="1">IFERROR(__xludf.DUMMYFUNCTION("""COMPUTED_VALUE"""),"New")</f>
        <v>New</v>
      </c>
      <c r="P565" s="26"/>
    </row>
    <row r="566" spans="1:16" ht="14.5" hidden="1">
      <c r="A566" s="3" t="s">
        <v>38</v>
      </c>
      <c r="B566" s="3" t="s">
        <v>2804</v>
      </c>
      <c r="C566" s="46" t="s">
        <v>3788</v>
      </c>
      <c r="D566" s="41" t="str">
        <f ca="1">IFERROR(__xludf.DUMMYFUNCTION("IFERROR(ARRAYFORMULA(REGEXEXTRACT(C566,""^(?:https?:\/\/)?(?:[^@\n]+@)?(?:www\.)?([^:\/\n]+)"")),"""")"),"iplocation.net")</f>
        <v>iplocation.net</v>
      </c>
      <c r="E566" s="26" t="str">
        <f ca="1">IFERROR(__xludf.DUMMYFUNCTION("""COMPUTED_VALUE"""),"Already Exists")</f>
        <v>Already Exists</v>
      </c>
    </row>
    <row r="567" spans="1:16" ht="14.5">
      <c r="A567" s="3" t="s">
        <v>38</v>
      </c>
      <c r="B567" s="3" t="s">
        <v>2804</v>
      </c>
      <c r="C567" s="49" t="s">
        <v>3789</v>
      </c>
      <c r="D567" s="41" t="str">
        <f ca="1">IFERROR(__xludf.DUMMYFUNCTION("IFERROR(ARRAYFORMULA(REGEXEXTRACT(C567,""^(?:https?:\/\/)?(?:[^@\n]+@)?(?:www\.)?([^:\/\n]+)"")),"""")"),"apollotechnical.com")</f>
        <v>apollotechnical.com</v>
      </c>
      <c r="E567" s="26" t="str">
        <f ca="1">IFERROR(__xludf.DUMMYFUNCTION("""COMPUTED_VALUE"""),"New")</f>
        <v>New</v>
      </c>
      <c r="F567" s="27">
        <v>79</v>
      </c>
      <c r="G567" s="27">
        <v>13700</v>
      </c>
      <c r="J567" s="27" t="s">
        <v>3790</v>
      </c>
      <c r="K567" s="27" t="s">
        <v>3791</v>
      </c>
      <c r="L567" s="112"/>
      <c r="M567" s="66" t="s">
        <v>3117</v>
      </c>
      <c r="N567" s="48">
        <v>46033</v>
      </c>
      <c r="O567" s="48">
        <v>46070</v>
      </c>
      <c r="P567" s="26"/>
    </row>
    <row r="568" spans="1:16" ht="14.5" hidden="1">
      <c r="A568" s="3" t="s">
        <v>38</v>
      </c>
      <c r="B568" s="3" t="s">
        <v>2804</v>
      </c>
      <c r="C568" s="46" t="s">
        <v>3792</v>
      </c>
      <c r="D568" s="41" t="str">
        <f ca="1">IFERROR(__xludf.DUMMYFUNCTION("IFERROR(ARRAYFORMULA(REGEXEXTRACT(C568,""^(?:https?:\/\/)?(?:[^@\n]+@)?(?:www\.)?([^:\/\n]+)"")),"""")"),"underconstructionpage.com")</f>
        <v>underconstructionpage.com</v>
      </c>
      <c r="E568" s="26" t="str">
        <f ca="1">IFERROR(__xludf.DUMMYFUNCTION("""COMPUTED_VALUE"""),"Already Exists")</f>
        <v>Already Exists</v>
      </c>
    </row>
    <row r="569" spans="1:16" ht="14.5">
      <c r="A569" s="3" t="s">
        <v>38</v>
      </c>
      <c r="B569" s="3" t="s">
        <v>2804</v>
      </c>
      <c r="C569" s="49" t="s">
        <v>3793</v>
      </c>
      <c r="D569" s="41" t="str">
        <f ca="1">IFERROR(__xludf.DUMMYFUNCTION("IFERROR(ARRAYFORMULA(REGEXEXTRACT(C569,""^(?:https?:\/\/)?(?:[^@\n]+@)?(?:www\.)?([^:\/\n]+)"")),"""")"),"hyscaler.com")</f>
        <v>hyscaler.com</v>
      </c>
      <c r="E569" s="26" t="str">
        <f ca="1">IFERROR(__xludf.DUMMYFUNCTION("""COMPUTED_VALUE"""),"New")</f>
        <v>New</v>
      </c>
      <c r="F569" s="27">
        <v>68</v>
      </c>
      <c r="G569" s="27">
        <v>9100</v>
      </c>
      <c r="J569" s="27" t="s">
        <v>3794</v>
      </c>
      <c r="K569" s="27" t="s">
        <v>3795</v>
      </c>
      <c r="L569" s="112"/>
      <c r="M569" s="66" t="s">
        <v>3117</v>
      </c>
      <c r="N569" s="48">
        <v>46033</v>
      </c>
      <c r="O569" s="48">
        <v>46070</v>
      </c>
      <c r="P569" s="26"/>
    </row>
    <row r="570" spans="1:16" ht="14.5" hidden="1">
      <c r="A570" s="3" t="s">
        <v>38</v>
      </c>
      <c r="B570" s="3" t="s">
        <v>2804</v>
      </c>
      <c r="C570" s="47" t="s">
        <v>3796</v>
      </c>
      <c r="D570" s="41" t="str">
        <f ca="1">IFERROR(__xludf.DUMMYFUNCTION("IFERROR(ARRAYFORMULA(REGEXEXTRACT(C570,""^(?:https?:\/\/)?(?:[^@\n]+@)?(?:www\.)?([^:\/\n]+)"")),"""")"),"traveltweaks.com")</f>
        <v>traveltweaks.com</v>
      </c>
      <c r="E570" s="26" t="str">
        <f ca="1">IFERROR(__xludf.DUMMYFUNCTION("""COMPUTED_VALUE"""),"Already Exists")</f>
        <v>Already Exists</v>
      </c>
      <c r="F570" s="27">
        <v>71</v>
      </c>
      <c r="G570" s="27">
        <v>24300</v>
      </c>
      <c r="J570" s="27" t="s">
        <v>3797</v>
      </c>
      <c r="K570" s="27" t="s">
        <v>3798</v>
      </c>
      <c r="L570" s="112"/>
      <c r="M570" s="66" t="s">
        <v>3117</v>
      </c>
      <c r="N570" s="48">
        <v>46033</v>
      </c>
      <c r="P570" s="27" t="s">
        <v>3201</v>
      </c>
    </row>
    <row r="571" spans="1:16" ht="14.5">
      <c r="A571" s="3" t="s">
        <v>38</v>
      </c>
      <c r="B571" s="3" t="s">
        <v>2804</v>
      </c>
      <c r="C571" s="46" t="s">
        <v>3799</v>
      </c>
      <c r="D571" s="41" t="str">
        <f ca="1">IFERROR(__xludf.DUMMYFUNCTION("IFERROR(ARRAYFORMULA(REGEXEXTRACT(C571,""^(?:https?:\/\/)?(?:[^@\n]+@)?(?:www\.)?([^:\/\n]+)"")),"""")"),"maltatoday.com.mt")</f>
        <v>maltatoday.com.mt</v>
      </c>
      <c r="E571" s="26" t="str">
        <f ca="1">IFERROR(__xludf.DUMMYFUNCTION("""COMPUTED_VALUE"""),"New")</f>
        <v>New</v>
      </c>
      <c r="P571" s="26"/>
    </row>
    <row r="572" spans="1:16" ht="14.5">
      <c r="A572" s="3" t="s">
        <v>38</v>
      </c>
      <c r="B572" s="3" t="s">
        <v>2804</v>
      </c>
      <c r="C572" s="46" t="s">
        <v>3800</v>
      </c>
      <c r="D572" s="41" t="str">
        <f ca="1">IFERROR(__xludf.DUMMYFUNCTION("IFERROR(ARRAYFORMULA(REGEXEXTRACT(C572,""^(?:https?:\/\/)?(?:[^@\n]+@)?(?:www\.)?([^:\/\n]+)"")),"""")"),"illum.com.mt")</f>
        <v>illum.com.mt</v>
      </c>
      <c r="E572" s="26" t="str">
        <f ca="1">IFERROR(__xludf.DUMMYFUNCTION("""COMPUTED_VALUE"""),"New")</f>
        <v>New</v>
      </c>
      <c r="P572" s="26"/>
    </row>
    <row r="573" spans="1:16" ht="14.5">
      <c r="A573" s="3" t="s">
        <v>38</v>
      </c>
      <c r="B573" s="3" t="s">
        <v>2804</v>
      </c>
      <c r="C573" s="46" t="s">
        <v>3801</v>
      </c>
      <c r="D573" s="41" t="str">
        <f ca="1">IFERROR(__xludf.DUMMYFUNCTION("IFERROR(ARRAYFORMULA(REGEXEXTRACT(C573,""^(?:https?:\/\/)?(?:[^@\n]+@)?(?:www\.)?([^:\/\n]+)"")),"""")"),"nerdbot.com")</f>
        <v>nerdbot.com</v>
      </c>
      <c r="E573" s="26" t="str">
        <f ca="1">IFERROR(__xludf.DUMMYFUNCTION("""COMPUTED_VALUE"""),"New")</f>
        <v>New</v>
      </c>
      <c r="P573" s="26"/>
    </row>
    <row r="574" spans="1:16" ht="14.5">
      <c r="A574" s="3" t="s">
        <v>38</v>
      </c>
      <c r="B574" s="3" t="s">
        <v>2804</v>
      </c>
      <c r="C574" s="46" t="s">
        <v>3802</v>
      </c>
      <c r="D574" s="41" t="str">
        <f ca="1">IFERROR(__xludf.DUMMYFUNCTION("IFERROR(ARRAYFORMULA(REGEXEXTRACT(C574,""^(?:https?:\/\/)?(?:[^@\n]+@)?(?:www\.)?([^:\/\n]+)"")),"""")"),"kyleads.com")</f>
        <v>kyleads.com</v>
      </c>
      <c r="E574" s="26" t="str">
        <f ca="1">IFERROR(__xludf.DUMMYFUNCTION("""COMPUTED_VALUE"""),"New")</f>
        <v>New</v>
      </c>
      <c r="P574" s="26"/>
    </row>
    <row r="575" spans="1:16" ht="14.5">
      <c r="A575" s="3" t="s">
        <v>38</v>
      </c>
      <c r="B575" s="3" t="s">
        <v>2804</v>
      </c>
      <c r="C575" s="46" t="s">
        <v>3803</v>
      </c>
      <c r="D575" s="41" t="str">
        <f ca="1">IFERROR(__xludf.DUMMYFUNCTION("IFERROR(ARRAYFORMULA(REGEXEXTRACT(C575,""^(?:https?:\/\/)?(?:[^@\n]+@)?(?:www\.)?([^:\/\n]+)"")),"""")"),"neoreach.com")</f>
        <v>neoreach.com</v>
      </c>
      <c r="E575" s="26" t="str">
        <f ca="1">IFERROR(__xludf.DUMMYFUNCTION("""COMPUTED_VALUE"""),"New")</f>
        <v>New</v>
      </c>
      <c r="P575" s="26"/>
    </row>
    <row r="576" spans="1:16" ht="14.5">
      <c r="A576" s="3" t="s">
        <v>38</v>
      </c>
      <c r="B576" s="3" t="s">
        <v>2804</v>
      </c>
      <c r="C576" s="46" t="s">
        <v>3804</v>
      </c>
      <c r="D576" s="41" t="str">
        <f ca="1">IFERROR(__xludf.DUMMYFUNCTION("IFERROR(ARRAYFORMULA(REGEXEXTRACT(C576,""^(?:https?:\/\/)?(?:[^@\n]+@)?(?:www\.)?([^:\/\n]+)"")),"""")"),"tribulant.com")</f>
        <v>tribulant.com</v>
      </c>
      <c r="E576" s="26" t="str">
        <f ca="1">IFERROR(__xludf.DUMMYFUNCTION("""COMPUTED_VALUE"""),"New")</f>
        <v>New</v>
      </c>
      <c r="P576" s="26"/>
    </row>
    <row r="577" spans="1:16" ht="14.5" hidden="1">
      <c r="A577" s="3" t="s">
        <v>38</v>
      </c>
      <c r="B577" s="3" t="s">
        <v>2804</v>
      </c>
      <c r="C577" s="46" t="s">
        <v>3805</v>
      </c>
      <c r="D577" s="41" t="str">
        <f ca="1">IFERROR(__xludf.DUMMYFUNCTION("IFERROR(ARRAYFORMULA(REGEXEXTRACT(C577,""^(?:https?:\/\/)?(?:[^@\n]+@)?(?:www\.)?([^:\/\n]+)"")),"""")"),"skillsyouneed.com")</f>
        <v>skillsyouneed.com</v>
      </c>
      <c r="E577" s="26" t="str">
        <f ca="1">IFERROR(__xludf.DUMMYFUNCTION("""COMPUTED_VALUE"""),"Already Exists")</f>
        <v>Already Exists</v>
      </c>
    </row>
    <row r="578" spans="1:16" ht="14.5">
      <c r="A578" s="3" t="s">
        <v>38</v>
      </c>
      <c r="B578" s="3" t="s">
        <v>2804</v>
      </c>
      <c r="C578" s="46" t="s">
        <v>3806</v>
      </c>
      <c r="D578" s="41" t="str">
        <f ca="1">IFERROR(__xludf.DUMMYFUNCTION("IFERROR(ARRAYFORMULA(REGEXEXTRACT(C578,""^(?:https?:\/\/)?(?:[^@\n]+@)?(?:www\.)?([^:\/\n]+)"")),"""")"),"lovinmalta.com")</f>
        <v>lovinmalta.com</v>
      </c>
      <c r="E578" s="26" t="str">
        <f ca="1">IFERROR(__xludf.DUMMYFUNCTION("""COMPUTED_VALUE"""),"New")</f>
        <v>New</v>
      </c>
      <c r="P578" s="26"/>
    </row>
    <row r="579" spans="1:16" ht="14.5" hidden="1">
      <c r="A579" s="3" t="s">
        <v>38</v>
      </c>
      <c r="B579" s="3" t="s">
        <v>2804</v>
      </c>
      <c r="C579" s="47" t="s">
        <v>3807</v>
      </c>
      <c r="D579" s="41" t="str">
        <f ca="1">IFERROR(__xludf.DUMMYFUNCTION("IFERROR(ARRAYFORMULA(REGEXEXTRACT(C579,""^(?:https?:\/\/)?(?:[^@\n]+@)?(?:www\.)?([^:\/\n]+)"")),"""")"),"repliescorner.com")</f>
        <v>repliescorner.com</v>
      </c>
      <c r="E579" s="26" t="str">
        <f ca="1">IFERROR(__xludf.DUMMYFUNCTION("""COMPUTED_VALUE"""),"Already Exists")</f>
        <v>Already Exists</v>
      </c>
      <c r="F579" s="27">
        <v>51</v>
      </c>
      <c r="G579" s="27">
        <v>2100</v>
      </c>
      <c r="J579" s="27" t="s">
        <v>3808</v>
      </c>
      <c r="K579" s="27" t="s">
        <v>3756</v>
      </c>
      <c r="L579" s="112"/>
      <c r="M579" s="66" t="s">
        <v>3117</v>
      </c>
      <c r="N579" s="48">
        <v>46033</v>
      </c>
      <c r="P579" s="27" t="s">
        <v>3201</v>
      </c>
    </row>
    <row r="580" spans="1:16" ht="14.5" hidden="1">
      <c r="A580" s="3" t="s">
        <v>38</v>
      </c>
      <c r="B580" s="3" t="s">
        <v>2804</v>
      </c>
      <c r="C580" s="46" t="s">
        <v>3809</v>
      </c>
      <c r="D580" s="41" t="str">
        <f ca="1">IFERROR(__xludf.DUMMYFUNCTION("IFERROR(ARRAYFORMULA(REGEXEXTRACT(C580,""^(?:https?:\/\/)?(?:[^@\n]+@)?(?:www\.)?([^:\/\n]+)"")),"""")"),"idealmagazine.co.uk")</f>
        <v>idealmagazine.co.uk</v>
      </c>
      <c r="E580" s="26" t="str">
        <f ca="1">IFERROR(__xludf.DUMMYFUNCTION("""COMPUTED_VALUE"""),"Already Exists")</f>
        <v>Already Exists</v>
      </c>
    </row>
    <row r="581" spans="1:16" ht="14.5">
      <c r="A581" s="3" t="s">
        <v>38</v>
      </c>
      <c r="B581" s="3" t="s">
        <v>2804</v>
      </c>
      <c r="C581" s="49" t="s">
        <v>3810</v>
      </c>
      <c r="D581" s="41" t="str">
        <f ca="1">IFERROR(__xludf.DUMMYFUNCTION("IFERROR(ARRAYFORMULA(REGEXEXTRACT(C581,""^(?:https?:\/\/)?(?:[^@\n]+@)?(?:www\.)?([^:\/\n]+)"")),"""")"),"markmeets.com")</f>
        <v>markmeets.com</v>
      </c>
      <c r="E581" s="26" t="str">
        <f ca="1">IFERROR(__xludf.DUMMYFUNCTION("""COMPUTED_VALUE"""),"New")</f>
        <v>New</v>
      </c>
      <c r="F581" s="27">
        <v>69</v>
      </c>
      <c r="G581" s="27">
        <v>7400</v>
      </c>
      <c r="H581" s="27" t="s">
        <v>3811</v>
      </c>
      <c r="I581" s="27" t="s">
        <v>3812</v>
      </c>
      <c r="J581" s="27" t="s">
        <v>3813</v>
      </c>
      <c r="K581" s="27" t="s">
        <v>3772</v>
      </c>
      <c r="L581" s="112"/>
      <c r="M581" s="66" t="s">
        <v>3117</v>
      </c>
      <c r="N581" s="48">
        <v>46033</v>
      </c>
      <c r="O581" s="48">
        <v>46070</v>
      </c>
      <c r="P581" s="26"/>
    </row>
    <row r="582" spans="1:16" ht="14.5">
      <c r="A582" s="3" t="s">
        <v>38</v>
      </c>
      <c r="B582" s="3" t="s">
        <v>2804</v>
      </c>
      <c r="C582" s="46" t="s">
        <v>3814</v>
      </c>
      <c r="D582" s="41" t="str">
        <f ca="1">IFERROR(__xludf.DUMMYFUNCTION("IFERROR(ARRAYFORMULA(REGEXEXTRACT(C582,""^(?:https?:\/\/)?(?:[^@\n]+@)?(?:www\.)?([^:\/\n]+)"")),"""")"),"webdew.com")</f>
        <v>webdew.com</v>
      </c>
      <c r="E582" s="26" t="str">
        <f ca="1">IFERROR(__xludf.DUMMYFUNCTION("""COMPUTED_VALUE"""),"New")</f>
        <v>New</v>
      </c>
      <c r="P582" s="26"/>
    </row>
    <row r="583" spans="1:16" ht="14.5" hidden="1">
      <c r="A583" s="3" t="s">
        <v>38</v>
      </c>
      <c r="B583" s="3" t="s">
        <v>2804</v>
      </c>
      <c r="C583" s="47" t="s">
        <v>3815</v>
      </c>
      <c r="D583" s="41" t="str">
        <f ca="1">IFERROR(__xludf.DUMMYFUNCTION("IFERROR(ARRAYFORMULA(REGEXEXTRACT(C583,""^(?:https?:\/\/)?(?:[^@\n]+@)?(?:www\.)?([^:\/\n]+)"")),"""")"),"deliberatedirections.com")</f>
        <v>deliberatedirections.com</v>
      </c>
      <c r="E583" s="26" t="str">
        <f ca="1">IFERROR(__xludf.DUMMYFUNCTION("""COMPUTED_VALUE"""),"Already Exists")</f>
        <v>Already Exists</v>
      </c>
      <c r="F583" s="27">
        <v>66</v>
      </c>
      <c r="G583" s="27">
        <v>34100</v>
      </c>
      <c r="H583" s="27" t="s">
        <v>3816</v>
      </c>
      <c r="I583" s="27" t="s">
        <v>3817</v>
      </c>
      <c r="J583" s="27" t="s">
        <v>3818</v>
      </c>
      <c r="K583" s="27" t="s">
        <v>3795</v>
      </c>
      <c r="L583" s="112"/>
      <c r="M583" s="66" t="s">
        <v>3117</v>
      </c>
      <c r="N583" s="48">
        <v>46033</v>
      </c>
      <c r="P583" s="27" t="s">
        <v>3201</v>
      </c>
    </row>
    <row r="584" spans="1:16" ht="14.5">
      <c r="A584" s="3" t="s">
        <v>38</v>
      </c>
      <c r="B584" s="3" t="s">
        <v>2804</v>
      </c>
      <c r="C584" s="46" t="s">
        <v>3819</v>
      </c>
      <c r="D584" s="41" t="str">
        <f ca="1">IFERROR(__xludf.DUMMYFUNCTION("IFERROR(ARRAYFORMULA(REGEXEXTRACT(C584,""^(?:https?:\/\/)?(?:[^@\n]+@)?(?:www\.)?([^:\/\n]+)"")),"""")"),"thedatascientist.com")</f>
        <v>thedatascientist.com</v>
      </c>
      <c r="E584" s="26" t="str">
        <f ca="1">IFERROR(__xludf.DUMMYFUNCTION("""COMPUTED_VALUE"""),"New")</f>
        <v>New</v>
      </c>
      <c r="P584" s="26"/>
    </row>
    <row r="585" spans="1:16" ht="14.5">
      <c r="A585" s="3" t="s">
        <v>38</v>
      </c>
      <c r="B585" s="3" t="s">
        <v>2804</v>
      </c>
      <c r="C585" s="46" t="s">
        <v>3820</v>
      </c>
      <c r="D585" s="41" t="str">
        <f ca="1">IFERROR(__xludf.DUMMYFUNCTION("IFERROR(ARRAYFORMULA(REGEXEXTRACT(C585,""^(?:https?:\/\/)?(?:[^@\n]+@)?(?:www\.)?([^:\/\n]+)"")),"""")"),"guidememalta.com")</f>
        <v>guidememalta.com</v>
      </c>
      <c r="E585" s="26" t="str">
        <f ca="1">IFERROR(__xludf.DUMMYFUNCTION("""COMPUTED_VALUE"""),"New")</f>
        <v>New</v>
      </c>
      <c r="P585" s="26"/>
    </row>
    <row r="586" spans="1:16" ht="14.5">
      <c r="A586" s="3" t="s">
        <v>38</v>
      </c>
      <c r="B586" s="3" t="s">
        <v>2804</v>
      </c>
      <c r="C586" s="49" t="s">
        <v>3821</v>
      </c>
      <c r="D586" s="44" t="str">
        <f ca="1">IFERROR(__xludf.DUMMYFUNCTION("IFERROR(ARRAYFORMULA(REGEXEXTRACT(C586,""^(?:https?:\/\/)?(?:[^@\n]+@)?(?:www\.)?([^:\/\n]+)"")),"""")"),"aicontentfy.com")</f>
        <v>aicontentfy.com</v>
      </c>
      <c r="E586" s="26" t="str">
        <f ca="1">IFERROR(__xludf.DUMMYFUNCTION("""COMPUTED_VALUE"""),"New")</f>
        <v>New</v>
      </c>
      <c r="F586" s="27">
        <v>75</v>
      </c>
      <c r="G586" s="27">
        <v>2000</v>
      </c>
      <c r="J586" s="27" t="s">
        <v>3822</v>
      </c>
      <c r="K586" s="27" t="s">
        <v>3795</v>
      </c>
      <c r="L586" s="112"/>
      <c r="M586" s="66" t="s">
        <v>3117</v>
      </c>
      <c r="N586" s="48">
        <v>46033</v>
      </c>
      <c r="P586" s="27" t="s">
        <v>3201</v>
      </c>
    </row>
    <row r="587" spans="1:16" ht="14.5">
      <c r="A587" s="3" t="s">
        <v>38</v>
      </c>
      <c r="B587" s="3" t="s">
        <v>2804</v>
      </c>
      <c r="C587" s="46" t="s">
        <v>3823</v>
      </c>
      <c r="D587" s="41" t="str">
        <f ca="1">IFERROR(__xludf.DUMMYFUNCTION("IFERROR(ARRAYFORMULA(REGEXEXTRACT(C587,""^(?:https?:\/\/)?(?:[^@\n]+@)?(?:www\.)?([^:\/\n]+)"")),"""")"),"breakingthelines.com")</f>
        <v>breakingthelines.com</v>
      </c>
      <c r="E587" s="26" t="str">
        <f ca="1">IFERROR(__xludf.DUMMYFUNCTION("""COMPUTED_VALUE"""),"New")</f>
        <v>New</v>
      </c>
      <c r="P587" s="26"/>
    </row>
    <row r="588" spans="1:16" ht="14.5">
      <c r="A588" s="3" t="s">
        <v>38</v>
      </c>
      <c r="B588" s="3" t="s">
        <v>2804</v>
      </c>
      <c r="C588" s="46" t="s">
        <v>3824</v>
      </c>
      <c r="D588" s="41" t="str">
        <f ca="1">IFERROR(__xludf.DUMMYFUNCTION("IFERROR(ARRAYFORMULA(REGEXEXTRACT(C588,""^(?:https?:\/\/)?(?:[^@\n]+@)?(?:www\.)?([^:\/\n]+)"")),"""")"),"mysanantonio.com")</f>
        <v>mysanantonio.com</v>
      </c>
      <c r="E588" s="26" t="str">
        <f ca="1">IFERROR(__xludf.DUMMYFUNCTION("""COMPUTED_VALUE"""),"New")</f>
        <v>New</v>
      </c>
      <c r="P588" s="26"/>
    </row>
    <row r="589" spans="1:16" ht="14.5">
      <c r="A589" s="3" t="s">
        <v>38</v>
      </c>
      <c r="B589" s="3" t="s">
        <v>2804</v>
      </c>
      <c r="C589" s="46" t="s">
        <v>3825</v>
      </c>
      <c r="D589" s="41" t="str">
        <f ca="1">IFERROR(__xludf.DUMMYFUNCTION("IFERROR(ARRAYFORMULA(REGEXEXTRACT(C589,""^(?:https?:\/\/)?(?:[^@\n]+@)?(?:www\.)?([^:\/\n]+)"")),"""")"),"prnews.io")</f>
        <v>prnews.io</v>
      </c>
      <c r="E589" s="26" t="str">
        <f ca="1">IFERROR(__xludf.DUMMYFUNCTION("""COMPUTED_VALUE"""),"New")</f>
        <v>New</v>
      </c>
      <c r="P589" s="26"/>
    </row>
    <row r="590" spans="1:16" ht="14.5" hidden="1">
      <c r="A590" s="3" t="s">
        <v>38</v>
      </c>
      <c r="B590" s="3" t="s">
        <v>2804</v>
      </c>
      <c r="C590" s="47" t="s">
        <v>3826</v>
      </c>
      <c r="D590" s="41" t="str">
        <f ca="1">IFERROR(__xludf.DUMMYFUNCTION("IFERROR(ARRAYFORMULA(REGEXEXTRACT(C590,""^(?:https?:\/\/)?(?:[^@\n]+@)?(?:www\.)?([^:\/\n]+)"")),"""")"),"paylinedata.com")</f>
        <v>paylinedata.com</v>
      </c>
      <c r="E590" s="26" t="str">
        <f ca="1">IFERROR(__xludf.DUMMYFUNCTION("""COMPUTED_VALUE"""),"Already Exists")</f>
        <v>Already Exists</v>
      </c>
      <c r="F590" s="27">
        <v>55</v>
      </c>
      <c r="G590" s="27">
        <v>2600</v>
      </c>
      <c r="H590" s="27" t="s">
        <v>3827</v>
      </c>
      <c r="I590" s="27" t="s">
        <v>3828</v>
      </c>
      <c r="K590" s="27" t="s">
        <v>3829</v>
      </c>
      <c r="L590" s="112"/>
      <c r="M590" s="66" t="s">
        <v>3117</v>
      </c>
      <c r="N590" s="48">
        <v>46033</v>
      </c>
      <c r="P590" s="27" t="s">
        <v>3201</v>
      </c>
    </row>
    <row r="591" spans="1:16" ht="14.5" hidden="1">
      <c r="A591" s="3" t="s">
        <v>38</v>
      </c>
      <c r="B591" s="3" t="s">
        <v>2804</v>
      </c>
      <c r="C591" s="46" t="s">
        <v>3830</v>
      </c>
      <c r="D591" s="41" t="str">
        <f ca="1">IFERROR(__xludf.DUMMYFUNCTION("IFERROR(ARRAYFORMULA(REGEXEXTRACT(C591,""^(?:https?:\/\/)?(?:[^@\n]+@)?(?:www\.)?([^:\/\n]+)"")),"""")"),"gisuser.com")</f>
        <v>gisuser.com</v>
      </c>
      <c r="E591" s="26" t="str">
        <f ca="1">IFERROR(__xludf.DUMMYFUNCTION("""COMPUTED_VALUE"""),"Already Exists")</f>
        <v>Already Exists</v>
      </c>
    </row>
    <row r="592" spans="1:16" ht="14.5">
      <c r="A592" s="3" t="s">
        <v>38</v>
      </c>
      <c r="B592" s="3" t="s">
        <v>2804</v>
      </c>
      <c r="C592" s="46" t="s">
        <v>3831</v>
      </c>
      <c r="D592" s="41" t="str">
        <f ca="1">IFERROR(__xludf.DUMMYFUNCTION("IFERROR(ARRAYFORMULA(REGEXEXTRACT(C592,""^(?:https?:\/\/)?(?:[^@\n]+@)?(?:www\.)?([^:\/\n]+)"")),"""")"),"beaumontenterprise.com")</f>
        <v>beaumontenterprise.com</v>
      </c>
      <c r="E592" s="26" t="str">
        <f ca="1">IFERROR(__xludf.DUMMYFUNCTION("""COMPUTED_VALUE"""),"New")</f>
        <v>New</v>
      </c>
      <c r="P592" s="26"/>
    </row>
    <row r="593" spans="1:16" ht="14.5" hidden="1">
      <c r="A593" s="3" t="s">
        <v>38</v>
      </c>
      <c r="B593" s="3" t="s">
        <v>2804</v>
      </c>
      <c r="C593" s="46" t="s">
        <v>3832</v>
      </c>
      <c r="D593" s="41" t="str">
        <f ca="1">IFERROR(__xludf.DUMMYFUNCTION("IFERROR(ARRAYFORMULA(REGEXEXTRACT(C593,""^(?:https?:\/\/)?(?:[^@\n]+@)?(?:www\.)?([^:\/\n]+)"")),"""")"),"reverbico.com")</f>
        <v>reverbico.com</v>
      </c>
      <c r="E593" s="26" t="str">
        <f ca="1">IFERROR(__xludf.DUMMYFUNCTION("""COMPUTED_VALUE"""),"Already Exists")</f>
        <v>Already Exists</v>
      </c>
    </row>
    <row r="594" spans="1:16" ht="14.5" hidden="1">
      <c r="A594" s="3" t="s">
        <v>38</v>
      </c>
      <c r="B594" s="3" t="s">
        <v>2804</v>
      </c>
      <c r="C594" s="46" t="s">
        <v>3833</v>
      </c>
      <c r="D594" s="41" t="str">
        <f ca="1">IFERROR(__xludf.DUMMYFUNCTION("IFERROR(ARRAYFORMULA(REGEXEXTRACT(C594,""^(?:https?:\/\/)?(?:[^@\n]+@)?(?:www\.)?([^:\/\n]+)"")),"""")"),"europeanbusinessreview.com")</f>
        <v>europeanbusinessreview.com</v>
      </c>
      <c r="E594" s="26" t="str">
        <f ca="1">IFERROR(__xludf.DUMMYFUNCTION("""COMPUTED_VALUE"""),"Already Exists")</f>
        <v>Already Exists</v>
      </c>
    </row>
    <row r="595" spans="1:16" ht="14.5">
      <c r="A595" s="3" t="s">
        <v>38</v>
      </c>
      <c r="B595" s="3" t="s">
        <v>2804</v>
      </c>
      <c r="C595" s="46" t="s">
        <v>3834</v>
      </c>
      <c r="D595" s="41" t="str">
        <f ca="1">IFERROR(__xludf.DUMMYFUNCTION("IFERROR(ARRAYFORMULA(REGEXEXTRACT(C595,""^(?:https?:\/\/)?(?:[^@\n]+@)?(?:www\.)?([^:\/\n]+)"")),"""")"),"motocms.com")</f>
        <v>motocms.com</v>
      </c>
      <c r="E595" s="26" t="str">
        <f ca="1">IFERROR(__xludf.DUMMYFUNCTION("""COMPUTED_VALUE"""),"New")</f>
        <v>New</v>
      </c>
      <c r="P595" s="26"/>
    </row>
    <row r="596" spans="1:16" ht="14.5">
      <c r="A596" s="3" t="s">
        <v>38</v>
      </c>
      <c r="B596" s="3" t="s">
        <v>2804</v>
      </c>
      <c r="C596" s="46" t="s">
        <v>3835</v>
      </c>
      <c r="D596" s="41" t="str">
        <f ca="1">IFERROR(__xludf.DUMMYFUNCTION("IFERROR(ARRAYFORMULA(REGEXEXTRACT(C596,""^(?:https?:\/\/)?(?:[^@\n]+@)?(?:www\.)?([^:\/\n]+)"")),"""")"),"whoswho.mt")</f>
        <v>whoswho.mt</v>
      </c>
      <c r="E596" s="26" t="str">
        <f ca="1">IFERROR(__xludf.DUMMYFUNCTION("""COMPUTED_VALUE"""),"New")</f>
        <v>New</v>
      </c>
      <c r="P596" s="26"/>
    </row>
    <row r="597" spans="1:16" ht="14.5">
      <c r="A597" s="3" t="s">
        <v>38</v>
      </c>
      <c r="B597" s="17" t="s">
        <v>2803</v>
      </c>
      <c r="C597" s="49" t="s">
        <v>3836</v>
      </c>
      <c r="D597" s="41" t="str">
        <f ca="1">IFERROR(__xludf.DUMMYFUNCTION("IFERROR(ARRAYFORMULA(REGEXEXTRACT(C597,""^(?:https?:\/\/)?(?:[^@\n]+@)?(?:www\.)?([^:\/\n]+)"")),"""")"),"renuityhome.com")</f>
        <v>renuityhome.com</v>
      </c>
      <c r="E597" s="26" t="str">
        <f ca="1">IFERROR(__xludf.DUMMYFUNCTION("""COMPUTED_VALUE"""),"New")</f>
        <v>New</v>
      </c>
      <c r="F597" s="27">
        <v>50</v>
      </c>
      <c r="G597" s="27">
        <v>8500</v>
      </c>
      <c r="H597" s="27" t="s">
        <v>3837</v>
      </c>
      <c r="I597" s="27" t="s">
        <v>3838</v>
      </c>
      <c r="K597" s="27" t="s">
        <v>3839</v>
      </c>
      <c r="L597" s="112"/>
      <c r="M597" s="66" t="s">
        <v>3117</v>
      </c>
      <c r="N597" s="48">
        <v>46033</v>
      </c>
      <c r="O597" s="48">
        <v>46070</v>
      </c>
      <c r="P597" s="26"/>
    </row>
    <row r="598" spans="1:16" ht="14.5" hidden="1">
      <c r="A598" s="3" t="s">
        <v>38</v>
      </c>
      <c r="B598" s="15" t="s">
        <v>2803</v>
      </c>
      <c r="C598" s="46" t="s">
        <v>3840</v>
      </c>
      <c r="D598" s="41" t="str">
        <f ca="1">IFERROR(__xludf.DUMMYFUNCTION("IFERROR(ARRAYFORMULA(REGEXEXTRACT(C598,""^(?:https?:\/\/)?(?:[^@\n]+@)?(?:www\.)?([^:\/\n]+)"")),"""")"),"spiffyspools.com")</f>
        <v>spiffyspools.com</v>
      </c>
      <c r="E598" s="26" t="str">
        <f ca="1">IFERROR(__xludf.DUMMYFUNCTION("""COMPUTED_VALUE"""),"Already Exists")</f>
        <v>Already Exists</v>
      </c>
    </row>
    <row r="599" spans="1:16" ht="14.5">
      <c r="A599" s="3" t="s">
        <v>38</v>
      </c>
      <c r="B599" s="15" t="s">
        <v>2803</v>
      </c>
      <c r="C599" s="49" t="s">
        <v>3841</v>
      </c>
      <c r="D599" s="41" t="str">
        <f ca="1">IFERROR(__xludf.DUMMYFUNCTION("IFERROR(ARRAYFORMULA(REGEXEXTRACT(C599,""^(?:https?:\/\/)?(?:[^@\n]+@)?(?:www\.)?([^:\/\n]+)"")),"""")"),"homeworksenergy.com")</f>
        <v>homeworksenergy.com</v>
      </c>
      <c r="E599" s="26" t="str">
        <f ca="1">IFERROR(__xludf.DUMMYFUNCTION("""COMPUTED_VALUE"""),"New")</f>
        <v>New</v>
      </c>
      <c r="F599" s="27">
        <v>38</v>
      </c>
      <c r="G599" s="27">
        <v>2300</v>
      </c>
      <c r="H599" s="27" t="s">
        <v>3344</v>
      </c>
      <c r="I599" s="27" t="s">
        <v>3842</v>
      </c>
      <c r="J599" s="27" t="s">
        <v>3843</v>
      </c>
      <c r="K599" s="27" t="s">
        <v>3844</v>
      </c>
      <c r="L599" s="112"/>
      <c r="M599" s="66" t="s">
        <v>3117</v>
      </c>
      <c r="N599" s="48">
        <v>46033</v>
      </c>
      <c r="O599" s="48">
        <v>46070</v>
      </c>
      <c r="P599" s="26"/>
    </row>
    <row r="600" spans="1:16" ht="14.5">
      <c r="A600" s="3" t="s">
        <v>38</v>
      </c>
      <c r="B600" s="15" t="s">
        <v>2803</v>
      </c>
      <c r="C600" s="49" t="s">
        <v>3845</v>
      </c>
      <c r="D600" s="41" t="str">
        <f ca="1">IFERROR(__xludf.DUMMYFUNCTION("IFERROR(ARRAYFORMULA(REGEXEXTRACT(C600,""^(?:https?:\/\/)?(?:[^@\n]+@)?(?:www\.)?([^:\/\n]+)"")),"""")"),"callrevise.com")</f>
        <v>callrevise.com</v>
      </c>
      <c r="E600" s="26" t="str">
        <f ca="1">IFERROR(__xludf.DUMMYFUNCTION("""COMPUTED_VALUE"""),"New")</f>
        <v>New</v>
      </c>
      <c r="F600" s="27">
        <v>35</v>
      </c>
      <c r="G600" s="27">
        <v>1700</v>
      </c>
      <c r="H600" s="27" t="s">
        <v>3846</v>
      </c>
      <c r="I600" s="27" t="s">
        <v>3847</v>
      </c>
      <c r="J600" s="27" t="s">
        <v>3848</v>
      </c>
      <c r="K600" s="27" t="s">
        <v>3844</v>
      </c>
      <c r="L600" s="112"/>
      <c r="M600" s="66" t="s">
        <v>3117</v>
      </c>
      <c r="N600" s="48">
        <v>46033</v>
      </c>
      <c r="O600" s="48">
        <v>46070</v>
      </c>
      <c r="P600" s="26"/>
    </row>
    <row r="601" spans="1:16" ht="16.5" customHeight="1">
      <c r="A601" s="3" t="s">
        <v>38</v>
      </c>
      <c r="B601" s="15" t="s">
        <v>2803</v>
      </c>
      <c r="C601" s="49" t="s">
        <v>3849</v>
      </c>
      <c r="D601" s="41" t="str">
        <f ca="1">IFERROR(__xludf.DUMMYFUNCTION("IFERROR(ARRAYFORMULA(REGEXEXTRACT(C601,""^(?:https?:\/\/)?(?:[^@\n]+@)?(?:www\.)?([^:\/\n]+)"")),"""")"),"tranio.com")</f>
        <v>tranio.com</v>
      </c>
      <c r="E601" s="26" t="str">
        <f ca="1">IFERROR(__xludf.DUMMYFUNCTION("""COMPUTED_VALUE"""),"New")</f>
        <v>New</v>
      </c>
      <c r="F601" s="27">
        <v>68</v>
      </c>
      <c r="G601" s="27">
        <v>13200</v>
      </c>
      <c r="H601" s="27" t="s">
        <v>3850</v>
      </c>
      <c r="I601" s="27" t="s">
        <v>3851</v>
      </c>
      <c r="J601" s="27" t="s">
        <v>3852</v>
      </c>
      <c r="K601" s="27" t="s">
        <v>3853</v>
      </c>
      <c r="L601" s="112"/>
      <c r="M601" s="27" t="s">
        <v>3715</v>
      </c>
      <c r="N601" s="48">
        <v>46033</v>
      </c>
      <c r="O601" s="37">
        <v>46064</v>
      </c>
      <c r="P601" s="26"/>
    </row>
    <row r="602" spans="1:16" ht="14.5" hidden="1">
      <c r="A602" s="3" t="s">
        <v>38</v>
      </c>
      <c r="B602" s="15" t="s">
        <v>2803</v>
      </c>
      <c r="C602" s="46" t="s">
        <v>3854</v>
      </c>
      <c r="D602" s="41" t="str">
        <f ca="1">IFERROR(__xludf.DUMMYFUNCTION("IFERROR(ARRAYFORMULA(REGEXEXTRACT(C602,""^(?:https?:\/\/)?(?:[^@\n]+@)?(?:www\.)?([^:\/\n]+)"")),"""")"),"quickanddirtytips.com")</f>
        <v>quickanddirtytips.com</v>
      </c>
      <c r="E602" s="26" t="str">
        <f ca="1">IFERROR(__xludf.DUMMYFUNCTION("""COMPUTED_VALUE"""),"Already Exists")</f>
        <v>Already Exists</v>
      </c>
    </row>
    <row r="603" spans="1:16" ht="14.5">
      <c r="A603" s="3" t="s">
        <v>38</v>
      </c>
      <c r="B603" s="15" t="s">
        <v>2803</v>
      </c>
      <c r="C603" s="49" t="s">
        <v>3855</v>
      </c>
      <c r="D603" s="41" t="str">
        <f ca="1">IFERROR(__xludf.DUMMYFUNCTION("IFERROR(ARRAYFORMULA(REGEXEXTRACT(C603,""^(?:https?:\/\/)?(?:[^@\n]+@)?(?:www\.)?([^:\/\n]+)"")),"""")"),"greenecodream.com")</f>
        <v>greenecodream.com</v>
      </c>
      <c r="E603" s="26" t="str">
        <f ca="1">IFERROR(__xludf.DUMMYFUNCTION("""COMPUTED_VALUE"""),"New")</f>
        <v>New</v>
      </c>
      <c r="F603" s="27">
        <v>41</v>
      </c>
      <c r="G603" s="27">
        <v>5100</v>
      </c>
      <c r="J603" s="38" t="s">
        <v>3856</v>
      </c>
      <c r="K603" s="38" t="s">
        <v>3756</v>
      </c>
      <c r="L603" s="38"/>
      <c r="M603" s="38" t="s">
        <v>3715</v>
      </c>
      <c r="N603" s="48">
        <v>46033</v>
      </c>
      <c r="O603" s="39"/>
      <c r="P603" s="26"/>
    </row>
    <row r="604" spans="1:16" ht="14.5">
      <c r="A604" s="3" t="s">
        <v>38</v>
      </c>
      <c r="B604" s="15" t="s">
        <v>2803</v>
      </c>
      <c r="C604" s="49" t="s">
        <v>3857</v>
      </c>
      <c r="D604" s="44" t="str">
        <f ca="1">IFERROR(__xludf.DUMMYFUNCTION("IFERROR(ARRAYFORMULA(REGEXEXTRACT(C604,""^(?:https?:\/\/)?(?:[^@\n]+@)?(?:www\.)?([^:\/\n]+)"")),"""")"),"wellbeingmagazine.com")</f>
        <v>wellbeingmagazine.com</v>
      </c>
      <c r="E604" s="26" t="str">
        <f ca="1">IFERROR(__xludf.DUMMYFUNCTION("""COMPUTED_VALUE"""),"New")</f>
        <v>New</v>
      </c>
      <c r="F604" s="27">
        <v>59</v>
      </c>
      <c r="G604" s="27">
        <v>1300</v>
      </c>
      <c r="H604" s="27" t="s">
        <v>3858</v>
      </c>
      <c r="I604" s="27" t="s">
        <v>3859</v>
      </c>
      <c r="K604" s="27" t="s">
        <v>3772</v>
      </c>
      <c r="L604" s="112"/>
      <c r="M604" s="27" t="s">
        <v>3715</v>
      </c>
      <c r="N604" s="48">
        <v>46033</v>
      </c>
      <c r="O604" s="37">
        <v>46064</v>
      </c>
      <c r="P604" s="27" t="s">
        <v>3201</v>
      </c>
    </row>
    <row r="605" spans="1:16" ht="14.5" hidden="1">
      <c r="A605" s="3" t="s">
        <v>38</v>
      </c>
      <c r="B605" s="15" t="s">
        <v>2803</v>
      </c>
      <c r="C605" s="46" t="s">
        <v>3860</v>
      </c>
      <c r="D605" s="41" t="str">
        <f ca="1">IFERROR(__xludf.DUMMYFUNCTION("IFERROR(ARRAYFORMULA(REGEXEXTRACT(C605,""^(?:https?:\/\/)?(?:[^@\n]+@)?(?:www\.)?([^:\/\n]+)"")),"""")"),"skyryedesign.com")</f>
        <v>skyryedesign.com</v>
      </c>
      <c r="E605" s="26" t="str">
        <f ca="1">IFERROR(__xludf.DUMMYFUNCTION("""COMPUTED_VALUE"""),"Already Exists")</f>
        <v>Already Exists</v>
      </c>
    </row>
    <row r="606" spans="1:16" ht="14.5" hidden="1">
      <c r="A606" s="3" t="s">
        <v>38</v>
      </c>
      <c r="B606" s="15" t="s">
        <v>2803</v>
      </c>
      <c r="C606" s="47" t="s">
        <v>3861</v>
      </c>
      <c r="D606" s="41" t="str">
        <f ca="1">IFERROR(__xludf.DUMMYFUNCTION("IFERROR(ARRAYFORMULA(REGEXEXTRACT(C606,""^(?:https?:\/\/)?(?:[^@\n]+@)?(?:www\.)?([^:\/\n]+)"")),"""")"),"michaelhelwiginteriors.com")</f>
        <v>michaelhelwiginteriors.com</v>
      </c>
      <c r="E606" s="26" t="str">
        <f ca="1">IFERROR(__xludf.DUMMYFUNCTION("""COMPUTED_VALUE"""),"Already Exists")</f>
        <v>Already Exists</v>
      </c>
      <c r="F606" s="27">
        <v>40</v>
      </c>
      <c r="G606" s="27">
        <v>17000</v>
      </c>
      <c r="H606" s="27" t="s">
        <v>3862</v>
      </c>
      <c r="J606" s="27" t="s">
        <v>3863</v>
      </c>
      <c r="K606" s="27" t="s">
        <v>3864</v>
      </c>
      <c r="L606" s="112"/>
      <c r="M606" s="27" t="s">
        <v>3715</v>
      </c>
      <c r="N606" s="48">
        <v>46033</v>
      </c>
      <c r="P606" s="27" t="s">
        <v>3201</v>
      </c>
    </row>
    <row r="607" spans="1:16" ht="14.5" hidden="1">
      <c r="A607" s="3" t="s">
        <v>38</v>
      </c>
      <c r="B607" s="15" t="s">
        <v>2803</v>
      </c>
      <c r="C607" s="46" t="s">
        <v>3865</v>
      </c>
      <c r="D607" s="41" t="str">
        <f ca="1">IFERROR(__xludf.DUMMYFUNCTION("IFERROR(ARRAYFORMULA(REGEXEXTRACT(C607,""^(?:https?:\/\/)?(?:[^@\n]+@)?(?:www\.)?([^:\/\n]+)"")),"""")"),"lovehappensmag.com")</f>
        <v>lovehappensmag.com</v>
      </c>
      <c r="E607" s="26" t="str">
        <f ca="1">IFERROR(__xludf.DUMMYFUNCTION("""COMPUTED_VALUE"""),"Already Exists")</f>
        <v>Already Exists</v>
      </c>
    </row>
    <row r="608" spans="1:16" ht="14.5">
      <c r="A608" s="3" t="s">
        <v>38</v>
      </c>
      <c r="B608" s="15" t="s">
        <v>2803</v>
      </c>
      <c r="C608" s="49" t="s">
        <v>3866</v>
      </c>
      <c r="D608" s="41" t="str">
        <f ca="1">IFERROR(__xludf.DUMMYFUNCTION("IFERROR(ARRAYFORMULA(REGEXEXTRACT(C608,""^(?:https?:\/\/)?(?:[^@\n]+@)?(?:www\.)?([^:\/\n]+)"")),"""")"),"fooddrinklife.com")</f>
        <v>fooddrinklife.com</v>
      </c>
      <c r="E608" s="26" t="str">
        <f ca="1">IFERROR(__xludf.DUMMYFUNCTION("""COMPUTED_VALUE"""),"New")</f>
        <v>New</v>
      </c>
      <c r="F608" s="27">
        <v>60</v>
      </c>
      <c r="G608" s="27">
        <v>13800</v>
      </c>
      <c r="H608" s="27" t="s">
        <v>3867</v>
      </c>
      <c r="I608" s="27" t="s">
        <v>3868</v>
      </c>
      <c r="J608" s="27" t="s">
        <v>3869</v>
      </c>
      <c r="K608" s="27" t="s">
        <v>3756</v>
      </c>
      <c r="L608" s="112"/>
      <c r="M608" s="27" t="s">
        <v>3715</v>
      </c>
      <c r="N608" s="48">
        <v>46033</v>
      </c>
      <c r="O608" s="37">
        <v>46064</v>
      </c>
      <c r="P608" s="26"/>
    </row>
    <row r="609" spans="1:16" ht="14.5">
      <c r="A609" s="3" t="s">
        <v>38</v>
      </c>
      <c r="B609" s="15" t="s">
        <v>2803</v>
      </c>
      <c r="C609" s="49" t="s">
        <v>3870</v>
      </c>
      <c r="D609" s="41" t="str">
        <f ca="1">IFERROR(__xludf.DUMMYFUNCTION("IFERROR(ARRAYFORMULA(REGEXEXTRACT(C609,""^(?:https?:\/\/)?(?:[^@\n]+@)?(?:www\.)?([^:\/\n]+)"")),"""")"),"islandpaints.com")</f>
        <v>islandpaints.com</v>
      </c>
      <c r="E609" s="26" t="str">
        <f ca="1">IFERROR(__xludf.DUMMYFUNCTION("""COMPUTED_VALUE"""),"New")</f>
        <v>New</v>
      </c>
      <c r="F609" s="27">
        <v>27</v>
      </c>
      <c r="G609" s="27">
        <v>2400</v>
      </c>
      <c r="H609" s="27" t="s">
        <v>3837</v>
      </c>
      <c r="I609" s="27" t="s">
        <v>3871</v>
      </c>
      <c r="J609" s="27" t="s">
        <v>3872</v>
      </c>
      <c r="K609" s="27" t="s">
        <v>3844</v>
      </c>
      <c r="L609" s="112"/>
      <c r="M609" s="27" t="s">
        <v>3715</v>
      </c>
      <c r="N609" s="48">
        <v>46033</v>
      </c>
      <c r="P609" s="26"/>
    </row>
    <row r="610" spans="1:16" ht="14.5" hidden="1">
      <c r="A610" s="3" t="s">
        <v>38</v>
      </c>
      <c r="B610" s="15" t="s">
        <v>2803</v>
      </c>
      <c r="C610" s="46" t="s">
        <v>3873</v>
      </c>
      <c r="D610" s="41" t="str">
        <f ca="1">IFERROR(__xludf.DUMMYFUNCTION("IFERROR(ARRAYFORMULA(REGEXEXTRACT(C610,""^(?:https?:\/\/)?(?:[^@\n]+@)?(?:www\.)?([^:\/\n]+)"")),"""")"),"unfinishedman.com")</f>
        <v>unfinishedman.com</v>
      </c>
      <c r="E610" s="26" t="str">
        <f ca="1">IFERROR(__xludf.DUMMYFUNCTION("""COMPUTED_VALUE"""),"Already Exists")</f>
        <v>Already Exists</v>
      </c>
    </row>
    <row r="611" spans="1:16" ht="14.5">
      <c r="A611" s="3" t="s">
        <v>38</v>
      </c>
      <c r="B611" s="15" t="s">
        <v>2803</v>
      </c>
      <c r="C611" s="46" t="s">
        <v>3874</v>
      </c>
      <c r="D611" s="41" t="str">
        <f ca="1">IFERROR(__xludf.DUMMYFUNCTION("IFERROR(ARRAYFORMULA(REGEXEXTRACT(C611,""^(?:https?:\/\/)?(?:[^@\n]+@)?(?:www\.)?([^:\/\n]+)"")),"""")"),"siit.co")</f>
        <v>siit.co</v>
      </c>
      <c r="E611" s="26" t="str">
        <f ca="1">IFERROR(__xludf.DUMMYFUNCTION("""COMPUTED_VALUE"""),"New")</f>
        <v>New</v>
      </c>
      <c r="P611" s="26"/>
    </row>
    <row r="612" spans="1:16" ht="14.5">
      <c r="A612" s="3" t="s">
        <v>38</v>
      </c>
      <c r="B612" s="15" t="s">
        <v>2803</v>
      </c>
      <c r="C612" s="46" t="s">
        <v>3875</v>
      </c>
      <c r="D612" s="41" t="str">
        <f ca="1">IFERROR(__xludf.DUMMYFUNCTION("IFERROR(ARRAYFORMULA(REGEXEXTRACT(C612,""^(?:https?:\/\/)?(?:[^@\n]+@)?(?:www\.)?([^:\/\n]+)"")),"""")"),"portsmouthnh.ticketsauce.com")</f>
        <v>portsmouthnh.ticketsauce.com</v>
      </c>
      <c r="E612" s="26" t="str">
        <f ca="1">IFERROR(__xludf.DUMMYFUNCTION("""COMPUTED_VALUE"""),"New")</f>
        <v>New</v>
      </c>
      <c r="P612" s="26"/>
    </row>
    <row r="613" spans="1:16" ht="14.5" hidden="1">
      <c r="A613" s="3" t="s">
        <v>38</v>
      </c>
      <c r="B613" s="15" t="s">
        <v>2803</v>
      </c>
      <c r="C613" s="46" t="s">
        <v>3876</v>
      </c>
      <c r="D613" s="41" t="str">
        <f ca="1">IFERROR(__xludf.DUMMYFUNCTION("IFERROR(ARRAYFORMULA(REGEXEXTRACT(C613,""^(?:https?:\/\/)?(?:[^@\n]+@)?(?:www\.)?([^:\/\n]+)"")),"""")"),"retail-insider.com")</f>
        <v>retail-insider.com</v>
      </c>
      <c r="E613" s="26" t="str">
        <f ca="1">IFERROR(__xludf.DUMMYFUNCTION("""COMPUTED_VALUE"""),"Already Exists")</f>
        <v>Already Exists</v>
      </c>
    </row>
    <row r="614" spans="1:16" ht="14.5">
      <c r="A614" s="3" t="s">
        <v>38</v>
      </c>
      <c r="B614" s="15" t="s">
        <v>2803</v>
      </c>
      <c r="C614" s="47" t="s">
        <v>3877</v>
      </c>
      <c r="D614" s="41" t="str">
        <f ca="1">IFERROR(__xludf.DUMMYFUNCTION("IFERROR(ARRAYFORMULA(REGEXEXTRACT(C614,""^(?:https?:\/\/)?(?:[^@\n]+@)?(?:www\.)?([^:\/\n]+)"")),"""")"),"mygreenbucks.net")</f>
        <v>mygreenbucks.net</v>
      </c>
      <c r="E614" s="26" t="str">
        <f ca="1">IFERROR(__xludf.DUMMYFUNCTION("""COMPUTED_VALUE"""),"New")</f>
        <v>New</v>
      </c>
      <c r="F614" s="27">
        <v>68</v>
      </c>
      <c r="G614" s="27">
        <v>54500</v>
      </c>
      <c r="J614" s="27" t="s">
        <v>3878</v>
      </c>
      <c r="K614" s="27" t="s">
        <v>3756</v>
      </c>
      <c r="L614" s="112"/>
      <c r="M614" s="27" t="s">
        <v>3715</v>
      </c>
      <c r="N614" s="48">
        <v>46033</v>
      </c>
      <c r="P614" s="27" t="s">
        <v>3201</v>
      </c>
    </row>
    <row r="615" spans="1:16" ht="14.5">
      <c r="A615" s="3" t="s">
        <v>38</v>
      </c>
      <c r="B615" s="15" t="s">
        <v>2803</v>
      </c>
      <c r="C615" s="46" t="s">
        <v>3879</v>
      </c>
      <c r="D615" s="41" t="str">
        <f ca="1">IFERROR(__xludf.DUMMYFUNCTION("IFERROR(ARRAYFORMULA(REGEXEXTRACT(C615,""^(?:https?:\/\/)?(?:[^@\n]+@)?(?:www\.)?([^:\/\n]+)"")),"""")"),"cbinsights.com")</f>
        <v>cbinsights.com</v>
      </c>
      <c r="E615" s="26" t="str">
        <f ca="1">IFERROR(__xludf.DUMMYFUNCTION("""COMPUTED_VALUE"""),"New")</f>
        <v>New</v>
      </c>
      <c r="P615" s="26"/>
    </row>
    <row r="616" spans="1:16" ht="14.5" hidden="1">
      <c r="A616" s="3" t="s">
        <v>38</v>
      </c>
      <c r="B616" s="15" t="s">
        <v>2803</v>
      </c>
      <c r="C616" s="46" t="s">
        <v>3880</v>
      </c>
      <c r="D616" s="41" t="str">
        <f ca="1">IFERROR(__xludf.DUMMYFUNCTION("IFERROR(ARRAYFORMULA(REGEXEXTRACT(C616,""^(?:https?:\/\/)?(?:[^@\n]+@)?(?:www\.)?([^:\/\n]+)"")),"""")"),"decoratoradvice.com")</f>
        <v>decoratoradvice.com</v>
      </c>
      <c r="E616" s="26" t="str">
        <f ca="1">IFERROR(__xludf.DUMMYFUNCTION("""COMPUTED_VALUE"""),"Already Exists")</f>
        <v>Already Exists</v>
      </c>
    </row>
    <row r="617" spans="1:16" ht="14.5">
      <c r="A617" s="3" t="s">
        <v>38</v>
      </c>
      <c r="B617" s="15" t="s">
        <v>2803</v>
      </c>
      <c r="C617" s="49" t="s">
        <v>3881</v>
      </c>
      <c r="D617" s="41" t="str">
        <f ca="1">IFERROR(__xludf.DUMMYFUNCTION("IFERROR(ARRAYFORMULA(REGEXEXTRACT(C617,""^(?:https?:\/\/)?(?:[^@\n]+@)?(?:www\.)?([^:\/\n]+)"")),"""")"),"sciencetimes.com")</f>
        <v>sciencetimes.com</v>
      </c>
      <c r="E617" s="26" t="str">
        <f ca="1">IFERROR(__xludf.DUMMYFUNCTION("""COMPUTED_VALUE"""),"New")</f>
        <v>New</v>
      </c>
      <c r="F617" s="27">
        <v>74</v>
      </c>
      <c r="G617" s="27">
        <v>3200</v>
      </c>
      <c r="J617" s="27" t="s">
        <v>3882</v>
      </c>
      <c r="M617" s="27" t="s">
        <v>3715</v>
      </c>
      <c r="N617" s="48">
        <v>46033</v>
      </c>
      <c r="O617" s="37">
        <v>46064</v>
      </c>
      <c r="P617" s="26"/>
    </row>
    <row r="618" spans="1:16" ht="14.5">
      <c r="A618" s="3" t="s">
        <v>38</v>
      </c>
      <c r="B618" s="15" t="s">
        <v>2803</v>
      </c>
      <c r="C618" s="46" t="s">
        <v>3883</v>
      </c>
      <c r="D618" s="41" t="str">
        <f ca="1">IFERROR(__xludf.DUMMYFUNCTION("IFERROR(ARRAYFORMULA(REGEXEXTRACT(C618,""^(?:https?:\/\/)?(?:[^@\n]+@)?(?:www\.)?([^:\/\n]+)"")),"""")"),"b2b.getemail.io")</f>
        <v>b2b.getemail.io</v>
      </c>
      <c r="E618" s="26" t="str">
        <f ca="1">IFERROR(__xludf.DUMMYFUNCTION("""COMPUTED_VALUE"""),"New")</f>
        <v>New</v>
      </c>
      <c r="P618" s="26"/>
    </row>
    <row r="619" spans="1:16" ht="14.5">
      <c r="A619" s="3" t="s">
        <v>38</v>
      </c>
      <c r="B619" s="15" t="s">
        <v>2803</v>
      </c>
      <c r="C619" s="46" t="s">
        <v>3884</v>
      </c>
      <c r="D619" s="41" t="str">
        <f ca="1">IFERROR(__xludf.DUMMYFUNCTION("IFERROR(ARRAYFORMULA(REGEXEXTRACT(C619,""^(?:https?:\/\/)?(?:[^@\n]+@)?(?:www\.)?([^:\/\n]+)"")),"""")"),"sidehustles.com")</f>
        <v>sidehustles.com</v>
      </c>
      <c r="E619" s="26" t="str">
        <f ca="1">IFERROR(__xludf.DUMMYFUNCTION("""COMPUTED_VALUE"""),"New")</f>
        <v>New</v>
      </c>
      <c r="P619" s="26"/>
    </row>
    <row r="620" spans="1:16" ht="14.5">
      <c r="A620" s="3" t="s">
        <v>38</v>
      </c>
      <c r="B620" s="15" t="s">
        <v>2803</v>
      </c>
      <c r="C620" s="46" t="s">
        <v>3885</v>
      </c>
      <c r="D620" s="41" t="str">
        <f ca="1">IFERROR(__xludf.DUMMYFUNCTION("IFERROR(ARRAYFORMULA(REGEXEXTRACT(C620,""^(?:https?:\/\/)?(?:[^@\n]+@)?(?:www\.)?([^:\/\n]+)"")),"""")"),"webfx.com")</f>
        <v>webfx.com</v>
      </c>
      <c r="E620" s="26" t="str">
        <f ca="1">IFERROR(__xludf.DUMMYFUNCTION("""COMPUTED_VALUE"""),"New")</f>
        <v>New</v>
      </c>
      <c r="P620" s="26"/>
    </row>
    <row r="621" spans="1:16" ht="14.5">
      <c r="A621" s="3" t="s">
        <v>38</v>
      </c>
      <c r="B621" s="15" t="s">
        <v>2803</v>
      </c>
      <c r="C621" s="46" t="s">
        <v>3886</v>
      </c>
      <c r="D621" s="41" t="str">
        <f ca="1">IFERROR(__xludf.DUMMYFUNCTION("IFERROR(ARRAYFORMULA(REGEXEXTRACT(C621,""^(?:https?:\/\/)?(?:[^@\n]+@)?(?:www\.)?([^:\/\n]+)"")),"""")"),"mandolin-ellipse-j9be.squarespace.com")</f>
        <v>mandolin-ellipse-j9be.squarespace.com</v>
      </c>
      <c r="E621" s="26" t="str">
        <f ca="1">IFERROR(__xludf.DUMMYFUNCTION("""COMPUTED_VALUE"""),"New")</f>
        <v>New</v>
      </c>
      <c r="P621" s="26"/>
    </row>
    <row r="622" spans="1:16" ht="14.5" hidden="1">
      <c r="A622" s="3" t="s">
        <v>38</v>
      </c>
      <c r="B622" s="15" t="s">
        <v>2803</v>
      </c>
      <c r="C622" s="46" t="s">
        <v>3887</v>
      </c>
      <c r="D622" s="41" t="str">
        <f ca="1">IFERROR(__xludf.DUMMYFUNCTION("IFERROR(ARRAYFORMULA(REGEXEXTRACT(C622,""^(?:https?:\/\/)?(?:[^@\n]+@)?(?:www\.)?([^:\/\n]+)"")),"""")"),"slapdashmom.com")</f>
        <v>slapdashmom.com</v>
      </c>
      <c r="E622" s="26" t="str">
        <f ca="1">IFERROR(__xludf.DUMMYFUNCTION("""COMPUTED_VALUE"""),"Already Exists")</f>
        <v>Already Exists</v>
      </c>
    </row>
    <row r="623" spans="1:16" ht="14.5">
      <c r="A623" s="3" t="s">
        <v>38</v>
      </c>
      <c r="B623" s="15" t="s">
        <v>2803</v>
      </c>
      <c r="C623" s="46" t="s">
        <v>3888</v>
      </c>
      <c r="D623" s="41" t="str">
        <f ca="1">IFERROR(__xludf.DUMMYFUNCTION("IFERROR(ARRAYFORMULA(REGEXEXTRACT(C623,""^(?:https?:\/\/)?(?:[^@\n]+@)?(?:www\.)?([^:\/\n]+)"")),"""")"),"4.bing.com")</f>
        <v>4.bing.com</v>
      </c>
      <c r="E623" s="26" t="str">
        <f ca="1">IFERROR(__xludf.DUMMYFUNCTION("""COMPUTED_VALUE"""),"New")</f>
        <v>New</v>
      </c>
      <c r="P623" s="26"/>
    </row>
    <row r="624" spans="1:16" ht="14.5">
      <c r="A624" s="3" t="s">
        <v>38</v>
      </c>
      <c r="B624" s="15" t="s">
        <v>2803</v>
      </c>
      <c r="C624" s="46" t="s">
        <v>3889</v>
      </c>
      <c r="D624" s="41" t="str">
        <f ca="1">IFERROR(__xludf.DUMMYFUNCTION("IFERROR(ARRAYFORMULA(REGEXEXTRACT(C624,""^(?:https?:\/\/)?(?:[^@\n]+@)?(?:www\.)?([^:\/\n]+)"")),"""")"),"train.cyberoptik.net")</f>
        <v>train.cyberoptik.net</v>
      </c>
      <c r="E624" s="26" t="str">
        <f ca="1">IFERROR(__xludf.DUMMYFUNCTION("""COMPUTED_VALUE"""),"New")</f>
        <v>New</v>
      </c>
      <c r="P624" s="26"/>
    </row>
    <row r="625" spans="1:16" ht="14.5">
      <c r="A625" s="3" t="s">
        <v>38</v>
      </c>
      <c r="B625" s="15" t="s">
        <v>2803</v>
      </c>
      <c r="C625" s="46" t="s">
        <v>3890</v>
      </c>
      <c r="D625" s="41" t="str">
        <f ca="1">IFERROR(__xludf.DUMMYFUNCTION("IFERROR(ARRAYFORMULA(REGEXEXTRACT(C625,""^(?:https?:\/\/)?(?:[^@\n]+@)?(?:www\.)?([^:\/\n]+)"")),"""")"),"iberkshires.com")</f>
        <v>iberkshires.com</v>
      </c>
      <c r="E625" s="26" t="str">
        <f ca="1">IFERROR(__xludf.DUMMYFUNCTION("""COMPUTED_VALUE"""),"New")</f>
        <v>New</v>
      </c>
      <c r="P625" s="26"/>
    </row>
    <row r="626" spans="1:16" ht="14.5">
      <c r="A626" s="3" t="s">
        <v>38</v>
      </c>
      <c r="B626" s="15" t="s">
        <v>2803</v>
      </c>
      <c r="C626" s="49" t="s">
        <v>3891</v>
      </c>
      <c r="D626" s="41" t="str">
        <f ca="1">IFERROR(__xludf.DUMMYFUNCTION("IFERROR(ARRAYFORMULA(REGEXEXTRACT(C626,""^(?:https?:\/\/)?(?:[^@\n]+@)?(?:www\.)?([^:\/\n]+)"")),"""")"),"simplifylivelove.com")</f>
        <v>simplifylivelove.com</v>
      </c>
      <c r="E626" s="26" t="str">
        <f ca="1">IFERROR(__xludf.DUMMYFUNCTION("""COMPUTED_VALUE"""),"New")</f>
        <v>New</v>
      </c>
      <c r="F626" s="27">
        <v>42</v>
      </c>
      <c r="G626" s="27">
        <v>8900</v>
      </c>
      <c r="H626" s="27" t="s">
        <v>3892</v>
      </c>
      <c r="J626" s="27" t="s">
        <v>3893</v>
      </c>
      <c r="K626" s="27" t="s">
        <v>3756</v>
      </c>
      <c r="L626" s="112"/>
      <c r="M626" s="27" t="s">
        <v>3715</v>
      </c>
      <c r="N626" s="48">
        <v>46033</v>
      </c>
      <c r="O626" s="37">
        <v>46064</v>
      </c>
      <c r="P626" s="26"/>
    </row>
    <row r="627" spans="1:16" ht="14.5">
      <c r="A627" s="3" t="s">
        <v>38</v>
      </c>
      <c r="B627" s="15" t="s">
        <v>2803</v>
      </c>
      <c r="C627" s="46" t="s">
        <v>3894</v>
      </c>
      <c r="D627" s="41" t="str">
        <f ca="1">IFERROR(__xludf.DUMMYFUNCTION("IFERROR(ARRAYFORMULA(REGEXEXTRACT(C627,""^(?:https?:\/\/)?(?:[^@\n]+@)?(?:www\.)?([^:\/\n]+)"")),"""")"),"grabjobs.co")</f>
        <v>grabjobs.co</v>
      </c>
      <c r="E627" s="26" t="str">
        <f ca="1">IFERROR(__xludf.DUMMYFUNCTION("""COMPUTED_VALUE"""),"New")</f>
        <v>New</v>
      </c>
      <c r="P627" s="26"/>
    </row>
    <row r="628" spans="1:16" ht="14.5">
      <c r="A628" s="3" t="s">
        <v>38</v>
      </c>
      <c r="B628" s="15" t="s">
        <v>2803</v>
      </c>
      <c r="C628" s="46" t="s">
        <v>3895</v>
      </c>
      <c r="D628" s="41" t="str">
        <f ca="1">IFERROR(__xludf.DUMMYFUNCTION("IFERROR(ARRAYFORMULA(REGEXEXTRACT(C628,""^(?:https?:\/\/)?(?:[^@\n]+@)?(?:www\.)?([^:\/\n]+)"")),"""")"),"capeannma.chambermaster.com")</f>
        <v>capeannma.chambermaster.com</v>
      </c>
      <c r="E628" s="26" t="str">
        <f ca="1">IFERROR(__xludf.DUMMYFUNCTION("""COMPUTED_VALUE"""),"New")</f>
        <v>New</v>
      </c>
      <c r="P628" s="26"/>
    </row>
    <row r="629" spans="1:16" ht="14.5">
      <c r="A629" s="3" t="s">
        <v>38</v>
      </c>
      <c r="B629" s="15" t="s">
        <v>2803</v>
      </c>
      <c r="C629" s="46" t="s">
        <v>3896</v>
      </c>
      <c r="D629" s="41" t="str">
        <f ca="1">IFERROR(__xludf.DUMMYFUNCTION("IFERROR(ARRAYFORMULA(REGEXEXTRACT(C629,""^(?:https?:\/\/)?(?:[^@\n]+@)?(?:www\.)?([^:\/\n]+)"")),"""")"),"elocal.com")</f>
        <v>elocal.com</v>
      </c>
      <c r="E629" s="26" t="str">
        <f ca="1">IFERROR(__xludf.DUMMYFUNCTION("""COMPUTED_VALUE"""),"New")</f>
        <v>New</v>
      </c>
      <c r="P629" s="26"/>
    </row>
    <row r="630" spans="1:16" ht="14.5">
      <c r="A630" s="3" t="s">
        <v>38</v>
      </c>
      <c r="B630" s="15" t="s">
        <v>2803</v>
      </c>
      <c r="C630" s="46" t="s">
        <v>3897</v>
      </c>
      <c r="D630" s="41" t="str">
        <f ca="1">IFERROR(__xludf.DUMMYFUNCTION("IFERROR(ARRAYFORMULA(REGEXEXTRACT(C630,""^(?:https?:\/\/)?(?:[^@\n]+@)?(?:www\.)?([^:\/\n]+)"")),"""")"),"location.com")</f>
        <v>location.com</v>
      </c>
      <c r="E630" s="26" t="str">
        <f ca="1">IFERROR(__xludf.DUMMYFUNCTION("""COMPUTED_VALUE"""),"New")</f>
        <v>New</v>
      </c>
      <c r="P630" s="26"/>
    </row>
    <row r="631" spans="1:16" ht="14.5">
      <c r="A631" s="3" t="s">
        <v>38</v>
      </c>
      <c r="B631" s="15" t="s">
        <v>2803</v>
      </c>
      <c r="C631" s="49" t="s">
        <v>3898</v>
      </c>
      <c r="D631" s="41" t="str">
        <f ca="1">IFERROR(__xludf.DUMMYFUNCTION("IFERROR(ARRAYFORMULA(REGEXEXTRACT(C631,""^(?:https?:\/\/)?(?:[^@\n]+@)?(?:www\.)?([^:\/\n]+)"")),"""")"),"housedigest.com")</f>
        <v>housedigest.com</v>
      </c>
      <c r="E631" s="26" t="str">
        <f ca="1">IFERROR(__xludf.DUMMYFUNCTION("""COMPUTED_VALUE"""),"New")</f>
        <v>New</v>
      </c>
      <c r="F631" s="27">
        <v>74</v>
      </c>
      <c r="G631" s="27">
        <v>86500</v>
      </c>
      <c r="J631" s="27" t="s">
        <v>3899</v>
      </c>
      <c r="K631" s="27" t="s">
        <v>3844</v>
      </c>
      <c r="L631" s="112"/>
      <c r="M631" s="66" t="s">
        <v>3117</v>
      </c>
      <c r="N631" s="48">
        <v>46034</v>
      </c>
      <c r="O631" s="48">
        <v>46070</v>
      </c>
      <c r="P631" s="26"/>
    </row>
    <row r="632" spans="1:16" ht="14.5">
      <c r="A632" s="3" t="s">
        <v>38</v>
      </c>
      <c r="B632" s="15" t="s">
        <v>2803</v>
      </c>
      <c r="C632" s="46" t="s">
        <v>3900</v>
      </c>
      <c r="D632" s="41" t="str">
        <f ca="1">IFERROR(__xludf.DUMMYFUNCTION("IFERROR(ARRAYFORMULA(REGEXEXTRACT(C632,""^(?:https?:\/\/)?(?:[^@\n]+@)?(?:www\.)?([^:\/\n]+)"")),"""")"),"directory.yext.com")</f>
        <v>directory.yext.com</v>
      </c>
      <c r="E632" s="26" t="str">
        <f ca="1">IFERROR(__xludf.DUMMYFUNCTION("""COMPUTED_VALUE"""),"New")</f>
        <v>New</v>
      </c>
      <c r="P632" s="26"/>
    </row>
    <row r="633" spans="1:16" ht="14.5">
      <c r="A633" s="3" t="s">
        <v>38</v>
      </c>
      <c r="B633" s="15" t="s">
        <v>2803</v>
      </c>
      <c r="C633" s="46" t="s">
        <v>3901</v>
      </c>
      <c r="D633" s="41" t="str">
        <f ca="1">IFERROR(__xludf.DUMMYFUNCTION("IFERROR(ARRAYFORMULA(REGEXEXTRACT(C633,""^(?:https?:\/\/)?(?:[^@\n]+@)?(?:www\.)?([^:\/\n]+)"")),"""")"),"dev.rockportusa.com")</f>
        <v>dev.rockportusa.com</v>
      </c>
      <c r="E633" s="26" t="str">
        <f ca="1">IFERROR(__xludf.DUMMYFUNCTION("""COMPUTED_VALUE"""),"New")</f>
        <v>New</v>
      </c>
      <c r="P633" s="26"/>
    </row>
    <row r="634" spans="1:16" ht="14.5">
      <c r="A634" s="3" t="s">
        <v>38</v>
      </c>
      <c r="B634" s="15" t="s">
        <v>2803</v>
      </c>
      <c r="C634" s="49" t="s">
        <v>3902</v>
      </c>
      <c r="D634" s="41" t="str">
        <f ca="1">IFERROR(__xludf.DUMMYFUNCTION("IFERROR(ARRAYFORMULA(REGEXEXTRACT(C634,""^(?:https?:\/\/)?(?:[^@\n]+@)?(?:www\.)?([^:\/\n]+)"")),"""")"),"handymanconnection.com")</f>
        <v>handymanconnection.com</v>
      </c>
      <c r="E634" s="26" t="str">
        <f ca="1">IFERROR(__xludf.DUMMYFUNCTION("""COMPUTED_VALUE"""),"New")</f>
        <v>New</v>
      </c>
      <c r="F634" s="27">
        <v>58</v>
      </c>
      <c r="G634" s="27">
        <v>18100</v>
      </c>
      <c r="H634" s="27" t="s">
        <v>3903</v>
      </c>
      <c r="I634" s="27" t="s">
        <v>3904</v>
      </c>
      <c r="J634" s="27" t="s">
        <v>3905</v>
      </c>
      <c r="K634" s="27" t="s">
        <v>3844</v>
      </c>
      <c r="L634" s="112"/>
      <c r="M634" s="66" t="s">
        <v>3117</v>
      </c>
      <c r="N634" s="48">
        <v>46034</v>
      </c>
      <c r="O634" s="48">
        <v>46070</v>
      </c>
      <c r="P634" s="26"/>
    </row>
    <row r="635" spans="1:16" ht="14.5" hidden="1">
      <c r="A635" s="3" t="s">
        <v>38</v>
      </c>
      <c r="B635" s="15" t="s">
        <v>2803</v>
      </c>
      <c r="C635" s="46" t="s">
        <v>3906</v>
      </c>
      <c r="D635" s="41" t="str">
        <f ca="1">IFERROR(__xludf.DUMMYFUNCTION("IFERROR(ARRAYFORMULA(REGEXEXTRACT(C635,""^(?:https?:\/\/)?(?:[^@\n]+@)?(?:www\.)?([^:\/\n]+)"")),"""")"),"articlecube.com")</f>
        <v>articlecube.com</v>
      </c>
      <c r="E635" s="26" t="str">
        <f ca="1">IFERROR(__xludf.DUMMYFUNCTION("""COMPUTED_VALUE"""),"Already Exists")</f>
        <v>Already Exists</v>
      </c>
      <c r="F635" s="27">
        <v>60</v>
      </c>
      <c r="G635" s="27">
        <v>1973</v>
      </c>
    </row>
    <row r="636" spans="1:16" ht="12.5">
      <c r="A636" s="3" t="s">
        <v>38</v>
      </c>
      <c r="B636" s="69" t="s">
        <v>2806</v>
      </c>
      <c r="C636" s="8" t="s">
        <v>3907</v>
      </c>
      <c r="D636" s="41" t="str">
        <f ca="1">IFERROR(__xludf.DUMMYFUNCTION("IFERROR(ARRAYFORMULA(REGEXEXTRACT(C636,""^(?:https?:\/\/)?(?:[^@\n]+@)?(?:www\.)?([^:\/\n]+)"")),"""")"),"cleanenergyresourceteams.org")</f>
        <v>cleanenergyresourceteams.org</v>
      </c>
      <c r="E636" s="26" t="str">
        <f ca="1">IFERROR(__xludf.DUMMYFUNCTION("""COMPUTED_VALUE"""),"New")</f>
        <v>New</v>
      </c>
      <c r="F636" s="27">
        <v>91</v>
      </c>
      <c r="G636" s="27">
        <v>2125207</v>
      </c>
      <c r="P636" s="26"/>
    </row>
    <row r="637" spans="1:16" ht="12.5">
      <c r="A637" s="3" t="s">
        <v>38</v>
      </c>
      <c r="B637" s="8" t="s">
        <v>2806</v>
      </c>
      <c r="C637" s="8" t="s">
        <v>3908</v>
      </c>
      <c r="D637" s="41" t="str">
        <f ca="1">IFERROR(__xludf.DUMMYFUNCTION("IFERROR(ARRAYFORMULA(REGEXEXTRACT(C637,""^(?:https?:\/\/)?(?:[^@\n]+@)?(?:www\.)?([^:\/\n]+)"")),"""")"),"iheart.com")</f>
        <v>iheart.com</v>
      </c>
      <c r="E637" s="26" t="str">
        <f ca="1">IFERROR(__xludf.DUMMYFUNCTION("""COMPUTED_VALUE"""),"New")</f>
        <v>New</v>
      </c>
      <c r="F637" s="27">
        <v>28</v>
      </c>
      <c r="G637" s="27">
        <v>3499</v>
      </c>
      <c r="P637" s="26"/>
    </row>
    <row r="638" spans="1:16" ht="12.5">
      <c r="A638" s="3" t="s">
        <v>38</v>
      </c>
      <c r="B638" s="8" t="s">
        <v>2806</v>
      </c>
      <c r="C638" s="8" t="s">
        <v>3909</v>
      </c>
      <c r="D638" s="41" t="str">
        <f ca="1">IFERROR(__xludf.DUMMYFUNCTION("IFERROR(ARRAYFORMULA(REGEXEXTRACT(C638,""^(?:https?:\/\/)?(?:[^@\n]+@)?(?:www\.)?([^:\/\n]+)"")),"""")"),"solarnplus.com")</f>
        <v>solarnplus.com</v>
      </c>
      <c r="E638" s="26" t="str">
        <f ca="1">IFERROR(__xludf.DUMMYFUNCTION("""COMPUTED_VALUE"""),"New")</f>
        <v>New</v>
      </c>
      <c r="F638" s="27">
        <v>74</v>
      </c>
      <c r="G638" s="27">
        <v>8183</v>
      </c>
      <c r="P638" s="26"/>
    </row>
    <row r="639" spans="1:16" ht="12.5">
      <c r="A639" s="3" t="s">
        <v>38</v>
      </c>
      <c r="B639" s="8" t="s">
        <v>2806</v>
      </c>
      <c r="C639" s="8" t="s">
        <v>3910</v>
      </c>
      <c r="D639" s="41" t="str">
        <f ca="1">IFERROR(__xludf.DUMMYFUNCTION("IFERROR(ARRAYFORMULA(REGEXEXTRACT(C639,""^(?:https?:\/\/)?(?:[^@\n]+@)?(?:www\.)?([^:\/\n]+)"")),"""")"),"ppc.land")</f>
        <v>ppc.land</v>
      </c>
      <c r="E639" s="26" t="str">
        <f ca="1">IFERROR(__xludf.DUMMYFUNCTION("""COMPUTED_VALUE"""),"New")</f>
        <v>New</v>
      </c>
      <c r="F639" s="27">
        <v>93</v>
      </c>
      <c r="G639" s="27">
        <v>5077224</v>
      </c>
      <c r="P639" s="26"/>
    </row>
    <row r="640" spans="1:16" ht="12.5">
      <c r="A640" s="3" t="s">
        <v>38</v>
      </c>
      <c r="B640" s="8" t="s">
        <v>2806</v>
      </c>
      <c r="C640" s="8" t="s">
        <v>3911</v>
      </c>
      <c r="D640" s="41" t="str">
        <f ca="1">IFERROR(__xludf.DUMMYFUNCTION("IFERROR(ARRAYFORMULA(REGEXEXTRACT(C640,""^(?:https?:\/\/)?(?:[^@\n]+@)?(?:www\.)?([^:\/\n]+)"")),"""")"),"bbb.org")</f>
        <v>bbb.org</v>
      </c>
      <c r="E640" s="26" t="str">
        <f ca="1">IFERROR(__xludf.DUMMYFUNCTION("""COMPUTED_VALUE"""),"New")</f>
        <v>New</v>
      </c>
      <c r="F640" s="27">
        <v>65</v>
      </c>
      <c r="G640" s="27">
        <v>6665</v>
      </c>
      <c r="P640" s="26"/>
    </row>
    <row r="641" spans="1:16" ht="12.5">
      <c r="A641" s="3" t="s">
        <v>38</v>
      </c>
      <c r="B641" s="8" t="s">
        <v>2806</v>
      </c>
      <c r="C641" s="8" t="s">
        <v>3912</v>
      </c>
      <c r="D641" s="41" t="str">
        <f ca="1">IFERROR(__xludf.DUMMYFUNCTION("IFERROR(ARRAYFORMULA(REGEXEXTRACT(C641,""^(?:https?:\/\/)?(?:[^@\n]+@)?(?:www\.)?([^:\/\n]+)"")),"""")"),"houston.innovationmap.com")</f>
        <v>houston.innovationmap.com</v>
      </c>
      <c r="E641" s="26" t="str">
        <f ca="1">IFERROR(__xludf.DUMMYFUNCTION("""COMPUTED_VALUE"""),"New")</f>
        <v>New</v>
      </c>
      <c r="F641" s="27">
        <v>79</v>
      </c>
      <c r="G641" s="27">
        <v>82869</v>
      </c>
      <c r="P641" s="26"/>
    </row>
    <row r="642" spans="1:16" ht="12.5">
      <c r="A642" s="3" t="s">
        <v>38</v>
      </c>
      <c r="B642" s="8" t="s">
        <v>2806</v>
      </c>
      <c r="C642" s="8" t="s">
        <v>3913</v>
      </c>
      <c r="D642" s="41" t="str">
        <f ca="1">IFERROR(__xludf.DUMMYFUNCTION("IFERROR(ARRAYFORMULA(REGEXEXTRACT(C642,""^(?:https?:\/\/)?(?:[^@\n]+@)?(?:www\.)?([^:\/\n]+)"")),"""")"),"thebluebook.com")</f>
        <v>thebluebook.com</v>
      </c>
      <c r="E642" s="26" t="str">
        <f ca="1">IFERROR(__xludf.DUMMYFUNCTION("""COMPUTED_VALUE"""),"New")</f>
        <v>New</v>
      </c>
      <c r="F642" s="27">
        <v>64</v>
      </c>
      <c r="G642" s="27">
        <v>28090</v>
      </c>
      <c r="P642" s="26"/>
    </row>
    <row r="643" spans="1:16" ht="12.5">
      <c r="A643" s="3" t="s">
        <v>38</v>
      </c>
      <c r="B643" s="8" t="s">
        <v>2806</v>
      </c>
      <c r="C643" s="8" t="s">
        <v>3914</v>
      </c>
      <c r="D643" s="41" t="str">
        <f ca="1">IFERROR(__xludf.DUMMYFUNCTION("IFERROR(ARRAYFORMULA(REGEXEXTRACT(C643,""^(?:https?:\/\/)?(?:[^@\n]+@)?(?:www\.)?([^:\/\n]+)"")),"""")"),"wefest.com")</f>
        <v>wefest.com</v>
      </c>
      <c r="E643" s="26" t="str">
        <f ca="1">IFERROR(__xludf.DUMMYFUNCTION("""COMPUTED_VALUE"""),"New")</f>
        <v>New</v>
      </c>
      <c r="F643" s="27">
        <v>42</v>
      </c>
      <c r="G643" s="27">
        <v>3311</v>
      </c>
      <c r="P643" s="26"/>
    </row>
    <row r="644" spans="1:16" ht="12.5">
      <c r="A644" s="3" t="s">
        <v>38</v>
      </c>
      <c r="B644" s="8" t="s">
        <v>2806</v>
      </c>
      <c r="C644" s="8" t="s">
        <v>3915</v>
      </c>
      <c r="D644" s="41" t="str">
        <f ca="1">IFERROR(__xludf.DUMMYFUNCTION("IFERROR(ARRAYFORMULA(REGEXEXTRACT(C644,""^(?:https?:\/\/)?(?:[^@\n]+@)?(?:www\.)?([^:\/\n]+)"")),"""")"),"3mopen.com")</f>
        <v>3mopen.com</v>
      </c>
      <c r="E644" s="26" t="str">
        <f ca="1">IFERROR(__xludf.DUMMYFUNCTION("""COMPUTED_VALUE"""),"New")</f>
        <v>New</v>
      </c>
      <c r="F644" s="27">
        <v>31</v>
      </c>
      <c r="G644" s="27">
        <v>41737</v>
      </c>
      <c r="P644" s="26"/>
    </row>
    <row r="645" spans="1:16" ht="12.5">
      <c r="A645" s="3" t="s">
        <v>38</v>
      </c>
      <c r="B645" s="8" t="s">
        <v>2806</v>
      </c>
      <c r="C645" s="8" t="s">
        <v>3916</v>
      </c>
      <c r="D645" s="41" t="str">
        <f ca="1">IFERROR(__xludf.DUMMYFUNCTION("IFERROR(ARRAYFORMULA(REGEXEXTRACT(C645,""^(?:https?:\/\/)?(?:[^@\n]+@)?(?:www\.)?([^:\/\n]+)"")),"""")"),"apotekaonline.rs")</f>
        <v>apotekaonline.rs</v>
      </c>
      <c r="E645" s="26" t="str">
        <f ca="1">IFERROR(__xludf.DUMMYFUNCTION("""COMPUTED_VALUE"""),"New")</f>
        <v>New</v>
      </c>
      <c r="F645" s="27">
        <v>93</v>
      </c>
      <c r="G645" s="27">
        <v>17143222</v>
      </c>
      <c r="P645" s="26"/>
    </row>
    <row r="646" spans="1:16" ht="12.5">
      <c r="A646" s="3" t="s">
        <v>38</v>
      </c>
      <c r="B646" s="8" t="s">
        <v>2806</v>
      </c>
      <c r="C646" s="8" t="s">
        <v>3917</v>
      </c>
      <c r="D646" s="41" t="str">
        <f ca="1">IFERROR(__xludf.DUMMYFUNCTION("IFERROR(ARRAYFORMULA(REGEXEXTRACT(C646,""^(?:https?:\/\/)?(?:[^@\n]+@)?(?:www\.)?([^:\/\n]+)"")),"""")"),"99wfmk.com")</f>
        <v>99wfmk.com</v>
      </c>
      <c r="E646" s="26" t="str">
        <f ca="1">IFERROR(__xludf.DUMMYFUNCTION("""COMPUTED_VALUE"""),"New")</f>
        <v>New</v>
      </c>
      <c r="F646" s="27">
        <v>54</v>
      </c>
      <c r="G646" s="27">
        <v>1167</v>
      </c>
      <c r="P646" s="26"/>
    </row>
    <row r="647" spans="1:16" ht="12.5">
      <c r="A647" s="3" t="s">
        <v>38</v>
      </c>
      <c r="B647" s="8" t="s">
        <v>2806</v>
      </c>
      <c r="C647" s="8" t="s">
        <v>3918</v>
      </c>
      <c r="D647" s="41" t="str">
        <f ca="1">IFERROR(__xludf.DUMMYFUNCTION("IFERROR(ARRAYFORMULA(REGEXEXTRACT(C647,""^(?:https?:\/\/)?(?:[^@\n]+@)?(?:www\.)?([^:\/\n]+)"")),"""")"),"renewwisconsin.org")</f>
        <v>renewwisconsin.org</v>
      </c>
      <c r="E647" s="26" t="str">
        <f ca="1">IFERROR(__xludf.DUMMYFUNCTION("""COMPUTED_VALUE"""),"New")</f>
        <v>New</v>
      </c>
      <c r="F647" s="27">
        <v>49</v>
      </c>
      <c r="G647" s="27">
        <v>172835</v>
      </c>
      <c r="P647" s="26"/>
    </row>
    <row r="648" spans="1:16" ht="12.5">
      <c r="A648" s="3" t="s">
        <v>38</v>
      </c>
      <c r="B648" s="8" t="s">
        <v>2806</v>
      </c>
      <c r="C648" s="8" t="s">
        <v>3919</v>
      </c>
      <c r="D648" s="41" t="str">
        <f ca="1">IFERROR(__xludf.DUMMYFUNCTION("IFERROR(ARRAYFORMULA(REGEXEXTRACT(C648,""^(?:https?:\/\/)?(?:[^@\n]+@)?(?:www\.)?([^:\/\n]+)"")),"""")"),"liverpoolworld.uk")</f>
        <v>liverpoolworld.uk</v>
      </c>
      <c r="E648" s="26" t="str">
        <f ca="1">IFERROR(__xludf.DUMMYFUNCTION("""COMPUTED_VALUE"""),"New")</f>
        <v>New</v>
      </c>
      <c r="F648" s="27">
        <v>44</v>
      </c>
      <c r="G648" s="27">
        <v>7795</v>
      </c>
      <c r="P648" s="26"/>
    </row>
    <row r="649" spans="1:16" ht="12.5">
      <c r="A649" s="3" t="s">
        <v>38</v>
      </c>
      <c r="B649" s="8" t="s">
        <v>2806</v>
      </c>
      <c r="C649" s="8" t="s">
        <v>3920</v>
      </c>
      <c r="D649" s="41" t="str">
        <f ca="1">IFERROR(__xludf.DUMMYFUNCTION("IFERROR(ARRAYFORMULA(REGEXEXTRACT(C649,""^(?:https?:\/\/)?(?:[^@\n]+@)?(?:www\.)?([^:\/\n]+)"")),"""")"),"wgrd.com")</f>
        <v>wgrd.com</v>
      </c>
      <c r="E649" s="26" t="str">
        <f ca="1">IFERROR(__xludf.DUMMYFUNCTION("""COMPUTED_VALUE"""),"New")</f>
        <v>New</v>
      </c>
      <c r="F649" s="27">
        <v>49</v>
      </c>
      <c r="G649" s="27">
        <v>2066</v>
      </c>
      <c r="P649" s="26"/>
    </row>
    <row r="650" spans="1:16" ht="12.5">
      <c r="A650" s="3" t="s">
        <v>38</v>
      </c>
      <c r="B650" s="8" t="s">
        <v>2806</v>
      </c>
      <c r="C650" s="8" t="s">
        <v>3921</v>
      </c>
      <c r="D650" s="41" t="str">
        <f ca="1">IFERROR(__xludf.DUMMYFUNCTION("IFERROR(ARRAYFORMULA(REGEXEXTRACT(C650,""^(?:https?:\/\/)?(?:[^@\n]+@)?(?:www\.)?([^:\/\n]+)"")),"""")"),"saoic.org")</f>
        <v>saoic.org</v>
      </c>
      <c r="E650" s="26" t="str">
        <f ca="1">IFERROR(__xludf.DUMMYFUNCTION("""COMPUTED_VALUE"""),"New")</f>
        <v>New</v>
      </c>
      <c r="F650" s="27">
        <v>25</v>
      </c>
      <c r="G650" s="27">
        <v>1677</v>
      </c>
      <c r="P650" s="26"/>
    </row>
    <row r="651" spans="1:16" ht="12.5">
      <c r="A651" s="3" t="s">
        <v>38</v>
      </c>
      <c r="B651" s="8" t="s">
        <v>2806</v>
      </c>
      <c r="C651" s="8" t="s">
        <v>3922</v>
      </c>
      <c r="D651" s="41" t="str">
        <f ca="1">IFERROR(__xludf.DUMMYFUNCTION("IFERROR(ARRAYFORMULA(REGEXEXTRACT(C651,""^(?:https?:\/\/)?(?:[^@\n]+@)?(?:www\.)?([^:\/\n]+)"")),"""")"),"innercitytennis.org")</f>
        <v>innercitytennis.org</v>
      </c>
      <c r="E651" s="26" t="str">
        <f ca="1">IFERROR(__xludf.DUMMYFUNCTION("""COMPUTED_VALUE"""),"New")</f>
        <v>New</v>
      </c>
      <c r="F651" s="27">
        <v>72</v>
      </c>
      <c r="G651" s="27">
        <v>42845</v>
      </c>
      <c r="P651" s="26"/>
    </row>
    <row r="652" spans="1:16" ht="12.5">
      <c r="A652" s="3" t="s">
        <v>38</v>
      </c>
      <c r="B652" s="8" t="s">
        <v>2806</v>
      </c>
      <c r="C652" s="8" t="s">
        <v>3923</v>
      </c>
      <c r="D652" s="41" t="str">
        <f ca="1">IFERROR(__xludf.DUMMYFUNCTION("IFERROR(ARRAYFORMULA(REGEXEXTRACT(C652,""^(?:https?:\/\/)?(?:[^@\n]+@)?(?:www\.)?([^:\/\n]+)"")),"""")"),"fatjoe.com")</f>
        <v>fatjoe.com</v>
      </c>
      <c r="E652" s="26" t="str">
        <f ca="1">IFERROR(__xludf.DUMMYFUNCTION("""COMPUTED_VALUE"""),"New")</f>
        <v>New</v>
      </c>
      <c r="F652" s="27">
        <v>50</v>
      </c>
      <c r="G652" s="27">
        <v>6088</v>
      </c>
      <c r="P652" s="26"/>
    </row>
    <row r="653" spans="1:16" ht="12.5">
      <c r="A653" s="3" t="s">
        <v>38</v>
      </c>
      <c r="B653" s="8" t="s">
        <v>2806</v>
      </c>
      <c r="C653" s="8" t="s">
        <v>3924</v>
      </c>
      <c r="D653" s="41" t="str">
        <f ca="1">IFERROR(__xludf.DUMMYFUNCTION("IFERROR(ARRAYFORMULA(REGEXEXTRACT(C653,""^(?:https?:\/\/)?(?:[^@\n]+@)?(?:www\.)?([^:\/\n]+)"")),"""")"),"wkfr.com")</f>
        <v>wkfr.com</v>
      </c>
      <c r="E653" s="26" t="str">
        <f ca="1">IFERROR(__xludf.DUMMYFUNCTION("""COMPUTED_VALUE"""),"New")</f>
        <v>New</v>
      </c>
      <c r="F653" s="27">
        <v>66</v>
      </c>
      <c r="G653" s="27">
        <v>57315</v>
      </c>
      <c r="P653" s="26"/>
    </row>
    <row r="654" spans="1:16" ht="12.5">
      <c r="A654" s="3" t="s">
        <v>38</v>
      </c>
      <c r="B654" s="8" t="s">
        <v>2806</v>
      </c>
      <c r="C654" s="8" t="s">
        <v>3925</v>
      </c>
      <c r="D654" s="41" t="str">
        <f ca="1">IFERROR(__xludf.DUMMYFUNCTION("IFERROR(ARRAYFORMULA(REGEXEXTRACT(C654,""^(?:https?:\/\/)?(?:[^@\n]+@)?(?:www\.)?([^:\/\n]+)"")),"""")"),"growthscribe.com")</f>
        <v>growthscribe.com</v>
      </c>
      <c r="E654" s="26" t="str">
        <f ca="1">IFERROR(__xludf.DUMMYFUNCTION("""COMPUTED_VALUE"""),"New")</f>
        <v>New</v>
      </c>
      <c r="F654" s="27">
        <v>25</v>
      </c>
      <c r="G654" s="27">
        <v>3350</v>
      </c>
      <c r="P654" s="26"/>
    </row>
    <row r="655" spans="1:16" ht="12.5">
      <c r="A655" s="3" t="s">
        <v>38</v>
      </c>
      <c r="B655" s="8" t="s">
        <v>2806</v>
      </c>
      <c r="C655" s="8" t="s">
        <v>3926</v>
      </c>
      <c r="D655" s="41" t="str">
        <f ca="1">IFERROR(__xludf.DUMMYFUNCTION("IFERROR(ARRAYFORMULA(REGEXEXTRACT(C655,""^(?:https?:\/\/)?(?:[^@\n]+@)?(?:www\.)?([^:\/\n]+)"")),"""")"),"myb106.com")</f>
        <v>myb106.com</v>
      </c>
      <c r="E655" s="26" t="str">
        <f ca="1">IFERROR(__xludf.DUMMYFUNCTION("""COMPUTED_VALUE"""),"New")</f>
        <v>New</v>
      </c>
      <c r="F655" s="27">
        <v>90</v>
      </c>
      <c r="G655" s="27">
        <v>143587</v>
      </c>
      <c r="P655" s="26"/>
    </row>
    <row r="656" spans="1:16" ht="12.5">
      <c r="A656" s="3" t="s">
        <v>38</v>
      </c>
      <c r="B656" s="8" t="s">
        <v>2806</v>
      </c>
      <c r="C656" s="8" t="s">
        <v>3927</v>
      </c>
      <c r="D656" s="41" t="str">
        <f ca="1">IFERROR(__xludf.DUMMYFUNCTION("IFERROR(ARRAYFORMULA(REGEXEXTRACT(C656,""^(?:https?:\/\/)?(?:[^@\n]+@)?(?:www\.)?([^:\/\n]+)"")),"""")"),"spreaker.com")</f>
        <v>spreaker.com</v>
      </c>
      <c r="E656" s="26" t="str">
        <f ca="1">IFERROR(__xludf.DUMMYFUNCTION("""COMPUTED_VALUE"""),"New")</f>
        <v>New</v>
      </c>
      <c r="F656" s="27">
        <v>34</v>
      </c>
      <c r="G656" s="27">
        <v>5541</v>
      </c>
      <c r="P656" s="26"/>
    </row>
    <row r="657" spans="1:16" ht="12.5">
      <c r="A657" s="3" t="s">
        <v>38</v>
      </c>
      <c r="B657" s="8" t="s">
        <v>2806</v>
      </c>
      <c r="C657" s="8" t="s">
        <v>3928</v>
      </c>
      <c r="D657" s="41" t="str">
        <f ca="1">IFERROR(__xludf.DUMMYFUNCTION("IFERROR(ARRAYFORMULA(REGEXEXTRACT(C657,""^(?:https?:\/\/)?(?:[^@\n]+@)?(?:www\.)?([^:\/\n]+)"")),"""")"),"981thehawk.com")</f>
        <v>981thehawk.com</v>
      </c>
      <c r="E657" s="26" t="str">
        <f ca="1">IFERROR(__xludf.DUMMYFUNCTION("""COMPUTED_VALUE"""),"New")</f>
        <v>New</v>
      </c>
      <c r="F657" s="27">
        <v>43</v>
      </c>
      <c r="G657" s="27">
        <v>4032</v>
      </c>
      <c r="P657" s="26"/>
    </row>
    <row r="658" spans="1:16" ht="12.5">
      <c r="A658" s="3" t="s">
        <v>38</v>
      </c>
      <c r="B658" s="8" t="s">
        <v>2806</v>
      </c>
      <c r="C658" s="8" t="s">
        <v>3929</v>
      </c>
      <c r="D658" s="41" t="str">
        <f ca="1">IFERROR(__xludf.DUMMYFUNCTION("IFERROR(ARRAYFORMULA(REGEXEXTRACT(C658,""^(?:https?:\/\/)?(?:[^@\n]+@)?(?:www\.)?([^:\/\n]+)"")),"""")"),"wrkr.com")</f>
        <v>wrkr.com</v>
      </c>
      <c r="E658" s="26" t="str">
        <f ca="1">IFERROR(__xludf.DUMMYFUNCTION("""COMPUTED_VALUE"""),"New")</f>
        <v>New</v>
      </c>
      <c r="F658" s="27">
        <v>63</v>
      </c>
      <c r="G658" s="27">
        <v>13699</v>
      </c>
      <c r="P658" s="26"/>
    </row>
    <row r="659" spans="1:16" ht="12.5">
      <c r="A659" s="3" t="s">
        <v>38</v>
      </c>
      <c r="B659" s="8" t="s">
        <v>2806</v>
      </c>
      <c r="C659" s="8" t="s">
        <v>3930</v>
      </c>
      <c r="D659" s="41" t="str">
        <f ca="1">IFERROR(__xludf.DUMMYFUNCTION("IFERROR(ARRAYFORMULA(REGEXEXTRACT(C659,""^(?:https?:\/\/)?(?:[^@\n]+@)?(?:www\.)?([^:\/\n]+)"")),"""")"),"examinerlive.co.uk")</f>
        <v>examinerlive.co.uk</v>
      </c>
      <c r="E659" s="26" t="str">
        <f ca="1">IFERROR(__xludf.DUMMYFUNCTION("""COMPUTED_VALUE"""),"New")</f>
        <v>New</v>
      </c>
      <c r="F659" s="27">
        <v>28</v>
      </c>
      <c r="G659" s="27">
        <v>11300</v>
      </c>
      <c r="P659" s="26"/>
    </row>
    <row r="660" spans="1:16" ht="12.5">
      <c r="A660" s="3" t="s">
        <v>38</v>
      </c>
      <c r="B660" s="8" t="s">
        <v>2806</v>
      </c>
      <c r="C660" s="8" t="s">
        <v>3931</v>
      </c>
      <c r="D660" s="41" t="str">
        <f ca="1">IFERROR(__xludf.DUMMYFUNCTION("IFERROR(ARRAYFORMULA(REGEXEXTRACT(C660,""^(?:https?:\/\/)?(?:[^@\n]+@)?(?:www\.)?([^:\/\n]+)"")),"""")"),"indianjadibooti.com")</f>
        <v>indianjadibooti.com</v>
      </c>
      <c r="E660" s="26" t="str">
        <f ca="1">IFERROR(__xludf.DUMMYFUNCTION("""COMPUTED_VALUE"""),"New")</f>
        <v>New</v>
      </c>
      <c r="F660" s="27">
        <v>53</v>
      </c>
      <c r="G660" s="27">
        <v>1399</v>
      </c>
      <c r="P660" s="26"/>
    </row>
    <row r="661" spans="1:16" ht="12.5">
      <c r="A661" s="3" t="s">
        <v>38</v>
      </c>
      <c r="B661" s="8" t="s">
        <v>2806</v>
      </c>
      <c r="C661" s="8" t="s">
        <v>3932</v>
      </c>
      <c r="D661" s="41" t="str">
        <f ca="1">IFERROR(__xludf.DUMMYFUNCTION("IFERROR(ARRAYFORMULA(REGEXEXTRACT(C661,""^(?:https?:\/\/)?(?:[^@\n]+@)?(?:www\.)?([^:\/\n]+)"")),"""")"),"nextmagazine.co.uk")</f>
        <v>nextmagazine.co.uk</v>
      </c>
      <c r="E661" s="26" t="str">
        <f ca="1">IFERROR(__xludf.DUMMYFUNCTION("""COMPUTED_VALUE"""),"New")</f>
        <v>New</v>
      </c>
      <c r="F661" s="27">
        <v>50</v>
      </c>
      <c r="G661" s="27">
        <v>20067</v>
      </c>
      <c r="P661" s="26"/>
    </row>
    <row r="662" spans="1:16" ht="12.5">
      <c r="A662" s="3" t="s">
        <v>38</v>
      </c>
      <c r="B662" s="8" t="s">
        <v>2806</v>
      </c>
      <c r="C662" s="8" t="s">
        <v>3933</v>
      </c>
      <c r="D662" s="41" t="str">
        <f ca="1">IFERROR(__xludf.DUMMYFUNCTION("IFERROR(ARRAYFORMULA(REGEXEXTRACT(C662,""^(?:https?:\/\/)?(?:[^@\n]+@)?(?:www\.)?([^:\/\n]+)"")),"""")"),"wpst.com")</f>
        <v>wpst.com</v>
      </c>
      <c r="E662" s="26" t="str">
        <f ca="1">IFERROR(__xludf.DUMMYFUNCTION("""COMPUTED_VALUE"""),"New")</f>
        <v>New</v>
      </c>
      <c r="F662" s="27">
        <v>53</v>
      </c>
      <c r="G662" s="27">
        <v>1769</v>
      </c>
      <c r="P662" s="26"/>
    </row>
    <row r="663" spans="1:16" ht="12.5">
      <c r="A663" s="3" t="s">
        <v>38</v>
      </c>
      <c r="B663" s="8" t="s">
        <v>2806</v>
      </c>
      <c r="C663" s="8" t="s">
        <v>3934</v>
      </c>
      <c r="D663" s="41" t="str">
        <f ca="1">IFERROR(__xludf.DUMMYFUNCTION("IFERROR(ARRAYFORMULA(REGEXEXTRACT(C663,""^(?:https?:\/\/)?(?:[^@\n]+@)?(?:www\.)?([^:\/\n]+)"")),"""")"),"thefranchiseking.com")</f>
        <v>thefranchiseking.com</v>
      </c>
      <c r="E663" s="26" t="str">
        <f ca="1">IFERROR(__xludf.DUMMYFUNCTION("""COMPUTED_VALUE"""),"New")</f>
        <v>New</v>
      </c>
      <c r="F663" s="27">
        <v>61</v>
      </c>
      <c r="G663" s="27">
        <v>4623</v>
      </c>
      <c r="P663" s="26"/>
    </row>
    <row r="664" spans="1:16" ht="12.5">
      <c r="A664" s="3" t="s">
        <v>38</v>
      </c>
      <c r="B664" s="8" t="s">
        <v>2806</v>
      </c>
      <c r="C664" s="8" t="s">
        <v>3935</v>
      </c>
      <c r="D664" s="41" t="str">
        <f ca="1">IFERROR(__xludf.DUMMYFUNCTION("IFERROR(ARRAYFORMULA(REGEXEXTRACT(C664,""^(?:https?:\/\/)?(?:[^@\n]+@)?(?:www\.)?([^:\/\n]+)"")),"""")"),"easybib.co.uk")</f>
        <v>easybib.co.uk</v>
      </c>
      <c r="E664" s="26" t="str">
        <f ca="1">IFERROR(__xludf.DUMMYFUNCTION("""COMPUTED_VALUE"""),"New")</f>
        <v>New</v>
      </c>
      <c r="F664" s="27">
        <v>56</v>
      </c>
      <c r="G664" s="27">
        <v>1049</v>
      </c>
      <c r="P664" s="26"/>
    </row>
    <row r="665" spans="1:16" ht="12.5">
      <c r="A665" s="3" t="s">
        <v>38</v>
      </c>
      <c r="B665" s="8" t="s">
        <v>2806</v>
      </c>
      <c r="C665" s="8" t="s">
        <v>3936</v>
      </c>
      <c r="D665" s="41" t="str">
        <f ca="1">IFERROR(__xludf.DUMMYFUNCTION("IFERROR(ARRAYFORMULA(REGEXEXTRACT(C665,""^(?:https?:\/\/)?(?:[^@\n]+@)?(?:www\.)?([^:\/\n]+)"")),"""")"),"techmoran.com")</f>
        <v>techmoran.com</v>
      </c>
      <c r="E665" s="26" t="str">
        <f ca="1">IFERROR(__xludf.DUMMYFUNCTION("""COMPUTED_VALUE"""),"New")</f>
        <v>New</v>
      </c>
      <c r="F665" s="27">
        <v>42</v>
      </c>
      <c r="G665" s="27">
        <v>4159</v>
      </c>
      <c r="P665" s="26"/>
    </row>
    <row r="666" spans="1:16" ht="12.5">
      <c r="A666" s="3" t="s">
        <v>38</v>
      </c>
      <c r="B666" s="8" t="s">
        <v>2806</v>
      </c>
      <c r="C666" s="8" t="s">
        <v>3937</v>
      </c>
      <c r="D666" s="41" t="str">
        <f ca="1">IFERROR(__xludf.DUMMYFUNCTION("IFERROR(ARRAYFORMULA(REGEXEXTRACT(C666,""^(?:https?:\/\/)?(?:[^@\n]+@)?(?:www\.)?([^:\/\n]+)"")),"""")"),"witl.com")</f>
        <v>witl.com</v>
      </c>
      <c r="E666" s="26" t="str">
        <f ca="1">IFERROR(__xludf.DUMMYFUNCTION("""COMPUTED_VALUE"""),"New")</f>
        <v>New</v>
      </c>
      <c r="F666" s="27">
        <v>74</v>
      </c>
      <c r="G666" s="27">
        <v>174403</v>
      </c>
      <c r="P666" s="26"/>
    </row>
    <row r="667" spans="1:16" ht="12.5">
      <c r="A667" s="3" t="s">
        <v>38</v>
      </c>
      <c r="B667" s="8" t="s">
        <v>2806</v>
      </c>
      <c r="C667" s="8" t="s">
        <v>3938</v>
      </c>
      <c r="D667" s="41" t="str">
        <f ca="1">IFERROR(__xludf.DUMMYFUNCTION("IFERROR(ARRAYFORMULA(REGEXEXTRACT(C667,""^(?:https?:\/\/)?(?:[^@\n]+@)?(?:www\.)?([^:\/\n]+)"")),"""")"),"nationalworld.com")</f>
        <v>nationalworld.com</v>
      </c>
      <c r="E667" s="26" t="str">
        <f ca="1">IFERROR(__xludf.DUMMYFUNCTION("""COMPUTED_VALUE"""),"New")</f>
        <v>New</v>
      </c>
      <c r="F667" s="27">
        <v>53</v>
      </c>
      <c r="G667" s="27">
        <v>1789</v>
      </c>
      <c r="P667" s="26"/>
    </row>
    <row r="668" spans="1:16" ht="12.5">
      <c r="A668" s="3" t="s">
        <v>38</v>
      </c>
      <c r="B668" s="8" t="s">
        <v>2806</v>
      </c>
      <c r="C668" s="8" t="s">
        <v>3939</v>
      </c>
      <c r="D668" s="41" t="str">
        <f ca="1">IFERROR(__xludf.DUMMYFUNCTION("IFERROR(ARRAYFORMULA(REGEXEXTRACT(C668,""^(?:https?:\/\/)?(?:[^@\n]+@)?(?:www\.)?([^:\/\n]+)"")),"""")"),"thefutureofthings.com")</f>
        <v>thefutureofthings.com</v>
      </c>
      <c r="E668" s="26" t="str">
        <f ca="1">IFERROR(__xludf.DUMMYFUNCTION("""COMPUTED_VALUE"""),"New")</f>
        <v>New</v>
      </c>
      <c r="F668" s="27">
        <v>69</v>
      </c>
      <c r="G668" s="27">
        <v>78781</v>
      </c>
      <c r="P668" s="26"/>
    </row>
    <row r="669" spans="1:16" ht="12.5">
      <c r="A669" s="3" t="s">
        <v>38</v>
      </c>
      <c r="B669" s="8" t="s">
        <v>2806</v>
      </c>
      <c r="C669" s="8" t="s">
        <v>3940</v>
      </c>
      <c r="D669" s="41" t="str">
        <f ca="1">IFERROR(__xludf.DUMMYFUNCTION("IFERROR(ARRAYFORMULA(REGEXEXTRACT(C669,""^(?:https?:\/\/)?(?:[^@\n]+@)?(?:www\.)?([^:\/\n]+)"")),"""")"),"businessmodelanalyst.com")</f>
        <v>businessmodelanalyst.com</v>
      </c>
      <c r="E669" s="26" t="str">
        <f ca="1">IFERROR(__xludf.DUMMYFUNCTION("""COMPUTED_VALUE"""),"New")</f>
        <v>New</v>
      </c>
      <c r="F669" s="27">
        <v>36</v>
      </c>
      <c r="G669" s="27">
        <v>2202</v>
      </c>
      <c r="P669" s="26"/>
    </row>
    <row r="670" spans="1:16" ht="12.5">
      <c r="A670" s="3" t="s">
        <v>38</v>
      </c>
      <c r="B670" s="8" t="s">
        <v>2806</v>
      </c>
      <c r="C670" s="8" t="s">
        <v>3941</v>
      </c>
      <c r="D670" s="41" t="str">
        <f ca="1">IFERROR(__xludf.DUMMYFUNCTION("IFERROR(ARRAYFORMULA(REGEXEXTRACT(C670,""^(?:https?:\/\/)?(?:[^@\n]+@)?(?:www\.)?([^:\/\n]+)"")),"""")"),"xlcountry.com")</f>
        <v>xlcountry.com</v>
      </c>
      <c r="E670" s="26" t="str">
        <f ca="1">IFERROR(__xludf.DUMMYFUNCTION("""COMPUTED_VALUE"""),"New")</f>
        <v>New</v>
      </c>
      <c r="F670" s="27">
        <v>74</v>
      </c>
      <c r="G670" s="27">
        <v>117640</v>
      </c>
      <c r="P670" s="26"/>
    </row>
    <row r="671" spans="1:16" ht="12.5">
      <c r="A671" s="3" t="s">
        <v>38</v>
      </c>
      <c r="B671" s="8" t="s">
        <v>2806</v>
      </c>
      <c r="C671" s="8" t="s">
        <v>3942</v>
      </c>
      <c r="D671" s="41" t="str">
        <f ca="1">IFERROR(__xludf.DUMMYFUNCTION("IFERROR(ARRAYFORMULA(REGEXEXTRACT(C671,""^(?:https?:\/\/)?(?:[^@\n]+@)?(?:www\.)?([^:\/\n]+)"")),"""")"),"sussexexpress.co.uk")</f>
        <v>sussexexpress.co.uk</v>
      </c>
      <c r="E671" s="26" t="str">
        <f ca="1">IFERROR(__xludf.DUMMYFUNCTION("""COMPUTED_VALUE"""),"New")</f>
        <v>New</v>
      </c>
      <c r="F671" s="27">
        <v>52</v>
      </c>
      <c r="G671" s="27">
        <v>4141</v>
      </c>
      <c r="P671" s="26"/>
    </row>
    <row r="672" spans="1:16" ht="12.5" hidden="1">
      <c r="A672" s="3" t="s">
        <v>38</v>
      </c>
      <c r="B672" s="8" t="s">
        <v>2806</v>
      </c>
      <c r="C672" s="8" t="s">
        <v>3943</v>
      </c>
      <c r="D672" s="41" t="str">
        <f ca="1">IFERROR(__xludf.DUMMYFUNCTION("IFERROR(ARRAYFORMULA(REGEXEXTRACT(C672,""^(?:https?:\/\/)?(?:[^@\n]+@)?(?:www\.)?([^:\/\n]+)"")),"""")"),"letsreachsuccess.com")</f>
        <v>letsreachsuccess.com</v>
      </c>
      <c r="E672" s="26" t="str">
        <f ca="1">IFERROR(__xludf.DUMMYFUNCTION("""COMPUTED_VALUE"""),"Already Exists")</f>
        <v>Already Exists</v>
      </c>
      <c r="F672" s="27">
        <v>52</v>
      </c>
      <c r="G672" s="27">
        <v>29307</v>
      </c>
    </row>
    <row r="673" spans="1:16" ht="12.5">
      <c r="A673" s="3" t="s">
        <v>38</v>
      </c>
      <c r="B673" s="8" t="s">
        <v>2806</v>
      </c>
      <c r="C673" s="8" t="s">
        <v>3944</v>
      </c>
      <c r="D673" s="41" t="str">
        <f ca="1">IFERROR(__xludf.DUMMYFUNCTION("IFERROR(ARRAYFORMULA(REGEXEXTRACT(C673,""^(?:https?:\/\/)?(?:[^@\n]+@)?(?:www\.)?([^:\/\n]+)"")),"""")"),"vizologi.com")</f>
        <v>vizologi.com</v>
      </c>
      <c r="E673" s="26" t="str">
        <f ca="1">IFERROR(__xludf.DUMMYFUNCTION("""COMPUTED_VALUE"""),"New")</f>
        <v>New</v>
      </c>
      <c r="F673" s="27">
        <v>85</v>
      </c>
      <c r="G673" s="27">
        <v>157404</v>
      </c>
      <c r="P673" s="26"/>
    </row>
    <row r="674" spans="1:16" ht="12.5">
      <c r="A674" s="3" t="s">
        <v>38</v>
      </c>
      <c r="B674" s="8" t="s">
        <v>2806</v>
      </c>
      <c r="C674" s="8" t="s">
        <v>3945</v>
      </c>
      <c r="D674" s="41" t="str">
        <f ca="1">IFERROR(__xludf.DUMMYFUNCTION("IFERROR(ARRAYFORMULA(REGEXEXTRACT(C674,""^(?:https?:\/\/)?(?:[^@\n]+@)?(?:www\.)?([^:\/\n]+)"")),"""")"),"podchaser.com")</f>
        <v>podchaser.com</v>
      </c>
      <c r="E674" s="26" t="str">
        <f ca="1">IFERROR(__xludf.DUMMYFUNCTION("""COMPUTED_VALUE"""),"New")</f>
        <v>New</v>
      </c>
      <c r="F674" s="27">
        <v>38</v>
      </c>
      <c r="G674" s="27">
        <v>9774</v>
      </c>
      <c r="P674" s="26"/>
    </row>
    <row r="675" spans="1:16" ht="12.5">
      <c r="A675" s="3" t="s">
        <v>38</v>
      </c>
      <c r="B675" s="8" t="s">
        <v>2806</v>
      </c>
      <c r="C675" s="8" t="s">
        <v>3946</v>
      </c>
      <c r="D675" s="41" t="str">
        <f ca="1">IFERROR(__xludf.DUMMYFUNCTION("IFERROR(ARRAYFORMULA(REGEXEXTRACT(C675,""^(?:https?:\/\/)?(?:[^@\n]+@)?(?:www\.)?([^:\/\n]+)"")),"""")"),"scubby.com")</f>
        <v>scubby.com</v>
      </c>
      <c r="E675" s="26" t="str">
        <f ca="1">IFERROR(__xludf.DUMMYFUNCTION("""COMPUTED_VALUE"""),"New")</f>
        <v>New</v>
      </c>
      <c r="F675" s="27">
        <v>42</v>
      </c>
      <c r="G675" s="27">
        <v>5061</v>
      </c>
      <c r="P675" s="26"/>
    </row>
    <row r="676" spans="1:16" ht="12.5">
      <c r="A676" s="3" t="s">
        <v>38</v>
      </c>
      <c r="B676" s="8" t="s">
        <v>2806</v>
      </c>
      <c r="C676" s="8" t="s">
        <v>3947</v>
      </c>
      <c r="D676" s="41" t="str">
        <f ca="1">IFERROR(__xludf.DUMMYFUNCTION("IFERROR(ARRAYFORMULA(REGEXEXTRACT(C676,""^(?:https?:\/\/)?(?:[^@\n]+@)?(?:www\.)?([^:\/\n]+)"")),"""")"),"cnynews.com")</f>
        <v>cnynews.com</v>
      </c>
      <c r="E676" s="26" t="str">
        <f ca="1">IFERROR(__xludf.DUMMYFUNCTION("""COMPUTED_VALUE"""),"New")</f>
        <v>New</v>
      </c>
      <c r="F676" s="27">
        <v>65</v>
      </c>
      <c r="G676" s="27">
        <v>6780</v>
      </c>
      <c r="P676" s="26"/>
    </row>
    <row r="677" spans="1:16" ht="12.5">
      <c r="A677" s="3" t="s">
        <v>38</v>
      </c>
      <c r="B677" s="8" t="s">
        <v>2806</v>
      </c>
      <c r="C677" s="8" t="s">
        <v>3948</v>
      </c>
      <c r="D677" s="41" t="str">
        <f ca="1">IFERROR(__xludf.DUMMYFUNCTION("IFERROR(ARRAYFORMULA(REGEXEXTRACT(C677,""^(?:https?:\/\/)?(?:[^@\n]+@)?(?:www\.)?([^:\/\n]+)"")),"""")"),"starleaf.com")</f>
        <v>starleaf.com</v>
      </c>
      <c r="E677" s="26" t="str">
        <f ca="1">IFERROR(__xludf.DUMMYFUNCTION("""COMPUTED_VALUE"""),"New")</f>
        <v>New</v>
      </c>
      <c r="F677" s="27">
        <v>28</v>
      </c>
      <c r="G677" s="27">
        <v>1190</v>
      </c>
      <c r="P677" s="26"/>
    </row>
    <row r="678" spans="1:16" ht="12.5">
      <c r="A678" s="3" t="s">
        <v>38</v>
      </c>
      <c r="B678" s="8" t="s">
        <v>2806</v>
      </c>
      <c r="C678" s="8" t="s">
        <v>3949</v>
      </c>
      <c r="D678" s="41" t="str">
        <f ca="1">IFERROR(__xludf.DUMMYFUNCTION("IFERROR(ARRAYFORMULA(REGEXEXTRACT(C678,""^(?:https?:\/\/)?(?:[^@\n]+@)?(?:www\.)?([^:\/\n]+)"")),"""")"),"katsfm.com")</f>
        <v>katsfm.com</v>
      </c>
      <c r="E678" s="26" t="str">
        <f ca="1">IFERROR(__xludf.DUMMYFUNCTION("""COMPUTED_VALUE"""),"New")</f>
        <v>New</v>
      </c>
      <c r="F678" s="27">
        <v>51</v>
      </c>
      <c r="G678" s="27">
        <v>1522</v>
      </c>
      <c r="P678" s="26"/>
    </row>
    <row r="679" spans="1:16" ht="12.5" hidden="1">
      <c r="A679" s="3" t="s">
        <v>38</v>
      </c>
      <c r="B679" s="8" t="s">
        <v>2806</v>
      </c>
      <c r="C679" s="8" t="s">
        <v>3950</v>
      </c>
      <c r="D679" s="41" t="str">
        <f ca="1">IFERROR(__xludf.DUMMYFUNCTION("IFERROR(ARRAYFORMULA(REGEXEXTRACT(C679,""^(?:https?:\/\/)?(?:[^@\n]+@)?(?:www\.)?([^:\/\n]+)"")),"""")"),"theincmagazine.com")</f>
        <v>theincmagazine.com</v>
      </c>
      <c r="E679" s="26" t="str">
        <f ca="1">IFERROR(__xludf.DUMMYFUNCTION("""COMPUTED_VALUE"""),"Already Exists")</f>
        <v>Already Exists</v>
      </c>
      <c r="F679" s="27">
        <v>62</v>
      </c>
      <c r="G679" s="27">
        <v>36366</v>
      </c>
    </row>
    <row r="680" spans="1:16" ht="12.5">
      <c r="A680" s="3" t="s">
        <v>38</v>
      </c>
      <c r="B680" s="8" t="s">
        <v>2806</v>
      </c>
      <c r="C680" s="8" t="s">
        <v>3951</v>
      </c>
      <c r="D680" s="41" t="str">
        <f ca="1">IFERROR(__xludf.DUMMYFUNCTION("IFERROR(ARRAYFORMULA(REGEXEXTRACT(C680,""^(?:https?:\/\/)?(?:[^@\n]+@)?(?:www\.)?([^:\/\n]+)"")),"""")"),"enfsolar.com")</f>
        <v>enfsolar.com</v>
      </c>
      <c r="E680" s="26" t="str">
        <f ca="1">IFERROR(__xludf.DUMMYFUNCTION("""COMPUTED_VALUE"""),"New")</f>
        <v>New</v>
      </c>
      <c r="F680" s="27">
        <v>27</v>
      </c>
      <c r="G680" s="27">
        <v>1391</v>
      </c>
      <c r="P680" s="26"/>
    </row>
    <row r="681" spans="1:16" ht="12.5">
      <c r="A681" s="3" t="s">
        <v>38</v>
      </c>
      <c r="B681" s="8" t="s">
        <v>2806</v>
      </c>
      <c r="C681" s="8" t="s">
        <v>3952</v>
      </c>
      <c r="D681" s="41" t="str">
        <f ca="1">IFERROR(__xludf.DUMMYFUNCTION("IFERROR(ARRAYFORMULA(REGEXEXTRACT(C681,""^(?:https?:\/\/)?(?:[^@\n]+@)?(?:www\.)?([^:\/\n]+)"")),"""")"),"wmmq.com")</f>
        <v>wmmq.com</v>
      </c>
      <c r="E681" s="26" t="str">
        <f ca="1">IFERROR(__xludf.DUMMYFUNCTION("""COMPUTED_VALUE"""),"New")</f>
        <v>New</v>
      </c>
      <c r="F681" s="27">
        <v>63</v>
      </c>
      <c r="G681" s="27">
        <v>73040</v>
      </c>
      <c r="P681" s="26"/>
    </row>
    <row r="682" spans="1:16" ht="12.5">
      <c r="A682" s="3" t="s">
        <v>38</v>
      </c>
      <c r="B682" s="8" t="s">
        <v>2806</v>
      </c>
      <c r="C682" s="8" t="s">
        <v>3953</v>
      </c>
      <c r="D682" s="41" t="str">
        <f ca="1">IFERROR(__xludf.DUMMYFUNCTION("IFERROR(ARRAYFORMULA(REGEXEXTRACT(C682,""^(?:https?:\/\/)?(?:[^@\n]+@)?(?:www\.)?([^:\/\n]+)"")),"""")"),"arcamax.com")</f>
        <v>arcamax.com</v>
      </c>
      <c r="E682" s="26" t="str">
        <f ca="1">IFERROR(__xludf.DUMMYFUNCTION("""COMPUTED_VALUE"""),"New")</f>
        <v>New</v>
      </c>
      <c r="F682" s="27">
        <v>47</v>
      </c>
      <c r="G682" s="27">
        <v>1957</v>
      </c>
      <c r="P682" s="26"/>
    </row>
    <row r="683" spans="1:16" ht="12.5" hidden="1">
      <c r="A683" s="3" t="s">
        <v>38</v>
      </c>
      <c r="B683" s="8" t="s">
        <v>2806</v>
      </c>
      <c r="C683" s="11" t="s">
        <v>3954</v>
      </c>
      <c r="D683" s="41" t="str">
        <f ca="1">IFERROR(__xludf.DUMMYFUNCTION("IFERROR(ARRAYFORMULA(REGEXEXTRACT(C683,""^(?:https?:\/\/)?(?:[^@\n]+@)?(?:www\.)?([^:\/\n]+)"")),"""")"),"vocabbliss.com")</f>
        <v>vocabbliss.com</v>
      </c>
      <c r="E683" s="26" t="str">
        <f ca="1">IFERROR(__xludf.DUMMYFUNCTION("""COMPUTED_VALUE"""),"Already Exists")</f>
        <v>Already Exists</v>
      </c>
      <c r="F683" s="27">
        <v>44</v>
      </c>
      <c r="G683" s="27">
        <v>2838</v>
      </c>
      <c r="J683" s="27" t="s">
        <v>3808</v>
      </c>
      <c r="K683" s="27" t="s">
        <v>3756</v>
      </c>
      <c r="L683" s="112"/>
      <c r="M683" s="66" t="s">
        <v>3117</v>
      </c>
      <c r="N683" s="48">
        <v>46034</v>
      </c>
      <c r="P683" s="26"/>
    </row>
    <row r="684" spans="1:16" ht="12.5">
      <c r="A684" s="3" t="s">
        <v>38</v>
      </c>
      <c r="B684" s="8" t="s">
        <v>2806</v>
      </c>
      <c r="C684" s="11" t="s">
        <v>3955</v>
      </c>
      <c r="D684" s="41" t="str">
        <f ca="1">IFERROR(__xludf.DUMMYFUNCTION("IFERROR(ARRAYFORMULA(REGEXEXTRACT(C684,""^(?:https?:\/\/)?(?:[^@\n]+@)?(?:www\.)?([^:\/\n]+)"")),"""")"),"austin.culturemap.com")</f>
        <v>austin.culturemap.com</v>
      </c>
      <c r="E684" s="26" t="str">
        <f ca="1">IFERROR(__xludf.DUMMYFUNCTION("""COMPUTED_VALUE"""),"New")</f>
        <v>New</v>
      </c>
      <c r="F684" s="27">
        <v>38</v>
      </c>
      <c r="G684" s="27">
        <v>6331</v>
      </c>
      <c r="H684" s="27" t="s">
        <v>3956</v>
      </c>
      <c r="I684" s="27" t="s">
        <v>3957</v>
      </c>
      <c r="J684" s="27" t="s">
        <v>3958</v>
      </c>
      <c r="K684" s="27" t="s">
        <v>3772</v>
      </c>
      <c r="L684" s="112"/>
      <c r="M684" s="66" t="s">
        <v>3117</v>
      </c>
      <c r="N684" s="48">
        <v>46034</v>
      </c>
      <c r="O684" s="48">
        <v>46070</v>
      </c>
      <c r="P684" s="26"/>
    </row>
    <row r="685" spans="1:16" ht="12.5">
      <c r="A685" s="3" t="s">
        <v>38</v>
      </c>
      <c r="B685" s="8" t="s">
        <v>2806</v>
      </c>
      <c r="C685" s="8" t="s">
        <v>3959</v>
      </c>
      <c r="D685" s="41" t="str">
        <f ca="1">IFERROR(__xludf.DUMMYFUNCTION("IFERROR(ARRAYFORMULA(REGEXEXTRACT(C685,""^(?:https?:\/\/)?(?:[^@\n]+@)?(?:www\.)?([^:\/\n]+)"")),"""")"),"1033thegoat.com")</f>
        <v>1033thegoat.com</v>
      </c>
      <c r="E685" s="26" t="str">
        <f ca="1">IFERROR(__xludf.DUMMYFUNCTION("""COMPUTED_VALUE"""),"New")</f>
        <v>New</v>
      </c>
      <c r="F685" s="27">
        <v>77</v>
      </c>
      <c r="G685" s="27">
        <v>5642</v>
      </c>
      <c r="P685" s="26"/>
    </row>
    <row r="686" spans="1:16" ht="12.5" hidden="1">
      <c r="A686" s="3" t="s">
        <v>38</v>
      </c>
      <c r="B686" s="8" t="s">
        <v>2806</v>
      </c>
      <c r="C686" s="8" t="s">
        <v>3960</v>
      </c>
      <c r="D686" s="41" t="str">
        <f ca="1">IFERROR(__xludf.DUMMYFUNCTION("IFERROR(ARRAYFORMULA(REGEXEXTRACT(C686,""^(?:https?:\/\/)?(?:[^@\n]+@)?(?:www\.)?([^:\/\n]+)"")),"""")"),"applemagazine.com")</f>
        <v>applemagazine.com</v>
      </c>
      <c r="E686" s="26" t="str">
        <f ca="1">IFERROR(__xludf.DUMMYFUNCTION("""COMPUTED_VALUE"""),"Already Exists")</f>
        <v>Already Exists</v>
      </c>
      <c r="F686" s="27">
        <v>47</v>
      </c>
      <c r="G686" s="27">
        <v>6174</v>
      </c>
    </row>
    <row r="687" spans="1:16" ht="12.5">
      <c r="A687" s="3" t="s">
        <v>38</v>
      </c>
      <c r="B687" s="8" t="s">
        <v>2806</v>
      </c>
      <c r="C687" s="8" t="s">
        <v>3961</v>
      </c>
      <c r="D687" s="41" t="str">
        <f ca="1">IFERROR(__xludf.DUMMYFUNCTION("IFERROR(ARRAYFORMULA(REGEXEXTRACT(C687,""^(?:https?:\/\/)?(?:[^@\n]+@)?(?:www\.)?([^:\/\n]+)"")),"""")"),"wcrz.com")</f>
        <v>wcrz.com</v>
      </c>
      <c r="E687" s="26" t="str">
        <f ca="1">IFERROR(__xludf.DUMMYFUNCTION("""COMPUTED_VALUE"""),"New")</f>
        <v>New</v>
      </c>
      <c r="F687" s="27">
        <v>32</v>
      </c>
      <c r="G687" s="27">
        <v>1886</v>
      </c>
      <c r="P687" s="26"/>
    </row>
    <row r="688" spans="1:16" ht="12.5">
      <c r="A688" s="3" t="s">
        <v>38</v>
      </c>
      <c r="B688" s="8" t="s">
        <v>2806</v>
      </c>
      <c r="C688" s="8" t="s">
        <v>3962</v>
      </c>
      <c r="D688" s="41" t="str">
        <f ca="1">IFERROR(__xludf.DUMMYFUNCTION("IFERROR(ARRAYFORMULA(REGEXEXTRACT(C688,""^(?:https?:\/\/)?(?:[^@\n]+@)?(?:www\.)?([^:\/\n]+)"")),"""")"),"975now.com")</f>
        <v>975now.com</v>
      </c>
      <c r="E688" s="26" t="str">
        <f ca="1">IFERROR(__xludf.DUMMYFUNCTION("""COMPUTED_VALUE"""),"New")</f>
        <v>New</v>
      </c>
      <c r="F688" s="27">
        <v>57</v>
      </c>
      <c r="G688" s="27">
        <v>1613</v>
      </c>
      <c r="P688" s="26"/>
    </row>
    <row r="689" spans="1:16" ht="12.5" hidden="1">
      <c r="A689" s="3" t="s">
        <v>38</v>
      </c>
      <c r="B689" s="8" t="s">
        <v>2806</v>
      </c>
      <c r="C689" s="8" t="s">
        <v>3963</v>
      </c>
      <c r="D689" s="41" t="str">
        <f ca="1">IFERROR(__xludf.DUMMYFUNCTION("IFERROR(ARRAYFORMULA(REGEXEXTRACT(C689,""^(?:https?:\/\/)?(?:[^@\n]+@)?(?:www\.)?([^:\/\n]+)"")),"""")"),"techbuzzireland.com")</f>
        <v>techbuzzireland.com</v>
      </c>
      <c r="E689" s="26" t="str">
        <f ca="1">IFERROR(__xludf.DUMMYFUNCTION("""COMPUTED_VALUE"""),"Already Exists")</f>
        <v>Already Exists</v>
      </c>
      <c r="F689" s="27">
        <v>86</v>
      </c>
      <c r="G689" s="27">
        <v>11285</v>
      </c>
    </row>
    <row r="690" spans="1:16" ht="12.5">
      <c r="A690" s="3" t="s">
        <v>38</v>
      </c>
      <c r="B690" s="8" t="s">
        <v>2806</v>
      </c>
      <c r="C690" s="8" t="s">
        <v>3964</v>
      </c>
      <c r="D690" s="41" t="str">
        <f ca="1">IFERROR(__xludf.DUMMYFUNCTION("IFERROR(ARRAYFORMULA(REGEXEXTRACT(C690,""^(?:https?:\/\/)?(?:[^@\n]+@)?(?:www\.)?([^:\/\n]+)"")),"""")"),"digitaljournal.com")</f>
        <v>digitaljournal.com</v>
      </c>
      <c r="E690" s="26" t="str">
        <f ca="1">IFERROR(__xludf.DUMMYFUNCTION("""COMPUTED_VALUE"""),"New")</f>
        <v>New</v>
      </c>
      <c r="F690" s="27">
        <v>59</v>
      </c>
      <c r="G690" s="27">
        <v>5163</v>
      </c>
      <c r="P690" s="26"/>
    </row>
    <row r="691" spans="1:16" ht="12.5">
      <c r="A691" s="3" t="s">
        <v>38</v>
      </c>
      <c r="B691" s="8" t="s">
        <v>2806</v>
      </c>
      <c r="C691" s="8" t="s">
        <v>3965</v>
      </c>
      <c r="D691" s="41" t="str">
        <f ca="1">IFERROR(__xludf.DUMMYFUNCTION("IFERROR(ARRAYFORMULA(REGEXEXTRACT(C691,""^(?:https?:\/\/)?(?:[^@\n]+@)?(?:www\.)?([^:\/\n]+)"")),"""")"),"popcrush.com")</f>
        <v>popcrush.com</v>
      </c>
      <c r="E691" s="26" t="str">
        <f ca="1">IFERROR(__xludf.DUMMYFUNCTION("""COMPUTED_VALUE"""),"New")</f>
        <v>New</v>
      </c>
      <c r="F691" s="27">
        <v>54</v>
      </c>
      <c r="G691" s="27">
        <v>40803</v>
      </c>
      <c r="P691" s="26"/>
    </row>
    <row r="692" spans="1:16" ht="12.5">
      <c r="A692" s="3" t="s">
        <v>38</v>
      </c>
      <c r="B692" s="8" t="s">
        <v>2806</v>
      </c>
      <c r="C692" s="8" t="s">
        <v>3966</v>
      </c>
      <c r="D692" s="41" t="str">
        <f ca="1">IFERROR(__xludf.DUMMYFUNCTION("IFERROR(ARRAYFORMULA(REGEXEXTRACT(C692,""^(?:https?:\/\/)?(?:[^@\n]+@)?(?:www\.)?([^:\/\n]+)"")),"""")"),"glasgowworld.com")</f>
        <v>glasgowworld.com</v>
      </c>
      <c r="E692" s="26" t="str">
        <f ca="1">IFERROR(__xludf.DUMMYFUNCTION("""COMPUTED_VALUE"""),"New")</f>
        <v>New</v>
      </c>
      <c r="F692" s="27">
        <v>28</v>
      </c>
      <c r="G692" s="27">
        <v>1625</v>
      </c>
      <c r="P692" s="26"/>
    </row>
    <row r="693" spans="1:16" ht="12.5">
      <c r="A693" s="3" t="s">
        <v>38</v>
      </c>
      <c r="B693" s="8" t="s">
        <v>2806</v>
      </c>
      <c r="C693" s="8" t="s">
        <v>3967</v>
      </c>
      <c r="D693" s="41" t="str">
        <f ca="1">IFERROR(__xludf.DUMMYFUNCTION("IFERROR(ARRAYFORMULA(REGEXEXTRACT(C693,""^(?:https?:\/\/)?(?:[^@\n]+@)?(?:www\.)?([^:\/\n]+)"")),"""")"),"991thewhale.com")</f>
        <v>991thewhale.com</v>
      </c>
      <c r="E693" s="26" t="str">
        <f ca="1">IFERROR(__xludf.DUMMYFUNCTION("""COMPUTED_VALUE"""),"New")</f>
        <v>New</v>
      </c>
      <c r="F693" s="27">
        <v>58</v>
      </c>
      <c r="G693" s="27">
        <v>11088</v>
      </c>
      <c r="P693" s="26"/>
    </row>
    <row r="694" spans="1:16" ht="12.5">
      <c r="A694" s="3" t="s">
        <v>38</v>
      </c>
      <c r="B694" s="8" t="s">
        <v>2806</v>
      </c>
      <c r="C694" s="8" t="s">
        <v>3968</v>
      </c>
      <c r="D694" s="41" t="str">
        <f ca="1">IFERROR(__xludf.DUMMYFUNCTION("IFERROR(ARRAYFORMULA(REGEXEXTRACT(C694,""^(?:https?:\/\/)?(?:[^@\n]+@)?(?:www\.)?([^:\/\n]+)"")),"""")"),"cachevalleydaily.com")</f>
        <v>cachevalleydaily.com</v>
      </c>
      <c r="E694" s="26" t="str">
        <f ca="1">IFERROR(__xludf.DUMMYFUNCTION("""COMPUTED_VALUE"""),"New")</f>
        <v>New</v>
      </c>
      <c r="F694" s="27">
        <v>47</v>
      </c>
      <c r="G694" s="27">
        <v>85683</v>
      </c>
      <c r="P694" s="26"/>
    </row>
    <row r="695" spans="1:16" ht="12.5">
      <c r="A695" s="3" t="s">
        <v>38</v>
      </c>
      <c r="B695" s="8" t="s">
        <v>2806</v>
      </c>
      <c r="C695" s="8" t="s">
        <v>3969</v>
      </c>
      <c r="D695" s="41" t="str">
        <f ca="1">IFERROR(__xludf.DUMMYFUNCTION("IFERROR(ARRAYFORMULA(REGEXEXTRACT(C695,""^(?:https?:\/\/)?(?:[^@\n]+@)?(?:www\.)?([^:\/\n]+)"")),"""")"),"notsalmon.com")</f>
        <v>notsalmon.com</v>
      </c>
      <c r="E695" s="26" t="str">
        <f ca="1">IFERROR(__xludf.DUMMYFUNCTION("""COMPUTED_VALUE"""),"New")</f>
        <v>New</v>
      </c>
      <c r="F695" s="27">
        <v>69</v>
      </c>
      <c r="G695" s="27">
        <v>26046</v>
      </c>
      <c r="P695" s="26"/>
    </row>
    <row r="696" spans="1:16" ht="12.5">
      <c r="A696" s="3" t="s">
        <v>38</v>
      </c>
      <c r="B696" s="8" t="s">
        <v>2806</v>
      </c>
      <c r="C696" s="8" t="s">
        <v>3970</v>
      </c>
      <c r="D696" s="41" t="str">
        <f ca="1">IFERROR(__xludf.DUMMYFUNCTION("IFERROR(ARRAYFORMULA(REGEXEXTRACT(C696,""^(?:https?:\/\/)?(?:[^@\n]+@)?(?:www\.)?([^:\/\n]+)"")),"""")"),"secure2.websrvcs.com")</f>
        <v>secure2.websrvcs.com</v>
      </c>
      <c r="E696" s="26" t="str">
        <f ca="1">IFERROR(__xludf.DUMMYFUNCTION("""COMPUTED_VALUE"""),"New")</f>
        <v>New</v>
      </c>
      <c r="F696" s="27">
        <v>47</v>
      </c>
      <c r="G696" s="27">
        <v>11223</v>
      </c>
      <c r="P696" s="26"/>
    </row>
    <row r="697" spans="1:16" ht="12.5">
      <c r="A697" s="3" t="s">
        <v>38</v>
      </c>
      <c r="B697" s="8" t="s">
        <v>2806</v>
      </c>
      <c r="C697" s="8" t="s">
        <v>3971</v>
      </c>
      <c r="D697" s="41" t="str">
        <f ca="1">IFERROR(__xludf.DUMMYFUNCTION("IFERROR(ARRAYFORMULA(REGEXEXTRACT(C697,""^(?:https?:\/\/)?(?:[^@\n]+@)?(?:www\.)?([^:\/\n]+)"")),"""")"),"wrrv.com")</f>
        <v>wrrv.com</v>
      </c>
      <c r="E697" s="26" t="str">
        <f ca="1">IFERROR(__xludf.DUMMYFUNCTION("""COMPUTED_VALUE"""),"New")</f>
        <v>New</v>
      </c>
      <c r="F697" s="27">
        <v>29</v>
      </c>
      <c r="G697" s="27">
        <v>1426</v>
      </c>
      <c r="P697" s="26"/>
    </row>
    <row r="698" spans="1:16" ht="12.5" hidden="1">
      <c r="A698" s="3" t="s">
        <v>38</v>
      </c>
      <c r="B698" s="8" t="s">
        <v>2806</v>
      </c>
      <c r="C698" s="8" t="s">
        <v>3972</v>
      </c>
      <c r="D698" s="41" t="str">
        <f ca="1">IFERROR(__xludf.DUMMYFUNCTION("IFERROR(ARRAYFORMULA(REGEXEXTRACT(C698,""^(?:https?:\/\/)?(?:[^@\n]+@)?(?:www\.)?([^:\/\n]+)"")),"""")"),"thedesigntourist.com")</f>
        <v>thedesigntourist.com</v>
      </c>
      <c r="E698" s="26" t="str">
        <f ca="1">IFERROR(__xludf.DUMMYFUNCTION("""COMPUTED_VALUE"""),"Already Exists")</f>
        <v>Already Exists</v>
      </c>
      <c r="F698" s="27">
        <v>32</v>
      </c>
      <c r="G698" s="27">
        <v>4043</v>
      </c>
    </row>
    <row r="699" spans="1:16" ht="12.5">
      <c r="A699" s="3" t="s">
        <v>38</v>
      </c>
      <c r="B699" s="8" t="s">
        <v>2806</v>
      </c>
      <c r="C699" s="8" t="s">
        <v>3973</v>
      </c>
      <c r="D699" s="41" t="str">
        <f ca="1">IFERROR(__xludf.DUMMYFUNCTION("IFERROR(ARRAYFORMULA(REGEXEXTRACT(C699,""^(?:https?:\/\/)?(?:[^@\n]+@)?(?:www\.)?([^:\/\n]+)"")),"""")"),"banana1015.com")</f>
        <v>banana1015.com</v>
      </c>
      <c r="E699" s="26" t="str">
        <f ca="1">IFERROR(__xludf.DUMMYFUNCTION("""COMPUTED_VALUE"""),"New")</f>
        <v>New</v>
      </c>
      <c r="F699" s="27">
        <v>57</v>
      </c>
      <c r="G699" s="27">
        <v>1279</v>
      </c>
      <c r="P699" s="26"/>
    </row>
    <row r="700" spans="1:16" ht="12.5">
      <c r="A700" s="3" t="s">
        <v>38</v>
      </c>
      <c r="B700" s="8" t="s">
        <v>2806</v>
      </c>
      <c r="C700" s="8" t="s">
        <v>3974</v>
      </c>
      <c r="D700" s="41" t="str">
        <f ca="1">IFERROR(__xludf.DUMMYFUNCTION("IFERROR(ARRAYFORMULA(REGEXEXTRACT(C700,""^(?:https?:\/\/)?(?:[^@\n]+@)?(?:www\.)?([^:\/\n]+)"")),"""")"),"1995.ng")</f>
        <v>1995.ng</v>
      </c>
      <c r="E700" s="26" t="str">
        <f ca="1">IFERROR(__xludf.DUMMYFUNCTION("""COMPUTED_VALUE"""),"New")</f>
        <v>New</v>
      </c>
      <c r="F700" s="27">
        <v>51</v>
      </c>
      <c r="G700" s="27">
        <v>3622</v>
      </c>
      <c r="P700" s="26"/>
    </row>
    <row r="701" spans="1:16" ht="12.5" hidden="1">
      <c r="A701" s="3" t="s">
        <v>38</v>
      </c>
      <c r="B701" s="8" t="s">
        <v>2806</v>
      </c>
      <c r="C701" s="8" t="s">
        <v>3975</v>
      </c>
      <c r="D701" s="41" t="str">
        <f ca="1">IFERROR(__xludf.DUMMYFUNCTION("IFERROR(ARRAYFORMULA(REGEXEXTRACT(C701,""^(?:https?:\/\/)?(?:[^@\n]+@)?(?:www\.)?([^:\/\n]+)"")),"""")"),"icytales.com")</f>
        <v>icytales.com</v>
      </c>
      <c r="E701" s="26" t="str">
        <f ca="1">IFERROR(__xludf.DUMMYFUNCTION("""COMPUTED_VALUE"""),"Already Exists")</f>
        <v>Already Exists</v>
      </c>
      <c r="F701" s="27">
        <v>38</v>
      </c>
      <c r="G701" s="27">
        <v>1487</v>
      </c>
    </row>
    <row r="702" spans="1:16" ht="12.5">
      <c r="A702" s="3" t="s">
        <v>38</v>
      </c>
      <c r="B702" s="8" t="s">
        <v>2806</v>
      </c>
      <c r="C702" s="8" t="s">
        <v>3976</v>
      </c>
      <c r="D702" s="41" t="str">
        <f ca="1">IFERROR(__xludf.DUMMYFUNCTION("IFERROR(ARRAYFORMULA(REGEXEXTRACT(C702,""^(?:https?:\/\/)?(?:[^@\n]+@)?(?:www\.)?([^:\/\n]+)"")),"""")"),"1057thehawk.com")</f>
        <v>1057thehawk.com</v>
      </c>
      <c r="E702" s="26" t="str">
        <f ca="1">IFERROR(__xludf.DUMMYFUNCTION("""COMPUTED_VALUE"""),"New")</f>
        <v>New</v>
      </c>
      <c r="F702" s="27">
        <v>21</v>
      </c>
      <c r="G702" s="27">
        <v>20129</v>
      </c>
      <c r="P702" s="26"/>
    </row>
    <row r="703" spans="1:16" ht="12.5">
      <c r="A703" s="3" t="s">
        <v>38</v>
      </c>
      <c r="B703" s="8" t="s">
        <v>2806</v>
      </c>
      <c r="C703" s="8" t="s">
        <v>3977</v>
      </c>
      <c r="D703" s="41" t="str">
        <f ca="1">IFERROR(__xludf.DUMMYFUNCTION("IFERROR(ARRAYFORMULA(REGEXEXTRACT(C703,""^(?:https?:\/\/)?(?:[^@\n]+@)?(?:www\.)?([^:\/\n]+)"")),"""")"),"cowboybootstore.co.uk")</f>
        <v>cowboybootstore.co.uk</v>
      </c>
      <c r="E703" s="26" t="str">
        <f ca="1">IFERROR(__xludf.DUMMYFUNCTION("""COMPUTED_VALUE"""),"New")</f>
        <v>New</v>
      </c>
      <c r="F703" s="27">
        <v>51</v>
      </c>
      <c r="G703" s="27">
        <v>12051</v>
      </c>
      <c r="P703" s="26"/>
    </row>
    <row r="704" spans="1:16" ht="12.5" hidden="1">
      <c r="A704" s="3" t="s">
        <v>38</v>
      </c>
      <c r="B704" s="8" t="s">
        <v>2806</v>
      </c>
      <c r="C704" s="8" t="s">
        <v>3978</v>
      </c>
      <c r="D704" s="41" t="str">
        <f ca="1">IFERROR(__xludf.DUMMYFUNCTION("IFERROR(ARRAYFORMULA(REGEXEXTRACT(C704,""^(?:https?:\/\/)?(?:[^@\n]+@)?(?:www\.)?([^:\/\n]+)"")),"""")"),"sweetsofties.com")</f>
        <v>sweetsofties.com</v>
      </c>
      <c r="E704" s="26" t="str">
        <f ca="1">IFERROR(__xludf.DUMMYFUNCTION("""COMPUTED_VALUE"""),"Already Exists")</f>
        <v>Already Exists</v>
      </c>
      <c r="F704" s="27">
        <v>76</v>
      </c>
      <c r="G704" s="27">
        <v>340440</v>
      </c>
    </row>
    <row r="705" spans="1:16" ht="12.5">
      <c r="A705" s="3" t="s">
        <v>38</v>
      </c>
      <c r="B705" s="8" t="s">
        <v>2806</v>
      </c>
      <c r="C705" s="8" t="s">
        <v>3979</v>
      </c>
      <c r="D705" s="41" t="str">
        <f ca="1">IFERROR(__xludf.DUMMYFUNCTION("IFERROR(ARRAYFORMULA(REGEXEXTRACT(C705,""^(?:https?:\/\/)?(?:[^@\n]+@)?(?:www\.)?([^:\/\n]+)"")),"""")"),"bristolpost.co.uk")</f>
        <v>bristolpost.co.uk</v>
      </c>
      <c r="E705" s="26" t="str">
        <f ca="1">IFERROR(__xludf.DUMMYFUNCTION("""COMPUTED_VALUE"""),"New")</f>
        <v>New</v>
      </c>
      <c r="F705" s="27">
        <v>49</v>
      </c>
      <c r="G705" s="27">
        <v>3585</v>
      </c>
      <c r="P705" s="26"/>
    </row>
    <row r="706" spans="1:16" ht="12.5">
      <c r="A706" s="3" t="s">
        <v>38</v>
      </c>
      <c r="B706" s="8" t="s">
        <v>2806</v>
      </c>
      <c r="C706" s="8" t="s">
        <v>3980</v>
      </c>
      <c r="D706" s="41" t="str">
        <f ca="1">IFERROR(__xludf.DUMMYFUNCTION("IFERROR(ARRAYFORMULA(REGEXEXTRACT(C706,""^(?:https?:\/\/)?(?:[^@\n]+@)?(?:www\.)?([^:\/\n]+)"")),"""")"),"podscan.fm")</f>
        <v>podscan.fm</v>
      </c>
      <c r="E706" s="26" t="str">
        <f ca="1">IFERROR(__xludf.DUMMYFUNCTION("""COMPUTED_VALUE"""),"New")</f>
        <v>New</v>
      </c>
      <c r="F706" s="27">
        <v>36</v>
      </c>
      <c r="G706" s="27">
        <v>1591</v>
      </c>
      <c r="P706" s="26"/>
    </row>
    <row r="707" spans="1:16" ht="12.5">
      <c r="A707" s="3" t="s">
        <v>38</v>
      </c>
      <c r="B707" s="8" t="s">
        <v>2806</v>
      </c>
      <c r="C707" s="8" t="s">
        <v>3981</v>
      </c>
      <c r="D707" s="41" t="str">
        <f ca="1">IFERROR(__xludf.DUMMYFUNCTION("IFERROR(ARRAYFORMULA(REGEXEXTRACT(C707,""^(?:https?:\/\/)?(?:[^@\n]+@)?(?:www\.)?([^:\/\n]+)"")),"""")"),"north65chamber.preview.gochambermaster.com")</f>
        <v>north65chamber.preview.gochambermaster.com</v>
      </c>
      <c r="E707" s="26" t="str">
        <f ca="1">IFERROR(__xludf.DUMMYFUNCTION("""COMPUTED_VALUE"""),"New")</f>
        <v>New</v>
      </c>
      <c r="F707" s="27">
        <v>46</v>
      </c>
      <c r="G707" s="27">
        <v>3336</v>
      </c>
      <c r="P707" s="26"/>
    </row>
    <row r="708" spans="1:16" ht="12.5">
      <c r="A708" s="3" t="s">
        <v>38</v>
      </c>
      <c r="B708" s="8" t="s">
        <v>2806</v>
      </c>
      <c r="C708" s="8" t="s">
        <v>3982</v>
      </c>
      <c r="D708" s="41" t="str">
        <f ca="1">IFERROR(__xludf.DUMMYFUNCTION("IFERROR(ARRAYFORMULA(REGEXEXTRACT(C708,""^(?:https?:\/\/)?(?:[^@\n]+@)?(?:www\.)?([^:\/\n]+)"")),"""")"),"710keel.com")</f>
        <v>710keel.com</v>
      </c>
      <c r="E708" s="26" t="str">
        <f ca="1">IFERROR(__xludf.DUMMYFUNCTION("""COMPUTED_VALUE"""),"New")</f>
        <v>New</v>
      </c>
      <c r="F708" s="27">
        <v>86</v>
      </c>
      <c r="G708" s="27">
        <v>115164</v>
      </c>
      <c r="P708" s="26"/>
    </row>
    <row r="709" spans="1:16" ht="12.5">
      <c r="A709" s="3" t="s">
        <v>38</v>
      </c>
      <c r="B709" s="8" t="s">
        <v>2806</v>
      </c>
      <c r="C709" s="8" t="s">
        <v>3983</v>
      </c>
      <c r="D709" s="41" t="str">
        <f ca="1">IFERROR(__xludf.DUMMYFUNCTION("IFERROR(ARRAYFORMULA(REGEXEXTRACT(C709,""^(?:https?:\/\/)?(?:[^@\n]+@)?(?:www\.)?([^:\/\n]+)"")),"""")"),"housebeautiful.com")</f>
        <v>housebeautiful.com</v>
      </c>
      <c r="E709" s="26" t="str">
        <f ca="1">IFERROR(__xludf.DUMMYFUNCTION("""COMPUTED_VALUE"""),"New")</f>
        <v>New</v>
      </c>
      <c r="F709" s="27">
        <v>54</v>
      </c>
      <c r="G709" s="27">
        <v>1532</v>
      </c>
      <c r="P709" s="26"/>
    </row>
    <row r="710" spans="1:16" ht="12.5">
      <c r="A710" s="3" t="s">
        <v>38</v>
      </c>
      <c r="B710" s="8" t="s">
        <v>2806</v>
      </c>
      <c r="C710" s="8" t="s">
        <v>3984</v>
      </c>
      <c r="D710" s="41" t="str">
        <f ca="1">IFERROR(__xludf.DUMMYFUNCTION("IFERROR(ARRAYFORMULA(REGEXEXTRACT(C710,""^(?:https?:\/\/)?(?:[^@\n]+@)?(?:www\.)?([^:\/\n]+)"")),"""")"),"journaltimes.com")</f>
        <v>journaltimes.com</v>
      </c>
      <c r="E710" s="26" t="str">
        <f ca="1">IFERROR(__xludf.DUMMYFUNCTION("""COMPUTED_VALUE"""),"New")</f>
        <v>New</v>
      </c>
      <c r="F710" s="27">
        <v>85</v>
      </c>
      <c r="G710" s="27">
        <v>374597</v>
      </c>
      <c r="P710" s="26"/>
    </row>
    <row r="711" spans="1:16" ht="12.5" hidden="1">
      <c r="A711" s="3" t="s">
        <v>38</v>
      </c>
      <c r="B711" s="8" t="s">
        <v>2806</v>
      </c>
      <c r="C711" s="56" t="s">
        <v>3985</v>
      </c>
      <c r="D711" s="41" t="str">
        <f ca="1">IFERROR(__xludf.DUMMYFUNCTION("IFERROR(ARRAYFORMULA(REGEXEXTRACT(C711,""^(?:https?:\/\/)?(?:[^@\n]+@)?(?:www\.)?([^:\/\n]+)"")),"""")"),"intelligenthq.com")</f>
        <v>intelligenthq.com</v>
      </c>
      <c r="E711" s="26" t="str">
        <f ca="1">IFERROR(__xludf.DUMMYFUNCTION("""COMPUTED_VALUE"""),"Already Exists")</f>
        <v>Already Exists</v>
      </c>
      <c r="F711" s="27">
        <v>63</v>
      </c>
      <c r="G711" s="27">
        <v>26540</v>
      </c>
      <c r="I711" s="27" t="s">
        <v>3986</v>
      </c>
      <c r="J711" s="27" t="s">
        <v>3987</v>
      </c>
      <c r="M711" s="66" t="s">
        <v>3117</v>
      </c>
      <c r="N711" s="48">
        <v>46034</v>
      </c>
      <c r="P711" s="27" t="s">
        <v>3201</v>
      </c>
    </row>
    <row r="712" spans="1:16" ht="12.5">
      <c r="A712" s="3" t="s">
        <v>38</v>
      </c>
      <c r="B712" s="8" t="s">
        <v>2806</v>
      </c>
      <c r="C712" s="8" t="s">
        <v>3988</v>
      </c>
      <c r="D712" s="41" t="str">
        <f ca="1">IFERROR(__xludf.DUMMYFUNCTION("IFERROR(ARRAYFORMULA(REGEXEXTRACT(C712,""^(?:https?:\/\/)?(?:[^@\n]+@)?(?:www\.)?([^:\/\n]+)"")),"""")"),"thisoldhouse.com")</f>
        <v>thisoldhouse.com</v>
      </c>
      <c r="E712" s="26" t="str">
        <f ca="1">IFERROR(__xludf.DUMMYFUNCTION("""COMPUTED_VALUE"""),"New")</f>
        <v>New</v>
      </c>
      <c r="F712" s="27">
        <v>36</v>
      </c>
      <c r="G712" s="27">
        <v>1202</v>
      </c>
      <c r="P712" s="26"/>
    </row>
    <row r="713" spans="1:16" ht="12.5">
      <c r="A713" s="3" t="s">
        <v>38</v>
      </c>
      <c r="B713" s="8" t="s">
        <v>2806</v>
      </c>
      <c r="C713" s="8" t="s">
        <v>3989</v>
      </c>
      <c r="D713" s="41" t="str">
        <f ca="1">IFERROR(__xludf.DUMMYFUNCTION("IFERROR(ARRAYFORMULA(REGEXEXTRACT(C713,""^(?:https?:\/\/)?(?:[^@\n]+@)?(?:www\.)?([^:\/\n]+)"")),"""")"),"members.woodburychamber.org")</f>
        <v>members.woodburychamber.org</v>
      </c>
      <c r="E713" s="26" t="str">
        <f ca="1">IFERROR(__xludf.DUMMYFUNCTION("""COMPUTED_VALUE"""),"New")</f>
        <v>New</v>
      </c>
      <c r="F713" s="27">
        <v>84</v>
      </c>
      <c r="G713" s="27">
        <v>602551</v>
      </c>
      <c r="P713" s="26"/>
    </row>
    <row r="714" spans="1:16" ht="12.5">
      <c r="A714" s="3" t="s">
        <v>38</v>
      </c>
      <c r="B714" s="8" t="s">
        <v>2806</v>
      </c>
      <c r="C714" s="8" t="s">
        <v>3990</v>
      </c>
      <c r="D714" s="41" t="str">
        <f ca="1">IFERROR(__xludf.DUMMYFUNCTION("IFERROR(ARRAYFORMULA(REGEXEXTRACT(C714,""^(?:https?:\/\/)?(?:[^@\n]+@)?(?:www\.)?([^:\/\n]+)"")),"""")"),"scotsman.com")</f>
        <v>scotsman.com</v>
      </c>
      <c r="E714" s="26" t="str">
        <f ca="1">IFERROR(__xludf.DUMMYFUNCTION("""COMPUTED_VALUE"""),"New")</f>
        <v>New</v>
      </c>
      <c r="F714" s="27">
        <v>41</v>
      </c>
      <c r="G714" s="27">
        <v>4213</v>
      </c>
      <c r="P714" s="26"/>
    </row>
    <row r="715" spans="1:16" ht="12.5">
      <c r="A715" s="3" t="s">
        <v>38</v>
      </c>
      <c r="B715" s="8" t="s">
        <v>2806</v>
      </c>
      <c r="C715" s="8" t="s">
        <v>3991</v>
      </c>
      <c r="D715" s="41" t="str">
        <f ca="1">IFERROR(__xludf.DUMMYFUNCTION("IFERROR(ARRAYFORMULA(REGEXEXTRACT(C715,""^(?:https?:\/\/)?(?:[^@\n]+@)?(?:www\.)?([^:\/\n]+)"")),"""")"),"q1057.com")</f>
        <v>q1057.com</v>
      </c>
      <c r="E715" s="26" t="str">
        <f ca="1">IFERROR(__xludf.DUMMYFUNCTION("""COMPUTED_VALUE"""),"New")</f>
        <v>New</v>
      </c>
      <c r="F715" s="27">
        <v>29</v>
      </c>
      <c r="G715" s="27">
        <v>1248</v>
      </c>
      <c r="P715" s="26"/>
    </row>
    <row r="716" spans="1:16" ht="12.5">
      <c r="A716" s="3" t="s">
        <v>38</v>
      </c>
      <c r="B716" s="8" t="s">
        <v>2806</v>
      </c>
      <c r="C716" s="8" t="s">
        <v>3992</v>
      </c>
      <c r="D716" s="41" t="str">
        <f ca="1">IFERROR(__xludf.DUMMYFUNCTION("IFERROR(ARRAYFORMULA(REGEXEXTRACT(C716,""^(?:https?:\/\/)?(?:[^@\n]+@)?(?:www\.)?([^:\/\n]+)"")),"""")"),"mykisscountry937.com")</f>
        <v>mykisscountry937.com</v>
      </c>
      <c r="E716" s="26" t="str">
        <f ca="1">IFERROR(__xludf.DUMMYFUNCTION("""COMPUTED_VALUE"""),"New")</f>
        <v>New</v>
      </c>
      <c r="F716" s="27">
        <v>54</v>
      </c>
      <c r="G716" s="27">
        <v>78143</v>
      </c>
      <c r="P716" s="26"/>
    </row>
    <row r="717" spans="1:16" ht="12.5">
      <c r="A717" s="3" t="s">
        <v>38</v>
      </c>
      <c r="B717" s="8" t="s">
        <v>2806</v>
      </c>
      <c r="C717" s="8" t="s">
        <v>3993</v>
      </c>
      <c r="D717" s="41" t="str">
        <f ca="1">IFERROR(__xludf.DUMMYFUNCTION("IFERROR(ARRAYFORMULA(REGEXEXTRACT(C717,""^(?:https?:\/\/)?(?:[^@\n]+@)?(?:www\.)?([^:\/\n]+)"")),"""")"),"manchesterworld.uk")</f>
        <v>manchesterworld.uk</v>
      </c>
      <c r="E717" s="26" t="str">
        <f ca="1">IFERROR(__xludf.DUMMYFUNCTION("""COMPUTED_VALUE"""),"New")</f>
        <v>New</v>
      </c>
      <c r="F717" s="27">
        <v>38</v>
      </c>
      <c r="G717" s="27">
        <v>1218</v>
      </c>
      <c r="P717" s="26"/>
    </row>
    <row r="718" spans="1:16" ht="12.5">
      <c r="A718" s="3" t="s">
        <v>38</v>
      </c>
      <c r="B718" s="8" t="s">
        <v>2806</v>
      </c>
      <c r="C718" s="8" t="s">
        <v>3994</v>
      </c>
      <c r="D718" s="41" t="str">
        <f ca="1">IFERROR(__xludf.DUMMYFUNCTION("IFERROR(ARRAYFORMULA(REGEXEXTRACT(C718,""^(?:https?:\/\/)?(?:[^@\n]+@)?(?:www\.)?([^:\/\n]+)"")),"""")"),"610kona.com")</f>
        <v>610kona.com</v>
      </c>
      <c r="E718" s="26" t="str">
        <f ca="1">IFERROR(__xludf.DUMMYFUNCTION("""COMPUTED_VALUE"""),"New")</f>
        <v>New</v>
      </c>
      <c r="F718" s="27">
        <v>51</v>
      </c>
      <c r="G718" s="27">
        <v>4129</v>
      </c>
      <c r="P718" s="26"/>
    </row>
    <row r="719" spans="1:16" ht="12.5">
      <c r="A719" s="3" t="s">
        <v>38</v>
      </c>
      <c r="B719" s="8" t="s">
        <v>2806</v>
      </c>
      <c r="C719" s="8" t="s">
        <v>3995</v>
      </c>
      <c r="D719" s="41" t="str">
        <f ca="1">IFERROR(__xludf.DUMMYFUNCTION("IFERROR(ARRAYFORMULA(REGEXEXTRACT(C719,""^(?:https?:\/\/)?(?:[^@\n]+@)?(?:www\.)?([^:\/\n]+)"")),"""")"),"swanseabaynews.com")</f>
        <v>swanseabaynews.com</v>
      </c>
      <c r="E719" s="26" t="str">
        <f ca="1">IFERROR(__xludf.DUMMYFUNCTION("""COMPUTED_VALUE"""),"New")</f>
        <v>New</v>
      </c>
      <c r="F719" s="27">
        <v>38</v>
      </c>
      <c r="G719" s="27">
        <v>3014</v>
      </c>
      <c r="P719" s="26"/>
    </row>
    <row r="720" spans="1:16" ht="12.5">
      <c r="A720" s="3" t="s">
        <v>38</v>
      </c>
      <c r="B720" s="8" t="s">
        <v>2806</v>
      </c>
      <c r="C720" s="8" t="s">
        <v>3996</v>
      </c>
      <c r="D720" s="41" t="str">
        <f ca="1">IFERROR(__xludf.DUMMYFUNCTION("IFERROR(ARRAYFORMULA(REGEXEXTRACT(C720,""^(?:https?:\/\/)?(?:[^@\n]+@)?(?:www\.)?([^:\/\n]+)"")),"""")"),"newstalkkit.com")</f>
        <v>newstalkkit.com</v>
      </c>
      <c r="E720" s="26" t="str">
        <f ca="1">IFERROR(__xludf.DUMMYFUNCTION("""COMPUTED_VALUE"""),"New")</f>
        <v>New</v>
      </c>
      <c r="F720" s="27">
        <v>30</v>
      </c>
      <c r="G720" s="27">
        <v>1393</v>
      </c>
      <c r="P720" s="26"/>
    </row>
    <row r="721" spans="1:16" ht="12.5">
      <c r="A721" s="3" t="s">
        <v>38</v>
      </c>
      <c r="B721" s="8" t="s">
        <v>2806</v>
      </c>
      <c r="C721" s="8" t="s">
        <v>3997</v>
      </c>
      <c r="D721" s="41" t="str">
        <f ca="1">IFERROR(__xludf.DUMMYFUNCTION("IFERROR(ARRAYFORMULA(REGEXEXTRACT(C721,""^(?:https?:\/\/)?(?:[^@\n]+@)?(?:www\.)?([^:\/\n]+)"")),"""")"),"929thebull.com")</f>
        <v>929thebull.com</v>
      </c>
      <c r="E721" s="26" t="str">
        <f ca="1">IFERROR(__xludf.DUMMYFUNCTION("""COMPUTED_VALUE"""),"New")</f>
        <v>New</v>
      </c>
      <c r="F721" s="27">
        <v>50</v>
      </c>
      <c r="G721" s="27">
        <v>42344</v>
      </c>
      <c r="P721" s="26"/>
    </row>
    <row r="722" spans="1:16" ht="12.5" hidden="1">
      <c r="A722" s="3" t="s">
        <v>38</v>
      </c>
      <c r="B722" s="8" t="s">
        <v>2806</v>
      </c>
      <c r="C722" s="8" t="s">
        <v>3998</v>
      </c>
      <c r="D722" s="41" t="str">
        <f ca="1">IFERROR(__xludf.DUMMYFUNCTION("IFERROR(ARRAYFORMULA(REGEXEXTRACT(C722,""^(?:https?:\/\/)?(?:[^@\n]+@)?(?:www\.)?([^:\/\n]+)"")),"""")"),"brainzmagazine.com")</f>
        <v>brainzmagazine.com</v>
      </c>
      <c r="E722" s="26" t="str">
        <f ca="1">IFERROR(__xludf.DUMMYFUNCTION("""COMPUTED_VALUE"""),"Already Exists")</f>
        <v>Already Exists</v>
      </c>
      <c r="F722" s="27">
        <v>61</v>
      </c>
      <c r="G722" s="27">
        <v>3975</v>
      </c>
    </row>
    <row r="723" spans="1:16" ht="12.5">
      <c r="A723" s="3" t="s">
        <v>38</v>
      </c>
      <c r="B723" s="8" t="s">
        <v>2806</v>
      </c>
      <c r="C723" s="8" t="s">
        <v>3999</v>
      </c>
      <c r="D723" s="41" t="str">
        <f ca="1">IFERROR(__xludf.DUMMYFUNCTION("IFERROR(ARRAYFORMULA(REGEXEXTRACT(C723,""^(?:https?:\/\/)?(?:[^@\n]+@)?(?:www\.)?([^:\/\n]+)"")),"""")"),"savingadvice.com")</f>
        <v>savingadvice.com</v>
      </c>
      <c r="E723" s="26" t="str">
        <f ca="1">IFERROR(__xludf.DUMMYFUNCTION("""COMPUTED_VALUE"""),"New")</f>
        <v>New</v>
      </c>
      <c r="F723" s="27">
        <v>41</v>
      </c>
      <c r="G723" s="27">
        <v>2500</v>
      </c>
      <c r="P723" s="26"/>
    </row>
    <row r="724" spans="1:16" ht="12.5">
      <c r="A724" s="3" t="s">
        <v>38</v>
      </c>
      <c r="B724" s="8" t="s">
        <v>2806</v>
      </c>
      <c r="C724" s="8" t="s">
        <v>4000</v>
      </c>
      <c r="D724" s="41" t="str">
        <f ca="1">IFERROR(__xludf.DUMMYFUNCTION("IFERROR(ARRAYFORMULA(REGEXEXTRACT(C724,""^(?:https?:\/\/)?(?:[^@\n]+@)?(?:www\.)?([^:\/\n]+)"")),"""")"),"liteonline.com")</f>
        <v>liteonline.com</v>
      </c>
      <c r="E724" s="26" t="str">
        <f ca="1">IFERROR(__xludf.DUMMYFUNCTION("""COMPUTED_VALUE"""),"New")</f>
        <v>New</v>
      </c>
      <c r="F724" s="27">
        <v>76</v>
      </c>
      <c r="G724" s="27">
        <v>29004</v>
      </c>
      <c r="P724" s="26"/>
    </row>
    <row r="725" spans="1:16" ht="12.5">
      <c r="A725" s="3" t="s">
        <v>38</v>
      </c>
      <c r="B725" s="8" t="s">
        <v>2806</v>
      </c>
      <c r="C725" s="11" t="s">
        <v>4001</v>
      </c>
      <c r="D725" s="41" t="str">
        <f ca="1">IFERROR(__xludf.DUMMYFUNCTION("IFERROR(ARRAYFORMULA(REGEXEXTRACT(C725,""^(?:https?:\/\/)?(?:[^@\n]+@)?(?:www\.)?([^:\/\n]+)"")),"""")"),"solarpowerworldonline.com")</f>
        <v>solarpowerworldonline.com</v>
      </c>
      <c r="E725" s="26" t="str">
        <f ca="1">IFERROR(__xludf.DUMMYFUNCTION("""COMPUTED_VALUE"""),"New")</f>
        <v>New</v>
      </c>
      <c r="F725" s="27">
        <v>71</v>
      </c>
      <c r="G725" s="27">
        <v>22011</v>
      </c>
      <c r="H725" s="27" t="s">
        <v>3679</v>
      </c>
      <c r="I725" s="27" t="s">
        <v>4002</v>
      </c>
      <c r="J725" s="27" t="s">
        <v>4003</v>
      </c>
      <c r="K725" s="27" t="s">
        <v>3844</v>
      </c>
      <c r="L725" s="112"/>
      <c r="M725" s="66" t="s">
        <v>3117</v>
      </c>
      <c r="N725" s="48">
        <v>46034</v>
      </c>
      <c r="O725" s="48">
        <v>46071</v>
      </c>
      <c r="P725" s="26"/>
    </row>
    <row r="726" spans="1:16" ht="12.5" hidden="1">
      <c r="A726" s="3" t="s">
        <v>38</v>
      </c>
      <c r="B726" s="8" t="s">
        <v>2806</v>
      </c>
      <c r="C726" s="8" t="s">
        <v>4004</v>
      </c>
      <c r="D726" s="41" t="str">
        <f ca="1">IFERROR(__xludf.DUMMYFUNCTION("IFERROR(ARRAYFORMULA(REGEXEXTRACT(C726,""^(?:https?:\/\/)?(?:[^@\n]+@)?(?:www\.)?([^:\/\n]+)"")),"""")"),"impactwealth.org")</f>
        <v>impactwealth.org</v>
      </c>
      <c r="E726" s="26" t="str">
        <f ca="1">IFERROR(__xludf.DUMMYFUNCTION("""COMPUTED_VALUE"""),"Already Exists")</f>
        <v>Already Exists</v>
      </c>
      <c r="F726" s="27">
        <v>45</v>
      </c>
      <c r="G726" s="27">
        <v>2109</v>
      </c>
    </row>
    <row r="727" spans="1:16" ht="12.5">
      <c r="A727" s="3" t="s">
        <v>38</v>
      </c>
      <c r="B727" s="8" t="s">
        <v>2806</v>
      </c>
      <c r="C727" s="8" t="s">
        <v>4005</v>
      </c>
      <c r="D727" s="41" t="str">
        <f ca="1">IFERROR(__xludf.DUMMYFUNCTION("IFERROR(ARRAYFORMULA(REGEXEXTRACT(C727,""^(?:https?:\/\/)?(?:[^@\n]+@)?(?:www\.)?([^:\/\n]+)"")),"""")"),"k945.com")</f>
        <v>k945.com</v>
      </c>
      <c r="E727" s="26" t="str">
        <f ca="1">IFERROR(__xludf.DUMMYFUNCTION("""COMPUTED_VALUE"""),"New")</f>
        <v>New</v>
      </c>
      <c r="F727" s="27">
        <v>36</v>
      </c>
      <c r="G727" s="27">
        <v>1553</v>
      </c>
      <c r="P727" s="26"/>
    </row>
    <row r="728" spans="1:16" ht="12.5">
      <c r="A728" s="3" t="s">
        <v>38</v>
      </c>
      <c r="B728" s="8" t="s">
        <v>2806</v>
      </c>
      <c r="C728" s="8" t="s">
        <v>4006</v>
      </c>
      <c r="D728" s="41" t="str">
        <f ca="1">IFERROR(__xludf.DUMMYFUNCTION("IFERROR(ARRAYFORMULA(REGEXEXTRACT(C728,""^(?:https?:\/\/)?(?:[^@\n]+@)?(?:www\.)?([^:\/\n]+)"")),"""")"),"mix106radio.com")</f>
        <v>mix106radio.com</v>
      </c>
      <c r="E728" s="26" t="str">
        <f ca="1">IFERROR(__xludf.DUMMYFUNCTION("""COMPUTED_VALUE"""),"New")</f>
        <v>New</v>
      </c>
      <c r="F728" s="27">
        <v>74</v>
      </c>
      <c r="G728" s="27">
        <v>2737</v>
      </c>
      <c r="P728" s="26"/>
    </row>
    <row r="729" spans="1:16" ht="12.5">
      <c r="A729" s="3" t="s">
        <v>38</v>
      </c>
      <c r="B729" s="8" t="s">
        <v>2806</v>
      </c>
      <c r="C729" s="8" t="s">
        <v>4007</v>
      </c>
      <c r="D729" s="41" t="str">
        <f ca="1">IFERROR(__xludf.DUMMYFUNCTION("IFERROR(ARRAYFORMULA(REGEXEXTRACT(C729,""^(?:https?:\/\/)?(?:[^@\n]+@)?(?:www\.)?([^:\/\n]+)"")),"""")"),"ny.taxconcept.net")</f>
        <v>ny.taxconcept.net</v>
      </c>
      <c r="E729" s="26" t="str">
        <f ca="1">IFERROR(__xludf.DUMMYFUNCTION("""COMPUTED_VALUE"""),"New")</f>
        <v>New</v>
      </c>
      <c r="F729" s="27">
        <v>42</v>
      </c>
      <c r="G729" s="27">
        <v>3474</v>
      </c>
      <c r="P729" s="26"/>
    </row>
    <row r="730" spans="1:16" ht="12.5">
      <c r="A730" s="3" t="s">
        <v>38</v>
      </c>
      <c r="B730" s="8" t="s">
        <v>2806</v>
      </c>
      <c r="C730" s="8" t="s">
        <v>4008</v>
      </c>
      <c r="D730" s="41" t="str">
        <f ca="1">IFERROR(__xludf.DUMMYFUNCTION("IFERROR(ARRAYFORMULA(REGEXEXTRACT(C730,""^(?:https?:\/\/)?(?:[^@\n]+@)?(?:www\.)?([^:\/\n]+)"")),"""")"),"1045theteam.com")</f>
        <v>1045theteam.com</v>
      </c>
      <c r="E730" s="26" t="str">
        <f ca="1">IFERROR(__xludf.DUMMYFUNCTION("""COMPUTED_VALUE"""),"New")</f>
        <v>New</v>
      </c>
      <c r="F730" s="27">
        <v>40</v>
      </c>
      <c r="G730" s="27">
        <v>2454</v>
      </c>
      <c r="P730" s="26"/>
    </row>
    <row r="731" spans="1:16" ht="12.5" hidden="1">
      <c r="A731" s="3" t="s">
        <v>38</v>
      </c>
      <c r="B731" s="8" t="s">
        <v>2806</v>
      </c>
      <c r="C731" s="56" t="s">
        <v>4009</v>
      </c>
      <c r="D731" s="41" t="str">
        <f ca="1">IFERROR(__xludf.DUMMYFUNCTION("IFERROR(ARRAYFORMULA(REGEXEXTRACT(C731,""^(?:https?:\/\/)?(?:[^@\n]+@)?(?:www\.)?([^:\/\n]+)"")),"""")"),"momhomeguide.com")</f>
        <v>momhomeguide.com</v>
      </c>
      <c r="E731" s="26" t="str">
        <f ca="1">IFERROR(__xludf.DUMMYFUNCTION("""COMPUTED_VALUE"""),"Already Exists")</f>
        <v>Already Exists</v>
      </c>
      <c r="F731" s="27">
        <v>72</v>
      </c>
      <c r="G731" s="27">
        <v>2101</v>
      </c>
      <c r="H731" s="27" t="s">
        <v>4010</v>
      </c>
      <c r="I731" s="27" t="s">
        <v>4011</v>
      </c>
      <c r="K731" s="27" t="s">
        <v>3756</v>
      </c>
      <c r="L731" s="112"/>
      <c r="M731" s="66" t="s">
        <v>3117</v>
      </c>
      <c r="N731" s="48">
        <v>46034</v>
      </c>
      <c r="P731" s="27" t="s">
        <v>3201</v>
      </c>
    </row>
    <row r="732" spans="1:16" ht="12.5">
      <c r="A732" s="3" t="s">
        <v>38</v>
      </c>
      <c r="B732" s="8" t="s">
        <v>2806</v>
      </c>
      <c r="C732" s="11" t="s">
        <v>4012</v>
      </c>
      <c r="D732" s="41" t="str">
        <f ca="1">IFERROR(__xludf.DUMMYFUNCTION("IFERROR(ARRAYFORMULA(REGEXEXTRACT(C732,""^(?:https?:\/\/)?(?:[^@\n]+@)?(?:www\.)?([^:\/\n]+)"")),"""")"),"stockmanbank.com")</f>
        <v>stockmanbank.com</v>
      </c>
      <c r="E732" s="26" t="str">
        <f ca="1">IFERROR(__xludf.DUMMYFUNCTION("""COMPUTED_VALUE"""),"New")</f>
        <v>New</v>
      </c>
      <c r="F732" s="27">
        <v>77</v>
      </c>
      <c r="G732" s="27">
        <v>16639</v>
      </c>
      <c r="J732" s="27" t="s">
        <v>4013</v>
      </c>
      <c r="K732" s="27" t="s">
        <v>3829</v>
      </c>
      <c r="L732" s="112"/>
      <c r="M732" s="66" t="s">
        <v>3117</v>
      </c>
      <c r="N732" s="48">
        <v>46034</v>
      </c>
      <c r="O732" s="48">
        <v>46071</v>
      </c>
      <c r="P732" s="26"/>
    </row>
    <row r="733" spans="1:16" ht="12.5">
      <c r="A733" s="3" t="s">
        <v>38</v>
      </c>
      <c r="B733" s="8" t="s">
        <v>2806</v>
      </c>
      <c r="C733" s="8" t="s">
        <v>4014</v>
      </c>
      <c r="D733" s="41" t="str">
        <f ca="1">IFERROR(__xludf.DUMMYFUNCTION("IFERROR(ARRAYFORMULA(REGEXEXTRACT(C733,""^(?:https?:\/\/)?(?:[^@\n]+@)?(?:www\.)?([^:\/\n]+)"")),"""")"),"lonestar995fm.com")</f>
        <v>lonestar995fm.com</v>
      </c>
      <c r="E733" s="26" t="str">
        <f ca="1">IFERROR(__xludf.DUMMYFUNCTION("""COMPUTED_VALUE"""),"New")</f>
        <v>New</v>
      </c>
      <c r="F733" s="27">
        <v>29</v>
      </c>
      <c r="G733" s="27">
        <v>2064</v>
      </c>
      <c r="P733" s="26"/>
    </row>
    <row r="734" spans="1:16" ht="12.5">
      <c r="A734" s="3" t="s">
        <v>38</v>
      </c>
      <c r="B734" s="8" t="s">
        <v>2806</v>
      </c>
      <c r="C734" s="8" t="s">
        <v>4015</v>
      </c>
      <c r="D734" s="41" t="str">
        <f ca="1">IFERROR(__xludf.DUMMYFUNCTION("IFERROR(ARRAYFORMULA(REGEXEXTRACT(C734,""^(?:https?:\/\/)?(?:[^@\n]+@)?(?:www\.)?([^:\/\n]+)"")),"""")"),"us105fm.com")</f>
        <v>us105fm.com</v>
      </c>
      <c r="E734" s="26" t="str">
        <f ca="1">IFERROR(__xludf.DUMMYFUNCTION("""COMPUTED_VALUE"""),"New")</f>
        <v>New</v>
      </c>
      <c r="F734" s="27">
        <v>31</v>
      </c>
      <c r="G734" s="27">
        <v>2077</v>
      </c>
      <c r="P734" s="26"/>
    </row>
    <row r="735" spans="1:16" ht="12.5">
      <c r="A735" s="3" t="s">
        <v>38</v>
      </c>
      <c r="B735" s="8" t="s">
        <v>2806</v>
      </c>
      <c r="C735" s="8" t="s">
        <v>4016</v>
      </c>
      <c r="D735" s="41" t="str">
        <f ca="1">IFERROR(__xludf.DUMMYFUNCTION("IFERROR(ARRAYFORMULA(REGEXEXTRACT(C735,""^(?:https?:\/\/)?(?:[^@\n]+@)?(?:www\.)?([^:\/\n]+)"")),"""")"),"keyw.com")</f>
        <v>keyw.com</v>
      </c>
      <c r="E735" s="26" t="str">
        <f ca="1">IFERROR(__xludf.DUMMYFUNCTION("""COMPUTED_VALUE"""),"New")</f>
        <v>New</v>
      </c>
      <c r="F735" s="27">
        <v>71</v>
      </c>
      <c r="G735" s="27">
        <v>35061</v>
      </c>
      <c r="P735" s="26"/>
    </row>
    <row r="736" spans="1:16" ht="12.5">
      <c r="A736" s="3" t="s">
        <v>38</v>
      </c>
      <c r="B736" s="8" t="s">
        <v>2806</v>
      </c>
      <c r="C736" s="8" t="s">
        <v>4017</v>
      </c>
      <c r="D736" s="41" t="str">
        <f ca="1">IFERROR(__xludf.DUMMYFUNCTION("IFERROR(ARRAYFORMULA(REGEXEXTRACT(C736,""^(?:https?:\/\/)?(?:[^@\n]+@)?(?:www\.)?([^:\/\n]+)"")),"""")"),"1130thetiger.com")</f>
        <v>1130thetiger.com</v>
      </c>
      <c r="E736" s="26" t="str">
        <f ca="1">IFERROR(__xludf.DUMMYFUNCTION("""COMPUTED_VALUE"""),"New")</f>
        <v>New</v>
      </c>
      <c r="F736" s="27">
        <v>46</v>
      </c>
      <c r="G736" s="27">
        <v>52036</v>
      </c>
      <c r="P736" s="26"/>
    </row>
    <row r="737" spans="1:16" ht="12.5">
      <c r="A737" s="3" t="s">
        <v>38</v>
      </c>
      <c r="B737" s="8" t="s">
        <v>2806</v>
      </c>
      <c r="C737" s="8" t="s">
        <v>4018</v>
      </c>
      <c r="D737" s="41" t="str">
        <f ca="1">IFERROR(__xludf.DUMMYFUNCTION("IFERROR(ARRAYFORMULA(REGEXEXTRACT(C737,""^(?:https?:\/\/)?(?:[^@\n]+@)?(?:www\.)?([^:\/\n]+)"")),"""")"),"newcastleworld.com")</f>
        <v>newcastleworld.com</v>
      </c>
      <c r="E737" s="26" t="str">
        <f ca="1">IFERROR(__xludf.DUMMYFUNCTION("""COMPUTED_VALUE"""),"New")</f>
        <v>New</v>
      </c>
      <c r="F737" s="27">
        <v>71</v>
      </c>
      <c r="G737" s="27">
        <v>8436</v>
      </c>
      <c r="P737" s="26"/>
    </row>
    <row r="738" spans="1:16" ht="12.5" hidden="1">
      <c r="A738" s="3" t="s">
        <v>38</v>
      </c>
      <c r="B738" s="8" t="s">
        <v>2806</v>
      </c>
      <c r="C738" s="8" t="s">
        <v>4019</v>
      </c>
      <c r="D738" s="41" t="str">
        <f ca="1">IFERROR(__xludf.DUMMYFUNCTION("IFERROR(ARRAYFORMULA(REGEXEXTRACT(C738,""^(?:https?:\/\/)?(?:[^@\n]+@)?(?:www\.)?([^:\/\n]+)"")),"""")"),"fingerlakes1.com")</f>
        <v>fingerlakes1.com</v>
      </c>
      <c r="E738" s="26" t="str">
        <f ca="1">IFERROR(__xludf.DUMMYFUNCTION("""COMPUTED_VALUE"""),"Already Exists")</f>
        <v>Already Exists</v>
      </c>
      <c r="F738" s="27">
        <v>81</v>
      </c>
      <c r="G738" s="27">
        <v>10600</v>
      </c>
    </row>
    <row r="739" spans="1:16" ht="12.5">
      <c r="A739" s="3" t="s">
        <v>38</v>
      </c>
      <c r="B739" s="8" t="s">
        <v>2806</v>
      </c>
      <c r="C739" s="8" t="s">
        <v>4020</v>
      </c>
      <c r="D739" s="41" t="str">
        <f ca="1">IFERROR(__xludf.DUMMYFUNCTION("IFERROR(ARRAYFORMULA(REGEXEXTRACT(C739,""^(?:https?:\/\/)?(?:[^@\n]+@)?(?:www\.)?([^:\/\n]+)"")),"""")"),"goodpods.com")</f>
        <v>goodpods.com</v>
      </c>
      <c r="E739" s="26" t="str">
        <f ca="1">IFERROR(__xludf.DUMMYFUNCTION("""COMPUTED_VALUE"""),"New")</f>
        <v>New</v>
      </c>
      <c r="F739" s="27">
        <v>73</v>
      </c>
      <c r="G739" s="27">
        <v>59011</v>
      </c>
      <c r="P739" s="26"/>
    </row>
    <row r="740" spans="1:16" ht="12.5">
      <c r="A740" s="3" t="s">
        <v>38</v>
      </c>
      <c r="B740" s="8" t="s">
        <v>2806</v>
      </c>
      <c r="C740" s="8" t="s">
        <v>4021</v>
      </c>
      <c r="D740" s="41" t="str">
        <f ca="1">IFERROR(__xludf.DUMMYFUNCTION("IFERROR(ARRAYFORMULA(REGEXEXTRACT(C740,""^(?:https?:\/\/)?(?:[^@\n]+@)?(?:www\.)?([^:\/\n]+)"")),"""")"),"nj1015.com")</f>
        <v>nj1015.com</v>
      </c>
      <c r="E740" s="26" t="str">
        <f ca="1">IFERROR(__xludf.DUMMYFUNCTION("""COMPUTED_VALUE"""),"New")</f>
        <v>New</v>
      </c>
      <c r="F740" s="27">
        <v>35</v>
      </c>
      <c r="G740" s="27">
        <v>3281</v>
      </c>
      <c r="P740" s="26"/>
    </row>
    <row r="741" spans="1:16" ht="12.5" hidden="1">
      <c r="A741" s="3" t="s">
        <v>38</v>
      </c>
      <c r="B741" s="8" t="s">
        <v>2806</v>
      </c>
      <c r="C741" s="11" t="s">
        <v>4022</v>
      </c>
      <c r="D741" s="41" t="str">
        <f ca="1">IFERROR(__xludf.DUMMYFUNCTION("IFERROR(ARRAYFORMULA(REGEXEXTRACT(C741,""^(?:https?:\/\/)?(?:[^@\n]+@)?(?:www\.)?([^:\/\n]+)"")),"""")"),"michiganmamanews.com")</f>
        <v>michiganmamanews.com</v>
      </c>
      <c r="E741" s="26" t="str">
        <f ca="1">IFERROR(__xludf.DUMMYFUNCTION("""COMPUTED_VALUE"""),"Already Exists")</f>
        <v>Already Exists</v>
      </c>
      <c r="F741" s="27">
        <v>52</v>
      </c>
      <c r="G741" s="27">
        <v>40352</v>
      </c>
      <c r="H741" s="27" t="s">
        <v>4023</v>
      </c>
      <c r="I741" s="27" t="s">
        <v>4024</v>
      </c>
      <c r="K741" s="27" t="s">
        <v>3772</v>
      </c>
      <c r="L741" s="112"/>
      <c r="M741" s="66" t="s">
        <v>3117</v>
      </c>
      <c r="N741" s="48">
        <v>46034</v>
      </c>
      <c r="P741" s="26"/>
    </row>
    <row r="742" spans="1:16" ht="12.5" hidden="1">
      <c r="A742" s="3" t="s">
        <v>38</v>
      </c>
      <c r="B742" s="8" t="s">
        <v>2806</v>
      </c>
      <c r="C742" s="11" t="s">
        <v>4025</v>
      </c>
      <c r="D742" s="41" t="str">
        <f ca="1">IFERROR(__xludf.DUMMYFUNCTION("IFERROR(ARRAYFORMULA(REGEXEXTRACT(C742,""^(?:https?:\/\/)?(?:[^@\n]+@)?(?:www\.)?([^:\/\n]+)"")),"""")"),"thetradable.com")</f>
        <v>thetradable.com</v>
      </c>
      <c r="E742" s="26" t="str">
        <f ca="1">IFERROR(__xludf.DUMMYFUNCTION("""COMPUTED_VALUE"""),"Already Exists")</f>
        <v>Already Exists</v>
      </c>
      <c r="F742" s="27">
        <v>38</v>
      </c>
      <c r="G742" s="27">
        <v>1007</v>
      </c>
      <c r="I742" s="27" t="s">
        <v>4026</v>
      </c>
      <c r="J742" s="27" t="s">
        <v>4027</v>
      </c>
      <c r="K742" s="27" t="s">
        <v>3756</v>
      </c>
      <c r="L742" s="112"/>
      <c r="M742" s="66" t="s">
        <v>3117</v>
      </c>
      <c r="N742" s="48">
        <v>46034</v>
      </c>
      <c r="P742" s="26"/>
    </row>
    <row r="743" spans="1:16" ht="12.5" hidden="1">
      <c r="A743" s="3" t="s">
        <v>38</v>
      </c>
      <c r="B743" s="8" t="s">
        <v>2806</v>
      </c>
      <c r="C743" s="8" t="s">
        <v>4028</v>
      </c>
      <c r="D743" s="41" t="str">
        <f ca="1">IFERROR(__xludf.DUMMYFUNCTION("IFERROR(ARRAYFORMULA(REGEXEXTRACT(C743,""^(?:https?:\/\/)?(?:[^@\n]+@)?(?:www\.)?([^:\/\n]+)"")),"""")"),"thecinnamonhollow.com")</f>
        <v>thecinnamonhollow.com</v>
      </c>
      <c r="E743" s="26" t="str">
        <f ca="1">IFERROR(__xludf.DUMMYFUNCTION("""COMPUTED_VALUE"""),"Already Exists")</f>
        <v>Already Exists</v>
      </c>
      <c r="F743" s="27">
        <v>65</v>
      </c>
      <c r="G743" s="27">
        <v>2176</v>
      </c>
    </row>
    <row r="744" spans="1:16" ht="12.5" hidden="1">
      <c r="A744" s="3" t="s">
        <v>38</v>
      </c>
      <c r="B744" s="8" t="s">
        <v>2806</v>
      </c>
      <c r="C744" s="11" t="s">
        <v>4029</v>
      </c>
      <c r="D744" s="41" t="str">
        <f ca="1">IFERROR(__xludf.DUMMYFUNCTION("IFERROR(ARRAYFORMULA(REGEXEXTRACT(C744,""^(?:https?:\/\/)?(?:[^@\n]+@)?(?:www\.)?([^:\/\n]+)"")),"""")"),"europeanbusinessmagazine.com")</f>
        <v>europeanbusinessmagazine.com</v>
      </c>
      <c r="E744" s="26" t="str">
        <f ca="1">IFERROR(__xludf.DUMMYFUNCTION("""COMPUTED_VALUE"""),"Already Exists")</f>
        <v>Already Exists</v>
      </c>
      <c r="F744" s="27">
        <v>32</v>
      </c>
      <c r="G744" s="27">
        <v>1060</v>
      </c>
      <c r="H744" s="27" t="s">
        <v>4030</v>
      </c>
      <c r="I744" s="27" t="s">
        <v>4031</v>
      </c>
      <c r="J744" s="27" t="s">
        <v>4032</v>
      </c>
      <c r="K744" s="27" t="s">
        <v>4033</v>
      </c>
      <c r="L744" s="112"/>
      <c r="M744" s="66" t="s">
        <v>3117</v>
      </c>
      <c r="N744" s="48">
        <v>46034</v>
      </c>
      <c r="O744" s="48">
        <v>46071</v>
      </c>
      <c r="P744" s="26"/>
    </row>
    <row r="745" spans="1:16" ht="12.5">
      <c r="A745" s="3" t="s">
        <v>38</v>
      </c>
      <c r="B745" s="8" t="s">
        <v>2806</v>
      </c>
      <c r="C745" s="8" t="s">
        <v>4034</v>
      </c>
      <c r="D745" s="41" t="str">
        <f ca="1">IFERROR(__xludf.DUMMYFUNCTION("IFERROR(ARRAYFORMULA(REGEXEXTRACT(C745,""^(?:https?:\/\/)?(?:[^@\n]+@)?(?:www\.)?([^:\/\n]+)"")),"""")"),"my1035.com")</f>
        <v>my1035.com</v>
      </c>
      <c r="E745" s="26" t="str">
        <f ca="1">IFERROR(__xludf.DUMMYFUNCTION("""COMPUTED_VALUE"""),"New")</f>
        <v>New</v>
      </c>
      <c r="F745" s="27">
        <v>35</v>
      </c>
      <c r="G745" s="27">
        <v>1147</v>
      </c>
      <c r="P745" s="26"/>
    </row>
    <row r="746" spans="1:16" ht="12.5">
      <c r="A746" s="3" t="s">
        <v>38</v>
      </c>
      <c r="B746" s="8" t="s">
        <v>2806</v>
      </c>
      <c r="C746" s="8" t="s">
        <v>4035</v>
      </c>
      <c r="D746" s="41" t="str">
        <f ca="1">IFERROR(__xludf.DUMMYFUNCTION("IFERROR(ARRAYFORMULA(REGEXEXTRACT(C746,""^(?:https?:\/\/)?(?:[^@\n]+@)?(?:www\.)?([^:\/\n]+)"")),"""")"),"rivergrandrapids.com")</f>
        <v>rivergrandrapids.com</v>
      </c>
      <c r="E746" s="26" t="str">
        <f ca="1">IFERROR(__xludf.DUMMYFUNCTION("""COMPUTED_VALUE"""),"New")</f>
        <v>New</v>
      </c>
      <c r="F746" s="27">
        <v>30</v>
      </c>
      <c r="G746" s="27">
        <v>1946</v>
      </c>
      <c r="P746" s="26"/>
    </row>
    <row r="747" spans="1:16" ht="12.5">
      <c r="A747" s="3" t="s">
        <v>38</v>
      </c>
      <c r="B747" s="8" t="s">
        <v>2806</v>
      </c>
      <c r="C747" s="11" t="s">
        <v>4036</v>
      </c>
      <c r="D747" s="41" t="str">
        <f ca="1">IFERROR(__xludf.DUMMYFUNCTION("IFERROR(ARRAYFORMULA(REGEXEXTRACT(C747,""^(?:https?:\/\/)?(?:[^@\n]+@)?(?:www\.)?([^:\/\n]+)"")),"""")"),"birdsandlilies.com")</f>
        <v>birdsandlilies.com</v>
      </c>
      <c r="E747" s="26" t="str">
        <f ca="1">IFERROR(__xludf.DUMMYFUNCTION("""COMPUTED_VALUE"""),"New")</f>
        <v>New</v>
      </c>
      <c r="F747" s="27">
        <v>52</v>
      </c>
      <c r="G747" s="27">
        <v>4729</v>
      </c>
      <c r="H747" s="27" t="s">
        <v>4037</v>
      </c>
      <c r="I747" s="27" t="s">
        <v>4038</v>
      </c>
      <c r="K747" s="27" t="s">
        <v>3756</v>
      </c>
      <c r="L747" s="112"/>
      <c r="M747" s="66" t="s">
        <v>3117</v>
      </c>
      <c r="N747" s="48">
        <v>46034</v>
      </c>
      <c r="O747" s="48">
        <v>46071</v>
      </c>
      <c r="P747" s="26"/>
    </row>
    <row r="748" spans="1:16" ht="12.5">
      <c r="A748" s="3" t="s">
        <v>38</v>
      </c>
      <c r="B748" s="8" t="s">
        <v>2806</v>
      </c>
      <c r="C748" s="8" t="s">
        <v>4039</v>
      </c>
      <c r="D748" s="41" t="str">
        <f ca="1">IFERROR(__xludf.DUMMYFUNCTION("IFERROR(ARRAYFORMULA(REGEXEXTRACT(C748,""^(?:https?:\/\/)?(?:[^@\n]+@)?(?:www\.)?([^:\/\n]+)"")),"""")"),"wobm.com")</f>
        <v>wobm.com</v>
      </c>
      <c r="E748" s="26" t="str">
        <f ca="1">IFERROR(__xludf.DUMMYFUNCTION("""COMPUTED_VALUE"""),"New")</f>
        <v>New</v>
      </c>
      <c r="F748" s="27">
        <v>71</v>
      </c>
      <c r="G748" s="27">
        <v>538495</v>
      </c>
      <c r="P748" s="26"/>
    </row>
    <row r="749" spans="1:16" ht="12.5">
      <c r="A749" s="3" t="s">
        <v>38</v>
      </c>
      <c r="B749" s="8" t="s">
        <v>2806</v>
      </c>
      <c r="C749" s="8" t="s">
        <v>4040</v>
      </c>
      <c r="D749" s="41" t="str">
        <f ca="1">IFERROR(__xludf.DUMMYFUNCTION("IFERROR(ARRAYFORMULA(REGEXEXTRACT(C749,""^(?:https?:\/\/)?(?:[^@\n]+@)?(?:www\.)?([^:\/\n]+)"")),"""")"),"929thelake.com")</f>
        <v>929thelake.com</v>
      </c>
      <c r="E749" s="26" t="str">
        <f ca="1">IFERROR(__xludf.DUMMYFUNCTION("""COMPUTED_VALUE"""),"New")</f>
        <v>New</v>
      </c>
      <c r="F749" s="27">
        <v>30</v>
      </c>
      <c r="G749" s="27">
        <v>1756</v>
      </c>
      <c r="P749" s="26"/>
    </row>
    <row r="750" spans="1:16" ht="12.5">
      <c r="A750" s="3" t="s">
        <v>38</v>
      </c>
      <c r="B750" s="8" t="s">
        <v>2806</v>
      </c>
      <c r="C750" s="8" t="s">
        <v>4041</v>
      </c>
      <c r="D750" s="41" t="str">
        <f ca="1">IFERROR(__xludf.DUMMYFUNCTION("IFERROR(ARRAYFORMULA(REGEXEXTRACT(C750,""^(?:https?:\/\/)?(?:[^@\n]+@)?(?:www\.)?([^:\/\n]+)"")),"""")"),"97rockonline.com")</f>
        <v>97rockonline.com</v>
      </c>
      <c r="E750" s="26" t="str">
        <f ca="1">IFERROR(__xludf.DUMMYFUNCTION("""COMPUTED_VALUE"""),"New")</f>
        <v>New</v>
      </c>
      <c r="F750" s="27">
        <v>30</v>
      </c>
      <c r="G750" s="27">
        <v>2234</v>
      </c>
      <c r="P750" s="26"/>
    </row>
    <row r="751" spans="1:16" ht="12.5">
      <c r="A751" s="3" t="s">
        <v>38</v>
      </c>
      <c r="B751" s="8" t="s">
        <v>2806</v>
      </c>
      <c r="C751" s="8" t="s">
        <v>4042</v>
      </c>
      <c r="D751" s="41" t="str">
        <f ca="1">IFERROR(__xludf.DUMMYFUNCTION("IFERROR(ARRAYFORMULA(REGEXEXTRACT(C751,""^(?:https?:\/\/)?(?:[^@\n]+@)?(?:www\.)?([^:\/\n]+)"")),"""")"),"kffm.com")</f>
        <v>kffm.com</v>
      </c>
      <c r="E751" s="26" t="str">
        <f ca="1">IFERROR(__xludf.DUMMYFUNCTION("""COMPUTED_VALUE"""),"New")</f>
        <v>New</v>
      </c>
      <c r="F751" s="27">
        <v>73</v>
      </c>
      <c r="G751" s="27">
        <v>5559</v>
      </c>
      <c r="P751" s="26"/>
    </row>
    <row r="752" spans="1:16" ht="12.5" hidden="1">
      <c r="A752" s="3" t="s">
        <v>38</v>
      </c>
      <c r="B752" s="8" t="s">
        <v>2806</v>
      </c>
      <c r="C752" s="8" t="s">
        <v>4043</v>
      </c>
      <c r="D752" s="41" t="str">
        <f ca="1">IFERROR(__xludf.DUMMYFUNCTION("IFERROR(ARRAYFORMULA(REGEXEXTRACT(C752,""^(?:https?:\/\/)?(?:[^@\n]+@)?(?:www\.)?([^:\/\n]+)"")),"""")"),"ecommercefastlane.com")</f>
        <v>ecommercefastlane.com</v>
      </c>
      <c r="E752" s="26" t="str">
        <f ca="1">IFERROR(__xludf.DUMMYFUNCTION("""COMPUTED_VALUE"""),"Already Exists")</f>
        <v>Already Exists</v>
      </c>
      <c r="F752" s="27">
        <v>50</v>
      </c>
      <c r="G752" s="27">
        <v>10323</v>
      </c>
    </row>
    <row r="753" spans="1:16" ht="12.5">
      <c r="A753" s="3" t="s">
        <v>38</v>
      </c>
      <c r="B753" s="8" t="s">
        <v>2806</v>
      </c>
      <c r="C753" s="8" t="s">
        <v>4044</v>
      </c>
      <c r="D753" s="41" t="str">
        <f ca="1">IFERROR(__xludf.DUMMYFUNCTION("IFERROR(ARRAYFORMULA(REGEXEXTRACT(C753,""^(?:https?:\/\/)?(?:[^@\n]+@)?(?:www\.)?([^:\/\n]+)"")),"""")"),"943thepoint.com")</f>
        <v>943thepoint.com</v>
      </c>
      <c r="E753" s="26" t="str">
        <f ca="1">IFERROR(__xludf.DUMMYFUNCTION("""COMPUTED_VALUE"""),"New")</f>
        <v>New</v>
      </c>
      <c r="F753" s="27">
        <v>71</v>
      </c>
      <c r="G753" s="27">
        <v>63179</v>
      </c>
      <c r="P753" s="26"/>
    </row>
    <row r="754" spans="1:16" ht="12.5">
      <c r="A754" s="3" t="s">
        <v>38</v>
      </c>
      <c r="B754" s="8" t="s">
        <v>2806</v>
      </c>
      <c r="C754" s="8" t="s">
        <v>4045</v>
      </c>
      <c r="D754" s="41" t="str">
        <f ca="1">IFERROR(__xludf.DUMMYFUNCTION("IFERROR(ARRAYFORMULA(REGEXEXTRACT(C754,""^(?:https?:\/\/)?(?:[^@\n]+@)?(?:www\.)?([^:\/\n]+)"")),"""")"),"newsletter.co.uk")</f>
        <v>newsletter.co.uk</v>
      </c>
      <c r="E754" s="26" t="str">
        <f ca="1">IFERROR(__xludf.DUMMYFUNCTION("""COMPUTED_VALUE"""),"New")</f>
        <v>New</v>
      </c>
      <c r="F754" s="27">
        <v>48</v>
      </c>
      <c r="G754" s="27">
        <v>1782</v>
      </c>
      <c r="P754" s="26"/>
    </row>
    <row r="755" spans="1:16" ht="12.5">
      <c r="A755" s="3" t="s">
        <v>38</v>
      </c>
      <c r="B755" s="8" t="s">
        <v>2806</v>
      </c>
      <c r="C755" s="8" t="s">
        <v>4046</v>
      </c>
      <c r="D755" s="41" t="str">
        <f ca="1">IFERROR(__xludf.DUMMYFUNCTION("IFERROR(ARRAYFORMULA(REGEXEXTRACT(C755,""^(?:https?:\/\/)?(?:[^@\n]+@)?(?:www\.)?([^:\/\n]+)"")),"""")"),"mix957gr.com")</f>
        <v>mix957gr.com</v>
      </c>
      <c r="E755" s="26" t="str">
        <f ca="1">IFERROR(__xludf.DUMMYFUNCTION("""COMPUTED_VALUE"""),"New")</f>
        <v>New</v>
      </c>
      <c r="F755" s="27">
        <v>28</v>
      </c>
      <c r="G755" s="27">
        <v>1822</v>
      </c>
      <c r="P755" s="26"/>
    </row>
    <row r="756" spans="1:16" ht="12.5">
      <c r="A756" s="3" t="s">
        <v>38</v>
      </c>
      <c r="B756" s="8" t="s">
        <v>2806</v>
      </c>
      <c r="C756" s="8" t="s">
        <v>4047</v>
      </c>
      <c r="D756" s="41" t="str">
        <f ca="1">IFERROR(__xludf.DUMMYFUNCTION("IFERROR(ARRAYFORMULA(REGEXEXTRACT(C756,""^(?:https?:\/\/)?(?:[^@\n]+@)?(?:www\.)?([^:\/\n]+)"")),"""")"),"1027kord.com")</f>
        <v>1027kord.com</v>
      </c>
      <c r="E756" s="26" t="str">
        <f ca="1">IFERROR(__xludf.DUMMYFUNCTION("""COMPUTED_VALUE"""),"New")</f>
        <v>New</v>
      </c>
      <c r="F756" s="27">
        <v>49</v>
      </c>
      <c r="G756" s="27">
        <v>2253</v>
      </c>
      <c r="P756" s="26"/>
    </row>
    <row r="757" spans="1:16" ht="12.5">
      <c r="A757" s="3" t="s">
        <v>38</v>
      </c>
      <c r="B757" s="8" t="s">
        <v>2806</v>
      </c>
      <c r="C757" s="8" t="s">
        <v>4048</v>
      </c>
      <c r="D757" s="41" t="str">
        <f ca="1">IFERROR(__xludf.DUMMYFUNCTION("IFERROR(ARRAYFORMULA(REGEXEXTRACT(C757,""^(?:https?:\/\/)?(?:[^@\n]+@)?(?:www\.)?([^:\/\n]+)"")),"""")"),"wbckfm.com")</f>
        <v>wbckfm.com</v>
      </c>
      <c r="E757" s="26" t="str">
        <f ca="1">IFERROR(__xludf.DUMMYFUNCTION("""COMPUTED_VALUE"""),"New")</f>
        <v>New</v>
      </c>
      <c r="F757" s="27">
        <v>91</v>
      </c>
      <c r="G757" s="27">
        <v>197673</v>
      </c>
      <c r="P757" s="26"/>
    </row>
    <row r="758" spans="1:16" ht="12.5">
      <c r="A758" s="3" t="s">
        <v>38</v>
      </c>
      <c r="B758" s="8" t="s">
        <v>2806</v>
      </c>
      <c r="C758" s="8" t="s">
        <v>4049</v>
      </c>
      <c r="D758" s="41" t="str">
        <f ca="1">IFERROR(__xludf.DUMMYFUNCTION("IFERROR(ARRAYFORMULA(REGEXEXTRACT(C758,""^(?:https?:\/\/)?(?:[^@\n]+@)?(?:www\.)?([^:\/\n]+)"")),"""")"),"wgna.com")</f>
        <v>wgna.com</v>
      </c>
      <c r="E758" s="26" t="str">
        <f ca="1">IFERROR(__xludf.DUMMYFUNCTION("""COMPUTED_VALUE"""),"New")</f>
        <v>New</v>
      </c>
      <c r="F758" s="27">
        <v>52</v>
      </c>
      <c r="G758" s="27">
        <v>9737</v>
      </c>
      <c r="P758" s="26"/>
    </row>
    <row r="759" spans="1:16" ht="12.5">
      <c r="A759" s="3" t="s">
        <v>38</v>
      </c>
      <c r="B759" s="8" t="s">
        <v>2806</v>
      </c>
      <c r="C759" s="8" t="s">
        <v>4050</v>
      </c>
      <c r="D759" s="41" t="str">
        <f ca="1">IFERROR(__xludf.DUMMYFUNCTION("IFERROR(ARRAYFORMULA(REGEXEXTRACT(C759,""^(?:https?:\/\/)?(?:[^@\n]+@)?(?:www\.)?([^:\/\n]+)"")),"""")"),"wnbf.com")</f>
        <v>wnbf.com</v>
      </c>
      <c r="E759" s="26" t="str">
        <f ca="1">IFERROR(__xludf.DUMMYFUNCTION("""COMPUTED_VALUE"""),"New")</f>
        <v>New</v>
      </c>
      <c r="F759" s="27">
        <v>59</v>
      </c>
      <c r="G759" s="27">
        <v>4979</v>
      </c>
      <c r="P759" s="26"/>
    </row>
    <row r="760" spans="1:16" ht="12.5">
      <c r="A760" s="3" t="s">
        <v>38</v>
      </c>
      <c r="B760" s="8" t="s">
        <v>2806</v>
      </c>
      <c r="C760" s="8" t="s">
        <v>4051</v>
      </c>
      <c r="D760" s="41" t="str">
        <f ca="1">IFERROR(__xludf.DUMMYFUNCTION("IFERROR(ARRAYFORMULA(REGEXEXTRACT(C760,""^(?:https?:\/\/)?(?:[^@\n]+@)?(?:www\.)?([^:\/\n]+)"")),"""")"),"blogarama.com")</f>
        <v>blogarama.com</v>
      </c>
      <c r="E760" s="26" t="str">
        <f ca="1">IFERROR(__xludf.DUMMYFUNCTION("""COMPUTED_VALUE"""),"New")</f>
        <v>New</v>
      </c>
      <c r="F760" s="27">
        <v>62</v>
      </c>
      <c r="G760" s="27">
        <v>496630</v>
      </c>
      <c r="P760" s="26"/>
    </row>
    <row r="761" spans="1:16" ht="12.5">
      <c r="A761" s="3" t="s">
        <v>38</v>
      </c>
      <c r="B761" s="8" t="s">
        <v>2806</v>
      </c>
      <c r="C761" s="8" t="s">
        <v>4052</v>
      </c>
      <c r="D761" s="41" t="str">
        <f ca="1">IFERROR(__xludf.DUMMYFUNCTION("IFERROR(ARRAYFORMULA(REGEXEXTRACT(C761,""^(?:https?:\/\/)?(?:[^@\n]+@)?(?:www\.)?([^:\/\n]+)"")),"""")"),"kalkinemedia.com")</f>
        <v>kalkinemedia.com</v>
      </c>
      <c r="E761" s="26" t="str">
        <f ca="1">IFERROR(__xludf.DUMMYFUNCTION("""COMPUTED_VALUE"""),"New")</f>
        <v>New</v>
      </c>
      <c r="F761" s="27">
        <v>34</v>
      </c>
      <c r="G761" s="27">
        <v>8443</v>
      </c>
      <c r="P761" s="26"/>
    </row>
    <row r="762" spans="1:16" ht="12.5">
      <c r="A762" s="3" t="s">
        <v>38</v>
      </c>
      <c r="B762" s="8" t="s">
        <v>2806</v>
      </c>
      <c r="C762" s="8" t="s">
        <v>4053</v>
      </c>
      <c r="D762" s="41" t="str">
        <f ca="1">IFERROR(__xludf.DUMMYFUNCTION("IFERROR(ARRAYFORMULA(REGEXEXTRACT(C762,""^(?:https?:\/\/)?(?:[^@\n]+@)?(?:www\.)?([^:\/\n]+)"")),"""")"),"1043wowcountry.com")</f>
        <v>1043wowcountry.com</v>
      </c>
      <c r="E762" s="26" t="str">
        <f ca="1">IFERROR(__xludf.DUMMYFUNCTION("""COMPUTED_VALUE"""),"New")</f>
        <v>New</v>
      </c>
      <c r="F762" s="27">
        <v>62</v>
      </c>
      <c r="G762" s="27">
        <v>1502</v>
      </c>
      <c r="P762" s="26"/>
    </row>
    <row r="763" spans="1:16" ht="12.5" hidden="1">
      <c r="A763" s="3" t="s">
        <v>38</v>
      </c>
      <c r="B763" s="8" t="s">
        <v>2806</v>
      </c>
      <c r="C763" s="8" t="s">
        <v>4054</v>
      </c>
      <c r="D763" s="41" t="str">
        <f ca="1">IFERROR(__xludf.DUMMYFUNCTION("IFERROR(ARRAYFORMULA(REGEXEXTRACT(C763,""^(?:https?:\/\/)?(?:[^@\n]+@)?(?:www\.)?([^:\/\n]+)"")),"""")"),"meredithplays.com")</f>
        <v>meredithplays.com</v>
      </c>
      <c r="E763" s="26" t="str">
        <f ca="1">IFERROR(__xludf.DUMMYFUNCTION("""COMPUTED_VALUE"""),"Already Exists")</f>
        <v>Already Exists</v>
      </c>
    </row>
    <row r="764" spans="1:16" ht="14.5" hidden="1">
      <c r="A764" s="3" t="s">
        <v>38</v>
      </c>
      <c r="B764" s="17" t="s">
        <v>2807</v>
      </c>
      <c r="C764" s="46" t="s">
        <v>4055</v>
      </c>
      <c r="D764" s="41" t="str">
        <f ca="1">IFERROR(__xludf.DUMMYFUNCTION("IFERROR(ARRAYFORMULA(REGEXEXTRACT(C764,""^(?:https?:\/\/)?(?:[^@\n]+@)?(?:www\.)?([^:\/\n]+)"")),"""")"),"listwithclever.com")</f>
        <v>listwithclever.com</v>
      </c>
      <c r="E764" s="26" t="str">
        <f ca="1">IFERROR(__xludf.DUMMYFUNCTION("""COMPUTED_VALUE"""),"Already Exists")</f>
        <v>Already Exists</v>
      </c>
      <c r="F764" s="27">
        <v>75</v>
      </c>
      <c r="G764" s="27">
        <v>151432</v>
      </c>
    </row>
    <row r="765" spans="1:16" ht="14.5">
      <c r="A765" s="3" t="s">
        <v>38</v>
      </c>
      <c r="B765" s="8" t="s">
        <v>2807</v>
      </c>
      <c r="C765" s="46" t="s">
        <v>4056</v>
      </c>
      <c r="D765" s="41" t="str">
        <f ca="1">IFERROR(__xludf.DUMMYFUNCTION("IFERROR(ARRAYFORMULA(REGEXEXTRACT(C765,""^(?:https?:\/\/)?(?:[^@\n]+@)?(?:www\.)?([^:\/\n]+)"")),"""")"),"realtrends.com")</f>
        <v>realtrends.com</v>
      </c>
      <c r="E765" s="26" t="str">
        <f ca="1">IFERROR(__xludf.DUMMYFUNCTION("""COMPUTED_VALUE"""),"New")</f>
        <v>New</v>
      </c>
      <c r="F765" s="27">
        <v>73</v>
      </c>
      <c r="G765" s="27">
        <v>11466</v>
      </c>
      <c r="P765" s="26"/>
    </row>
    <row r="766" spans="1:16" ht="14.5">
      <c r="A766" s="3" t="s">
        <v>38</v>
      </c>
      <c r="B766" s="8" t="s">
        <v>2807</v>
      </c>
      <c r="C766" s="46" t="s">
        <v>4057</v>
      </c>
      <c r="D766" s="41" t="str">
        <f ca="1">IFERROR(__xludf.DUMMYFUNCTION("IFERROR(ARRAYFORMULA(REGEXEXTRACT(C766,""^(?:https?:\/\/)?(?:[^@\n]+@)?(?:www\.)?([^:\/\n]+)"")),"""")"),"buildingbetteragents.com")</f>
        <v>buildingbetteragents.com</v>
      </c>
      <c r="E766" s="26" t="str">
        <f ca="1">IFERROR(__xludf.DUMMYFUNCTION("""COMPUTED_VALUE"""),"New")</f>
        <v>New</v>
      </c>
      <c r="F766" s="27">
        <v>33</v>
      </c>
      <c r="G766" s="27">
        <v>3187</v>
      </c>
      <c r="P766" s="26"/>
    </row>
    <row r="767" spans="1:16" ht="14.5">
      <c r="A767" s="3" t="s">
        <v>38</v>
      </c>
      <c r="B767" s="8" t="s">
        <v>2807</v>
      </c>
      <c r="C767" s="46" t="s">
        <v>4058</v>
      </c>
      <c r="D767" s="41" t="str">
        <f ca="1">IFERROR(__xludf.DUMMYFUNCTION("IFERROR(ARRAYFORMULA(REGEXEXTRACT(C767,""^(?:https?:\/\/)?(?:[^@\n]+@)?(?:www\.)?([^:\/\n]+)"")),"""")"),"1045thezone.com")</f>
        <v>1045thezone.com</v>
      </c>
      <c r="E767" s="26" t="str">
        <f ca="1">IFERROR(__xludf.DUMMYFUNCTION("""COMPUTED_VALUE"""),"New")</f>
        <v>New</v>
      </c>
      <c r="F767" s="27">
        <v>35</v>
      </c>
      <c r="G767" s="27">
        <v>1664</v>
      </c>
      <c r="P767" s="26"/>
    </row>
    <row r="768" spans="1:16" ht="14.5">
      <c r="A768" s="3" t="s">
        <v>38</v>
      </c>
      <c r="B768" s="8" t="s">
        <v>2807</v>
      </c>
      <c r="C768" s="46" t="s">
        <v>4059</v>
      </c>
      <c r="D768" s="41" t="str">
        <f ca="1">IFERROR(__xludf.DUMMYFUNCTION("IFERROR(ARRAYFORMULA(REGEXEXTRACT(C768,""^(?:https?:\/\/)?(?:[^@\n]+@)?(?:www\.)?([^:\/\n]+)"")),"""")"),"housingwire.com")</f>
        <v>housingwire.com</v>
      </c>
      <c r="E768" s="26" t="str">
        <f ca="1">IFERROR(__xludf.DUMMYFUNCTION("""COMPUTED_VALUE"""),"New")</f>
        <v>New</v>
      </c>
      <c r="F768" s="27">
        <v>82</v>
      </c>
      <c r="G768" s="27">
        <v>69032</v>
      </c>
      <c r="P768" s="26"/>
    </row>
    <row r="769" spans="1:16" ht="14.5">
      <c r="A769" s="3" t="s">
        <v>38</v>
      </c>
      <c r="B769" s="8" t="s">
        <v>2807</v>
      </c>
      <c r="C769" s="49" t="s">
        <v>4060</v>
      </c>
      <c r="D769" s="41" t="str">
        <f ca="1">IFERROR(__xludf.DUMMYFUNCTION("IFERROR(ARRAYFORMULA(REGEXEXTRACT(C769,""^(?:https?:\/\/)?(?:[^@\n]+@)?(?:www\.)?([^:\/\n]+)"")),"""")"),"atlantaagentmagazine.com")</f>
        <v>atlantaagentmagazine.com</v>
      </c>
      <c r="E769" s="26" t="str">
        <f ca="1">IFERROR(__xludf.DUMMYFUNCTION("""COMPUTED_VALUE"""),"New")</f>
        <v>New</v>
      </c>
      <c r="F769" s="27">
        <v>52</v>
      </c>
      <c r="G769" s="27">
        <v>1524</v>
      </c>
      <c r="H769" s="27" t="s">
        <v>4061</v>
      </c>
      <c r="I769" s="27" t="s">
        <v>4062</v>
      </c>
      <c r="J769" s="27" t="s">
        <v>4063</v>
      </c>
      <c r="K769" s="27" t="s">
        <v>3772</v>
      </c>
      <c r="L769" s="112"/>
      <c r="M769" s="66" t="s">
        <v>3117</v>
      </c>
      <c r="N769" s="48">
        <v>46034</v>
      </c>
      <c r="O769" s="48">
        <v>46071</v>
      </c>
      <c r="P769" s="26"/>
    </row>
    <row r="770" spans="1:16" ht="14.5">
      <c r="A770" s="3" t="s">
        <v>38</v>
      </c>
      <c r="B770" s="8" t="s">
        <v>2807</v>
      </c>
      <c r="C770" s="46" t="s">
        <v>4064</v>
      </c>
      <c r="D770" s="41" t="str">
        <f ca="1">IFERROR(__xludf.DUMMYFUNCTION("IFERROR(ARRAYFORMULA(REGEXEXTRACT(C770,""^(?:https?:\/\/)?(?:[^@\n]+@)?(?:www\.)?([^:\/\n]+)"")),"""")"),"aisdr.com")</f>
        <v>aisdr.com</v>
      </c>
      <c r="E770" s="26" t="str">
        <f ca="1">IFERROR(__xludf.DUMMYFUNCTION("""COMPUTED_VALUE"""),"New")</f>
        <v>New</v>
      </c>
      <c r="F770" s="27">
        <v>59</v>
      </c>
      <c r="G770" s="27">
        <v>3292</v>
      </c>
      <c r="P770" s="26"/>
    </row>
    <row r="771" spans="1:16" ht="14.5">
      <c r="A771" s="3" t="s">
        <v>38</v>
      </c>
      <c r="B771" s="8" t="s">
        <v>2807</v>
      </c>
      <c r="C771" s="46" t="s">
        <v>4065</v>
      </c>
      <c r="D771" s="41" t="str">
        <f ca="1">IFERROR(__xludf.DUMMYFUNCTION("IFERROR(ARRAYFORMULA(REGEXEXTRACT(C771,""^(?:https?:\/\/)?(?:[^@\n]+@)?(?:www\.)?([^:\/\n]+)"")),"""")"),"aeainvestors.com")</f>
        <v>aeainvestors.com</v>
      </c>
      <c r="E771" s="26" t="str">
        <f ca="1">IFERROR(__xludf.DUMMYFUNCTION("""COMPUTED_VALUE"""),"New")</f>
        <v>New</v>
      </c>
      <c r="F771" s="27">
        <v>47</v>
      </c>
      <c r="G771" s="27">
        <v>5096</v>
      </c>
      <c r="P771" s="26"/>
    </row>
    <row r="772" spans="1:16" ht="14.5">
      <c r="A772" s="3" t="s">
        <v>38</v>
      </c>
      <c r="B772" s="8" t="s">
        <v>2807</v>
      </c>
      <c r="C772" s="46" t="s">
        <v>4066</v>
      </c>
      <c r="D772" s="41" t="str">
        <f ca="1">IFERROR(__xludf.DUMMYFUNCTION("IFERROR(ARRAYFORMULA(REGEXEXTRACT(C772,""^(?:https?:\/\/)?(?:[^@\n]+@)?(?:www\.)?([^:\/\n]+)"")),"""")"),"showcaseidx.com")</f>
        <v>showcaseidx.com</v>
      </c>
      <c r="E772" s="26" t="str">
        <f ca="1">IFERROR(__xludf.DUMMYFUNCTION("""COMPUTED_VALUE"""),"New")</f>
        <v>New</v>
      </c>
      <c r="F772" s="27">
        <v>65</v>
      </c>
      <c r="G772" s="27">
        <v>4526</v>
      </c>
      <c r="P772" s="26"/>
    </row>
    <row r="773" spans="1:16" ht="14.5">
      <c r="A773" s="3" t="s">
        <v>38</v>
      </c>
      <c r="B773" s="8" t="s">
        <v>2807</v>
      </c>
      <c r="C773" s="46" t="s">
        <v>4067</v>
      </c>
      <c r="D773" s="41" t="str">
        <f ca="1">IFERROR(__xludf.DUMMYFUNCTION("IFERROR(ARRAYFORMULA(REGEXEXTRACT(C773,""^(?:https?:\/\/)?(?:[^@\n]+@)?(?:www\.)?([^:\/\n]+)"")),"""")"),"bankingstuffs.com")</f>
        <v>bankingstuffs.com</v>
      </c>
      <c r="E773" s="26" t="str">
        <f ca="1">IFERROR(__xludf.DUMMYFUNCTION("""COMPUTED_VALUE"""),"New")</f>
        <v>New</v>
      </c>
      <c r="F773" s="27">
        <v>50</v>
      </c>
      <c r="G773" s="27">
        <v>1152</v>
      </c>
      <c r="P773" s="26"/>
    </row>
    <row r="774" spans="1:16" ht="14.5">
      <c r="A774" s="3" t="s">
        <v>38</v>
      </c>
      <c r="B774" s="8" t="s">
        <v>2807</v>
      </c>
      <c r="C774" s="46" t="s">
        <v>4068</v>
      </c>
      <c r="D774" s="41" t="str">
        <f ca="1">IFERROR(__xludf.DUMMYFUNCTION("IFERROR(ARRAYFORMULA(REGEXEXTRACT(C774,""^(?:https?:\/\/)?(?:[^@\n]+@)?(?:www\.)?([^:\/\n]+)"")),"""")"),"birdsandwings.com")</f>
        <v>birdsandwings.com</v>
      </c>
      <c r="E774" s="26" t="str">
        <f ca="1">IFERROR(__xludf.DUMMYFUNCTION("""COMPUTED_VALUE"""),"New")</f>
        <v>New</v>
      </c>
      <c r="F774" s="27">
        <v>56</v>
      </c>
      <c r="G774" s="27">
        <v>1755</v>
      </c>
      <c r="P774" s="26"/>
    </row>
    <row r="775" spans="1:16" ht="14.5">
      <c r="A775" s="3" t="s">
        <v>38</v>
      </c>
      <c r="B775" s="8" t="s">
        <v>2807</v>
      </c>
      <c r="C775" s="46" t="s">
        <v>4069</v>
      </c>
      <c r="D775" s="41" t="str">
        <f ca="1">IFERROR(__xludf.DUMMYFUNCTION("IFERROR(ARRAYFORMULA(REGEXEXTRACT(C775,""^(?:https?:\/\/)?(?:[^@\n]+@)?(?:www\.)?([^:\/\n]+)"")),"""")"),"conversationswithbianca.com")</f>
        <v>conversationswithbianca.com</v>
      </c>
      <c r="E775" s="26" t="str">
        <f ca="1">IFERROR(__xludf.DUMMYFUNCTION("""COMPUTED_VALUE"""),"New")</f>
        <v>New</v>
      </c>
      <c r="F775" s="27">
        <v>67</v>
      </c>
      <c r="G775" s="27">
        <v>2531</v>
      </c>
      <c r="P775" s="26"/>
    </row>
    <row r="776" spans="1:16" ht="14.5">
      <c r="A776" s="3" t="s">
        <v>38</v>
      </c>
      <c r="B776" s="8" t="s">
        <v>2807</v>
      </c>
      <c r="C776" s="46" t="s">
        <v>4070</v>
      </c>
      <c r="D776" s="41" t="str">
        <f ca="1">IFERROR(__xludf.DUMMYFUNCTION("IFERROR(ARRAYFORMULA(REGEXEXTRACT(C776,""^(?:https?:\/\/)?(?:[^@\n]+@)?(?:www\.)?([^:\/\n]+)"")),"""")"),"smiletotalk.com")</f>
        <v>smiletotalk.com</v>
      </c>
      <c r="E776" s="26" t="str">
        <f ca="1">IFERROR(__xludf.DUMMYFUNCTION("""COMPUTED_VALUE"""),"New")</f>
        <v>New</v>
      </c>
      <c r="F776" s="27">
        <v>63</v>
      </c>
      <c r="G776" s="27">
        <v>42877</v>
      </c>
      <c r="P776" s="26"/>
    </row>
    <row r="777" spans="1:16" ht="14.5">
      <c r="A777" s="3" t="s">
        <v>38</v>
      </c>
      <c r="B777" s="8" t="s">
        <v>2807</v>
      </c>
      <c r="C777" s="46" t="s">
        <v>4071</v>
      </c>
      <c r="D777" s="41" t="str">
        <f ca="1">IFERROR(__xludf.DUMMYFUNCTION("IFERROR(ARRAYFORMULA(REGEXEXTRACT(C777,""^(?:https?:\/\/)?(?:[^@\n]+@)?(?:www\.)?([^:\/\n]+)"")),"""")"),"kulfiy.com")</f>
        <v>kulfiy.com</v>
      </c>
      <c r="E777" s="26" t="str">
        <f ca="1">IFERROR(__xludf.DUMMYFUNCTION("""COMPUTED_VALUE"""),"New")</f>
        <v>New</v>
      </c>
      <c r="F777" s="27">
        <v>55</v>
      </c>
      <c r="G777" s="27">
        <v>88330</v>
      </c>
      <c r="P777" s="26"/>
    </row>
    <row r="778" spans="1:16" ht="14.5">
      <c r="A778" s="3" t="s">
        <v>38</v>
      </c>
      <c r="B778" s="8" t="s">
        <v>2807</v>
      </c>
      <c r="C778" s="46" t="s">
        <v>4072</v>
      </c>
      <c r="D778" s="41" t="str">
        <f ca="1">IFERROR(__xludf.DUMMYFUNCTION("IFERROR(ARRAYFORMULA(REGEXEXTRACT(C778,""^(?:https?:\/\/)?(?:[^@\n]+@)?(?:www\.)?([^:\/\n]+)"")),"""")"),"businessmediagroup.co.uk")</f>
        <v>businessmediagroup.co.uk</v>
      </c>
      <c r="E778" s="26" t="str">
        <f ca="1">IFERROR(__xludf.DUMMYFUNCTION("""COMPUTED_VALUE"""),"New")</f>
        <v>New</v>
      </c>
      <c r="F778" s="27">
        <v>49</v>
      </c>
      <c r="G778" s="27">
        <v>107445</v>
      </c>
      <c r="P778" s="26"/>
    </row>
    <row r="779" spans="1:16" ht="14.5" hidden="1">
      <c r="A779" s="3" t="s">
        <v>38</v>
      </c>
      <c r="B779" s="8" t="s">
        <v>2807</v>
      </c>
      <c r="C779" s="47" t="s">
        <v>4073</v>
      </c>
      <c r="D779" s="41" t="str">
        <f ca="1">IFERROR(__xludf.DUMMYFUNCTION("IFERROR(ARRAYFORMULA(REGEXEXTRACT(C779,""^(?:https?:\/\/)?(?:[^@\n]+@)?(?:www\.)?([^:\/\n]+)"")),"""")"),"canvomagazine.com")</f>
        <v>canvomagazine.com</v>
      </c>
      <c r="E779" s="26" t="str">
        <f ca="1">IFERROR(__xludf.DUMMYFUNCTION("""COMPUTED_VALUE"""),"Already Exists")</f>
        <v>Already Exists</v>
      </c>
      <c r="F779" s="27">
        <v>52</v>
      </c>
      <c r="G779" s="27">
        <v>1160</v>
      </c>
      <c r="J779" s="27" t="s">
        <v>4074</v>
      </c>
      <c r="K779" s="27" t="s">
        <v>3756</v>
      </c>
      <c r="L779" s="112"/>
      <c r="M779" s="66" t="s">
        <v>3117</v>
      </c>
      <c r="N779" s="48">
        <v>46034</v>
      </c>
      <c r="P779" s="27" t="s">
        <v>3201</v>
      </c>
    </row>
    <row r="780" spans="1:16" ht="14.5" hidden="1">
      <c r="A780" s="3" t="s">
        <v>38</v>
      </c>
      <c r="B780" s="8" t="s">
        <v>2807</v>
      </c>
      <c r="C780" s="46" t="s">
        <v>4075</v>
      </c>
      <c r="D780" s="41" t="str">
        <f ca="1">IFERROR(__xludf.DUMMYFUNCTION("IFERROR(ARRAYFORMULA(REGEXEXTRACT(C780,""^(?:https?:\/\/)?(?:[^@\n]+@)?(?:www\.)?([^:\/\n]+)"")),"""")"),"optimisticmommy.com")</f>
        <v>optimisticmommy.com</v>
      </c>
      <c r="E780" s="26" t="str">
        <f ca="1">IFERROR(__xludf.DUMMYFUNCTION("""COMPUTED_VALUE"""),"Already Exists")</f>
        <v>Already Exists</v>
      </c>
      <c r="F780" s="27">
        <v>55</v>
      </c>
      <c r="G780" s="27">
        <v>32695</v>
      </c>
    </row>
    <row r="781" spans="1:16" ht="14.5">
      <c r="A781" s="3" t="s">
        <v>38</v>
      </c>
      <c r="B781" s="8" t="s">
        <v>2807</v>
      </c>
      <c r="C781" s="46" t="s">
        <v>4076</v>
      </c>
      <c r="D781" s="41" t="str">
        <f ca="1">IFERROR(__xludf.DUMMYFUNCTION("IFERROR(ARRAYFORMULA(REGEXEXTRACT(C781,""^(?:https?:\/\/)?(?:[^@\n]+@)?(?:www\.)?([^:\/\n]+)"")),"""")"),"smartbusinessdaily.com")</f>
        <v>smartbusinessdaily.com</v>
      </c>
      <c r="E781" s="26" t="str">
        <f ca="1">IFERROR(__xludf.DUMMYFUNCTION("""COMPUTED_VALUE"""),"New")</f>
        <v>New</v>
      </c>
      <c r="F781" s="27">
        <v>42</v>
      </c>
      <c r="G781" s="27">
        <v>7341</v>
      </c>
      <c r="P781" s="26"/>
    </row>
    <row r="782" spans="1:16" ht="14.5">
      <c r="A782" s="3" t="s">
        <v>38</v>
      </c>
      <c r="B782" s="8" t="s">
        <v>2807</v>
      </c>
      <c r="C782" s="49" t="s">
        <v>4077</v>
      </c>
      <c r="D782" s="41" t="str">
        <f ca="1">IFERROR(__xludf.DUMMYFUNCTION("IFERROR(ARRAYFORMULA(REGEXEXTRACT(C782,""^(?:https?:\/\/)?(?:[^@\n]+@)?(?:www\.)?([^:\/\n]+)"")),"""")"),"theusaleaders.com")</f>
        <v>theusaleaders.com</v>
      </c>
      <c r="E782" s="26" t="str">
        <f ca="1">IFERROR(__xludf.DUMMYFUNCTION("""COMPUTED_VALUE"""),"New")</f>
        <v>New</v>
      </c>
      <c r="F782" s="27">
        <v>42</v>
      </c>
      <c r="G782" s="27">
        <v>11554</v>
      </c>
      <c r="I782" s="38" t="s">
        <v>4078</v>
      </c>
      <c r="K782" s="27" t="s">
        <v>3772</v>
      </c>
      <c r="L782" s="112"/>
      <c r="M782" s="66" t="s">
        <v>3117</v>
      </c>
      <c r="N782" s="48">
        <v>46034</v>
      </c>
      <c r="P782" s="26"/>
    </row>
    <row r="783" spans="1:16" ht="14.5" hidden="1">
      <c r="A783" s="3" t="s">
        <v>38</v>
      </c>
      <c r="B783" s="8" t="s">
        <v>2807</v>
      </c>
      <c r="C783" s="47" t="s">
        <v>4079</v>
      </c>
      <c r="D783" s="41" t="str">
        <f ca="1">IFERROR(__xludf.DUMMYFUNCTION("IFERROR(ARRAYFORMULA(REGEXEXTRACT(C783,""^(?:https?:\/\/)?(?:[^@\n]+@)?(?:www\.)?([^:\/\n]+)"")),"""")"),"nameswillow.com")</f>
        <v>nameswillow.com</v>
      </c>
      <c r="E783" s="26" t="str">
        <f ca="1">IFERROR(__xludf.DUMMYFUNCTION("""COMPUTED_VALUE"""),"Already Exists")</f>
        <v>Already Exists</v>
      </c>
      <c r="F783" s="27">
        <v>41</v>
      </c>
      <c r="G783" s="27">
        <v>3433</v>
      </c>
      <c r="J783" s="27" t="s">
        <v>4074</v>
      </c>
      <c r="K783" s="27" t="s">
        <v>3756</v>
      </c>
      <c r="L783" s="112"/>
      <c r="M783" s="66" t="s">
        <v>3117</v>
      </c>
      <c r="N783" s="48">
        <v>46034</v>
      </c>
      <c r="P783" s="27" t="s">
        <v>3201</v>
      </c>
    </row>
    <row r="784" spans="1:16" ht="14.5" hidden="1">
      <c r="A784" s="3" t="s">
        <v>38</v>
      </c>
      <c r="B784" s="8" t="s">
        <v>2807</v>
      </c>
      <c r="C784" s="47" t="s">
        <v>4080</v>
      </c>
      <c r="D784" s="41" t="str">
        <f ca="1">IFERROR(__xludf.DUMMYFUNCTION("IFERROR(ARRAYFORMULA(REGEXEXTRACT(C784,""^(?:https?:\/\/)?(?:[^@\n]+@)?(?:www\.)?([^:\/\n]+)"")),"""")"),"thegrowgarden.com")</f>
        <v>thegrowgarden.com</v>
      </c>
      <c r="E784" s="26" t="str">
        <f ca="1">IFERROR(__xludf.DUMMYFUNCTION("""COMPUTED_VALUE"""),"Already Exists")</f>
        <v>Already Exists</v>
      </c>
      <c r="F784" s="27">
        <v>35</v>
      </c>
      <c r="G784" s="27">
        <v>1875</v>
      </c>
      <c r="J784" s="27" t="s">
        <v>4081</v>
      </c>
      <c r="K784" s="27" t="s">
        <v>3839</v>
      </c>
      <c r="L784" s="112"/>
      <c r="M784" s="27" t="s">
        <v>3715</v>
      </c>
      <c r="N784" s="48">
        <v>46034</v>
      </c>
      <c r="P784" s="27" t="s">
        <v>3201</v>
      </c>
    </row>
    <row r="785" spans="1:16" ht="14.5">
      <c r="A785" s="3" t="s">
        <v>38</v>
      </c>
      <c r="B785" s="8" t="s">
        <v>2807</v>
      </c>
      <c r="C785" s="46" t="s">
        <v>4082</v>
      </c>
      <c r="D785" s="41" t="str">
        <f ca="1">IFERROR(__xludf.DUMMYFUNCTION("IFERROR(ARRAYFORMULA(REGEXEXTRACT(C785,""^(?:https?:\/\/)?(?:[^@\n]+@)?(?:www\.)?([^:\/\n]+)"")),"""")"),"fastexpert.com")</f>
        <v>fastexpert.com</v>
      </c>
      <c r="E785" s="26" t="str">
        <f ca="1">IFERROR(__xludf.DUMMYFUNCTION("""COMPUTED_VALUE"""),"New")</f>
        <v>New</v>
      </c>
      <c r="F785" s="27">
        <v>71</v>
      </c>
      <c r="G785" s="27">
        <v>70438</v>
      </c>
      <c r="P785" s="26"/>
    </row>
    <row r="786" spans="1:16" ht="14.5" hidden="1">
      <c r="A786" s="3" t="s">
        <v>38</v>
      </c>
      <c r="B786" s="8" t="s">
        <v>2807</v>
      </c>
      <c r="C786" s="46" t="s">
        <v>4083</v>
      </c>
      <c r="D786" s="41" t="str">
        <f ca="1">IFERROR(__xludf.DUMMYFUNCTION("IFERROR(ARRAYFORMULA(REGEXEXTRACT(C786,""^(?:https?:\/\/)?(?:[^@\n]+@)?(?:www\.)?([^:\/\n]+)"")),"""")"),"drhomey.com")</f>
        <v>drhomey.com</v>
      </c>
      <c r="E786" s="26" t="str">
        <f ca="1">IFERROR(__xludf.DUMMYFUNCTION("""COMPUTED_VALUE"""),"Already Exists")</f>
        <v>Already Exists</v>
      </c>
      <c r="F786" s="27">
        <v>59</v>
      </c>
      <c r="G786" s="27">
        <v>15290</v>
      </c>
    </row>
    <row r="787" spans="1:16" ht="14.5">
      <c r="A787" s="3" t="s">
        <v>38</v>
      </c>
      <c r="B787" s="8" t="s">
        <v>2807</v>
      </c>
      <c r="C787" s="46" t="s">
        <v>4084</v>
      </c>
      <c r="D787" s="41" t="str">
        <f ca="1">IFERROR(__xludf.DUMMYFUNCTION("IFERROR(ARRAYFORMULA(REGEXEXTRACT(C787,""^(?:https?:\/\/)?(?:[^@\n]+@)?(?:www\.)?([^:\/\n]+)"")),"""")"),"businessscroller.com")</f>
        <v>businessscroller.com</v>
      </c>
      <c r="E787" s="26" t="str">
        <f ca="1">IFERROR(__xludf.DUMMYFUNCTION("""COMPUTED_VALUE"""),"New")</f>
        <v>New</v>
      </c>
      <c r="F787" s="27">
        <v>33</v>
      </c>
      <c r="G787" s="27">
        <v>10607</v>
      </c>
      <c r="P787" s="26"/>
    </row>
    <row r="788" spans="1:16" ht="14.5">
      <c r="A788" s="3" t="s">
        <v>38</v>
      </c>
      <c r="B788" s="8" t="s">
        <v>2807</v>
      </c>
      <c r="C788" s="46" t="s">
        <v>4085</v>
      </c>
      <c r="D788" s="41" t="str">
        <f ca="1">IFERROR(__xludf.DUMMYFUNCTION("IFERROR(ARRAYFORMULA(REGEXEXTRACT(C788,""^(?:https?:\/\/)?(?:[^@\n]+@)?(?:www\.)?([^:\/\n]+)"")),"""")"),"easyshiksha.com")</f>
        <v>easyshiksha.com</v>
      </c>
      <c r="E788" s="26" t="str">
        <f ca="1">IFERROR(__xludf.DUMMYFUNCTION("""COMPUTED_VALUE"""),"New")</f>
        <v>New</v>
      </c>
      <c r="F788" s="27">
        <v>48</v>
      </c>
      <c r="G788" s="27">
        <v>16814</v>
      </c>
      <c r="P788" s="26"/>
    </row>
    <row r="789" spans="1:16" ht="14.5">
      <c r="A789" s="3" t="s">
        <v>38</v>
      </c>
      <c r="B789" s="8" t="s">
        <v>2807</v>
      </c>
      <c r="C789" s="46" t="s">
        <v>4086</v>
      </c>
      <c r="D789" s="41" t="str">
        <f ca="1">IFERROR(__xludf.DUMMYFUNCTION("IFERROR(ARRAYFORMULA(REGEXEXTRACT(C789,""^(?:https?:\/\/)?(?:[^@\n]+@)?(?:www\.)?([^:\/\n]+)"")),"""")"),"simplify.jobs")</f>
        <v>simplify.jobs</v>
      </c>
      <c r="E789" s="26" t="str">
        <f ca="1">IFERROR(__xludf.DUMMYFUNCTION("""COMPUTED_VALUE"""),"New")</f>
        <v>New</v>
      </c>
      <c r="F789" s="27">
        <v>55</v>
      </c>
      <c r="G789" s="27">
        <v>51413</v>
      </c>
      <c r="P789" s="26"/>
    </row>
    <row r="790" spans="1:16" ht="14.5">
      <c r="A790" s="3" t="s">
        <v>38</v>
      </c>
      <c r="B790" s="8" t="s">
        <v>2807</v>
      </c>
      <c r="C790" s="46" t="s">
        <v>4087</v>
      </c>
      <c r="D790" s="41" t="str">
        <f ca="1">IFERROR(__xludf.DUMMYFUNCTION("IFERROR(ARRAYFORMULA(REGEXEXTRACT(C790,""^(?:https?:\/\/)?(?:[^@\n]+@)?(?:www\.)?([^:\/\n]+)"")),"""")"),"notinthekitchenanymore.com")</f>
        <v>notinthekitchenanymore.com</v>
      </c>
      <c r="E790" s="26" t="str">
        <f ca="1">IFERROR(__xludf.DUMMYFUNCTION("""COMPUTED_VALUE"""),"New")</f>
        <v>New</v>
      </c>
      <c r="F790" s="27">
        <v>55</v>
      </c>
      <c r="G790" s="27">
        <v>7050</v>
      </c>
      <c r="P790" s="26"/>
    </row>
    <row r="791" spans="1:16" ht="14.5">
      <c r="A791" s="3" t="s">
        <v>38</v>
      </c>
      <c r="B791" s="8" t="s">
        <v>2807</v>
      </c>
      <c r="C791" s="46" t="s">
        <v>4088</v>
      </c>
      <c r="D791" s="41" t="str">
        <f ca="1">IFERROR(__xludf.DUMMYFUNCTION("IFERROR(ARRAYFORMULA(REGEXEXTRACT(C791,""^(?:https?:\/\/)?(?:[^@\n]+@)?(?:www\.)?([^:\/\n]+)"")),"""")"),"techsmartinfo.com")</f>
        <v>techsmartinfo.com</v>
      </c>
      <c r="E791" s="26" t="str">
        <f ca="1">IFERROR(__xludf.DUMMYFUNCTION("""COMPUTED_VALUE"""),"New")</f>
        <v>New</v>
      </c>
      <c r="F791" s="27">
        <v>47</v>
      </c>
      <c r="G791" s="27">
        <v>4488</v>
      </c>
      <c r="P791" s="26"/>
    </row>
    <row r="792" spans="1:16" ht="14.5">
      <c r="A792" s="3" t="s">
        <v>38</v>
      </c>
      <c r="B792" s="8" t="s">
        <v>2807</v>
      </c>
      <c r="C792" s="46" t="s">
        <v>4089</v>
      </c>
      <c r="D792" s="41" t="str">
        <f ca="1">IFERROR(__xludf.DUMMYFUNCTION("IFERROR(ARRAYFORMULA(REGEXEXTRACT(C792,""^(?:https?:\/\/)?(?:[^@\n]+@)?(?:www\.)?([^:\/\n]+)"")),"""")"),"customergauge.com")</f>
        <v>customergauge.com</v>
      </c>
      <c r="E792" s="26" t="str">
        <f ca="1">IFERROR(__xludf.DUMMYFUNCTION("""COMPUTED_VALUE"""),"New")</f>
        <v>New</v>
      </c>
      <c r="F792" s="27">
        <v>76</v>
      </c>
      <c r="G792" s="27">
        <v>18344</v>
      </c>
      <c r="P792" s="26"/>
    </row>
    <row r="793" spans="1:16" ht="14.5">
      <c r="A793" s="3" t="s">
        <v>38</v>
      </c>
      <c r="B793" s="8" t="s">
        <v>2807</v>
      </c>
      <c r="C793" s="49" t="s">
        <v>4090</v>
      </c>
      <c r="D793" s="41" t="str">
        <f ca="1">IFERROR(__xludf.DUMMYFUNCTION("IFERROR(ARRAYFORMULA(REGEXEXTRACT(C793,""^(?:https?:\/\/)?(?:[^@\n]+@)?(?:www\.)?([^:\/\n]+)"")),"""")"),"wirksmoving.com")</f>
        <v>wirksmoving.com</v>
      </c>
      <c r="E793" s="26" t="str">
        <f ca="1">IFERROR(__xludf.DUMMYFUNCTION("""COMPUTED_VALUE"""),"New")</f>
        <v>New</v>
      </c>
      <c r="F793" s="27">
        <v>36</v>
      </c>
      <c r="G793" s="27">
        <v>5714</v>
      </c>
      <c r="J793" s="27" t="s">
        <v>4091</v>
      </c>
      <c r="K793" s="27" t="s">
        <v>4092</v>
      </c>
      <c r="L793" s="112"/>
      <c r="M793" s="27" t="s">
        <v>3715</v>
      </c>
      <c r="N793" s="48">
        <v>46034</v>
      </c>
      <c r="O793" s="70">
        <v>46086</v>
      </c>
      <c r="P793" s="26"/>
    </row>
    <row r="794" spans="1:16" ht="14.5">
      <c r="A794" s="3" t="s">
        <v>38</v>
      </c>
      <c r="B794" s="8" t="s">
        <v>2807</v>
      </c>
      <c r="C794" s="46" t="s">
        <v>4093</v>
      </c>
      <c r="D794" s="41" t="str">
        <f ca="1">IFERROR(__xludf.DUMMYFUNCTION("IFERROR(ARRAYFORMULA(REGEXEXTRACT(C794,""^(?:https?:\/\/)?(?:[^@\n]+@)?(?:www\.)?([^:\/\n]+)"")),"""")"),"businesstechmoney.com")</f>
        <v>businesstechmoney.com</v>
      </c>
      <c r="E794" s="26" t="str">
        <f ca="1">IFERROR(__xludf.DUMMYFUNCTION("""COMPUTED_VALUE"""),"New")</f>
        <v>New</v>
      </c>
      <c r="F794" s="27">
        <v>61</v>
      </c>
      <c r="G794" s="27">
        <v>4488</v>
      </c>
      <c r="O794" s="70"/>
      <c r="P794" s="26"/>
    </row>
    <row r="795" spans="1:16" ht="14.5" hidden="1">
      <c r="A795" s="3" t="s">
        <v>38</v>
      </c>
      <c r="B795" s="8" t="s">
        <v>2807</v>
      </c>
      <c r="C795" s="46" t="s">
        <v>4094</v>
      </c>
      <c r="D795" s="41" t="str">
        <f ca="1">IFERROR(__xludf.DUMMYFUNCTION("IFERROR(ARRAYFORMULA(REGEXEXTRACT(C795,""^(?:https?:\/\/)?(?:[^@\n]+@)?(?:www\.)?([^:\/\n]+)"")),"""")"),"spiritedpuddlejumper.com")</f>
        <v>spiritedpuddlejumper.com</v>
      </c>
      <c r="E795" s="26" t="str">
        <f ca="1">IFERROR(__xludf.DUMMYFUNCTION("""COMPUTED_VALUE"""),"Already Exists")</f>
        <v>Already Exists</v>
      </c>
      <c r="F795" s="27">
        <v>33</v>
      </c>
      <c r="G795" s="27">
        <v>3564</v>
      </c>
    </row>
    <row r="796" spans="1:16" ht="14.5">
      <c r="A796" s="3" t="s">
        <v>38</v>
      </c>
      <c r="B796" s="8" t="s">
        <v>2807</v>
      </c>
      <c r="C796" s="46" t="s">
        <v>4095</v>
      </c>
      <c r="D796" s="41" t="str">
        <f ca="1">IFERROR(__xludf.DUMMYFUNCTION("IFERROR(ARRAYFORMULA(REGEXEXTRACT(C796,""^(?:https?:\/\/)?(?:[^@\n]+@)?(?:www\.)?([^:\/\n]+)"")),"""")"),"zyxware.com")</f>
        <v>zyxware.com</v>
      </c>
      <c r="E796" s="26" t="str">
        <f ca="1">IFERROR(__xludf.DUMMYFUNCTION("""COMPUTED_VALUE"""),"New")</f>
        <v>New</v>
      </c>
      <c r="F796" s="27">
        <v>63</v>
      </c>
      <c r="G796" s="27">
        <v>1799</v>
      </c>
      <c r="P796" s="26"/>
    </row>
    <row r="797" spans="1:16" ht="14.5">
      <c r="A797" s="3" t="s">
        <v>38</v>
      </c>
      <c r="B797" s="8" t="s">
        <v>2807</v>
      </c>
      <c r="C797" s="49" t="s">
        <v>4096</v>
      </c>
      <c r="D797" s="41" t="str">
        <f ca="1">IFERROR(__xludf.DUMMYFUNCTION("IFERROR(ARRAYFORMULA(REGEXEXTRACT(C797,""^(?:https?:\/\/)?(?:[^@\n]+@)?(?:www\.)?([^:\/\n]+)"")),"""")"),"carolinajournal.com")</f>
        <v>carolinajournal.com</v>
      </c>
      <c r="E797" s="26" t="str">
        <f ca="1">IFERROR(__xludf.DUMMYFUNCTION("""COMPUTED_VALUE"""),"New")</f>
        <v>New</v>
      </c>
      <c r="F797" s="27">
        <v>70</v>
      </c>
      <c r="G797" s="27">
        <v>13098</v>
      </c>
      <c r="J797" s="27" t="s">
        <v>4097</v>
      </c>
      <c r="K797" s="27" t="s">
        <v>4033</v>
      </c>
      <c r="L797" s="112"/>
      <c r="M797" s="27" t="s">
        <v>3715</v>
      </c>
      <c r="N797" s="48">
        <v>46034</v>
      </c>
      <c r="O797" s="70">
        <v>46086</v>
      </c>
      <c r="P797" s="26"/>
    </row>
    <row r="798" spans="1:16" ht="14.5">
      <c r="A798" s="3" t="s">
        <v>38</v>
      </c>
      <c r="B798" s="8" t="s">
        <v>2807</v>
      </c>
      <c r="C798" s="46" t="s">
        <v>4098</v>
      </c>
      <c r="D798" s="41" t="str">
        <f ca="1">IFERROR(__xludf.DUMMYFUNCTION("IFERROR(ARRAYFORMULA(REGEXEXTRACT(C798,""^(?:https?:\/\/)?(?:[^@\n]+@)?(?:www\.)?([^:\/\n]+)"")),"""")"),"inman.com")</f>
        <v>inman.com</v>
      </c>
      <c r="E798" s="26" t="str">
        <f ca="1">IFERROR(__xludf.DUMMYFUNCTION("""COMPUTED_VALUE"""),"New")</f>
        <v>New</v>
      </c>
      <c r="F798" s="27">
        <v>83</v>
      </c>
      <c r="G798" s="27">
        <v>26679</v>
      </c>
      <c r="P798" s="26"/>
    </row>
    <row r="799" spans="1:16" ht="14.5">
      <c r="A799" s="3" t="s">
        <v>38</v>
      </c>
      <c r="B799" s="8" t="s">
        <v>2807</v>
      </c>
      <c r="C799" s="46" t="s">
        <v>4099</v>
      </c>
      <c r="D799" s="41" t="str">
        <f ca="1">IFERROR(__xludf.DUMMYFUNCTION("IFERROR(ARRAYFORMULA(REGEXEXTRACT(C799,""^(?:https?:\/\/)?(?:[^@\n]+@)?(?:www\.)?([^:\/\n]+)"")),"""")"),"globallycontent.com")</f>
        <v>globallycontent.com</v>
      </c>
      <c r="E799" s="26" t="str">
        <f ca="1">IFERROR(__xludf.DUMMYFUNCTION("""COMPUTED_VALUE"""),"New")</f>
        <v>New</v>
      </c>
      <c r="F799" s="27">
        <v>50</v>
      </c>
      <c r="G799" s="27">
        <v>1527</v>
      </c>
      <c r="P799" s="26"/>
    </row>
    <row r="800" spans="1:16" ht="14.5" hidden="1">
      <c r="A800" s="3" t="s">
        <v>38</v>
      </c>
      <c r="B800" s="8" t="s">
        <v>2807</v>
      </c>
      <c r="C800" s="47" t="s">
        <v>4100</v>
      </c>
      <c r="D800" s="41" t="str">
        <f ca="1">IFERROR(__xludf.DUMMYFUNCTION("IFERROR(ARRAYFORMULA(REGEXEXTRACT(C800,""^(?:https?:\/\/)?(?:[^@\n]+@)?(?:www\.)?([^:\/\n]+)"")),"""")"),"baronton.com")</f>
        <v>baronton.com</v>
      </c>
      <c r="E800" s="26" t="str">
        <f ca="1">IFERROR(__xludf.DUMMYFUNCTION("""COMPUTED_VALUE"""),"Already Exists")</f>
        <v>Already Exists</v>
      </c>
      <c r="F800" s="27">
        <v>58</v>
      </c>
      <c r="G800" s="27">
        <v>1069</v>
      </c>
      <c r="J800" s="27" t="s">
        <v>4101</v>
      </c>
      <c r="K800" s="27" t="s">
        <v>3772</v>
      </c>
      <c r="L800" s="112"/>
      <c r="M800" s="27" t="s">
        <v>3715</v>
      </c>
      <c r="N800" s="48">
        <v>46034</v>
      </c>
      <c r="P800" s="27" t="s">
        <v>3201</v>
      </c>
    </row>
    <row r="801" spans="1:16" ht="14.5">
      <c r="A801" s="3" t="s">
        <v>38</v>
      </c>
      <c r="B801" s="8" t="s">
        <v>2807</v>
      </c>
      <c r="C801" s="46" t="s">
        <v>4102</v>
      </c>
      <c r="D801" s="41" t="str">
        <f ca="1">IFERROR(__xludf.DUMMYFUNCTION("IFERROR(ARRAYFORMULA(REGEXEXTRACT(C801,""^(?:https?:\/\/)?(?:[^@\n]+@)?(?:www\.)?([^:\/\n]+)"")),"""")"),"magazinesweeklys.com")</f>
        <v>magazinesweeklys.com</v>
      </c>
      <c r="E801" s="26" t="str">
        <f ca="1">IFERROR(__xludf.DUMMYFUNCTION("""COMPUTED_VALUE"""),"New")</f>
        <v>New</v>
      </c>
      <c r="F801" s="27">
        <v>34</v>
      </c>
      <c r="G801" s="27">
        <v>4736</v>
      </c>
      <c r="P801" s="26"/>
    </row>
    <row r="802" spans="1:16" ht="14.5">
      <c r="A802" s="3" t="s">
        <v>38</v>
      </c>
      <c r="B802" s="8" t="s">
        <v>2807</v>
      </c>
      <c r="C802" s="49" t="s">
        <v>4103</v>
      </c>
      <c r="D802" s="44" t="str">
        <f ca="1">IFERROR(__xludf.DUMMYFUNCTION("IFERROR(ARRAYFORMULA(REGEXEXTRACT(C802,""^(?:https?:\/\/)?(?:[^@\n]+@)?(?:www\.)?([^:\/\n]+)"")),"""")"),"craigscottcapital.com")</f>
        <v>craigscottcapital.com</v>
      </c>
      <c r="E802" s="26" t="str">
        <f ca="1">IFERROR(__xludf.DUMMYFUNCTION("""COMPUTED_VALUE"""),"New")</f>
        <v>New</v>
      </c>
      <c r="F802" s="27">
        <v>68</v>
      </c>
      <c r="G802" s="27">
        <v>6379</v>
      </c>
      <c r="J802" s="27" t="s">
        <v>4104</v>
      </c>
      <c r="K802" s="27" t="s">
        <v>3756</v>
      </c>
      <c r="L802" s="112"/>
      <c r="M802" s="27" t="s">
        <v>3715</v>
      </c>
      <c r="N802" s="48">
        <v>46034</v>
      </c>
      <c r="O802" s="37">
        <v>46064</v>
      </c>
      <c r="P802" s="27" t="s">
        <v>3201</v>
      </c>
    </row>
    <row r="803" spans="1:16" ht="14.5" hidden="1">
      <c r="A803" s="3" t="s">
        <v>38</v>
      </c>
      <c r="B803" s="8" t="s">
        <v>2807</v>
      </c>
      <c r="C803" s="46" t="s">
        <v>4105</v>
      </c>
      <c r="D803" s="41" t="str">
        <f ca="1">IFERROR(__xludf.DUMMYFUNCTION("IFERROR(ARRAYFORMULA(REGEXEXTRACT(C803,""^(?:https?:\/\/)?(?:[^@\n]+@)?(?:www\.)?([^:\/\n]+)"")),"""")"),"smallbusinesshouse.com")</f>
        <v>smallbusinesshouse.com</v>
      </c>
      <c r="E803" s="26" t="str">
        <f ca="1">IFERROR(__xludf.DUMMYFUNCTION("""COMPUTED_VALUE"""),"Already Exists")</f>
        <v>Already Exists</v>
      </c>
      <c r="F803" s="27">
        <v>43</v>
      </c>
      <c r="G803" s="27">
        <v>1633</v>
      </c>
    </row>
    <row r="804" spans="1:16" ht="14.5">
      <c r="A804" s="3" t="s">
        <v>38</v>
      </c>
      <c r="B804" s="8" t="s">
        <v>2807</v>
      </c>
      <c r="C804" s="49" t="s">
        <v>4106</v>
      </c>
      <c r="D804" s="44" t="str">
        <f ca="1">IFERROR(__xludf.DUMMYFUNCTION("IFERROR(ARRAYFORMULA(REGEXEXTRACT(C804,""^(?:https?:\/\/)?(?:[^@\n]+@)?(?:www\.)?([^:\/\n]+)"")),"""")"),"noobpreneur.com")</f>
        <v>noobpreneur.com</v>
      </c>
      <c r="E804" s="26" t="str">
        <f ca="1">IFERROR(__xludf.DUMMYFUNCTION("""COMPUTED_VALUE"""),"New")</f>
        <v>New</v>
      </c>
      <c r="F804" s="27">
        <v>63</v>
      </c>
      <c r="G804" s="27">
        <v>1498</v>
      </c>
      <c r="I804" s="27" t="s">
        <v>4107</v>
      </c>
      <c r="J804" s="27" t="s">
        <v>4108</v>
      </c>
      <c r="K804" s="27" t="s">
        <v>3756</v>
      </c>
      <c r="L804" s="112"/>
      <c r="M804" s="27" t="s">
        <v>3715</v>
      </c>
      <c r="N804" s="48">
        <v>46034</v>
      </c>
      <c r="O804" s="37">
        <v>46064</v>
      </c>
      <c r="P804" s="27" t="s">
        <v>3201</v>
      </c>
    </row>
    <row r="805" spans="1:16" ht="14.5">
      <c r="A805" s="3" t="s">
        <v>38</v>
      </c>
      <c r="B805" s="8" t="s">
        <v>2807</v>
      </c>
      <c r="C805" s="49" t="s">
        <v>4109</v>
      </c>
      <c r="D805" s="41" t="str">
        <f ca="1">IFERROR(__xludf.DUMMYFUNCTION("IFERROR(ARRAYFORMULA(REGEXEXTRACT(C805,""^(?:https?:\/\/)?(?:[^@\n]+@)?(?:www\.)?([^:\/\n]+)"")),"""")"),"rismedia.com")</f>
        <v>rismedia.com</v>
      </c>
      <c r="E805" s="26" t="str">
        <f ca="1">IFERROR(__xludf.DUMMYFUNCTION("""COMPUTED_VALUE"""),"New")</f>
        <v>New</v>
      </c>
      <c r="F805" s="27">
        <v>78</v>
      </c>
      <c r="G805" s="27">
        <v>6569</v>
      </c>
      <c r="H805" s="27" t="s">
        <v>4110</v>
      </c>
      <c r="I805" s="27" t="s">
        <v>4111</v>
      </c>
      <c r="J805" s="27" t="s">
        <v>4112</v>
      </c>
      <c r="K805" s="27" t="s">
        <v>3772</v>
      </c>
      <c r="L805" s="112"/>
      <c r="M805" s="27" t="s">
        <v>3715</v>
      </c>
      <c r="N805" s="48">
        <v>46034</v>
      </c>
      <c r="O805" s="37">
        <v>46064</v>
      </c>
      <c r="P805" s="26"/>
    </row>
    <row r="806" spans="1:16" ht="14.5">
      <c r="A806" s="3" t="s">
        <v>38</v>
      </c>
      <c r="B806" s="8" t="s">
        <v>2807</v>
      </c>
      <c r="C806" s="46" t="s">
        <v>4113</v>
      </c>
      <c r="D806" s="41" t="str">
        <f ca="1">IFERROR(__xludf.DUMMYFUNCTION("IFERROR(ARRAYFORMULA(REGEXEXTRACT(C806,""^(?:https?:\/\/)?(?:[^@\n]+@)?(?:www\.)?([^:\/\n]+)"")),"""")"),"msagears.com")</f>
        <v>msagears.com</v>
      </c>
      <c r="E806" s="26" t="str">
        <f ca="1">IFERROR(__xludf.DUMMYFUNCTION("""COMPUTED_VALUE"""),"New")</f>
        <v>New</v>
      </c>
      <c r="F806" s="27">
        <v>26</v>
      </c>
      <c r="G806" s="27">
        <v>1124</v>
      </c>
      <c r="P806" s="26"/>
    </row>
    <row r="807" spans="1:16" ht="14.5" hidden="1">
      <c r="A807" s="3" t="s">
        <v>38</v>
      </c>
      <c r="B807" s="8" t="s">
        <v>2807</v>
      </c>
      <c r="C807" s="47" t="s">
        <v>4114</v>
      </c>
      <c r="D807" s="41" t="str">
        <f ca="1">IFERROR(__xludf.DUMMYFUNCTION("IFERROR(ARRAYFORMULA(REGEXEXTRACT(C807,""^(?:https?:\/\/)?(?:[^@\n]+@)?(?:www\.)?([^:\/\n]+)"")),"""")"),"activepropertycare.com")</f>
        <v>activepropertycare.com</v>
      </c>
      <c r="E807" s="26" t="str">
        <f ca="1">IFERROR(__xludf.DUMMYFUNCTION("""COMPUTED_VALUE"""),"Already Exists")</f>
        <v>Already Exists</v>
      </c>
      <c r="F807" s="27">
        <v>62</v>
      </c>
      <c r="G807" s="27">
        <v>22003</v>
      </c>
      <c r="J807" s="27" t="s">
        <v>4115</v>
      </c>
      <c r="K807" s="27" t="s">
        <v>3853</v>
      </c>
      <c r="L807" s="112"/>
      <c r="M807" s="27" t="s">
        <v>3715</v>
      </c>
      <c r="N807" s="48">
        <v>46034</v>
      </c>
      <c r="P807" s="27" t="s">
        <v>3201</v>
      </c>
    </row>
    <row r="808" spans="1:16" ht="14.5">
      <c r="A808" s="3" t="s">
        <v>38</v>
      </c>
      <c r="B808" s="8" t="s">
        <v>2807</v>
      </c>
      <c r="C808" s="46" t="s">
        <v>4116</v>
      </c>
      <c r="D808" s="41" t="str">
        <f ca="1">IFERROR(__xludf.DUMMYFUNCTION("IFERROR(ARRAYFORMULA(REGEXEXTRACT(C808,""^(?:https?:\/\/)?(?:[^@\n]+@)?(?:www\.)?([^:\/\n]+)"")),"""")"),"investorweeklynews.com")</f>
        <v>investorweeklynews.com</v>
      </c>
      <c r="E808" s="26" t="str">
        <f ca="1">IFERROR(__xludf.DUMMYFUNCTION("""COMPUTED_VALUE"""),"New")</f>
        <v>New</v>
      </c>
      <c r="F808" s="27">
        <v>54</v>
      </c>
      <c r="G808" s="27">
        <v>47888</v>
      </c>
      <c r="P808" s="26"/>
    </row>
    <row r="809" spans="1:16" ht="14.5">
      <c r="A809" s="3" t="s">
        <v>38</v>
      </c>
      <c r="B809" s="8" t="s">
        <v>2807</v>
      </c>
      <c r="C809" s="49" t="s">
        <v>4117</v>
      </c>
      <c r="D809" s="41" t="str">
        <f ca="1">IFERROR(__xludf.DUMMYFUNCTION("IFERROR(ARRAYFORMULA(REGEXEXTRACT(C809,""^(?:https?:\/\/)?(?:[^@\n]+@)?(?:www\.)?([^:\/\n]+)"")),"""")"),"asbn.com")</f>
        <v>asbn.com</v>
      </c>
      <c r="E809" s="26" t="str">
        <f ca="1">IFERROR(__xludf.DUMMYFUNCTION("""COMPUTED_VALUE"""),"New")</f>
        <v>New</v>
      </c>
      <c r="F809" s="27">
        <v>59</v>
      </c>
      <c r="G809" s="27">
        <v>1464</v>
      </c>
      <c r="I809" s="27" t="s">
        <v>4118</v>
      </c>
      <c r="J809" s="27" t="s">
        <v>4119</v>
      </c>
      <c r="K809" s="27" t="s">
        <v>3756</v>
      </c>
      <c r="L809" s="112"/>
      <c r="M809" s="27" t="s">
        <v>3715</v>
      </c>
      <c r="N809" s="48">
        <v>46034</v>
      </c>
      <c r="O809" s="37">
        <v>46064</v>
      </c>
      <c r="P809" s="26"/>
    </row>
    <row r="810" spans="1:16" ht="14.5">
      <c r="A810" s="3" t="s">
        <v>38</v>
      </c>
      <c r="B810" s="8" t="s">
        <v>2807</v>
      </c>
      <c r="C810" s="46" t="s">
        <v>4120</v>
      </c>
      <c r="D810" s="41" t="str">
        <f ca="1">IFERROR(__xludf.DUMMYFUNCTION("IFERROR(ARRAYFORMULA(REGEXEXTRACT(C810,""^(?:https?:\/\/)?(?:[^@\n]+@)?(?:www\.)?([^:\/\n]+)"")),"""")"),"businessparkzone.com")</f>
        <v>businessparkzone.com</v>
      </c>
      <c r="E810" s="26" t="str">
        <f ca="1">IFERROR(__xludf.DUMMYFUNCTION("""COMPUTED_VALUE"""),"New")</f>
        <v>New</v>
      </c>
      <c r="F810" s="27">
        <v>21</v>
      </c>
      <c r="G810" s="27">
        <v>1220</v>
      </c>
      <c r="P810" s="26"/>
    </row>
    <row r="811" spans="1:16" ht="14.5">
      <c r="A811" s="3" t="s">
        <v>38</v>
      </c>
      <c r="B811" s="8" t="s">
        <v>2807</v>
      </c>
      <c r="C811" s="46" t="s">
        <v>4121</v>
      </c>
      <c r="D811" s="41" t="str">
        <f ca="1">IFERROR(__xludf.DUMMYFUNCTION("IFERROR(ARRAYFORMULA(REGEXEXTRACT(C811,""^(?:https?:\/\/)?(?:[^@\n]+@)?(?:www\.)?([^:\/\n]+)"")),"""")"),"socialcatfish.com")</f>
        <v>socialcatfish.com</v>
      </c>
      <c r="E811" s="26" t="str">
        <f ca="1">IFERROR(__xludf.DUMMYFUNCTION("""COMPUTED_VALUE"""),"New")</f>
        <v>New</v>
      </c>
      <c r="F811" s="27">
        <v>62</v>
      </c>
      <c r="G811" s="27">
        <v>71666</v>
      </c>
      <c r="P811" s="26"/>
    </row>
    <row r="812" spans="1:16" ht="14.5">
      <c r="A812" s="3" t="s">
        <v>38</v>
      </c>
      <c r="B812" s="8" t="s">
        <v>2807</v>
      </c>
      <c r="C812" s="46" t="s">
        <v>4122</v>
      </c>
      <c r="D812" s="41" t="str">
        <f ca="1">IFERROR(__xludf.DUMMYFUNCTION("IFERROR(ARRAYFORMULA(REGEXEXTRACT(C812,""^(?:https?:\/\/)?(?:[^@\n]+@)?(?:www\.)?([^:\/\n]+)"")),"""")"),"exeleonmagazine.com")</f>
        <v>exeleonmagazine.com</v>
      </c>
      <c r="E812" s="26" t="str">
        <f ca="1">IFERROR(__xludf.DUMMYFUNCTION("""COMPUTED_VALUE"""),"New")</f>
        <v>New</v>
      </c>
      <c r="F812" s="27">
        <v>56</v>
      </c>
      <c r="G812" s="27">
        <v>6343</v>
      </c>
      <c r="P812" s="26"/>
    </row>
    <row r="813" spans="1:16" ht="14.5">
      <c r="A813" s="3" t="s">
        <v>38</v>
      </c>
      <c r="B813" s="8" t="s">
        <v>2807</v>
      </c>
      <c r="C813" s="46" t="s">
        <v>4123</v>
      </c>
      <c r="D813" s="41" t="str">
        <f ca="1">IFERROR(__xludf.DUMMYFUNCTION("IFERROR(ARRAYFORMULA(REGEXEXTRACT(C813,""^(?:https?:\/\/)?(?:[^@\n]+@)?(?:www\.)?([^:\/\n]+)"")),"""")"),"techsolution.blog")</f>
        <v>techsolution.blog</v>
      </c>
      <c r="E813" s="26" t="str">
        <f ca="1">IFERROR(__xludf.DUMMYFUNCTION("""COMPUTED_VALUE"""),"New")</f>
        <v>New</v>
      </c>
      <c r="F813" s="27">
        <v>31</v>
      </c>
      <c r="G813" s="27">
        <v>2038</v>
      </c>
      <c r="P813" s="26"/>
    </row>
    <row r="814" spans="1:16" ht="14.5">
      <c r="A814" s="3" t="s">
        <v>38</v>
      </c>
      <c r="B814" s="8" t="s">
        <v>2807</v>
      </c>
      <c r="C814" s="46" t="s">
        <v>4124</v>
      </c>
      <c r="D814" s="41" t="str">
        <f ca="1">IFERROR(__xludf.DUMMYFUNCTION("IFERROR(ARRAYFORMULA(REGEXEXTRACT(C814,""^(?:https?:\/\/)?(?:[^@\n]+@)?(?:www\.)?([^:\/\n]+)"")),"""")"),"financemostly.com")</f>
        <v>financemostly.com</v>
      </c>
      <c r="E814" s="26" t="str">
        <f ca="1">IFERROR(__xludf.DUMMYFUNCTION("""COMPUTED_VALUE"""),"New")</f>
        <v>New</v>
      </c>
      <c r="F814" s="27">
        <v>51</v>
      </c>
      <c r="G814" s="27">
        <v>3621</v>
      </c>
      <c r="P814" s="26"/>
    </row>
    <row r="815" spans="1:16" ht="14.5">
      <c r="A815" s="3" t="s">
        <v>38</v>
      </c>
      <c r="B815" s="8" t="s">
        <v>2807</v>
      </c>
      <c r="C815" s="46" t="s">
        <v>4125</v>
      </c>
      <c r="D815" s="41" t="str">
        <f ca="1">IFERROR(__xludf.DUMMYFUNCTION("IFERROR(ARRAYFORMULA(REGEXEXTRACT(C815,""^(?:https?:\/\/)?(?:[^@\n]+@)?(?:www\.)?([^:\/\n]+)"")),"""")"),"futurestartup.com")</f>
        <v>futurestartup.com</v>
      </c>
      <c r="E815" s="26" t="str">
        <f ca="1">IFERROR(__xludf.DUMMYFUNCTION("""COMPUTED_VALUE"""),"New")</f>
        <v>New</v>
      </c>
      <c r="F815" s="27">
        <v>52</v>
      </c>
      <c r="G815" s="27">
        <v>1978</v>
      </c>
      <c r="P815" s="26"/>
    </row>
    <row r="816" spans="1:16" ht="14.5" hidden="1">
      <c r="A816" s="3" t="s">
        <v>38</v>
      </c>
      <c r="B816" s="8" t="s">
        <v>2807</v>
      </c>
      <c r="C816" s="46" t="s">
        <v>4126</v>
      </c>
      <c r="D816" s="41" t="str">
        <f ca="1">IFERROR(__xludf.DUMMYFUNCTION("IFERROR(ARRAYFORMULA(REGEXEXTRACT(C816,""^(?:https?:\/\/)?(?:[^@\n]+@)?(?:www\.)?([^:\/\n]+)"")),"""")"),"northpennnow.com")</f>
        <v>northpennnow.com</v>
      </c>
      <c r="E816" s="26" t="str">
        <f ca="1">IFERROR(__xludf.DUMMYFUNCTION("""COMPUTED_VALUE"""),"Already Exists")</f>
        <v>Already Exists</v>
      </c>
      <c r="F816" s="27">
        <v>62</v>
      </c>
      <c r="G816" s="27">
        <v>11386</v>
      </c>
    </row>
    <row r="817" spans="1:16" ht="14.5" hidden="1">
      <c r="A817" s="3" t="s">
        <v>38</v>
      </c>
      <c r="B817" s="8" t="s">
        <v>2807</v>
      </c>
      <c r="C817" s="46" t="s">
        <v>4127</v>
      </c>
      <c r="D817" s="41" t="str">
        <f ca="1">IFERROR(__xludf.DUMMYFUNCTION("IFERROR(ARRAYFORMULA(REGEXEXTRACT(C817,""^(?:https?:\/\/)?(?:[^@\n]+@)?(?:www\.)?([^:\/\n]+)"")),"""")"),"build-review.com")</f>
        <v>build-review.com</v>
      </c>
      <c r="E817" s="26" t="str">
        <f ca="1">IFERROR(__xludf.DUMMYFUNCTION("""COMPUTED_VALUE"""),"Already Exists")</f>
        <v>Already Exists</v>
      </c>
      <c r="F817" s="27">
        <v>74</v>
      </c>
      <c r="G817" s="27">
        <v>2198</v>
      </c>
    </row>
    <row r="818" spans="1:16" ht="14.5">
      <c r="A818" s="3" t="s">
        <v>38</v>
      </c>
      <c r="B818" s="8" t="s">
        <v>2807</v>
      </c>
      <c r="C818" s="46" t="s">
        <v>4128</v>
      </c>
      <c r="D818" s="41" t="str">
        <f ca="1">IFERROR(__xludf.DUMMYFUNCTION("IFERROR(ARRAYFORMULA(REGEXEXTRACT(C818,""^(?:https?:\/\/)?(?:[^@\n]+@)?(?:www\.)?([^:\/\n]+)"")),"""")"),"dgmnews.com")</f>
        <v>dgmnews.com</v>
      </c>
      <c r="E818" s="26" t="str">
        <f ca="1">IFERROR(__xludf.DUMMYFUNCTION("""COMPUTED_VALUE"""),"New")</f>
        <v>New</v>
      </c>
      <c r="F818" s="27">
        <v>62</v>
      </c>
      <c r="G818" s="27">
        <v>67581</v>
      </c>
      <c r="P818" s="26"/>
    </row>
    <row r="819" spans="1:16" ht="14.5" hidden="1">
      <c r="A819" s="3" t="s">
        <v>38</v>
      </c>
      <c r="B819" s="8" t="s">
        <v>2807</v>
      </c>
      <c r="C819" s="47" t="s">
        <v>4129</v>
      </c>
      <c r="D819" s="41" t="str">
        <f ca="1">IFERROR(__xludf.DUMMYFUNCTION("IFERROR(ARRAYFORMULA(REGEXEXTRACT(C819,""^(?:https?:\/\/)?(?:[^@\n]+@)?(?:www\.)?([^:\/\n]+)"")),"""")"),"glowtechy.com")</f>
        <v>glowtechy.com</v>
      </c>
      <c r="E819" s="26" t="str">
        <f ca="1">IFERROR(__xludf.DUMMYFUNCTION("""COMPUTED_VALUE"""),"Already Exists")</f>
        <v>Already Exists</v>
      </c>
      <c r="F819" s="27">
        <v>56</v>
      </c>
      <c r="G819" s="27">
        <v>1136</v>
      </c>
      <c r="J819" s="27" t="s">
        <v>4074</v>
      </c>
      <c r="K819" s="27" t="s">
        <v>3756</v>
      </c>
      <c r="L819" s="112"/>
      <c r="M819" s="27" t="s">
        <v>3715</v>
      </c>
      <c r="N819" s="48">
        <v>46034</v>
      </c>
      <c r="P819" s="27" t="s">
        <v>3201</v>
      </c>
    </row>
    <row r="820" spans="1:16" ht="14.5">
      <c r="A820" s="3" t="s">
        <v>38</v>
      </c>
      <c r="B820" s="8" t="s">
        <v>2807</v>
      </c>
      <c r="C820" s="46" t="s">
        <v>4130</v>
      </c>
      <c r="D820" s="41" t="str">
        <f ca="1">IFERROR(__xludf.DUMMYFUNCTION("IFERROR(ARRAYFORMULA(REGEXEXTRACT(C820,""^(?:https?:\/\/)?(?:[^@\n]+@)?(?:www\.)?([^:\/\n]+)"")),"""")"),"himalayas.app")</f>
        <v>himalayas.app</v>
      </c>
      <c r="E820" s="26" t="str">
        <f ca="1">IFERROR(__xludf.DUMMYFUNCTION("""COMPUTED_VALUE"""),"New")</f>
        <v>New</v>
      </c>
      <c r="F820" s="27">
        <v>63</v>
      </c>
      <c r="G820" s="27">
        <v>58861</v>
      </c>
      <c r="P820" s="26"/>
    </row>
    <row r="821" spans="1:16" ht="14.5" hidden="1">
      <c r="A821" s="3" t="s">
        <v>38</v>
      </c>
      <c r="B821" s="8" t="s">
        <v>2807</v>
      </c>
      <c r="C821" s="47" t="s">
        <v>4131</v>
      </c>
      <c r="D821" s="41" t="str">
        <f ca="1">IFERROR(__xludf.DUMMYFUNCTION("IFERROR(ARRAYFORMULA(REGEXEXTRACT(C821,""^(?:https?:\/\/)?(?:[^@\n]+@)?(?:www\.)?([^:\/\n]+)"")),"""")"),"livingpristine.com")</f>
        <v>livingpristine.com</v>
      </c>
      <c r="E821" s="26" t="str">
        <f ca="1">IFERROR(__xludf.DUMMYFUNCTION("""COMPUTED_VALUE"""),"Already Exists")</f>
        <v>Already Exists</v>
      </c>
      <c r="F821" s="27">
        <v>54</v>
      </c>
      <c r="G821" s="27">
        <v>4627</v>
      </c>
      <c r="J821" s="27" t="s">
        <v>4132</v>
      </c>
      <c r="K821" s="27" t="s">
        <v>3756</v>
      </c>
      <c r="L821" s="112"/>
      <c r="M821" s="66" t="s">
        <v>3117</v>
      </c>
      <c r="N821" s="48">
        <v>46035</v>
      </c>
      <c r="P821" s="27" t="s">
        <v>3201</v>
      </c>
    </row>
    <row r="822" spans="1:16" ht="14.5">
      <c r="A822" s="3" t="s">
        <v>38</v>
      </c>
      <c r="B822" s="8" t="s">
        <v>2807</v>
      </c>
      <c r="C822" s="46" t="s">
        <v>4133</v>
      </c>
      <c r="D822" s="41" t="str">
        <f ca="1">IFERROR(__xludf.DUMMYFUNCTION("IFERROR(ARRAYFORMULA(REGEXEXTRACT(C822,""^(?:https?:\/\/)?(?:[^@\n]+@)?(?:www\.)?([^:\/\n]+)"")),"""")"),"oldhousesunder50k.com")</f>
        <v>oldhousesunder50k.com</v>
      </c>
      <c r="E822" s="26" t="str">
        <f ca="1">IFERROR(__xludf.DUMMYFUNCTION("""COMPUTED_VALUE"""),"New")</f>
        <v>New</v>
      </c>
      <c r="F822" s="27">
        <v>20</v>
      </c>
      <c r="G822" s="27">
        <v>8544</v>
      </c>
      <c r="P822" s="26"/>
    </row>
    <row r="823" spans="1:16" ht="14.5" hidden="1">
      <c r="A823" s="3" t="s">
        <v>38</v>
      </c>
      <c r="B823" s="8" t="s">
        <v>2807</v>
      </c>
      <c r="C823" s="46" t="s">
        <v>4134</v>
      </c>
      <c r="D823" s="41" t="str">
        <f ca="1">IFERROR(__xludf.DUMMYFUNCTION("IFERROR(ARRAYFORMULA(REGEXEXTRACT(C823,""^(?:https?:\/\/)?(?:[^@\n]+@)?(?:www\.)?([^:\/\n]+)"")),"""")"),"housesitmatch.com")</f>
        <v>housesitmatch.com</v>
      </c>
      <c r="E823" s="26" t="str">
        <f ca="1">IFERROR(__xludf.DUMMYFUNCTION("""COMPUTED_VALUE"""),"Already Exists")</f>
        <v>Already Exists</v>
      </c>
      <c r="F823" s="27">
        <v>45</v>
      </c>
      <c r="G823" s="27">
        <v>2444</v>
      </c>
    </row>
    <row r="824" spans="1:16" ht="14.5" hidden="1">
      <c r="A824" s="3" t="s">
        <v>38</v>
      </c>
      <c r="B824" s="8" t="s">
        <v>2807</v>
      </c>
      <c r="C824" s="46" t="s">
        <v>4135</v>
      </c>
      <c r="D824" s="41" t="str">
        <f ca="1">IFERROR(__xludf.DUMMYFUNCTION("IFERROR(ARRAYFORMULA(REGEXEXTRACT(C824,""^(?:https?:\/\/)?(?:[^@\n]+@)?(?:www\.)?([^:\/\n]+)"")),"""")"),"kreatecube.com")</f>
        <v>kreatecube.com</v>
      </c>
      <c r="E824" s="26" t="str">
        <f ca="1">IFERROR(__xludf.DUMMYFUNCTION("""COMPUTED_VALUE"""),"Already Exists")</f>
        <v>Already Exists</v>
      </c>
      <c r="F824" s="27">
        <v>41</v>
      </c>
      <c r="G824" s="27">
        <v>4030</v>
      </c>
    </row>
    <row r="825" spans="1:16" ht="14.5">
      <c r="A825" s="3" t="s">
        <v>38</v>
      </c>
      <c r="B825" s="8" t="s">
        <v>2807</v>
      </c>
      <c r="C825" s="46" t="s">
        <v>4136</v>
      </c>
      <c r="D825" s="41" t="str">
        <f ca="1">IFERROR(__xludf.DUMMYFUNCTION("IFERROR(ARRAYFORMULA(REGEXEXTRACT(C825,""^(?:https?:\/\/)?(?:[^@\n]+@)?(?:www\.)?([^:\/\n]+)"")),"""")"),"texasrealestate.com")</f>
        <v>texasrealestate.com</v>
      </c>
      <c r="E825" s="26" t="str">
        <f ca="1">IFERROR(__xludf.DUMMYFUNCTION("""COMPUTED_VALUE"""),"New")</f>
        <v>New</v>
      </c>
      <c r="F825" s="27">
        <v>71</v>
      </c>
      <c r="G825" s="27">
        <v>19645</v>
      </c>
      <c r="P825" s="26"/>
    </row>
    <row r="826" spans="1:16" ht="14.5">
      <c r="A826" s="3" t="s">
        <v>38</v>
      </c>
      <c r="B826" s="8" t="s">
        <v>2807</v>
      </c>
      <c r="C826" s="46" t="s">
        <v>4137</v>
      </c>
      <c r="D826" s="41" t="str">
        <f ca="1">IFERROR(__xludf.DUMMYFUNCTION("IFERROR(ARRAYFORMULA(REGEXEXTRACT(C826,""^(?:https?:\/\/)?(?:[^@\n]+@)?(?:www\.)?([^:\/\n]+)"")),"""")"),"truv.com")</f>
        <v>truv.com</v>
      </c>
      <c r="E826" s="26" t="str">
        <f ca="1">IFERROR(__xludf.DUMMYFUNCTION("""COMPUTED_VALUE"""),"New")</f>
        <v>New</v>
      </c>
      <c r="F826" s="27">
        <v>53</v>
      </c>
      <c r="G826" s="27">
        <v>4527</v>
      </c>
      <c r="P826" s="26"/>
    </row>
    <row r="827" spans="1:16" ht="14.5" hidden="1">
      <c r="A827" s="3" t="s">
        <v>38</v>
      </c>
      <c r="B827" s="8" t="s">
        <v>2807</v>
      </c>
      <c r="C827" s="46" t="s">
        <v>4138</v>
      </c>
      <c r="D827" s="41" t="str">
        <f ca="1">IFERROR(__xludf.DUMMYFUNCTION("IFERROR(ARRAYFORMULA(REGEXEXTRACT(C827,""^(?:https?:\/\/)?(?:[^@\n]+@)?(?:www\.)?([^:\/\n]+)"")),"""")"),"captainbobcat.com")</f>
        <v>captainbobcat.com</v>
      </c>
      <c r="E827" s="26" t="str">
        <f ca="1">IFERROR(__xludf.DUMMYFUNCTION("""COMPUTED_VALUE"""),"Already Exists")</f>
        <v>Already Exists</v>
      </c>
      <c r="F827" s="27">
        <v>37</v>
      </c>
      <c r="G827" s="27">
        <v>1920</v>
      </c>
    </row>
    <row r="828" spans="1:16" ht="14.5">
      <c r="A828" s="3" t="s">
        <v>38</v>
      </c>
      <c r="B828" s="8" t="s">
        <v>2807</v>
      </c>
      <c r="C828" s="46" t="s">
        <v>4139</v>
      </c>
      <c r="D828" s="41" t="str">
        <f ca="1">IFERROR(__xludf.DUMMYFUNCTION("IFERROR(ARRAYFORMULA(REGEXEXTRACT(C828,""^(?:https?:\/\/)?(?:[^@\n]+@)?(?:www\.)?([^:\/\n]+)"")),"""")"),"ibegin.com")</f>
        <v>ibegin.com</v>
      </c>
      <c r="E828" s="26" t="str">
        <f ca="1">IFERROR(__xludf.DUMMYFUNCTION("""COMPUTED_VALUE"""),"New")</f>
        <v>New</v>
      </c>
      <c r="F828" s="27">
        <v>73</v>
      </c>
      <c r="G828" s="27">
        <v>1099</v>
      </c>
      <c r="P828" s="26"/>
    </row>
    <row r="829" spans="1:16" ht="14.5">
      <c r="A829" s="3" t="s">
        <v>38</v>
      </c>
      <c r="B829" s="8" t="s">
        <v>2807</v>
      </c>
      <c r="C829" s="46" t="s">
        <v>4140</v>
      </c>
      <c r="D829" s="41" t="str">
        <f ca="1">IFERROR(__xludf.DUMMYFUNCTION("IFERROR(ARRAYFORMULA(REGEXEXTRACT(C829,""^(?:https?:\/\/)?(?:[^@\n]+@)?(?:www\.)?([^:\/\n]+)"")),"""")"),"997wtn.com")</f>
        <v>997wtn.com</v>
      </c>
      <c r="E829" s="26" t="str">
        <f ca="1">IFERROR(__xludf.DUMMYFUNCTION("""COMPUTED_VALUE"""),"New")</f>
        <v>New</v>
      </c>
      <c r="F829" s="27">
        <v>32</v>
      </c>
      <c r="G829" s="27">
        <v>1553</v>
      </c>
      <c r="P829" s="26"/>
    </row>
    <row r="830" spans="1:16" ht="14.5">
      <c r="A830" s="3" t="s">
        <v>38</v>
      </c>
      <c r="B830" s="8" t="s">
        <v>2807</v>
      </c>
      <c r="C830" s="46" t="s">
        <v>4141</v>
      </c>
      <c r="D830" s="41" t="str">
        <f ca="1">IFERROR(__xludf.DUMMYFUNCTION("IFERROR(ARRAYFORMULA(REGEXEXTRACT(C830,""^(?:https?:\/\/)?(?:[^@\n]+@)?(?:www\.)?([^:\/\n]+)"")),"""")"),"atlanta.curbed.com")</f>
        <v>atlanta.curbed.com</v>
      </c>
      <c r="E830" s="26" t="str">
        <f ca="1">IFERROR(__xludf.DUMMYFUNCTION("""COMPUTED_VALUE"""),"New")</f>
        <v>New</v>
      </c>
      <c r="F830" s="27">
        <v>86</v>
      </c>
      <c r="G830" s="27">
        <v>43347</v>
      </c>
      <c r="P830" s="26"/>
    </row>
    <row r="831" spans="1:16" ht="14.5" hidden="1">
      <c r="A831" s="3" t="s">
        <v>38</v>
      </c>
      <c r="B831" s="8" t="s">
        <v>2807</v>
      </c>
      <c r="C831" s="46" t="s">
        <v>4142</v>
      </c>
      <c r="D831" s="41" t="str">
        <f ca="1">IFERROR(__xludf.DUMMYFUNCTION("IFERROR(ARRAYFORMULA(REGEXEXTRACT(C831,""^(?:https?:\/\/)?(?:[^@\n]+@)?(?:www\.)?([^:\/\n]+)"")),"""")"),"activerain.com")</f>
        <v>activerain.com</v>
      </c>
      <c r="E831" s="26" t="str">
        <f ca="1">IFERROR(__xludf.DUMMYFUNCTION("""COMPUTED_VALUE"""),"Already Exists")</f>
        <v>Already Exists</v>
      </c>
      <c r="F831" s="27">
        <v>75</v>
      </c>
      <c r="G831" s="27">
        <v>2268</v>
      </c>
    </row>
    <row r="832" spans="1:16" ht="14.5" hidden="1">
      <c r="A832" s="3" t="s">
        <v>38</v>
      </c>
      <c r="B832" s="8" t="s">
        <v>2807</v>
      </c>
      <c r="C832" s="46" t="s">
        <v>4143</v>
      </c>
      <c r="D832" s="41" t="str">
        <f ca="1">IFERROR(__xludf.DUMMYFUNCTION("IFERROR(ARRAYFORMULA(REGEXEXTRACT(C832,""^(?:https?:\/\/)?(?:[^@\n]+@)?(?:www\.)?([^:\/\n]+)"")),"""")"),"marketingmarine.com")</f>
        <v>marketingmarine.com</v>
      </c>
      <c r="E832" s="26" t="str">
        <f ca="1">IFERROR(__xludf.DUMMYFUNCTION("""COMPUTED_VALUE"""),"Already Exists")</f>
        <v>Already Exists</v>
      </c>
      <c r="F832" s="27">
        <v>42</v>
      </c>
      <c r="G832" s="27">
        <v>2960</v>
      </c>
    </row>
    <row r="833" spans="1:16" ht="14.5">
      <c r="A833" s="3" t="s">
        <v>38</v>
      </c>
      <c r="B833" s="8" t="s">
        <v>2807</v>
      </c>
      <c r="C833" s="46" t="s">
        <v>4144</v>
      </c>
      <c r="D833" s="41" t="str">
        <f ca="1">IFERROR(__xludf.DUMMYFUNCTION("IFERROR(ARRAYFORMULA(REGEXEXTRACT(C833,""^(?:https?:\/\/)?(?:[^@\n]+@)?(?:www\.)?([^:\/\n]+)"")),"""")"),"instantcheckmate.com")</f>
        <v>instantcheckmate.com</v>
      </c>
      <c r="E833" s="26" t="str">
        <f ca="1">IFERROR(__xludf.DUMMYFUNCTION("""COMPUTED_VALUE"""),"New")</f>
        <v>New</v>
      </c>
      <c r="F833" s="27">
        <v>71</v>
      </c>
      <c r="G833" s="27">
        <v>37293</v>
      </c>
      <c r="P833" s="26"/>
    </row>
    <row r="834" spans="1:16" ht="14.5">
      <c r="A834" s="3" t="s">
        <v>38</v>
      </c>
      <c r="B834" s="8" t="s">
        <v>2807</v>
      </c>
      <c r="C834" s="49" t="s">
        <v>4145</v>
      </c>
      <c r="D834" s="41" t="str">
        <f ca="1">IFERROR(__xludf.DUMMYFUNCTION("IFERROR(ARRAYFORMULA(REGEXEXTRACT(C834,""^(?:https?:\/\/)?(?:[^@\n]+@)?(?:www\.)?([^:\/\n]+)"")),"""")"),"atlantamagazine.com")</f>
        <v>atlantamagazine.com</v>
      </c>
      <c r="E834" s="26" t="str">
        <f ca="1">IFERROR(__xludf.DUMMYFUNCTION("""COMPUTED_VALUE"""),"New")</f>
        <v>New</v>
      </c>
      <c r="F834" s="27">
        <v>78</v>
      </c>
      <c r="G834" s="27">
        <v>90519</v>
      </c>
      <c r="H834" s="27" t="s">
        <v>3366</v>
      </c>
      <c r="I834" s="27" t="s">
        <v>4146</v>
      </c>
      <c r="J834" s="27" t="s">
        <v>4147</v>
      </c>
      <c r="K834" s="27" t="s">
        <v>3772</v>
      </c>
      <c r="L834" s="112"/>
      <c r="M834" s="66" t="s">
        <v>3117</v>
      </c>
      <c r="N834" s="48">
        <v>46035</v>
      </c>
      <c r="O834" s="48">
        <v>46071</v>
      </c>
      <c r="P834" s="26"/>
    </row>
    <row r="835" spans="1:16" ht="14.5" hidden="1">
      <c r="A835" s="3" t="s">
        <v>38</v>
      </c>
      <c r="B835" s="8" t="s">
        <v>2807</v>
      </c>
      <c r="C835" s="46" t="s">
        <v>4148</v>
      </c>
      <c r="D835" s="41" t="str">
        <f ca="1">IFERROR(__xludf.DUMMYFUNCTION("IFERROR(ARRAYFORMULA(REGEXEXTRACT(C835,""^(?:https?:\/\/)?(?:[^@\n]+@)?(?:www\.)?([^:\/\n]+)"")),"""")"),"beemoneysavvy.com")</f>
        <v>beemoneysavvy.com</v>
      </c>
      <c r="E835" s="26" t="str">
        <f ca="1">IFERROR(__xludf.DUMMYFUNCTION("""COMPUTED_VALUE"""),"Already Exists")</f>
        <v>Already Exists</v>
      </c>
      <c r="F835" s="27">
        <v>29</v>
      </c>
      <c r="G835" s="27">
        <v>1014</v>
      </c>
    </row>
    <row r="836" spans="1:16" ht="14.5">
      <c r="A836" s="3" t="s">
        <v>38</v>
      </c>
      <c r="B836" s="8" t="s">
        <v>2807</v>
      </c>
      <c r="C836" s="46" t="s">
        <v>4149</v>
      </c>
      <c r="D836" s="41" t="str">
        <f ca="1">IFERROR(__xludf.DUMMYFUNCTION("IFERROR(ARRAYFORMULA(REGEXEXTRACT(C836,""^(?:https?:\/\/)?(?:[^@\n]+@)?(?:www\.)?([^:\/\n]+)"")),"""")"),"app.fundz.net")</f>
        <v>app.fundz.net</v>
      </c>
      <c r="E836" s="26" t="str">
        <f ca="1">IFERROR(__xludf.DUMMYFUNCTION("""COMPUTED_VALUE"""),"New")</f>
        <v>New</v>
      </c>
      <c r="F836" s="27">
        <v>54</v>
      </c>
      <c r="G836" s="27">
        <v>1636</v>
      </c>
      <c r="P836" s="26"/>
    </row>
    <row r="837" spans="1:16" ht="14.5">
      <c r="A837" s="3" t="s">
        <v>38</v>
      </c>
      <c r="B837" s="8" t="s">
        <v>2807</v>
      </c>
      <c r="C837" s="46" t="s">
        <v>4150</v>
      </c>
      <c r="D837" s="41" t="str">
        <f ca="1">IFERROR(__xludf.DUMMYFUNCTION("IFERROR(ARRAYFORMULA(REGEXEXTRACT(C837,""^(?:https?:\/\/)?(?:[^@\n]+@)?(?:www\.)?([^:\/\n]+)"")),"""")"),"bloglovin.com")</f>
        <v>bloglovin.com</v>
      </c>
      <c r="E837" s="26" t="str">
        <f ca="1">IFERROR(__xludf.DUMMYFUNCTION("""COMPUTED_VALUE"""),"New")</f>
        <v>New</v>
      </c>
      <c r="F837" s="27">
        <v>87</v>
      </c>
      <c r="G837" s="27">
        <v>3234</v>
      </c>
      <c r="P837" s="26"/>
    </row>
    <row r="838" spans="1:16" ht="14.5">
      <c r="A838" s="3" t="s">
        <v>38</v>
      </c>
      <c r="B838" s="8" t="s">
        <v>2807</v>
      </c>
      <c r="C838" s="46" t="s">
        <v>4151</v>
      </c>
      <c r="D838" s="41" t="str">
        <f ca="1">IFERROR(__xludf.DUMMYFUNCTION("IFERROR(ARRAYFORMULA(REGEXEXTRACT(C838,""^(?:https?:\/\/)?(?:[^@\n]+@)?(?:www\.)?([^:\/\n]+)"")),"""")"),"earnyatra.com")</f>
        <v>earnyatra.com</v>
      </c>
      <c r="E838" s="26" t="str">
        <f ca="1">IFERROR(__xludf.DUMMYFUNCTION("""COMPUTED_VALUE"""),"New")</f>
        <v>New</v>
      </c>
      <c r="F838" s="27">
        <v>60</v>
      </c>
      <c r="G838" s="27">
        <v>1383</v>
      </c>
      <c r="P838" s="26"/>
    </row>
    <row r="839" spans="1:16" ht="14.5" hidden="1">
      <c r="A839" s="3" t="s">
        <v>38</v>
      </c>
      <c r="B839" s="8" t="s">
        <v>2807</v>
      </c>
      <c r="C839" s="47" t="s">
        <v>4152</v>
      </c>
      <c r="D839" s="41" t="str">
        <f ca="1">IFERROR(__xludf.DUMMYFUNCTION("IFERROR(ARRAYFORMULA(REGEXEXTRACT(C839,""^(?:https?:\/\/)?(?:[^@\n]+@)?(?:www\.)?([^:\/\n]+)"")),"""")"),"lookwhatmomfound.org")</f>
        <v>lookwhatmomfound.org</v>
      </c>
      <c r="E839" s="26" t="str">
        <f ca="1">IFERROR(__xludf.DUMMYFUNCTION("""COMPUTED_VALUE"""),"Already Exists")</f>
        <v>Already Exists</v>
      </c>
      <c r="F839" s="27">
        <v>61</v>
      </c>
      <c r="G839" s="27">
        <v>2155</v>
      </c>
      <c r="J839" s="27" t="s">
        <v>4153</v>
      </c>
      <c r="K839" s="27" t="s">
        <v>3756</v>
      </c>
      <c r="L839" s="112"/>
      <c r="M839" s="66" t="s">
        <v>3117</v>
      </c>
      <c r="N839" s="48">
        <v>46035</v>
      </c>
      <c r="P839" s="27" t="s">
        <v>3201</v>
      </c>
    </row>
    <row r="840" spans="1:16" ht="14.5">
      <c r="A840" s="3" t="s">
        <v>38</v>
      </c>
      <c r="B840" s="8" t="s">
        <v>2807</v>
      </c>
      <c r="C840" s="46" t="s">
        <v>4154</v>
      </c>
      <c r="D840" s="41" t="str">
        <f ca="1">IFERROR(__xludf.DUMMYFUNCTION("IFERROR(ARRAYFORMULA(REGEXEXTRACT(C840,""^(?:https?:\/\/)?(?:[^@\n]+@)?(?:www\.)?([^:\/\n]+)"")),"""")"),"laltoday.6amcity.com")</f>
        <v>laltoday.6amcity.com</v>
      </c>
      <c r="E840" s="26" t="str">
        <f ca="1">IFERROR(__xludf.DUMMYFUNCTION("""COMPUTED_VALUE"""),"New")</f>
        <v>New</v>
      </c>
      <c r="F840" s="27">
        <v>76</v>
      </c>
      <c r="G840" s="27">
        <v>131875</v>
      </c>
      <c r="P840" s="26"/>
    </row>
    <row r="841" spans="1:16" ht="14.5" hidden="1">
      <c r="A841" s="3" t="s">
        <v>38</v>
      </c>
      <c r="B841" s="8" t="s">
        <v>2807</v>
      </c>
      <c r="C841" s="46" t="s">
        <v>4155</v>
      </c>
      <c r="D841" s="41" t="str">
        <f ca="1">IFERROR(__xludf.DUMMYFUNCTION("IFERROR(ARRAYFORMULA(REGEXEXTRACT(C841,""^(?:https?:\/\/)?(?:[^@\n]+@)?(?:www\.)?([^:\/\n]+)"")),"""")"),"breakingac.com")</f>
        <v>breakingac.com</v>
      </c>
      <c r="E841" s="26" t="str">
        <f ca="1">IFERROR(__xludf.DUMMYFUNCTION("""COMPUTED_VALUE"""),"Already Exists")</f>
        <v>Already Exists</v>
      </c>
      <c r="F841" s="27">
        <v>51</v>
      </c>
      <c r="G841" s="27">
        <v>9600</v>
      </c>
    </row>
    <row r="842" spans="1:16" ht="14.5">
      <c r="A842" s="3" t="s">
        <v>38</v>
      </c>
      <c r="B842" s="8" t="s">
        <v>2807</v>
      </c>
      <c r="C842" s="46" t="s">
        <v>4156</v>
      </c>
      <c r="D842" s="41" t="str">
        <f ca="1">IFERROR(__xludf.DUMMYFUNCTION("IFERROR(ARRAYFORMULA(REGEXEXTRACT(C842,""^(?:https?:\/\/)?(?:[^@\n]+@)?(?:www\.)?([^:\/\n]+)"")),"""")"),"adwerx.com")</f>
        <v>adwerx.com</v>
      </c>
      <c r="E842" s="26" t="str">
        <f ca="1">IFERROR(__xludf.DUMMYFUNCTION("""COMPUTED_VALUE"""),"New")</f>
        <v>New</v>
      </c>
      <c r="F842" s="27">
        <v>59</v>
      </c>
      <c r="G842" s="27">
        <v>2216</v>
      </c>
      <c r="P842" s="26"/>
    </row>
    <row r="843" spans="1:16" ht="14.5" hidden="1">
      <c r="A843" s="3" t="s">
        <v>38</v>
      </c>
      <c r="B843" s="8" t="s">
        <v>2807</v>
      </c>
      <c r="C843" s="47" t="s">
        <v>4157</v>
      </c>
      <c r="D843" s="41" t="str">
        <f ca="1">IFERROR(__xludf.DUMMYFUNCTION("IFERROR(ARRAYFORMULA(REGEXEXTRACT(C843,""^(?:https?:\/\/)?(?:[^@\n]+@)?(?:www\.)?([^:\/\n]+)"")),"""")"),"disquantified.org")</f>
        <v>disquantified.org</v>
      </c>
      <c r="E843" s="26" t="str">
        <f ca="1">IFERROR(__xludf.DUMMYFUNCTION("""COMPUTED_VALUE"""),"Already Exists")</f>
        <v>Already Exists</v>
      </c>
      <c r="F843" s="27">
        <v>71</v>
      </c>
      <c r="G843" s="27">
        <v>11882</v>
      </c>
      <c r="J843" s="27" t="s">
        <v>4158</v>
      </c>
      <c r="K843" s="27" t="s">
        <v>3829</v>
      </c>
      <c r="L843" s="112"/>
      <c r="M843" s="66" t="s">
        <v>3117</v>
      </c>
      <c r="N843" s="48">
        <v>46035</v>
      </c>
      <c r="P843" s="27" t="s">
        <v>3201</v>
      </c>
    </row>
    <row r="844" spans="1:16" ht="14.5">
      <c r="A844" s="3" t="s">
        <v>38</v>
      </c>
      <c r="B844" s="8" t="s">
        <v>2807</v>
      </c>
      <c r="C844" s="46" t="s">
        <v>4159</v>
      </c>
      <c r="D844" s="41" t="str">
        <f ca="1">IFERROR(__xludf.DUMMYFUNCTION("IFERROR(ARRAYFORMULA(REGEXEXTRACT(C844,""^(?:https?:\/\/)?(?:[^@\n]+@)?(?:www\.)?([^:\/\n]+)"")),"""")"),"axios.com")</f>
        <v>axios.com</v>
      </c>
      <c r="E844" s="26" t="str">
        <f ca="1">IFERROR(__xludf.DUMMYFUNCTION("""COMPUTED_VALUE"""),"New")</f>
        <v>New</v>
      </c>
      <c r="F844" s="27">
        <v>90</v>
      </c>
      <c r="G844" s="27">
        <v>1484654</v>
      </c>
      <c r="P844" s="26"/>
    </row>
    <row r="845" spans="1:16" ht="14.5">
      <c r="A845" s="3" t="s">
        <v>38</v>
      </c>
      <c r="B845" s="8" t="s">
        <v>2807</v>
      </c>
      <c r="C845" s="46" t="s">
        <v>4160</v>
      </c>
      <c r="D845" s="41" t="str">
        <f ca="1">IFERROR(__xludf.DUMMYFUNCTION("IFERROR(ARRAYFORMULA(REGEXEXTRACT(C845,""^(?:https?:\/\/)?(?:[^@\n]+@)?(?:www\.)?([^:\/\n]+)"")),"""")"),"firmsuggest.com")</f>
        <v>firmsuggest.com</v>
      </c>
      <c r="E845" s="26" t="str">
        <f ca="1">IFERROR(__xludf.DUMMYFUNCTION("""COMPUTED_VALUE"""),"New")</f>
        <v>New</v>
      </c>
      <c r="F845" s="27">
        <v>56</v>
      </c>
      <c r="G845" s="27">
        <v>51798</v>
      </c>
      <c r="P845" s="26"/>
    </row>
    <row r="846" spans="1:16" ht="14.5">
      <c r="A846" s="3" t="s">
        <v>38</v>
      </c>
      <c r="B846" s="8" t="s">
        <v>2807</v>
      </c>
      <c r="C846" s="46" t="s">
        <v>4161</v>
      </c>
      <c r="D846" s="41" t="str">
        <f ca="1">IFERROR(__xludf.DUMMYFUNCTION("IFERROR(ARRAYFORMULA(REGEXEXTRACT(C846,""^(?:https?:\/\/)?(?:[^@\n]+@)?(?:www\.)?([^:\/\n]+)"")),"""")"),"dealingsuccess.com")</f>
        <v>dealingsuccess.com</v>
      </c>
      <c r="E846" s="26" t="str">
        <f ca="1">IFERROR(__xludf.DUMMYFUNCTION("""COMPUTED_VALUE"""),"New")</f>
        <v>New</v>
      </c>
      <c r="F846" s="27">
        <v>43</v>
      </c>
      <c r="G846" s="27">
        <v>6714</v>
      </c>
      <c r="P846" s="26"/>
    </row>
    <row r="847" spans="1:16" ht="14.5">
      <c r="A847" s="3" t="s">
        <v>38</v>
      </c>
      <c r="B847" s="8" t="s">
        <v>2807</v>
      </c>
      <c r="C847" s="46" t="s">
        <v>4162</v>
      </c>
      <c r="D847" s="41" t="str">
        <f ca="1">IFERROR(__xludf.DUMMYFUNCTION("IFERROR(ARRAYFORMULA(REGEXEXTRACT(C847,""^(?:https?:\/\/)?(?:[^@\n]+@)?(?:www\.)?([^:\/\n]+)"")),"""")"),"levels.fyi")</f>
        <v>levels.fyi</v>
      </c>
      <c r="E847" s="26" t="str">
        <f ca="1">IFERROR(__xludf.DUMMYFUNCTION("""COMPUTED_VALUE"""),"New")</f>
        <v>New</v>
      </c>
      <c r="F847" s="27">
        <v>74</v>
      </c>
      <c r="G847" s="27">
        <v>461425</v>
      </c>
      <c r="P847" s="26"/>
    </row>
    <row r="848" spans="1:16" ht="14.5">
      <c r="A848" s="3" t="s">
        <v>38</v>
      </c>
      <c r="B848" s="8" t="s">
        <v>2807</v>
      </c>
      <c r="C848" s="46" t="s">
        <v>4163</v>
      </c>
      <c r="D848" s="41" t="str">
        <f ca="1">IFERROR(__xludf.DUMMYFUNCTION("IFERROR(ARRAYFORMULA(REGEXEXTRACT(C848,""^(?:https?:\/\/)?(?:[^@\n]+@)?(?:www\.)?([^:\/\n]+)"")),"""")"),"brightnis.com")</f>
        <v>brightnis.com</v>
      </c>
      <c r="E848" s="26" t="str">
        <f ca="1">IFERROR(__xludf.DUMMYFUNCTION("""COMPUTED_VALUE"""),"New")</f>
        <v>New</v>
      </c>
      <c r="F848" s="27">
        <v>71</v>
      </c>
      <c r="G848" s="27">
        <v>1252</v>
      </c>
      <c r="P848" s="26"/>
    </row>
    <row r="849" spans="1:16" ht="14.5">
      <c r="A849" s="3" t="s">
        <v>38</v>
      </c>
      <c r="B849" s="8" t="s">
        <v>2807</v>
      </c>
      <c r="C849" s="46" t="s">
        <v>4164</v>
      </c>
      <c r="D849" s="41" t="str">
        <f ca="1">IFERROR(__xludf.DUMMYFUNCTION("IFERROR(ARRAYFORMULA(REGEXEXTRACT(C849,""^(?:https?:\/\/)?(?:[^@\n]+@)?(?:www\.)?([^:\/\n]+)"")),"""")"),"affluense.ai")</f>
        <v>affluense.ai</v>
      </c>
      <c r="E849" s="26" t="str">
        <f ca="1">IFERROR(__xludf.DUMMYFUNCTION("""COMPUTED_VALUE"""),"New")</f>
        <v>New</v>
      </c>
      <c r="F849" s="27">
        <v>22</v>
      </c>
      <c r="G849" s="27">
        <v>2168</v>
      </c>
      <c r="P849" s="26"/>
    </row>
    <row r="850" spans="1:16" ht="14.5">
      <c r="A850" s="3" t="s">
        <v>38</v>
      </c>
      <c r="B850" s="8" t="s">
        <v>2807</v>
      </c>
      <c r="C850" s="46" t="s">
        <v>4165</v>
      </c>
      <c r="D850" s="41" t="str">
        <f ca="1">IFERROR(__xludf.DUMMYFUNCTION("IFERROR(ARRAYFORMULA(REGEXEXTRACT(C850,""^(?:https?:\/\/)?(?:[^@\n]+@)?(?:www\.)?([^:\/\n]+)"")),"""")"),"blog.rteetech.com")</f>
        <v>blog.rteetech.com</v>
      </c>
      <c r="E850" s="26" t="str">
        <f ca="1">IFERROR(__xludf.DUMMYFUNCTION("""COMPUTED_VALUE"""),"New")</f>
        <v>New</v>
      </c>
      <c r="F850" s="27">
        <v>36</v>
      </c>
      <c r="G850" s="27">
        <v>1752</v>
      </c>
      <c r="P850" s="26"/>
    </row>
    <row r="851" spans="1:16" ht="14.5">
      <c r="A851" s="3" t="s">
        <v>38</v>
      </c>
      <c r="B851" s="8" t="s">
        <v>2807</v>
      </c>
      <c r="C851" s="46" t="s">
        <v>4166</v>
      </c>
      <c r="D851" s="41" t="str">
        <f ca="1">IFERROR(__xludf.DUMMYFUNCTION("IFERROR(ARRAYFORMULA(REGEXEXTRACT(C851,""^(?:https?:\/\/)?(?:[^@\n]+@)?(?:www\.)?([^:\/\n]+)"")),"""")"),"thodex.com")</f>
        <v>thodex.com</v>
      </c>
      <c r="E851" s="26" t="str">
        <f ca="1">IFERROR(__xludf.DUMMYFUNCTION("""COMPUTED_VALUE"""),"New")</f>
        <v>New</v>
      </c>
      <c r="F851" s="27">
        <v>36</v>
      </c>
      <c r="G851" s="27">
        <v>7134</v>
      </c>
      <c r="P851" s="26"/>
    </row>
    <row r="852" spans="1:16" ht="14.5">
      <c r="A852" s="3" t="s">
        <v>38</v>
      </c>
      <c r="B852" s="8" t="s">
        <v>2807</v>
      </c>
      <c r="C852" s="46" t="s">
        <v>4167</v>
      </c>
      <c r="D852" s="41" t="str">
        <f ca="1">IFERROR(__xludf.DUMMYFUNCTION("IFERROR(ARRAYFORMULA(REGEXEXTRACT(C852,""^(?:https?:\/\/)?(?:[^@\n]+@)?(?:www\.)?([^:\/\n]+)"")),"""")"),"jobs.ca")</f>
        <v>jobs.ca</v>
      </c>
      <c r="E852" s="26" t="str">
        <f ca="1">IFERROR(__xludf.DUMMYFUNCTION("""COMPUTED_VALUE"""),"New")</f>
        <v>New</v>
      </c>
      <c r="F852" s="27">
        <v>61</v>
      </c>
      <c r="G852" s="27">
        <v>4005</v>
      </c>
      <c r="P852" s="26"/>
    </row>
    <row r="853" spans="1:16" ht="14.5">
      <c r="A853" s="3" t="s">
        <v>38</v>
      </c>
      <c r="B853" s="8" t="s">
        <v>2807</v>
      </c>
      <c r="C853" s="46" t="s">
        <v>4168</v>
      </c>
      <c r="D853" s="41" t="str">
        <f ca="1">IFERROR(__xludf.DUMMYFUNCTION("IFERROR(ARRAYFORMULA(REGEXEXTRACT(C853,""^(?:https?:\/\/)?(?:[^@\n]+@)?(?:www\.)?([^:\/\n]+)"")),"""")"),"ccar.growthzoneapp.com")</f>
        <v>ccar.growthzoneapp.com</v>
      </c>
      <c r="E853" s="26" t="str">
        <f ca="1">IFERROR(__xludf.DUMMYFUNCTION("""COMPUTED_VALUE"""),"New")</f>
        <v>New</v>
      </c>
      <c r="F853" s="27">
        <v>78</v>
      </c>
      <c r="G853" s="27">
        <v>10595</v>
      </c>
      <c r="P853" s="26"/>
    </row>
    <row r="854" spans="1:16" ht="14.5" hidden="1">
      <c r="A854" s="3" t="s">
        <v>38</v>
      </c>
      <c r="B854" s="8" t="s">
        <v>2807</v>
      </c>
      <c r="C854" s="46" t="s">
        <v>4169</v>
      </c>
      <c r="D854" s="41" t="str">
        <f ca="1">IFERROR(__xludf.DUMMYFUNCTION("IFERROR(ARRAYFORMULA(REGEXEXTRACT(C854,""^(?:https?:\/\/)?(?:[^@\n]+@)?(?:www\.)?([^:\/\n]+)"")),"""")"),"ceocolumn.com")</f>
        <v>ceocolumn.com</v>
      </c>
      <c r="E854" s="26" t="str">
        <f ca="1">IFERROR(__xludf.DUMMYFUNCTION("""COMPUTED_VALUE"""),"Already Exists")</f>
        <v>Already Exists</v>
      </c>
      <c r="F854" s="27">
        <v>55</v>
      </c>
      <c r="G854" s="27">
        <v>19450</v>
      </c>
    </row>
    <row r="855" spans="1:16" ht="14.5">
      <c r="A855" s="3" t="s">
        <v>38</v>
      </c>
      <c r="B855" s="8" t="s">
        <v>2807</v>
      </c>
      <c r="C855" s="46" t="s">
        <v>4170</v>
      </c>
      <c r="D855" s="41" t="str">
        <f ca="1">IFERROR(__xludf.DUMMYFUNCTION("IFERROR(ARRAYFORMULA(REGEXEXTRACT(C855,""^(?:https?:\/\/)?(?:[^@\n]+@)?(?:www\.)?([^:\/\n]+)"")),"""")"),"letsdiskuss.com")</f>
        <v>letsdiskuss.com</v>
      </c>
      <c r="E855" s="26" t="str">
        <f ca="1">IFERROR(__xludf.DUMMYFUNCTION("""COMPUTED_VALUE"""),"New")</f>
        <v>New</v>
      </c>
      <c r="F855" s="27">
        <v>44</v>
      </c>
      <c r="G855" s="27">
        <v>32027</v>
      </c>
      <c r="P855" s="26"/>
    </row>
    <row r="856" spans="1:16" ht="14.5">
      <c r="A856" s="3" t="s">
        <v>38</v>
      </c>
      <c r="B856" s="8" t="s">
        <v>2807</v>
      </c>
      <c r="C856" s="46" t="s">
        <v>4171</v>
      </c>
      <c r="D856" s="41" t="str">
        <f ca="1">IFERROR(__xludf.DUMMYFUNCTION("IFERROR(ARRAYFORMULA(REGEXEXTRACT(C856,""^(?:https?:\/\/)?(?:[^@\n]+@)?(?:www\.)?([^:\/\n]+)"")),"""")"),"ezilon.com")</f>
        <v>ezilon.com</v>
      </c>
      <c r="E856" s="26" t="str">
        <f ca="1">IFERROR(__xludf.DUMMYFUNCTION("""COMPUTED_VALUE"""),"New")</f>
        <v>New</v>
      </c>
      <c r="F856" s="27">
        <v>53</v>
      </c>
      <c r="G856" s="27">
        <v>30812</v>
      </c>
      <c r="P856" s="26"/>
    </row>
    <row r="857" spans="1:16" ht="14.5">
      <c r="A857" s="3" t="s">
        <v>38</v>
      </c>
      <c r="B857" s="8" t="s">
        <v>2807</v>
      </c>
      <c r="C857" s="46" t="s">
        <v>4172</v>
      </c>
      <c r="D857" s="41" t="str">
        <f ca="1">IFERROR(__xludf.DUMMYFUNCTION("IFERROR(ARRAYFORMULA(REGEXEXTRACT(C857,""^(?:https?:\/\/)?(?:[^@\n]+@)?(?:www\.)?([^:\/\n]+)"")),"""")"),"dailzcaption.com")</f>
        <v>dailzcaption.com</v>
      </c>
      <c r="E857" s="26" t="str">
        <f ca="1">IFERROR(__xludf.DUMMYFUNCTION("""COMPUTED_VALUE"""),"New")</f>
        <v>New</v>
      </c>
      <c r="F857" s="27">
        <v>62</v>
      </c>
      <c r="G857" s="27">
        <v>11295</v>
      </c>
      <c r="P857" s="26"/>
    </row>
    <row r="858" spans="1:16" ht="14.5" hidden="1">
      <c r="A858" s="3" t="s">
        <v>38</v>
      </c>
      <c r="B858" s="8" t="s">
        <v>2807</v>
      </c>
      <c r="C858" s="49" t="s">
        <v>4173</v>
      </c>
      <c r="D858" s="41" t="str">
        <f ca="1">IFERROR(__xludf.DUMMYFUNCTION("IFERROR(ARRAYFORMULA(REGEXEXTRACT(C858,""^(?:https?:\/\/)?(?:[^@\n]+@)?(?:www\.)?([^:\/\n]+)"")),"""")"),"themusemark.com")</f>
        <v>themusemark.com</v>
      </c>
      <c r="E858" s="26" t="str">
        <f ca="1">IFERROR(__xludf.DUMMYFUNCTION("""COMPUTED_VALUE"""),"Already Exists")</f>
        <v>Already Exists</v>
      </c>
      <c r="F858" s="27">
        <v>56</v>
      </c>
      <c r="G858" s="27">
        <v>1129</v>
      </c>
      <c r="J858" s="27" t="s">
        <v>4174</v>
      </c>
      <c r="K858" s="27" t="s">
        <v>3756</v>
      </c>
      <c r="L858" s="112"/>
      <c r="M858" s="66" t="s">
        <v>3117</v>
      </c>
      <c r="N858" s="48">
        <v>46035</v>
      </c>
      <c r="O858" s="48">
        <v>46071</v>
      </c>
      <c r="P858" s="26"/>
    </row>
    <row r="859" spans="1:16" ht="14.5">
      <c r="A859" s="3" t="s">
        <v>38</v>
      </c>
      <c r="B859" s="8" t="s">
        <v>2807</v>
      </c>
      <c r="C859" s="46" t="s">
        <v>4175</v>
      </c>
      <c r="D859" s="41" t="str">
        <f ca="1">IFERROR(__xludf.DUMMYFUNCTION("IFERROR(ARRAYFORMULA(REGEXEXTRACT(C859,""^(?:https?:\/\/)?(?:[^@\n]+@)?(?:www\.)?([^:\/\n]+)"")),"""")"),"geniusfirms.com")</f>
        <v>geniusfirms.com</v>
      </c>
      <c r="E859" s="26" t="str">
        <f ca="1">IFERROR(__xludf.DUMMYFUNCTION("""COMPUTED_VALUE"""),"New")</f>
        <v>New</v>
      </c>
      <c r="F859" s="27">
        <v>62</v>
      </c>
      <c r="G859" s="27">
        <v>81962</v>
      </c>
      <c r="P859" s="26"/>
    </row>
    <row r="860" spans="1:16" ht="14.5">
      <c r="A860" s="3" t="s">
        <v>38</v>
      </c>
      <c r="B860" s="8" t="s">
        <v>2807</v>
      </c>
      <c r="C860" s="46" t="s">
        <v>4176</v>
      </c>
      <c r="D860" s="41" t="str">
        <f ca="1">IFERROR(__xludf.DUMMYFUNCTION("IFERROR(ARRAYFORMULA(REGEXEXTRACT(C860,""^(?:https?:\/\/)?(?:[^@\n]+@)?(?:www\.)?([^:\/\n]+)"")),"""")"),"trust.myoutdesk.com")</f>
        <v>trust.myoutdesk.com</v>
      </c>
      <c r="E860" s="26" t="str">
        <f ca="1">IFERROR(__xludf.DUMMYFUNCTION("""COMPUTED_VALUE"""),"New")</f>
        <v>New</v>
      </c>
      <c r="F860" s="27">
        <v>55</v>
      </c>
      <c r="G860" s="27">
        <v>12490</v>
      </c>
      <c r="P860" s="26"/>
    </row>
    <row r="861" spans="1:16" ht="14.5">
      <c r="A861" s="3" t="s">
        <v>38</v>
      </c>
      <c r="B861" s="8" t="s">
        <v>2807</v>
      </c>
      <c r="C861" s="46" t="s">
        <v>4177</v>
      </c>
      <c r="D861" s="41" t="str">
        <f ca="1">IFERROR(__xludf.DUMMYFUNCTION("IFERROR(ARRAYFORMULA(REGEXEXTRACT(C861,""^(?:https?:\/\/)?(?:[^@\n]+@)?(?:www\.)?([^:\/\n]+)"")),"""")"),"wcr.org")</f>
        <v>wcr.org</v>
      </c>
      <c r="E861" s="26" t="str">
        <f ca="1">IFERROR(__xludf.DUMMYFUNCTION("""COMPUTED_VALUE"""),"New")</f>
        <v>New</v>
      </c>
      <c r="F861" s="27">
        <v>66</v>
      </c>
      <c r="G861" s="27">
        <v>2073</v>
      </c>
      <c r="P861" s="26"/>
    </row>
    <row r="862" spans="1:16" ht="14.5" hidden="1">
      <c r="A862" s="3" t="s">
        <v>38</v>
      </c>
      <c r="B862" s="8" t="s">
        <v>2807</v>
      </c>
      <c r="C862" s="49" t="s">
        <v>4178</v>
      </c>
      <c r="D862" s="41" t="str">
        <f ca="1">IFERROR(__xludf.DUMMYFUNCTION("IFERROR(ARRAYFORMULA(REGEXEXTRACT(C862,""^(?:https?:\/\/)?(?:[^@\n]+@)?(?:www\.)?([^:\/\n]+)"")),"""")"),"atlantaonthecheap.com")</f>
        <v>atlantaonthecheap.com</v>
      </c>
      <c r="E862" s="26" t="str">
        <f ca="1">IFERROR(__xludf.DUMMYFUNCTION("""COMPUTED_VALUE"""),"Already Exists")</f>
        <v>Already Exists</v>
      </c>
      <c r="F862" s="27">
        <v>33</v>
      </c>
      <c r="G862" s="27">
        <v>3361</v>
      </c>
      <c r="J862" s="27" t="s">
        <v>4179</v>
      </c>
      <c r="K862" s="27" t="s">
        <v>3772</v>
      </c>
      <c r="L862" s="112"/>
      <c r="M862" s="66" t="s">
        <v>3117</v>
      </c>
      <c r="N862" s="48">
        <v>46035</v>
      </c>
      <c r="O862" s="48">
        <v>46071</v>
      </c>
      <c r="P862" s="26"/>
    </row>
    <row r="863" spans="1:16" ht="14.5" hidden="1">
      <c r="A863" s="3" t="s">
        <v>38</v>
      </c>
      <c r="B863" s="8" t="s">
        <v>2807</v>
      </c>
      <c r="C863" s="47" t="s">
        <v>4180</v>
      </c>
      <c r="D863" s="41" t="str">
        <f ca="1">IFERROR(__xludf.DUMMYFUNCTION("IFERROR(ARRAYFORMULA(REGEXEXTRACT(C863,""^(?:https?:\/\/)?(?:[^@\n]+@)?(?:www\.)?([^:\/\n]+)"")),"""")"),"mummytodex.com")</f>
        <v>mummytodex.com</v>
      </c>
      <c r="E863" s="26" t="str">
        <f ca="1">IFERROR(__xludf.DUMMYFUNCTION("""COMPUTED_VALUE"""),"Already Exists")</f>
        <v>Already Exists</v>
      </c>
      <c r="F863" s="27">
        <v>34</v>
      </c>
      <c r="G863" s="27">
        <v>1938</v>
      </c>
      <c r="H863" s="27" t="s">
        <v>4181</v>
      </c>
      <c r="J863" s="27" t="s">
        <v>4182</v>
      </c>
      <c r="K863" s="27" t="s">
        <v>3756</v>
      </c>
      <c r="L863" s="112"/>
      <c r="M863" s="66" t="s">
        <v>3117</v>
      </c>
      <c r="N863" s="48">
        <v>46035</v>
      </c>
      <c r="P863" s="27" t="s">
        <v>3201</v>
      </c>
    </row>
    <row r="864" spans="1:16" ht="14.5">
      <c r="A864" s="3" t="s">
        <v>38</v>
      </c>
      <c r="B864" s="8" t="s">
        <v>2807</v>
      </c>
      <c r="C864" s="49" t="s">
        <v>4183</v>
      </c>
      <c r="D864" s="41" t="str">
        <f ca="1">IFERROR(__xludf.DUMMYFUNCTION("IFERROR(ARRAYFORMULA(REGEXEXTRACT(C864,""^(?:https?:\/\/)?(?:[^@\n]+@)?(?:www\.)?([^:\/\n]+)"")),"""")"),"dev.waterfront-properties.com")</f>
        <v>dev.waterfront-properties.com</v>
      </c>
      <c r="E864" s="26" t="str">
        <f ca="1">IFERROR(__xludf.DUMMYFUNCTION("""COMPUTED_VALUE"""),"New")</f>
        <v>New</v>
      </c>
      <c r="F864" s="27">
        <v>42</v>
      </c>
      <c r="G864" s="27">
        <v>3042</v>
      </c>
      <c r="H864" s="27" t="s">
        <v>4184</v>
      </c>
      <c r="I864" s="38" t="s">
        <v>4185</v>
      </c>
      <c r="J864" s="38" t="s">
        <v>4186</v>
      </c>
      <c r="K864" s="27" t="s">
        <v>3853</v>
      </c>
      <c r="L864" s="112"/>
      <c r="M864" s="66" t="s">
        <v>3117</v>
      </c>
      <c r="N864" s="48">
        <v>46035</v>
      </c>
      <c r="P864" s="26"/>
    </row>
    <row r="865" spans="1:16" ht="14.5">
      <c r="A865" s="3" t="s">
        <v>38</v>
      </c>
      <c r="B865" s="8" t="s">
        <v>2807</v>
      </c>
      <c r="C865" s="46" t="s">
        <v>4187</v>
      </c>
      <c r="D865" s="41" t="str">
        <f ca="1">IFERROR(__xludf.DUMMYFUNCTION("IFERROR(ARRAYFORMULA(REGEXEXTRACT(C865,""^(?:https?:\/\/)?(?:[^@\n]+@)?(?:www\.)?([^:\/\n]+)"")),"""")"),"bignewsnetwork.com")</f>
        <v>bignewsnetwork.com</v>
      </c>
      <c r="E865" s="26" t="str">
        <f ca="1">IFERROR(__xludf.DUMMYFUNCTION("""COMPUTED_VALUE"""),"New")</f>
        <v>New</v>
      </c>
      <c r="F865" s="27">
        <v>75</v>
      </c>
      <c r="G865" s="27">
        <v>89915</v>
      </c>
      <c r="P865" s="26"/>
    </row>
    <row r="866" spans="1:16" ht="14.5">
      <c r="A866" s="3" t="s">
        <v>38</v>
      </c>
      <c r="B866" s="8" t="s">
        <v>2807</v>
      </c>
      <c r="C866" s="46" t="s">
        <v>4188</v>
      </c>
      <c r="D866" s="41" t="str">
        <f ca="1">IFERROR(__xludf.DUMMYFUNCTION("IFERROR(ARRAYFORMULA(REGEXEXTRACT(C866,""^(?:https?:\/\/)?(?:[^@\n]+@)?(?:www\.)?([^:\/\n]+)"")),"""")"),"businesslistings.salemsurround.com")</f>
        <v>businesslistings.salemsurround.com</v>
      </c>
      <c r="E866" s="26" t="str">
        <f ca="1">IFERROR(__xludf.DUMMYFUNCTION("""COMPUTED_VALUE"""),"New")</f>
        <v>New</v>
      </c>
      <c r="F866" s="27">
        <v>24</v>
      </c>
      <c r="G866" s="27">
        <v>1682</v>
      </c>
      <c r="P866" s="26"/>
    </row>
    <row r="867" spans="1:16" ht="14.5">
      <c r="A867" s="3" t="s">
        <v>38</v>
      </c>
      <c r="B867" s="8" t="s">
        <v>2807</v>
      </c>
      <c r="C867" s="46" t="s">
        <v>4189</v>
      </c>
      <c r="D867" s="41" t="str">
        <f ca="1">IFERROR(__xludf.DUMMYFUNCTION("IFERROR(ARRAYFORMULA(REGEXEXTRACT(C867,""^(?:https?:\/\/)?(?:[^@\n]+@)?(?:www\.)?([^:\/\n]+)"")),"""")"),"banholiday.simple.weon.website")</f>
        <v>banholiday.simple.weon.website</v>
      </c>
      <c r="E867" s="26" t="str">
        <f ca="1">IFERROR(__xludf.DUMMYFUNCTION("""COMPUTED_VALUE"""),"New")</f>
        <v>New</v>
      </c>
      <c r="F867" s="27">
        <v>56</v>
      </c>
      <c r="G867" s="27">
        <v>1217</v>
      </c>
      <c r="P867" s="26"/>
    </row>
    <row r="868" spans="1:16" ht="14.5">
      <c r="A868" s="3" t="s">
        <v>38</v>
      </c>
      <c r="B868" s="8" t="s">
        <v>2807</v>
      </c>
      <c r="C868" s="49" t="s">
        <v>4190</v>
      </c>
      <c r="D868" s="41" t="str">
        <f ca="1">IFERROR(__xludf.DUMMYFUNCTION("IFERROR(ARRAYFORMULA(REGEXEXTRACT(C868,""^(?:https?:\/\/)?(?:[^@\n]+@)?(?:www\.)?([^:\/\n]+)"")),"""")"),"orangeobserver.com")</f>
        <v>orangeobserver.com</v>
      </c>
      <c r="E868" s="26" t="str">
        <f ca="1">IFERROR(__xludf.DUMMYFUNCTION("""COMPUTED_VALUE"""),"New")</f>
        <v>New</v>
      </c>
      <c r="F868" s="27">
        <v>67</v>
      </c>
      <c r="G868" s="27">
        <v>2359</v>
      </c>
      <c r="H868" s="27" t="s">
        <v>3603</v>
      </c>
      <c r="I868" s="27" t="s">
        <v>4191</v>
      </c>
      <c r="J868" s="27" t="s">
        <v>4192</v>
      </c>
      <c r="K868" s="27" t="s">
        <v>3772</v>
      </c>
      <c r="L868" s="112"/>
      <c r="M868" s="66" t="s">
        <v>3117</v>
      </c>
      <c r="N868" s="48">
        <v>46035</v>
      </c>
      <c r="O868" s="48">
        <v>46071</v>
      </c>
      <c r="P868" s="26"/>
    </row>
    <row r="869" spans="1:16" ht="14.5">
      <c r="A869" s="3" t="s">
        <v>38</v>
      </c>
      <c r="B869" s="8" t="s">
        <v>2807</v>
      </c>
      <c r="C869" s="46" t="s">
        <v>4193</v>
      </c>
      <c r="D869" s="41" t="str">
        <f ca="1">IFERROR(__xludf.DUMMYFUNCTION("IFERROR(ARRAYFORMULA(REGEXEXTRACT(C869,""^(?:https?:\/\/)?(?:[^@\n]+@)?(?:www\.)?([^:\/\n]+)"")),"""")"),"appsruntheworld.com")</f>
        <v>appsruntheworld.com</v>
      </c>
      <c r="E869" s="26" t="str">
        <f ca="1">IFERROR(__xludf.DUMMYFUNCTION("""COMPUTED_VALUE"""),"New")</f>
        <v>New</v>
      </c>
      <c r="F869" s="27">
        <v>69</v>
      </c>
      <c r="G869" s="27">
        <v>20980</v>
      </c>
      <c r="P869" s="26"/>
    </row>
    <row r="870" spans="1:16" ht="14.5">
      <c r="A870" s="3" t="s">
        <v>38</v>
      </c>
      <c r="B870" s="8" t="s">
        <v>2807</v>
      </c>
      <c r="C870" s="46" t="s">
        <v>4194</v>
      </c>
      <c r="D870" s="41" t="str">
        <f ca="1">IFERROR(__xludf.DUMMYFUNCTION("IFERROR(ARRAYFORMULA(REGEXEXTRACT(C870,""^(?:https?:\/\/)?(?:[^@\n]+@)?(?:www\.)?([^:\/\n]+)"")),"""")"),"scoopcharlotte.com")</f>
        <v>scoopcharlotte.com</v>
      </c>
      <c r="E870" s="26" t="str">
        <f ca="1">IFERROR(__xludf.DUMMYFUNCTION("""COMPUTED_VALUE"""),"New")</f>
        <v>New</v>
      </c>
      <c r="F870" s="27">
        <v>47</v>
      </c>
      <c r="G870" s="27">
        <v>1752</v>
      </c>
      <c r="P870" s="26"/>
    </row>
    <row r="871" spans="1:16" ht="14.5">
      <c r="A871" s="3" t="s">
        <v>38</v>
      </c>
      <c r="B871" s="8" t="s">
        <v>2807</v>
      </c>
      <c r="C871" s="46" t="s">
        <v>4195</v>
      </c>
      <c r="D871" s="41" t="str">
        <f ca="1">IFERROR(__xludf.DUMMYFUNCTION("IFERROR(ARRAYFORMULA(REGEXEXTRACT(C871,""^(?:https?:\/\/)?(?:[^@\n]+@)?(?:www\.)?([^:\/\n]+)"")),"""")"),"insights.persana.ai")</f>
        <v>insights.persana.ai</v>
      </c>
      <c r="E871" s="26" t="str">
        <f ca="1">IFERROR(__xludf.DUMMYFUNCTION("""COMPUTED_VALUE"""),"New")</f>
        <v>New</v>
      </c>
      <c r="F871" s="27">
        <v>58</v>
      </c>
      <c r="G871" s="27">
        <v>5951</v>
      </c>
      <c r="P871" s="26"/>
    </row>
    <row r="872" spans="1:16" ht="14.5">
      <c r="A872" s="3" t="s">
        <v>38</v>
      </c>
      <c r="B872" s="8" t="s">
        <v>2807</v>
      </c>
      <c r="C872" s="47" t="s">
        <v>4196</v>
      </c>
      <c r="D872" s="41" t="str">
        <f ca="1">IFERROR(__xludf.DUMMYFUNCTION("IFERROR(ARRAYFORMULA(REGEXEXTRACT(C872,""^(?:https?:\/\/)?(?:[^@\n]+@)?(?:www\.)?([^:\/\n]+)"")),"""")"),"endeavourarticles.com")</f>
        <v>endeavourarticles.com</v>
      </c>
      <c r="E872" s="26" t="str">
        <f ca="1">IFERROR(__xludf.DUMMYFUNCTION("""COMPUTED_VALUE"""),"New")</f>
        <v>New</v>
      </c>
      <c r="F872" s="27">
        <v>39</v>
      </c>
      <c r="G872" s="27">
        <v>1387</v>
      </c>
      <c r="J872" s="27" t="s">
        <v>4197</v>
      </c>
      <c r="K872" s="27" t="s">
        <v>3756</v>
      </c>
      <c r="L872" s="112"/>
      <c r="M872" s="66" t="s">
        <v>3117</v>
      </c>
      <c r="N872" s="48">
        <v>46035</v>
      </c>
      <c r="P872" s="27" t="s">
        <v>3201</v>
      </c>
    </row>
    <row r="873" spans="1:16" ht="14.5">
      <c r="A873" s="3" t="s">
        <v>38</v>
      </c>
      <c r="B873" s="8" t="s">
        <v>2807</v>
      </c>
      <c r="C873" s="46" t="s">
        <v>4198</v>
      </c>
      <c r="D873" s="41" t="str">
        <f ca="1">IFERROR(__xludf.DUMMYFUNCTION("IFERROR(ARRAYFORMULA(REGEXEXTRACT(C873,""^(?:https?:\/\/)?(?:[^@\n]+@)?(?:www\.)?([^:\/\n]+)"")),"""")"),"topworkplaces.com")</f>
        <v>topworkplaces.com</v>
      </c>
      <c r="E873" s="26" t="str">
        <f ca="1">IFERROR(__xludf.DUMMYFUNCTION("""COMPUTED_VALUE"""),"New")</f>
        <v>New</v>
      </c>
      <c r="F873" s="27">
        <v>79</v>
      </c>
      <c r="G873" s="27">
        <v>19334</v>
      </c>
      <c r="P873" s="26"/>
    </row>
    <row r="874" spans="1:16" ht="14.5">
      <c r="A874" s="3" t="s">
        <v>38</v>
      </c>
      <c r="B874" s="8" t="s">
        <v>2807</v>
      </c>
      <c r="C874" s="46" t="s">
        <v>4199</v>
      </c>
      <c r="D874" s="41" t="str">
        <f ca="1">IFERROR(__xludf.DUMMYFUNCTION("IFERROR(ARRAYFORMULA(REGEXEXTRACT(C874,""^(?:https?:\/\/)?(?:[^@\n]+@)?(?:www\.)?([^:\/\n]+)"")),"""")"),"bvent.biomedia.net")</f>
        <v>bvent.biomedia.net</v>
      </c>
      <c r="E874" s="26" t="str">
        <f ca="1">IFERROR(__xludf.DUMMYFUNCTION("""COMPUTED_VALUE"""),"New")</f>
        <v>New</v>
      </c>
      <c r="F874" s="27">
        <v>52</v>
      </c>
      <c r="G874" s="27">
        <v>2420</v>
      </c>
      <c r="P874" s="26"/>
    </row>
    <row r="875" spans="1:16" ht="14.5">
      <c r="A875" s="3" t="s">
        <v>38</v>
      </c>
      <c r="B875" s="8" t="s">
        <v>2807</v>
      </c>
      <c r="C875" s="46" t="s">
        <v>4200</v>
      </c>
      <c r="D875" s="41" t="str">
        <f ca="1">IFERROR(__xludf.DUMMYFUNCTION("IFERROR(ARRAYFORMULA(REGEXEXTRACT(C875,""^(?:https?:\/\/)?(?:[^@\n]+@)?(?:www\.)?([^:\/\n]+)"")),"""")"),"repvue.com")</f>
        <v>repvue.com</v>
      </c>
      <c r="E875" s="26" t="str">
        <f ca="1">IFERROR(__xludf.DUMMYFUNCTION("""COMPUTED_VALUE"""),"New")</f>
        <v>New</v>
      </c>
      <c r="F875" s="27">
        <v>55</v>
      </c>
      <c r="G875" s="27">
        <v>41027</v>
      </c>
      <c r="P875" s="26"/>
    </row>
    <row r="876" spans="1:16" ht="14.5" hidden="1">
      <c r="A876" s="3" t="s">
        <v>38</v>
      </c>
      <c r="B876" s="71" t="s">
        <v>2808</v>
      </c>
      <c r="C876" s="46" t="s">
        <v>4201</v>
      </c>
      <c r="D876" s="41" t="str">
        <f ca="1">IFERROR(__xludf.DUMMYFUNCTION("IFERROR(ARRAYFORMULA(REGEXEXTRACT(C876,""^(?:https?:\/\/)?(?:[^@\n]+@)?(?:www\.)?([^:\/\n]+)"")),"""")"),"lorddecor.com")</f>
        <v>lorddecor.com</v>
      </c>
      <c r="E876" s="26" t="str">
        <f ca="1">IFERROR(__xludf.DUMMYFUNCTION("""COMPUTED_VALUE"""),"Already Exists")</f>
        <v>Already Exists</v>
      </c>
      <c r="F876" s="72">
        <v>60</v>
      </c>
      <c r="G876" s="72">
        <v>4287</v>
      </c>
    </row>
    <row r="877" spans="1:16" ht="14.5">
      <c r="A877" s="3" t="s">
        <v>38</v>
      </c>
      <c r="B877" s="8" t="s">
        <v>2808</v>
      </c>
      <c r="C877" s="46" t="s">
        <v>4202</v>
      </c>
      <c r="D877" s="41" t="str">
        <f ca="1">IFERROR(__xludf.DUMMYFUNCTION("IFERROR(ARRAYFORMULA(REGEXEXTRACT(C877,""^(?:https?:\/\/)?(?:[^@\n]+@)?(?:www\.)?([^:\/\n]+)"")),"""")"),"neustarlocaleze.biz")</f>
        <v>neustarlocaleze.biz</v>
      </c>
      <c r="E877" s="26" t="str">
        <f ca="1">IFERROR(__xludf.DUMMYFUNCTION("""COMPUTED_VALUE"""),"New")</f>
        <v>New</v>
      </c>
      <c r="F877" s="72">
        <v>72</v>
      </c>
      <c r="G877" s="72">
        <v>2620</v>
      </c>
      <c r="P877" s="26"/>
    </row>
    <row r="878" spans="1:16" ht="14.5">
      <c r="A878" s="3" t="s">
        <v>38</v>
      </c>
      <c r="B878" s="8" t="s">
        <v>2808</v>
      </c>
      <c r="C878" s="46" t="s">
        <v>4203</v>
      </c>
      <c r="D878" s="41" t="str">
        <f ca="1">IFERROR(__xludf.DUMMYFUNCTION("IFERROR(ARRAYFORMULA(REGEXEXTRACT(C878,""^(?:https?:\/\/)?(?:[^@\n]+@)?(?:www\.)?([^:\/\n]+)"")),"""")"),"realestatewitch.com")</f>
        <v>realestatewitch.com</v>
      </c>
      <c r="E878" s="26" t="str">
        <f ca="1">IFERROR(__xludf.DUMMYFUNCTION("""COMPUTED_VALUE"""),"New")</f>
        <v>New</v>
      </c>
      <c r="F878" s="72">
        <v>67</v>
      </c>
      <c r="G878" s="72">
        <v>1477</v>
      </c>
      <c r="P878" s="26"/>
    </row>
    <row r="879" spans="1:16" ht="14.5">
      <c r="A879" s="3" t="s">
        <v>38</v>
      </c>
      <c r="B879" s="8" t="s">
        <v>2808</v>
      </c>
      <c r="C879" s="46" t="s">
        <v>4204</v>
      </c>
      <c r="D879" s="41" t="str">
        <f ca="1">IFERROR(__xludf.DUMMYFUNCTION("IFERROR(ARRAYFORMULA(REGEXEXTRACT(C879,""^(?:https?:\/\/)?(?:[^@\n]+@)?(?:www\.)?([^:\/\n]+)"")),"""")"),"geebo.com")</f>
        <v>geebo.com</v>
      </c>
      <c r="E879" s="26" t="str">
        <f ca="1">IFERROR(__xludf.DUMMYFUNCTION("""COMPUTED_VALUE"""),"New")</f>
        <v>New</v>
      </c>
      <c r="F879" s="72">
        <v>54</v>
      </c>
      <c r="G879" s="72">
        <v>7359</v>
      </c>
      <c r="P879" s="26"/>
    </row>
    <row r="880" spans="1:16" ht="14.5">
      <c r="A880" s="3" t="s">
        <v>38</v>
      </c>
      <c r="B880" s="71" t="s">
        <v>2816</v>
      </c>
      <c r="C880" s="49" t="s">
        <v>4205</v>
      </c>
      <c r="D880" s="41" t="str">
        <f ca="1">IFERROR(__xludf.DUMMYFUNCTION("IFERROR(ARRAYFORMULA(REGEXEXTRACT(C880,""^(?:https?:\/\/)?(?:[^@\n]+@)?(?:www\.)?([^:\/\n]+)"")),"""")"),"nikkisplate.com")</f>
        <v>nikkisplate.com</v>
      </c>
      <c r="E880" s="26" t="str">
        <f ca="1">IFERROR(__xludf.DUMMYFUNCTION("""COMPUTED_VALUE"""),"New")</f>
        <v>New</v>
      </c>
      <c r="F880" s="72">
        <v>32</v>
      </c>
      <c r="G880" s="72">
        <v>9053</v>
      </c>
      <c r="H880" s="27" t="s">
        <v>4206</v>
      </c>
      <c r="I880" s="27" t="s">
        <v>4207</v>
      </c>
      <c r="K880" s="27" t="s">
        <v>3756</v>
      </c>
      <c r="L880" s="112"/>
      <c r="M880" s="66" t="s">
        <v>3117</v>
      </c>
      <c r="N880" s="48">
        <v>46035</v>
      </c>
      <c r="O880" s="48">
        <v>46071</v>
      </c>
      <c r="P880" s="26"/>
    </row>
    <row r="881" spans="1:16" ht="14.5">
      <c r="A881" s="3" t="s">
        <v>38</v>
      </c>
      <c r="B881" s="8" t="s">
        <v>2816</v>
      </c>
      <c r="C881" s="46" t="s">
        <v>4208</v>
      </c>
      <c r="D881" s="41" t="str">
        <f ca="1">IFERROR(__xludf.DUMMYFUNCTION("IFERROR(ARRAYFORMULA(REGEXEXTRACT(C881,""^(?:https?:\/\/)?(?:[^@\n]+@)?(?:www\.)?([^:\/\n]+)"")),"""")"),"sneakymommies.com")</f>
        <v>sneakymommies.com</v>
      </c>
      <c r="E881" s="26" t="str">
        <f ca="1">IFERROR(__xludf.DUMMYFUNCTION("""COMPUTED_VALUE"""),"New")</f>
        <v>New</v>
      </c>
      <c r="F881" s="72">
        <v>44</v>
      </c>
      <c r="G881" s="72">
        <v>5086</v>
      </c>
      <c r="O881" s="48"/>
      <c r="P881" s="26"/>
    </row>
    <row r="882" spans="1:16" ht="14.5">
      <c r="A882" s="3" t="s">
        <v>38</v>
      </c>
      <c r="B882" s="8" t="s">
        <v>2816</v>
      </c>
      <c r="C882" s="49" t="s">
        <v>4209</v>
      </c>
      <c r="D882" s="41" t="str">
        <f ca="1">IFERROR(__xludf.DUMMYFUNCTION("IFERROR(ARRAYFORMULA(REGEXEXTRACT(C882,""^(?:https?:\/\/)?(?:[^@\n]+@)?(?:www\.)?([^:\/\n]+)"")),"""")"),"nexthome.ca")</f>
        <v>nexthome.ca</v>
      </c>
      <c r="E882" s="26" t="str">
        <f ca="1">IFERROR(__xludf.DUMMYFUNCTION("""COMPUTED_VALUE"""),"New")</f>
        <v>New</v>
      </c>
      <c r="F882" s="72">
        <v>45</v>
      </c>
      <c r="G882" s="72">
        <v>2467</v>
      </c>
      <c r="H882" s="27" t="s">
        <v>4210</v>
      </c>
      <c r="I882" s="27" t="s">
        <v>4211</v>
      </c>
      <c r="J882" s="27" t="s">
        <v>4212</v>
      </c>
      <c r="K882" s="27" t="s">
        <v>3853</v>
      </c>
      <c r="L882" s="112"/>
      <c r="M882" s="66" t="s">
        <v>3117</v>
      </c>
      <c r="N882" s="48">
        <v>46035</v>
      </c>
      <c r="O882" s="48">
        <v>46072</v>
      </c>
      <c r="P882" s="26"/>
    </row>
    <row r="883" spans="1:16" ht="14.5" hidden="1">
      <c r="A883" s="3" t="s">
        <v>38</v>
      </c>
      <c r="B883" s="8" t="s">
        <v>2816</v>
      </c>
      <c r="C883" s="46" t="s">
        <v>4213</v>
      </c>
      <c r="D883" s="41" t="str">
        <f ca="1">IFERROR(__xludf.DUMMYFUNCTION("IFERROR(ARRAYFORMULA(REGEXEXTRACT(C883,""^(?:https?:\/\/)?(?:[^@\n]+@)?(?:www\.)?([^:\/\n]+)"")),"""")"),"mothersalwaysright.com")</f>
        <v>mothersalwaysright.com</v>
      </c>
      <c r="E883" s="26" t="str">
        <f ca="1">IFERROR(__xludf.DUMMYFUNCTION("""COMPUTED_VALUE"""),"Already Exists")</f>
        <v>Already Exists</v>
      </c>
      <c r="F883" s="72">
        <v>63</v>
      </c>
      <c r="G883" s="72">
        <v>18320</v>
      </c>
    </row>
    <row r="884" spans="1:16" ht="14.5">
      <c r="A884" s="3" t="s">
        <v>38</v>
      </c>
      <c r="B884" s="8" t="s">
        <v>2816</v>
      </c>
      <c r="C884" s="46" t="s">
        <v>4214</v>
      </c>
      <c r="D884" s="41" t="str">
        <f ca="1">IFERROR(__xludf.DUMMYFUNCTION("IFERROR(ARRAYFORMULA(REGEXEXTRACT(C884,""^(?:https?:\/\/)?(?:[^@\n]+@)?(?:www\.)?([^:\/\n]+)"")),"""")"),"pieteikumi.lff.lv")</f>
        <v>pieteikumi.lff.lv</v>
      </c>
      <c r="E884" s="26" t="str">
        <f ca="1">IFERROR(__xludf.DUMMYFUNCTION("""COMPUTED_VALUE"""),"New")</f>
        <v>New</v>
      </c>
      <c r="F884" s="72">
        <v>58</v>
      </c>
      <c r="G884" s="72">
        <v>12150</v>
      </c>
      <c r="P884" s="26"/>
    </row>
    <row r="885" spans="1:16" ht="14.5">
      <c r="A885" s="3" t="s">
        <v>38</v>
      </c>
      <c r="B885" s="8" t="s">
        <v>2816</v>
      </c>
      <c r="C885" s="46" t="s">
        <v>4215</v>
      </c>
      <c r="D885" s="41" t="str">
        <f ca="1">IFERROR(__xludf.DUMMYFUNCTION("IFERROR(ARRAYFORMULA(REGEXEXTRACT(C885,""^(?:https?:\/\/)?(?:[^@\n]+@)?(?:www\.)?([^:\/\n]+)"")),"""")"),"torontomike.com")</f>
        <v>torontomike.com</v>
      </c>
      <c r="E885" s="26" t="str">
        <f ca="1">IFERROR(__xludf.DUMMYFUNCTION("""COMPUTED_VALUE"""),"New")</f>
        <v>New</v>
      </c>
      <c r="F885" s="72">
        <v>45</v>
      </c>
      <c r="G885" s="72">
        <v>1129</v>
      </c>
      <c r="P885" s="26"/>
    </row>
    <row r="886" spans="1:16" ht="14.5">
      <c r="A886" s="3" t="s">
        <v>38</v>
      </c>
      <c r="B886" s="8" t="s">
        <v>2816</v>
      </c>
      <c r="C886" s="46" t="s">
        <v>4216</v>
      </c>
      <c r="D886" s="41" t="str">
        <f ca="1">IFERROR(__xludf.DUMMYFUNCTION("IFERROR(ARRAYFORMULA(REGEXEXTRACT(C886,""^(?:https?:\/\/)?(?:[^@\n]+@)?(?:www\.)?([^:\/\n]+)"")),"""")"),"breken.com")</f>
        <v>breken.com</v>
      </c>
      <c r="E886" s="26" t="str">
        <f ca="1">IFERROR(__xludf.DUMMYFUNCTION("""COMPUTED_VALUE"""),"New")</f>
        <v>New</v>
      </c>
      <c r="F886" s="72">
        <v>34</v>
      </c>
      <c r="G886" s="72">
        <v>1217</v>
      </c>
      <c r="P886" s="26"/>
    </row>
    <row r="887" spans="1:16" ht="14.5">
      <c r="A887" s="3" t="s">
        <v>38</v>
      </c>
      <c r="B887" s="17" t="s">
        <v>2815</v>
      </c>
      <c r="C887" s="46" t="s">
        <v>4217</v>
      </c>
      <c r="D887" s="41" t="str">
        <f ca="1">IFERROR(__xludf.DUMMYFUNCTION("IFERROR(ARRAYFORMULA(REGEXEXTRACT(C887,""^(?:https?:\/\/)?(?:[^@\n]+@)?(?:www\.)?([^:\/\n]+)"")),"""")"),"exploregeorgia.org")</f>
        <v>exploregeorgia.org</v>
      </c>
      <c r="E887" s="26" t="str">
        <f ca="1">IFERROR(__xludf.DUMMYFUNCTION("""COMPUTED_VALUE"""),"New")</f>
        <v>New</v>
      </c>
      <c r="F887" s="72">
        <v>78</v>
      </c>
      <c r="G887" s="72">
        <v>372066</v>
      </c>
      <c r="P887" s="26"/>
    </row>
    <row r="888" spans="1:16" ht="14.5">
      <c r="A888" s="3" t="s">
        <v>38</v>
      </c>
      <c r="B888" s="8" t="s">
        <v>2815</v>
      </c>
      <c r="C888" s="46" t="s">
        <v>4218</v>
      </c>
      <c r="D888" s="41" t="str">
        <f ca="1">IFERROR(__xludf.DUMMYFUNCTION("IFERROR(ARRAYFORMULA(REGEXEXTRACT(C888,""^(?:https?:\/\/)?(?:[^@\n]+@)?(?:www\.)?([^:\/\n]+)"")),"""")"),"alpharetta.com")</f>
        <v>alpharetta.com</v>
      </c>
      <c r="E888" s="26" t="str">
        <f ca="1">IFERROR(__xludf.DUMMYFUNCTION("""COMPUTED_VALUE"""),"New")</f>
        <v>New</v>
      </c>
      <c r="F888" s="72">
        <v>21</v>
      </c>
      <c r="G888" s="72">
        <v>1371</v>
      </c>
      <c r="P888" s="26"/>
    </row>
    <row r="889" spans="1:16" ht="14.5">
      <c r="A889" s="3" t="s">
        <v>38</v>
      </c>
      <c r="B889" s="8" t="s">
        <v>2815</v>
      </c>
      <c r="C889" s="46" t="s">
        <v>4219</v>
      </c>
      <c r="D889" s="41" t="str">
        <f ca="1">IFERROR(__xludf.DUMMYFUNCTION("IFERROR(ARRAYFORMULA(REGEXEXTRACT(C889,""^(?:https?:\/\/)?(?:[^@\n]+@)?(?:www\.)?([^:\/\n]+)"")),"""")"),"resourcecenter.lennar.com")</f>
        <v>resourcecenter.lennar.com</v>
      </c>
      <c r="E889" s="26" t="str">
        <f ca="1">IFERROR(__xludf.DUMMYFUNCTION("""COMPUTED_VALUE"""),"New")</f>
        <v>New</v>
      </c>
      <c r="F889" s="72">
        <v>76</v>
      </c>
      <c r="G889" s="72">
        <v>313545</v>
      </c>
      <c r="P889" s="26"/>
    </row>
    <row r="890" spans="1:16" ht="14.5">
      <c r="A890" s="3" t="s">
        <v>38</v>
      </c>
      <c r="B890" s="8" t="s">
        <v>2815</v>
      </c>
      <c r="C890" s="46" t="s">
        <v>4220</v>
      </c>
      <c r="D890" s="41" t="str">
        <f ca="1">IFERROR(__xludf.DUMMYFUNCTION("IFERROR(ARRAYFORMULA(REGEXEXTRACT(C890,""^(?:https?:\/\/)?(?:[^@\n]+@)?(?:www\.)?([^:\/\n]+)"")),"""")"),"midgardselfstorage.com")</f>
        <v>midgardselfstorage.com</v>
      </c>
      <c r="E890" s="26" t="str">
        <f ca="1">IFERROR(__xludf.DUMMYFUNCTION("""COMPUTED_VALUE"""),"New")</f>
        <v>New</v>
      </c>
      <c r="F890" s="72">
        <v>27</v>
      </c>
      <c r="G890" s="72">
        <v>13846</v>
      </c>
      <c r="P890" s="26"/>
    </row>
    <row r="891" spans="1:16" ht="14.5">
      <c r="A891" s="3" t="s">
        <v>38</v>
      </c>
      <c r="B891" s="8" t="s">
        <v>2815</v>
      </c>
      <c r="C891" s="49" t="s">
        <v>4221</v>
      </c>
      <c r="D891" s="41" t="str">
        <f ca="1">IFERROR(__xludf.DUMMYFUNCTION("IFERROR(ARRAYFORMULA(REGEXEXTRACT(C891,""^(?:https?:\/\/)?(?:[^@\n]+@)?(?:www\.)?([^:\/\n]+)"")),"""")"),"tratonhomes.com")</f>
        <v>tratonhomes.com</v>
      </c>
      <c r="E891" s="26" t="str">
        <f ca="1">IFERROR(__xludf.DUMMYFUNCTION("""COMPUTED_VALUE"""),"New")</f>
        <v>New</v>
      </c>
      <c r="F891" s="72">
        <v>23</v>
      </c>
      <c r="G891" s="72">
        <v>1774</v>
      </c>
      <c r="I891" s="27" t="s">
        <v>4222</v>
      </c>
      <c r="J891" s="27" t="s">
        <v>4223</v>
      </c>
      <c r="K891" s="27" t="s">
        <v>3853</v>
      </c>
      <c r="L891" s="112"/>
      <c r="M891" s="66" t="s">
        <v>3117</v>
      </c>
      <c r="N891" s="48">
        <v>46035</v>
      </c>
      <c r="O891" s="48">
        <v>46072</v>
      </c>
      <c r="P891" s="26"/>
    </row>
    <row r="892" spans="1:16" ht="14.5">
      <c r="A892" s="3" t="s">
        <v>38</v>
      </c>
      <c r="B892" s="8" t="s">
        <v>2815</v>
      </c>
      <c r="C892" s="46" t="s">
        <v>4224</v>
      </c>
      <c r="D892" s="41" t="str">
        <f ca="1">IFERROR(__xludf.DUMMYFUNCTION("IFERROR(ARRAYFORMULA(REGEXEXTRACT(C892,""^(?:https?:\/\/)?(?:[^@\n]+@)?(?:www\.)?([^:\/\n]+)"")),"""")"),"focochamber.org")</f>
        <v>focochamber.org</v>
      </c>
      <c r="E892" s="26" t="str">
        <f ca="1">IFERROR(__xludf.DUMMYFUNCTION("""COMPUTED_VALUE"""),"New")</f>
        <v>New</v>
      </c>
      <c r="F892" s="72">
        <v>43</v>
      </c>
      <c r="G892" s="72">
        <v>1353</v>
      </c>
      <c r="P892" s="26"/>
    </row>
    <row r="893" spans="1:16" ht="14.5">
      <c r="A893" s="3" t="s">
        <v>38</v>
      </c>
      <c r="B893" s="8" t="s">
        <v>2815</v>
      </c>
      <c r="C893" s="46" t="s">
        <v>4225</v>
      </c>
      <c r="D893" s="41" t="str">
        <f ca="1">IFERROR(__xludf.DUMMYFUNCTION("IFERROR(ARRAYFORMULA(REGEXEXTRACT(C893,""^(?:https?:\/\/)?(?:[^@\n]+@)?(?:www\.)?([^:\/\n]+)"")),"""")"),"southernbakedpie.com")</f>
        <v>southernbakedpie.com</v>
      </c>
      <c r="E893" s="26" t="str">
        <f ca="1">IFERROR(__xludf.DUMMYFUNCTION("""COMPUTED_VALUE"""),"New")</f>
        <v>New</v>
      </c>
      <c r="F893" s="72">
        <v>39</v>
      </c>
      <c r="G893" s="72">
        <v>6939</v>
      </c>
      <c r="P893" s="26"/>
    </row>
    <row r="894" spans="1:16" ht="14.5">
      <c r="A894" s="3" t="s">
        <v>38</v>
      </c>
      <c r="B894" s="8" t="s">
        <v>2815</v>
      </c>
      <c r="C894" s="46" t="s">
        <v>4226</v>
      </c>
      <c r="D894" s="41" t="str">
        <f ca="1">IFERROR(__xludf.DUMMYFUNCTION("IFERROR(ARRAYFORMULA(REGEXEXTRACT(C894,""^(?:https?:\/\/)?(?:[^@\n]+@)?(?:www\.)?([^:\/\n]+)"")),"""")"),"northgeorgialiving.com")</f>
        <v>northgeorgialiving.com</v>
      </c>
      <c r="E894" s="26" t="str">
        <f ca="1">IFERROR(__xludf.DUMMYFUNCTION("""COMPUTED_VALUE"""),"New")</f>
        <v>New</v>
      </c>
      <c r="F894" s="72">
        <v>22</v>
      </c>
      <c r="G894" s="72">
        <v>2352</v>
      </c>
      <c r="P894" s="26"/>
    </row>
    <row r="895" spans="1:16" ht="14.5" hidden="1">
      <c r="A895" s="3" t="s">
        <v>38</v>
      </c>
      <c r="B895" s="8" t="s">
        <v>2815</v>
      </c>
      <c r="C895" s="46" t="s">
        <v>4227</v>
      </c>
      <c r="D895" s="41" t="str">
        <f ca="1">IFERROR(__xludf.DUMMYFUNCTION("IFERROR(ARRAYFORMULA(REGEXEXTRACT(C895,""^(?:https?:\/\/)?(?:[^@\n]+@)?(?:www\.)?([^:\/\n]+)"")),"""")"),"atlantarealestateforum.com")</f>
        <v>atlantarealestateforum.com</v>
      </c>
      <c r="E895" s="26" t="str">
        <f ca="1">IFERROR(__xludf.DUMMYFUNCTION("""COMPUTED_VALUE"""),"Already Exists")</f>
        <v>Already Exists</v>
      </c>
      <c r="F895" s="72">
        <v>52</v>
      </c>
      <c r="G895" s="72">
        <v>1729</v>
      </c>
    </row>
    <row r="896" spans="1:16" ht="14.5">
      <c r="A896" s="3" t="s">
        <v>38</v>
      </c>
      <c r="B896" s="8" t="s">
        <v>2815</v>
      </c>
      <c r="C896" s="46" t="s">
        <v>4228</v>
      </c>
      <c r="D896" s="41" t="str">
        <f ca="1">IFERROR(__xludf.DUMMYFUNCTION("IFERROR(ARRAYFORMULA(REGEXEXTRACT(C896,""^(?:https?:\/\/)?(?:[^@\n]+@)?(?:www\.)?([^:\/\n]+)"")),"""")"),"hotelguides.com")</f>
        <v>hotelguides.com</v>
      </c>
      <c r="E896" s="26" t="str">
        <f ca="1">IFERROR(__xludf.DUMMYFUNCTION("""COMPUTED_VALUE"""),"New")</f>
        <v>New</v>
      </c>
      <c r="F896" s="72">
        <v>55</v>
      </c>
      <c r="G896" s="72">
        <v>17237</v>
      </c>
      <c r="P896" s="26"/>
    </row>
    <row r="897" spans="1:16" ht="14.5">
      <c r="A897" s="3" t="s">
        <v>38</v>
      </c>
      <c r="B897" s="8" t="s">
        <v>2815</v>
      </c>
      <c r="C897" s="46" t="s">
        <v>4229</v>
      </c>
      <c r="D897" s="41" t="str">
        <f ca="1">IFERROR(__xludf.DUMMYFUNCTION("IFERROR(ARRAYFORMULA(REGEXEXTRACT(C897,""^(?:https?:\/\/)?(?:[^@\n]+@)?(?:www\.)?([^:\/\n]+)"")),"""")"),"belameresuites.com")</f>
        <v>belameresuites.com</v>
      </c>
      <c r="E897" s="26" t="str">
        <f ca="1">IFERROR(__xludf.DUMMYFUNCTION("""COMPUTED_VALUE"""),"New")</f>
        <v>New</v>
      </c>
      <c r="F897" s="72">
        <v>37</v>
      </c>
      <c r="G897" s="72">
        <v>28090</v>
      </c>
      <c r="P897" s="26"/>
    </row>
    <row r="898" spans="1:16" ht="14.5">
      <c r="A898" s="3" t="s">
        <v>38</v>
      </c>
      <c r="B898" s="8" t="s">
        <v>2815</v>
      </c>
      <c r="C898" s="46" t="s">
        <v>4230</v>
      </c>
      <c r="D898" s="41" t="str">
        <f ca="1">IFERROR(__xludf.DUMMYFUNCTION("IFERROR(ARRAYFORMULA(REGEXEXTRACT(C898,""^(?:https?:\/\/)?(?:[^@\n]+@)?(?:www\.)?([^:\/\n]+)"")),"""")"),"greystar.com")</f>
        <v>greystar.com</v>
      </c>
      <c r="E898" s="26" t="str">
        <f ca="1">IFERROR(__xludf.DUMMYFUNCTION("""COMPUTED_VALUE"""),"New")</f>
        <v>New</v>
      </c>
      <c r="F898" s="72">
        <v>83</v>
      </c>
      <c r="G898" s="72">
        <v>207790</v>
      </c>
      <c r="P898" s="26"/>
    </row>
    <row r="899" spans="1:16" ht="14.5">
      <c r="A899" s="3" t="s">
        <v>38</v>
      </c>
      <c r="B899" s="8" t="s">
        <v>2815</v>
      </c>
      <c r="C899" s="46" t="s">
        <v>4231</v>
      </c>
      <c r="D899" s="41" t="str">
        <f ca="1">IFERROR(__xludf.DUMMYFUNCTION("IFERROR(ARRAYFORMULA(REGEXEXTRACT(C899,""^(?:https?:\/\/)?(?:[^@\n]+@)?(?:www\.)?([^:\/\n]+)"")),"""")"),"tripinfo.com")</f>
        <v>tripinfo.com</v>
      </c>
      <c r="E899" s="26" t="str">
        <f ca="1">IFERROR(__xludf.DUMMYFUNCTION("""COMPUTED_VALUE"""),"New")</f>
        <v>New</v>
      </c>
      <c r="F899" s="72">
        <v>30</v>
      </c>
      <c r="G899" s="72">
        <v>10167</v>
      </c>
      <c r="P899" s="26"/>
    </row>
    <row r="900" spans="1:16" ht="14.5">
      <c r="A900" s="3" t="s">
        <v>38</v>
      </c>
      <c r="B900" s="8" t="s">
        <v>2815</v>
      </c>
      <c r="C900" s="49" t="s">
        <v>4232</v>
      </c>
      <c r="D900" s="41" t="str">
        <f ca="1">IFERROR(__xludf.DUMMYFUNCTION("IFERROR(ARRAYFORMULA(REGEXEXTRACT(C900,""^(?:https?:\/\/)?(?:[^@\n]+@)?(?:www\.)?([^:\/\n]+)"")),"""")"),"justinlandisgroup.com")</f>
        <v>justinlandisgroup.com</v>
      </c>
      <c r="E900" s="26" t="str">
        <f ca="1">IFERROR(__xludf.DUMMYFUNCTION("""COMPUTED_VALUE"""),"New")</f>
        <v>New</v>
      </c>
      <c r="F900" s="72">
        <v>33</v>
      </c>
      <c r="G900" s="72">
        <v>3370</v>
      </c>
      <c r="H900" s="27" t="s">
        <v>4233</v>
      </c>
      <c r="I900" s="27" t="s">
        <v>4234</v>
      </c>
      <c r="J900" s="27" t="s">
        <v>4235</v>
      </c>
      <c r="K900" s="27" t="s">
        <v>3853</v>
      </c>
      <c r="L900" s="112"/>
      <c r="M900" s="66" t="s">
        <v>3117</v>
      </c>
      <c r="N900" s="48">
        <v>46035</v>
      </c>
      <c r="O900" s="48">
        <v>46072</v>
      </c>
      <c r="P900" s="26"/>
    </row>
    <row r="901" spans="1:16" ht="14.5">
      <c r="A901" s="3" t="s">
        <v>38</v>
      </c>
      <c r="B901" s="8" t="s">
        <v>2815</v>
      </c>
      <c r="C901" s="46" t="s">
        <v>4236</v>
      </c>
      <c r="D901" s="41" t="str">
        <f ca="1">IFERROR(__xludf.DUMMYFUNCTION("IFERROR(ARRAYFORMULA(REGEXEXTRACT(C901,""^(?:https?:\/\/)?(?:[^@\n]+@)?(?:www\.)?([^:\/\n]+)"")),"""")"),"crexi.com")</f>
        <v>crexi.com</v>
      </c>
      <c r="E901" s="26" t="str">
        <f ca="1">IFERROR(__xludf.DUMMYFUNCTION("""COMPUTED_VALUE"""),"New")</f>
        <v>New</v>
      </c>
      <c r="F901" s="72">
        <v>79</v>
      </c>
      <c r="G901" s="72">
        <v>416915</v>
      </c>
      <c r="P901" s="26"/>
    </row>
    <row r="902" spans="1:16" ht="14.5">
      <c r="A902" s="3" t="s">
        <v>38</v>
      </c>
      <c r="B902" s="8" t="s">
        <v>2815</v>
      </c>
      <c r="C902" s="49" t="s">
        <v>4237</v>
      </c>
      <c r="D902" s="41" t="str">
        <f ca="1">IFERROR(__xludf.DUMMYFUNCTION("IFERROR(ARRAYFORMULA(REGEXEXTRACT(C902,""^(?:https?:\/\/)?(?:[^@\n]+@)?(?:www\.)?([^:\/\n]+)"")),"""")"),"empirehomes.com")</f>
        <v>empirehomes.com</v>
      </c>
      <c r="E902" s="26" t="str">
        <f ca="1">IFERROR(__xludf.DUMMYFUNCTION("""COMPUTED_VALUE"""),"New")</f>
        <v>New</v>
      </c>
      <c r="F902" s="72">
        <v>59</v>
      </c>
      <c r="G902" s="72">
        <v>7783</v>
      </c>
      <c r="I902" s="27" t="s">
        <v>4238</v>
      </c>
      <c r="J902" s="27" t="s">
        <v>4239</v>
      </c>
      <c r="K902" s="27" t="s">
        <v>3853</v>
      </c>
      <c r="L902" s="112"/>
      <c r="M902" s="27" t="s">
        <v>3715</v>
      </c>
      <c r="N902" s="48">
        <v>46035</v>
      </c>
      <c r="O902" s="37">
        <v>46064</v>
      </c>
      <c r="P902" s="26"/>
    </row>
    <row r="903" spans="1:16" ht="14.5">
      <c r="A903" s="3" t="s">
        <v>38</v>
      </c>
      <c r="B903" s="8" t="s">
        <v>2815</v>
      </c>
      <c r="C903" s="49" t="s">
        <v>4240</v>
      </c>
      <c r="D903" s="41" t="str">
        <f ca="1">IFERROR(__xludf.DUMMYFUNCTION("IFERROR(ARRAYFORMULA(REGEXEXTRACT(C903,""^(?:https?:\/\/)?(?:[^@\n]+@)?(?:www\.)?([^:\/\n]+)"")),"""")"),"agentpronto.com")</f>
        <v>agentpronto.com</v>
      </c>
      <c r="E903" s="26" t="str">
        <f ca="1">IFERROR(__xludf.DUMMYFUNCTION("""COMPUTED_VALUE"""),"New")</f>
        <v>New</v>
      </c>
      <c r="F903" s="72">
        <v>38</v>
      </c>
      <c r="G903" s="72">
        <v>1475</v>
      </c>
      <c r="I903" s="27" t="s">
        <v>4241</v>
      </c>
      <c r="J903" s="27" t="s">
        <v>4242</v>
      </c>
      <c r="K903" s="27" t="s">
        <v>3853</v>
      </c>
      <c r="L903" s="112"/>
      <c r="M903" s="27" t="s">
        <v>3715</v>
      </c>
      <c r="N903" s="48">
        <v>46035</v>
      </c>
      <c r="O903" s="37">
        <v>46065</v>
      </c>
      <c r="P903" s="26"/>
    </row>
    <row r="904" spans="1:16" ht="14.5">
      <c r="A904" s="3" t="s">
        <v>38</v>
      </c>
      <c r="B904" s="8" t="s">
        <v>2815</v>
      </c>
      <c r="C904" s="46" t="s">
        <v>4243</v>
      </c>
      <c r="D904" s="41" t="str">
        <f ca="1">IFERROR(__xludf.DUMMYFUNCTION("IFERROR(ARRAYFORMULA(REGEXEXTRACT(C904,""^(?:https?:\/\/)?(?:[^@\n]+@)?(?:www\.)?([^:\/\n]+)"")),"""")"),"atlantaparent.com")</f>
        <v>atlantaparent.com</v>
      </c>
      <c r="E904" s="26" t="str">
        <f ca="1">IFERROR(__xludf.DUMMYFUNCTION("""COMPUTED_VALUE"""),"New")</f>
        <v>New</v>
      </c>
      <c r="F904" s="72">
        <v>56</v>
      </c>
      <c r="G904" s="72">
        <v>19252</v>
      </c>
      <c r="O904" s="39"/>
      <c r="P904" s="26"/>
    </row>
    <row r="905" spans="1:16" ht="14.5">
      <c r="A905" s="3" t="s">
        <v>38</v>
      </c>
      <c r="B905" s="8" t="s">
        <v>2815</v>
      </c>
      <c r="C905" s="46" t="s">
        <v>4244</v>
      </c>
      <c r="D905" s="41" t="str">
        <f ca="1">IFERROR(__xludf.DUMMYFUNCTION("IFERROR(ARRAYFORMULA(REGEXEXTRACT(C905,""^(?:https?:\/\/)?(?:[^@\n]+@)?(?:www\.)?([^:\/\n]+)"")),"""")"),"steller.co")</f>
        <v>steller.co</v>
      </c>
      <c r="E905" s="26" t="str">
        <f ca="1">IFERROR(__xludf.DUMMYFUNCTION("""COMPUTED_VALUE"""),"New")</f>
        <v>New</v>
      </c>
      <c r="F905" s="72">
        <v>66</v>
      </c>
      <c r="G905" s="72">
        <v>4469</v>
      </c>
      <c r="P905" s="26"/>
    </row>
    <row r="906" spans="1:16" ht="14.5">
      <c r="A906" s="3" t="s">
        <v>38</v>
      </c>
      <c r="B906" s="8" t="s">
        <v>2815</v>
      </c>
      <c r="C906" s="46" t="s">
        <v>4245</v>
      </c>
      <c r="D906" s="41" t="str">
        <f ca="1">IFERROR(__xludf.DUMMYFUNCTION("IFERROR(ARRAYFORMULA(REGEXEXTRACT(C906,""^(?:https?:\/\/)?(?:[^@\n]+@)?(?:www\.)?([^:\/\n]+)"")),"""")"),"accesswdun.com")</f>
        <v>accesswdun.com</v>
      </c>
      <c r="E906" s="26" t="str">
        <f ca="1">IFERROR(__xludf.DUMMYFUNCTION("""COMPUTED_VALUE"""),"New")</f>
        <v>New</v>
      </c>
      <c r="F906" s="72">
        <v>60</v>
      </c>
      <c r="G906" s="72">
        <v>22241</v>
      </c>
      <c r="P906" s="26"/>
    </row>
    <row r="907" spans="1:16" ht="14.5">
      <c r="A907" s="3" t="s">
        <v>38</v>
      </c>
      <c r="B907" s="8" t="s">
        <v>2815</v>
      </c>
      <c r="C907" s="46" t="s">
        <v>4246</v>
      </c>
      <c r="D907" s="41" t="str">
        <f ca="1">IFERROR(__xludf.DUMMYFUNCTION("IFERROR(ARRAYFORMULA(REGEXEXTRACT(C907,""^(?:https?:\/\/)?(?:[^@\n]+@)?(?:www\.)?([^:\/\n]+)"")),"""")"),"dev-fa-nextjs.familyassets.com")</f>
        <v>dev-fa-nextjs.familyassets.com</v>
      </c>
      <c r="E907" s="26" t="str">
        <f ca="1">IFERROR(__xludf.DUMMYFUNCTION("""COMPUTED_VALUE"""),"New")</f>
        <v>New</v>
      </c>
      <c r="F907" s="72">
        <v>44</v>
      </c>
      <c r="G907" s="72">
        <v>190836</v>
      </c>
      <c r="P907" s="26"/>
    </row>
    <row r="908" spans="1:16" ht="14.5">
      <c r="A908" s="3" t="s">
        <v>38</v>
      </c>
      <c r="B908" s="8" t="s">
        <v>2815</v>
      </c>
      <c r="C908" s="46" t="s">
        <v>4247</v>
      </c>
      <c r="D908" s="41" t="str">
        <f ca="1">IFERROR(__xludf.DUMMYFUNCTION("IFERROR(ARRAYFORMULA(REGEXEXTRACT(C908,""^(?:https?:\/\/)?(?:[^@\n]+@)?(?:www\.)?([^:\/\n]+)"")),"""")"),"accessatlanta.com")</f>
        <v>accessatlanta.com</v>
      </c>
      <c r="E908" s="26" t="str">
        <f ca="1">IFERROR(__xludf.DUMMYFUNCTION("""COMPUTED_VALUE"""),"New")</f>
        <v>New</v>
      </c>
      <c r="F908" s="72">
        <v>70</v>
      </c>
      <c r="G908" s="72">
        <v>15122</v>
      </c>
      <c r="P908" s="26"/>
    </row>
    <row r="909" spans="1:16" ht="14.5">
      <c r="A909" s="3" t="s">
        <v>38</v>
      </c>
      <c r="B909" s="8" t="s">
        <v>2815</v>
      </c>
      <c r="C909" s="49" t="s">
        <v>4248</v>
      </c>
      <c r="D909" s="41" t="str">
        <f ca="1">IFERROR(__xludf.DUMMYFUNCTION("IFERROR(ARRAYFORMULA(REGEXEXTRACT(C909,""^(?:https?:\/\/)?(?:[^@\n]+@)?(?:www\.)?([^:\/\n]+)"")),"""")"),"whatnow.com")</f>
        <v>whatnow.com</v>
      </c>
      <c r="E909" s="26" t="str">
        <f ca="1">IFERROR(__xludf.DUMMYFUNCTION("""COMPUTED_VALUE"""),"New")</f>
        <v>New</v>
      </c>
      <c r="F909" s="72">
        <v>65</v>
      </c>
      <c r="G909" s="72">
        <v>30035</v>
      </c>
      <c r="H909" s="27" t="s">
        <v>4249</v>
      </c>
      <c r="I909" s="27" t="s">
        <v>4250</v>
      </c>
      <c r="J909" s="27" t="s">
        <v>4251</v>
      </c>
      <c r="K909" s="27" t="s">
        <v>3853</v>
      </c>
      <c r="L909" s="112"/>
      <c r="M909" s="27" t="s">
        <v>3715</v>
      </c>
      <c r="N909" s="48">
        <v>46035</v>
      </c>
      <c r="O909" s="37">
        <v>46065</v>
      </c>
      <c r="P909" s="26"/>
    </row>
    <row r="910" spans="1:16" ht="14.5">
      <c r="A910" s="3" t="s">
        <v>38</v>
      </c>
      <c r="B910" s="8" t="s">
        <v>2815</v>
      </c>
      <c r="C910" s="46" t="s">
        <v>4252</v>
      </c>
      <c r="D910" s="41" t="str">
        <f ca="1">IFERROR(__xludf.DUMMYFUNCTION("IFERROR(ARRAYFORMULA(REGEXEXTRACT(C910,""^(?:https?:\/\/)?(?:[^@\n]+@)?(?:www\.)?([^:\/\n]+)"")),"""")"),"12onyourside.com")</f>
        <v>12onyourside.com</v>
      </c>
      <c r="E910" s="26" t="str">
        <f ca="1">IFERROR(__xludf.DUMMYFUNCTION("""COMPUTED_VALUE"""),"New")</f>
        <v>New</v>
      </c>
      <c r="F910" s="72">
        <v>74</v>
      </c>
      <c r="G910" s="72">
        <v>119110</v>
      </c>
      <c r="P910" s="26"/>
    </row>
    <row r="911" spans="1:16" ht="14.5">
      <c r="A911" s="3" t="s">
        <v>38</v>
      </c>
      <c r="B911" s="8" t="s">
        <v>2815</v>
      </c>
      <c r="C911" s="46" t="s">
        <v>4253</v>
      </c>
      <c r="D911" s="41" t="str">
        <f ca="1">IFERROR(__xludf.DUMMYFUNCTION("IFERROR(ARRAYFORMULA(REGEXEXTRACT(C911,""^(?:https?:\/\/)?(?:[^@\n]+@)?(?:www\.)?([^:\/\n]+)"")),"""")"),"tripinfoapp.herokuapp.com")</f>
        <v>tripinfoapp.herokuapp.com</v>
      </c>
      <c r="E911" s="26" t="str">
        <f ca="1">IFERROR(__xludf.DUMMYFUNCTION("""COMPUTED_VALUE"""),"New")</f>
        <v>New</v>
      </c>
      <c r="F911" s="72">
        <v>91</v>
      </c>
      <c r="G911" s="72">
        <v>524406</v>
      </c>
      <c r="P911" s="26"/>
    </row>
    <row r="912" spans="1:16" ht="14.5">
      <c r="A912" s="3" t="s">
        <v>38</v>
      </c>
      <c r="B912" s="8" t="s">
        <v>2815</v>
      </c>
      <c r="C912" s="49" t="s">
        <v>4254</v>
      </c>
      <c r="D912" s="41" t="str">
        <f ca="1">IFERROR(__xludf.DUMMYFUNCTION("IFERROR(ARRAYFORMULA(REGEXEXTRACT(C912,""^(?:https?:\/\/)?(?:[^@\n]+@)?(?:www\.)?([^:\/\n]+)"")),"""")"),"theprovidencegroup.com")</f>
        <v>theprovidencegroup.com</v>
      </c>
      <c r="E912" s="26" t="str">
        <f ca="1">IFERROR(__xludf.DUMMYFUNCTION("""COMPUTED_VALUE"""),"New")</f>
        <v>New</v>
      </c>
      <c r="F912" s="72">
        <v>35</v>
      </c>
      <c r="G912" s="72">
        <v>4301</v>
      </c>
      <c r="J912" s="27" t="s">
        <v>4255</v>
      </c>
      <c r="K912" s="27" t="s">
        <v>3853</v>
      </c>
      <c r="L912" s="112"/>
      <c r="M912" s="27" t="s">
        <v>3715</v>
      </c>
      <c r="N912" s="48">
        <v>46035</v>
      </c>
      <c r="O912" s="48">
        <v>46065</v>
      </c>
      <c r="P912" s="26"/>
    </row>
    <row r="913" spans="1:16" ht="14.5">
      <c r="A913" s="3" t="s">
        <v>38</v>
      </c>
      <c r="B913" s="8" t="s">
        <v>2815</v>
      </c>
      <c r="C913" s="46" t="s">
        <v>4256</v>
      </c>
      <c r="D913" s="41" t="str">
        <f ca="1">IFERROR(__xludf.DUMMYFUNCTION("IFERROR(ARRAYFORMULA(REGEXEXTRACT(C913,""^(?:https?:\/\/)?(?:[^@\n]+@)?(?:www\.)?([^:\/\n]+)"")),"""")"),"dollforum.com")</f>
        <v>dollforum.com</v>
      </c>
      <c r="E913" s="26" t="str">
        <f ca="1">IFERROR(__xludf.DUMMYFUNCTION("""COMPUTED_VALUE"""),"New")</f>
        <v>New</v>
      </c>
      <c r="F913" s="72">
        <v>61</v>
      </c>
      <c r="G913" s="72">
        <v>9839</v>
      </c>
      <c r="P913" s="26"/>
    </row>
    <row r="914" spans="1:16" ht="14.5">
      <c r="A914" s="3" t="s">
        <v>38</v>
      </c>
      <c r="B914" s="71" t="s">
        <v>2814</v>
      </c>
      <c r="C914" s="46" t="s">
        <v>4257</v>
      </c>
      <c r="D914" s="41" t="str">
        <f ca="1">IFERROR(__xludf.DUMMYFUNCTION("IFERROR(ARRAYFORMULA(REGEXEXTRACT(C914,""^(?:https?:\/\/)?(?:[^@\n]+@)?(?:www\.)?([^:\/\n]+)"")),"""")"),"homes.com")</f>
        <v>homes.com</v>
      </c>
      <c r="E914" s="26" t="str">
        <f ca="1">IFERROR(__xludf.DUMMYFUNCTION("""COMPUTED_VALUE"""),"New")</f>
        <v>New</v>
      </c>
      <c r="F914" s="72">
        <v>83</v>
      </c>
      <c r="G914" s="72">
        <v>3872672</v>
      </c>
      <c r="P914" s="26"/>
    </row>
    <row r="915" spans="1:16" ht="14.5">
      <c r="A915" s="3" t="s">
        <v>38</v>
      </c>
      <c r="B915" s="8" t="s">
        <v>2814</v>
      </c>
      <c r="C915" s="46" t="s">
        <v>4258</v>
      </c>
      <c r="D915" s="41" t="str">
        <f ca="1">IFERROR(__xludf.DUMMYFUNCTION("IFERROR(ARRAYFORMULA(REGEXEXTRACT(C915,""^(?:https?:\/\/)?(?:[^@\n]+@)?(?:www\.)?([^:\/\n]+)"")),"""")"),"v3.knowatlanta.com")</f>
        <v>v3.knowatlanta.com</v>
      </c>
      <c r="E915" s="26" t="str">
        <f ca="1">IFERROR(__xludf.DUMMYFUNCTION("""COMPUTED_VALUE"""),"New")</f>
        <v>New</v>
      </c>
      <c r="F915" s="72">
        <v>57</v>
      </c>
      <c r="G915" s="72">
        <v>8029</v>
      </c>
      <c r="P915" s="26"/>
    </row>
    <row r="916" spans="1:16" ht="14.5">
      <c r="A916" s="3" t="s">
        <v>38</v>
      </c>
      <c r="B916" s="71" t="s">
        <v>2813</v>
      </c>
      <c r="C916" s="46" t="s">
        <v>4259</v>
      </c>
      <c r="D916" s="41" t="str">
        <f ca="1">IFERROR(__xludf.DUMMYFUNCTION("IFERROR(ARRAYFORMULA(REGEXEXTRACT(C916,""^(?:https?:\/\/)?(?:[^@\n]+@)?(?:www\.)?([^:\/\n]+)"")),"""")"),"avemaria.com")</f>
        <v>avemaria.com</v>
      </c>
      <c r="E916" s="26" t="str">
        <f ca="1">IFERROR(__xludf.DUMMYFUNCTION("""COMPUTED_VALUE"""),"New")</f>
        <v>New</v>
      </c>
      <c r="F916" s="72">
        <v>42</v>
      </c>
      <c r="G916" s="72">
        <v>7183</v>
      </c>
      <c r="P916" s="26"/>
    </row>
    <row r="917" spans="1:16" ht="14.5">
      <c r="A917" s="3" t="s">
        <v>38</v>
      </c>
      <c r="B917" s="8" t="s">
        <v>2813</v>
      </c>
      <c r="C917" s="46" t="s">
        <v>4260</v>
      </c>
      <c r="D917" s="41" t="str">
        <f ca="1">IFERROR(__xludf.DUMMYFUNCTION("IFERROR(ARRAYFORMULA(REGEXEXTRACT(C917,""^(?:https?:\/\/)?(?:[^@\n]+@)?(?:www\.)?([^:\/\n]+)"")),"""")"),"ffxnow.com")</f>
        <v>ffxnow.com</v>
      </c>
      <c r="E917" s="26" t="str">
        <f ca="1">IFERROR(__xludf.DUMMYFUNCTION("""COMPUTED_VALUE"""),"New")</f>
        <v>New</v>
      </c>
      <c r="F917" s="72">
        <v>64</v>
      </c>
      <c r="G917" s="72">
        <v>14179</v>
      </c>
      <c r="P917" s="26"/>
    </row>
    <row r="918" spans="1:16" ht="14.5">
      <c r="A918" s="3" t="s">
        <v>38</v>
      </c>
      <c r="B918" s="8" t="s">
        <v>2813</v>
      </c>
      <c r="C918" s="49" t="s">
        <v>4261</v>
      </c>
      <c r="D918" s="41" t="str">
        <f ca="1">IFERROR(__xludf.DUMMYFUNCTION("IFERROR(ARRAYFORMULA(REGEXEXTRACT(C918,""^(?:https?:\/\/)?(?:[^@\n]+@)?(?:www\.)?([^:\/\n]+)"")),"""")"),"centex.com")</f>
        <v>centex.com</v>
      </c>
      <c r="E918" s="26" t="str">
        <f ca="1">IFERROR(__xludf.DUMMYFUNCTION("""COMPUTED_VALUE"""),"New")</f>
        <v>New</v>
      </c>
      <c r="F918" s="72">
        <v>53</v>
      </c>
      <c r="G918" s="72">
        <v>9888</v>
      </c>
      <c r="H918" s="27" t="s">
        <v>3236</v>
      </c>
      <c r="I918" s="27" t="s">
        <v>4262</v>
      </c>
      <c r="K918" s="27" t="s">
        <v>3853</v>
      </c>
      <c r="L918" s="112"/>
      <c r="M918" s="27" t="s">
        <v>3715</v>
      </c>
      <c r="N918" s="48">
        <v>46035</v>
      </c>
      <c r="O918" s="48">
        <v>46065</v>
      </c>
      <c r="P918" s="26"/>
    </row>
    <row r="919" spans="1:16" ht="14.5">
      <c r="A919" s="3" t="s">
        <v>38</v>
      </c>
      <c r="B919" s="8" t="s">
        <v>2813</v>
      </c>
      <c r="C919" s="46" t="s">
        <v>4263</v>
      </c>
      <c r="D919" s="41" t="str">
        <f ca="1">IFERROR(__xludf.DUMMYFUNCTION("IFERROR(ARRAYFORMULA(REGEXEXTRACT(C919,""^(?:https?:\/\/)?(?:[^@\n]+@)?(?:www\.)?([^:\/\n]+)"")),"""")"),"milb.com")</f>
        <v>milb.com</v>
      </c>
      <c r="E919" s="26" t="str">
        <f ca="1">IFERROR(__xludf.DUMMYFUNCTION("""COMPUTED_VALUE"""),"New")</f>
        <v>New</v>
      </c>
      <c r="F919" s="72">
        <v>84</v>
      </c>
      <c r="G919" s="72">
        <v>1742200</v>
      </c>
      <c r="P919" s="26"/>
    </row>
    <row r="920" spans="1:16" ht="14.5">
      <c r="A920" s="3" t="s">
        <v>38</v>
      </c>
      <c r="B920" s="8" t="s">
        <v>2813</v>
      </c>
      <c r="C920" s="46" t="s">
        <v>4264</v>
      </c>
      <c r="D920" s="41" t="str">
        <f ca="1">IFERROR(__xludf.DUMMYFUNCTION("IFERROR(ARRAYFORMULA(REGEXEXTRACT(C920,""^(?:https?:\/\/)?(?:[^@\n]+@)?(?:www\.)?([^:\/\n]+)"")),"""")"),"thelvballpark.com")</f>
        <v>thelvballpark.com</v>
      </c>
      <c r="E920" s="26" t="str">
        <f ca="1">IFERROR(__xludf.DUMMYFUNCTION("""COMPUTED_VALUE"""),"New")</f>
        <v>New</v>
      </c>
      <c r="F920" s="72">
        <v>50</v>
      </c>
      <c r="G920" s="72">
        <v>3745</v>
      </c>
      <c r="P920" s="26"/>
    </row>
    <row r="921" spans="1:16" ht="14.5">
      <c r="A921" s="3" t="s">
        <v>38</v>
      </c>
      <c r="B921" s="8" t="s">
        <v>2813</v>
      </c>
      <c r="C921" s="46" t="s">
        <v>4265</v>
      </c>
      <c r="D921" s="41" t="str">
        <f ca="1">IFERROR(__xludf.DUMMYFUNCTION("IFERROR(ARRAYFORMULA(REGEXEXTRACT(C921,""^(?:https?:\/\/)?(?:[^@\n]+@)?(?:www\.)?([^:\/\n]+)"")),"""")"),"mismo.org")</f>
        <v>mismo.org</v>
      </c>
      <c r="E921" s="26" t="str">
        <f ca="1">IFERROR(__xludf.DUMMYFUNCTION("""COMPUTED_VALUE"""),"New")</f>
        <v>New</v>
      </c>
      <c r="F921" s="72">
        <v>60</v>
      </c>
      <c r="G921" s="72">
        <v>2649</v>
      </c>
      <c r="P921" s="26"/>
    </row>
    <row r="922" spans="1:16" ht="14.5">
      <c r="A922" s="3" t="s">
        <v>38</v>
      </c>
      <c r="B922" s="8" t="s">
        <v>2813</v>
      </c>
      <c r="C922" s="46" t="s">
        <v>4266</v>
      </c>
      <c r="D922" s="41" t="str">
        <f ca="1">IFERROR(__xludf.DUMMYFUNCTION("IFERROR(ARRAYFORMULA(REGEXEXTRACT(C922,""^(?:https?:\/\/)?(?:[^@\n]+@)?(?:www\.)?([^:\/\n]+)"")),"""")"),"opportunityvillage.org")</f>
        <v>opportunityvillage.org</v>
      </c>
      <c r="E922" s="26" t="str">
        <f ca="1">IFERROR(__xludf.DUMMYFUNCTION("""COMPUTED_VALUE"""),"New")</f>
        <v>New</v>
      </c>
      <c r="F922" s="72">
        <v>58</v>
      </c>
      <c r="G922" s="72">
        <v>5183</v>
      </c>
      <c r="P922" s="26"/>
    </row>
    <row r="923" spans="1:16" ht="14.5">
      <c r="A923" s="3" t="s">
        <v>38</v>
      </c>
      <c r="B923" s="8" t="s">
        <v>2813</v>
      </c>
      <c r="C923" s="46" t="s">
        <v>4267</v>
      </c>
      <c r="D923" s="41" t="str">
        <f ca="1">IFERROR(__xludf.DUMMYFUNCTION("IFERROR(ARRAYFORMULA(REGEXEXTRACT(C923,""^(?:https?:\/\/)?(?:[^@\n]+@)?(?:www\.)?([^:\/\n]+)"")),"""")"),"hockeydaymn.com")</f>
        <v>hockeydaymn.com</v>
      </c>
      <c r="E923" s="26" t="str">
        <f ca="1">IFERROR(__xludf.DUMMYFUNCTION("""COMPUTED_VALUE"""),"New")</f>
        <v>New</v>
      </c>
      <c r="F923" s="72">
        <v>31</v>
      </c>
      <c r="G923" s="72">
        <v>1874</v>
      </c>
      <c r="P923" s="26"/>
    </row>
    <row r="924" spans="1:16" ht="14.5">
      <c r="A924" s="3" t="s">
        <v>38</v>
      </c>
      <c r="B924" s="8" t="s">
        <v>2813</v>
      </c>
      <c r="C924" s="46" t="s">
        <v>4268</v>
      </c>
      <c r="D924" s="41" t="str">
        <f ca="1">IFERROR(__xludf.DUMMYFUNCTION("IFERROR(ARRAYFORMULA(REGEXEXTRACT(C924,""^(?:https?:\/\/)?(?:[^@\n]+@)?(?:www\.)?([^:\/\n]+)"")),"""")"),"divosta.com")</f>
        <v>divosta.com</v>
      </c>
      <c r="E924" s="26" t="str">
        <f ca="1">IFERROR(__xludf.DUMMYFUNCTION("""COMPUTED_VALUE"""),"New")</f>
        <v>New</v>
      </c>
      <c r="F924" s="72">
        <v>36</v>
      </c>
      <c r="G924" s="72">
        <v>5761</v>
      </c>
      <c r="P924" s="26"/>
    </row>
    <row r="925" spans="1:16" ht="14.5">
      <c r="A925" s="3" t="s">
        <v>38</v>
      </c>
      <c r="B925" s="8" t="s">
        <v>2813</v>
      </c>
      <c r="C925" s="46" t="s">
        <v>4269</v>
      </c>
      <c r="D925" s="41" t="str">
        <f ca="1">IFERROR(__xludf.DUMMYFUNCTION("IFERROR(ARRAYFORMULA(REGEXEXTRACT(C925,""^(?:https?:\/\/)?(?:[^@\n]+@)?(?:www\.)?([^:\/\n]+)"")),"""")"),"pultegroupinc.com")</f>
        <v>pultegroupinc.com</v>
      </c>
      <c r="E925" s="26" t="str">
        <f ca="1">IFERROR(__xludf.DUMMYFUNCTION("""COMPUTED_VALUE"""),"New")</f>
        <v>New</v>
      </c>
      <c r="F925" s="72">
        <v>57</v>
      </c>
      <c r="G925" s="72">
        <v>3792</v>
      </c>
      <c r="P925" s="26"/>
    </row>
    <row r="926" spans="1:16" ht="14.5">
      <c r="A926" s="3" t="s">
        <v>38</v>
      </c>
      <c r="B926" s="8" t="s">
        <v>2813</v>
      </c>
      <c r="C926" s="46" t="s">
        <v>4270</v>
      </c>
      <c r="D926" s="41" t="str">
        <f ca="1">IFERROR(__xludf.DUMMYFUNCTION("IFERROR(ARRAYFORMULA(REGEXEXTRACT(C926,""^(?:https?:\/\/)?(?:[^@\n]+@)?(?:www\.)?([^:\/\n]+)"")),"""")"),"bell.works")</f>
        <v>bell.works</v>
      </c>
      <c r="E926" s="26" t="str">
        <f ca="1">IFERROR(__xludf.DUMMYFUNCTION("""COMPUTED_VALUE"""),"New")</f>
        <v>New</v>
      </c>
      <c r="F926" s="72">
        <v>53</v>
      </c>
      <c r="G926" s="72">
        <v>22573</v>
      </c>
      <c r="P926" s="26"/>
    </row>
    <row r="927" spans="1:16" ht="14.5">
      <c r="A927" s="3" t="s">
        <v>38</v>
      </c>
      <c r="B927" s="8" t="s">
        <v>2813</v>
      </c>
      <c r="C927" s="49" t="s">
        <v>4271</v>
      </c>
      <c r="D927" s="41" t="str">
        <f ca="1">IFERROR(__xludf.DUMMYFUNCTION("IFERROR(ARRAYFORMULA(REGEXEXTRACT(C927,""^(?:https?:\/\/)?(?:[^@\n]+@)?(?:www\.)?([^:\/\n]+)"")),"""")"),"mihomes.com")</f>
        <v>mihomes.com</v>
      </c>
      <c r="E927" s="26" t="str">
        <f ca="1">IFERROR(__xludf.DUMMYFUNCTION("""COMPUTED_VALUE"""),"New")</f>
        <v>New</v>
      </c>
      <c r="F927" s="72">
        <v>67</v>
      </c>
      <c r="G927" s="72">
        <v>87054</v>
      </c>
      <c r="J927" s="27" t="s">
        <v>4272</v>
      </c>
      <c r="K927" s="27" t="s">
        <v>3853</v>
      </c>
      <c r="L927" s="112"/>
      <c r="M927" s="27" t="s">
        <v>3715</v>
      </c>
      <c r="N927" s="48">
        <v>46035</v>
      </c>
      <c r="O927" s="48">
        <v>46065</v>
      </c>
      <c r="P927" s="26"/>
    </row>
    <row r="928" spans="1:16" ht="14.5">
      <c r="A928" s="3" t="s">
        <v>38</v>
      </c>
      <c r="B928" s="8" t="s">
        <v>2813</v>
      </c>
      <c r="C928" s="46" t="s">
        <v>4273</v>
      </c>
      <c r="D928" s="41" t="str">
        <f ca="1">IFERROR(__xludf.DUMMYFUNCTION("IFERROR(ARRAYFORMULA(REGEXEXTRACT(C928,""^(?:https?:\/\/)?(?:[^@\n]+@)?(?:www\.)?([^:\/\n]+)"")),"""")"),"metrodevelopmentgroup.com")</f>
        <v>metrodevelopmentgroup.com</v>
      </c>
      <c r="E928" s="26" t="str">
        <f ca="1">IFERROR(__xludf.DUMMYFUNCTION("""COMPUTED_VALUE"""),"New")</f>
        <v>New</v>
      </c>
      <c r="F928" s="72">
        <v>36</v>
      </c>
      <c r="G928" s="72">
        <v>7183</v>
      </c>
      <c r="P928" s="26"/>
    </row>
    <row r="929" spans="1:16" ht="14.5">
      <c r="A929" s="3" t="s">
        <v>38</v>
      </c>
      <c r="B929" s="8" t="s">
        <v>2813</v>
      </c>
      <c r="C929" s="46" t="s">
        <v>4274</v>
      </c>
      <c r="D929" s="41" t="str">
        <f ca="1">IFERROR(__xludf.DUMMYFUNCTION("IFERROR(ARRAYFORMULA(REGEXEXTRACT(C929,""^(?:https?:\/\/)?(?:[^@\n]+@)?(?:www\.)?([^:\/\n]+)"")),"""")"),"jwhomes.com")</f>
        <v>jwhomes.com</v>
      </c>
      <c r="E929" s="26" t="str">
        <f ca="1">IFERROR(__xludf.DUMMYFUNCTION("""COMPUTED_VALUE"""),"New")</f>
        <v>New</v>
      </c>
      <c r="F929" s="72">
        <v>38</v>
      </c>
      <c r="G929" s="72">
        <v>1045</v>
      </c>
      <c r="P929" s="26"/>
    </row>
    <row r="930" spans="1:16" ht="14.5">
      <c r="A930" s="3" t="s">
        <v>38</v>
      </c>
      <c r="B930" s="8" t="s">
        <v>2813</v>
      </c>
      <c r="C930" s="49" t="s">
        <v>4275</v>
      </c>
      <c r="D930" s="41" t="str">
        <f ca="1">IFERROR(__xludf.DUMMYFUNCTION("IFERROR(ARRAYFORMULA(REGEXEXTRACT(C930,""^(?:https?:\/\/)?(?:[^@\n]+@)?(?:www\.)?([^:\/\n]+)"")),"""")"),"dsldmortgage.com")</f>
        <v>dsldmortgage.com</v>
      </c>
      <c r="E930" s="26" t="str">
        <f ca="1">IFERROR(__xludf.DUMMYFUNCTION("""COMPUTED_VALUE"""),"New")</f>
        <v>New</v>
      </c>
      <c r="F930" s="72">
        <v>32</v>
      </c>
      <c r="G930" s="72">
        <v>30335</v>
      </c>
      <c r="H930" s="27" t="s">
        <v>4276</v>
      </c>
      <c r="I930" s="27" t="s">
        <v>4277</v>
      </c>
      <c r="K930" s="27" t="s">
        <v>4278</v>
      </c>
      <c r="L930" s="112"/>
      <c r="M930" s="27" t="s">
        <v>3715</v>
      </c>
      <c r="N930" s="48">
        <v>46035</v>
      </c>
      <c r="O930" s="48">
        <v>46065</v>
      </c>
      <c r="P930" s="26"/>
    </row>
    <row r="931" spans="1:16" ht="14.5">
      <c r="A931" s="3" t="s">
        <v>38</v>
      </c>
      <c r="B931" s="8" t="s">
        <v>2813</v>
      </c>
      <c r="C931" s="46" t="s">
        <v>4279</v>
      </c>
      <c r="D931" s="41" t="str">
        <f ca="1">IFERROR(__xludf.DUMMYFUNCTION("IFERROR(ARRAYFORMULA(REGEXEXTRACT(C931,""^(?:https?:\/\/)?(?:[^@\n]+@)?(?:www\.)?([^:\/\n]+)"")),"""")"),"login.pultemortgage.com")</f>
        <v>login.pultemortgage.com</v>
      </c>
      <c r="E931" s="26" t="str">
        <f ca="1">IFERROR(__xludf.DUMMYFUNCTION("""COMPUTED_VALUE"""),"New")</f>
        <v>New</v>
      </c>
      <c r="F931" s="72">
        <v>30</v>
      </c>
      <c r="G931" s="72">
        <v>4002</v>
      </c>
      <c r="P931" s="26"/>
    </row>
    <row r="932" spans="1:16" ht="14.5">
      <c r="A932" s="3" t="s">
        <v>38</v>
      </c>
      <c r="B932" s="8" t="s">
        <v>2813</v>
      </c>
      <c r="C932" s="46" t="s">
        <v>4280</v>
      </c>
      <c r="D932" s="41" t="str">
        <f ca="1">IFERROR(__xludf.DUMMYFUNCTION("IFERROR(ARRAYFORMULA(REGEXEXTRACT(C932,""^(?:https?:\/\/)?(?:[^@\n]+@)?(?:www\.)?([^:\/\n]+)"")),"""")"),"multifamily.loans")</f>
        <v>multifamily.loans</v>
      </c>
      <c r="E932" s="26" t="str">
        <f ca="1">IFERROR(__xludf.DUMMYFUNCTION("""COMPUTED_VALUE"""),"New")</f>
        <v>New</v>
      </c>
      <c r="F932" s="72">
        <v>48</v>
      </c>
      <c r="G932" s="72">
        <v>26491</v>
      </c>
      <c r="P932" s="26"/>
    </row>
    <row r="933" spans="1:16" ht="14.5">
      <c r="A933" s="3" t="s">
        <v>38</v>
      </c>
      <c r="B933" s="8" t="s">
        <v>2813</v>
      </c>
      <c r="C933" s="49" t="s">
        <v>4281</v>
      </c>
      <c r="D933" s="41" t="str">
        <f ca="1">IFERROR(__xludf.DUMMYFUNCTION("IFERROR(ARRAYFORMULA(REGEXEXTRACT(C933,""^(?:https?:\/\/)?(?:[^@\n]+@)?(?:www\.)?([^:\/\n]+)"")),"""")"),"lakenona.com")</f>
        <v>lakenona.com</v>
      </c>
      <c r="E933" s="26" t="str">
        <f ca="1">IFERROR(__xludf.DUMMYFUNCTION("""COMPUTED_VALUE"""),"New")</f>
        <v>New</v>
      </c>
      <c r="F933" s="72">
        <v>61</v>
      </c>
      <c r="G933" s="72">
        <v>22922</v>
      </c>
      <c r="H933" s="27" t="s">
        <v>4282</v>
      </c>
      <c r="I933" s="27" t="s">
        <v>4283</v>
      </c>
      <c r="J933" s="27" t="s">
        <v>4284</v>
      </c>
      <c r="K933" s="27" t="s">
        <v>3853</v>
      </c>
      <c r="L933" s="112"/>
      <c r="M933" s="27" t="s">
        <v>3715</v>
      </c>
      <c r="N933" s="48">
        <v>46035</v>
      </c>
      <c r="O933" s="48">
        <v>46065</v>
      </c>
      <c r="P933" s="26"/>
    </row>
    <row r="934" spans="1:16" ht="14.5">
      <c r="A934" s="3" t="s">
        <v>38</v>
      </c>
      <c r="B934" s="8" t="s">
        <v>2813</v>
      </c>
      <c r="C934" s="49" t="s">
        <v>4285</v>
      </c>
      <c r="D934" s="41" t="str">
        <f ca="1">IFERROR(__xludf.DUMMYFUNCTION("IFERROR(ARRAYFORMULA(REGEXEXTRACT(C934,""^(?:https?:\/\/)?(?:[^@\n]+@)?(?:www\.)?([^:\/\n]+)"")),"""")"),"nationalharbor.com")</f>
        <v>nationalharbor.com</v>
      </c>
      <c r="E934" s="26" t="str">
        <f ca="1">IFERROR(__xludf.DUMMYFUNCTION("""COMPUTED_VALUE"""),"New")</f>
        <v>New</v>
      </c>
      <c r="F934" s="72">
        <v>66</v>
      </c>
      <c r="G934" s="72">
        <v>103422</v>
      </c>
      <c r="H934" s="27" t="s">
        <v>4286</v>
      </c>
      <c r="I934" s="27" t="s">
        <v>4287</v>
      </c>
      <c r="J934" s="27" t="s">
        <v>4288</v>
      </c>
      <c r="K934" s="27" t="s">
        <v>3853</v>
      </c>
      <c r="L934" s="112"/>
      <c r="M934" s="27" t="s">
        <v>3715</v>
      </c>
      <c r="N934" s="48">
        <v>46035</v>
      </c>
      <c r="O934" s="48">
        <v>46065</v>
      </c>
      <c r="P934" s="26"/>
    </row>
    <row r="935" spans="1:16" ht="14.5">
      <c r="A935" s="3" t="s">
        <v>38</v>
      </c>
      <c r="B935" s="8" t="s">
        <v>2813</v>
      </c>
      <c r="C935" s="49" t="s">
        <v>4289</v>
      </c>
      <c r="D935" s="41" t="str">
        <f ca="1">IFERROR(__xludf.DUMMYFUNCTION("IFERROR(ARRAYFORMULA(REGEXEXTRACT(C935,""^(?:https?:\/\/)?(?:[^@\n]+@)?(?:www\.)?([^:\/\n]+)"")),"""")"),"centurionamerican.com")</f>
        <v>centurionamerican.com</v>
      </c>
      <c r="E935" s="26" t="str">
        <f ca="1">IFERROR(__xludf.DUMMYFUNCTION("""COMPUTED_VALUE"""),"New")</f>
        <v>New</v>
      </c>
      <c r="F935" s="72">
        <v>39</v>
      </c>
      <c r="G935" s="72">
        <v>2460</v>
      </c>
      <c r="J935" s="27" t="s">
        <v>4290</v>
      </c>
      <c r="K935" s="27" t="s">
        <v>4291</v>
      </c>
      <c r="L935" s="112"/>
      <c r="M935" s="27" t="s">
        <v>3715</v>
      </c>
      <c r="N935" s="48">
        <v>46035</v>
      </c>
      <c r="O935" s="48">
        <v>46065</v>
      </c>
      <c r="P935" s="26"/>
    </row>
    <row r="936" spans="1:16" ht="14.5">
      <c r="A936" s="3" t="s">
        <v>38</v>
      </c>
      <c r="B936" s="8" t="s">
        <v>2813</v>
      </c>
      <c r="C936" s="49" t="s">
        <v>4292</v>
      </c>
      <c r="D936" s="41" t="str">
        <f ca="1">IFERROR(__xludf.DUMMYFUNCTION("IFERROR(ARRAYFORMULA(REGEXEXTRACT(C936,""^(?:https?:\/\/)?(?:[^@\n]+@)?(?:www\.)?([^:\/\n]+)"")),"""")"),"felixhomes.com")</f>
        <v>felixhomes.com</v>
      </c>
      <c r="E936" s="26" t="str">
        <f ca="1">IFERROR(__xludf.DUMMYFUNCTION("""COMPUTED_VALUE"""),"New")</f>
        <v>New</v>
      </c>
      <c r="F936" s="72">
        <v>35</v>
      </c>
      <c r="G936" s="72">
        <v>6839</v>
      </c>
      <c r="H936" s="27" t="s">
        <v>4293</v>
      </c>
      <c r="I936" s="27" t="s">
        <v>4294</v>
      </c>
      <c r="J936" s="27" t="s">
        <v>4295</v>
      </c>
      <c r="K936" s="27" t="s">
        <v>3853</v>
      </c>
      <c r="L936" s="112"/>
      <c r="M936" s="27" t="s">
        <v>3715</v>
      </c>
      <c r="N936" s="48">
        <v>46035</v>
      </c>
      <c r="O936" s="48">
        <v>46065</v>
      </c>
      <c r="P936" s="26"/>
    </row>
    <row r="937" spans="1:16" ht="14.5">
      <c r="A937" s="3" t="s">
        <v>38</v>
      </c>
      <c r="B937" s="8" t="s">
        <v>2813</v>
      </c>
      <c r="C937" s="46" t="s">
        <v>4296</v>
      </c>
      <c r="D937" s="41" t="str">
        <f ca="1">IFERROR(__xludf.DUMMYFUNCTION("IFERROR(ARRAYFORMULA(REGEXEXTRACT(C937,""^(?:https?:\/\/)?(?:[^@\n]+@)?(?:www\.)?([^:\/\n]+)"")),"""")"),"luxuryhomesoflasvegas.com")</f>
        <v>luxuryhomesoflasvegas.com</v>
      </c>
      <c r="E937" s="26" t="str">
        <f ca="1">IFERROR(__xludf.DUMMYFUNCTION("""COMPUTED_VALUE"""),"New")</f>
        <v>New</v>
      </c>
      <c r="F937" s="72">
        <v>30</v>
      </c>
      <c r="G937" s="72">
        <v>1590</v>
      </c>
      <c r="P937" s="26"/>
    </row>
    <row r="938" spans="1:16" ht="14.5">
      <c r="A938" s="3" t="s">
        <v>38</v>
      </c>
      <c r="B938" s="8" t="s">
        <v>2813</v>
      </c>
      <c r="C938" s="49" t="s">
        <v>4297</v>
      </c>
      <c r="D938" s="41" t="str">
        <f ca="1">IFERROR(__xludf.DUMMYFUNCTION("IFERROR(ARRAYFORMULA(REGEXEXTRACT(C938,""^(?:https?:\/\/)?(?:[^@\n]+@)?(?:www\.)?([^:\/\n]+)"")),"""")"),"dovemountain.com")</f>
        <v>dovemountain.com</v>
      </c>
      <c r="E938" s="26" t="str">
        <f ca="1">IFERROR(__xludf.DUMMYFUNCTION("""COMPUTED_VALUE"""),"New")</f>
        <v>New</v>
      </c>
      <c r="F938" s="72">
        <v>28</v>
      </c>
      <c r="G938" s="72">
        <v>2035</v>
      </c>
      <c r="H938" s="27" t="s">
        <v>4298</v>
      </c>
      <c r="I938" s="27" t="s">
        <v>4299</v>
      </c>
      <c r="J938" s="27" t="s">
        <v>4300</v>
      </c>
      <c r="K938" s="27" t="s">
        <v>3853</v>
      </c>
      <c r="L938" s="112"/>
      <c r="M938" s="27" t="s">
        <v>3715</v>
      </c>
      <c r="N938" s="48">
        <v>46035</v>
      </c>
      <c r="O938" s="48">
        <v>46066</v>
      </c>
      <c r="P938" s="26"/>
    </row>
    <row r="939" spans="1:16" ht="14.5">
      <c r="A939" s="3" t="s">
        <v>38</v>
      </c>
      <c r="B939" s="8" t="s">
        <v>2813</v>
      </c>
      <c r="C939" s="46" t="s">
        <v>4301</v>
      </c>
      <c r="D939" s="41" t="str">
        <f ca="1">IFERROR(__xludf.DUMMYFUNCTION("IFERROR(ARRAYFORMULA(REGEXEXTRACT(C939,""^(?:https?:\/\/)?(?:[^@\n]+@)?(?:www\.)?([^:\/\n]+)"")),"""")"),"pamharringtonexclusives.com")</f>
        <v>pamharringtonexclusives.com</v>
      </c>
      <c r="E939" s="26" t="str">
        <f ca="1">IFERROR(__xludf.DUMMYFUNCTION("""COMPUTED_VALUE"""),"New")</f>
        <v>New</v>
      </c>
      <c r="F939" s="72">
        <v>27</v>
      </c>
      <c r="G939" s="72">
        <v>20114</v>
      </c>
      <c r="P939" s="26"/>
    </row>
    <row r="940" spans="1:16" ht="14.5">
      <c r="A940" s="3" t="s">
        <v>38</v>
      </c>
      <c r="B940" s="8" t="s">
        <v>2813</v>
      </c>
      <c r="C940" s="49" t="s">
        <v>4302</v>
      </c>
      <c r="D940" s="41" t="str">
        <f ca="1">IFERROR(__xludf.DUMMYFUNCTION("IFERROR(ARRAYFORMULA(REGEXEXTRACT(C940,""^(?:https?:\/\/)?(?:[^@\n]+@)?(?:www\.)?([^:\/\n]+)"")),"""")"),"homenation.com")</f>
        <v>homenation.com</v>
      </c>
      <c r="E940" s="26" t="str">
        <f ca="1">IFERROR(__xludf.DUMMYFUNCTION("""COMPUTED_VALUE"""),"New")</f>
        <v>New</v>
      </c>
      <c r="F940" s="72">
        <v>36</v>
      </c>
      <c r="G940" s="72">
        <v>74254</v>
      </c>
      <c r="H940" s="27" t="s">
        <v>4303</v>
      </c>
      <c r="I940" s="27" t="s">
        <v>4304</v>
      </c>
      <c r="J940" s="27" t="s">
        <v>4305</v>
      </c>
      <c r="K940" s="27" t="s">
        <v>3853</v>
      </c>
      <c r="L940" s="112"/>
      <c r="M940" s="27" t="s">
        <v>3715</v>
      </c>
      <c r="N940" s="48">
        <v>46035</v>
      </c>
      <c r="O940" s="48">
        <v>46066</v>
      </c>
      <c r="P940" s="26"/>
    </row>
    <row r="941" spans="1:16" ht="14.5">
      <c r="A941" s="3" t="s">
        <v>38</v>
      </c>
      <c r="B941" s="8" t="s">
        <v>2813</v>
      </c>
      <c r="C941" s="73" t="s">
        <v>4306</v>
      </c>
      <c r="D941" s="41" t="str">
        <f ca="1">IFERROR(__xludf.DUMMYFUNCTION("IFERROR(ARRAYFORMULA(REGEXEXTRACT(C941,""^(?:https?:\/\/)?(?:[^@\n]+@)?(?:www\.)?([^:\/\n]+)"")),"""")"),"neighborhoodsinlasvegas.com")</f>
        <v>neighborhoodsinlasvegas.com</v>
      </c>
      <c r="E941" s="26" t="str">
        <f ca="1">IFERROR(__xludf.DUMMYFUNCTION("""COMPUTED_VALUE"""),"New")</f>
        <v>New</v>
      </c>
      <c r="F941" s="72">
        <v>34</v>
      </c>
      <c r="G941" s="72">
        <v>3291</v>
      </c>
      <c r="H941" s="27" t="s">
        <v>4307</v>
      </c>
      <c r="J941" s="27" t="s">
        <v>4308</v>
      </c>
      <c r="K941" s="27" t="s">
        <v>3853</v>
      </c>
      <c r="L941" s="112"/>
      <c r="M941" s="66" t="s">
        <v>3117</v>
      </c>
      <c r="N941" s="48">
        <v>46036</v>
      </c>
      <c r="O941" s="48">
        <v>46072</v>
      </c>
      <c r="P941" s="26"/>
    </row>
    <row r="942" spans="1:16" ht="14.5">
      <c r="A942" s="3" t="s">
        <v>38</v>
      </c>
      <c r="B942" s="8" t="s">
        <v>2813</v>
      </c>
      <c r="C942" s="49" t="s">
        <v>4309</v>
      </c>
      <c r="D942" s="41" t="str">
        <f ca="1">IFERROR(__xludf.DUMMYFUNCTION("IFERROR(ARRAYFORMULA(REGEXEXTRACT(C942,""^(?:https?:\/\/)?(?:[^@\n]+@)?(?:www\.)?([^:\/\n]+)"")),"""")"),"livabl.com")</f>
        <v>livabl.com</v>
      </c>
      <c r="E942" s="26" t="str">
        <f ca="1">IFERROR(__xludf.DUMMYFUNCTION("""COMPUTED_VALUE"""),"New")</f>
        <v>New</v>
      </c>
      <c r="F942" s="72">
        <v>72</v>
      </c>
      <c r="G942" s="72">
        <v>119519</v>
      </c>
      <c r="J942" s="38" t="s">
        <v>4310</v>
      </c>
      <c r="K942" s="27" t="s">
        <v>3853</v>
      </c>
      <c r="L942" s="112"/>
      <c r="M942" s="66" t="s">
        <v>3117</v>
      </c>
      <c r="N942" s="48">
        <v>46036</v>
      </c>
      <c r="P942" s="26"/>
    </row>
    <row r="943" spans="1:16" ht="14.5">
      <c r="A943" s="3" t="s">
        <v>38</v>
      </c>
      <c r="B943" s="8" t="s">
        <v>2813</v>
      </c>
      <c r="C943" s="49" t="s">
        <v>4311</v>
      </c>
      <c r="D943" s="41" t="str">
        <f ca="1">IFERROR(__xludf.DUMMYFUNCTION("IFERROR(ARRAYFORMULA(REGEXEXTRACT(C943,""^(?:https?:\/\/)?(?:[^@\n]+@)?(?:www\.)?([^:\/\n]+)"")),"""")"),"wellenpark.com")</f>
        <v>wellenpark.com</v>
      </c>
      <c r="E943" s="26" t="str">
        <f ca="1">IFERROR(__xludf.DUMMYFUNCTION("""COMPUTED_VALUE"""),"New")</f>
        <v>New</v>
      </c>
      <c r="F943" s="72">
        <v>44</v>
      </c>
      <c r="G943" s="72">
        <v>13152</v>
      </c>
      <c r="H943" s="27" t="s">
        <v>4312</v>
      </c>
      <c r="I943" s="27" t="s">
        <v>4313</v>
      </c>
      <c r="J943" s="27" t="s">
        <v>4314</v>
      </c>
      <c r="K943" s="27" t="s">
        <v>3853</v>
      </c>
      <c r="L943" s="112"/>
      <c r="M943" s="66" t="s">
        <v>3117</v>
      </c>
      <c r="N943" s="48">
        <v>46036</v>
      </c>
      <c r="O943" s="48">
        <v>46072</v>
      </c>
      <c r="P943" s="26"/>
    </row>
    <row r="944" spans="1:16" ht="14.5">
      <c r="A944" s="3" t="s">
        <v>38</v>
      </c>
      <c r="B944" s="8" t="s">
        <v>2813</v>
      </c>
      <c r="C944" s="46" t="s">
        <v>4315</v>
      </c>
      <c r="D944" s="41" t="str">
        <f ca="1">IFERROR(__xludf.DUMMYFUNCTION("IFERROR(ARRAYFORMULA(REGEXEXTRACT(C944,""^(?:https?:\/\/)?(?:[^@\n]+@)?(?:www\.)?([^:\/\n]+)"")),"""")"),"hillwoodcommunities.com")</f>
        <v>hillwoodcommunities.com</v>
      </c>
      <c r="E944" s="26" t="str">
        <f ca="1">IFERROR(__xludf.DUMMYFUNCTION("""COMPUTED_VALUE"""),"New")</f>
        <v>New</v>
      </c>
      <c r="F944" s="72">
        <v>44</v>
      </c>
      <c r="G944" s="72">
        <v>2676</v>
      </c>
      <c r="P944" s="26"/>
    </row>
    <row r="945" spans="1:16" ht="14.5">
      <c r="A945" s="3" t="s">
        <v>38</v>
      </c>
      <c r="B945" s="8" t="s">
        <v>2813</v>
      </c>
      <c r="C945" s="49" t="s">
        <v>4316</v>
      </c>
      <c r="D945" s="41" t="str">
        <f ca="1">IFERROR(__xludf.DUMMYFUNCTION("IFERROR(ARRAYFORMULA(REGEXEXTRACT(C945,""^(?:https?:\/\/)?(?:[^@\n]+@)?(?:www\.)?([^:\/\n]+)"")),"""")"),"bramlettpartners.com")</f>
        <v>bramlettpartners.com</v>
      </c>
      <c r="E945" s="26" t="str">
        <f ca="1">IFERROR(__xludf.DUMMYFUNCTION("""COMPUTED_VALUE"""),"New")</f>
        <v>New</v>
      </c>
      <c r="F945" s="72">
        <v>59</v>
      </c>
      <c r="G945" s="72">
        <v>3890</v>
      </c>
      <c r="H945" s="27" t="s">
        <v>4317</v>
      </c>
      <c r="I945" s="27" t="s">
        <v>4318</v>
      </c>
      <c r="J945" s="27" t="s">
        <v>4319</v>
      </c>
      <c r="K945" s="27" t="s">
        <v>3853</v>
      </c>
      <c r="L945" s="112"/>
      <c r="M945" s="66" t="s">
        <v>3117</v>
      </c>
      <c r="N945" s="48">
        <v>46036</v>
      </c>
      <c r="O945" s="48">
        <v>46072</v>
      </c>
      <c r="P945" s="26"/>
    </row>
    <row r="946" spans="1:16" ht="14.5">
      <c r="A946" s="3" t="s">
        <v>38</v>
      </c>
      <c r="B946" s="8" t="s">
        <v>2813</v>
      </c>
      <c r="C946" s="49" t="s">
        <v>4320</v>
      </c>
      <c r="D946" s="41" t="str">
        <f ca="1">IFERROR(__xludf.DUMMYFUNCTION("IFERROR(ARRAYFORMULA(REGEXEXTRACT(C946,""^(?:https?:\/\/)?(?:[^@\n]+@)?(?:www\.)?([^:\/\n]+)"")),"""")"),"sterlingranchcolorado.com")</f>
        <v>sterlingranchcolorado.com</v>
      </c>
      <c r="E946" s="26" t="str">
        <f ca="1">IFERROR(__xludf.DUMMYFUNCTION("""COMPUTED_VALUE"""),"New")</f>
        <v>New</v>
      </c>
      <c r="F946" s="72">
        <v>35</v>
      </c>
      <c r="G946" s="72">
        <v>1711</v>
      </c>
      <c r="I946" s="27" t="s">
        <v>4321</v>
      </c>
      <c r="J946" s="27" t="s">
        <v>4322</v>
      </c>
      <c r="K946" s="27" t="s">
        <v>3853</v>
      </c>
      <c r="L946" s="112"/>
      <c r="M946" s="66" t="s">
        <v>3117</v>
      </c>
      <c r="N946" s="48">
        <v>46036</v>
      </c>
      <c r="O946" s="48">
        <v>46072</v>
      </c>
      <c r="P946" s="26"/>
    </row>
    <row r="947" spans="1:16" ht="14.5">
      <c r="A947" s="3" t="s">
        <v>38</v>
      </c>
      <c r="B947" s="8" t="s">
        <v>2813</v>
      </c>
      <c r="C947" s="49" t="s">
        <v>4323</v>
      </c>
      <c r="D947" s="41" t="str">
        <f ca="1">IFERROR(__xludf.DUMMYFUNCTION("IFERROR(ARRAYFORMULA(REGEXEXTRACT(C947,""^(?:https?:\/\/)?(?:[^@\n]+@)?(?:www\.)?([^:\/\n]+)"")),"""")"),"northriverranch.com")</f>
        <v>northriverranch.com</v>
      </c>
      <c r="E947" s="26" t="str">
        <f ca="1">IFERROR(__xludf.DUMMYFUNCTION("""COMPUTED_VALUE"""),"New")</f>
        <v>New</v>
      </c>
      <c r="F947" s="72">
        <v>45</v>
      </c>
      <c r="G947" s="72">
        <v>1339</v>
      </c>
      <c r="J947" s="27" t="s">
        <v>4324</v>
      </c>
      <c r="K947" s="27" t="s">
        <v>3853</v>
      </c>
      <c r="L947" s="112"/>
      <c r="M947" s="66" t="s">
        <v>3117</v>
      </c>
      <c r="N947" s="48">
        <v>46036</v>
      </c>
      <c r="O947" s="48">
        <v>46072</v>
      </c>
      <c r="P947" s="26"/>
    </row>
    <row r="948" spans="1:16" ht="14.5" hidden="1">
      <c r="A948" s="3" t="s">
        <v>38</v>
      </c>
      <c r="B948" s="8" t="s">
        <v>2813</v>
      </c>
      <c r="C948" s="46" t="s">
        <v>4325</v>
      </c>
      <c r="D948" s="41" t="str">
        <f ca="1">IFERROR(__xludf.DUMMYFUNCTION("IFERROR(ARRAYFORMULA(REGEXEXTRACT(C948,""^(?:https?:\/\/)?(?:[^@\n]+@)?(?:www\.)?([^:\/\n]+)"")),"""")"),"houstonsuburb.com")</f>
        <v>houstonsuburb.com</v>
      </c>
      <c r="E948" s="26" t="str">
        <f ca="1">IFERROR(__xludf.DUMMYFUNCTION("""COMPUTED_VALUE"""),"Already Exists")</f>
        <v>Already Exists</v>
      </c>
      <c r="F948" s="72">
        <v>29</v>
      </c>
      <c r="G948" s="72">
        <v>2575</v>
      </c>
    </row>
    <row r="949" spans="1:16" ht="14.5">
      <c r="A949" s="3" t="s">
        <v>38</v>
      </c>
      <c r="B949" s="8" t="s">
        <v>2813</v>
      </c>
      <c r="C949" s="46" t="s">
        <v>4326</v>
      </c>
      <c r="D949" s="41" t="str">
        <f ca="1">IFERROR(__xludf.DUMMYFUNCTION("IFERROR(ARRAYFORMULA(REGEXEXTRACT(C949,""^(?:https?:\/\/)?(?:[^@\n]+@)?(?:www\.)?([^:\/\n]+)"")),"""")"),"boardroompr.com")</f>
        <v>boardroompr.com</v>
      </c>
      <c r="E949" s="26" t="str">
        <f ca="1">IFERROR(__xludf.DUMMYFUNCTION("""COMPUTED_VALUE"""),"New")</f>
        <v>New</v>
      </c>
      <c r="F949" s="72">
        <v>32</v>
      </c>
      <c r="G949" s="72">
        <v>1061</v>
      </c>
      <c r="P949" s="26"/>
    </row>
    <row r="950" spans="1:16" ht="14.5">
      <c r="A950" s="3" t="s">
        <v>38</v>
      </c>
      <c r="B950" s="8" t="s">
        <v>2813</v>
      </c>
      <c r="C950" s="49" t="s">
        <v>4327</v>
      </c>
      <c r="D950" s="41" t="str">
        <f ca="1">IFERROR(__xludf.DUMMYFUNCTION("IFERROR(ARRAYFORMULA(REGEXEXTRACT(C950,""^(?:https?:\/\/)?(?:[^@\n]+@)?(?:www\.)?([^:\/\n]+)"")),"""")"),"steadily.com")</f>
        <v>steadily.com</v>
      </c>
      <c r="E950" s="26" t="str">
        <f ca="1">IFERROR(__xludf.DUMMYFUNCTION("""COMPUTED_VALUE"""),"New")</f>
        <v>New</v>
      </c>
      <c r="F950" s="72">
        <v>67</v>
      </c>
      <c r="G950" s="72">
        <v>44753</v>
      </c>
      <c r="I950" s="27" t="s">
        <v>4328</v>
      </c>
      <c r="J950" s="27" t="s">
        <v>4329</v>
      </c>
      <c r="K950" s="27" t="s">
        <v>3853</v>
      </c>
      <c r="L950" s="112"/>
      <c r="M950" s="66" t="s">
        <v>3117</v>
      </c>
      <c r="N950" s="48">
        <v>46036</v>
      </c>
      <c r="O950" s="48">
        <v>46072</v>
      </c>
      <c r="P950" s="26"/>
    </row>
    <row r="951" spans="1:16" ht="14.5">
      <c r="A951" s="3" t="s">
        <v>38</v>
      </c>
      <c r="B951" s="8" t="s">
        <v>2813</v>
      </c>
      <c r="C951" s="46" t="s">
        <v>4330</v>
      </c>
      <c r="D951" s="41" t="str">
        <f ca="1">IFERROR(__xludf.DUMMYFUNCTION("IFERROR(ARRAYFORMULA(REGEXEXTRACT(C951,""^(?:https?:\/\/)?(?:[^@\n]+@)?(?:www\.)?([^:\/\n]+)"")),"""")"),"members.greaterorlandoba.com")</f>
        <v>members.greaterorlandoba.com</v>
      </c>
      <c r="E951" s="26" t="str">
        <f ca="1">IFERROR(__xludf.DUMMYFUNCTION("""COMPUTED_VALUE"""),"New")</f>
        <v>New</v>
      </c>
      <c r="F951" s="72">
        <v>42</v>
      </c>
      <c r="G951" s="72">
        <v>1012</v>
      </c>
      <c r="P951" s="26"/>
    </row>
    <row r="952" spans="1:16" ht="14.5">
      <c r="A952" s="3" t="s">
        <v>38</v>
      </c>
      <c r="B952" s="8" t="s">
        <v>2813</v>
      </c>
      <c r="C952" s="49" t="s">
        <v>4331</v>
      </c>
      <c r="D952" s="41" t="str">
        <f ca="1">IFERROR(__xludf.DUMMYFUNCTION("IFERROR(ARRAYFORMULA(REGEXEXTRACT(C952,""^(?:https?:\/\/)?(?:[^@\n]+@)?(?:www\.)?([^:\/\n]+)"")),"""")"),"pecansquarebyhillwood.com")</f>
        <v>pecansquarebyhillwood.com</v>
      </c>
      <c r="E952" s="26" t="str">
        <f ca="1">IFERROR(__xludf.DUMMYFUNCTION("""COMPUTED_VALUE"""),"New")</f>
        <v>New</v>
      </c>
      <c r="F952" s="72">
        <v>24</v>
      </c>
      <c r="G952" s="72">
        <v>3242</v>
      </c>
      <c r="J952" s="27" t="s">
        <v>4332</v>
      </c>
      <c r="K952" s="27" t="s">
        <v>3853</v>
      </c>
      <c r="L952" s="112"/>
      <c r="M952" s="66" t="s">
        <v>3117</v>
      </c>
      <c r="N952" s="48">
        <v>46036</v>
      </c>
      <c r="O952" s="48">
        <v>46072</v>
      </c>
      <c r="P952" s="26"/>
    </row>
    <row r="953" spans="1:16" ht="14.5">
      <c r="A953" s="3" t="s">
        <v>38</v>
      </c>
      <c r="B953" s="8" t="s">
        <v>2813</v>
      </c>
      <c r="C953" s="46" t="s">
        <v>4333</v>
      </c>
      <c r="D953" s="41" t="str">
        <f ca="1">IFERROR(__xludf.DUMMYFUNCTION("IFERROR(ARRAYFORMULA(REGEXEXTRACT(C953,""^(?:https?:\/\/)?(?:[^@\n]+@)?(?:www\.)?([^:\/\n]+)"")),"""")"),"aspirejohnsoncounty.com")</f>
        <v>aspirejohnsoncounty.com</v>
      </c>
      <c r="E953" s="26" t="str">
        <f ca="1">IFERROR(__xludf.DUMMYFUNCTION("""COMPUTED_VALUE"""),"New")</f>
        <v>New</v>
      </c>
      <c r="F953" s="72">
        <v>34</v>
      </c>
      <c r="G953" s="72">
        <v>2345</v>
      </c>
      <c r="P953" s="26"/>
    </row>
    <row r="954" spans="1:16" ht="14.5">
      <c r="A954" s="3" t="s">
        <v>38</v>
      </c>
      <c r="B954" s="8" t="s">
        <v>2813</v>
      </c>
      <c r="C954" s="46" t="s">
        <v>4334</v>
      </c>
      <c r="D954" s="41" t="str">
        <f ca="1">IFERROR(__xludf.DUMMYFUNCTION("IFERROR(ARRAYFORMULA(REGEXEXTRACT(C954,""^(?:https?:\/\/)?(?:[^@\n]+@)?(?:www\.)?([^:\/\n]+)"")),"""")"),"riverislands.com")</f>
        <v>riverislands.com</v>
      </c>
      <c r="E954" s="26" t="str">
        <f ca="1">IFERROR(__xludf.DUMMYFUNCTION("""COMPUTED_VALUE"""),"New")</f>
        <v>New</v>
      </c>
      <c r="F954" s="72">
        <v>33</v>
      </c>
      <c r="G954" s="72">
        <v>1546</v>
      </c>
      <c r="P954" s="26"/>
    </row>
    <row r="955" spans="1:16" ht="14.5">
      <c r="A955" s="3" t="s">
        <v>38</v>
      </c>
      <c r="B955" s="8" t="s">
        <v>2813</v>
      </c>
      <c r="C955" s="46" t="s">
        <v>4335</v>
      </c>
      <c r="D955" s="41" t="str">
        <f ca="1">IFERROR(__xludf.DUMMYFUNCTION("IFERROR(ARRAYFORMULA(REGEXEXTRACT(C955,""^(?:https?:\/\/)?(?:[^@\n]+@)?(?:www\.)?([^:\/\n]+)"")),"""")"),"pshomes.com")</f>
        <v>pshomes.com</v>
      </c>
      <c r="E955" s="26" t="str">
        <f ca="1">IFERROR(__xludf.DUMMYFUNCTION("""COMPUTED_VALUE"""),"New")</f>
        <v>New</v>
      </c>
      <c r="F955" s="72">
        <v>27</v>
      </c>
      <c r="G955" s="72">
        <v>7600</v>
      </c>
      <c r="P955" s="26"/>
    </row>
    <row r="956" spans="1:16" ht="14.5">
      <c r="A956" s="3" t="s">
        <v>38</v>
      </c>
      <c r="B956" s="8" t="s">
        <v>2813</v>
      </c>
      <c r="C956" s="49" t="s">
        <v>4336</v>
      </c>
      <c r="D956" s="41" t="str">
        <f ca="1">IFERROR(__xludf.DUMMYFUNCTION("IFERROR(ARRAYFORMULA(REGEXEXTRACT(C956,""^(?:https?:\/\/)?(?:[^@\n]+@)?(?:www\.)?([^:\/\n]+)"")),"""")"),"kruppmoving.com")</f>
        <v>kruppmoving.com</v>
      </c>
      <c r="E956" s="26" t="str">
        <f ca="1">IFERROR(__xludf.DUMMYFUNCTION("""COMPUTED_VALUE"""),"New")</f>
        <v>New</v>
      </c>
      <c r="F956" s="72">
        <v>21</v>
      </c>
      <c r="G956" s="72">
        <v>3040</v>
      </c>
      <c r="H956" s="27" t="s">
        <v>4337</v>
      </c>
      <c r="I956" s="27" t="s">
        <v>4338</v>
      </c>
      <c r="J956" s="27" t="s">
        <v>4339</v>
      </c>
      <c r="K956" s="27" t="s">
        <v>3853</v>
      </c>
      <c r="L956" s="112"/>
      <c r="M956" s="66" t="s">
        <v>3117</v>
      </c>
      <c r="N956" s="48">
        <v>46036</v>
      </c>
      <c r="O956" s="48">
        <v>46073</v>
      </c>
      <c r="P956" s="26"/>
    </row>
    <row r="957" spans="1:16" ht="14.5" hidden="1">
      <c r="A957" s="3" t="s">
        <v>38</v>
      </c>
      <c r="B957" s="8" t="s">
        <v>2813</v>
      </c>
      <c r="C957" s="46" t="s">
        <v>4340</v>
      </c>
      <c r="D957" s="41" t="str">
        <f ca="1">IFERROR(__xludf.DUMMYFUNCTION("IFERROR(ARRAYFORMULA(REGEXEXTRACT(C957,""^(?:https?:\/\/)?(?:[^@\n]+@)?(?:www\.)?([^:\/\n]+)"")),"""")"),"clevelandrealestatetopagent.com")</f>
        <v>clevelandrealestatetopagent.com</v>
      </c>
      <c r="E957" s="26" t="str">
        <f ca="1">IFERROR(__xludf.DUMMYFUNCTION("""COMPUTED_VALUE"""),"Already Exists")</f>
        <v>Already Exists</v>
      </c>
      <c r="F957" s="72">
        <v>20</v>
      </c>
      <c r="G957" s="72">
        <v>1083</v>
      </c>
    </row>
    <row r="958" spans="1:16" ht="14.5">
      <c r="A958" s="3" t="s">
        <v>38</v>
      </c>
      <c r="B958" s="8" t="s">
        <v>2813</v>
      </c>
      <c r="C958" s="49" t="s">
        <v>4341</v>
      </c>
      <c r="D958" s="41" t="str">
        <f ca="1">IFERROR(__xludf.DUMMYFUNCTION("IFERROR(ARRAYFORMULA(REGEXEXTRACT(C958,""^(?:https?:\/\/)?(?:[^@\n]+@)?(?:www\.)?([^:\/\n]+)"")),"""")"),"wolfranchbyhillwood.com")</f>
        <v>wolfranchbyhillwood.com</v>
      </c>
      <c r="E958" s="26" t="str">
        <f ca="1">IFERROR(__xludf.DUMMYFUNCTION("""COMPUTED_VALUE"""),"New")</f>
        <v>New</v>
      </c>
      <c r="F958" s="72">
        <v>26</v>
      </c>
      <c r="G958" s="72">
        <v>2410</v>
      </c>
      <c r="J958" s="27" t="s">
        <v>4342</v>
      </c>
      <c r="K958" s="27" t="s">
        <v>3853</v>
      </c>
      <c r="L958" s="112"/>
      <c r="M958" s="66" t="s">
        <v>3117</v>
      </c>
      <c r="N958" s="48">
        <v>46036</v>
      </c>
      <c r="O958" s="48">
        <v>46073</v>
      </c>
      <c r="P958" s="26"/>
    </row>
    <row r="959" spans="1:16" ht="14.5">
      <c r="A959" s="3" t="s">
        <v>38</v>
      </c>
      <c r="B959" s="8" t="s">
        <v>2813</v>
      </c>
      <c r="C959" s="46" t="s">
        <v>4343</v>
      </c>
      <c r="D959" s="41" t="str">
        <f ca="1">IFERROR(__xludf.DUMMYFUNCTION("IFERROR(ARRAYFORMULA(REGEXEXTRACT(C959,""^(?:https?:\/\/)?(?:[^@\n]+@)?(?:www\.)?([^:\/\n]+)"")),"""")"),"roundrocktexas.gov")</f>
        <v>roundrocktexas.gov</v>
      </c>
      <c r="E959" s="26" t="str">
        <f ca="1">IFERROR(__xludf.DUMMYFUNCTION("""COMPUTED_VALUE"""),"New")</f>
        <v>New</v>
      </c>
      <c r="F959" s="72">
        <v>71</v>
      </c>
      <c r="G959" s="72">
        <v>34759</v>
      </c>
      <c r="P959" s="26"/>
    </row>
    <row r="960" spans="1:16" ht="14.5">
      <c r="A960" s="3" t="s">
        <v>38</v>
      </c>
      <c r="B960" s="8" t="s">
        <v>2813</v>
      </c>
      <c r="C960" s="46" t="s">
        <v>4344</v>
      </c>
      <c r="D960" s="41" t="str">
        <f ca="1">IFERROR(__xludf.DUMMYFUNCTION("IFERROR(ARRAYFORMULA(REGEXEXTRACT(C960,""^(?:https?:\/\/)?(?:[^@\n]+@)?(?:www\.)?([^:\/\n]+)"")),"""")"),"knowatlanta.com")</f>
        <v>knowatlanta.com</v>
      </c>
      <c r="E960" s="26" t="str">
        <f ca="1">IFERROR(__xludf.DUMMYFUNCTION("""COMPUTED_VALUE"""),"New")</f>
        <v>New</v>
      </c>
      <c r="F960" s="72">
        <v>57</v>
      </c>
      <c r="G960" s="72">
        <v>8029</v>
      </c>
      <c r="P960" s="26"/>
    </row>
    <row r="961" spans="1:16" ht="14.5">
      <c r="A961" s="3" t="s">
        <v>38</v>
      </c>
      <c r="B961" s="8" t="s">
        <v>2813</v>
      </c>
      <c r="C961" s="49" t="s">
        <v>4345</v>
      </c>
      <c r="D961" s="41" t="str">
        <f ca="1">IFERROR(__xludf.DUMMYFUNCTION("IFERROR(ARRAYFORMULA(REGEXEXTRACT(C961,""^(?:https?:\/\/)?(?:[^@\n]+@)?(?:www\.)?([^:\/\n]+)"")),"""")"),"2collegebrothers.com")</f>
        <v>2collegebrothers.com</v>
      </c>
      <c r="E961" s="26" t="str">
        <f ca="1">IFERROR(__xludf.DUMMYFUNCTION("""COMPUTED_VALUE"""),"New")</f>
        <v>New</v>
      </c>
      <c r="F961" s="72">
        <v>36</v>
      </c>
      <c r="G961" s="72">
        <v>9680</v>
      </c>
      <c r="H961" s="27" t="s">
        <v>4346</v>
      </c>
      <c r="I961" s="27" t="s">
        <v>4347</v>
      </c>
      <c r="J961" s="27" t="s">
        <v>4348</v>
      </c>
      <c r="K961" s="27" t="s">
        <v>3853</v>
      </c>
      <c r="L961" s="112"/>
      <c r="M961" s="66" t="s">
        <v>3117</v>
      </c>
      <c r="N961" s="48">
        <v>46036</v>
      </c>
      <c r="O961" s="48">
        <v>46084</v>
      </c>
      <c r="P961" s="26"/>
    </row>
    <row r="962" spans="1:16" ht="14.5" hidden="1">
      <c r="A962" s="3" t="s">
        <v>38</v>
      </c>
      <c r="B962" s="8" t="s">
        <v>2813</v>
      </c>
      <c r="C962" s="46" t="s">
        <v>4349</v>
      </c>
      <c r="D962" s="41" t="str">
        <f ca="1">IFERROR(__xludf.DUMMYFUNCTION("IFERROR(ARRAYFORMULA(REGEXEXTRACT(C962,""^(?:https?:\/\/)?(?:[^@\n]+@)?(?:www\.)?([^:\/\n]+)"")),"""")"),"mycodelesswebsite.com")</f>
        <v>mycodelesswebsite.com</v>
      </c>
      <c r="E962" s="26" t="str">
        <f ca="1">IFERROR(__xludf.DUMMYFUNCTION("""COMPUTED_VALUE"""),"Already Exists")</f>
        <v>Already Exists</v>
      </c>
      <c r="F962" s="72">
        <v>70</v>
      </c>
      <c r="G962" s="72">
        <v>10361</v>
      </c>
    </row>
    <row r="963" spans="1:16" ht="14.5" hidden="1">
      <c r="A963" s="3" t="s">
        <v>38</v>
      </c>
      <c r="B963" s="8" t="s">
        <v>2813</v>
      </c>
      <c r="C963" s="46" t="s">
        <v>4350</v>
      </c>
      <c r="D963" s="41" t="str">
        <f ca="1">IFERROR(__xludf.DUMMYFUNCTION("IFERROR(ARRAYFORMULA(REGEXEXTRACT(C963,""^(?:https?:\/\/)?(?:[^@\n]+@)?(?:www\.)?([^:\/\n]+)"")),"""")"),"homelight.com")</f>
        <v>homelight.com</v>
      </c>
      <c r="E963" s="26" t="str">
        <f ca="1">IFERROR(__xludf.DUMMYFUNCTION("""COMPUTED_VALUE"""),"Already Exists")</f>
        <v>Already Exists</v>
      </c>
      <c r="F963" s="72">
        <v>79</v>
      </c>
      <c r="G963" s="72">
        <v>241844</v>
      </c>
    </row>
    <row r="964" spans="1:16" ht="14.5">
      <c r="A964" s="3" t="s">
        <v>38</v>
      </c>
      <c r="B964" s="8" t="s">
        <v>2813</v>
      </c>
      <c r="C964" s="46" t="s">
        <v>4351</v>
      </c>
      <c r="D964" s="41" t="str">
        <f ca="1">IFERROR(__xludf.DUMMYFUNCTION("IFERROR(ARRAYFORMULA(REGEXEXTRACT(C964,""^(?:https?:\/\/)?(?:[^@\n]+@)?(?:www\.)?([^:\/\n]+)"")),"""")"),"newhomes.howardhanna.com")</f>
        <v>newhomes.howardhanna.com</v>
      </c>
      <c r="E964" s="26" t="str">
        <f ca="1">IFERROR(__xludf.DUMMYFUNCTION("""COMPUTED_VALUE"""),"New")</f>
        <v>New</v>
      </c>
      <c r="F964" s="72">
        <v>73</v>
      </c>
      <c r="G964" s="72">
        <v>175755</v>
      </c>
      <c r="P964" s="26"/>
    </row>
    <row r="965" spans="1:16" ht="14.5">
      <c r="A965" s="3" t="s">
        <v>38</v>
      </c>
      <c r="B965" s="8" t="s">
        <v>2813</v>
      </c>
      <c r="C965" s="46" t="s">
        <v>4352</v>
      </c>
      <c r="D965" s="41" t="str">
        <f ca="1">IFERROR(__xludf.DUMMYFUNCTION("IFERROR(ARRAYFORMULA(REGEXEXTRACT(C965,""^(?:https?:\/\/)?(?:[^@\n]+@)?(?:www\.)?([^:\/\n]+)"")),"""")"),"dbusiness.com")</f>
        <v>dbusiness.com</v>
      </c>
      <c r="E965" s="26" t="str">
        <f ca="1">IFERROR(__xludf.DUMMYFUNCTION("""COMPUTED_VALUE"""),"New")</f>
        <v>New</v>
      </c>
      <c r="F965" s="72">
        <v>73</v>
      </c>
      <c r="G965" s="72">
        <v>6063</v>
      </c>
      <c r="P965" s="26"/>
    </row>
    <row r="966" spans="1:16" ht="14.5">
      <c r="A966" s="3" t="s">
        <v>38</v>
      </c>
      <c r="B966" s="8" t="s">
        <v>2813</v>
      </c>
      <c r="C966" s="46" t="s">
        <v>4353</v>
      </c>
      <c r="D966" s="41" t="str">
        <f ca="1">IFERROR(__xludf.DUMMYFUNCTION("IFERROR(ARRAYFORMULA(REGEXEXTRACT(C966,""^(?:https?:\/\/)?(?:[^@\n]+@)?(?:www\.)?([^:\/\n]+)"")),"""")"),"shellypalmer.com")</f>
        <v>shellypalmer.com</v>
      </c>
      <c r="E966" s="26" t="str">
        <f ca="1">IFERROR(__xludf.DUMMYFUNCTION("""COMPUTED_VALUE"""),"New")</f>
        <v>New</v>
      </c>
      <c r="F966" s="72">
        <v>69</v>
      </c>
      <c r="G966" s="72">
        <v>1547</v>
      </c>
      <c r="P966" s="26"/>
    </row>
    <row r="967" spans="1:16" ht="14.5">
      <c r="A967" s="3" t="s">
        <v>38</v>
      </c>
      <c r="B967" s="8" t="s">
        <v>2813</v>
      </c>
      <c r="C967" s="49" t="s">
        <v>4354</v>
      </c>
      <c r="D967" s="41" t="str">
        <f ca="1">IFERROR(__xludf.DUMMYFUNCTION("IFERROR(ARRAYFORMULA(REGEXEXTRACT(C967,""^(?:https?:\/\/)?(?:[^@\n]+@)?(?:www\.)?([^:\/\n]+)"")),"""")"),"thecreativityexchange.com")</f>
        <v>thecreativityexchange.com</v>
      </c>
      <c r="E967" s="26" t="str">
        <f ca="1">IFERROR(__xludf.DUMMYFUNCTION("""COMPUTED_VALUE"""),"New")</f>
        <v>New</v>
      </c>
      <c r="F967" s="72">
        <v>58</v>
      </c>
      <c r="G967" s="72">
        <v>2647</v>
      </c>
      <c r="H967" s="27" t="s">
        <v>4355</v>
      </c>
      <c r="I967" s="27" t="s">
        <v>4356</v>
      </c>
      <c r="K967" s="27" t="s">
        <v>3756</v>
      </c>
      <c r="L967" s="112"/>
      <c r="M967" s="66" t="s">
        <v>3117</v>
      </c>
      <c r="N967" s="48">
        <v>46036</v>
      </c>
      <c r="O967" s="48">
        <v>46073</v>
      </c>
      <c r="P967" s="26"/>
    </row>
    <row r="968" spans="1:16" ht="14.5">
      <c r="A968" s="3" t="s">
        <v>38</v>
      </c>
      <c r="B968" s="8" t="s">
        <v>2813</v>
      </c>
      <c r="C968" s="49" t="s">
        <v>4357</v>
      </c>
      <c r="D968" s="41" t="str">
        <f ca="1">IFERROR(__xludf.DUMMYFUNCTION("IFERROR(ARRAYFORMULA(REGEXEXTRACT(C968,""^(?:https?:\/\/)?(?:[^@\n]+@)?(?:www\.)?([^:\/\n]+)"")),"""")"),"greatparkneighborhoods.com")</f>
        <v>greatparkneighborhoods.com</v>
      </c>
      <c r="E968" s="26" t="str">
        <f ca="1">IFERROR(__xludf.DUMMYFUNCTION("""COMPUTED_VALUE"""),"New")</f>
        <v>New</v>
      </c>
      <c r="F968" s="72">
        <v>38</v>
      </c>
      <c r="G968" s="72">
        <v>1239</v>
      </c>
      <c r="J968" s="27" t="s">
        <v>4358</v>
      </c>
      <c r="K968" s="27" t="s">
        <v>3853</v>
      </c>
      <c r="L968" s="112"/>
      <c r="M968" s="66" t="s">
        <v>3117</v>
      </c>
      <c r="N968" s="48">
        <v>46036</v>
      </c>
      <c r="O968" s="48">
        <v>46073</v>
      </c>
      <c r="P968" s="26"/>
    </row>
    <row r="969" spans="1:16" ht="14.5">
      <c r="A969" s="3" t="s">
        <v>38</v>
      </c>
      <c r="B969" s="8" t="s">
        <v>2813</v>
      </c>
      <c r="C969" s="49" t="s">
        <v>4359</v>
      </c>
      <c r="D969" s="41" t="str">
        <f ca="1">IFERROR(__xludf.DUMMYFUNCTION("IFERROR(ARRAYFORMULA(REGEXEXTRACT(C969,""^(?:https?:\/\/)?(?:[^@\n]+@)?(?:www\.)?([^:\/\n]+)"")),"""")"),"seniorhomes.com")</f>
        <v>seniorhomes.com</v>
      </c>
      <c r="E969" s="26" t="str">
        <f ca="1">IFERROR(__xludf.DUMMYFUNCTION("""COMPUTED_VALUE"""),"New")</f>
        <v>New</v>
      </c>
      <c r="F969" s="72">
        <v>67</v>
      </c>
      <c r="G969" s="72">
        <v>52006</v>
      </c>
      <c r="H969" s="27" t="s">
        <v>4360</v>
      </c>
      <c r="I969" s="27" t="s">
        <v>4361</v>
      </c>
      <c r="K969" s="27" t="s">
        <v>3853</v>
      </c>
      <c r="L969" s="112"/>
      <c r="M969" s="66" t="s">
        <v>3117</v>
      </c>
      <c r="N969" s="48">
        <v>46036</v>
      </c>
      <c r="O969" s="48">
        <v>46073</v>
      </c>
      <c r="P969" s="26"/>
    </row>
    <row r="970" spans="1:16" ht="14.5">
      <c r="A970" s="3" t="s">
        <v>38</v>
      </c>
      <c r="B970" s="8" t="s">
        <v>2813</v>
      </c>
      <c r="C970" s="46" t="s">
        <v>4362</v>
      </c>
      <c r="D970" s="41" t="str">
        <f ca="1">IFERROR(__xludf.DUMMYFUNCTION("IFERROR(ARRAYFORMULA(REGEXEXTRACT(C970,""^(?:https?:\/\/)?(?:[^@\n]+@)?(?:www\.)?([^:\/\n]+)"")),"""")"),"carolinaoverlook.clubexpress.com")</f>
        <v>carolinaoverlook.clubexpress.com</v>
      </c>
      <c r="E970" s="26" t="str">
        <f ca="1">IFERROR(__xludf.DUMMYFUNCTION("""COMPUTED_VALUE"""),"New")</f>
        <v>New</v>
      </c>
      <c r="F970" s="72">
        <v>82</v>
      </c>
      <c r="G970" s="72">
        <v>17265</v>
      </c>
      <c r="P970" s="26"/>
    </row>
    <row r="971" spans="1:16" ht="14.5">
      <c r="A971" s="3" t="s">
        <v>38</v>
      </c>
      <c r="B971" s="8" t="s">
        <v>2813</v>
      </c>
      <c r="C971" s="46" t="s">
        <v>4363</v>
      </c>
      <c r="D971" s="41" t="str">
        <f ca="1">IFERROR(__xludf.DUMMYFUNCTION("IFERROR(ARRAYFORMULA(REGEXEXTRACT(C971,""^(?:https?:\/\/)?(?:[^@\n]+@)?(?:www\.)?([^:\/\n]+)"")),"""")"),"help-center.pissedconsumer.com")</f>
        <v>help-center.pissedconsumer.com</v>
      </c>
      <c r="E971" s="26" t="str">
        <f ca="1">IFERROR(__xludf.DUMMYFUNCTION("""COMPUTED_VALUE"""),"New")</f>
        <v>New</v>
      </c>
      <c r="F971" s="72">
        <v>72</v>
      </c>
      <c r="G971" s="72">
        <v>1229028</v>
      </c>
      <c r="P971" s="26"/>
    </row>
    <row r="972" spans="1:16" ht="14.5">
      <c r="A972" s="3" t="s">
        <v>38</v>
      </c>
      <c r="B972" s="8" t="s">
        <v>2813</v>
      </c>
      <c r="C972" s="49" t="s">
        <v>4364</v>
      </c>
      <c r="D972" s="41" t="str">
        <f ca="1">IFERROR(__xludf.DUMMYFUNCTION("IFERROR(ARRAYFORMULA(REGEXEXTRACT(C972,""^(?:https?:\/\/)?(?:[^@\n]+@)?(?:www\.)?([^:\/\n]+)"")),"""")"),"southernhospitalityblog.com")</f>
        <v>southernhospitalityblog.com</v>
      </c>
      <c r="E972" s="26" t="str">
        <f ca="1">IFERROR(__xludf.DUMMYFUNCTION("""COMPUTED_VALUE"""),"New")</f>
        <v>New</v>
      </c>
      <c r="F972" s="72">
        <v>59</v>
      </c>
      <c r="G972" s="72">
        <v>6017</v>
      </c>
      <c r="H972" s="27" t="s">
        <v>4365</v>
      </c>
      <c r="I972" s="27" t="s">
        <v>4366</v>
      </c>
      <c r="K972" s="27" t="s">
        <v>3756</v>
      </c>
      <c r="L972" s="112"/>
      <c r="M972" s="66" t="s">
        <v>3117</v>
      </c>
      <c r="N972" s="48">
        <v>46036</v>
      </c>
      <c r="O972" s="48">
        <v>46073</v>
      </c>
      <c r="P972" s="26"/>
    </row>
    <row r="973" spans="1:16" ht="14.5">
      <c r="A973" s="3" t="s">
        <v>38</v>
      </c>
      <c r="B973" s="8" t="s">
        <v>2813</v>
      </c>
      <c r="C973" s="49" t="s">
        <v>4367</v>
      </c>
      <c r="D973" s="41" t="str">
        <f ca="1">IFERROR(__xludf.DUMMYFUNCTION("IFERROR(ARRAYFORMULA(REGEXEXTRACT(C973,""^(?:https?:\/\/)?(?:[^@\n]+@)?(?:www\.)?([^:\/\n]+)"")),"""")"),"hoodle.com")</f>
        <v>hoodle.com</v>
      </c>
      <c r="E973" s="26" t="str">
        <f ca="1">IFERROR(__xludf.DUMMYFUNCTION("""COMPUTED_VALUE"""),"New")</f>
        <v>New</v>
      </c>
      <c r="F973" s="72">
        <v>29</v>
      </c>
      <c r="G973" s="72">
        <v>1206</v>
      </c>
      <c r="H973" s="27" t="s">
        <v>4368</v>
      </c>
      <c r="I973" s="38" t="s">
        <v>4369</v>
      </c>
      <c r="K973" s="27" t="s">
        <v>3853</v>
      </c>
      <c r="L973" s="112"/>
      <c r="M973" s="66" t="s">
        <v>3117</v>
      </c>
      <c r="N973" s="48">
        <v>46036</v>
      </c>
      <c r="P973" s="26"/>
    </row>
    <row r="974" spans="1:16" ht="14.5">
      <c r="A974" s="3" t="s">
        <v>38</v>
      </c>
      <c r="B974" s="8" t="s">
        <v>2813</v>
      </c>
      <c r="C974" s="49" t="s">
        <v>4370</v>
      </c>
      <c r="D974" s="41" t="str">
        <f ca="1">IFERROR(__xludf.DUMMYFUNCTION("IFERROR(ARRAYFORMULA(REGEXEXTRACT(C974,""^(?:https?:\/\/)?(?:[^@\n]+@)?(?:www\.)?([^:\/\n]+)"")),"""")"),"chamber.greensboro.org")</f>
        <v>chamber.greensboro.org</v>
      </c>
      <c r="E974" s="26" t="str">
        <f ca="1">IFERROR(__xludf.DUMMYFUNCTION("""COMPUTED_VALUE"""),"New")</f>
        <v>New</v>
      </c>
      <c r="F974" s="72">
        <v>50</v>
      </c>
      <c r="G974" s="72">
        <v>4219</v>
      </c>
      <c r="P974" s="26"/>
    </row>
    <row r="975" spans="1:16" ht="14.5">
      <c r="A975" s="3" t="s">
        <v>38</v>
      </c>
      <c r="B975" s="8" t="s">
        <v>2813</v>
      </c>
      <c r="C975" s="49" t="s">
        <v>4371</v>
      </c>
      <c r="D975" s="41" t="str">
        <f ca="1">IFERROR(__xludf.DUMMYFUNCTION("IFERROR(ARRAYFORMULA(REGEXEXTRACT(C975,""^(?:https?:\/\/)?(?:[^@\n]+@)?(?:www\.)?([^:\/\n]+)"")),"""")"),"business.manateechamber.com")</f>
        <v>business.manateechamber.com</v>
      </c>
      <c r="E975" s="26" t="str">
        <f ca="1">IFERROR(__xludf.DUMMYFUNCTION("""COMPUTED_VALUE"""),"New")</f>
        <v>New</v>
      </c>
      <c r="F975" s="72">
        <v>65</v>
      </c>
      <c r="G975" s="72">
        <v>3803</v>
      </c>
      <c r="P975" s="26"/>
    </row>
    <row r="976" spans="1:16" ht="14.5">
      <c r="A976" s="3" t="s">
        <v>38</v>
      </c>
      <c r="B976" s="8" t="s">
        <v>2813</v>
      </c>
      <c r="C976" s="46" t="s">
        <v>4372</v>
      </c>
      <c r="D976" s="41" t="str">
        <f ca="1">IFERROR(__xludf.DUMMYFUNCTION("IFERROR(ARRAYFORMULA(REGEXEXTRACT(C976,""^(?:https?:\/\/)?(?:[^@\n]+@)?(?:www\.)?([^:\/\n]+)"")),"""")"),"marketplacehomes.com")</f>
        <v>marketplacehomes.com</v>
      </c>
      <c r="E976" s="26" t="str">
        <f ca="1">IFERROR(__xludf.DUMMYFUNCTION("""COMPUTED_VALUE"""),"New")</f>
        <v>New</v>
      </c>
      <c r="F976" s="72">
        <v>38</v>
      </c>
      <c r="G976" s="72">
        <v>4370</v>
      </c>
      <c r="P976" s="26"/>
    </row>
    <row r="977" spans="1:16" ht="14.5">
      <c r="A977" s="3" t="s">
        <v>38</v>
      </c>
      <c r="B977" s="8" t="s">
        <v>2813</v>
      </c>
      <c r="C977" s="46" t="s">
        <v>4373</v>
      </c>
      <c r="D977" s="41" t="str">
        <f ca="1">IFERROR(__xludf.DUMMYFUNCTION("IFERROR(ARRAYFORMULA(REGEXEXTRACT(C977,""^(?:https?:\/\/)?(?:[^@\n]+@)?(?:www\.)?([^:\/\n]+)"")),"""")"),"wreathsacrossamerica.org")</f>
        <v>wreathsacrossamerica.org</v>
      </c>
      <c r="E977" s="26" t="str">
        <f ca="1">IFERROR(__xludf.DUMMYFUNCTION("""COMPUTED_VALUE"""),"New")</f>
        <v>New</v>
      </c>
      <c r="F977" s="72">
        <v>78</v>
      </c>
      <c r="G977" s="72">
        <v>12455</v>
      </c>
      <c r="P977" s="26"/>
    </row>
    <row r="978" spans="1:16" ht="14.5">
      <c r="A978" s="3" t="s">
        <v>38</v>
      </c>
      <c r="B978" s="8" t="s">
        <v>2813</v>
      </c>
      <c r="C978" s="49" t="s">
        <v>4374</v>
      </c>
      <c r="D978" s="41" t="str">
        <f ca="1">IFERROR(__xludf.DUMMYFUNCTION("IFERROR(ARRAYFORMULA(REGEXEXTRACT(C978,""^(?:https?:\/\/)?(?:[^@\n]+@)?(?:www\.)?([^:\/\n]+)"")),"""")"),"southeasterngc.com")</f>
        <v>southeasterngc.com</v>
      </c>
      <c r="E978" s="26" t="str">
        <f ca="1">IFERROR(__xludf.DUMMYFUNCTION("""COMPUTED_VALUE"""),"New")</f>
        <v>New</v>
      </c>
      <c r="F978" s="72">
        <v>25</v>
      </c>
      <c r="G978" s="72">
        <v>1841</v>
      </c>
      <c r="H978" s="27" t="s">
        <v>4375</v>
      </c>
      <c r="I978" s="27" t="s">
        <v>4376</v>
      </c>
      <c r="J978" s="27" t="s">
        <v>4377</v>
      </c>
      <c r="K978" s="27" t="s">
        <v>4291</v>
      </c>
      <c r="L978" s="112"/>
      <c r="M978" s="27" t="s">
        <v>3715</v>
      </c>
      <c r="N978" s="48">
        <v>46036</v>
      </c>
      <c r="O978" s="48">
        <v>46066</v>
      </c>
      <c r="P978" s="26"/>
    </row>
    <row r="979" spans="1:16" ht="14.5">
      <c r="A979" s="3" t="s">
        <v>38</v>
      </c>
      <c r="B979" s="8" t="s">
        <v>2813</v>
      </c>
      <c r="C979" s="46" t="s">
        <v>4378</v>
      </c>
      <c r="D979" s="41" t="str">
        <f ca="1">IFERROR(__xludf.DUMMYFUNCTION("IFERROR(ARRAYFORMULA(REGEXEXTRACT(C979,""^(?:https?:\/\/)?(?:[^@\n]+@)?(?:www\.)?([^:\/\n]+)"")),"""")"),"graytvlocal.com")</f>
        <v>graytvlocal.com</v>
      </c>
      <c r="E979" s="26" t="str">
        <f ca="1">IFERROR(__xludf.DUMMYFUNCTION("""COMPUTED_VALUE"""),"New")</f>
        <v>New</v>
      </c>
      <c r="F979" s="72">
        <v>27</v>
      </c>
      <c r="G979" s="72">
        <v>1703</v>
      </c>
      <c r="P979" s="26"/>
    </row>
    <row r="980" spans="1:16" ht="14.5">
      <c r="A980" s="3" t="s">
        <v>38</v>
      </c>
      <c r="B980" s="8" t="s">
        <v>2813</v>
      </c>
      <c r="C980" s="46" t="s">
        <v>4379</v>
      </c>
      <c r="D980" s="41" t="str">
        <f ca="1">IFERROR(__xludf.DUMMYFUNCTION("IFERROR(ARRAYFORMULA(REGEXEXTRACT(C980,""^(?:https?:\/\/)?(?:[^@\n]+@)?(?:www\.)?([^:\/\n]+)"")),"""")"),"business.napleschamber.org")</f>
        <v>business.napleschamber.org</v>
      </c>
      <c r="E980" s="26" t="str">
        <f ca="1">IFERROR(__xludf.DUMMYFUNCTION("""COMPUTED_VALUE"""),"New")</f>
        <v>New</v>
      </c>
      <c r="F980" s="72">
        <v>55</v>
      </c>
      <c r="G980" s="72">
        <v>1075</v>
      </c>
      <c r="P980" s="26"/>
    </row>
    <row r="981" spans="1:16" ht="14.5">
      <c r="A981" s="3" t="s">
        <v>38</v>
      </c>
      <c r="B981" s="8" t="s">
        <v>2813</v>
      </c>
      <c r="C981" s="49" t="s">
        <v>4380</v>
      </c>
      <c r="D981" s="41" t="str">
        <f ca="1">IFERROR(__xludf.DUMMYFUNCTION("IFERROR(ARRAYFORMULA(REGEXEXTRACT(C981,""^(?:https?:\/\/)?(?:[^@\n]+@)?(?:www\.)?([^:\/\n]+)"")),"""")"),"summerlin.com")</f>
        <v>summerlin.com</v>
      </c>
      <c r="E981" s="26" t="str">
        <f ca="1">IFERROR(__xludf.DUMMYFUNCTION("""COMPUTED_VALUE"""),"New")</f>
        <v>New</v>
      </c>
      <c r="F981" s="72">
        <v>61</v>
      </c>
      <c r="G981" s="72">
        <v>16014</v>
      </c>
      <c r="H981" s="27" t="s">
        <v>4298</v>
      </c>
      <c r="I981" s="27" t="s">
        <v>4381</v>
      </c>
      <c r="J981" s="27" t="s">
        <v>4382</v>
      </c>
      <c r="K981" s="27" t="s">
        <v>3853</v>
      </c>
      <c r="L981" s="112"/>
      <c r="M981" s="27" t="s">
        <v>3715</v>
      </c>
      <c r="N981" s="48">
        <v>46036</v>
      </c>
      <c r="O981" s="48">
        <v>46066</v>
      </c>
      <c r="P981" s="26"/>
    </row>
    <row r="982" spans="1:16" ht="14.5">
      <c r="A982" s="3" t="s">
        <v>38</v>
      </c>
      <c r="B982" s="8" t="s">
        <v>2813</v>
      </c>
      <c r="C982" s="46" t="s">
        <v>4383</v>
      </c>
      <c r="D982" s="41" t="str">
        <f ca="1">IFERROR(__xludf.DUMMYFUNCTION("IFERROR(ARRAYFORMULA(REGEXEXTRACT(C982,""^(?:https?:\/\/)?(?:[^@\n]+@)?(?:www\.)?([^:\/\n]+)"")),"""")"),"wltx.com")</f>
        <v>wltx.com</v>
      </c>
      <c r="E982" s="26" t="str">
        <f ca="1">IFERROR(__xludf.DUMMYFUNCTION("""COMPUTED_VALUE"""),"New")</f>
        <v>New</v>
      </c>
      <c r="F982" s="72">
        <v>73</v>
      </c>
      <c r="G982" s="72">
        <v>77149</v>
      </c>
      <c r="P982" s="26"/>
    </row>
    <row r="983" spans="1:16" ht="14.5">
      <c r="A983" s="3" t="s">
        <v>38</v>
      </c>
      <c r="B983" s="8" t="s">
        <v>2813</v>
      </c>
      <c r="C983" s="49" t="s">
        <v>4384</v>
      </c>
      <c r="D983" s="41" t="str">
        <f ca="1">IFERROR(__xludf.DUMMYFUNCTION("IFERROR(ARRAYFORMULA(REGEXEXTRACT(C983,""^(?:https?:\/\/)?(?:[^@\n]+@)?(?:www\.)?([^:\/\n]+)"")),"""")"),"probuilder.com")</f>
        <v>probuilder.com</v>
      </c>
      <c r="E983" s="26" t="str">
        <f ca="1">IFERROR(__xludf.DUMMYFUNCTION("""COMPUTED_VALUE"""),"New")</f>
        <v>New</v>
      </c>
      <c r="F983" s="72">
        <v>71</v>
      </c>
      <c r="G983" s="72">
        <v>2127</v>
      </c>
      <c r="H983" s="27" t="s">
        <v>4385</v>
      </c>
      <c r="I983" s="27" t="s">
        <v>4386</v>
      </c>
      <c r="J983" s="27" t="s">
        <v>4387</v>
      </c>
      <c r="K983" s="27" t="s">
        <v>4291</v>
      </c>
      <c r="L983" s="112"/>
      <c r="M983" s="27" t="s">
        <v>3715</v>
      </c>
      <c r="N983" s="48">
        <v>46036</v>
      </c>
      <c r="O983" s="48">
        <v>46066</v>
      </c>
      <c r="P983" s="26"/>
    </row>
    <row r="984" spans="1:16" ht="14.5" hidden="1">
      <c r="A984" s="3" t="s">
        <v>38</v>
      </c>
      <c r="B984" s="8" t="s">
        <v>2813</v>
      </c>
      <c r="C984" s="47" t="s">
        <v>4388</v>
      </c>
      <c r="D984" s="41" t="str">
        <f ca="1">IFERROR(__xludf.DUMMYFUNCTION("IFERROR(ARRAYFORMULA(REGEXEXTRACT(C984,""^(?:https?:\/\/)?(?:[^@\n]+@)?(?:www\.)?([^:\/\n]+)"")),"""")"),"southfloridaagentmagazine.com")</f>
        <v>southfloridaagentmagazine.com</v>
      </c>
      <c r="E984" s="26" t="str">
        <f ca="1">IFERROR(__xludf.DUMMYFUNCTION("""COMPUTED_VALUE"""),"Already Exists")</f>
        <v>Already Exists</v>
      </c>
      <c r="F984" s="72">
        <v>53</v>
      </c>
      <c r="G984" s="72">
        <v>1037</v>
      </c>
      <c r="H984" s="27" t="s">
        <v>4389</v>
      </c>
      <c r="I984" s="27" t="s">
        <v>4390</v>
      </c>
      <c r="J984" s="27" t="s">
        <v>4063</v>
      </c>
      <c r="K984" s="27" t="s">
        <v>3853</v>
      </c>
      <c r="L984" s="112"/>
      <c r="M984" s="27" t="s">
        <v>3715</v>
      </c>
      <c r="N984" s="48">
        <v>46036</v>
      </c>
      <c r="P984" s="27" t="s">
        <v>3201</v>
      </c>
    </row>
    <row r="985" spans="1:16" ht="14.5">
      <c r="A985" s="3" t="s">
        <v>38</v>
      </c>
      <c r="B985" s="8" t="s">
        <v>2813</v>
      </c>
      <c r="C985" s="46" t="s">
        <v>4391</v>
      </c>
      <c r="D985" s="41" t="str">
        <f ca="1">IFERROR(__xludf.DUMMYFUNCTION("IFERROR(ARRAYFORMULA(REGEXEXTRACT(C985,""^(?:https?:\/\/)?(?:[^@\n]+@)?(?:www\.)?([^:\/\n]+)"")),"""")"),"econdev.fishersin.gov")</f>
        <v>econdev.fishersin.gov</v>
      </c>
      <c r="E985" s="26" t="str">
        <f ca="1">IFERROR(__xludf.DUMMYFUNCTION("""COMPUTED_VALUE"""),"New")</f>
        <v>New</v>
      </c>
      <c r="F985" s="72">
        <v>59</v>
      </c>
      <c r="G985" s="72">
        <v>12767</v>
      </c>
      <c r="P985" s="26"/>
    </row>
    <row r="986" spans="1:16" ht="14.5">
      <c r="A986" s="3" t="s">
        <v>38</v>
      </c>
      <c r="B986" s="8" t="s">
        <v>2813</v>
      </c>
      <c r="C986" s="46" t="s">
        <v>4392</v>
      </c>
      <c r="D986" s="41" t="str">
        <f ca="1">IFERROR(__xludf.DUMMYFUNCTION("IFERROR(ARRAYFORMULA(REGEXEXTRACT(C986,""^(?:https?:\/\/)?(?:[^@\n]+@)?(?:www\.)?([^:\/\n]+)"")),"""")"),"55places.com")</f>
        <v>55places.com</v>
      </c>
      <c r="E986" s="26" t="str">
        <f ca="1">IFERROR(__xludf.DUMMYFUNCTION("""COMPUTED_VALUE"""),"New")</f>
        <v>New</v>
      </c>
      <c r="F986" s="72">
        <v>59</v>
      </c>
      <c r="G986" s="72">
        <v>257681</v>
      </c>
      <c r="P986" s="26"/>
    </row>
    <row r="987" spans="1:16" ht="14.5">
      <c r="A987" s="3" t="s">
        <v>38</v>
      </c>
      <c r="B987" s="8" t="s">
        <v>2813</v>
      </c>
      <c r="C987" s="49" t="s">
        <v>4393</v>
      </c>
      <c r="D987" s="41" t="str">
        <f ca="1">IFERROR(__xludf.DUMMYFUNCTION("IFERROR(ARRAYFORMULA(REGEXEXTRACT(C987,""^(?:https?:\/\/)?(?:[^@\n]+@)?(?:www\.)?([^:\/\n]+)"")),"""")"),"atlanta.urbanize.city")</f>
        <v>atlanta.urbanize.city</v>
      </c>
      <c r="E987" s="26" t="str">
        <f ca="1">IFERROR(__xludf.DUMMYFUNCTION("""COMPUTED_VALUE"""),"New")</f>
        <v>New</v>
      </c>
      <c r="F987" s="72">
        <v>74</v>
      </c>
      <c r="G987" s="72">
        <v>31923</v>
      </c>
      <c r="H987" s="27" t="s">
        <v>4394</v>
      </c>
      <c r="I987" s="27" t="s">
        <v>4395</v>
      </c>
      <c r="K987" s="27" t="s">
        <v>3853</v>
      </c>
      <c r="L987" s="112"/>
      <c r="M987" s="27" t="s">
        <v>3715</v>
      </c>
      <c r="N987" s="48">
        <v>46036</v>
      </c>
      <c r="O987" s="48">
        <v>46066</v>
      </c>
      <c r="P987" s="26"/>
    </row>
    <row r="988" spans="1:16" ht="14.5">
      <c r="A988" s="3" t="s">
        <v>38</v>
      </c>
      <c r="B988" s="8" t="s">
        <v>2813</v>
      </c>
      <c r="C988" s="49" t="s">
        <v>4396</v>
      </c>
      <c r="D988" s="41" t="str">
        <f ca="1">IFERROR(__xludf.DUMMYFUNCTION("IFERROR(ARRAYFORMULA(REGEXEXTRACT(C988,""^(?:https?:\/\/)?(?:[^@\n]+@)?(?:www\.)?([^:\/\n]+)"")),"""")"),"theorlandoreal.com")</f>
        <v>theorlandoreal.com</v>
      </c>
      <c r="E988" s="26" t="str">
        <f ca="1">IFERROR(__xludf.DUMMYFUNCTION("""COMPUTED_VALUE"""),"New")</f>
        <v>New</v>
      </c>
      <c r="F988" s="72">
        <v>33</v>
      </c>
      <c r="G988" s="72">
        <v>5650</v>
      </c>
      <c r="H988" s="27" t="s">
        <v>4397</v>
      </c>
      <c r="I988" s="27" t="s">
        <v>4398</v>
      </c>
      <c r="J988" s="27" t="s">
        <v>4399</v>
      </c>
      <c r="K988" s="27" t="s">
        <v>3853</v>
      </c>
      <c r="L988" s="112"/>
      <c r="M988" s="27" t="s">
        <v>3715</v>
      </c>
      <c r="N988" s="48">
        <v>46036</v>
      </c>
      <c r="O988" s="48">
        <v>46066</v>
      </c>
      <c r="P988" s="26"/>
    </row>
    <row r="989" spans="1:16" ht="14.5">
      <c r="A989" s="3" t="s">
        <v>38</v>
      </c>
      <c r="B989" s="8" t="s">
        <v>2813</v>
      </c>
      <c r="C989" s="49" t="s">
        <v>4400</v>
      </c>
      <c r="D989" s="41" t="str">
        <f ca="1">IFERROR(__xludf.DUMMYFUNCTION("IFERROR(ARRAYFORMULA(REGEXEXTRACT(C989,""^(?:https?:\/\/)?(?:[^@\n]+@)?(?:www\.)?([^:\/\n]+)"")),"""")"),"ospreyobserver.com")</f>
        <v>ospreyobserver.com</v>
      </c>
      <c r="E989" s="26" t="str">
        <f ca="1">IFERROR(__xludf.DUMMYFUNCTION("""COMPUTED_VALUE"""),"New")</f>
        <v>New</v>
      </c>
      <c r="F989" s="72">
        <v>55</v>
      </c>
      <c r="G989" s="72">
        <v>2268</v>
      </c>
      <c r="H989" s="27" t="s">
        <v>4401</v>
      </c>
      <c r="I989" s="27" t="s">
        <v>4402</v>
      </c>
      <c r="K989" s="27" t="s">
        <v>3853</v>
      </c>
      <c r="L989" s="112"/>
      <c r="M989" s="27" t="s">
        <v>3715</v>
      </c>
      <c r="N989" s="48">
        <v>46036</v>
      </c>
      <c r="O989" s="48">
        <v>46066</v>
      </c>
      <c r="P989" s="26"/>
    </row>
    <row r="990" spans="1:16" ht="14.5">
      <c r="A990" s="3" t="s">
        <v>38</v>
      </c>
      <c r="B990" s="8" t="s">
        <v>2813</v>
      </c>
      <c r="C990" s="46" t="s">
        <v>4403</v>
      </c>
      <c r="D990" s="41" t="str">
        <f ca="1">IFERROR(__xludf.DUMMYFUNCTION("IFERROR(ARRAYFORMULA(REGEXEXTRACT(C990,""^(?:https?:\/\/)?(?:[^@\n]+@)?(?:www\.)?([^:\/\n]+)"")),"""")"),"citybiz.co")</f>
        <v>citybiz.co</v>
      </c>
      <c r="E990" s="26" t="str">
        <f ca="1">IFERROR(__xludf.DUMMYFUNCTION("""COMPUTED_VALUE"""),"New")</f>
        <v>New</v>
      </c>
      <c r="F990" s="72">
        <v>76</v>
      </c>
      <c r="G990" s="72">
        <v>7761</v>
      </c>
      <c r="P990" s="26"/>
    </row>
    <row r="991" spans="1:16" ht="14.5">
      <c r="A991" s="3" t="s">
        <v>38</v>
      </c>
      <c r="B991" s="8" t="s">
        <v>2813</v>
      </c>
      <c r="C991" s="46" t="s">
        <v>4404</v>
      </c>
      <c r="D991" s="41" t="str">
        <f ca="1">IFERROR(__xludf.DUMMYFUNCTION("IFERROR(ARRAYFORMULA(REGEXEXTRACT(C991,""^(?:https?:\/\/)?(?:[^@\n]+@)?(?:www\.)?([^:\/\n]+)"")),"""")"),"sudbury.ma.us")</f>
        <v>sudbury.ma.us</v>
      </c>
      <c r="E991" s="26" t="str">
        <f ca="1">IFERROR(__xludf.DUMMYFUNCTION("""COMPUTED_VALUE"""),"New")</f>
        <v>New</v>
      </c>
      <c r="F991" s="72">
        <v>60</v>
      </c>
      <c r="G991" s="72">
        <v>3036</v>
      </c>
      <c r="P991" s="26"/>
    </row>
    <row r="992" spans="1:16" ht="14.5">
      <c r="A992" s="3" t="s">
        <v>38</v>
      </c>
      <c r="B992" s="8" t="s">
        <v>2813</v>
      </c>
      <c r="C992" s="46" t="s">
        <v>4405</v>
      </c>
      <c r="D992" s="41" t="str">
        <f ca="1">IFERROR(__xludf.DUMMYFUNCTION("IFERROR(ARRAYFORMULA(REGEXEXTRACT(C992,""^(?:https?:\/\/)?(?:[^@\n]+@)?(?:www\.)?([^:\/\n]+)"")),"""")"),"allmine.com")</f>
        <v>allmine.com</v>
      </c>
      <c r="E992" s="26" t="str">
        <f ca="1">IFERROR(__xludf.DUMMYFUNCTION("""COMPUTED_VALUE"""),"New")</f>
        <v>New</v>
      </c>
      <c r="F992" s="72">
        <v>37</v>
      </c>
      <c r="G992" s="72">
        <v>2605</v>
      </c>
      <c r="P992" s="26"/>
    </row>
    <row r="993" spans="1:16" ht="14.5">
      <c r="A993" s="3" t="s">
        <v>38</v>
      </c>
      <c r="B993" s="8" t="s">
        <v>2813</v>
      </c>
      <c r="C993" s="46" t="s">
        <v>4406</v>
      </c>
      <c r="D993" s="41" t="str">
        <f ca="1">IFERROR(__xludf.DUMMYFUNCTION("IFERROR(ARRAYFORMULA(REGEXEXTRACT(C993,""^(?:https?:\/\/)?(?:[^@\n]+@)?(?:www\.)?([^:\/\n]+)"")),"""")"),"members.tbba.net")</f>
        <v>members.tbba.net</v>
      </c>
      <c r="E993" s="26" t="str">
        <f ca="1">IFERROR(__xludf.DUMMYFUNCTION("""COMPUTED_VALUE"""),"New")</f>
        <v>New</v>
      </c>
      <c r="F993" s="72">
        <v>43</v>
      </c>
      <c r="G993" s="72">
        <v>1097</v>
      </c>
      <c r="P993" s="26"/>
    </row>
    <row r="994" spans="1:16" ht="14.5">
      <c r="A994" s="3" t="s">
        <v>38</v>
      </c>
      <c r="B994" s="8" t="s">
        <v>2813</v>
      </c>
      <c r="C994" s="49" t="s">
        <v>4407</v>
      </c>
      <c r="D994" s="41" t="str">
        <f ca="1">IFERROR(__xludf.DUMMYFUNCTION("IFERROR(ARRAYFORMULA(REGEXEXTRACT(C994,""^(?:https?:\/\/)?(?:[^@\n]+@)?(?:www\.)?([^:\/\n]+)"")),"""")"),"massbaymovers.com")</f>
        <v>massbaymovers.com</v>
      </c>
      <c r="E994" s="26" t="str">
        <f ca="1">IFERROR(__xludf.DUMMYFUNCTION("""COMPUTED_VALUE"""),"New")</f>
        <v>New</v>
      </c>
      <c r="F994" s="72">
        <v>30</v>
      </c>
      <c r="G994" s="72">
        <v>3883</v>
      </c>
      <c r="H994" s="27" t="s">
        <v>4408</v>
      </c>
      <c r="I994" s="27" t="s">
        <v>4409</v>
      </c>
      <c r="J994" s="27" t="s">
        <v>4410</v>
      </c>
      <c r="K994" s="27" t="s">
        <v>4092</v>
      </c>
      <c r="L994" s="112"/>
      <c r="M994" s="27" t="s">
        <v>3715</v>
      </c>
      <c r="N994" s="48">
        <v>46036</v>
      </c>
      <c r="O994" s="48">
        <v>46066</v>
      </c>
      <c r="P994" s="26"/>
    </row>
    <row r="995" spans="1:16" ht="14.5">
      <c r="A995" s="3" t="s">
        <v>38</v>
      </c>
      <c r="B995" s="8" t="s">
        <v>2813</v>
      </c>
      <c r="C995" s="49" t="s">
        <v>4411</v>
      </c>
      <c r="D995" s="41" t="str">
        <f ca="1">IFERROR(__xludf.DUMMYFUNCTION("IFERROR(ARRAYFORMULA(REGEXEXTRACT(C995,""^(?:https?:\/\/)?(?:[^@\n]+@)?(?:www\.)?([^:\/\n]+)"")),"""")"),"multihousingnews.com")</f>
        <v>multihousingnews.com</v>
      </c>
      <c r="E995" s="26" t="str">
        <f ca="1">IFERROR(__xludf.DUMMYFUNCTION("""COMPUTED_VALUE"""),"New")</f>
        <v>New</v>
      </c>
      <c r="F995" s="72">
        <v>77</v>
      </c>
      <c r="G995" s="72">
        <v>31736</v>
      </c>
      <c r="H995" s="27" t="s">
        <v>4412</v>
      </c>
      <c r="I995" s="27" t="s">
        <v>4413</v>
      </c>
      <c r="J995" s="27" t="s">
        <v>4414</v>
      </c>
      <c r="K995" s="27" t="s">
        <v>3853</v>
      </c>
      <c r="L995" s="112"/>
      <c r="M995" s="27" t="s">
        <v>3715</v>
      </c>
      <c r="N995" s="48">
        <v>46036</v>
      </c>
      <c r="O995" s="48">
        <v>46066</v>
      </c>
      <c r="P995" s="26"/>
    </row>
    <row r="996" spans="1:16" ht="14.5">
      <c r="A996" s="3" t="s">
        <v>38</v>
      </c>
      <c r="B996" s="8" t="s">
        <v>2813</v>
      </c>
      <c r="C996" s="46" t="s">
        <v>4415</v>
      </c>
      <c r="D996" s="41" t="str">
        <f ca="1">IFERROR(__xludf.DUMMYFUNCTION("IFERROR(ARRAYFORMULA(REGEXEXTRACT(C996,""^(?:https?:\/\/)?(?:[^@\n]+@)?(?:www\.)?([^:\/\n]+)"")),"""")"),"dailyherald.com")</f>
        <v>dailyherald.com</v>
      </c>
      <c r="E996" s="26" t="str">
        <f ca="1">IFERROR(__xludf.DUMMYFUNCTION("""COMPUTED_VALUE"""),"New")</f>
        <v>New</v>
      </c>
      <c r="F996" s="72">
        <v>81</v>
      </c>
      <c r="G996" s="72">
        <v>50223</v>
      </c>
      <c r="P996" s="26"/>
    </row>
    <row r="997" spans="1:16" ht="14.5">
      <c r="A997" s="3" t="s">
        <v>38</v>
      </c>
      <c r="B997" s="8" t="s">
        <v>2813</v>
      </c>
      <c r="C997" s="46" t="s">
        <v>4416</v>
      </c>
      <c r="D997" s="41" t="str">
        <f ca="1">IFERROR(__xludf.DUMMYFUNCTION("IFERROR(ARRAYFORMULA(REGEXEXTRACT(C997,""^(?:https?:\/\/)?(?:[^@\n]+@)?(?:www\.)?([^:\/\n]+)"")),"""")"),"newhomesource.com")</f>
        <v>newhomesource.com</v>
      </c>
      <c r="E997" s="26" t="str">
        <f ca="1">IFERROR(__xludf.DUMMYFUNCTION("""COMPUTED_VALUE"""),"New")</f>
        <v>New</v>
      </c>
      <c r="F997" s="72">
        <v>73</v>
      </c>
      <c r="G997" s="72">
        <v>463943</v>
      </c>
      <c r="P997" s="26"/>
    </row>
    <row r="998" spans="1:16" ht="14.5">
      <c r="A998" s="3" t="s">
        <v>38</v>
      </c>
      <c r="B998" s="8" t="s">
        <v>2813</v>
      </c>
      <c r="C998" s="46" t="s">
        <v>4417</v>
      </c>
      <c r="D998" s="41" t="str">
        <f ca="1">IFERROR(__xludf.DUMMYFUNCTION("IFERROR(ARRAYFORMULA(REGEXEXTRACT(C998,""^(?:https?:\/\/)?(?:[^@\n]+@)?(?:www\.)?([^:\/\n]+)"")),"""")"),"assistedliving.org")</f>
        <v>assistedliving.org</v>
      </c>
      <c r="E998" s="26" t="str">
        <f ca="1">IFERROR(__xludf.DUMMYFUNCTION("""COMPUTED_VALUE"""),"New")</f>
        <v>New</v>
      </c>
      <c r="F998" s="72">
        <v>73</v>
      </c>
      <c r="G998" s="72">
        <v>150872</v>
      </c>
      <c r="P998" s="26"/>
    </row>
    <row r="999" spans="1:16" ht="14.5">
      <c r="A999" s="3" t="s">
        <v>38</v>
      </c>
      <c r="B999" s="8" t="s">
        <v>2813</v>
      </c>
      <c r="C999" s="46" t="s">
        <v>4418</v>
      </c>
      <c r="D999" s="41" t="str">
        <f ca="1">IFERROR(__xludf.DUMMYFUNCTION("IFERROR(ARRAYFORMULA(REGEXEXTRACT(C999,""^(?:https?:\/\/)?(?:[^@\n]+@)?(?:www\.)?([^:\/\n]+)"")),"""")"),"ana.net")</f>
        <v>ana.net</v>
      </c>
      <c r="E999" s="26" t="str">
        <f ca="1">IFERROR(__xludf.DUMMYFUNCTION("""COMPUTED_VALUE"""),"New")</f>
        <v>New</v>
      </c>
      <c r="F999" s="72">
        <v>83</v>
      </c>
      <c r="G999" s="72">
        <v>5830</v>
      </c>
      <c r="P999" s="26"/>
    </row>
    <row r="1000" spans="1:16" ht="14.5">
      <c r="A1000" s="3" t="s">
        <v>38</v>
      </c>
      <c r="B1000" s="8" t="s">
        <v>2813</v>
      </c>
      <c r="C1000" s="46" t="s">
        <v>4419</v>
      </c>
      <c r="D1000" s="41" t="str">
        <f ca="1">IFERROR(__xludf.DUMMYFUNCTION("IFERROR(ARRAYFORMULA(REGEXEXTRACT(C1000,""^(?:https?:\/\/)?(?:[^@\n]+@)?(?:www\.)?([^:\/\n]+)"")),"""")"),"m16marketing.com")</f>
        <v>m16marketing.com</v>
      </c>
      <c r="E1000" s="26" t="str">
        <f ca="1">IFERROR(__xludf.DUMMYFUNCTION("""COMPUTED_VALUE"""),"New")</f>
        <v>New</v>
      </c>
      <c r="F1000" s="72">
        <v>47</v>
      </c>
      <c r="G1000" s="72">
        <v>2583</v>
      </c>
      <c r="P1000" s="26"/>
    </row>
    <row r="1001" spans="1:16" ht="14.5">
      <c r="A1001" s="3" t="s">
        <v>38</v>
      </c>
      <c r="B1001" s="8" t="s">
        <v>2813</v>
      </c>
      <c r="C1001" s="67" t="s">
        <v>4420</v>
      </c>
      <c r="D1001" s="41" t="str">
        <f ca="1">IFERROR(__xludf.DUMMYFUNCTION("IFERROR(ARRAYFORMULA(REGEXEXTRACT(C1001,""^(?:https?:\/\/)?(?:[^@\n]+@)?(?:www\.)?([^:\/\n]+)"")),"""")"),"business.westervillechamber.com")</f>
        <v>business.westervillechamber.com</v>
      </c>
      <c r="E1001" s="26" t="str">
        <f ca="1">IFERROR(__xludf.DUMMYFUNCTION("""COMPUTED_VALUE"""),"New")</f>
        <v>New</v>
      </c>
      <c r="F1001" s="72">
        <v>44</v>
      </c>
      <c r="G1001" s="72">
        <v>2011</v>
      </c>
      <c r="O1001" s="48"/>
      <c r="P1001" s="26"/>
    </row>
    <row r="1002" spans="1:16" ht="14.5">
      <c r="A1002" s="3" t="s">
        <v>38</v>
      </c>
      <c r="B1002" s="8" t="s">
        <v>2813</v>
      </c>
      <c r="C1002" s="49" t="s">
        <v>4421</v>
      </c>
      <c r="D1002" s="41" t="str">
        <f ca="1">IFERROR(__xludf.DUMMYFUNCTION("IFERROR(ARRAYFORMULA(REGEXEXTRACT(C1002,""^(?:https?:\/\/)?(?:[^@\n]+@)?(?:www\.)?([^:\/\n]+)"")),"""")"),"callnorthwest.com")</f>
        <v>callnorthwest.com</v>
      </c>
      <c r="E1002" s="26" t="str">
        <f ca="1">IFERROR(__xludf.DUMMYFUNCTION("""COMPUTED_VALUE"""),"New")</f>
        <v>New</v>
      </c>
      <c r="F1002" s="72">
        <v>48</v>
      </c>
      <c r="G1002" s="72">
        <v>37588</v>
      </c>
      <c r="J1002" s="27" t="s">
        <v>4422</v>
      </c>
      <c r="K1002" s="27" t="s">
        <v>4423</v>
      </c>
      <c r="L1002" s="112"/>
      <c r="M1002" s="27" t="s">
        <v>3715</v>
      </c>
      <c r="N1002" s="48">
        <v>46036</v>
      </c>
      <c r="O1002" s="48">
        <v>46067</v>
      </c>
      <c r="P1002" s="26"/>
    </row>
    <row r="1003" spans="1:16" ht="14.5">
      <c r="A1003" s="3" t="s">
        <v>38</v>
      </c>
      <c r="B1003" s="8" t="s">
        <v>2813</v>
      </c>
      <c r="C1003" s="46" t="s">
        <v>4424</v>
      </c>
      <c r="D1003" s="41" t="str">
        <f ca="1">IFERROR(__xludf.DUMMYFUNCTION("IFERROR(ARRAYFORMULA(REGEXEXTRACT(C1003,""^(?:https?:\/\/)?(?:[^@\n]+@)?(?:www\.)?([^:\/\n]+)"")),"""")"),"senioradvice.com")</f>
        <v>senioradvice.com</v>
      </c>
      <c r="E1003" s="26" t="str">
        <f ca="1">IFERROR(__xludf.DUMMYFUNCTION("""COMPUTED_VALUE"""),"New")</f>
        <v>New</v>
      </c>
      <c r="F1003" s="72">
        <v>68</v>
      </c>
      <c r="G1003" s="72">
        <v>8915</v>
      </c>
      <c r="P1003" s="26"/>
    </row>
    <row r="1004" spans="1:16" ht="14.5">
      <c r="A1004" s="3" t="s">
        <v>38</v>
      </c>
      <c r="B1004" s="8" t="s">
        <v>2813</v>
      </c>
      <c r="C1004" s="46" t="s">
        <v>4425</v>
      </c>
      <c r="D1004" s="41" t="str">
        <f ca="1">IFERROR(__xludf.DUMMYFUNCTION("IFERROR(ARRAYFORMULA(REGEXEXTRACT(C1004,""^(?:https?:\/\/)?(?:[^@\n]+@)?(?:www\.)?([^:\/\n]+)"")),"""")"),"sanjoserealestatelosgatoshomes.com")</f>
        <v>sanjoserealestatelosgatoshomes.com</v>
      </c>
      <c r="E1004" s="26" t="str">
        <f ca="1">IFERROR(__xludf.DUMMYFUNCTION("""COMPUTED_VALUE"""),"New")</f>
        <v>New</v>
      </c>
      <c r="F1004" s="72">
        <v>28</v>
      </c>
      <c r="G1004" s="72">
        <v>1218</v>
      </c>
      <c r="P1004" s="26"/>
    </row>
    <row r="1005" spans="1:16" ht="14.5">
      <c r="A1005" s="3" t="s">
        <v>38</v>
      </c>
      <c r="B1005" s="8" t="s">
        <v>2813</v>
      </c>
      <c r="C1005" s="46" t="s">
        <v>4426</v>
      </c>
      <c r="D1005" s="41" t="str">
        <f ca="1">IFERROR(__xludf.DUMMYFUNCTION("IFERROR(ARRAYFORMULA(REGEXEXTRACT(C1005,""^(?:https?:\/\/)?(?:[^@\n]+@)?(?:www\.)?([^:\/\n]+)"")),"""")"),"inloveandadventure.com")</f>
        <v>inloveandadventure.com</v>
      </c>
      <c r="E1005" s="26" t="str">
        <f ca="1">IFERROR(__xludf.DUMMYFUNCTION("""COMPUTED_VALUE"""),"New")</f>
        <v>New</v>
      </c>
      <c r="F1005" s="72">
        <v>32</v>
      </c>
      <c r="G1005" s="72">
        <v>1707</v>
      </c>
      <c r="P1005" s="26"/>
    </row>
    <row r="1006" spans="1:16" ht="14.5">
      <c r="A1006" s="3" t="s">
        <v>38</v>
      </c>
      <c r="B1006" s="8" t="s">
        <v>2813</v>
      </c>
      <c r="C1006" s="46" t="s">
        <v>4427</v>
      </c>
      <c r="D1006" s="41" t="str">
        <f ca="1">IFERROR(__xludf.DUMMYFUNCTION("IFERROR(ARRAYFORMULA(REGEXEXTRACT(C1006,""^(?:https?:\/\/)?(?:[^@\n]+@)?(?:www\.)?([^:\/\n]+)"")),"""")"),"nar.realtor")</f>
        <v>nar.realtor</v>
      </c>
      <c r="E1006" s="26" t="str">
        <f ca="1">IFERROR(__xludf.DUMMYFUNCTION("""COMPUTED_VALUE"""),"New")</f>
        <v>New</v>
      </c>
      <c r="F1006" s="72">
        <v>90</v>
      </c>
      <c r="G1006" s="72">
        <v>559115</v>
      </c>
      <c r="P1006" s="26"/>
    </row>
    <row r="1007" spans="1:16" ht="14.5">
      <c r="A1007" s="3" t="s">
        <v>38</v>
      </c>
      <c r="B1007" s="8" t="s">
        <v>2813</v>
      </c>
      <c r="C1007" s="49" t="s">
        <v>4428</v>
      </c>
      <c r="D1007" s="41" t="str">
        <f ca="1">IFERROR(__xludf.DUMMYFUNCTION("IFERROR(ARRAYFORMULA(REGEXEXTRACT(C1007,""^(?:https?:\/\/)?(?:[^@\n]+@)?(?:www\.)?([^:\/\n]+)"")),"""")"),"bwfa.com")</f>
        <v>bwfa.com</v>
      </c>
      <c r="E1007" s="26" t="str">
        <f ca="1">IFERROR(__xludf.DUMMYFUNCTION("""COMPUTED_VALUE"""),"New")</f>
        <v>New</v>
      </c>
      <c r="F1007" s="72">
        <v>21</v>
      </c>
      <c r="G1007" s="72">
        <v>1043</v>
      </c>
      <c r="H1007" s="27" t="s">
        <v>4429</v>
      </c>
      <c r="I1007" s="27" t="s">
        <v>4430</v>
      </c>
      <c r="J1007" s="27" t="s">
        <v>4431</v>
      </c>
      <c r="K1007" s="27" t="s">
        <v>3829</v>
      </c>
      <c r="L1007" s="112"/>
      <c r="M1007" s="27" t="s">
        <v>3715</v>
      </c>
      <c r="N1007" s="48">
        <v>46036</v>
      </c>
      <c r="O1007" s="48">
        <v>46067</v>
      </c>
      <c r="P1007" s="26"/>
    </row>
    <row r="1008" spans="1:16" ht="14.5">
      <c r="A1008" s="3" t="s">
        <v>38</v>
      </c>
      <c r="B1008" s="8" t="s">
        <v>2813</v>
      </c>
      <c r="C1008" s="49" t="s">
        <v>4432</v>
      </c>
      <c r="D1008" s="41" t="str">
        <f ca="1">IFERROR(__xludf.DUMMYFUNCTION("IFERROR(ARRAYFORMULA(REGEXEXTRACT(C1008,""^(?:https?:\/\/)?(?:[^@\n]+@)?(?:www\.)?([^:\/\n]+)"")),"""")"),"summitmoving.com")</f>
        <v>summitmoving.com</v>
      </c>
      <c r="E1008" s="26" t="str">
        <f ca="1">IFERROR(__xludf.DUMMYFUNCTION("""COMPUTED_VALUE"""),"New")</f>
        <v>New</v>
      </c>
      <c r="F1008" s="72">
        <v>30</v>
      </c>
      <c r="G1008" s="72">
        <v>1116</v>
      </c>
      <c r="J1008" s="38" t="s">
        <v>4433</v>
      </c>
      <c r="K1008" s="27" t="s">
        <v>4092</v>
      </c>
      <c r="L1008" s="112"/>
      <c r="M1008" s="27" t="s">
        <v>3715</v>
      </c>
      <c r="N1008" s="48">
        <v>46036</v>
      </c>
      <c r="O1008" s="48"/>
      <c r="P1008" s="26"/>
    </row>
    <row r="1009" spans="1:16" ht="14.5">
      <c r="A1009" s="3" t="s">
        <v>38</v>
      </c>
      <c r="B1009" s="8" t="s">
        <v>2813</v>
      </c>
      <c r="C1009" s="46" t="s">
        <v>4434</v>
      </c>
      <c r="D1009" s="41" t="str">
        <f ca="1">IFERROR(__xludf.DUMMYFUNCTION("IFERROR(ARRAYFORMULA(REGEXEXTRACT(C1009,""^(?:https?:\/\/)?(?:[^@\n]+@)?(?:www\.)?([^:\/\n]+)"")),"""")"),"inchargeelectricalservices.com")</f>
        <v>inchargeelectricalservices.com</v>
      </c>
      <c r="E1009" s="26" t="str">
        <f ca="1">IFERROR(__xludf.DUMMYFUNCTION("""COMPUTED_VALUE"""),"New")</f>
        <v>New</v>
      </c>
      <c r="F1009" s="72">
        <v>27</v>
      </c>
      <c r="G1009" s="72">
        <v>1841</v>
      </c>
      <c r="P1009" s="26"/>
    </row>
    <row r="1010" spans="1:16" ht="14.5">
      <c r="A1010" s="3" t="s">
        <v>38</v>
      </c>
      <c r="B1010" s="8" t="s">
        <v>2813</v>
      </c>
      <c r="C1010" s="46" t="s">
        <v>4435</v>
      </c>
      <c r="D1010" s="41" t="str">
        <f ca="1">IFERROR(__xludf.DUMMYFUNCTION("IFERROR(ARRAYFORMULA(REGEXEXTRACT(C1010,""^(?:https?:\/\/)?(?:[^@\n]+@)?(?:www\.)?([^:\/\n]+)"")),"""")"),"myshortlister.com")</f>
        <v>myshortlister.com</v>
      </c>
      <c r="E1010" s="26" t="str">
        <f ca="1">IFERROR(__xludf.DUMMYFUNCTION("""COMPUTED_VALUE"""),"New")</f>
        <v>New</v>
      </c>
      <c r="F1010" s="72">
        <v>71</v>
      </c>
      <c r="G1010" s="72">
        <v>37323</v>
      </c>
      <c r="P1010" s="26"/>
    </row>
    <row r="1011" spans="1:16" ht="14.5">
      <c r="A1011" s="3" t="s">
        <v>38</v>
      </c>
      <c r="B1011" s="8" t="s">
        <v>2813</v>
      </c>
      <c r="C1011" s="46" t="s">
        <v>4436</v>
      </c>
      <c r="D1011" s="41" t="str">
        <f ca="1">IFERROR(__xludf.DUMMYFUNCTION("IFERROR(ARRAYFORMULA(REGEXEXTRACT(C1011,""^(?:https?:\/\/)?(?:[^@\n]+@)?(?:www\.)?([^:\/\n]+)"")),"""")"),"expressnews.com")</f>
        <v>expressnews.com</v>
      </c>
      <c r="E1011" s="26" t="str">
        <f ca="1">IFERROR(__xludf.DUMMYFUNCTION("""COMPUTED_VALUE"""),"New")</f>
        <v>New</v>
      </c>
      <c r="F1011" s="72">
        <v>79</v>
      </c>
      <c r="G1011" s="72">
        <v>119562</v>
      </c>
      <c r="P1011" s="26"/>
    </row>
    <row r="1012" spans="1:16" ht="14.5">
      <c r="A1012" s="3" t="s">
        <v>38</v>
      </c>
      <c r="B1012" s="8" t="s">
        <v>2813</v>
      </c>
      <c r="C1012" s="46" t="s">
        <v>4437</v>
      </c>
      <c r="D1012" s="41" t="str">
        <f ca="1">IFERROR(__xludf.DUMMYFUNCTION("IFERROR(ARRAYFORMULA(REGEXEXTRACT(C1012,""^(?:https?:\/\/)?(?:[^@\n]+@)?(?:www\.)?([^:\/\n]+)"")),"""")"),"mission.org")</f>
        <v>mission.org</v>
      </c>
      <c r="E1012" s="26" t="str">
        <f ca="1">IFERROR(__xludf.DUMMYFUNCTION("""COMPUTED_VALUE"""),"New")</f>
        <v>New</v>
      </c>
      <c r="F1012" s="72">
        <v>66</v>
      </c>
      <c r="G1012" s="72">
        <v>1108</v>
      </c>
      <c r="P1012" s="26"/>
    </row>
    <row r="1013" spans="1:16" ht="14.5">
      <c r="A1013" s="3" t="s">
        <v>38</v>
      </c>
      <c r="B1013" s="8" t="s">
        <v>2813</v>
      </c>
      <c r="C1013" s="46" t="s">
        <v>4438</v>
      </c>
      <c r="D1013" s="41" t="str">
        <f ca="1">IFERROR(__xludf.DUMMYFUNCTION("IFERROR(ARRAYFORMULA(REGEXEXTRACT(C1013,""^(?:https?:\/\/)?(?:[^@\n]+@)?(?:www\.)?([^:\/\n]+)"")),"""")"),"indianaeconomicdigest.net")</f>
        <v>indianaeconomicdigest.net</v>
      </c>
      <c r="E1013" s="26" t="str">
        <f ca="1">IFERROR(__xludf.DUMMYFUNCTION("""COMPUTED_VALUE"""),"New")</f>
        <v>New</v>
      </c>
      <c r="F1013" s="72">
        <v>43</v>
      </c>
      <c r="G1013" s="72">
        <v>4073</v>
      </c>
      <c r="P1013" s="26"/>
    </row>
    <row r="1014" spans="1:16" ht="14.5">
      <c r="A1014" s="3" t="s">
        <v>38</v>
      </c>
      <c r="B1014" s="8" t="s">
        <v>2813</v>
      </c>
      <c r="C1014" s="46" t="s">
        <v>4439</v>
      </c>
      <c r="D1014" s="41" t="str">
        <f ca="1">IFERROR(__xludf.DUMMYFUNCTION("IFERROR(ARRAYFORMULA(REGEXEXTRACT(C1014,""^(?:https?:\/\/)?(?:[^@\n]+@)?(?:www\.)?([^:\/\n]+)"")),"""")"),"clttoday.6amcity.com")</f>
        <v>clttoday.6amcity.com</v>
      </c>
      <c r="E1014" s="26" t="str">
        <f ca="1">IFERROR(__xludf.DUMMYFUNCTION("""COMPUTED_VALUE"""),"New")</f>
        <v>New</v>
      </c>
      <c r="F1014" s="72">
        <v>76</v>
      </c>
      <c r="G1014" s="72">
        <v>132353</v>
      </c>
      <c r="P1014" s="26"/>
    </row>
    <row r="1015" spans="1:16" ht="14.5">
      <c r="A1015" s="3" t="s">
        <v>38</v>
      </c>
      <c r="B1015" s="8" t="s">
        <v>2813</v>
      </c>
      <c r="C1015" s="46" t="s">
        <v>4440</v>
      </c>
      <c r="D1015" s="41" t="str">
        <f ca="1">IFERROR(__xludf.DUMMYFUNCTION("IFERROR(ARRAYFORMULA(REGEXEXTRACT(C1015,""^(?:https?:\/\/)?(?:[^@\n]+@)?(?:www\.)?([^:\/\n]+)"")),"""")"),"homes.mercurynews.com")</f>
        <v>homes.mercurynews.com</v>
      </c>
      <c r="E1015" s="26" t="str">
        <f ca="1">IFERROR(__xludf.DUMMYFUNCTION("""COMPUTED_VALUE"""),"New")</f>
        <v>New</v>
      </c>
      <c r="F1015" s="72">
        <v>87</v>
      </c>
      <c r="G1015" s="72">
        <v>227667</v>
      </c>
      <c r="P1015" s="26"/>
    </row>
    <row r="1016" spans="1:16" ht="14.5">
      <c r="A1016" s="3" t="s">
        <v>38</v>
      </c>
      <c r="B1016" s="8" t="s">
        <v>2813</v>
      </c>
      <c r="C1016" s="46" t="s">
        <v>4441</v>
      </c>
      <c r="D1016" s="41" t="str">
        <f ca="1">IFERROR(__xludf.DUMMYFUNCTION("IFERROR(ARRAYFORMULA(REGEXEXTRACT(C1016,""^(?:https?:\/\/)?(?:[^@\n]+@)?(?:www\.)?([^:\/\n]+)"")),"""")"),"centerpointenergy.com")</f>
        <v>centerpointenergy.com</v>
      </c>
      <c r="E1016" s="26" t="str">
        <f ca="1">IFERROR(__xludf.DUMMYFUNCTION("""COMPUTED_VALUE"""),"New")</f>
        <v>New</v>
      </c>
      <c r="F1016" s="72">
        <v>76</v>
      </c>
      <c r="G1016" s="72">
        <v>335554</v>
      </c>
      <c r="P1016" s="26"/>
    </row>
    <row r="1017" spans="1:16" ht="14.5">
      <c r="A1017" s="3" t="s">
        <v>38</v>
      </c>
      <c r="B1017" s="8" t="s">
        <v>2813</v>
      </c>
      <c r="C1017" s="46" t="s">
        <v>4442</v>
      </c>
      <c r="D1017" s="41" t="str">
        <f ca="1">IFERROR(__xludf.DUMMYFUNCTION("IFERROR(ARRAYFORMULA(REGEXEXTRACT(C1017,""^(?:https?:\/\/)?(?:[^@\n]+@)?(?:www\.)?([^:\/\n]+)"")),"""")"),"businessviewmagazine.com")</f>
        <v>businessviewmagazine.com</v>
      </c>
      <c r="E1017" s="26" t="str">
        <f ca="1">IFERROR(__xludf.DUMMYFUNCTION("""COMPUTED_VALUE"""),"New")</f>
        <v>New</v>
      </c>
      <c r="F1017" s="72">
        <v>64</v>
      </c>
      <c r="G1017" s="72">
        <v>2909</v>
      </c>
      <c r="P1017" s="26"/>
    </row>
    <row r="1018" spans="1:16" ht="14.5">
      <c r="A1018" s="3" t="s">
        <v>38</v>
      </c>
      <c r="B1018" s="8" t="s">
        <v>2813</v>
      </c>
      <c r="C1018" s="46" t="s">
        <v>4443</v>
      </c>
      <c r="D1018" s="41" t="str">
        <f ca="1">IFERROR(__xludf.DUMMYFUNCTION("IFERROR(ARRAYFORMULA(REGEXEXTRACT(C1018,""^(?:https?:\/\/)?(?:[^@\n]+@)?(?:www\.)?([^:\/\n]+)"")),"""")"),"club.missamerica.org")</f>
        <v>club.missamerica.org</v>
      </c>
      <c r="E1018" s="26" t="str">
        <f ca="1">IFERROR(__xludf.DUMMYFUNCTION("""COMPUTED_VALUE"""),"New")</f>
        <v>New</v>
      </c>
      <c r="F1018" s="72">
        <v>71</v>
      </c>
      <c r="G1018" s="72">
        <v>38669</v>
      </c>
      <c r="P1018" s="26"/>
    </row>
    <row r="1019" spans="1:16" ht="14.5">
      <c r="A1019" s="3" t="s">
        <v>38</v>
      </c>
      <c r="B1019" s="8" t="s">
        <v>2813</v>
      </c>
      <c r="C1019" s="49" t="s">
        <v>4444</v>
      </c>
      <c r="D1019" s="41" t="str">
        <f ca="1">IFERROR(__xludf.DUMMYFUNCTION("IFERROR(ARRAYFORMULA(REGEXEXTRACT(C1019,""^(?:https?:\/\/)?(?:[^@\n]+@)?(?:www\.)?([^:\/\n]+)"")),"""")"),"isoldmyhouse.com")</f>
        <v>isoldmyhouse.com</v>
      </c>
      <c r="E1019" s="26" t="str">
        <f ca="1">IFERROR(__xludf.DUMMYFUNCTION("""COMPUTED_VALUE"""),"New")</f>
        <v>New</v>
      </c>
      <c r="F1019" s="72">
        <v>50</v>
      </c>
      <c r="G1019" s="72">
        <v>1247</v>
      </c>
      <c r="H1019" s="27" t="s">
        <v>4445</v>
      </c>
      <c r="I1019" s="27" t="s">
        <v>4446</v>
      </c>
      <c r="K1019" s="27" t="s">
        <v>4423</v>
      </c>
      <c r="L1019" s="112"/>
      <c r="M1019" s="27" t="s">
        <v>3715</v>
      </c>
      <c r="N1019" s="48">
        <v>46036</v>
      </c>
      <c r="O1019" s="48">
        <v>46067</v>
      </c>
      <c r="P1019" s="26"/>
    </row>
    <row r="1020" spans="1:16" ht="14.5">
      <c r="A1020" s="3" t="s">
        <v>38</v>
      </c>
      <c r="B1020" s="8" t="s">
        <v>2813</v>
      </c>
      <c r="C1020" s="67" t="s">
        <v>4447</v>
      </c>
      <c r="D1020" s="41" t="str">
        <f ca="1">IFERROR(__xludf.DUMMYFUNCTION("IFERROR(ARRAYFORMULA(REGEXEXTRACT(C1020,""^(?:https?:\/\/)?(?:[^@\n]+@)?(?:www\.)?([^:\/\n]+)"")),"""")"),"timp180.sg-host.com")</f>
        <v>timp180.sg-host.com</v>
      </c>
      <c r="E1020" s="26" t="str">
        <f ca="1">IFERROR(__xludf.DUMMYFUNCTION("""COMPUTED_VALUE"""),"New")</f>
        <v>New</v>
      </c>
      <c r="F1020" s="72">
        <v>91</v>
      </c>
      <c r="G1020" s="72">
        <v>11291</v>
      </c>
      <c r="P1020" s="26"/>
    </row>
    <row r="1021" spans="1:16" ht="14.5">
      <c r="A1021" s="3" t="s">
        <v>38</v>
      </c>
      <c r="B1021" s="8" t="s">
        <v>2813</v>
      </c>
      <c r="C1021" s="46" t="s">
        <v>4448</v>
      </c>
      <c r="D1021" s="41" t="str">
        <f ca="1">IFERROR(__xludf.DUMMYFUNCTION("IFERROR(ARRAYFORMULA(REGEXEXTRACT(C1021,""^(?:https?:\/\/)?(?:[^@\n]+@)?(?:www\.)?([^:\/\n]+)"")),"""")"),"stpeterising.com")</f>
        <v>stpeterising.com</v>
      </c>
      <c r="E1021" s="26" t="str">
        <f ca="1">IFERROR(__xludf.DUMMYFUNCTION("""COMPUTED_VALUE"""),"New")</f>
        <v>New</v>
      </c>
      <c r="F1021" s="72">
        <v>52</v>
      </c>
      <c r="G1021" s="72">
        <v>11849</v>
      </c>
      <c r="P1021" s="26"/>
    </row>
    <row r="1022" spans="1:16" ht="14.5">
      <c r="A1022" s="3" t="s">
        <v>38</v>
      </c>
      <c r="B1022" s="8" t="s">
        <v>2813</v>
      </c>
      <c r="C1022" s="49" t="s">
        <v>4449</v>
      </c>
      <c r="D1022" s="41" t="str">
        <f ca="1">IFERROR(__xludf.DUMMYFUNCTION("IFERROR(ARRAYFORMULA(REGEXEXTRACT(C1022,""^(?:https?:\/\/)?(?:[^@\n]+@)?(?:www\.)?([^:\/\n]+)"")),"""")"),"paradeofhomes.org")</f>
        <v>paradeofhomes.org</v>
      </c>
      <c r="E1022" s="26" t="str">
        <f ca="1">IFERROR(__xludf.DUMMYFUNCTION("""COMPUTED_VALUE"""),"New")</f>
        <v>New</v>
      </c>
      <c r="F1022" s="72">
        <v>53</v>
      </c>
      <c r="G1022" s="72">
        <v>1493</v>
      </c>
      <c r="J1022" s="27" t="s">
        <v>4450</v>
      </c>
      <c r="K1022" s="27" t="s">
        <v>4423</v>
      </c>
      <c r="L1022" s="112"/>
      <c r="M1022" s="27" t="s">
        <v>3117</v>
      </c>
      <c r="N1022" s="48">
        <v>46042</v>
      </c>
      <c r="O1022" s="48">
        <v>46073</v>
      </c>
      <c r="P1022" s="26"/>
    </row>
    <row r="1023" spans="1:16" ht="14.5">
      <c r="A1023" s="3" t="s">
        <v>38</v>
      </c>
      <c r="B1023" s="8" t="s">
        <v>2813</v>
      </c>
      <c r="C1023" s="46" t="s">
        <v>4451</v>
      </c>
      <c r="D1023" s="41" t="str">
        <f ca="1">IFERROR(__xludf.DUMMYFUNCTION("IFERROR(ARRAYFORMULA(REGEXEXTRACT(C1023,""^(?:https?:\/\/)?(?:[^@\n]+@)?(?:www\.)?([^:\/\n]+)"")),"""")"),"sunriseestates.sites.townsq.io")</f>
        <v>sunriseestates.sites.townsq.io</v>
      </c>
      <c r="E1023" s="26" t="str">
        <f ca="1">IFERROR(__xludf.DUMMYFUNCTION("""COMPUTED_VALUE"""),"New")</f>
        <v>New</v>
      </c>
      <c r="F1023" s="72">
        <v>74</v>
      </c>
      <c r="G1023" s="72">
        <v>29911</v>
      </c>
      <c r="P1023" s="26"/>
    </row>
    <row r="1024" spans="1:16" ht="14.5">
      <c r="A1024" s="3" t="s">
        <v>38</v>
      </c>
      <c r="B1024" s="8" t="s">
        <v>2813</v>
      </c>
      <c r="C1024" s="46" t="s">
        <v>4452</v>
      </c>
      <c r="D1024" s="41" t="str">
        <f ca="1">IFERROR(__xludf.DUMMYFUNCTION("IFERROR(ARRAYFORMULA(REGEXEXTRACT(C1024,""^(?:https?:\/\/)?(?:[^@\n]+@)?(?:www\.)?([^:\/\n]+)"")),"""")"),"levelset.com")</f>
        <v>levelset.com</v>
      </c>
      <c r="E1024" s="26" t="str">
        <f ca="1">IFERROR(__xludf.DUMMYFUNCTION("""COMPUTED_VALUE"""),"New")</f>
        <v>New</v>
      </c>
      <c r="F1024" s="72">
        <v>70</v>
      </c>
      <c r="G1024" s="72">
        <v>26021</v>
      </c>
      <c r="P1024" s="26"/>
    </row>
    <row r="1025" spans="1:16" ht="14.5">
      <c r="A1025" s="3" t="s">
        <v>38</v>
      </c>
      <c r="B1025" s="8" t="s">
        <v>2813</v>
      </c>
      <c r="C1025" s="46" t="s">
        <v>4453</v>
      </c>
      <c r="D1025" s="41" t="str">
        <f ca="1">IFERROR(__xludf.DUMMYFUNCTION("IFERROR(ARRAYFORMULA(REGEXEXTRACT(C1025,""^(?:https?:\/\/)?(?:[^@\n]+@)?(?:www\.)?([^:\/\n]+)"")),"""")"),"encyclopedia.com")</f>
        <v>encyclopedia.com</v>
      </c>
      <c r="E1025" s="26" t="str">
        <f ca="1">IFERROR(__xludf.DUMMYFUNCTION("""COMPUTED_VALUE"""),"New")</f>
        <v>New</v>
      </c>
      <c r="F1025" s="72">
        <v>84</v>
      </c>
      <c r="G1025" s="72">
        <v>158556</v>
      </c>
      <c r="P1025" s="26"/>
    </row>
    <row r="1026" spans="1:16" ht="14.5">
      <c r="A1026" s="3" t="s">
        <v>38</v>
      </c>
      <c r="B1026" s="8" t="s">
        <v>2813</v>
      </c>
      <c r="C1026" s="46" t="s">
        <v>4454</v>
      </c>
      <c r="D1026" s="41" t="str">
        <f ca="1">IFERROR(__xludf.DUMMYFUNCTION("IFERROR(ARRAYFORMULA(REGEXEXTRACT(C1026,""^(?:https?:\/\/)?(?:[^@\n]+@)?(?:www\.)?([^:\/\n]+)"")),"""")"),"nndb.com")</f>
        <v>nndb.com</v>
      </c>
      <c r="E1026" s="26" t="str">
        <f ca="1">IFERROR(__xludf.DUMMYFUNCTION("""COMPUTED_VALUE"""),"New")</f>
        <v>New</v>
      </c>
      <c r="F1026" s="72">
        <v>71</v>
      </c>
      <c r="G1026" s="72">
        <v>10720</v>
      </c>
      <c r="P1026" s="26"/>
    </row>
    <row r="1027" spans="1:16" ht="14.5">
      <c r="A1027" s="3" t="s">
        <v>38</v>
      </c>
      <c r="B1027" s="8" t="s">
        <v>2813</v>
      </c>
      <c r="C1027" s="46" t="s">
        <v>4455</v>
      </c>
      <c r="D1027" s="41" t="str">
        <f ca="1">IFERROR(__xludf.DUMMYFUNCTION("IFERROR(ARRAYFORMULA(REGEXEXTRACT(C1027,""^(?:https?:\/\/)?(?:[^@\n]+@)?(?:www\.)?([^:\/\n]+)"")),"""")"),"sunterratx.com")</f>
        <v>sunterratx.com</v>
      </c>
      <c r="E1027" s="26" t="str">
        <f ca="1">IFERROR(__xludf.DUMMYFUNCTION("""COMPUTED_VALUE"""),"New")</f>
        <v>New</v>
      </c>
      <c r="F1027" s="72">
        <v>23</v>
      </c>
      <c r="G1027" s="72">
        <v>4883</v>
      </c>
      <c r="P1027" s="26"/>
    </row>
    <row r="1028" spans="1:16" ht="14.5">
      <c r="A1028" s="3" t="s">
        <v>38</v>
      </c>
      <c r="B1028" s="8" t="s">
        <v>2813</v>
      </c>
      <c r="C1028" s="46" t="s">
        <v>4456</v>
      </c>
      <c r="D1028" s="41" t="str">
        <f ca="1">IFERROR(__xludf.DUMMYFUNCTION("IFERROR(ARRAYFORMULA(REGEXEXTRACT(C1028,""^(?:https?:\/\/)?(?:[^@\n]+@)?(?:www\.)?([^:\/\n]+)"")),"""")"),"citylifestyle.com")</f>
        <v>citylifestyle.com</v>
      </c>
      <c r="E1028" s="26" t="str">
        <f ca="1">IFERROR(__xludf.DUMMYFUNCTION("""COMPUTED_VALUE"""),"New")</f>
        <v>New</v>
      </c>
      <c r="F1028" s="72">
        <v>79</v>
      </c>
      <c r="G1028" s="72">
        <v>35568</v>
      </c>
      <c r="P1028" s="26"/>
    </row>
    <row r="1029" spans="1:16" ht="14.5">
      <c r="A1029" s="3" t="s">
        <v>38</v>
      </c>
      <c r="B1029" s="8" t="s">
        <v>2813</v>
      </c>
      <c r="C1029" s="46" t="s">
        <v>4457</v>
      </c>
      <c r="D1029" s="41" t="str">
        <f ca="1">IFERROR(__xludf.DUMMYFUNCTION("IFERROR(ARRAYFORMULA(REGEXEXTRACT(C1029,""^(?:https?:\/\/)?(?:[^@\n]+@)?(?:www\.)?([^:\/\n]+)"")),"""")"),"local.hernandosun.com")</f>
        <v>local.hernandosun.com</v>
      </c>
      <c r="E1029" s="26" t="str">
        <f ca="1">IFERROR(__xludf.DUMMYFUNCTION("""COMPUTED_VALUE"""),"New")</f>
        <v>New</v>
      </c>
      <c r="F1029" s="72">
        <v>53</v>
      </c>
      <c r="G1029" s="72">
        <v>3821</v>
      </c>
      <c r="P1029" s="26"/>
    </row>
    <row r="1030" spans="1:16" ht="14.5">
      <c r="A1030" s="3" t="s">
        <v>38</v>
      </c>
      <c r="B1030" s="8" t="s">
        <v>2813</v>
      </c>
      <c r="C1030" s="46" t="s">
        <v>4458</v>
      </c>
      <c r="D1030" s="41" t="str">
        <f ca="1">IFERROR(__xludf.DUMMYFUNCTION("IFERROR(ARRAYFORMULA(REGEXEXTRACT(C1030,""^(?:https?:\/\/)?(?:[^@\n]+@)?(?:www\.)?([^:\/\n]+)"")),"""")"),"pultegroup2024corp.q4web.com")</f>
        <v>pultegroup2024corp.q4web.com</v>
      </c>
      <c r="E1030" s="26" t="str">
        <f ca="1">IFERROR(__xludf.DUMMYFUNCTION("""COMPUTED_VALUE"""),"New")</f>
        <v>New</v>
      </c>
      <c r="F1030" s="72">
        <v>76</v>
      </c>
      <c r="G1030" s="72">
        <v>13527</v>
      </c>
      <c r="P1030" s="26"/>
    </row>
    <row r="1031" spans="1:16" ht="14.5">
      <c r="A1031" s="3" t="s">
        <v>38</v>
      </c>
      <c r="B1031" s="8" t="s">
        <v>2813</v>
      </c>
      <c r="C1031" s="46" t="s">
        <v>4459</v>
      </c>
      <c r="D1031" s="41" t="str">
        <f ca="1">IFERROR(__xludf.DUMMYFUNCTION("IFERROR(ARRAYFORMULA(REGEXEXTRACT(C1031,""^(?:https?:\/\/)?(?:[^@\n]+@)?(?:www\.)?([^:\/\n]+)"")),"""")"),"resiclubanalytics.com")</f>
        <v>resiclubanalytics.com</v>
      </c>
      <c r="E1031" s="26" t="str">
        <f ca="1">IFERROR(__xludf.DUMMYFUNCTION("""COMPUTED_VALUE"""),"New")</f>
        <v>New</v>
      </c>
      <c r="F1031" s="72">
        <v>63</v>
      </c>
      <c r="G1031" s="72">
        <v>3740</v>
      </c>
      <c r="P1031" s="26"/>
    </row>
    <row r="1032" spans="1:16" ht="14.5">
      <c r="A1032" s="3" t="s">
        <v>38</v>
      </c>
      <c r="B1032" s="8" t="s">
        <v>2813</v>
      </c>
      <c r="C1032" s="49" t="s">
        <v>4460</v>
      </c>
      <c r="D1032" s="41" t="str">
        <f ca="1">IFERROR(__xludf.DUMMYFUNCTION("IFERROR(ARRAYFORMULA(REGEXEXTRACT(C1032,""^(?:https?:\/\/)?(?:[^@\n]+@)?(?:www\.)?([^:\/\n]+)"")),"""")"),"mdregroup.com")</f>
        <v>mdregroup.com</v>
      </c>
      <c r="E1032" s="26" t="str">
        <f ca="1">IFERROR(__xludf.DUMMYFUNCTION("""COMPUTED_VALUE"""),"New")</f>
        <v>New</v>
      </c>
      <c r="F1032" s="72">
        <v>35</v>
      </c>
      <c r="G1032" s="72">
        <v>1742</v>
      </c>
      <c r="J1032" s="27" t="s">
        <v>4461</v>
      </c>
      <c r="K1032" s="27" t="s">
        <v>4423</v>
      </c>
      <c r="L1032" s="112"/>
      <c r="M1032" s="27" t="s">
        <v>3117</v>
      </c>
      <c r="N1032" s="48">
        <v>46042</v>
      </c>
      <c r="O1032" s="48">
        <v>46073</v>
      </c>
      <c r="P1032" s="26"/>
    </row>
    <row r="1033" spans="1:16" ht="14.5">
      <c r="A1033" s="3" t="s">
        <v>38</v>
      </c>
      <c r="B1033" s="8" t="s">
        <v>2813</v>
      </c>
      <c r="C1033" s="49" t="s">
        <v>4462</v>
      </c>
      <c r="D1033" s="41" t="str">
        <f ca="1">IFERROR(__xludf.DUMMYFUNCTION("IFERROR(ARRAYFORMULA(REGEXEXTRACT(C1033,""^(?:https?:\/\/)?(?:[^@\n]+@)?(?:www\.)?([^:\/\n]+)"")),"""")"),"swamprabbitmoving.com")</f>
        <v>swamprabbitmoving.com</v>
      </c>
      <c r="E1033" s="26" t="str">
        <f ca="1">IFERROR(__xludf.DUMMYFUNCTION("""COMPUTED_VALUE"""),"New")</f>
        <v>New</v>
      </c>
      <c r="F1033" s="72">
        <v>26</v>
      </c>
      <c r="G1033" s="72">
        <v>1792</v>
      </c>
      <c r="H1033" s="27" t="s">
        <v>4463</v>
      </c>
      <c r="I1033" s="27" t="s">
        <v>4464</v>
      </c>
      <c r="J1033" s="27" t="s">
        <v>4465</v>
      </c>
      <c r="K1033" s="27" t="s">
        <v>4092</v>
      </c>
      <c r="L1033" s="112"/>
      <c r="M1033" s="27" t="s">
        <v>3117</v>
      </c>
      <c r="N1033" s="48">
        <v>46042</v>
      </c>
      <c r="O1033" s="48">
        <v>46073</v>
      </c>
      <c r="P1033" s="26"/>
    </row>
    <row r="1034" spans="1:16" ht="14.5">
      <c r="A1034" s="3" t="s">
        <v>38</v>
      </c>
      <c r="B1034" s="8" t="s">
        <v>2813</v>
      </c>
      <c r="C1034" s="46" t="s">
        <v>4466</v>
      </c>
      <c r="D1034" s="41" t="str">
        <f ca="1">IFERROR(__xludf.DUMMYFUNCTION("IFERROR(ARRAYFORMULA(REGEXEXTRACT(C1034,""^(?:https?:\/\/)?(?:[^@\n]+@)?(?:www\.)?([^:\/\n]+)"")),"""")"),"dnb.com")</f>
        <v>dnb.com</v>
      </c>
      <c r="E1034" s="26" t="str">
        <f ca="1">IFERROR(__xludf.DUMMYFUNCTION("""COMPUTED_VALUE"""),"New")</f>
        <v>New</v>
      </c>
      <c r="F1034" s="72">
        <v>90</v>
      </c>
      <c r="G1034" s="72">
        <v>773302</v>
      </c>
      <c r="P1034" s="26"/>
    </row>
    <row r="1035" spans="1:16" ht="14.5">
      <c r="A1035" s="3" t="s">
        <v>38</v>
      </c>
      <c r="B1035" s="8" t="s">
        <v>2813</v>
      </c>
      <c r="C1035" s="46" t="s">
        <v>4467</v>
      </c>
      <c r="D1035" s="41" t="str">
        <f ca="1">IFERROR(__xludf.DUMMYFUNCTION("IFERROR(ARRAYFORMULA(REGEXEXTRACT(C1035,""^(?:https?:\/\/)?(?:[^@\n]+@)?(?:www\.)?([^:\/\n]+)"")),"""")"),"carnationwa.gov")</f>
        <v>carnationwa.gov</v>
      </c>
      <c r="E1035" s="26" t="str">
        <f ca="1">IFERROR(__xludf.DUMMYFUNCTION("""COMPUTED_VALUE"""),"New")</f>
        <v>New</v>
      </c>
      <c r="F1035" s="72">
        <v>37</v>
      </c>
      <c r="G1035" s="72">
        <v>1563</v>
      </c>
      <c r="P1035" s="26"/>
    </row>
    <row r="1036" spans="1:16" ht="14.5">
      <c r="A1036" s="3" t="s">
        <v>38</v>
      </c>
      <c r="B1036" s="8" t="s">
        <v>2813</v>
      </c>
      <c r="C1036" s="49" t="s">
        <v>4468</v>
      </c>
      <c r="D1036" s="41" t="str">
        <f ca="1">IFERROR(__xludf.DUMMYFUNCTION("IFERROR(ARRAYFORMULA(REGEXEXTRACT(C1036,""^(?:https?:\/\/)?(?:[^@\n]+@)?(?:www\.)?([^:\/\n]+)"")),"""")"),"town-n-country-living.com")</f>
        <v>town-n-country-living.com</v>
      </c>
      <c r="E1036" s="26" t="str">
        <f ca="1">IFERROR(__xludf.DUMMYFUNCTION("""COMPUTED_VALUE"""),"New")</f>
        <v>New</v>
      </c>
      <c r="F1036" s="72">
        <v>54</v>
      </c>
      <c r="G1036" s="72">
        <v>6934</v>
      </c>
      <c r="H1036" s="27" t="s">
        <v>4469</v>
      </c>
      <c r="I1036" s="27" t="s">
        <v>4470</v>
      </c>
      <c r="K1036" s="27" t="s">
        <v>3756</v>
      </c>
      <c r="L1036" s="112"/>
      <c r="M1036" s="27" t="s">
        <v>3117</v>
      </c>
      <c r="N1036" s="48">
        <v>46041</v>
      </c>
      <c r="O1036" s="48">
        <v>46073</v>
      </c>
      <c r="P1036" s="26"/>
    </row>
    <row r="1037" spans="1:16" ht="14.5">
      <c r="A1037" s="3" t="s">
        <v>38</v>
      </c>
      <c r="B1037" s="8" t="s">
        <v>2813</v>
      </c>
      <c r="C1037" s="46" t="s">
        <v>4471</v>
      </c>
      <c r="D1037" s="41" t="str">
        <f ca="1">IFERROR(__xludf.DUMMYFUNCTION("IFERROR(ARRAYFORMULA(REGEXEXTRACT(C1037,""^(?:https?:\/\/)?(?:[^@\n]+@)?(?:www\.)?([^:\/\n]+)"")),"""")"),"tep.com")</f>
        <v>tep.com</v>
      </c>
      <c r="E1037" s="26" t="str">
        <f ca="1">IFERROR(__xludf.DUMMYFUNCTION("""COMPUTED_VALUE"""),"New")</f>
        <v>New</v>
      </c>
      <c r="F1037" s="72">
        <v>65</v>
      </c>
      <c r="G1037" s="72">
        <v>25766</v>
      </c>
      <c r="P1037" s="26"/>
    </row>
    <row r="1038" spans="1:16" ht="14.5">
      <c r="A1038" s="3" t="s">
        <v>38</v>
      </c>
      <c r="B1038" s="8" t="s">
        <v>2813</v>
      </c>
      <c r="C1038" s="46" t="s">
        <v>4472</v>
      </c>
      <c r="D1038" s="41" t="str">
        <f ca="1">IFERROR(__xludf.DUMMYFUNCTION("IFERROR(ARRAYFORMULA(REGEXEXTRACT(C1038,""^(?:https?:\/\/)?(?:[^@\n]+@)?(?:www\.)?([^:\/\n]+)"")),"""")"),"manateechamber.chambermaster.com")</f>
        <v>manateechamber.chambermaster.com</v>
      </c>
      <c r="E1038" s="26" t="str">
        <f ca="1">IFERROR(__xludf.DUMMYFUNCTION("""COMPUTED_VALUE"""),"New")</f>
        <v>New</v>
      </c>
      <c r="F1038" s="72">
        <v>77</v>
      </c>
      <c r="G1038" s="72">
        <v>68330</v>
      </c>
      <c r="P1038" s="26"/>
    </row>
    <row r="1039" spans="1:16" ht="14.5">
      <c r="A1039" s="3" t="s">
        <v>38</v>
      </c>
      <c r="B1039" s="8" t="s">
        <v>2813</v>
      </c>
      <c r="C1039" s="46" t="s">
        <v>4473</v>
      </c>
      <c r="D1039" s="41" t="str">
        <f ca="1">IFERROR(__xludf.DUMMYFUNCTION("IFERROR(ARRAYFORMULA(REGEXEXTRACT(C1039,""^(?:https?:\/\/)?(?:[^@\n]+@)?(?:www\.)?([^:\/\n]+)"")),"""")"),"realestatenews.com")</f>
        <v>realestatenews.com</v>
      </c>
      <c r="E1039" s="26" t="str">
        <f ca="1">IFERROR(__xludf.DUMMYFUNCTION("""COMPUTED_VALUE"""),"New")</f>
        <v>New</v>
      </c>
      <c r="F1039" s="72">
        <v>71</v>
      </c>
      <c r="G1039" s="72">
        <v>29750</v>
      </c>
      <c r="P1039" s="26"/>
    </row>
    <row r="1040" spans="1:16" ht="14.5">
      <c r="A1040" s="3" t="s">
        <v>38</v>
      </c>
      <c r="B1040" s="8" t="s">
        <v>2813</v>
      </c>
      <c r="C1040" s="46" t="s">
        <v>4474</v>
      </c>
      <c r="D1040" s="41" t="str">
        <f ca="1">IFERROR(__xludf.DUMMYFUNCTION("IFERROR(ARRAYFORMULA(REGEXEXTRACT(C1040,""^(?:https?:\/\/)?(?:[^@\n]+@)?(?:www\.)?([^:\/\n]+)"")),"""")"),"expatden.com")</f>
        <v>expatden.com</v>
      </c>
      <c r="E1040" s="26" t="str">
        <f ca="1">IFERROR(__xludf.DUMMYFUNCTION("""COMPUTED_VALUE"""),"New")</f>
        <v>New</v>
      </c>
      <c r="F1040" s="72">
        <v>50</v>
      </c>
      <c r="G1040" s="72">
        <v>2495</v>
      </c>
      <c r="P1040" s="26"/>
    </row>
    <row r="1041" spans="1:16" ht="14.5">
      <c r="A1041" s="3" t="s">
        <v>38</v>
      </c>
      <c r="B1041" s="8" t="s">
        <v>2813</v>
      </c>
      <c r="C1041" s="49" t="s">
        <v>4475</v>
      </c>
      <c r="D1041" s="41" t="str">
        <f ca="1">IFERROR(__xludf.DUMMYFUNCTION("IFERROR(ARRAYFORMULA(REGEXEXTRACT(C1041,""^(?:https?:\/\/)?(?:[^@\n]+@)?(?:www\.)?([^:\/\n]+)"")),"""")"),"crainscleveland.com")</f>
        <v>crainscleveland.com</v>
      </c>
      <c r="E1041" s="26" t="str">
        <f ca="1">IFERROR(__xludf.DUMMYFUNCTION("""COMPUTED_VALUE"""),"New")</f>
        <v>New</v>
      </c>
      <c r="F1041" s="72">
        <v>75</v>
      </c>
      <c r="G1041" s="72">
        <v>24533</v>
      </c>
      <c r="H1041" s="27" t="s">
        <v>4476</v>
      </c>
      <c r="I1041" s="27" t="s">
        <v>4477</v>
      </c>
      <c r="J1041" s="27" t="s">
        <v>4478</v>
      </c>
      <c r="K1041" s="27" t="s">
        <v>3772</v>
      </c>
      <c r="L1041" s="112"/>
      <c r="M1041" s="27" t="s">
        <v>3117</v>
      </c>
      <c r="N1041" s="48">
        <v>46041</v>
      </c>
      <c r="O1041" s="48">
        <v>46074</v>
      </c>
      <c r="P1041" s="26"/>
    </row>
    <row r="1042" spans="1:16" ht="14.5">
      <c r="A1042" s="3" t="s">
        <v>38</v>
      </c>
      <c r="B1042" s="8" t="s">
        <v>2813</v>
      </c>
      <c r="C1042" s="46" t="s">
        <v>4479</v>
      </c>
      <c r="D1042" s="41" t="str">
        <f ca="1">IFERROR(__xludf.DUMMYFUNCTION("IFERROR(ARRAYFORMULA(REGEXEXTRACT(C1042,""^(?:https?:\/\/)?(?:[^@\n]+@)?(?:www\.)?([^:\/\n]+)"")),"""")"),"bgca.org")</f>
        <v>bgca.org</v>
      </c>
      <c r="E1042" s="26" t="str">
        <f ca="1">IFERROR(__xludf.DUMMYFUNCTION("""COMPUTED_VALUE"""),"New")</f>
        <v>New</v>
      </c>
      <c r="F1042" s="72">
        <v>81</v>
      </c>
      <c r="G1042" s="72">
        <v>25300</v>
      </c>
      <c r="P1042" s="26"/>
    </row>
    <row r="1043" spans="1:16" ht="14.5">
      <c r="A1043" s="3" t="s">
        <v>38</v>
      </c>
      <c r="B1043" s="8" t="s">
        <v>2813</v>
      </c>
      <c r="C1043" s="46" t="s">
        <v>4480</v>
      </c>
      <c r="D1043" s="41" t="str">
        <f ca="1">IFERROR(__xludf.DUMMYFUNCTION("IFERROR(ARRAYFORMULA(REGEXEXTRACT(C1043,""^(?:https?:\/\/)?(?:[^@\n]+@)?(?:www\.)?([^:\/\n]+)"")),"""")"),"downtownroundrocktexas.com")</f>
        <v>downtownroundrocktexas.com</v>
      </c>
      <c r="E1043" s="26" t="str">
        <f ca="1">IFERROR(__xludf.DUMMYFUNCTION("""COMPUTED_VALUE"""),"New")</f>
        <v>New</v>
      </c>
      <c r="F1043" s="72">
        <v>26</v>
      </c>
      <c r="G1043" s="72">
        <v>2025</v>
      </c>
      <c r="P1043" s="26"/>
    </row>
    <row r="1044" spans="1:16" ht="14.5">
      <c r="A1044" s="3" t="s">
        <v>38</v>
      </c>
      <c r="B1044" s="8" t="s">
        <v>2813</v>
      </c>
      <c r="C1044" s="46" t="s">
        <v>4481</v>
      </c>
      <c r="D1044" s="41" t="str">
        <f ca="1">IFERROR(__xludf.DUMMYFUNCTION("IFERROR(ARRAYFORMULA(REGEXEXTRACT(C1044,""^(?:https?:\/\/)?(?:[^@\n]+@)?(?:www\.)?([^:\/\n]+)"")),"""")"),"localprofile.com")</f>
        <v>localprofile.com</v>
      </c>
      <c r="E1044" s="26" t="str">
        <f ca="1">IFERROR(__xludf.DUMMYFUNCTION("""COMPUTED_VALUE"""),"New")</f>
        <v>New</v>
      </c>
      <c r="F1044" s="72">
        <v>62</v>
      </c>
      <c r="G1044" s="72">
        <v>8084</v>
      </c>
      <c r="P1044" s="26"/>
    </row>
    <row r="1045" spans="1:16" ht="14.5">
      <c r="A1045" s="3" t="s">
        <v>38</v>
      </c>
      <c r="B1045" s="8" t="s">
        <v>2813</v>
      </c>
      <c r="C1045" s="46" t="s">
        <v>4482</v>
      </c>
      <c r="D1045" s="41" t="str">
        <f ca="1">IFERROR(__xludf.DUMMYFUNCTION("IFERROR(ARRAYFORMULA(REGEXEXTRACT(C1045,""^(?:https?:\/\/)?(?:[^@\n]+@)?(?:www\.)?([^:\/\n]+)"")),"""")"),"usgv6-deploymon.nist.gov")</f>
        <v>usgv6-deploymon.nist.gov</v>
      </c>
      <c r="E1045" s="26" t="str">
        <f ca="1">IFERROR(__xludf.DUMMYFUNCTION("""COMPUTED_VALUE"""),"New")</f>
        <v>New</v>
      </c>
      <c r="F1045" s="72">
        <v>92</v>
      </c>
      <c r="G1045" s="72">
        <v>1178388</v>
      </c>
      <c r="P1045" s="26"/>
    </row>
    <row r="1046" spans="1:16" ht="14.5">
      <c r="A1046" s="3" t="s">
        <v>38</v>
      </c>
      <c r="B1046" s="8" t="s">
        <v>2813</v>
      </c>
      <c r="C1046" s="46" t="s">
        <v>4483</v>
      </c>
      <c r="D1046" s="41" t="str">
        <f ca="1">IFERROR(__xludf.DUMMYFUNCTION("IFERROR(ARRAYFORMULA(REGEXEXTRACT(C1046,""^(?:https?:\/\/)?(?:[^@\n]+@)?(?:www\.)?([^:\/\n]+)"")),"""")"),"asyousow.org")</f>
        <v>asyousow.org</v>
      </c>
      <c r="E1046" s="26" t="str">
        <f ca="1">IFERROR(__xludf.DUMMYFUNCTION("""COMPUTED_VALUE"""),"New")</f>
        <v>New</v>
      </c>
      <c r="F1046" s="72">
        <v>72</v>
      </c>
      <c r="G1046" s="72">
        <v>2545</v>
      </c>
      <c r="P1046" s="26"/>
    </row>
    <row r="1047" spans="1:16" ht="14.5">
      <c r="A1047" s="3" t="s">
        <v>38</v>
      </c>
      <c r="B1047" s="8" t="s">
        <v>2813</v>
      </c>
      <c r="C1047" s="46" t="s">
        <v>4484</v>
      </c>
      <c r="D1047" s="41" t="str">
        <f ca="1">IFERROR(__xludf.DUMMYFUNCTION("IFERROR(ARRAYFORMULA(REGEXEXTRACT(C1047,""^(?:https?:\/\/)?(?:[^@\n]+@)?(?:www\.)?([^:\/\n]+)"")),"""")"),"canterburypark.com")</f>
        <v>canterburypark.com</v>
      </c>
      <c r="E1047" s="26" t="str">
        <f ca="1">IFERROR(__xludf.DUMMYFUNCTION("""COMPUTED_VALUE"""),"New")</f>
        <v>New</v>
      </c>
      <c r="F1047" s="72">
        <v>56</v>
      </c>
      <c r="G1047" s="72">
        <v>17049</v>
      </c>
      <c r="P1047" s="26"/>
    </row>
    <row r="1048" spans="1:16" ht="14.5">
      <c r="A1048" s="3" t="s">
        <v>38</v>
      </c>
      <c r="B1048" s="8" t="s">
        <v>2813</v>
      </c>
      <c r="C1048" s="46" t="s">
        <v>4485</v>
      </c>
      <c r="D1048" s="41" t="str">
        <f ca="1">IFERROR(__xludf.DUMMYFUNCTION("IFERROR(ARRAYFORMULA(REGEXEXTRACT(C1048,""^(?:https?:\/\/)?(?:[^@\n]+@)?(?:www\.)?([^:\/\n]+)"")),"""")"),"mlive.com")</f>
        <v>mlive.com</v>
      </c>
      <c r="E1048" s="26" t="str">
        <f ca="1">IFERROR(__xludf.DUMMYFUNCTION("""COMPUTED_VALUE"""),"New")</f>
        <v>New</v>
      </c>
      <c r="F1048" s="72">
        <v>85</v>
      </c>
      <c r="G1048" s="72">
        <v>1328759</v>
      </c>
      <c r="P1048" s="26"/>
    </row>
    <row r="1049" spans="1:16" ht="14.5">
      <c r="A1049" s="3" t="s">
        <v>38</v>
      </c>
      <c r="B1049" s="8" t="s">
        <v>2813</v>
      </c>
      <c r="C1049" s="46" t="s">
        <v>4486</v>
      </c>
      <c r="D1049" s="41" t="str">
        <f ca="1">IFERROR(__xludf.DUMMYFUNCTION("IFERROR(ARRAYFORMULA(REGEXEXTRACT(C1049,""^(?:https?:\/\/)?(?:[^@\n]+@)?(?:www\.)?([^:\/\n]+)"")),"""")"),"members.texasbuilders.org")</f>
        <v>members.texasbuilders.org</v>
      </c>
      <c r="E1049" s="26" t="str">
        <f ca="1">IFERROR(__xludf.DUMMYFUNCTION("""COMPUTED_VALUE"""),"New")</f>
        <v>New</v>
      </c>
      <c r="F1049" s="72">
        <v>66</v>
      </c>
      <c r="G1049" s="72">
        <v>1178</v>
      </c>
      <c r="P1049" s="26"/>
    </row>
    <row r="1050" spans="1:16" ht="14.5">
      <c r="A1050" s="3" t="s">
        <v>38</v>
      </c>
      <c r="B1050" s="8" t="s">
        <v>2813</v>
      </c>
      <c r="C1050" s="46" t="s">
        <v>4487</v>
      </c>
      <c r="D1050" s="41" t="str">
        <f ca="1">IFERROR(__xludf.DUMMYFUNCTION("IFERROR(ARRAYFORMULA(REGEXEXTRACT(C1050,""^(?:https?:\/\/)?(?:[^@\n]+@)?(?:www\.)?([^:\/\n]+)"")),"""")"),"zillow.com")</f>
        <v>zillow.com</v>
      </c>
      <c r="E1050" s="26" t="str">
        <f ca="1">IFERROR(__xludf.DUMMYFUNCTION("""COMPUTED_VALUE"""),"New")</f>
        <v>New</v>
      </c>
      <c r="F1050" s="72">
        <v>92</v>
      </c>
      <c r="G1050" s="72">
        <v>35023684</v>
      </c>
      <c r="P1050" s="26"/>
    </row>
    <row r="1051" spans="1:16" ht="14.5">
      <c r="A1051" s="3" t="s">
        <v>38</v>
      </c>
      <c r="B1051" s="8" t="s">
        <v>2813</v>
      </c>
      <c r="C1051" s="46" t="s">
        <v>4488</v>
      </c>
      <c r="D1051" s="41" t="str">
        <f ca="1">IFERROR(__xludf.DUMMYFUNCTION("IFERROR(ARRAYFORMULA(REGEXEXTRACT(C1051,""^(?:https?:\/\/)?(?:[^@\n]+@)?(?:www\.)?([^:\/\n]+)"")),"""")"),"sabuilderstx.memberzone.com")</f>
        <v>sabuilderstx.memberzone.com</v>
      </c>
      <c r="E1051" s="26" t="str">
        <f ca="1">IFERROR(__xludf.DUMMYFUNCTION("""COMPUTED_VALUE"""),"New")</f>
        <v>New</v>
      </c>
      <c r="F1051" s="72">
        <v>62</v>
      </c>
      <c r="G1051" s="72">
        <v>3847</v>
      </c>
      <c r="P1051" s="26"/>
    </row>
    <row r="1052" spans="1:16" ht="14.5">
      <c r="A1052" s="3" t="s">
        <v>38</v>
      </c>
      <c r="B1052" s="8" t="s">
        <v>2813</v>
      </c>
      <c r="C1052" s="46" t="s">
        <v>4489</v>
      </c>
      <c r="D1052" s="41" t="str">
        <f ca="1">IFERROR(__xludf.DUMMYFUNCTION("IFERROR(ARRAYFORMULA(REGEXEXTRACT(C1052,""^(?:https?:\/\/)?(?:[^@\n]+@)?(?:www\.)?([^:\/\n]+)"")),"""")"),"kvue.com")</f>
        <v>kvue.com</v>
      </c>
      <c r="E1052" s="26" t="str">
        <f ca="1">IFERROR(__xludf.DUMMYFUNCTION("""COMPUTED_VALUE"""),"New")</f>
        <v>New</v>
      </c>
      <c r="F1052" s="72">
        <v>78</v>
      </c>
      <c r="G1052" s="72">
        <v>202284</v>
      </c>
      <c r="P1052" s="26"/>
    </row>
    <row r="1053" spans="1:16" ht="14.5">
      <c r="A1053" s="3" t="s">
        <v>38</v>
      </c>
      <c r="B1053" s="8" t="s">
        <v>2813</v>
      </c>
      <c r="C1053" s="46" t="s">
        <v>4490</v>
      </c>
      <c r="D1053" s="41" t="str">
        <f ca="1">IFERROR(__xludf.DUMMYFUNCTION("IFERROR(ARRAYFORMULA(REGEXEXTRACT(C1053,""^(?:https?:\/\/)?(?:[^@\n]+@)?(?:www\.)?([^:\/\n]+)"")),"""")"),"yellowhammernews.com")</f>
        <v>yellowhammernews.com</v>
      </c>
      <c r="E1053" s="26" t="str">
        <f ca="1">IFERROR(__xludf.DUMMYFUNCTION("""COMPUTED_VALUE"""),"New")</f>
        <v>New</v>
      </c>
      <c r="F1053" s="72">
        <v>70</v>
      </c>
      <c r="G1053" s="72">
        <v>4339</v>
      </c>
      <c r="P1053" s="26"/>
    </row>
    <row r="1054" spans="1:16" ht="14.5">
      <c r="A1054" s="3" t="s">
        <v>38</v>
      </c>
      <c r="B1054" s="8" t="s">
        <v>2813</v>
      </c>
      <c r="C1054" s="46" t="s">
        <v>4491</v>
      </c>
      <c r="D1054" s="41" t="str">
        <f ca="1">IFERROR(__xludf.DUMMYFUNCTION("IFERROR(ARRAYFORMULA(REGEXEXTRACT(C1054,""^(?:https?:\/\/)?(?:[^@\n]+@)?(?:www\.)?([^:\/\n]+)"")),"""")"),"wonkette.com")</f>
        <v>wonkette.com</v>
      </c>
      <c r="E1054" s="26" t="str">
        <f ca="1">IFERROR(__xludf.DUMMYFUNCTION("""COMPUTED_VALUE"""),"New")</f>
        <v>New</v>
      </c>
      <c r="F1054" s="72">
        <v>67</v>
      </c>
      <c r="G1054" s="72">
        <v>21711</v>
      </c>
      <c r="P1054" s="26"/>
    </row>
    <row r="1055" spans="1:16" ht="14.5">
      <c r="A1055" s="3" t="s">
        <v>38</v>
      </c>
      <c r="B1055" s="8" t="s">
        <v>2813</v>
      </c>
      <c r="C1055" s="46" t="s">
        <v>4492</v>
      </c>
      <c r="D1055" s="41" t="str">
        <f ca="1">IFERROR(__xludf.DUMMYFUNCTION("IFERROR(ARRAYFORMULA(REGEXEXTRACT(C1055,""^(?:https?:\/\/)?(?:[^@\n]+@)?(?:www\.)?([^:\/\n]+)"")),"""")"),"cleveland.com")</f>
        <v>cleveland.com</v>
      </c>
      <c r="E1055" s="26" t="str">
        <f ca="1">IFERROR(__xludf.DUMMYFUNCTION("""COMPUTED_VALUE"""),"New")</f>
        <v>New</v>
      </c>
      <c r="F1055" s="72">
        <v>85</v>
      </c>
      <c r="G1055" s="72">
        <v>1319231</v>
      </c>
      <c r="P1055" s="26"/>
    </row>
    <row r="1056" spans="1:16" ht="14.5">
      <c r="A1056" s="3" t="s">
        <v>38</v>
      </c>
      <c r="B1056" s="8" t="s">
        <v>2813</v>
      </c>
      <c r="C1056" s="46" t="s">
        <v>4493</v>
      </c>
      <c r="D1056" s="41" t="str">
        <f ca="1">IFERROR(__xludf.DUMMYFUNCTION("IFERROR(ARRAYFORMULA(REGEXEXTRACT(C1056,""^(?:https?:\/\/)?(?:[^@\n]+@)?(?:www\.)?([^:\/\n]+)"")),"""")"),"jll.com")</f>
        <v>jll.com</v>
      </c>
      <c r="E1056" s="26" t="str">
        <f ca="1">IFERROR(__xludf.DUMMYFUNCTION("""COMPUTED_VALUE"""),"New")</f>
        <v>New</v>
      </c>
      <c r="F1056" s="72">
        <v>85</v>
      </c>
      <c r="G1056" s="72">
        <v>382549</v>
      </c>
      <c r="P1056" s="26"/>
    </row>
    <row r="1057" spans="1:16" ht="14.5">
      <c r="A1057" s="3" t="s">
        <v>38</v>
      </c>
      <c r="B1057" s="8" t="s">
        <v>2813</v>
      </c>
      <c r="C1057" s="46" t="s">
        <v>4494</v>
      </c>
      <c r="D1057" s="41" t="str">
        <f ca="1">IFERROR(__xludf.DUMMYFUNCTION("IFERROR(ARRAYFORMULA(REGEXEXTRACT(C1057,""^(?:https?:\/\/)?(?:[^@\n]+@)?(?:www\.)?([^:\/\n]+)"")),"""")"),"news5cleveland.com")</f>
        <v>news5cleveland.com</v>
      </c>
      <c r="E1057" s="26" t="str">
        <f ca="1">IFERROR(__xludf.DUMMYFUNCTION("""COMPUTED_VALUE"""),"New")</f>
        <v>New</v>
      </c>
      <c r="F1057" s="72">
        <v>77</v>
      </c>
      <c r="G1057" s="72">
        <v>108505</v>
      </c>
      <c r="P1057" s="26"/>
    </row>
    <row r="1058" spans="1:16" ht="14.5">
      <c r="A1058" s="3" t="s">
        <v>38</v>
      </c>
      <c r="B1058" s="8" t="s">
        <v>2813</v>
      </c>
      <c r="C1058" s="46" t="s">
        <v>4495</v>
      </c>
      <c r="D1058" s="41" t="str">
        <f ca="1">IFERROR(__xludf.DUMMYFUNCTION("IFERROR(ARRAYFORMULA(REGEXEXTRACT(C1058,""^(?:https?:\/\/)?(?:[^@\n]+@)?(?:www\.)?([^:\/\n]+)"")),"""")"),"83degreesmedia.com")</f>
        <v>83degreesmedia.com</v>
      </c>
      <c r="E1058" s="26" t="str">
        <f ca="1">IFERROR(__xludf.DUMMYFUNCTION("""COMPUTED_VALUE"""),"New")</f>
        <v>New</v>
      </c>
      <c r="F1058" s="72">
        <v>59</v>
      </c>
      <c r="G1058" s="72">
        <v>1083</v>
      </c>
      <c r="P1058" s="26"/>
    </row>
    <row r="1059" spans="1:16" ht="14.5">
      <c r="A1059" s="3" t="s">
        <v>38</v>
      </c>
      <c r="B1059" s="8" t="s">
        <v>2813</v>
      </c>
      <c r="C1059" s="46" t="s">
        <v>4496</v>
      </c>
      <c r="D1059" s="41" t="str">
        <f ca="1">IFERROR(__xludf.DUMMYFUNCTION("IFERROR(ARRAYFORMULA(REGEXEXTRACT(C1059,""^(?:https?:\/\/)?(?:[^@\n]+@)?(?:www\.)?([^:\/\n]+)"")),"""")"),"restonnow.com")</f>
        <v>restonnow.com</v>
      </c>
      <c r="E1059" s="26" t="str">
        <f ca="1">IFERROR(__xludf.DUMMYFUNCTION("""COMPUTED_VALUE"""),"New")</f>
        <v>New</v>
      </c>
      <c r="F1059" s="72">
        <v>47</v>
      </c>
      <c r="G1059" s="72">
        <v>1303</v>
      </c>
      <c r="P1059" s="26"/>
    </row>
    <row r="1060" spans="1:16" ht="14.5">
      <c r="A1060" s="3" t="s">
        <v>38</v>
      </c>
      <c r="B1060" s="8" t="s">
        <v>2813</v>
      </c>
      <c r="C1060" s="46" t="s">
        <v>4497</v>
      </c>
      <c r="D1060" s="41" t="str">
        <f ca="1">IFERROR(__xludf.DUMMYFUNCTION("IFERROR(ARRAYFORMULA(REGEXEXTRACT(C1060,""^(?:https?:\/\/)?(?:[^@\n]+@)?(?:www\.)?([^:\/\n]+)"")),"""")"),"addmi.com")</f>
        <v>addmi.com</v>
      </c>
      <c r="E1060" s="26" t="str">
        <f ca="1">IFERROR(__xludf.DUMMYFUNCTION("""COMPUTED_VALUE"""),"New")</f>
        <v>New</v>
      </c>
      <c r="F1060" s="72">
        <v>60</v>
      </c>
      <c r="G1060" s="72">
        <v>4287</v>
      </c>
      <c r="P1060" s="26"/>
    </row>
    <row r="1061" spans="1:16" ht="14.5">
      <c r="A1061" s="3" t="s">
        <v>38</v>
      </c>
      <c r="B1061" s="8" t="s">
        <v>2813</v>
      </c>
      <c r="C1061" s="46" t="s">
        <v>4498</v>
      </c>
      <c r="D1061" s="41" t="str">
        <f ca="1">IFERROR(__xludf.DUMMYFUNCTION("IFERROR(ARRAYFORMULA(REGEXEXTRACT(C1061,""^(?:https?:\/\/)?(?:[^@\n]+@)?(?:www\.)?([^:\/\n]+)"")),"""")"),"floridayimby.com")</f>
        <v>floridayimby.com</v>
      </c>
      <c r="E1061" s="26" t="str">
        <f ca="1">IFERROR(__xludf.DUMMYFUNCTION("""COMPUTED_VALUE"""),"New")</f>
        <v>New</v>
      </c>
      <c r="F1061" s="72">
        <v>58</v>
      </c>
      <c r="G1061" s="72">
        <v>11432</v>
      </c>
      <c r="P1061" s="26"/>
    </row>
    <row r="1062" spans="1:16" ht="14.5">
      <c r="A1062" s="3" t="s">
        <v>38</v>
      </c>
      <c r="B1062" s="8" t="s">
        <v>2813</v>
      </c>
      <c r="C1062" s="46" t="s">
        <v>4499</v>
      </c>
      <c r="D1062" s="41" t="str">
        <f ca="1">IFERROR(__xludf.DUMMYFUNCTION("IFERROR(ARRAYFORMULA(REGEXEXTRACT(C1062,""^(?:https?:\/\/)?(?:[^@\n]+@)?(?:www\.)?([^:\/\n]+)"")),"""")"),"rosieonthehouse.com")</f>
        <v>rosieonthehouse.com</v>
      </c>
      <c r="E1062" s="26" t="str">
        <f ca="1">IFERROR(__xludf.DUMMYFUNCTION("""COMPUTED_VALUE"""),"New")</f>
        <v>New</v>
      </c>
      <c r="F1062" s="72">
        <v>45</v>
      </c>
      <c r="G1062" s="72">
        <v>1179</v>
      </c>
      <c r="P1062" s="26"/>
    </row>
    <row r="1063" spans="1:16" ht="14.5">
      <c r="A1063" s="3" t="s">
        <v>38</v>
      </c>
      <c r="B1063" s="8" t="s">
        <v>2813</v>
      </c>
      <c r="C1063" s="46" t="s">
        <v>4500</v>
      </c>
      <c r="D1063" s="41" t="str">
        <f ca="1">IFERROR(__xludf.DUMMYFUNCTION("IFERROR(ARRAYFORMULA(REGEXEXTRACT(C1063,""^(?:https?:\/\/)?(?:[^@\n]+@)?(?:www\.)?([^:\/\n]+)"")),"""")"),"accio.com")</f>
        <v>accio.com</v>
      </c>
      <c r="E1063" s="26" t="str">
        <f ca="1">IFERROR(__xludf.DUMMYFUNCTION("""COMPUTED_VALUE"""),"New")</f>
        <v>New</v>
      </c>
      <c r="F1063" s="72">
        <v>73</v>
      </c>
      <c r="G1063" s="72">
        <v>254343</v>
      </c>
      <c r="P1063" s="26"/>
    </row>
    <row r="1064" spans="1:16" ht="14.5">
      <c r="A1064" s="3" t="s">
        <v>38</v>
      </c>
      <c r="B1064" s="8" t="s">
        <v>2813</v>
      </c>
      <c r="C1064" s="46" t="s">
        <v>4501</v>
      </c>
      <c r="D1064" s="41" t="str">
        <f ca="1">IFERROR(__xludf.DUMMYFUNCTION("IFERROR(ARRAYFORMULA(REGEXEXTRACT(C1064,""^(?:https?:\/\/)?(?:[^@\n]+@)?(?:www\.)?([^:\/\n]+)"")),"""")"),"wdet.org")</f>
        <v>wdet.org</v>
      </c>
      <c r="E1064" s="26" t="str">
        <f ca="1">IFERROR(__xludf.DUMMYFUNCTION("""COMPUTED_VALUE"""),"New")</f>
        <v>New</v>
      </c>
      <c r="F1064" s="72">
        <v>71</v>
      </c>
      <c r="G1064" s="72">
        <v>8708</v>
      </c>
      <c r="P1064" s="26"/>
    </row>
    <row r="1065" spans="1:16" ht="14.5">
      <c r="A1065" s="3" t="s">
        <v>38</v>
      </c>
      <c r="B1065" s="8" t="s">
        <v>2813</v>
      </c>
      <c r="C1065" s="46" t="s">
        <v>4502</v>
      </c>
      <c r="D1065" s="41" t="str">
        <f ca="1">IFERROR(__xludf.DUMMYFUNCTION("IFERROR(ARRAYFORMULA(REGEXEXTRACT(C1065,""^(?:https?:\/\/)?(?:[^@\n]+@)?(?:www\.)?([^:\/\n]+)"")),"""")"),"byowner.com")</f>
        <v>byowner.com</v>
      </c>
      <c r="E1065" s="26" t="str">
        <f ca="1">IFERROR(__xludf.DUMMYFUNCTION("""COMPUTED_VALUE"""),"New")</f>
        <v>New</v>
      </c>
      <c r="F1065" s="72">
        <v>33</v>
      </c>
      <c r="G1065" s="72">
        <v>96712</v>
      </c>
      <c r="P1065" s="26"/>
    </row>
    <row r="1066" spans="1:16" ht="14.5">
      <c r="A1066" s="3" t="s">
        <v>38</v>
      </c>
      <c r="B1066" s="8" t="s">
        <v>2813</v>
      </c>
      <c r="C1066" s="46" t="s">
        <v>4503</v>
      </c>
      <c r="D1066" s="41" t="str">
        <f ca="1">IFERROR(__xludf.DUMMYFUNCTION("IFERROR(ARRAYFORMULA(REGEXEXTRACT(C1066,""^(?:https?:\/\/)?(?:[^@\n]+@)?(?:www\.)?([^:\/\n]+)"")),"""")"),"nationalland.com")</f>
        <v>nationalland.com</v>
      </c>
      <c r="E1066" s="26" t="str">
        <f ca="1">IFERROR(__xludf.DUMMYFUNCTION("""COMPUTED_VALUE"""),"New")</f>
        <v>New</v>
      </c>
      <c r="F1066" s="72">
        <v>51</v>
      </c>
      <c r="G1066" s="72">
        <v>22796</v>
      </c>
      <c r="P1066" s="26"/>
    </row>
    <row r="1067" spans="1:16" ht="14.5">
      <c r="A1067" s="3" t="s">
        <v>38</v>
      </c>
      <c r="B1067" s="8" t="s">
        <v>2813</v>
      </c>
      <c r="C1067" s="46" t="s">
        <v>4504</v>
      </c>
      <c r="D1067" s="41" t="str">
        <f ca="1">IFERROR(__xludf.DUMMYFUNCTION("IFERROR(ARRAYFORMULA(REGEXEXTRACT(C1067,""^(?:https?:\/\/)?(?:[^@\n]+@)?(?:www\.)?([^:\/\n]+)"")),"""")"),"realtynewsreport.com")</f>
        <v>realtynewsreport.com</v>
      </c>
      <c r="E1067" s="26" t="str">
        <f ca="1">IFERROR(__xludf.DUMMYFUNCTION("""COMPUTED_VALUE"""),"New")</f>
        <v>New</v>
      </c>
      <c r="F1067" s="72">
        <v>54</v>
      </c>
      <c r="G1067" s="72">
        <v>1256</v>
      </c>
      <c r="P1067" s="26"/>
    </row>
    <row r="1068" spans="1:16" ht="14.5">
      <c r="A1068" s="3" t="s">
        <v>38</v>
      </c>
      <c r="B1068" s="8" t="s">
        <v>2813</v>
      </c>
      <c r="C1068" s="46" t="s">
        <v>4505</v>
      </c>
      <c r="D1068" s="41" t="str">
        <f ca="1">IFERROR(__xludf.DUMMYFUNCTION("IFERROR(ARRAYFORMULA(REGEXEXTRACT(C1068,""^(?:https?:\/\/)?(?:[^@\n]+@)?(?:www\.)?([^:\/\n]+)"")),"""")"),"bounce.game")</f>
        <v>bounce.game</v>
      </c>
      <c r="E1068" s="26" t="str">
        <f ca="1">IFERROR(__xludf.DUMMYFUNCTION("""COMPUTED_VALUE"""),"New")</f>
        <v>New</v>
      </c>
      <c r="F1068" s="72">
        <v>79</v>
      </c>
      <c r="G1068" s="72">
        <v>4058</v>
      </c>
      <c r="P1068" s="26"/>
    </row>
    <row r="1069" spans="1:16" ht="14.5">
      <c r="A1069" s="3" t="s">
        <v>38</v>
      </c>
      <c r="B1069" s="8" t="s">
        <v>2813</v>
      </c>
      <c r="C1069" s="46" t="s">
        <v>4506</v>
      </c>
      <c r="D1069" s="41" t="str">
        <f ca="1">IFERROR(__xludf.DUMMYFUNCTION("IFERROR(ARRAYFORMULA(REGEXEXTRACT(C1069,""^(?:https?:\/\/)?(?:[^@\n]+@)?(?:www\.)?([^:\/\n]+)"")),"""")"),"explorekirkland.com")</f>
        <v>explorekirkland.com</v>
      </c>
      <c r="E1069" s="26" t="str">
        <f ca="1">IFERROR(__xludf.DUMMYFUNCTION("""COMPUTED_VALUE"""),"New")</f>
        <v>New</v>
      </c>
      <c r="F1069" s="72">
        <v>47</v>
      </c>
      <c r="G1069" s="72">
        <v>7436</v>
      </c>
      <c r="P1069" s="26"/>
    </row>
    <row r="1070" spans="1:16" ht="14.5">
      <c r="A1070" s="3" t="s">
        <v>38</v>
      </c>
      <c r="B1070" s="8" t="s">
        <v>2813</v>
      </c>
      <c r="C1070" s="49" t="s">
        <v>4507</v>
      </c>
      <c r="D1070" s="41" t="str">
        <f ca="1">IFERROR(__xludf.DUMMYFUNCTION("IFERROR(ARRAYFORMULA(REGEXEXTRACT(C1070,""^(?:https?:\/\/)?(?:[^@\n]+@)?(?:www\.)?([^:\/\n]+)"")),"""")"),"stor-n-lock.com")</f>
        <v>stor-n-lock.com</v>
      </c>
      <c r="E1070" s="26" t="str">
        <f ca="1">IFERROR(__xludf.DUMMYFUNCTION("""COMPUTED_VALUE"""),"New")</f>
        <v>New</v>
      </c>
      <c r="F1070" s="72">
        <v>31</v>
      </c>
      <c r="G1070" s="72">
        <v>2106</v>
      </c>
      <c r="J1070" s="27" t="s">
        <v>4508</v>
      </c>
      <c r="K1070" s="27" t="s">
        <v>4092</v>
      </c>
      <c r="L1070" s="112"/>
      <c r="M1070" s="27" t="s">
        <v>3117</v>
      </c>
      <c r="N1070" s="48">
        <v>46041</v>
      </c>
      <c r="O1070" s="48">
        <v>46083</v>
      </c>
      <c r="P1070" s="26"/>
    </row>
    <row r="1071" spans="1:16" ht="14.5">
      <c r="A1071" s="3" t="s">
        <v>38</v>
      </c>
      <c r="B1071" s="8" t="s">
        <v>2813</v>
      </c>
      <c r="C1071" s="46" t="s">
        <v>4509</v>
      </c>
      <c r="D1071" s="41" t="str">
        <f ca="1">IFERROR(__xludf.DUMMYFUNCTION("IFERROR(ARRAYFORMULA(REGEXEXTRACT(C1071,""^(?:https?:\/\/)?(?:[^@\n]+@)?(?:www\.)?([^:\/\n]+)"")),"""")"),"tampabay28.com")</f>
        <v>tampabay28.com</v>
      </c>
      <c r="E1071" s="26" t="str">
        <f ca="1">IFERROR(__xludf.DUMMYFUNCTION("""COMPUTED_VALUE"""),"New")</f>
        <v>New</v>
      </c>
      <c r="F1071" s="72">
        <v>77</v>
      </c>
      <c r="G1071" s="72">
        <v>11869</v>
      </c>
      <c r="P1071" s="26"/>
    </row>
    <row r="1072" spans="1:16" ht="14.5">
      <c r="A1072" s="3" t="s">
        <v>38</v>
      </c>
      <c r="B1072" s="8" t="s">
        <v>2813</v>
      </c>
      <c r="C1072" s="46" t="s">
        <v>4510</v>
      </c>
      <c r="D1072" s="41" t="str">
        <f ca="1">IFERROR(__xludf.DUMMYFUNCTION("IFERROR(ARRAYFORMULA(REGEXEXTRACT(C1072,""^(?:https?:\/\/)?(?:[^@\n]+@)?(?:www\.)?([^:\/\n]+)"")),"""")"),"east-windsor.nj.us")</f>
        <v>east-windsor.nj.us</v>
      </c>
      <c r="E1072" s="26" t="str">
        <f ca="1">IFERROR(__xludf.DUMMYFUNCTION("""COMPUTED_VALUE"""),"New")</f>
        <v>New</v>
      </c>
      <c r="F1072" s="72">
        <v>38</v>
      </c>
      <c r="G1072" s="72">
        <v>1486</v>
      </c>
      <c r="P1072" s="26"/>
    </row>
    <row r="1073" spans="1:16" ht="14.5">
      <c r="A1073" s="3" t="s">
        <v>38</v>
      </c>
      <c r="B1073" s="8" t="s">
        <v>2813</v>
      </c>
      <c r="C1073" s="46" t="s">
        <v>4511</v>
      </c>
      <c r="D1073" s="41" t="str">
        <f ca="1">IFERROR(__xludf.DUMMYFUNCTION("IFERROR(ARRAYFORMULA(REGEXEXTRACT(C1073,""^(?:https?:\/\/)?(?:[^@\n]+@)?(?:www\.)?([^:\/\n]+)"")),"""")"),"nexton.com")</f>
        <v>nexton.com</v>
      </c>
      <c r="E1073" s="26" t="str">
        <f ca="1">IFERROR(__xludf.DUMMYFUNCTION("""COMPUTED_VALUE"""),"New")</f>
        <v>New</v>
      </c>
      <c r="F1073" s="72">
        <v>37</v>
      </c>
      <c r="G1073" s="72">
        <v>2816</v>
      </c>
      <c r="P1073" s="26"/>
    </row>
    <row r="1074" spans="1:16" ht="14.5">
      <c r="A1074" s="3" t="s">
        <v>38</v>
      </c>
      <c r="B1074" s="8" t="s">
        <v>2813</v>
      </c>
      <c r="C1074" s="49" t="s">
        <v>4512</v>
      </c>
      <c r="D1074" s="41" t="str">
        <f ca="1">IFERROR(__xludf.DUMMYFUNCTION("IFERROR(ARRAYFORMULA(REGEXEXTRACT(C1074,""^(?:https?:\/\/)?(?:[^@\n]+@)?(?:www\.)?([^:\/\n]+)"")),"""")"),"budgetblinds.com")</f>
        <v>budgetblinds.com</v>
      </c>
      <c r="E1074" s="26" t="str">
        <f ca="1">IFERROR(__xludf.DUMMYFUNCTION("""COMPUTED_VALUE"""),"New")</f>
        <v>New</v>
      </c>
      <c r="F1074" s="72">
        <v>69</v>
      </c>
      <c r="G1074" s="72">
        <v>67351</v>
      </c>
      <c r="H1074" s="27" t="s">
        <v>4513</v>
      </c>
      <c r="I1074" s="27" t="s">
        <v>4514</v>
      </c>
      <c r="K1074" s="27" t="s">
        <v>4515</v>
      </c>
      <c r="L1074" s="112"/>
      <c r="M1074" s="27" t="s">
        <v>3117</v>
      </c>
      <c r="N1074" s="48">
        <v>46041</v>
      </c>
      <c r="O1074" s="48">
        <v>46083</v>
      </c>
      <c r="P1074" s="26"/>
    </row>
    <row r="1075" spans="1:16" ht="14.5">
      <c r="A1075" s="3" t="s">
        <v>38</v>
      </c>
      <c r="B1075" s="8" t="s">
        <v>2813</v>
      </c>
      <c r="C1075" s="46" t="s">
        <v>4516</v>
      </c>
      <c r="D1075" s="41" t="str">
        <f ca="1">IFERROR(__xludf.DUMMYFUNCTION("IFERROR(ARRAYFORMULA(REGEXEXTRACT(C1075,""^(?:https?:\/\/)?(?:[^@\n]+@)?(?:www\.)?([^:\/\n]+)"")),"""")"),"construction-physics.com")</f>
        <v>construction-physics.com</v>
      </c>
      <c r="E1075" s="26" t="str">
        <f ca="1">IFERROR(__xludf.DUMMYFUNCTION("""COMPUTED_VALUE"""),"New")</f>
        <v>New</v>
      </c>
      <c r="F1075" s="72">
        <v>64</v>
      </c>
      <c r="G1075" s="72">
        <v>2858</v>
      </c>
      <c r="P1075" s="26"/>
    </row>
    <row r="1076" spans="1:16" ht="14.5">
      <c r="A1076" s="3" t="s">
        <v>38</v>
      </c>
      <c r="B1076" s="8" t="s">
        <v>2813</v>
      </c>
      <c r="C1076" s="46" t="s">
        <v>4517</v>
      </c>
      <c r="D1076" s="41" t="str">
        <f ca="1">IFERROR(__xludf.DUMMYFUNCTION("IFERROR(ARRAYFORMULA(REGEXEXTRACT(C1076,""^(?:https?:\/\/)?(?:[^@\n]+@)?(?:www\.)?([^:\/\n]+)"")),"""")"),"admin.mylocal.orlandosentinel.com")</f>
        <v>admin.mylocal.orlandosentinel.com</v>
      </c>
      <c r="E1076" s="26" t="str">
        <f ca="1">IFERROR(__xludf.DUMMYFUNCTION("""COMPUTED_VALUE"""),"New")</f>
        <v>New</v>
      </c>
      <c r="F1076" s="72">
        <v>83</v>
      </c>
      <c r="G1076" s="72">
        <v>90407</v>
      </c>
      <c r="P1076" s="26"/>
    </row>
    <row r="1077" spans="1:16" ht="14.5">
      <c r="A1077" s="3" t="s">
        <v>38</v>
      </c>
      <c r="B1077" s="8" t="s">
        <v>2813</v>
      </c>
      <c r="C1077" s="46" t="s">
        <v>4518</v>
      </c>
      <c r="D1077" s="41" t="str">
        <f ca="1">IFERROR(__xludf.DUMMYFUNCTION("IFERROR(ARRAYFORMULA(REGEXEXTRACT(C1077,""^(?:https?:\/\/)?(?:[^@\n]+@)?(?:www\.)?([^:\/\n]+)"")),"""")"),"englewoodchamber.com")</f>
        <v>englewoodchamber.com</v>
      </c>
      <c r="E1077" s="26" t="str">
        <f ca="1">IFERROR(__xludf.DUMMYFUNCTION("""COMPUTED_VALUE"""),"New")</f>
        <v>New</v>
      </c>
      <c r="F1077" s="72">
        <v>50</v>
      </c>
      <c r="G1077" s="72">
        <v>1485</v>
      </c>
      <c r="P1077" s="26"/>
    </row>
    <row r="1078" spans="1:16" ht="14.5">
      <c r="A1078" s="3" t="s">
        <v>38</v>
      </c>
      <c r="B1078" s="8" t="s">
        <v>2813</v>
      </c>
      <c r="C1078" s="46" t="s">
        <v>4519</v>
      </c>
      <c r="D1078" s="41" t="str">
        <f ca="1">IFERROR(__xludf.DUMMYFUNCTION("IFERROR(ARRAYFORMULA(REGEXEXTRACT(C1078,""^(?:https?:\/\/)?(?:[^@\n]+@)?(?:www\.)?([^:\/\n]+)"")),"""")"),"postandcourier.com")</f>
        <v>postandcourier.com</v>
      </c>
      <c r="E1078" s="26" t="str">
        <f ca="1">IFERROR(__xludf.DUMMYFUNCTION("""COMPUTED_VALUE"""),"New")</f>
        <v>New</v>
      </c>
      <c r="F1078" s="72">
        <v>82</v>
      </c>
      <c r="G1078" s="72">
        <v>98002</v>
      </c>
      <c r="P1078" s="26"/>
    </row>
    <row r="1079" spans="1:16" ht="14.5">
      <c r="A1079" s="3" t="s">
        <v>38</v>
      </c>
      <c r="B1079" s="8" t="s">
        <v>2813</v>
      </c>
      <c r="C1079" s="46" t="s">
        <v>4520</v>
      </c>
      <c r="D1079" s="41" t="str">
        <f ca="1">IFERROR(__xludf.DUMMYFUNCTION("IFERROR(ARRAYFORMULA(REGEXEXTRACT(C1079,""^(?:https?:\/\/)?(?:[^@\n]+@)?(?:www\.)?([^:\/\n]+)"")),"""")"),"newbraunfelschamber.growthzoneapp.com")</f>
        <v>newbraunfelschamber.growthzoneapp.com</v>
      </c>
      <c r="E1079" s="26" t="str">
        <f ca="1">IFERROR(__xludf.DUMMYFUNCTION("""COMPUTED_VALUE"""),"New")</f>
        <v>New</v>
      </c>
      <c r="F1079" s="72">
        <v>78</v>
      </c>
      <c r="G1079" s="72">
        <v>10719</v>
      </c>
      <c r="P1079" s="26"/>
    </row>
    <row r="1080" spans="1:16" ht="14.5">
      <c r="A1080" s="3" t="s">
        <v>38</v>
      </c>
      <c r="B1080" s="8" t="s">
        <v>2813</v>
      </c>
      <c r="C1080" s="46" t="s">
        <v>4521</v>
      </c>
      <c r="D1080" s="41" t="str">
        <f ca="1">IFERROR(__xludf.DUMMYFUNCTION("IFERROR(ARRAYFORMULA(REGEXEXTRACT(C1080,""^(?:https?:\/\/)?(?:[^@\n]+@)?(?:www\.)?([^:\/\n]+)"")),"""")"),"neighborhoods.com")</f>
        <v>neighborhoods.com</v>
      </c>
      <c r="E1080" s="26" t="str">
        <f ca="1">IFERROR(__xludf.DUMMYFUNCTION("""COMPUTED_VALUE"""),"New")</f>
        <v>New</v>
      </c>
      <c r="F1080" s="72">
        <v>68</v>
      </c>
      <c r="G1080" s="72">
        <v>78401</v>
      </c>
      <c r="P1080" s="26"/>
    </row>
    <row r="1081" spans="1:16" ht="14.5">
      <c r="A1081" s="3" t="s">
        <v>38</v>
      </c>
      <c r="B1081" s="8" t="s">
        <v>2813</v>
      </c>
      <c r="C1081" s="46" t="s">
        <v>4522</v>
      </c>
      <c r="D1081" s="41" t="str">
        <f ca="1">IFERROR(__xludf.DUMMYFUNCTION("IFERROR(ARRAYFORMULA(REGEXEXTRACT(C1081,""^(?:https?:\/\/)?(?:[^@\n]+@)?(?:www\.)?([^:\/\n]+)"")),"""")"),"nahb.org")</f>
        <v>nahb.org</v>
      </c>
      <c r="E1081" s="26" t="str">
        <f ca="1">IFERROR(__xludf.DUMMYFUNCTION("""COMPUTED_VALUE"""),"New")</f>
        <v>New</v>
      </c>
      <c r="F1081" s="72">
        <v>86</v>
      </c>
      <c r="G1081" s="72">
        <v>79057</v>
      </c>
      <c r="P1081" s="26"/>
    </row>
    <row r="1082" spans="1:16" ht="14.5">
      <c r="A1082" s="3" t="s">
        <v>38</v>
      </c>
      <c r="B1082" s="8" t="s">
        <v>2813</v>
      </c>
      <c r="C1082" s="46" t="s">
        <v>4523</v>
      </c>
      <c r="D1082" s="41" t="str">
        <f ca="1">IFERROR(__xludf.DUMMYFUNCTION("IFERROR(ARRAYFORMULA(REGEXEXTRACT(C1082,""^(?:https?:\/\/)?(?:[^@\n]+@)?(?:www\.)?([^:\/\n]+)"")),"""")"),"ltcnews.com")</f>
        <v>ltcnews.com</v>
      </c>
      <c r="E1082" s="26" t="str">
        <f ca="1">IFERROR(__xludf.DUMMYFUNCTION("""COMPUTED_VALUE"""),"New")</f>
        <v>New</v>
      </c>
      <c r="F1082" s="72">
        <v>52</v>
      </c>
      <c r="G1082" s="72">
        <v>10639</v>
      </c>
      <c r="P1082" s="26"/>
    </row>
    <row r="1083" spans="1:16" ht="14.5" hidden="1">
      <c r="A1083" s="3" t="s">
        <v>38</v>
      </c>
      <c r="B1083" s="8" t="s">
        <v>2813</v>
      </c>
      <c r="C1083" s="46" t="s">
        <v>4524</v>
      </c>
      <c r="D1083" s="41" t="str">
        <f ca="1">IFERROR(__xludf.DUMMYFUNCTION("IFERROR(ARRAYFORMULA(REGEXEXTRACT(C1083,""^(?:https?:\/\/)?(?:[^@\n]+@)?(?:www\.)?([^:\/\n]+)"")),"""")"),"theportager.com")</f>
        <v>theportager.com</v>
      </c>
      <c r="E1083" s="26" t="str">
        <f ca="1">IFERROR(__xludf.DUMMYFUNCTION("""COMPUTED_VALUE"""),"Already Exists")</f>
        <v>Already Exists</v>
      </c>
      <c r="F1083" s="72">
        <v>42</v>
      </c>
      <c r="G1083" s="72">
        <v>1092</v>
      </c>
    </row>
    <row r="1084" spans="1:16" ht="14.5">
      <c r="A1084" s="3" t="s">
        <v>38</v>
      </c>
      <c r="B1084" s="8" t="s">
        <v>2813</v>
      </c>
      <c r="C1084" s="46" t="s">
        <v>4525</v>
      </c>
      <c r="D1084" s="41" t="str">
        <f ca="1">IFERROR(__xludf.DUMMYFUNCTION("IFERROR(ARRAYFORMULA(REGEXEXTRACT(C1084,""^(?:https?:\/\/)?(?:[^@\n]+@)?(?:www\.)?([^:\/\n]+)"")),"""")"),"members.winstonsalem.com")</f>
        <v>members.winstonsalem.com</v>
      </c>
      <c r="E1084" s="26" t="str">
        <f ca="1">IFERROR(__xludf.DUMMYFUNCTION("""COMPUTED_VALUE"""),"New")</f>
        <v>New</v>
      </c>
      <c r="F1084" s="72">
        <v>55</v>
      </c>
      <c r="G1084" s="72">
        <v>1809</v>
      </c>
      <c r="P1084" s="26"/>
    </row>
    <row r="1085" spans="1:16" ht="14.5">
      <c r="A1085" s="3" t="s">
        <v>38</v>
      </c>
      <c r="B1085" s="8" t="s">
        <v>2813</v>
      </c>
      <c r="C1085" s="46" t="s">
        <v>4526</v>
      </c>
      <c r="D1085" s="41" t="str">
        <f ca="1">IFERROR(__xludf.DUMMYFUNCTION("IFERROR(ARRAYFORMULA(REGEXEXTRACT(C1085,""^(?:https?:\/\/)?(?:[^@\n]+@)?(?:www\.)?([^:\/\n]+)"")),"""")"),"floridasolutions.atlassian.net")</f>
        <v>floridasolutions.atlassian.net</v>
      </c>
      <c r="E1085" s="26" t="str">
        <f ca="1">IFERROR(__xludf.DUMMYFUNCTION("""COMPUTED_VALUE"""),"New")</f>
        <v>New</v>
      </c>
      <c r="F1085" s="72">
        <v>92</v>
      </c>
      <c r="G1085" s="72">
        <v>82743</v>
      </c>
      <c r="P1085" s="26"/>
    </row>
    <row r="1086" spans="1:16" ht="14.5">
      <c r="A1086" s="3" t="s">
        <v>38</v>
      </c>
      <c r="B1086" s="8" t="s">
        <v>2813</v>
      </c>
      <c r="C1086" s="46" t="s">
        <v>4527</v>
      </c>
      <c r="D1086" s="41" t="str">
        <f ca="1">IFERROR(__xludf.DUMMYFUNCTION("IFERROR(ARRAYFORMULA(REGEXEXTRACT(C1086,""^(?:https?:\/\/)?(?:[^@\n]+@)?(?:www\.)?([^:\/\n]+)"")),"""")"),"gayrealestate.com")</f>
        <v>gayrealestate.com</v>
      </c>
      <c r="E1086" s="26" t="str">
        <f ca="1">IFERROR(__xludf.DUMMYFUNCTION("""COMPUTED_VALUE"""),"New")</f>
        <v>New</v>
      </c>
      <c r="F1086" s="72">
        <v>34</v>
      </c>
      <c r="G1086" s="72">
        <v>2008</v>
      </c>
      <c r="P1086" s="26"/>
    </row>
    <row r="1087" spans="1:16" ht="14.5">
      <c r="A1087" s="3" t="s">
        <v>38</v>
      </c>
      <c r="B1087" s="8" t="s">
        <v>2813</v>
      </c>
      <c r="C1087" s="46" t="s">
        <v>4528</v>
      </c>
      <c r="D1087" s="41" t="str">
        <f ca="1">IFERROR(__xludf.DUMMYFUNCTION("IFERROR(ARRAYFORMULA(REGEXEXTRACT(C1087,""^(?:https?:\/\/)?(?:[^@\n]+@)?(?:www\.)?([^:\/\n]+)"")),"""")"),"srqmagazine.com")</f>
        <v>srqmagazine.com</v>
      </c>
      <c r="E1087" s="26" t="str">
        <f ca="1">IFERROR(__xludf.DUMMYFUNCTION("""COMPUTED_VALUE"""),"New")</f>
        <v>New</v>
      </c>
      <c r="F1087" s="72">
        <v>69</v>
      </c>
      <c r="G1087" s="72">
        <v>1218</v>
      </c>
      <c r="P1087" s="26"/>
    </row>
    <row r="1088" spans="1:16" ht="14.5">
      <c r="A1088" s="3" t="s">
        <v>38</v>
      </c>
      <c r="B1088" s="8" t="s">
        <v>2813</v>
      </c>
      <c r="C1088" s="46" t="s">
        <v>4529</v>
      </c>
      <c r="D1088" s="41" t="str">
        <f ca="1">IFERROR(__xludf.DUMMYFUNCTION("IFERROR(ARRAYFORMULA(REGEXEXTRACT(C1088,""^(?:https?:\/\/)?(?:[^@\n]+@)?(?:www\.)?([^:\/\n]+)"")),"""")"),"greenbuildingadvisor.com")</f>
        <v>greenbuildingadvisor.com</v>
      </c>
      <c r="E1088" s="26" t="str">
        <f ca="1">IFERROR(__xludf.DUMMYFUNCTION("""COMPUTED_VALUE"""),"New")</f>
        <v>New</v>
      </c>
      <c r="F1088" s="72">
        <v>73</v>
      </c>
      <c r="G1088" s="72">
        <v>63865</v>
      </c>
      <c r="P1088" s="26"/>
    </row>
    <row r="1089" spans="1:16" ht="14.5">
      <c r="A1089" s="3" t="s">
        <v>38</v>
      </c>
      <c r="B1089" s="8" t="s">
        <v>2813</v>
      </c>
      <c r="C1089" s="49" t="s">
        <v>4530</v>
      </c>
      <c r="D1089" s="41" t="str">
        <f ca="1">IFERROR(__xludf.DUMMYFUNCTION("IFERROR(ARRAYFORMULA(REGEXEXTRACT(C1089,""^(?:https?:\/\/)?(?:[^@\n]+@)?(?:www\.)?([^:\/\n]+)"")),"""")"),"naplesgolfguy.com")</f>
        <v>naplesgolfguy.com</v>
      </c>
      <c r="E1089" s="26" t="str">
        <f ca="1">IFERROR(__xludf.DUMMYFUNCTION("""COMPUTED_VALUE"""),"New")</f>
        <v>New</v>
      </c>
      <c r="F1089" s="72">
        <v>23</v>
      </c>
      <c r="G1089" s="72">
        <v>15695</v>
      </c>
      <c r="H1089" s="27" t="s">
        <v>4531</v>
      </c>
      <c r="I1089" s="27" t="s">
        <v>4532</v>
      </c>
      <c r="J1089" s="27" t="s">
        <v>4533</v>
      </c>
      <c r="K1089" s="27" t="s">
        <v>3853</v>
      </c>
      <c r="L1089" s="112"/>
      <c r="M1089" s="27" t="s">
        <v>3117</v>
      </c>
      <c r="N1089" s="48">
        <v>46041</v>
      </c>
      <c r="P1089" s="26"/>
    </row>
    <row r="1090" spans="1:16" ht="14.5">
      <c r="A1090" s="3" t="s">
        <v>38</v>
      </c>
      <c r="B1090" s="8" t="s">
        <v>2813</v>
      </c>
      <c r="C1090" s="46" t="s">
        <v>4534</v>
      </c>
      <c r="D1090" s="41" t="str">
        <f ca="1">IFERROR(__xludf.DUMMYFUNCTION("IFERROR(ARRAYFORMULA(REGEXEXTRACT(C1090,""^(?:https?:\/\/)?(?:[^@\n]+@)?(?:www\.)?([^:\/\n]+)"")),"""")"),"yieldpro.com")</f>
        <v>yieldpro.com</v>
      </c>
      <c r="E1090" s="26" t="str">
        <f ca="1">IFERROR(__xludf.DUMMYFUNCTION("""COMPUTED_VALUE"""),"New")</f>
        <v>New</v>
      </c>
      <c r="F1090" s="72">
        <v>63</v>
      </c>
      <c r="G1090" s="72">
        <v>2477</v>
      </c>
      <c r="P1090" s="26"/>
    </row>
    <row r="1091" spans="1:16" ht="14.5">
      <c r="A1091" s="3" t="s">
        <v>38</v>
      </c>
      <c r="B1091" s="8" t="s">
        <v>2813</v>
      </c>
      <c r="C1091" s="46" t="s">
        <v>4535</v>
      </c>
      <c r="D1091" s="41" t="str">
        <f ca="1">IFERROR(__xludf.DUMMYFUNCTION("IFERROR(ARRAYFORMULA(REGEXEXTRACT(C1091,""^(?:https?:\/\/)?(?:[^@\n]+@)?(?:www\.)?([^:\/\n]+)"")),"""")"),"swgas.com")</f>
        <v>swgas.com</v>
      </c>
      <c r="E1091" s="26" t="str">
        <f ca="1">IFERROR(__xludf.DUMMYFUNCTION("""COMPUTED_VALUE"""),"New")</f>
        <v>New</v>
      </c>
      <c r="F1091" s="72">
        <v>69</v>
      </c>
      <c r="G1091" s="72">
        <v>69767</v>
      </c>
      <c r="P1091" s="26"/>
    </row>
    <row r="1092" spans="1:16" ht="14.5">
      <c r="A1092" s="3" t="s">
        <v>38</v>
      </c>
      <c r="B1092" s="8" t="s">
        <v>2813</v>
      </c>
      <c r="C1092" s="46" t="s">
        <v>4536</v>
      </c>
      <c r="D1092" s="41" t="str">
        <f ca="1">IFERROR(__xludf.DUMMYFUNCTION("IFERROR(ARRAYFORMULA(REGEXEXTRACT(C1092,""^(?:https?:\/\/)?(?:[^@\n]+@)?(?:www\.)?([^:\/\n]+)"")),"""")"),"info.citizensenergygroup.com")</f>
        <v>info.citizensenergygroup.com</v>
      </c>
      <c r="E1092" s="26" t="str">
        <f ca="1">IFERROR(__xludf.DUMMYFUNCTION("""COMPUTED_VALUE"""),"New")</f>
        <v>New</v>
      </c>
      <c r="F1092" s="72">
        <v>58</v>
      </c>
      <c r="G1092" s="72">
        <v>19462</v>
      </c>
      <c r="P1092" s="26"/>
    </row>
    <row r="1093" spans="1:16" ht="14.5">
      <c r="A1093" s="3" t="s">
        <v>38</v>
      </c>
      <c r="B1093" s="8" t="s">
        <v>2813</v>
      </c>
      <c r="C1093" s="46" t="s">
        <v>4537</v>
      </c>
      <c r="D1093" s="41" t="str">
        <f ca="1">IFERROR(__xludf.DUMMYFUNCTION("IFERROR(ARRAYFORMULA(REGEXEXTRACT(C1093,""^(?:https?:\/\/)?(?:[^@\n]+@)?(?:www\.)?([^:\/\n]+)"")),"""")"),"datainsightsmarket.com")</f>
        <v>datainsightsmarket.com</v>
      </c>
      <c r="E1093" s="26" t="str">
        <f ca="1">IFERROR(__xludf.DUMMYFUNCTION("""COMPUTED_VALUE"""),"New")</f>
        <v>New</v>
      </c>
      <c r="F1093" s="72">
        <v>70</v>
      </c>
      <c r="G1093" s="72">
        <v>1317</v>
      </c>
      <c r="P1093" s="26"/>
    </row>
    <row r="1094" spans="1:16" ht="14.5">
      <c r="A1094" s="3" t="s">
        <v>38</v>
      </c>
      <c r="B1094" s="8" t="s">
        <v>2813</v>
      </c>
      <c r="C1094" s="46" t="s">
        <v>4538</v>
      </c>
      <c r="D1094" s="41" t="str">
        <f ca="1">IFERROR(__xludf.DUMMYFUNCTION("IFERROR(ARRAYFORMULA(REGEXEXTRACT(C1094,""^(?:https?:\/\/)?(?:[^@\n]+@)?(?:www\.)?([^:\/\n]+)"")),"""")"),"business.georgetownchamber.org")</f>
        <v>business.georgetownchamber.org</v>
      </c>
      <c r="E1094" s="26" t="str">
        <f ca="1">IFERROR(__xludf.DUMMYFUNCTION("""COMPUTED_VALUE"""),"New")</f>
        <v>New</v>
      </c>
      <c r="F1094" s="72">
        <v>43</v>
      </c>
      <c r="G1094" s="72">
        <v>1941</v>
      </c>
      <c r="P1094" s="26"/>
    </row>
    <row r="1095" spans="1:16" ht="14.5">
      <c r="A1095" s="3" t="s">
        <v>38</v>
      </c>
      <c r="B1095" s="8" t="s">
        <v>2813</v>
      </c>
      <c r="C1095" s="46" t="s">
        <v>4539</v>
      </c>
      <c r="D1095" s="41" t="str">
        <f ca="1">IFERROR(__xludf.DUMMYFUNCTION("IFERROR(ARRAYFORMULA(REGEXEXTRACT(C1095,""^(?:https?:\/\/)?(?:[^@\n]+@)?(?:www\.)?([^:\/\n]+)"")),"""")"),"vice.com")</f>
        <v>vice.com</v>
      </c>
      <c r="E1095" s="26" t="str">
        <f ca="1">IFERROR(__xludf.DUMMYFUNCTION("""COMPUTED_VALUE"""),"New")</f>
        <v>New</v>
      </c>
      <c r="F1095" s="72">
        <v>91</v>
      </c>
      <c r="G1095" s="72">
        <v>1823138</v>
      </c>
      <c r="P1095" s="26"/>
    </row>
    <row r="1096" spans="1:16" ht="14.5" hidden="1">
      <c r="A1096" s="3" t="s">
        <v>38</v>
      </c>
      <c r="B1096" s="8" t="s">
        <v>2813</v>
      </c>
      <c r="C1096" s="46" t="s">
        <v>4540</v>
      </c>
      <c r="D1096" s="41" t="str">
        <f ca="1">IFERROR(__xludf.DUMMYFUNCTION("IFERROR(ARRAYFORMULA(REGEXEXTRACT(C1096,""^(?:https?:\/\/)?(?:[^@\n]+@)?(?:www\.)?([^:\/\n]+)"")),"""")"),"candysdirt.com")</f>
        <v>candysdirt.com</v>
      </c>
      <c r="E1096" s="26" t="str">
        <f ca="1">IFERROR(__xludf.DUMMYFUNCTION("""COMPUTED_VALUE"""),"Already Exists")</f>
        <v>Already Exists</v>
      </c>
      <c r="F1096" s="72">
        <v>66</v>
      </c>
      <c r="G1096" s="72">
        <v>7087</v>
      </c>
    </row>
    <row r="1097" spans="1:16" ht="14.5">
      <c r="A1097" s="3" t="s">
        <v>38</v>
      </c>
      <c r="B1097" s="8" t="s">
        <v>2813</v>
      </c>
      <c r="C1097" s="46" t="s">
        <v>4541</v>
      </c>
      <c r="D1097" s="41" t="str">
        <f ca="1">IFERROR(__xludf.DUMMYFUNCTION("IFERROR(ARRAYFORMULA(REGEXEXTRACT(C1097,""^(?:https?:\/\/)?(?:[^@\n]+@)?(?:www\.)?([^:\/\n]+)"")),"""")"),"members.unioncountycoc.com")</f>
        <v>members.unioncountycoc.com</v>
      </c>
      <c r="E1097" s="26" t="str">
        <f ca="1">IFERROR(__xludf.DUMMYFUNCTION("""COMPUTED_VALUE"""),"New")</f>
        <v>New</v>
      </c>
      <c r="F1097" s="72">
        <v>43</v>
      </c>
      <c r="G1097" s="72">
        <v>1556</v>
      </c>
      <c r="P1097" s="26"/>
    </row>
    <row r="1098" spans="1:16" ht="14.5">
      <c r="A1098" s="3" t="s">
        <v>38</v>
      </c>
      <c r="B1098" s="8" t="s">
        <v>2813</v>
      </c>
      <c r="C1098" s="46" t="s">
        <v>4542</v>
      </c>
      <c r="D1098" s="41" t="str">
        <f ca="1">IFERROR(__xludf.DUMMYFUNCTION("IFERROR(ARRAYFORMULA(REGEXEXTRACT(C1098,""^(?:https?:\/\/)?(?:[^@\n]+@)?(?:www\.)?([^:\/\n]+)"")),"""")"),"fiftyplusadvocate.com")</f>
        <v>fiftyplusadvocate.com</v>
      </c>
      <c r="E1098" s="26" t="str">
        <f ca="1">IFERROR(__xludf.DUMMYFUNCTION("""COMPUTED_VALUE"""),"New")</f>
        <v>New</v>
      </c>
      <c r="F1098" s="72">
        <v>46</v>
      </c>
      <c r="G1098" s="72">
        <v>1271</v>
      </c>
      <c r="P1098" s="26"/>
    </row>
    <row r="1099" spans="1:16" ht="14.5">
      <c r="A1099" s="3" t="s">
        <v>38</v>
      </c>
      <c r="B1099" s="8" t="s">
        <v>2813</v>
      </c>
      <c r="C1099" s="46" t="s">
        <v>4543</v>
      </c>
      <c r="D1099" s="41" t="str">
        <f ca="1">IFERROR(__xludf.DUMMYFUNCTION("IFERROR(ARRAYFORMULA(REGEXEXTRACT(C1099,""^(?:https?:\/\/)?(?:[^@\n]+@)?(?:www\.)?([^:\/\n]+)"")),"""")"),"coldwellbankerhomes.com")</f>
        <v>coldwellbankerhomes.com</v>
      </c>
      <c r="E1099" s="26" t="str">
        <f ca="1">IFERROR(__xludf.DUMMYFUNCTION("""COMPUTED_VALUE"""),"New")</f>
        <v>New</v>
      </c>
      <c r="F1099" s="72">
        <v>83</v>
      </c>
      <c r="G1099" s="72">
        <v>453219</v>
      </c>
      <c r="P1099" s="26"/>
    </row>
    <row r="1100" spans="1:16" ht="14.5" hidden="1">
      <c r="A1100" s="3" t="s">
        <v>38</v>
      </c>
      <c r="B1100" s="8" t="s">
        <v>2813</v>
      </c>
      <c r="C1100" s="46" t="s">
        <v>4544</v>
      </c>
      <c r="D1100" s="41" t="str">
        <f ca="1">IFERROR(__xludf.DUMMYFUNCTION("IFERROR(ARRAYFORMULA(REGEXEXTRACT(C1100,""^(?:https?:\/\/)?(?:[^@\n]+@)?(?:www\.)?([^:\/\n]+)"")),"""")"),"themuse.com")</f>
        <v>themuse.com</v>
      </c>
      <c r="E1100" s="26" t="str">
        <f ca="1">IFERROR(__xludf.DUMMYFUNCTION("""COMPUTED_VALUE"""),"Already Exists")</f>
        <v>Already Exists</v>
      </c>
      <c r="F1100" s="72">
        <v>85</v>
      </c>
      <c r="G1100" s="72">
        <v>531119</v>
      </c>
    </row>
    <row r="1101" spans="1:16" ht="14.5">
      <c r="A1101" s="3" t="s">
        <v>38</v>
      </c>
      <c r="B1101" s="8" t="s">
        <v>2813</v>
      </c>
      <c r="C1101" s="46" t="s">
        <v>4545</v>
      </c>
      <c r="D1101" s="41" t="str">
        <f ca="1">IFERROR(__xludf.DUMMYFUNCTION("IFERROR(ARRAYFORMULA(REGEXEXTRACT(C1101,""^(?:https?:\/\/)?(?:[^@\n]+@)?(?:www\.)?([^:\/\n]+)"")),"""")"),"meyerlucas.com")</f>
        <v>meyerlucas.com</v>
      </c>
      <c r="E1101" s="26" t="str">
        <f ca="1">IFERROR(__xludf.DUMMYFUNCTION("""COMPUTED_VALUE"""),"New")</f>
        <v>New</v>
      </c>
      <c r="F1101" s="72">
        <v>34</v>
      </c>
      <c r="G1101" s="72">
        <v>2235</v>
      </c>
      <c r="P1101" s="26"/>
    </row>
    <row r="1102" spans="1:16" ht="14.5">
      <c r="A1102" s="3" t="s">
        <v>38</v>
      </c>
      <c r="B1102" s="8" t="s">
        <v>2813</v>
      </c>
      <c r="C1102" s="46" t="s">
        <v>4546</v>
      </c>
      <c r="D1102" s="41" t="str">
        <f ca="1">IFERROR(__xludf.DUMMYFUNCTION("IFERROR(ARRAYFORMULA(REGEXEXTRACT(C1102,""^(?:https?:\/\/)?(?:[^@\n]+@)?(?:www\.)?([^:\/\n]+)"")),"""")"),"azfamily.com")</f>
        <v>azfamily.com</v>
      </c>
      <c r="E1102" s="26" t="str">
        <f ca="1">IFERROR(__xludf.DUMMYFUNCTION("""COMPUTED_VALUE"""),"New")</f>
        <v>New</v>
      </c>
      <c r="F1102" s="72">
        <v>78</v>
      </c>
      <c r="G1102" s="72">
        <v>207819</v>
      </c>
      <c r="P1102" s="26"/>
    </row>
    <row r="1103" spans="1:16" ht="14.5">
      <c r="A1103" s="3" t="s">
        <v>38</v>
      </c>
      <c r="B1103" s="8" t="s">
        <v>2813</v>
      </c>
      <c r="C1103" s="46" t="s">
        <v>4547</v>
      </c>
      <c r="D1103" s="41" t="str">
        <f ca="1">IFERROR(__xludf.DUMMYFUNCTION("IFERROR(ARRAYFORMULA(REGEXEXTRACT(C1103,""^(?:https?:\/\/)?(?:[^@\n]+@)?(?:www\.)?([^:\/\n]+)"")),"""")"),"prioritymarketing.com")</f>
        <v>prioritymarketing.com</v>
      </c>
      <c r="E1103" s="26" t="str">
        <f ca="1">IFERROR(__xludf.DUMMYFUNCTION("""COMPUTED_VALUE"""),"New")</f>
        <v>New</v>
      </c>
      <c r="F1103" s="72">
        <v>60</v>
      </c>
      <c r="G1103" s="72">
        <v>1539</v>
      </c>
      <c r="P1103" s="26"/>
    </row>
    <row r="1104" spans="1:16" ht="14.5">
      <c r="A1104" s="3" t="s">
        <v>38</v>
      </c>
      <c r="B1104" s="8" t="s">
        <v>2813</v>
      </c>
      <c r="C1104" s="46" t="s">
        <v>4548</v>
      </c>
      <c r="D1104" s="41" t="str">
        <f ca="1">IFERROR(__xludf.DUMMYFUNCTION("IFERROR(ARRAYFORMULA(REGEXEXTRACT(C1104,""^(?:https?:\/\/)?(?:[^@\n]+@)?(?:www\.)?([^:\/\n]+)"")),"""")"),"thereporteronline.com")</f>
        <v>thereporteronline.com</v>
      </c>
      <c r="E1104" s="26" t="str">
        <f ca="1">IFERROR(__xludf.DUMMYFUNCTION("""COMPUTED_VALUE"""),"New")</f>
        <v>New</v>
      </c>
      <c r="F1104" s="72">
        <v>63</v>
      </c>
      <c r="G1104" s="72">
        <v>4142</v>
      </c>
      <c r="P1104" s="26"/>
    </row>
    <row r="1105" spans="1:16" ht="14.5">
      <c r="A1105" s="3" t="s">
        <v>38</v>
      </c>
      <c r="B1105" s="8" t="s">
        <v>2813</v>
      </c>
      <c r="C1105" s="46" t="s">
        <v>4549</v>
      </c>
      <c r="D1105" s="41" t="str">
        <f ca="1">IFERROR(__xludf.DUMMYFUNCTION("IFERROR(ARRAYFORMULA(REGEXEXTRACT(C1105,""^(?:https?:\/\/)?(?:[^@\n]+@)?(?:www\.)?([^:\/\n]+)"")),"""")"),"sfbwmag.com")</f>
        <v>sfbwmag.com</v>
      </c>
      <c r="E1105" s="26" t="str">
        <f ca="1">IFERROR(__xludf.DUMMYFUNCTION("""COMPUTED_VALUE"""),"New")</f>
        <v>New</v>
      </c>
      <c r="F1105" s="72">
        <v>58</v>
      </c>
      <c r="G1105" s="72">
        <v>2099</v>
      </c>
      <c r="P1105" s="26"/>
    </row>
    <row r="1106" spans="1:16" ht="14.5">
      <c r="A1106" s="3" t="s">
        <v>38</v>
      </c>
      <c r="B1106" s="8" t="s">
        <v>2813</v>
      </c>
      <c r="C1106" s="46" t="s">
        <v>4550</v>
      </c>
      <c r="D1106" s="41" t="str">
        <f ca="1">IFERROR(__xludf.DUMMYFUNCTION("IFERROR(ARRAYFORMULA(REGEXEXTRACT(C1106,""^(?:https?:\/\/)?(?:[^@\n]+@)?(?:www\.)?([^:\/\n]+)"")),"""")"),"utahbusiness.com")</f>
        <v>utahbusiness.com</v>
      </c>
      <c r="E1106" s="26" t="str">
        <f ca="1">IFERROR(__xludf.DUMMYFUNCTION("""COMPUTED_VALUE"""),"New")</f>
        <v>New</v>
      </c>
      <c r="F1106" s="72">
        <v>73</v>
      </c>
      <c r="G1106" s="72">
        <v>4396</v>
      </c>
      <c r="P1106" s="26"/>
    </row>
    <row r="1107" spans="1:16" ht="14.5">
      <c r="A1107" s="3" t="s">
        <v>38</v>
      </c>
      <c r="B1107" s="8" t="s">
        <v>2813</v>
      </c>
      <c r="C1107" s="46" t="s">
        <v>4551</v>
      </c>
      <c r="D1107" s="41" t="str">
        <f ca="1">IFERROR(__xludf.DUMMYFUNCTION("IFERROR(ARRAYFORMULA(REGEXEXTRACT(C1107,""^(?:https?:\/\/)?(?:[^@\n]+@)?(?:www\.)?([^:\/\n]+)"")),"""")"),"shawlocal.com")</f>
        <v>shawlocal.com</v>
      </c>
      <c r="E1107" s="26" t="str">
        <f ca="1">IFERROR(__xludf.DUMMYFUNCTION("""COMPUTED_VALUE"""),"New")</f>
        <v>New</v>
      </c>
      <c r="F1107" s="72">
        <v>76</v>
      </c>
      <c r="G1107" s="72">
        <v>159750</v>
      </c>
      <c r="P1107" s="26"/>
    </row>
    <row r="1108" spans="1:16" ht="14.5">
      <c r="A1108" s="3" t="s">
        <v>38</v>
      </c>
      <c r="B1108" s="8" t="s">
        <v>2813</v>
      </c>
      <c r="C1108" s="46" t="s">
        <v>4552</v>
      </c>
      <c r="D1108" s="41" t="str">
        <f ca="1">IFERROR(__xludf.DUMMYFUNCTION("IFERROR(ARRAYFORMULA(REGEXEXTRACT(C1108,""^(?:https?:\/\/)?(?:[^@\n]+@)?(?:www\.)?([^:\/\n]+)"")),"""")"),"gohebervalley.com")</f>
        <v>gohebervalley.com</v>
      </c>
      <c r="E1108" s="26" t="str">
        <f ca="1">IFERROR(__xludf.DUMMYFUNCTION("""COMPUTED_VALUE"""),"New")</f>
        <v>New</v>
      </c>
      <c r="F1108" s="72">
        <v>58</v>
      </c>
      <c r="G1108" s="72">
        <v>13103</v>
      </c>
      <c r="P1108" s="26"/>
    </row>
    <row r="1109" spans="1:16" ht="14.5">
      <c r="A1109" s="3" t="s">
        <v>38</v>
      </c>
      <c r="B1109" s="8" t="s">
        <v>2813</v>
      </c>
      <c r="C1109" s="46" t="s">
        <v>4553</v>
      </c>
      <c r="D1109" s="41" t="str">
        <f ca="1">IFERROR(__xludf.DUMMYFUNCTION("IFERROR(ARRAYFORMULA(REGEXEXTRACT(C1109,""^(?:https?:\/\/)?(?:[^@\n]+@)?(?:www\.)?([^:\/\n]+)"")),"""")"),"business.slchamber.com")</f>
        <v>business.slchamber.com</v>
      </c>
      <c r="E1109" s="26" t="str">
        <f ca="1">IFERROR(__xludf.DUMMYFUNCTION("""COMPUTED_VALUE"""),"New")</f>
        <v>New</v>
      </c>
      <c r="F1109" s="72">
        <v>54</v>
      </c>
      <c r="G1109" s="72">
        <v>3244</v>
      </c>
      <c r="P1109" s="26"/>
    </row>
    <row r="1110" spans="1:16" ht="14.5" hidden="1">
      <c r="A1110" s="3" t="s">
        <v>38</v>
      </c>
      <c r="B1110" s="8" t="s">
        <v>2813</v>
      </c>
      <c r="C1110" s="46" t="s">
        <v>4554</v>
      </c>
      <c r="D1110" s="41" t="str">
        <f ca="1">IFERROR(__xludf.DUMMYFUNCTION("IFERROR(ARRAYFORMULA(REGEXEXTRACT(C1110,""^(?:https?:\/\/)?(?:[^@\n]+@)?(?:www\.)?([^:\/\n]+)"")),"""")"),"newsbreak.com")</f>
        <v>newsbreak.com</v>
      </c>
      <c r="E1110" s="26" t="str">
        <f ca="1">IFERROR(__xludf.DUMMYFUNCTION("""COMPUTED_VALUE"""),"Already Exists")</f>
        <v>Already Exists</v>
      </c>
      <c r="F1110" s="72">
        <v>83</v>
      </c>
      <c r="G1110" s="72">
        <v>206337</v>
      </c>
    </row>
    <row r="1111" spans="1:16" ht="14.5">
      <c r="A1111" s="3" t="s">
        <v>38</v>
      </c>
      <c r="B1111" s="8" t="s">
        <v>2813</v>
      </c>
      <c r="C1111" s="46" t="s">
        <v>4555</v>
      </c>
      <c r="D1111" s="41" t="str">
        <f ca="1">IFERROR(__xludf.DUMMYFUNCTION("IFERROR(ARRAYFORMULA(REGEXEXTRACT(C1111,""^(?:https?:\/\/)?(?:[^@\n]+@)?(?:www\.)?([^:\/\n]+)"")),"""")"),"realestateone.com")</f>
        <v>realestateone.com</v>
      </c>
      <c r="E1111" s="26" t="str">
        <f ca="1">IFERROR(__xludf.DUMMYFUNCTION("""COMPUTED_VALUE"""),"New")</f>
        <v>New</v>
      </c>
      <c r="F1111" s="72">
        <v>60</v>
      </c>
      <c r="G1111" s="72">
        <v>26508</v>
      </c>
      <c r="P1111" s="26"/>
    </row>
    <row r="1112" spans="1:16" ht="14.5">
      <c r="A1112" s="3" t="s">
        <v>38</v>
      </c>
      <c r="B1112" s="8" t="s">
        <v>2813</v>
      </c>
      <c r="C1112" s="46" t="s">
        <v>4556</v>
      </c>
      <c r="D1112" s="41" t="str">
        <f ca="1">IFERROR(__xludf.DUMMYFUNCTION("IFERROR(ARRAYFORMULA(REGEXEXTRACT(C1112,""^(?:https?:\/\/)?(?:[^@\n]+@)?(?:www\.)?([^:\/\n]+)"")),"""")"),"cnet.com")</f>
        <v>cnet.com</v>
      </c>
      <c r="E1112" s="26" t="str">
        <f ca="1">IFERROR(__xludf.DUMMYFUNCTION("""COMPUTED_VALUE"""),"New")</f>
        <v>New</v>
      </c>
      <c r="F1112" s="72">
        <v>91</v>
      </c>
      <c r="G1112" s="72">
        <v>11872027</v>
      </c>
      <c r="P1112" s="26"/>
    </row>
    <row r="1113" spans="1:16" ht="14.5">
      <c r="A1113" s="3" t="s">
        <v>38</v>
      </c>
      <c r="B1113" s="8" t="s">
        <v>2813</v>
      </c>
      <c r="C1113" s="46" t="s">
        <v>4557</v>
      </c>
      <c r="D1113" s="41" t="str">
        <f ca="1">IFERROR(__xludf.DUMMYFUNCTION("IFERROR(ARRAYFORMULA(REGEXEXTRACT(C1113,""^(?:https?:\/\/)?(?:[^@\n]+@)?(?:www\.)?([^:\/\n]+)"")),"""")"),"intelius.com")</f>
        <v>intelius.com</v>
      </c>
      <c r="E1113" s="26" t="str">
        <f ca="1">IFERROR(__xludf.DUMMYFUNCTION("""COMPUTED_VALUE"""),"New")</f>
        <v>New</v>
      </c>
      <c r="F1113" s="72">
        <v>73</v>
      </c>
      <c r="G1113" s="72">
        <v>118207</v>
      </c>
      <c r="P1113" s="26"/>
    </row>
    <row r="1114" spans="1:16" ht="14.5">
      <c r="A1114" s="3" t="s">
        <v>38</v>
      </c>
      <c r="B1114" s="8" t="s">
        <v>2813</v>
      </c>
      <c r="C1114" s="46" t="s">
        <v>4558</v>
      </c>
      <c r="D1114" s="41" t="str">
        <f ca="1">IFERROR(__xludf.DUMMYFUNCTION("IFERROR(ARRAYFORMULA(REGEXEXTRACT(C1114,""^(?:https?:\/\/)?(?:[^@\n]+@)?(?:www\.)?([^:\/\n]+)"")),"""")"),"energystar.gov")</f>
        <v>energystar.gov</v>
      </c>
      <c r="E1114" s="26" t="str">
        <f ca="1">IFERROR(__xludf.DUMMYFUNCTION("""COMPUTED_VALUE"""),"New")</f>
        <v>New</v>
      </c>
      <c r="F1114" s="72">
        <v>90</v>
      </c>
      <c r="G1114" s="72">
        <v>308365</v>
      </c>
      <c r="P1114" s="26"/>
    </row>
    <row r="1115" spans="1:16" ht="14.5">
      <c r="A1115" s="3" t="s">
        <v>38</v>
      </c>
      <c r="B1115" s="8" t="s">
        <v>2813</v>
      </c>
      <c r="C1115" s="46" t="s">
        <v>4559</v>
      </c>
      <c r="D1115" s="41" t="str">
        <f ca="1">IFERROR(__xludf.DUMMYFUNCTION("IFERROR(ARRAYFORMULA(REGEXEXTRACT(C1115,""^(?:https?:\/\/)?(?:[^@\n]+@)?(?:www\.)?([^:\/\n]+)"")),"""")"),"goingconcern.com")</f>
        <v>goingconcern.com</v>
      </c>
      <c r="E1115" s="26" t="str">
        <f ca="1">IFERROR(__xludf.DUMMYFUNCTION("""COMPUTED_VALUE"""),"New")</f>
        <v>New</v>
      </c>
      <c r="F1115" s="72">
        <v>61</v>
      </c>
      <c r="G1115" s="72">
        <v>8920</v>
      </c>
      <c r="P1115" s="26"/>
    </row>
    <row r="1116" spans="1:16" ht="14.5">
      <c r="A1116" s="3" t="s">
        <v>38</v>
      </c>
      <c r="B1116" s="8" t="s">
        <v>2813</v>
      </c>
      <c r="C1116" s="46" t="s">
        <v>4560</v>
      </c>
      <c r="D1116" s="41" t="str">
        <f ca="1">IFERROR(__xludf.DUMMYFUNCTION("IFERROR(ARRAYFORMULA(REGEXEXTRACT(C1116,""^(?:https?:\/\/)?(?:[^@\n]+@)?(?:www\.)?([^:\/\n]+)"")),"""")"),"centauriinsurance.com")</f>
        <v>centauriinsurance.com</v>
      </c>
      <c r="E1116" s="26" t="str">
        <f ca="1">IFERROR(__xludf.DUMMYFUNCTION("""COMPUTED_VALUE"""),"New")</f>
        <v>New</v>
      </c>
      <c r="F1116" s="72">
        <v>44</v>
      </c>
      <c r="G1116" s="72">
        <v>1202</v>
      </c>
      <c r="P1116" s="26"/>
    </row>
    <row r="1117" spans="1:16" ht="14.5">
      <c r="A1117" s="3" t="s">
        <v>38</v>
      </c>
      <c r="B1117" s="8" t="s">
        <v>2813</v>
      </c>
      <c r="C1117" s="46" t="s">
        <v>4561</v>
      </c>
      <c r="D1117" s="41" t="str">
        <f ca="1">IFERROR(__xludf.DUMMYFUNCTION("IFERROR(ARRAYFORMULA(REGEXEXTRACT(C1117,""^(?:https?:\/\/)?(?:[^@\n]+@)?(?:www\.)?([^:\/\n]+)"")),"""")"),"enr.com")</f>
        <v>enr.com</v>
      </c>
      <c r="E1117" s="26" t="str">
        <f ca="1">IFERROR(__xludf.DUMMYFUNCTION("""COMPUTED_VALUE"""),"New")</f>
        <v>New</v>
      </c>
      <c r="F1117" s="72">
        <v>81</v>
      </c>
      <c r="G1117" s="72">
        <v>27029</v>
      </c>
      <c r="P1117" s="26"/>
    </row>
    <row r="1118" spans="1:16" ht="14.5">
      <c r="A1118" s="3" t="s">
        <v>38</v>
      </c>
      <c r="B1118" s="8" t="s">
        <v>2813</v>
      </c>
      <c r="C1118" s="46" t="s">
        <v>4562</v>
      </c>
      <c r="D1118" s="41" t="str">
        <f ca="1">IFERROR(__xludf.DUMMYFUNCTION("IFERROR(ARRAYFORMULA(REGEXEXTRACT(C1118,""^(?:https?:\/\/)?(?:[^@\n]+@)?(?:www\.)?([^:\/\n]+)"")),"""")"),"chamber.conroe.org")</f>
        <v>chamber.conroe.org</v>
      </c>
      <c r="E1118" s="26" t="str">
        <f ca="1">IFERROR(__xludf.DUMMYFUNCTION("""COMPUTED_VALUE"""),"New")</f>
        <v>New</v>
      </c>
      <c r="F1118" s="72">
        <v>47</v>
      </c>
      <c r="G1118" s="72">
        <v>2549</v>
      </c>
      <c r="P1118" s="26"/>
    </row>
    <row r="1119" spans="1:16" ht="14.5">
      <c r="A1119" s="3" t="s">
        <v>38</v>
      </c>
      <c r="B1119" s="8" t="s">
        <v>2813</v>
      </c>
      <c r="C1119" s="46" t="s">
        <v>4563</v>
      </c>
      <c r="D1119" s="41" t="str">
        <f ca="1">IFERROR(__xludf.DUMMYFUNCTION("IFERROR(ARRAYFORMULA(REGEXEXTRACT(C1119,""^(?:https?:\/\/)?(?:[^@\n]+@)?(?:www\.)?([^:\/\n]+)"")),"""")"),"utahrealestate.com")</f>
        <v>utahrealestate.com</v>
      </c>
      <c r="E1119" s="26" t="str">
        <f ca="1">IFERROR(__xludf.DUMMYFUNCTION("""COMPUTED_VALUE"""),"New")</f>
        <v>New</v>
      </c>
      <c r="F1119" s="72">
        <v>73</v>
      </c>
      <c r="G1119" s="72">
        <v>67937</v>
      </c>
      <c r="P1119" s="26"/>
    </row>
    <row r="1120" spans="1:16" ht="14.5">
      <c r="A1120" s="3" t="s">
        <v>38</v>
      </c>
      <c r="B1120" s="8" t="s">
        <v>2813</v>
      </c>
      <c r="C1120" s="46" t="s">
        <v>4564</v>
      </c>
      <c r="D1120" s="41" t="str">
        <f ca="1">IFERROR(__xludf.DUMMYFUNCTION("IFERROR(ARRAYFORMULA(REGEXEXTRACT(C1120,""^(?:https?:\/\/)?(?:[^@\n]+@)?(?:www\.)?([^:\/\n]+)"")),"""")"),"dc.urbanturf.com")</f>
        <v>dc.urbanturf.com</v>
      </c>
      <c r="E1120" s="26" t="str">
        <f ca="1">IFERROR(__xludf.DUMMYFUNCTION("""COMPUTED_VALUE"""),"New")</f>
        <v>New</v>
      </c>
      <c r="F1120" s="72">
        <v>62</v>
      </c>
      <c r="G1120" s="72">
        <v>3874</v>
      </c>
      <c r="P1120" s="26"/>
    </row>
    <row r="1121" spans="1:16" ht="14.5">
      <c r="A1121" s="3" t="s">
        <v>38</v>
      </c>
      <c r="B1121" s="8" t="s">
        <v>2813</v>
      </c>
      <c r="C1121" s="46" t="s">
        <v>4565</v>
      </c>
      <c r="D1121" s="41" t="str">
        <f ca="1">IFERROR(__xludf.DUMMYFUNCTION("IFERROR(ARRAYFORMULA(REGEXEXTRACT(C1121,""^(?:https?:\/\/)?(?:[^@\n]+@)?(?:www\.)?([^:\/\n]+)"")),"""")"),"sentriforce.com")</f>
        <v>sentriforce.com</v>
      </c>
      <c r="E1121" s="26" t="str">
        <f ca="1">IFERROR(__xludf.DUMMYFUNCTION("""COMPUTED_VALUE"""),"New")</f>
        <v>New</v>
      </c>
      <c r="F1121" s="72">
        <v>24</v>
      </c>
      <c r="G1121" s="72">
        <v>1773</v>
      </c>
      <c r="P1121" s="26"/>
    </row>
    <row r="1122" spans="1:16" ht="14.5">
      <c r="A1122" s="3" t="s">
        <v>38</v>
      </c>
      <c r="B1122" s="8" t="s">
        <v>2813</v>
      </c>
      <c r="C1122" s="47" t="s">
        <v>4566</v>
      </c>
      <c r="D1122" s="41" t="str">
        <f ca="1">IFERROR(__xludf.DUMMYFUNCTION("IFERROR(ARRAYFORMULA(REGEXEXTRACT(C1122,""^(?:https?:\/\/)?(?:[^@\n]+@)?(?:www\.)?([^:\/\n]+)"")),"""")"),"iconiclife.com")</f>
        <v>iconiclife.com</v>
      </c>
      <c r="E1122" s="26" t="str">
        <f ca="1">IFERROR(__xludf.DUMMYFUNCTION("""COMPUTED_VALUE"""),"New")</f>
        <v>New</v>
      </c>
      <c r="F1122" s="72">
        <v>61</v>
      </c>
      <c r="G1122" s="72">
        <v>2158</v>
      </c>
      <c r="H1122" s="27" t="s">
        <v>4567</v>
      </c>
      <c r="I1122" s="27" t="s">
        <v>4568</v>
      </c>
      <c r="J1122" s="27" t="s">
        <v>4569</v>
      </c>
      <c r="K1122" s="27" t="s">
        <v>3772</v>
      </c>
      <c r="L1122" s="112"/>
      <c r="M1122" s="27" t="s">
        <v>3117</v>
      </c>
      <c r="N1122" s="48">
        <v>46041</v>
      </c>
      <c r="O1122" s="48">
        <v>46083</v>
      </c>
      <c r="P1122" s="27" t="s">
        <v>3201</v>
      </c>
    </row>
    <row r="1123" spans="1:16" ht="14.5">
      <c r="A1123" s="3" t="s">
        <v>38</v>
      </c>
      <c r="B1123" s="8" t="s">
        <v>2813</v>
      </c>
      <c r="C1123" s="46" t="s">
        <v>4570</v>
      </c>
      <c r="D1123" s="41" t="str">
        <f ca="1">IFERROR(__xludf.DUMMYFUNCTION("IFERROR(ARRAYFORMULA(REGEXEXTRACT(C1123,""^(?:https?:\/\/)?(?:[^@\n]+@)?(?:www\.)?([^:\/\n]+)"")),"""")"),"dailybulletin.com")</f>
        <v>dailybulletin.com</v>
      </c>
      <c r="E1123" s="26" t="str">
        <f ca="1">IFERROR(__xludf.DUMMYFUNCTION("""COMPUTED_VALUE"""),"New")</f>
        <v>New</v>
      </c>
      <c r="F1123" s="72">
        <v>72</v>
      </c>
      <c r="G1123" s="72">
        <v>10487</v>
      </c>
      <c r="P1123" s="26"/>
    </row>
    <row r="1124" spans="1:16" ht="14.5">
      <c r="A1124" s="3" t="s">
        <v>38</v>
      </c>
      <c r="B1124" s="8" t="s">
        <v>2813</v>
      </c>
      <c r="C1124" s="46" t="s">
        <v>4571</v>
      </c>
      <c r="D1124" s="41" t="str">
        <f ca="1">IFERROR(__xludf.DUMMYFUNCTION("IFERROR(ARRAYFORMULA(REGEXEXTRACT(C1124,""^(?:https?:\/\/)?(?:[^@\n]+@)?(?:www\.)?([^:\/\n]+)"")),"""")"),"c21scheetz.com")</f>
        <v>c21scheetz.com</v>
      </c>
      <c r="E1124" s="26" t="str">
        <f ca="1">IFERROR(__xludf.DUMMYFUNCTION("""COMPUTED_VALUE"""),"New")</f>
        <v>New</v>
      </c>
      <c r="F1124" s="72">
        <v>43</v>
      </c>
      <c r="G1124" s="72">
        <v>6508</v>
      </c>
      <c r="P1124" s="26"/>
    </row>
    <row r="1125" spans="1:16" ht="14.5" hidden="1">
      <c r="A1125" s="3" t="s">
        <v>38</v>
      </c>
      <c r="B1125" s="8" t="s">
        <v>2813</v>
      </c>
      <c r="C1125" s="46" t="s">
        <v>4572</v>
      </c>
      <c r="D1125" s="41" t="str">
        <f ca="1">IFERROR(__xludf.DUMMYFUNCTION("IFERROR(ARRAYFORMULA(REGEXEXTRACT(C1125,""^(?:https?:\/\/)?(?:[^@\n]+@)?(?:www\.)?([^:\/\n]+)"")),"""")"),"bisnow.com")</f>
        <v>bisnow.com</v>
      </c>
      <c r="E1125" s="26" t="str">
        <f ca="1">IFERROR(__xludf.DUMMYFUNCTION("""COMPUTED_VALUE"""),"Already Exists")</f>
        <v>Already Exists</v>
      </c>
      <c r="F1125" s="72">
        <v>81</v>
      </c>
      <c r="G1125" s="72">
        <v>25158</v>
      </c>
    </row>
    <row r="1126" spans="1:16" ht="14.5">
      <c r="A1126" s="3" t="s">
        <v>38</v>
      </c>
      <c r="B1126" s="8" t="s">
        <v>2813</v>
      </c>
      <c r="C1126" s="46" t="s">
        <v>4573</v>
      </c>
      <c r="D1126" s="41" t="str">
        <f ca="1">IFERROR(__xludf.DUMMYFUNCTION("IFERROR(ARRAYFORMULA(REGEXEXTRACT(C1126,""^(?:https?:\/\/)?(?:[^@\n]+@)?(?:www\.)?([^:\/\n]+)"")),"""")"),"santaritaranchaustin.com")</f>
        <v>santaritaranchaustin.com</v>
      </c>
      <c r="E1126" s="26" t="str">
        <f ca="1">IFERROR(__xludf.DUMMYFUNCTION("""COMPUTED_VALUE"""),"New")</f>
        <v>New</v>
      </c>
      <c r="F1126" s="72">
        <v>29</v>
      </c>
      <c r="G1126" s="72">
        <v>3176</v>
      </c>
      <c r="P1126" s="26"/>
    </row>
    <row r="1127" spans="1:16" ht="14.5">
      <c r="A1127" s="3" t="s">
        <v>38</v>
      </c>
      <c r="B1127" s="8" t="s">
        <v>2813</v>
      </c>
      <c r="C1127" s="46" t="s">
        <v>4574</v>
      </c>
      <c r="D1127" s="41" t="str">
        <f ca="1">IFERROR(__xludf.DUMMYFUNCTION("IFERROR(ARRAYFORMULA(REGEXEXTRACT(C1127,""^(?:https?:\/\/)?(?:[^@\n]+@)?(?:www\.)?([^:\/\n]+)"")),"""")"),"business.bataviachamber.org")</f>
        <v>business.bataviachamber.org</v>
      </c>
      <c r="E1127" s="26" t="str">
        <f ca="1">IFERROR(__xludf.DUMMYFUNCTION("""COMPUTED_VALUE"""),"New")</f>
        <v>New</v>
      </c>
      <c r="F1127" s="72">
        <v>37</v>
      </c>
      <c r="G1127" s="72">
        <v>2055</v>
      </c>
      <c r="P1127" s="26"/>
    </row>
    <row r="1128" spans="1:16" ht="14.5">
      <c r="A1128" s="3" t="s">
        <v>38</v>
      </c>
      <c r="B1128" s="8" t="s">
        <v>2813</v>
      </c>
      <c r="C1128" s="46" t="s">
        <v>4575</v>
      </c>
      <c r="D1128" s="41" t="str">
        <f ca="1">IFERROR(__xludf.DUMMYFUNCTION("IFERROR(ARRAYFORMULA(REGEXEXTRACT(C1128,""^(?:https?:\/\/)?(?:[^@\n]+@)?(?:www\.)?([^:\/\n]+)"")),"""")"),"morningjournal.com")</f>
        <v>morningjournal.com</v>
      </c>
      <c r="E1128" s="26" t="str">
        <f ca="1">IFERROR(__xludf.DUMMYFUNCTION("""COMPUTED_VALUE"""),"New")</f>
        <v>New</v>
      </c>
      <c r="F1128" s="72">
        <v>70</v>
      </c>
      <c r="G1128" s="72">
        <v>20338</v>
      </c>
      <c r="P1128" s="26"/>
    </row>
    <row r="1129" spans="1:16" ht="14.5">
      <c r="A1129" s="3" t="s">
        <v>38</v>
      </c>
      <c r="B1129" s="8" t="s">
        <v>2813</v>
      </c>
      <c r="C1129" s="49" t="s">
        <v>4576</v>
      </c>
      <c r="D1129" s="41" t="str">
        <f ca="1">IFERROR(__xludf.DUMMYFUNCTION("IFERROR(ARRAYFORMULA(REGEXEXTRACT(C1129,""^(?:https?:\/\/)?(?:[^@\n]+@)?(?:www\.)?([^:\/\n]+)"")),"""")"),"elyson.com")</f>
        <v>elyson.com</v>
      </c>
      <c r="E1129" s="26" t="str">
        <f ca="1">IFERROR(__xludf.DUMMYFUNCTION("""COMPUTED_VALUE"""),"New")</f>
        <v>New</v>
      </c>
      <c r="F1129" s="72">
        <v>34</v>
      </c>
      <c r="G1129" s="72">
        <v>2269</v>
      </c>
      <c r="J1129" s="27" t="s">
        <v>4577</v>
      </c>
      <c r="K1129" s="27" t="s">
        <v>4423</v>
      </c>
      <c r="L1129" s="112"/>
      <c r="M1129" s="27" t="s">
        <v>3117</v>
      </c>
      <c r="N1129" s="48">
        <v>46041</v>
      </c>
      <c r="O1129" s="48">
        <v>46083</v>
      </c>
      <c r="P1129" s="26"/>
    </row>
    <row r="1130" spans="1:16" ht="14.5">
      <c r="A1130" s="3" t="s">
        <v>38</v>
      </c>
      <c r="B1130" s="8" t="s">
        <v>2813</v>
      </c>
      <c r="C1130" s="46" t="s">
        <v>4578</v>
      </c>
      <c r="D1130" s="41" t="str">
        <f ca="1">IFERROR(__xludf.DUMMYFUNCTION("IFERROR(ARRAYFORMULA(REGEXEXTRACT(C1130,""^(?:https?:\/\/)?(?:[^@\n]+@)?(?:www\.)?([^:\/\n]+)"")),"""")"),"business.sanmarcostexas.com")</f>
        <v>business.sanmarcostexas.com</v>
      </c>
      <c r="E1130" s="26" t="str">
        <f ca="1">IFERROR(__xludf.DUMMYFUNCTION("""COMPUTED_VALUE"""),"New")</f>
        <v>New</v>
      </c>
      <c r="F1130" s="72">
        <v>42</v>
      </c>
      <c r="G1130" s="72">
        <v>1328</v>
      </c>
      <c r="P1130" s="26"/>
    </row>
    <row r="1131" spans="1:16" ht="14.5">
      <c r="A1131" s="3" t="s">
        <v>38</v>
      </c>
      <c r="B1131" s="8" t="s">
        <v>2813</v>
      </c>
      <c r="C1131" s="46" t="s">
        <v>4579</v>
      </c>
      <c r="D1131" s="41" t="str">
        <f ca="1">IFERROR(__xludf.DUMMYFUNCTION("IFERROR(ARRAYFORMULA(REGEXEXTRACT(C1131,""^(?:https?:\/\/)?(?:[^@\n]+@)?(?:www\.)?([^:\/\n]+)"")),"""")"),"windermere.com")</f>
        <v>windermere.com</v>
      </c>
      <c r="E1131" s="26" t="str">
        <f ca="1">IFERROR(__xludf.DUMMYFUNCTION("""COMPUTED_VALUE"""),"New")</f>
        <v>New</v>
      </c>
      <c r="F1131" s="72">
        <v>74</v>
      </c>
      <c r="G1131" s="72">
        <v>45347</v>
      </c>
      <c r="P1131" s="26"/>
    </row>
    <row r="1132" spans="1:16" ht="14.5">
      <c r="A1132" s="3" t="s">
        <v>38</v>
      </c>
      <c r="B1132" s="8" t="s">
        <v>2813</v>
      </c>
      <c r="C1132" s="46" t="s">
        <v>4580</v>
      </c>
      <c r="D1132" s="41" t="str">
        <f ca="1">IFERROR(__xludf.DUMMYFUNCTION("IFERROR(ARRAYFORMULA(REGEXEXTRACT(C1132,""^(?:https?:\/\/)?(?:[^@\n]+@)?(?:www\.)?([^:\/\n]+)"")),"""")"),"theatlantic.com")</f>
        <v>theatlantic.com</v>
      </c>
      <c r="E1132" s="26" t="str">
        <f ca="1">IFERROR(__xludf.DUMMYFUNCTION("""COMPUTED_VALUE"""),"New")</f>
        <v>New</v>
      </c>
      <c r="F1132" s="72">
        <v>91</v>
      </c>
      <c r="G1132" s="72">
        <v>563066</v>
      </c>
      <c r="P1132" s="26"/>
    </row>
    <row r="1133" spans="1:16" ht="14.5">
      <c r="A1133" s="3" t="s">
        <v>38</v>
      </c>
      <c r="B1133" s="8" t="s">
        <v>2813</v>
      </c>
      <c r="C1133" s="46" t="s">
        <v>4581</v>
      </c>
      <c r="D1133" s="41" t="str">
        <f ca="1">IFERROR(__xludf.DUMMYFUNCTION("IFERROR(ARRAYFORMULA(REGEXEXTRACT(C1133,""^(?:https?:\/\/)?(?:[^@\n]+@)?(?:www\.)?([^:\/\n]+)"")),"""")"),"ocregister.com")</f>
        <v>ocregister.com</v>
      </c>
      <c r="E1133" s="26" t="str">
        <f ca="1">IFERROR(__xludf.DUMMYFUNCTION("""COMPUTED_VALUE"""),"New")</f>
        <v>New</v>
      </c>
      <c r="F1133" s="72">
        <v>84</v>
      </c>
      <c r="G1133" s="72">
        <v>97795</v>
      </c>
      <c r="P1133" s="26"/>
    </row>
    <row r="1134" spans="1:16" ht="14.5">
      <c r="A1134" s="3" t="s">
        <v>38</v>
      </c>
      <c r="B1134" s="8" t="s">
        <v>2813</v>
      </c>
      <c r="C1134" s="46" t="s">
        <v>4582</v>
      </c>
      <c r="D1134" s="41" t="str">
        <f ca="1">IFERROR(__xludf.DUMMYFUNCTION("IFERROR(ARRAYFORMULA(REGEXEXTRACT(C1134,""^(?:https?:\/\/)?(?:[^@\n]+@)?(?:www\.)?([^:\/\n]+)"")),"""")"),"flatfeegroup.com")</f>
        <v>flatfeegroup.com</v>
      </c>
      <c r="E1134" s="26" t="str">
        <f ca="1">IFERROR(__xludf.DUMMYFUNCTION("""COMPUTED_VALUE"""),"New")</f>
        <v>New</v>
      </c>
      <c r="F1134" s="72">
        <v>29</v>
      </c>
      <c r="G1134" s="72">
        <v>1530</v>
      </c>
      <c r="P1134" s="26"/>
    </row>
    <row r="1135" spans="1:16" ht="14.5">
      <c r="A1135" s="3" t="s">
        <v>38</v>
      </c>
      <c r="B1135" s="8" t="s">
        <v>2813</v>
      </c>
      <c r="C1135" s="46" t="s">
        <v>4583</v>
      </c>
      <c r="D1135" s="41" t="str">
        <f ca="1">IFERROR(__xludf.DUMMYFUNCTION("IFERROR(ARRAYFORMULA(REGEXEXTRACT(C1135,""^(?:https?:\/\/)?(?:[^@\n]+@)?(?:www\.)?([^:\/\n]+)"")),"""")"),"cnnpressroom.blogs.cnn.com")</f>
        <v>cnnpressroom.blogs.cnn.com</v>
      </c>
      <c r="E1135" s="26" t="str">
        <f ca="1">IFERROR(__xludf.DUMMYFUNCTION("""COMPUTED_VALUE"""),"New")</f>
        <v>New</v>
      </c>
      <c r="F1135" s="72">
        <v>93</v>
      </c>
      <c r="G1135" s="72">
        <v>38063660</v>
      </c>
      <c r="P1135" s="26"/>
    </row>
    <row r="1136" spans="1:16" ht="14.5">
      <c r="A1136" s="3" t="s">
        <v>38</v>
      </c>
      <c r="B1136" s="8" t="s">
        <v>2813</v>
      </c>
      <c r="C1136" s="46" t="s">
        <v>4584</v>
      </c>
      <c r="D1136" s="41" t="str">
        <f ca="1">IFERROR(__xludf.DUMMYFUNCTION("IFERROR(ARRAYFORMULA(REGEXEXTRACT(C1136,""^(?:https?:\/\/)?(?:[^@\n]+@)?(?:www\.)?([^:\/\n]+)"")),"""")"),"computerworld.com")</f>
        <v>computerworld.com</v>
      </c>
      <c r="E1136" s="26" t="str">
        <f ca="1">IFERROR(__xludf.DUMMYFUNCTION("""COMPUTED_VALUE"""),"New")</f>
        <v>New</v>
      </c>
      <c r="F1136" s="72">
        <v>88</v>
      </c>
      <c r="G1136" s="72">
        <v>61610</v>
      </c>
      <c r="P1136" s="26"/>
    </row>
    <row r="1137" spans="1:16" ht="14.5">
      <c r="A1137" s="3" t="s">
        <v>38</v>
      </c>
      <c r="B1137" s="8" t="s">
        <v>2813</v>
      </c>
      <c r="C1137" s="46" t="s">
        <v>4585</v>
      </c>
      <c r="D1137" s="41" t="str">
        <f ca="1">IFERROR(__xludf.DUMMYFUNCTION("IFERROR(ARRAYFORMULA(REGEXEXTRACT(C1137,""^(?:https?:\/\/)?(?:[^@\n]+@)?(?:www\.)?([^:\/\n]+)"")),"""")"),"pressenterprise.com")</f>
        <v>pressenterprise.com</v>
      </c>
      <c r="E1137" s="26" t="str">
        <f ca="1">IFERROR(__xludf.DUMMYFUNCTION("""COMPUTED_VALUE"""),"New")</f>
        <v>New</v>
      </c>
      <c r="F1137" s="72">
        <v>68</v>
      </c>
      <c r="G1137" s="72">
        <v>20882</v>
      </c>
      <c r="P1137" s="26"/>
    </row>
    <row r="1138" spans="1:16" ht="14.5">
      <c r="A1138" s="3" t="s">
        <v>38</v>
      </c>
      <c r="B1138" s="8" t="s">
        <v>2813</v>
      </c>
      <c r="C1138" s="46" t="s">
        <v>4586</v>
      </c>
      <c r="D1138" s="41" t="str">
        <f ca="1">IFERROR(__xludf.DUMMYFUNCTION("IFERROR(ARRAYFORMULA(REGEXEXTRACT(C1138,""^(?:https?:\/\/)?(?:[^@\n]+@)?(?:www\.)?([^:\/\n]+)"")),"""")"),"finance-commerce.com")</f>
        <v>finance-commerce.com</v>
      </c>
      <c r="E1138" s="26" t="str">
        <f ca="1">IFERROR(__xludf.DUMMYFUNCTION("""COMPUTED_VALUE"""),"New")</f>
        <v>New</v>
      </c>
      <c r="F1138" s="72">
        <v>72</v>
      </c>
      <c r="G1138" s="72">
        <v>3824</v>
      </c>
      <c r="P1138" s="26"/>
    </row>
    <row r="1139" spans="1:16" ht="14.5">
      <c r="A1139" s="3" t="s">
        <v>38</v>
      </c>
      <c r="B1139" s="8" t="s">
        <v>2813</v>
      </c>
      <c r="C1139" s="46" t="s">
        <v>4587</v>
      </c>
      <c r="D1139" s="41" t="str">
        <f ca="1">IFERROR(__xludf.DUMMYFUNCTION("IFERROR(ARRAYFORMULA(REGEXEXTRACT(C1139,""^(?:https?:\/\/)?(?:[^@\n]+@)?(?:www\.)?([^:\/\n]+)"")),"""")"),"nevadabusiness.com")</f>
        <v>nevadabusiness.com</v>
      </c>
      <c r="E1139" s="26" t="str">
        <f ca="1">IFERROR(__xludf.DUMMYFUNCTION("""COMPUTED_VALUE"""),"New")</f>
        <v>New</v>
      </c>
      <c r="F1139" s="72">
        <v>66</v>
      </c>
      <c r="G1139" s="72">
        <v>2417</v>
      </c>
      <c r="P1139" s="26"/>
    </row>
    <row r="1140" spans="1:16" ht="14.5">
      <c r="A1140" s="3" t="s">
        <v>38</v>
      </c>
      <c r="B1140" s="8" t="s">
        <v>2813</v>
      </c>
      <c r="C1140" s="46" t="s">
        <v>4588</v>
      </c>
      <c r="D1140" s="41" t="str">
        <f ca="1">IFERROR(__xludf.DUMMYFUNCTION("IFERROR(ARRAYFORMULA(REGEXEXTRACT(C1140,""^(?:https?:\/\/)?(?:[^@\n]+@)?(?:www\.)?([^:\/\n]+)"")),"""")"),"pickleheads.com")</f>
        <v>pickleheads.com</v>
      </c>
      <c r="E1140" s="26" t="str">
        <f ca="1">IFERROR(__xludf.DUMMYFUNCTION("""COMPUTED_VALUE"""),"New")</f>
        <v>New</v>
      </c>
      <c r="F1140" s="72">
        <v>72</v>
      </c>
      <c r="G1140" s="72">
        <v>251173</v>
      </c>
      <c r="P1140" s="26"/>
    </row>
    <row r="1141" spans="1:16" ht="14.5">
      <c r="A1141" s="3" t="s">
        <v>38</v>
      </c>
      <c r="B1141" s="8" t="s">
        <v>2813</v>
      </c>
      <c r="C1141" s="46" t="s">
        <v>4589</v>
      </c>
      <c r="D1141" s="41" t="str">
        <f ca="1">IFERROR(__xludf.DUMMYFUNCTION("IFERROR(ARRAYFORMULA(REGEXEXTRACT(C1141,""^(?:https?:\/\/)?(?:[^@\n]+@)?(?:www\.)?([^:\/\n]+)"")),"""")"),"dandb.com")</f>
        <v>dandb.com</v>
      </c>
      <c r="E1141" s="26" t="str">
        <f ca="1">IFERROR(__xludf.DUMMYFUNCTION("""COMPUTED_VALUE"""),"New")</f>
        <v>New</v>
      </c>
      <c r="F1141" s="72">
        <v>76</v>
      </c>
      <c r="G1141" s="72">
        <v>3706</v>
      </c>
      <c r="P1141" s="26"/>
    </row>
    <row r="1142" spans="1:16" ht="14.5">
      <c r="A1142" s="3" t="s">
        <v>38</v>
      </c>
      <c r="B1142" s="8" t="s">
        <v>2813</v>
      </c>
      <c r="C1142" s="46" t="s">
        <v>4590</v>
      </c>
      <c r="D1142" s="41" t="str">
        <f ca="1">IFERROR(__xludf.DUMMYFUNCTION("IFERROR(ARRAYFORMULA(REGEXEXTRACT(C1142,""^(?:https?:\/\/)?(?:[^@\n]+@)?(?:www\.)?([^:\/\n]+)"")),"""")"),"thedailybeast.com")</f>
        <v>thedailybeast.com</v>
      </c>
      <c r="E1142" s="26" t="str">
        <f ca="1">IFERROR(__xludf.DUMMYFUNCTION("""COMPUTED_VALUE"""),"New")</f>
        <v>New</v>
      </c>
      <c r="F1142" s="72">
        <v>88</v>
      </c>
      <c r="G1142" s="72">
        <v>1951685</v>
      </c>
      <c r="P1142" s="26"/>
    </row>
    <row r="1143" spans="1:16" ht="14.5">
      <c r="A1143" s="3" t="s">
        <v>38</v>
      </c>
      <c r="B1143" s="8" t="s">
        <v>2813</v>
      </c>
      <c r="C1143" s="46" t="s">
        <v>4591</v>
      </c>
      <c r="D1143" s="41" t="str">
        <f ca="1">IFERROR(__xludf.DUMMYFUNCTION("IFERROR(ARRAYFORMULA(REGEXEXTRACT(C1143,""^(?:https?:\/\/)?(?:[^@\n]+@)?(?:www\.)?([^:\/\n]+)"")),"""")"),"forum.atlanta168.com")</f>
        <v>forum.atlanta168.com</v>
      </c>
      <c r="E1143" s="26" t="str">
        <f ca="1">IFERROR(__xludf.DUMMYFUNCTION("""COMPUTED_VALUE"""),"New")</f>
        <v>New</v>
      </c>
      <c r="F1143" s="72">
        <v>20</v>
      </c>
      <c r="G1143" s="72">
        <v>1252</v>
      </c>
      <c r="P1143" s="26"/>
    </row>
    <row r="1144" spans="1:16" ht="14.5">
      <c r="A1144" s="3" t="s">
        <v>38</v>
      </c>
      <c r="B1144" s="8" t="s">
        <v>2813</v>
      </c>
      <c r="C1144" s="46" t="s">
        <v>4592</v>
      </c>
      <c r="D1144" s="41" t="str">
        <f ca="1">IFERROR(__xludf.DUMMYFUNCTION("IFERROR(ARRAYFORMULA(REGEXEXTRACT(C1144,""^(?:https?:\/\/)?(?:[^@\n]+@)?(?:www\.)?([^:\/\n]+)"")),"""")"),"sandiegouniontribune.com")</f>
        <v>sandiegouniontribune.com</v>
      </c>
      <c r="E1144" s="26" t="str">
        <f ca="1">IFERROR(__xludf.DUMMYFUNCTION("""COMPUTED_VALUE"""),"New")</f>
        <v>New</v>
      </c>
      <c r="F1144" s="72">
        <v>86</v>
      </c>
      <c r="G1144" s="72">
        <v>99688</v>
      </c>
      <c r="P1144" s="26"/>
    </row>
    <row r="1145" spans="1:16" ht="14.5">
      <c r="A1145" s="3" t="s">
        <v>38</v>
      </c>
      <c r="B1145" s="8" t="s">
        <v>2813</v>
      </c>
      <c r="C1145" s="46" t="s">
        <v>4593</v>
      </c>
      <c r="D1145" s="41" t="str">
        <f ca="1">IFERROR(__xludf.DUMMYFUNCTION("IFERROR(ARRAYFORMULA(REGEXEXTRACT(C1145,""^(?:https?:\/\/)?(?:[^@\n]+@)?(?:www\.)?([^:\/\n]+)"")),"""")"),"longbeachtownship.com")</f>
        <v>longbeachtownship.com</v>
      </c>
      <c r="E1145" s="26" t="str">
        <f ca="1">IFERROR(__xludf.DUMMYFUNCTION("""COMPUTED_VALUE"""),"New")</f>
        <v>New</v>
      </c>
      <c r="F1145" s="72">
        <v>36</v>
      </c>
      <c r="G1145" s="72">
        <v>2156</v>
      </c>
      <c r="P1145" s="26"/>
    </row>
    <row r="1146" spans="1:16" ht="14.5">
      <c r="A1146" s="3" t="s">
        <v>38</v>
      </c>
      <c r="B1146" s="8" t="s">
        <v>2813</v>
      </c>
      <c r="C1146" s="46" t="s">
        <v>4594</v>
      </c>
      <c r="D1146" s="41" t="str">
        <f ca="1">IFERROR(__xludf.DUMMYFUNCTION("IFERROR(ARRAYFORMULA(REGEXEXTRACT(C1146,""^(?:https?:\/\/)?(?:[^@\n]+@)?(?:www\.)?([^:\/\n]+)"")),"""")"),"kristinrowley.santafeproperties.com")</f>
        <v>kristinrowley.santafeproperties.com</v>
      </c>
      <c r="E1146" s="26" t="str">
        <f ca="1">IFERROR(__xludf.DUMMYFUNCTION("""COMPUTED_VALUE"""),"New")</f>
        <v>New</v>
      </c>
      <c r="F1146" s="72">
        <v>32</v>
      </c>
      <c r="G1146" s="72">
        <v>2036</v>
      </c>
      <c r="P1146" s="26"/>
    </row>
    <row r="1147" spans="1:16" ht="14.5">
      <c r="A1147" s="3" t="s">
        <v>38</v>
      </c>
      <c r="B1147" s="8" t="s">
        <v>2813</v>
      </c>
      <c r="C1147" s="46" t="s">
        <v>4595</v>
      </c>
      <c r="D1147" s="41" t="str">
        <f ca="1">IFERROR(__xludf.DUMMYFUNCTION("IFERROR(ARRAYFORMULA(REGEXEXTRACT(C1147,""^(?:https?:\/\/)?(?:[^@\n]+@)?(?:www\.)?([^:\/\n]+)"")),"""")"),"skyscraperpage.com")</f>
        <v>skyscraperpage.com</v>
      </c>
      <c r="E1147" s="26" t="str">
        <f ca="1">IFERROR(__xludf.DUMMYFUNCTION("""COMPUTED_VALUE"""),"New")</f>
        <v>New</v>
      </c>
      <c r="F1147" s="72">
        <v>60</v>
      </c>
      <c r="G1147" s="72">
        <v>10422</v>
      </c>
      <c r="P1147" s="26"/>
    </row>
    <row r="1148" spans="1:16" ht="14.5">
      <c r="A1148" s="3" t="s">
        <v>38</v>
      </c>
      <c r="B1148" s="8" t="s">
        <v>2813</v>
      </c>
      <c r="C1148" s="46" t="s">
        <v>4596</v>
      </c>
      <c r="D1148" s="41" t="str">
        <f ca="1">IFERROR(__xludf.DUMMYFUNCTION("IFERROR(ARRAYFORMULA(REGEXEXTRACT(C1148,""^(?:https?:\/\/)?(?:[^@\n]+@)?(?:www\.)?([^:\/\n]+)"")),"""")"),"georgia.org")</f>
        <v>georgia.org</v>
      </c>
      <c r="E1148" s="26" t="str">
        <f ca="1">IFERROR(__xludf.DUMMYFUNCTION("""COMPUTED_VALUE"""),"New")</f>
        <v>New</v>
      </c>
      <c r="F1148" s="72">
        <v>76</v>
      </c>
      <c r="G1148" s="72">
        <v>25576</v>
      </c>
      <c r="P1148" s="26"/>
    </row>
    <row r="1149" spans="1:16" ht="14.5">
      <c r="A1149" s="3" t="s">
        <v>38</v>
      </c>
      <c r="B1149" s="8" t="s">
        <v>2813</v>
      </c>
      <c r="C1149" s="46" t="s">
        <v>4597</v>
      </c>
      <c r="D1149" s="41" t="str">
        <f ca="1">IFERROR(__xludf.DUMMYFUNCTION("IFERROR(ARRAYFORMULA(REGEXEXTRACT(C1149,""^(?:https?:\/\/)?(?:[^@\n]+@)?(?:www\.)?([^:\/\n]+)"")),"""")"),"opendoor.com")</f>
        <v>opendoor.com</v>
      </c>
      <c r="E1149" s="26" t="str">
        <f ca="1">IFERROR(__xludf.DUMMYFUNCTION("""COMPUTED_VALUE"""),"New")</f>
        <v>New</v>
      </c>
      <c r="F1149" s="72">
        <v>75</v>
      </c>
      <c r="G1149" s="72">
        <v>309313</v>
      </c>
      <c r="P1149" s="26"/>
    </row>
    <row r="1150" spans="1:16" ht="14.5">
      <c r="A1150" s="3" t="s">
        <v>38</v>
      </c>
      <c r="B1150" s="8" t="s">
        <v>2813</v>
      </c>
      <c r="C1150" s="46" t="s">
        <v>4598</v>
      </c>
      <c r="D1150" s="41" t="str">
        <f ca="1">IFERROR(__xludf.DUMMYFUNCTION("IFERROR(ARRAYFORMULA(REGEXEXTRACT(C1150,""^(?:https?:\/\/)?(?:[^@\n]+@)?(?:www\.)?([^:\/\n]+)"")),"""")"),"listings.homestead.com")</f>
        <v>listings.homestead.com</v>
      </c>
      <c r="E1150" s="26" t="str">
        <f ca="1">IFERROR(__xludf.DUMMYFUNCTION("""COMPUTED_VALUE"""),"New")</f>
        <v>New</v>
      </c>
      <c r="F1150" s="72">
        <v>91</v>
      </c>
      <c r="G1150" s="72">
        <v>6941</v>
      </c>
      <c r="P1150" s="26"/>
    </row>
    <row r="1151" spans="1:16" ht="14.5">
      <c r="A1151" s="3" t="s">
        <v>38</v>
      </c>
      <c r="B1151" s="8" t="s">
        <v>2813</v>
      </c>
      <c r="C1151" s="46" t="s">
        <v>4599</v>
      </c>
      <c r="D1151" s="41" t="str">
        <f ca="1">IFERROR(__xludf.DUMMYFUNCTION("IFERROR(ARRAYFORMULA(REGEXEXTRACT(C1151,""^(?:https?:\/\/)?(?:[^@\n]+@)?(?:www\.)?([^:\/\n]+)"")),"""")"),"coventryhomes.com")</f>
        <v>coventryhomes.com</v>
      </c>
      <c r="E1151" s="26" t="str">
        <f ca="1">IFERROR(__xludf.DUMMYFUNCTION("""COMPUTED_VALUE"""),"New")</f>
        <v>New</v>
      </c>
      <c r="F1151" s="72">
        <v>46</v>
      </c>
      <c r="G1151" s="72">
        <v>15345</v>
      </c>
      <c r="P1151" s="26"/>
    </row>
    <row r="1152" spans="1:16" ht="14.5">
      <c r="A1152" s="3" t="s">
        <v>38</v>
      </c>
      <c r="B1152" s="8" t="s">
        <v>2813</v>
      </c>
      <c r="C1152" s="46" t="s">
        <v>4600</v>
      </c>
      <c r="D1152" s="41" t="str">
        <f ca="1">IFERROR(__xludf.DUMMYFUNCTION("IFERROR(ARRAYFORMULA(REGEXEXTRACT(C1152,""^(?:https?:\/\/)?(?:[^@\n]+@)?(?:www\.)?([^:\/\n]+)"")),"""")"),"abqjournal.com")</f>
        <v>abqjournal.com</v>
      </c>
      <c r="E1152" s="26" t="str">
        <f ca="1">IFERROR(__xludf.DUMMYFUNCTION("""COMPUTED_VALUE"""),"New")</f>
        <v>New</v>
      </c>
      <c r="F1152" s="72">
        <v>80</v>
      </c>
      <c r="G1152" s="72">
        <v>59471</v>
      </c>
      <c r="P1152" s="26"/>
    </row>
    <row r="1153" spans="1:16" ht="14.5">
      <c r="A1153" s="3" t="s">
        <v>38</v>
      </c>
      <c r="B1153" s="8" t="s">
        <v>2813</v>
      </c>
      <c r="C1153" s="46" t="s">
        <v>4601</v>
      </c>
      <c r="D1153" s="41" t="str">
        <f ca="1">IFERROR(__xludf.DUMMYFUNCTION("IFERROR(ARRAYFORMULA(REGEXEXTRACT(C1153,""^(?:https?:\/\/)?(?:[^@\n]+@)?(?:www\.)?([^:\/\n]+)"")),"""")"),"builtin.com")</f>
        <v>builtin.com</v>
      </c>
      <c r="E1153" s="26" t="str">
        <f ca="1">IFERROR(__xludf.DUMMYFUNCTION("""COMPUTED_VALUE"""),"New")</f>
        <v>New</v>
      </c>
      <c r="F1153" s="72">
        <v>86</v>
      </c>
      <c r="G1153" s="72">
        <v>878428</v>
      </c>
      <c r="P1153" s="26"/>
    </row>
    <row r="1154" spans="1:16" ht="14.5">
      <c r="A1154" s="3" t="s">
        <v>38</v>
      </c>
      <c r="B1154" s="8" t="s">
        <v>2813</v>
      </c>
      <c r="C1154" s="46" t="s">
        <v>4602</v>
      </c>
      <c r="D1154" s="41" t="str">
        <f ca="1">IFERROR(__xludf.DUMMYFUNCTION("IFERROR(ARRAYFORMULA(REGEXEXTRACT(C1154,""^(?:https?:\/\/)?(?:[^@\n]+@)?(?:www\.)?([^:\/\n]+)"")),"""")"),"storymaps.arcgis.com")</f>
        <v>storymaps.arcgis.com</v>
      </c>
      <c r="E1154" s="26" t="str">
        <f ca="1">IFERROR(__xludf.DUMMYFUNCTION("""COMPUTED_VALUE"""),"New")</f>
        <v>New</v>
      </c>
      <c r="F1154" s="72">
        <v>92</v>
      </c>
      <c r="G1154" s="72">
        <v>2070219</v>
      </c>
      <c r="P1154" s="26"/>
    </row>
    <row r="1155" spans="1:16" ht="14.5">
      <c r="A1155" s="3" t="s">
        <v>38</v>
      </c>
      <c r="B1155" s="8" t="s">
        <v>2813</v>
      </c>
      <c r="C1155" s="46" t="s">
        <v>4603</v>
      </c>
      <c r="D1155" s="41" t="str">
        <f ca="1">IFERROR(__xludf.DUMMYFUNCTION("IFERROR(ARRAYFORMULA(REGEXEXTRACT(C1155,""^(?:https?:\/\/)?(?:[^@\n]+@)?(?:www\.)?([^:\/\n]+)"")),"""")"),"sarasotamagazine.com")</f>
        <v>sarasotamagazine.com</v>
      </c>
      <c r="E1155" s="26" t="str">
        <f ca="1">IFERROR(__xludf.DUMMYFUNCTION("""COMPUTED_VALUE"""),"New")</f>
        <v>New</v>
      </c>
      <c r="F1155" s="72">
        <v>73</v>
      </c>
      <c r="G1155" s="72">
        <v>49056</v>
      </c>
      <c r="P1155" s="26"/>
    </row>
    <row r="1156" spans="1:16" ht="14.5">
      <c r="A1156" s="3" t="s">
        <v>38</v>
      </c>
      <c r="B1156" s="8" t="s">
        <v>2813</v>
      </c>
      <c r="C1156" s="46" t="s">
        <v>4604</v>
      </c>
      <c r="D1156" s="41" t="str">
        <f ca="1">IFERROR(__xludf.DUMMYFUNCTION("IFERROR(ARRAYFORMULA(REGEXEXTRACT(C1156,""^(?:https?:\/\/)?(?:[^@\n]+@)?(?:www\.)?([^:\/\n]+)"")),"""")"),"press.offerpad.com")</f>
        <v>press.offerpad.com</v>
      </c>
      <c r="E1156" s="26" t="str">
        <f ca="1">IFERROR(__xludf.DUMMYFUNCTION("""COMPUTED_VALUE"""),"New")</f>
        <v>New</v>
      </c>
      <c r="F1156" s="72">
        <v>59</v>
      </c>
      <c r="G1156" s="72">
        <v>40442</v>
      </c>
      <c r="P1156" s="26"/>
    </row>
    <row r="1157" spans="1:16" ht="14.5">
      <c r="A1157" s="3" t="s">
        <v>38</v>
      </c>
      <c r="B1157" s="8" t="s">
        <v>2813</v>
      </c>
      <c r="C1157" s="46" t="s">
        <v>4605</v>
      </c>
      <c r="D1157" s="41" t="str">
        <f ca="1">IFERROR(__xludf.DUMMYFUNCTION("IFERROR(ARRAYFORMULA(REGEXEXTRACT(C1157,""^(?:https?:\/\/)?(?:[^@\n]+@)?(?:www\.)?([^:\/\n]+)"")),"""")"),"communityimpact.com")</f>
        <v>communityimpact.com</v>
      </c>
      <c r="E1157" s="26" t="str">
        <f ca="1">IFERROR(__xludf.DUMMYFUNCTION("""COMPUTED_VALUE"""),"New")</f>
        <v>New</v>
      </c>
      <c r="F1157" s="72">
        <v>79</v>
      </c>
      <c r="G1157" s="72">
        <v>57837</v>
      </c>
      <c r="P1157" s="26"/>
    </row>
    <row r="1158" spans="1:16" ht="14.5">
      <c r="A1158" s="3" t="s">
        <v>38</v>
      </c>
      <c r="B1158" s="8" t="s">
        <v>2813</v>
      </c>
      <c r="C1158" s="46" t="s">
        <v>4606</v>
      </c>
      <c r="D1158" s="41" t="str">
        <f ca="1">IFERROR(__xludf.DUMMYFUNCTION("IFERROR(ARRAYFORMULA(REGEXEXTRACT(C1158,""^(?:https?:\/\/)?(?:[^@\n]+@)?(?:www\.)?([^:\/\n]+)"")),"""")"),"raveis.com")</f>
        <v>raveis.com</v>
      </c>
      <c r="E1158" s="26" t="str">
        <f ca="1">IFERROR(__xludf.DUMMYFUNCTION("""COMPUTED_VALUE"""),"New")</f>
        <v>New</v>
      </c>
      <c r="F1158" s="72">
        <v>70</v>
      </c>
      <c r="G1158" s="72">
        <v>17236</v>
      </c>
      <c r="P1158" s="26"/>
    </row>
    <row r="1159" spans="1:16" ht="14.5">
      <c r="A1159" s="3" t="s">
        <v>38</v>
      </c>
      <c r="B1159" s="8" t="s">
        <v>2813</v>
      </c>
      <c r="C1159" s="46" t="s">
        <v>4607</v>
      </c>
      <c r="D1159" s="41" t="str">
        <f ca="1">IFERROR(__xludf.DUMMYFUNCTION("IFERROR(ARRAYFORMULA(REGEXEXTRACT(C1159,""^(?:https?:\/\/)?(?:[^@\n]+@)?(?:www\.)?([^:\/\n]+)"")),"""")"),"hersindex.com")</f>
        <v>hersindex.com</v>
      </c>
      <c r="E1159" s="26" t="str">
        <f ca="1">IFERROR(__xludf.DUMMYFUNCTION("""COMPUTED_VALUE"""),"New")</f>
        <v>New</v>
      </c>
      <c r="F1159" s="72">
        <v>71</v>
      </c>
      <c r="G1159" s="72">
        <v>1265</v>
      </c>
      <c r="P1159" s="26"/>
    </row>
    <row r="1160" spans="1:16" ht="14.5">
      <c r="A1160" s="3" t="s">
        <v>38</v>
      </c>
      <c r="B1160" s="8" t="s">
        <v>2813</v>
      </c>
      <c r="C1160" s="46" t="s">
        <v>4608</v>
      </c>
      <c r="D1160" s="41" t="str">
        <f ca="1">IFERROR(__xludf.DUMMYFUNCTION("IFERROR(ARRAYFORMULA(REGEXEXTRACT(C1160,""^(?:https?:\/\/)?(?:[^@\n]+@)?(?:www\.)?([^:\/\n]+)"")),"""")"),"nctv17.org")</f>
        <v>nctv17.org</v>
      </c>
      <c r="E1160" s="26" t="str">
        <f ca="1">IFERROR(__xludf.DUMMYFUNCTION("""COMPUTED_VALUE"""),"New")</f>
        <v>New</v>
      </c>
      <c r="F1160" s="72">
        <v>52</v>
      </c>
      <c r="G1160" s="72">
        <v>6104</v>
      </c>
      <c r="P1160" s="26"/>
    </row>
    <row r="1161" spans="1:16" ht="14.5">
      <c r="A1161" s="3" t="s">
        <v>38</v>
      </c>
      <c r="B1161" s="8" t="s">
        <v>2813</v>
      </c>
      <c r="C1161" s="46" t="s">
        <v>4609</v>
      </c>
      <c r="D1161" s="41" t="str">
        <f ca="1">IFERROR(__xludf.DUMMYFUNCTION("IFERROR(ARRAYFORMULA(REGEXEXTRACT(C1161,""^(?:https?:\/\/)?(?:[^@\n]+@)?(?:www\.)?([^:\/\n]+)"")),"""")"),"ajc.com")</f>
        <v>ajc.com</v>
      </c>
      <c r="E1161" s="26" t="str">
        <f ca="1">IFERROR(__xludf.DUMMYFUNCTION("""COMPUTED_VALUE"""),"New")</f>
        <v>New</v>
      </c>
      <c r="F1161" s="72">
        <v>86</v>
      </c>
      <c r="G1161" s="72">
        <v>430441</v>
      </c>
      <c r="P1161" s="26"/>
    </row>
    <row r="1162" spans="1:16" ht="14.5">
      <c r="A1162" s="3" t="s">
        <v>38</v>
      </c>
      <c r="B1162" s="8" t="s">
        <v>2813</v>
      </c>
      <c r="C1162" s="46" t="s">
        <v>4610</v>
      </c>
      <c r="D1162" s="41" t="str">
        <f ca="1">IFERROR(__xludf.DUMMYFUNCTION("IFERROR(ARRAYFORMULA(REGEXEXTRACT(C1162,""^(?:https?:\/\/)?(?:[^@\n]+@)?(?:www\.)?([^:\/\n]+)"")),"""")"),"orchard.com")</f>
        <v>orchard.com</v>
      </c>
      <c r="E1162" s="26" t="str">
        <f ca="1">IFERROR(__xludf.DUMMYFUNCTION("""COMPUTED_VALUE"""),"New")</f>
        <v>New</v>
      </c>
      <c r="F1162" s="72">
        <v>62</v>
      </c>
      <c r="G1162" s="72">
        <v>29976</v>
      </c>
      <c r="P1162" s="26"/>
    </row>
    <row r="1163" spans="1:16" ht="14.5">
      <c r="A1163" s="3" t="s">
        <v>38</v>
      </c>
      <c r="B1163" s="8" t="s">
        <v>2813</v>
      </c>
      <c r="C1163" s="46" t="s">
        <v>4611</v>
      </c>
      <c r="D1163" s="41" t="str">
        <f ca="1">IFERROR(__xludf.DUMMYFUNCTION("IFERROR(ARRAYFORMULA(REGEXEXTRACT(C1163,""^(?:https?:\/\/)?(?:[^@\n]+@)?(?:www\.)?([^:\/\n]+)"")),"""")"),"metroparent.com")</f>
        <v>metroparent.com</v>
      </c>
      <c r="E1163" s="26" t="str">
        <f ca="1">IFERROR(__xludf.DUMMYFUNCTION("""COMPUTED_VALUE"""),"New")</f>
        <v>New</v>
      </c>
      <c r="F1163" s="72">
        <v>62</v>
      </c>
      <c r="G1163" s="72">
        <v>13526</v>
      </c>
      <c r="P1163" s="26"/>
    </row>
    <row r="1164" spans="1:16" ht="14.5" hidden="1">
      <c r="A1164" s="3" t="s">
        <v>38</v>
      </c>
      <c r="B1164" s="8" t="s">
        <v>2813</v>
      </c>
      <c r="C1164" s="46" t="s">
        <v>4612</v>
      </c>
      <c r="D1164" s="41" t="str">
        <f ca="1">IFERROR(__xludf.DUMMYFUNCTION("IFERROR(ARRAYFORMULA(REGEXEXTRACT(C1164,""^(?:https?:\/\/)?(?:[^@\n]+@)?(?:www\.)?([^:\/\n]+)"")),"""")"),"nashvillesmls.com")</f>
        <v>nashvillesmls.com</v>
      </c>
      <c r="E1164" s="26" t="str">
        <f ca="1">IFERROR(__xludf.DUMMYFUNCTION("""COMPUTED_VALUE"""),"Already Exists")</f>
        <v>Already Exists</v>
      </c>
      <c r="F1164" s="72">
        <v>53</v>
      </c>
      <c r="G1164" s="72">
        <v>31209</v>
      </c>
    </row>
    <row r="1165" spans="1:16" ht="14.5">
      <c r="A1165" s="3" t="s">
        <v>38</v>
      </c>
      <c r="B1165" s="8" t="s">
        <v>2813</v>
      </c>
      <c r="C1165" s="49" t="s">
        <v>4613</v>
      </c>
      <c r="D1165" s="41" t="str">
        <f ca="1">IFERROR(__xludf.DUMMYFUNCTION("IFERROR(ARRAYFORMULA(REGEXEXTRACT(C1165,""^(?:https?:\/\/)?(?:[^@\n]+@)?(?:www\.)?([^:\/\n]+)"")),"""")"),"alamedapost.com")</f>
        <v>alamedapost.com</v>
      </c>
      <c r="E1165" s="26" t="str">
        <f ca="1">IFERROR(__xludf.DUMMYFUNCTION("""COMPUTED_VALUE"""),"New")</f>
        <v>New</v>
      </c>
      <c r="F1165" s="72">
        <v>60</v>
      </c>
      <c r="G1165" s="72">
        <v>4720</v>
      </c>
      <c r="I1165" s="27" t="s">
        <v>4614</v>
      </c>
      <c r="J1165" s="27" t="s">
        <v>4615</v>
      </c>
      <c r="K1165" s="27" t="s">
        <v>3772</v>
      </c>
      <c r="L1165" s="112"/>
      <c r="M1165" s="27" t="s">
        <v>3117</v>
      </c>
      <c r="N1165" s="48">
        <v>46041</v>
      </c>
      <c r="O1165" s="48">
        <v>46083</v>
      </c>
      <c r="P1165" s="26"/>
    </row>
    <row r="1166" spans="1:16" ht="14.5">
      <c r="A1166" s="3" t="s">
        <v>38</v>
      </c>
      <c r="B1166" s="8" t="s">
        <v>2813</v>
      </c>
      <c r="C1166" s="46" t="s">
        <v>4616</v>
      </c>
      <c r="D1166" s="41" t="str">
        <f ca="1">IFERROR(__xludf.DUMMYFUNCTION("IFERROR(ARRAYFORMULA(REGEXEXTRACT(C1166,""^(?:https?:\/\/)?(?:[^@\n]+@)?(?:www\.)?([^:\/\n]+)"")),"""")"),"lyft.com")</f>
        <v>lyft.com</v>
      </c>
      <c r="E1166" s="26" t="str">
        <f ca="1">IFERROR(__xludf.DUMMYFUNCTION("""COMPUTED_VALUE"""),"New")</f>
        <v>New</v>
      </c>
      <c r="F1166" s="72">
        <v>86</v>
      </c>
      <c r="G1166" s="72">
        <v>666045</v>
      </c>
      <c r="P1166" s="26"/>
    </row>
    <row r="1167" spans="1:16" ht="14.5">
      <c r="A1167" s="3" t="s">
        <v>38</v>
      </c>
      <c r="B1167" s="8" t="s">
        <v>2813</v>
      </c>
      <c r="C1167" s="46" t="s">
        <v>4617</v>
      </c>
      <c r="D1167" s="41" t="str">
        <f ca="1">IFERROR(__xludf.DUMMYFUNCTION("IFERROR(ARRAYFORMULA(REGEXEXTRACT(C1167,""^(?:https?:\/\/)?(?:[^@\n]+@)?(?:www\.)?([^:\/\n]+)"")),"""")"),"bridgemi.com")</f>
        <v>bridgemi.com</v>
      </c>
      <c r="E1167" s="26" t="str">
        <f ca="1">IFERROR(__xludf.DUMMYFUNCTION("""COMPUTED_VALUE"""),"New")</f>
        <v>New</v>
      </c>
      <c r="F1167" s="72">
        <v>75</v>
      </c>
      <c r="G1167" s="72">
        <v>122625</v>
      </c>
      <c r="P1167" s="26"/>
    </row>
    <row r="1168" spans="1:16" ht="14.5">
      <c r="A1168" s="3" t="s">
        <v>38</v>
      </c>
      <c r="B1168" s="8" t="s">
        <v>2813</v>
      </c>
      <c r="C1168" s="46" t="s">
        <v>4618</v>
      </c>
      <c r="D1168" s="41" t="str">
        <f ca="1">IFERROR(__xludf.DUMMYFUNCTION("IFERROR(ARRAYFORMULA(REGEXEXTRACT(C1168,""^(?:https?:\/\/)?(?:[^@\n]+@)?(?:www\.)?([^:\/\n]+)"")),"""")"),"newsuburb.tripod.com")</f>
        <v>newsuburb.tripod.com</v>
      </c>
      <c r="E1168" s="26" t="str">
        <f ca="1">IFERROR(__xludf.DUMMYFUNCTION("""COMPUTED_VALUE"""),"New")</f>
        <v>New</v>
      </c>
      <c r="F1168" s="72">
        <v>89</v>
      </c>
      <c r="G1168" s="72">
        <v>241499</v>
      </c>
      <c r="P1168" s="26"/>
    </row>
    <row r="1169" spans="1:16" ht="14.5">
      <c r="A1169" s="3" t="s">
        <v>38</v>
      </c>
      <c r="B1169" s="8" t="s">
        <v>2813</v>
      </c>
      <c r="C1169" s="46" t="s">
        <v>4619</v>
      </c>
      <c r="D1169" s="41" t="str">
        <f ca="1">IFERROR(__xludf.DUMMYFUNCTION("IFERROR(ARRAYFORMULA(REGEXEXTRACT(C1169,""^(?:https?:\/\/)?(?:[^@\n]+@)?(?:www\.)?([^:\/\n]+)"")),"""")"),"ggwash.org")</f>
        <v>ggwash.org</v>
      </c>
      <c r="E1169" s="26" t="str">
        <f ca="1">IFERROR(__xludf.DUMMYFUNCTION("""COMPUTED_VALUE"""),"New")</f>
        <v>New</v>
      </c>
      <c r="F1169" s="72">
        <v>72</v>
      </c>
      <c r="G1169" s="72">
        <v>2277</v>
      </c>
      <c r="P1169" s="26"/>
    </row>
    <row r="1170" spans="1:16" ht="14.5">
      <c r="A1170" s="3" t="s">
        <v>38</v>
      </c>
      <c r="B1170" s="8" t="s">
        <v>2813</v>
      </c>
      <c r="C1170" s="46" t="s">
        <v>4620</v>
      </c>
      <c r="D1170" s="41" t="str">
        <f ca="1">IFERROR(__xludf.DUMMYFUNCTION("IFERROR(ARRAYFORMULA(REGEXEXTRACT(C1170,""^(?:https?:\/\/)?(?:[^@\n]+@)?(?:www\.)?([^:\/\n]+)"")),"""")"),"constructiondive.com")</f>
        <v>constructiondive.com</v>
      </c>
      <c r="E1170" s="26" t="str">
        <f ca="1">IFERROR(__xludf.DUMMYFUNCTION("""COMPUTED_VALUE"""),"New")</f>
        <v>New</v>
      </c>
      <c r="F1170" s="72">
        <v>79</v>
      </c>
      <c r="G1170" s="72">
        <v>30126</v>
      </c>
      <c r="P1170" s="26"/>
    </row>
    <row r="1171" spans="1:16" ht="14.5">
      <c r="A1171" s="3" t="s">
        <v>38</v>
      </c>
      <c r="B1171" s="8" t="s">
        <v>2813</v>
      </c>
      <c r="C1171" s="46" t="s">
        <v>4621</v>
      </c>
      <c r="D1171" s="41" t="str">
        <f ca="1">IFERROR(__xludf.DUMMYFUNCTION("IFERROR(ARRAYFORMULA(REGEXEXTRACT(C1171,""^(?:https?:\/\/)?(?:[^@\n]+@)?(?:www\.)?([^:\/\n]+)"")),"""")"),"bizjournals.com")</f>
        <v>bizjournals.com</v>
      </c>
      <c r="E1171" s="26" t="str">
        <f ca="1">IFERROR(__xludf.DUMMYFUNCTION("""COMPUTED_VALUE"""),"New")</f>
        <v>New</v>
      </c>
      <c r="F1171" s="72">
        <v>91</v>
      </c>
      <c r="G1171" s="72">
        <v>452976</v>
      </c>
      <c r="P1171" s="26"/>
    </row>
    <row r="1172" spans="1:16" ht="14.5">
      <c r="A1172" s="3" t="s">
        <v>38</v>
      </c>
      <c r="B1172" s="8" t="s">
        <v>2813</v>
      </c>
      <c r="C1172" s="46" t="s">
        <v>4622</v>
      </c>
      <c r="D1172" s="41" t="str">
        <f ca="1">IFERROR(__xludf.DUMMYFUNCTION("IFERROR(ARRAYFORMULA(REGEXEXTRACT(C1172,""^(?:https?:\/\/)?(?:[^@\n]+@)?(?:www\.)?([^:\/\n]+)"")),"""")"),"jobgether.com")</f>
        <v>jobgether.com</v>
      </c>
      <c r="E1172" s="26" t="str">
        <f ca="1">IFERROR(__xludf.DUMMYFUNCTION("""COMPUTED_VALUE"""),"New")</f>
        <v>New</v>
      </c>
      <c r="F1172" s="72">
        <v>54</v>
      </c>
      <c r="G1172" s="72">
        <v>37382</v>
      </c>
      <c r="P1172" s="26"/>
    </row>
    <row r="1173" spans="1:16" ht="14.5">
      <c r="A1173" s="3" t="s">
        <v>38</v>
      </c>
      <c r="B1173" s="8" t="s">
        <v>2813</v>
      </c>
      <c r="C1173" s="46" t="s">
        <v>4623</v>
      </c>
      <c r="D1173" s="41" t="str">
        <f ca="1">IFERROR(__xludf.DUMMYFUNCTION("IFERROR(ARRAYFORMULA(REGEXEXTRACT(C1173,""^(?:https?:\/\/)?(?:[^@\n]+@)?(?:www\.)?([^:\/\n]+)"")),"""")"),"cleaninghabit.bigcartel.com")</f>
        <v>cleaninghabit.bigcartel.com</v>
      </c>
      <c r="E1173" s="26" t="str">
        <f ca="1">IFERROR(__xludf.DUMMYFUNCTION("""COMPUTED_VALUE"""),"New")</f>
        <v>New</v>
      </c>
      <c r="F1173" s="72">
        <v>92</v>
      </c>
      <c r="G1173" s="72">
        <v>154289</v>
      </c>
      <c r="P1173" s="26"/>
    </row>
    <row r="1174" spans="1:16" ht="14.5">
      <c r="A1174" s="3" t="s">
        <v>38</v>
      </c>
      <c r="B1174" s="8" t="s">
        <v>2813</v>
      </c>
      <c r="C1174" s="46" t="s">
        <v>4624</v>
      </c>
      <c r="D1174" s="41" t="str">
        <f ca="1">IFERROR(__xludf.DUMMYFUNCTION("IFERROR(ARRAYFORMULA(REGEXEXTRACT(C1174,""^(?:https?:\/\/)?(?:[^@\n]+@)?(?:www\.)?([^:\/\n]+)"")),"""")"),"philanthropynewsdigest.org")</f>
        <v>philanthropynewsdigest.org</v>
      </c>
      <c r="E1174" s="26" t="str">
        <f ca="1">IFERROR(__xludf.DUMMYFUNCTION("""COMPUTED_VALUE"""),"New")</f>
        <v>New</v>
      </c>
      <c r="F1174" s="72">
        <v>77</v>
      </c>
      <c r="G1174" s="72">
        <v>9025</v>
      </c>
      <c r="P1174" s="26"/>
    </row>
    <row r="1175" spans="1:16" ht="14.5">
      <c r="A1175" s="3" t="s">
        <v>38</v>
      </c>
      <c r="B1175" s="8" t="s">
        <v>2813</v>
      </c>
      <c r="C1175" s="46" t="s">
        <v>4625</v>
      </c>
      <c r="D1175" s="41" t="str">
        <f ca="1">IFERROR(__xludf.DUMMYFUNCTION("IFERROR(ARRAYFORMULA(REGEXEXTRACT(C1175,""^(?:https?:\/\/)?(?:[^@\n]+@)?(?:www\.)?([^:\/\n]+)"")),"""")"),"zabasearch.com")</f>
        <v>zabasearch.com</v>
      </c>
      <c r="E1175" s="26" t="str">
        <f ca="1">IFERROR(__xludf.DUMMYFUNCTION("""COMPUTED_VALUE"""),"New")</f>
        <v>New</v>
      </c>
      <c r="F1175" s="72">
        <v>59</v>
      </c>
      <c r="G1175" s="72">
        <v>70801</v>
      </c>
      <c r="P1175" s="26"/>
    </row>
    <row r="1176" spans="1:16" ht="14.5">
      <c r="A1176" s="3" t="s">
        <v>38</v>
      </c>
      <c r="B1176" s="8" t="s">
        <v>2813</v>
      </c>
      <c r="C1176" s="46" t="s">
        <v>4626</v>
      </c>
      <c r="D1176" s="41" t="str">
        <f ca="1">IFERROR(__xludf.DUMMYFUNCTION("IFERROR(ARRAYFORMULA(REGEXEXTRACT(C1176,""^(?:https?:\/\/)?(?:[^@\n]+@)?(?:www\.)?([^:\/\n]+)"")),"""")"),"flyhomes.com")</f>
        <v>flyhomes.com</v>
      </c>
      <c r="E1176" s="26" t="str">
        <f ca="1">IFERROR(__xludf.DUMMYFUNCTION("""COMPUTED_VALUE"""),"New")</f>
        <v>New</v>
      </c>
      <c r="F1176" s="72">
        <v>61</v>
      </c>
      <c r="G1176" s="72">
        <v>5245</v>
      </c>
      <c r="P1176" s="26"/>
    </row>
    <row r="1177" spans="1:16" ht="14.5">
      <c r="A1177" s="3" t="s">
        <v>38</v>
      </c>
      <c r="B1177" s="8" t="s">
        <v>2813</v>
      </c>
      <c r="C1177" s="46" t="s">
        <v>4627</v>
      </c>
      <c r="D1177" s="41" t="str">
        <f ca="1">IFERROR(__xludf.DUMMYFUNCTION("IFERROR(ARRAYFORMULA(REGEXEXTRACT(C1177,""^(?:https?:\/\/)?(?:[^@\n]+@)?(?:www\.)?([^:\/\n]+)"")),"""")"),"slashdot.org")</f>
        <v>slashdot.org</v>
      </c>
      <c r="E1177" s="26" t="str">
        <f ca="1">IFERROR(__xludf.DUMMYFUNCTION("""COMPUTED_VALUE"""),"New")</f>
        <v>New</v>
      </c>
      <c r="F1177" s="72">
        <v>87</v>
      </c>
      <c r="G1177" s="72">
        <v>166979</v>
      </c>
      <c r="P1177" s="26"/>
    </row>
    <row r="1178" spans="1:16" ht="14.5">
      <c r="A1178" s="3" t="s">
        <v>38</v>
      </c>
      <c r="B1178" s="8" t="s">
        <v>2813</v>
      </c>
      <c r="C1178" s="46" t="s">
        <v>4628</v>
      </c>
      <c r="D1178" s="41" t="str">
        <f ca="1">IFERROR(__xludf.DUMMYFUNCTION("IFERROR(ARRAYFORMULA(REGEXEXTRACT(C1178,""^(?:https?:\/\/)?(?:[^@\n]+@)?(?:www\.)?([^:\/\n]+)"")),"""")"),"docu.team")</f>
        <v>docu.team</v>
      </c>
      <c r="E1178" s="26" t="str">
        <f ca="1">IFERROR(__xludf.DUMMYFUNCTION("""COMPUTED_VALUE"""),"New")</f>
        <v>New</v>
      </c>
      <c r="F1178" s="72">
        <v>59</v>
      </c>
      <c r="G1178" s="72">
        <v>5738</v>
      </c>
      <c r="P1178" s="26"/>
    </row>
    <row r="1179" spans="1:16" ht="14.5">
      <c r="A1179" s="3" t="s">
        <v>38</v>
      </c>
      <c r="B1179" s="8" t="s">
        <v>2813</v>
      </c>
      <c r="C1179" s="46" t="s">
        <v>4629</v>
      </c>
      <c r="D1179" s="41" t="str">
        <f ca="1">IFERROR(__xludf.DUMMYFUNCTION("IFERROR(ARRAYFORMULA(REGEXEXTRACT(C1179,""^(?:https?:\/\/)?(?:[^@\n]+@)?(?:www\.)?([^:\/\n]+)"")),"""")"),"compass.com")</f>
        <v>compass.com</v>
      </c>
      <c r="E1179" s="26" t="str">
        <f ca="1">IFERROR(__xludf.DUMMYFUNCTION("""COMPUTED_VALUE"""),"New")</f>
        <v>New</v>
      </c>
      <c r="F1179" s="72">
        <v>86</v>
      </c>
      <c r="G1179" s="72">
        <v>372678</v>
      </c>
      <c r="P1179" s="26"/>
    </row>
    <row r="1180" spans="1:16" ht="14.5">
      <c r="A1180" s="3" t="s">
        <v>38</v>
      </c>
      <c r="B1180" s="8" t="s">
        <v>2813</v>
      </c>
      <c r="C1180" s="46" t="s">
        <v>4630</v>
      </c>
      <c r="D1180" s="41" t="str">
        <f ca="1">IFERROR(__xludf.DUMMYFUNCTION("IFERROR(ARRAYFORMULA(REGEXEXTRACT(C1180,""^(?:https?:\/\/)?(?:[^@\n]+@)?(?:www\.)?([^:\/\n]+)"")),"""")"),"gulfshoresrealty.com")</f>
        <v>gulfshoresrealty.com</v>
      </c>
      <c r="E1180" s="26" t="str">
        <f ca="1">IFERROR(__xludf.DUMMYFUNCTION("""COMPUTED_VALUE"""),"New")</f>
        <v>New</v>
      </c>
      <c r="F1180" s="72">
        <v>23</v>
      </c>
      <c r="G1180" s="72">
        <v>2191</v>
      </c>
      <c r="P1180" s="26"/>
    </row>
    <row r="1181" spans="1:16" ht="14.5">
      <c r="A1181" s="3" t="s">
        <v>38</v>
      </c>
      <c r="B1181" s="8" t="s">
        <v>2813</v>
      </c>
      <c r="C1181" s="46" t="s">
        <v>4631</v>
      </c>
      <c r="D1181" s="41" t="str">
        <f ca="1">IFERROR(__xludf.DUMMYFUNCTION("IFERROR(ARRAYFORMULA(REGEXEXTRACT(C1181,""^(?:https?:\/\/)?(?:[^@\n]+@)?(?:www\.)?([^:\/\n]+)"")),"""")"),"duckduckgo.github.io")</f>
        <v>duckduckgo.github.io</v>
      </c>
      <c r="E1181" s="26" t="str">
        <f ca="1">IFERROR(__xludf.DUMMYFUNCTION("""COMPUTED_VALUE"""),"New")</f>
        <v>New</v>
      </c>
      <c r="F1181" s="72">
        <v>94</v>
      </c>
      <c r="G1181" s="72">
        <v>10683795</v>
      </c>
      <c r="P1181" s="26"/>
    </row>
    <row r="1182" spans="1:16" ht="14.5">
      <c r="A1182" s="3" t="s">
        <v>38</v>
      </c>
      <c r="B1182" s="8" t="s">
        <v>2813</v>
      </c>
      <c r="C1182" s="46" t="s">
        <v>4632</v>
      </c>
      <c r="D1182" s="41" t="str">
        <f ca="1">IFERROR(__xludf.DUMMYFUNCTION("IFERROR(ARRAYFORMULA(REGEXEXTRACT(C1182,""^(?:https?:\/\/)?(?:[^@\n]+@)?(?:www\.)?([^:\/\n]+)"")),"""")"),"constructionphysics.substack.com")</f>
        <v>constructionphysics.substack.com</v>
      </c>
      <c r="E1182" s="26" t="str">
        <f ca="1">IFERROR(__xludf.DUMMYFUNCTION("""COMPUTED_VALUE"""),"New")</f>
        <v>New</v>
      </c>
      <c r="F1182" s="72">
        <v>93</v>
      </c>
      <c r="G1182" s="72">
        <v>6580894</v>
      </c>
      <c r="P1182" s="26"/>
    </row>
    <row r="1183" spans="1:16" ht="14.5">
      <c r="A1183" s="3" t="s">
        <v>38</v>
      </c>
      <c r="B1183" s="8" t="s">
        <v>2813</v>
      </c>
      <c r="C1183" s="46" t="s">
        <v>4633</v>
      </c>
      <c r="D1183" s="41" t="str">
        <f ca="1">IFERROR(__xludf.DUMMYFUNCTION("IFERROR(ARRAYFORMULA(REGEXEXTRACT(C1183,""^(?:https?:\/\/)?(?:[^@\n]+@)?(?:www\.)?([^:\/\n]+)"")),"""")"),"altenergymag.com")</f>
        <v>altenergymag.com</v>
      </c>
      <c r="E1183" s="26" t="str">
        <f ca="1">IFERROR(__xludf.DUMMYFUNCTION("""COMPUTED_VALUE"""),"New")</f>
        <v>New</v>
      </c>
      <c r="F1183" s="72">
        <v>66</v>
      </c>
      <c r="G1183" s="72">
        <v>1751</v>
      </c>
      <c r="P1183" s="26"/>
    </row>
    <row r="1184" spans="1:16" ht="14.5">
      <c r="A1184" s="3" t="s">
        <v>38</v>
      </c>
      <c r="B1184" s="8" t="s">
        <v>2813</v>
      </c>
      <c r="C1184" s="46" t="s">
        <v>4634</v>
      </c>
      <c r="D1184" s="41" t="str">
        <f ca="1">IFERROR(__xludf.DUMMYFUNCTION("IFERROR(ARRAYFORMULA(REGEXEXTRACT(C1184,""^(?:https?:\/\/)?(?:[^@\n]+@)?(?:www\.)?([^:\/\n]+)"")),"""")"),"do512.com")</f>
        <v>do512.com</v>
      </c>
      <c r="E1184" s="26" t="str">
        <f ca="1">IFERROR(__xludf.DUMMYFUNCTION("""COMPUTED_VALUE"""),"New")</f>
        <v>New</v>
      </c>
      <c r="F1184" s="72">
        <v>70</v>
      </c>
      <c r="G1184" s="72">
        <v>112128</v>
      </c>
      <c r="P1184" s="26"/>
    </row>
    <row r="1185" spans="1:16" ht="14.5">
      <c r="A1185" s="3" t="s">
        <v>38</v>
      </c>
      <c r="B1185" s="8" t="s">
        <v>2813</v>
      </c>
      <c r="C1185" s="46" t="s">
        <v>4635</v>
      </c>
      <c r="D1185" s="41" t="str">
        <f ca="1">IFERROR(__xludf.DUMMYFUNCTION("IFERROR(ARRAYFORMULA(REGEXEXTRACT(C1185,""^(?:https?:\/\/)?(?:[^@\n]+@)?(?:www\.)?([^:\/\n]+)"")),"""")"),"morethanthecurve.com")</f>
        <v>morethanthecurve.com</v>
      </c>
      <c r="E1185" s="26" t="str">
        <f ca="1">IFERROR(__xludf.DUMMYFUNCTION("""COMPUTED_VALUE"""),"New")</f>
        <v>New</v>
      </c>
      <c r="F1185" s="72">
        <v>39</v>
      </c>
      <c r="G1185" s="72">
        <v>3701</v>
      </c>
      <c r="P1185" s="26"/>
    </row>
    <row r="1186" spans="1:16" ht="14.5">
      <c r="A1186" s="3" t="s">
        <v>38</v>
      </c>
      <c r="B1186" s="8" t="s">
        <v>2813</v>
      </c>
      <c r="C1186" s="46" t="s">
        <v>4636</v>
      </c>
      <c r="D1186" s="41" t="str">
        <f ca="1">IFERROR(__xludf.DUMMYFUNCTION("IFERROR(ARRAYFORMULA(REGEXEXTRACT(C1186,""^(?:https?:\/\/)?(?:[^@\n]+@)?(?:www\.)?([^:\/\n]+)"")),"""")"),"mapquest.com")</f>
        <v>mapquest.com</v>
      </c>
      <c r="E1186" s="26" t="str">
        <f ca="1">IFERROR(__xludf.DUMMYFUNCTION("""COMPUTED_VALUE"""),"New")</f>
        <v>New</v>
      </c>
      <c r="F1186" s="72">
        <v>91</v>
      </c>
      <c r="G1186" s="72">
        <v>20052922</v>
      </c>
      <c r="P1186" s="26"/>
    </row>
    <row r="1187" spans="1:16" ht="14.5">
      <c r="A1187" s="3" t="s">
        <v>38</v>
      </c>
      <c r="B1187" s="8" t="s">
        <v>2813</v>
      </c>
      <c r="C1187" s="46" t="s">
        <v>4637</v>
      </c>
      <c r="D1187" s="41" t="str">
        <f ca="1">IFERROR(__xludf.DUMMYFUNCTION("IFERROR(ARRAYFORMULA(REGEXEXTRACT(C1187,""^(?:https?:\/\/)?(?:[^@\n]+@)?(?:www\.)?([^:\/\n]+)"")),"""")"),"thegoodhartgroup.com")</f>
        <v>thegoodhartgroup.com</v>
      </c>
      <c r="E1187" s="26" t="str">
        <f ca="1">IFERROR(__xludf.DUMMYFUNCTION("""COMPUTED_VALUE"""),"New")</f>
        <v>New</v>
      </c>
      <c r="F1187" s="72">
        <v>29</v>
      </c>
      <c r="G1187" s="72">
        <v>1810</v>
      </c>
      <c r="P1187" s="26"/>
    </row>
    <row r="1188" spans="1:16" ht="14.5">
      <c r="A1188" s="3" t="s">
        <v>38</v>
      </c>
      <c r="B1188" s="8" t="s">
        <v>2813</v>
      </c>
      <c r="C1188" s="46" t="s">
        <v>4638</v>
      </c>
      <c r="D1188" s="41" t="str">
        <f ca="1">IFERROR(__xludf.DUMMYFUNCTION("IFERROR(ARRAYFORMULA(REGEXEXTRACT(C1188,""^(?:https?:\/\/)?(?:[^@\n]+@)?(?:www\.)?([^:\/\n]+)"")),"""")"),"cen.acs.org")</f>
        <v>cen.acs.org</v>
      </c>
      <c r="E1188" s="26" t="str">
        <f ca="1">IFERROR(__xludf.DUMMYFUNCTION("""COMPUTED_VALUE"""),"New")</f>
        <v>New</v>
      </c>
      <c r="F1188" s="72">
        <v>91</v>
      </c>
      <c r="G1188" s="72">
        <v>1363391</v>
      </c>
      <c r="P1188" s="26"/>
    </row>
    <row r="1189" spans="1:16" ht="14.5">
      <c r="A1189" s="3" t="s">
        <v>38</v>
      </c>
      <c r="B1189" s="8" t="s">
        <v>2813</v>
      </c>
      <c r="C1189" s="46" t="s">
        <v>4639</v>
      </c>
      <c r="D1189" s="41" t="str">
        <f ca="1">IFERROR(__xludf.DUMMYFUNCTION("IFERROR(ARRAYFORMULA(REGEXEXTRACT(C1189,""^(?:https?:\/\/)?(?:[^@\n]+@)?(?:www\.)?([^:\/\n]+)"")),"""")"),"alfons-lavoie.artstation.com")</f>
        <v>alfons-lavoie.artstation.com</v>
      </c>
      <c r="E1189" s="26" t="str">
        <f ca="1">IFERROR(__xludf.DUMMYFUNCTION("""COMPUTED_VALUE"""),"New")</f>
        <v>New</v>
      </c>
      <c r="F1189" s="72">
        <v>91</v>
      </c>
      <c r="G1189" s="72">
        <v>409305</v>
      </c>
      <c r="P1189" s="26"/>
    </row>
    <row r="1190" spans="1:16" ht="14.5">
      <c r="A1190" s="3" t="s">
        <v>38</v>
      </c>
      <c r="B1190" s="8" t="s">
        <v>2813</v>
      </c>
      <c r="C1190" s="46" t="s">
        <v>4640</v>
      </c>
      <c r="D1190" s="41" t="str">
        <f ca="1">IFERROR(__xludf.DUMMYFUNCTION("IFERROR(ARRAYFORMULA(REGEXEXTRACT(C1190,""^(?:https?:\/\/)?(?:[^@\n]+@)?(?:www\.)?([^:\/\n]+)"")),"""")"),"eventbrite.com")</f>
        <v>eventbrite.com</v>
      </c>
      <c r="E1190" s="26" t="str">
        <f ca="1">IFERROR(__xludf.DUMMYFUNCTION("""COMPUTED_VALUE"""),"New")</f>
        <v>New</v>
      </c>
      <c r="F1190" s="72">
        <v>94</v>
      </c>
      <c r="G1190" s="72">
        <v>3141410</v>
      </c>
      <c r="P1190" s="26"/>
    </row>
    <row r="1191" spans="1:16" ht="14.5">
      <c r="A1191" s="3" t="s">
        <v>38</v>
      </c>
      <c r="B1191" s="8" t="s">
        <v>2813</v>
      </c>
      <c r="C1191" s="46" t="s">
        <v>4641</v>
      </c>
      <c r="D1191" s="41" t="str">
        <f ca="1">IFERROR(__xludf.DUMMYFUNCTION("IFERROR(ARRAYFORMULA(REGEXEXTRACT(C1191,""^(?:https?:\/\/)?(?:[^@\n]+@)?(?:www\.)?([^:\/\n]+)"")),"""")"),"gulfshorebusiness.com")</f>
        <v>gulfshorebusiness.com</v>
      </c>
      <c r="E1191" s="26" t="str">
        <f ca="1">IFERROR(__xludf.DUMMYFUNCTION("""COMPUTED_VALUE"""),"New")</f>
        <v>New</v>
      </c>
      <c r="F1191" s="72">
        <v>67</v>
      </c>
      <c r="G1191" s="72">
        <v>7501</v>
      </c>
      <c r="P1191" s="26"/>
    </row>
    <row r="1192" spans="1:16" ht="14.5">
      <c r="A1192" s="3" t="s">
        <v>38</v>
      </c>
      <c r="B1192" s="8" t="s">
        <v>2813</v>
      </c>
      <c r="C1192" s="46" t="s">
        <v>4642</v>
      </c>
      <c r="D1192" s="41" t="str">
        <f ca="1">IFERROR(__xludf.DUMMYFUNCTION("IFERROR(ARRAYFORMULA(REGEXEXTRACT(C1192,""^(?:https?:\/\/)?(?:[^@\n]+@)?(?:www\.)?([^:\/\n]+)"")),"""")"),"theoaklandpress.com")</f>
        <v>theoaklandpress.com</v>
      </c>
      <c r="E1192" s="26" t="str">
        <f ca="1">IFERROR(__xludf.DUMMYFUNCTION("""COMPUTED_VALUE"""),"New")</f>
        <v>New</v>
      </c>
      <c r="F1192" s="72">
        <v>74</v>
      </c>
      <c r="G1192" s="72">
        <v>15072</v>
      </c>
      <c r="P1192" s="26"/>
    </row>
    <row r="1193" spans="1:16" ht="14.5">
      <c r="A1193" s="3" t="s">
        <v>38</v>
      </c>
      <c r="B1193" s="8" t="s">
        <v>2813</v>
      </c>
      <c r="C1193" s="46" t="s">
        <v>4643</v>
      </c>
      <c r="D1193" s="41" t="str">
        <f ca="1">IFERROR(__xludf.DUMMYFUNCTION("IFERROR(ARRAYFORMULA(REGEXEXTRACT(C1193,""^(?:https?:\/\/)?(?:[^@\n]+@)?(?:www\.)?([^:\/\n]+)"")),"""")"),"angelfire.com")</f>
        <v>angelfire.com</v>
      </c>
      <c r="E1193" s="26" t="str">
        <f ca="1">IFERROR(__xludf.DUMMYFUNCTION("""COMPUTED_VALUE"""),"New")</f>
        <v>New</v>
      </c>
      <c r="F1193" s="72">
        <v>86</v>
      </c>
      <c r="G1193" s="72">
        <v>96655</v>
      </c>
      <c r="P1193" s="26"/>
    </row>
    <row r="1194" spans="1:16" ht="14.5">
      <c r="A1194" s="3" t="s">
        <v>38</v>
      </c>
      <c r="B1194" s="8" t="s">
        <v>2813</v>
      </c>
      <c r="C1194" s="46" t="s">
        <v>4644</v>
      </c>
      <c r="D1194" s="41" t="str">
        <f ca="1">IFERROR(__xludf.DUMMYFUNCTION("IFERROR(ARRAYFORMULA(REGEXEXTRACT(C1194,""^(?:https?:\/\/)?(?:[^@\n]+@)?(?:www\.)?([^:\/\n]+)"")),"""")"),"slate.com")</f>
        <v>slate.com</v>
      </c>
      <c r="E1194" s="26" t="str">
        <f ca="1">IFERROR(__xludf.DUMMYFUNCTION("""COMPUTED_VALUE"""),"New")</f>
        <v>New</v>
      </c>
      <c r="F1194" s="72">
        <v>90</v>
      </c>
      <c r="G1194" s="72">
        <v>707980</v>
      </c>
      <c r="P1194" s="26"/>
    </row>
    <row r="1195" spans="1:16" ht="14.5">
      <c r="A1195" s="3" t="s">
        <v>38</v>
      </c>
      <c r="B1195" s="8" t="s">
        <v>2813</v>
      </c>
      <c r="C1195" s="49" t="s">
        <v>4645</v>
      </c>
      <c r="D1195" s="41" t="str">
        <f ca="1">IFERROR(__xludf.DUMMYFUNCTION("IFERROR(ARRAYFORMULA(REGEXEXTRACT(C1195,""^(?:https?:\/\/)?(?:[^@\n]+@)?(?:www\.)?([^:\/\n]+)"")),"""")"),"rejournals.com")</f>
        <v>rejournals.com</v>
      </c>
      <c r="E1195" s="26" t="str">
        <f ca="1">IFERROR(__xludf.DUMMYFUNCTION("""COMPUTED_VALUE"""),"New")</f>
        <v>New</v>
      </c>
      <c r="F1195" s="72">
        <v>73</v>
      </c>
      <c r="G1195" s="72">
        <v>7248</v>
      </c>
      <c r="H1195" s="27" t="s">
        <v>4646</v>
      </c>
      <c r="I1195" s="27" t="s">
        <v>4647</v>
      </c>
      <c r="J1195" s="27" t="s">
        <v>4648</v>
      </c>
      <c r="K1195" s="27" t="s">
        <v>3772</v>
      </c>
      <c r="L1195" s="112"/>
      <c r="M1195" s="27" t="s">
        <v>3117</v>
      </c>
      <c r="N1195" s="48">
        <v>46041</v>
      </c>
      <c r="O1195" s="48">
        <v>46083</v>
      </c>
      <c r="P1195" s="26"/>
    </row>
    <row r="1196" spans="1:16" ht="14.5">
      <c r="A1196" s="3" t="s">
        <v>38</v>
      </c>
      <c r="B1196" s="8" t="s">
        <v>2813</v>
      </c>
      <c r="C1196" s="46" t="s">
        <v>4649</v>
      </c>
      <c r="D1196" s="41" t="str">
        <f ca="1">IFERROR(__xludf.DUMMYFUNCTION("IFERROR(ARRAYFORMULA(REGEXEXTRACT(C1196,""^(?:https?:\/\/)?(?:[^@\n]+@)?(?:www\.)?([^:\/\n]+)"")),"""")"),"fodmapeveryday.com")</f>
        <v>fodmapeveryday.com</v>
      </c>
      <c r="E1196" s="26" t="str">
        <f ca="1">IFERROR(__xludf.DUMMYFUNCTION("""COMPUTED_VALUE"""),"New")</f>
        <v>New</v>
      </c>
      <c r="F1196" s="72">
        <v>53</v>
      </c>
      <c r="G1196" s="72">
        <v>65054</v>
      </c>
      <c r="P1196" s="26"/>
    </row>
    <row r="1197" spans="1:16" ht="14.5">
      <c r="A1197" s="3" t="s">
        <v>38</v>
      </c>
      <c r="B1197" s="8" t="s">
        <v>2813</v>
      </c>
      <c r="C1197" s="46" t="s">
        <v>4650</v>
      </c>
      <c r="D1197" s="41" t="str">
        <f ca="1">IFERROR(__xludf.DUMMYFUNCTION("IFERROR(ARRAYFORMULA(REGEXEXTRACT(C1197,""^(?:https?:\/\/)?(?:[^@\n]+@)?(?:www\.)?([^:\/\n]+)"")),"""")"),"woburnma.gov")</f>
        <v>woburnma.gov</v>
      </c>
      <c r="E1197" s="26" t="str">
        <f ca="1">IFERROR(__xludf.DUMMYFUNCTION("""COMPUTED_VALUE"""),"New")</f>
        <v>New</v>
      </c>
      <c r="F1197" s="72">
        <v>53</v>
      </c>
      <c r="G1197" s="72">
        <v>5510</v>
      </c>
      <c r="P1197" s="26"/>
    </row>
    <row r="1198" spans="1:16" ht="14.5">
      <c r="A1198" s="3" t="s">
        <v>38</v>
      </c>
      <c r="B1198" s="8" t="s">
        <v>2813</v>
      </c>
      <c r="C1198" s="46" t="s">
        <v>4651</v>
      </c>
      <c r="D1198" s="41" t="str">
        <f ca="1">IFERROR(__xludf.DUMMYFUNCTION("IFERROR(ARRAYFORMULA(REGEXEXTRACT(C1198,""^(?:https?:\/\/)?(?:[^@\n]+@)?(?:www\.)?([^:\/\n]+)"")),"""")"),"nj.com")</f>
        <v>nj.com</v>
      </c>
      <c r="E1198" s="26" t="str">
        <f ca="1">IFERROR(__xludf.DUMMYFUNCTION("""COMPUTED_VALUE"""),"New")</f>
        <v>New</v>
      </c>
      <c r="F1198" s="72">
        <v>86</v>
      </c>
      <c r="G1198" s="72">
        <v>1225708</v>
      </c>
      <c r="P1198" s="26"/>
    </row>
    <row r="1199" spans="1:16" ht="14.5">
      <c r="A1199" s="3" t="s">
        <v>38</v>
      </c>
      <c r="B1199" s="8" t="s">
        <v>2813</v>
      </c>
      <c r="C1199" s="46" t="s">
        <v>4652</v>
      </c>
      <c r="D1199" s="41" t="str">
        <f ca="1">IFERROR(__xludf.DUMMYFUNCTION("IFERROR(ARRAYFORMULA(REGEXEXTRACT(C1199,""^(?:https?:\/\/)?(?:[^@\n]+@)?(?:www\.)?([^:\/\n]+)"")),"""")"),"dgai.utem.cl")</f>
        <v>dgai.utem.cl</v>
      </c>
      <c r="E1199" s="26" t="str">
        <f ca="1">IFERROR(__xludf.DUMMYFUNCTION("""COMPUTED_VALUE"""),"New")</f>
        <v>New</v>
      </c>
      <c r="F1199" s="72">
        <v>62</v>
      </c>
      <c r="G1199" s="72">
        <v>20334</v>
      </c>
      <c r="P1199" s="26"/>
    </row>
    <row r="1200" spans="1:16" ht="14.5">
      <c r="A1200" s="3" t="s">
        <v>38</v>
      </c>
      <c r="B1200" s="8" t="s">
        <v>2813</v>
      </c>
      <c r="C1200" s="46" t="s">
        <v>4653</v>
      </c>
      <c r="D1200" s="41" t="str">
        <f ca="1">IFERROR(__xludf.DUMMYFUNCTION("IFERROR(ARRAYFORMULA(REGEXEXTRACT(C1200,""^(?:https?:\/\/)?(?:[^@\n]+@)?(?:www\.)?([^:\/\n]+)"")),"""")"),"santafenewmexican.com")</f>
        <v>santafenewmexican.com</v>
      </c>
      <c r="E1200" s="26" t="str">
        <f ca="1">IFERROR(__xludf.DUMMYFUNCTION("""COMPUTED_VALUE"""),"New")</f>
        <v>New</v>
      </c>
      <c r="F1200" s="72">
        <v>79</v>
      </c>
      <c r="G1200" s="72">
        <v>48753</v>
      </c>
      <c r="P1200" s="26"/>
    </row>
    <row r="1201" spans="1:16" ht="14.5">
      <c r="A1201" s="3" t="s">
        <v>38</v>
      </c>
      <c r="B1201" s="8" t="s">
        <v>2813</v>
      </c>
      <c r="C1201" s="46" t="s">
        <v>4654</v>
      </c>
      <c r="D1201" s="41" t="str">
        <f ca="1">IFERROR(__xludf.DUMMYFUNCTION("IFERROR(ARRAYFORMULA(REGEXEXTRACT(C1201,""^(?:https?:\/\/)?(?:[^@\n]+@)?(?:www\.)?([^:\/\n]+)"")),"""")"),"ascii.co.uk")</f>
        <v>ascii.co.uk</v>
      </c>
      <c r="E1201" s="26" t="str">
        <f ca="1">IFERROR(__xludf.DUMMYFUNCTION("""COMPUTED_VALUE"""),"New")</f>
        <v>New</v>
      </c>
      <c r="F1201" s="72">
        <v>37</v>
      </c>
      <c r="G1201" s="72">
        <v>4245</v>
      </c>
      <c r="P1201" s="26"/>
    </row>
    <row r="1202" spans="1:16" ht="14.5">
      <c r="A1202" s="3" t="s">
        <v>38</v>
      </c>
      <c r="B1202" s="8" t="s">
        <v>2813</v>
      </c>
      <c r="C1202" s="46" t="s">
        <v>4655</v>
      </c>
      <c r="D1202" s="41" t="str">
        <f ca="1">IFERROR(__xludf.DUMMYFUNCTION("IFERROR(ARRAYFORMULA(REGEXEXTRACT(C1202,""^(?:https?:\/\/)?(?:[^@\n]+@)?(?:www\.)?([^:\/\n]+)"")),"""")"),"ideal-living.com")</f>
        <v>ideal-living.com</v>
      </c>
      <c r="E1202" s="26" t="str">
        <f ca="1">IFERROR(__xludf.DUMMYFUNCTION("""COMPUTED_VALUE"""),"New")</f>
        <v>New</v>
      </c>
      <c r="F1202" s="72">
        <v>44</v>
      </c>
      <c r="G1202" s="72">
        <v>5421</v>
      </c>
      <c r="P1202" s="26"/>
    </row>
    <row r="1203" spans="1:16" ht="14.5">
      <c r="A1203" s="3" t="s">
        <v>38</v>
      </c>
      <c r="B1203" s="8" t="s">
        <v>2813</v>
      </c>
      <c r="C1203" s="46" t="s">
        <v>4656</v>
      </c>
      <c r="D1203" s="41" t="str">
        <f ca="1">IFERROR(__xludf.DUMMYFUNCTION("IFERROR(ARRAYFORMULA(REGEXEXTRACT(C1203,""^(?:https?:\/\/)?(?:[^@\n]+@)?(?:www\.)?([^:\/\n]+)"")),"""")"),"sbnonline.com")</f>
        <v>sbnonline.com</v>
      </c>
      <c r="E1203" s="26" t="str">
        <f ca="1">IFERROR(__xludf.DUMMYFUNCTION("""COMPUTED_VALUE"""),"New")</f>
        <v>New</v>
      </c>
      <c r="F1203" s="72">
        <v>71</v>
      </c>
      <c r="G1203" s="72">
        <v>1080</v>
      </c>
      <c r="P1203" s="26"/>
    </row>
    <row r="1204" spans="1:16" ht="14.5">
      <c r="A1204" s="3" t="s">
        <v>38</v>
      </c>
      <c r="B1204" s="8" t="s">
        <v>2813</v>
      </c>
      <c r="C1204" s="46" t="s">
        <v>4657</v>
      </c>
      <c r="D1204" s="41" t="str">
        <f ca="1">IFERROR(__xludf.DUMMYFUNCTION("IFERROR(ARRAYFORMULA(REGEXEXTRACT(C1204,""^(?:https?:\/\/)?(?:[^@\n]+@)?(?:www\.)?([^:\/\n]+)"")),"""")"),"devex.com")</f>
        <v>devex.com</v>
      </c>
      <c r="E1204" s="26" t="str">
        <f ca="1">IFERROR(__xludf.DUMMYFUNCTION("""COMPUTED_VALUE"""),"New")</f>
        <v>New</v>
      </c>
      <c r="F1204" s="72">
        <v>81</v>
      </c>
      <c r="G1204" s="72">
        <v>69810</v>
      </c>
      <c r="P1204" s="26"/>
    </row>
    <row r="1205" spans="1:16" ht="14.5">
      <c r="A1205" s="3" t="s">
        <v>38</v>
      </c>
      <c r="B1205" s="8" t="s">
        <v>2813</v>
      </c>
      <c r="C1205" s="46" t="s">
        <v>4658</v>
      </c>
      <c r="D1205" s="41" t="str">
        <f ca="1">IFERROR(__xludf.DUMMYFUNCTION("IFERROR(ARRAYFORMULA(REGEXEXTRACT(C1205,""^(?:https?:\/\/)?(?:[^@\n]+@)?(?:www\.)?([^:\/\n]+)"")),"""")"),"aecdaily.com")</f>
        <v>aecdaily.com</v>
      </c>
      <c r="E1205" s="26" t="str">
        <f ca="1">IFERROR(__xludf.DUMMYFUNCTION("""COMPUTED_VALUE"""),"New")</f>
        <v>New</v>
      </c>
      <c r="F1205" s="72">
        <v>73</v>
      </c>
      <c r="G1205" s="72">
        <v>3944</v>
      </c>
      <c r="P1205" s="26"/>
    </row>
    <row r="1206" spans="1:16" ht="14.5">
      <c r="A1206" s="3" t="s">
        <v>38</v>
      </c>
      <c r="B1206" s="8" t="s">
        <v>2813</v>
      </c>
      <c r="C1206" s="49" t="s">
        <v>4659</v>
      </c>
      <c r="D1206" s="41" t="str">
        <f ca="1">IFERROR(__xludf.DUMMYFUNCTION("IFERROR(ARRAYFORMULA(REGEXEXTRACT(C1206,""^(?:https?:\/\/)?(?:[^@\n]+@)?(?:www\.)?([^:\/\n]+)"")),"""")"),"lauriereader.com")</f>
        <v>lauriereader.com</v>
      </c>
      <c r="E1206" s="26" t="str">
        <f ca="1">IFERROR(__xludf.DUMMYFUNCTION("""COMPUTED_VALUE"""),"New")</f>
        <v>New</v>
      </c>
      <c r="F1206" s="72">
        <v>37</v>
      </c>
      <c r="G1206" s="72">
        <v>2300</v>
      </c>
      <c r="J1206" s="27" t="s">
        <v>4660</v>
      </c>
      <c r="K1206" s="27" t="s">
        <v>3853</v>
      </c>
      <c r="L1206" s="112"/>
      <c r="M1206" s="27" t="s">
        <v>3117</v>
      </c>
      <c r="N1206" s="48">
        <v>46041</v>
      </c>
      <c r="O1206" s="48">
        <v>46084</v>
      </c>
      <c r="P1206" s="26"/>
    </row>
    <row r="1207" spans="1:16" ht="14.5">
      <c r="A1207" s="3" t="s">
        <v>38</v>
      </c>
      <c r="B1207" s="8" t="s">
        <v>2813</v>
      </c>
      <c r="C1207" s="46" t="s">
        <v>4661</v>
      </c>
      <c r="D1207" s="41" t="str">
        <f ca="1">IFERROR(__xludf.DUMMYFUNCTION("IFERROR(ARRAYFORMULA(REGEXEXTRACT(C1207,""^(?:https?:\/\/)?(?:[^@\n]+@)?(?:www\.)?([^:\/\n]+)"")),"""")"),"mirealsource.com")</f>
        <v>mirealsource.com</v>
      </c>
      <c r="E1207" s="26" t="str">
        <f ca="1">IFERROR(__xludf.DUMMYFUNCTION("""COMPUTED_VALUE"""),"New")</f>
        <v>New</v>
      </c>
      <c r="F1207" s="72">
        <v>36</v>
      </c>
      <c r="G1207" s="72">
        <v>1695</v>
      </c>
      <c r="P1207" s="26"/>
    </row>
    <row r="1208" spans="1:16" ht="14.5">
      <c r="A1208" s="3" t="s">
        <v>38</v>
      </c>
      <c r="B1208" s="8" t="s">
        <v>2813</v>
      </c>
      <c r="C1208" s="46" t="s">
        <v>4662</v>
      </c>
      <c r="D1208" s="41" t="str">
        <f ca="1">IFERROR(__xludf.DUMMYFUNCTION("IFERROR(ARRAYFORMULA(REGEXEXTRACT(C1208,""^(?:https?:\/\/)?(?:[^@\n]+@)?(?:www\.)?([^:\/\n]+)"")),"""")"),"bdcnetwork.com")</f>
        <v>bdcnetwork.com</v>
      </c>
      <c r="E1208" s="26" t="str">
        <f ca="1">IFERROR(__xludf.DUMMYFUNCTION("""COMPUTED_VALUE"""),"New")</f>
        <v>New</v>
      </c>
      <c r="F1208" s="72">
        <v>76</v>
      </c>
      <c r="G1208" s="72">
        <v>13075</v>
      </c>
      <c r="P1208" s="26"/>
    </row>
    <row r="1209" spans="1:16" ht="14.5">
      <c r="A1209" s="3" t="s">
        <v>38</v>
      </c>
      <c r="B1209" s="8" t="s">
        <v>2813</v>
      </c>
      <c r="C1209" s="46" t="s">
        <v>4663</v>
      </c>
      <c r="D1209" s="41" t="str">
        <f ca="1">IFERROR(__xludf.DUMMYFUNCTION("IFERROR(ARRAYFORMULA(REGEXEXTRACT(C1209,""^(?:https?:\/\/)?(?:[^@\n]+@)?(?:www\.)?([^:\/\n]+)"")),"""")"),"dailytrib.com")</f>
        <v>dailytrib.com</v>
      </c>
      <c r="E1209" s="26" t="str">
        <f ca="1">IFERROR(__xludf.DUMMYFUNCTION("""COMPUTED_VALUE"""),"New")</f>
        <v>New</v>
      </c>
      <c r="F1209" s="72">
        <v>52</v>
      </c>
      <c r="G1209" s="72">
        <v>2537</v>
      </c>
      <c r="P1209" s="26"/>
    </row>
    <row r="1210" spans="1:16" ht="14.5">
      <c r="A1210" s="3" t="s">
        <v>38</v>
      </c>
      <c r="B1210" s="8" t="s">
        <v>2813</v>
      </c>
      <c r="C1210" s="46" t="s">
        <v>4664</v>
      </c>
      <c r="D1210" s="41" t="str">
        <f ca="1">IFERROR(__xludf.DUMMYFUNCTION("IFERROR(ARRAYFORMULA(REGEXEXTRACT(C1210,""^(?:https?:\/\/)?(?:[^@\n]+@)?(?:www\.)?([^:\/\n]+)"")),"""")"),"news-herald.com")</f>
        <v>news-herald.com</v>
      </c>
      <c r="E1210" s="26" t="str">
        <f ca="1">IFERROR(__xludf.DUMMYFUNCTION("""COMPUTED_VALUE"""),"New")</f>
        <v>New</v>
      </c>
      <c r="F1210" s="72">
        <v>72</v>
      </c>
      <c r="G1210" s="72">
        <v>24455</v>
      </c>
      <c r="P1210" s="26"/>
    </row>
    <row r="1211" spans="1:16" ht="14.5">
      <c r="A1211" s="3" t="s">
        <v>38</v>
      </c>
      <c r="B1211" s="8" t="s">
        <v>2813</v>
      </c>
      <c r="C1211" s="46" t="s">
        <v>4665</v>
      </c>
      <c r="D1211" s="41" t="str">
        <f ca="1">IFERROR(__xludf.DUMMYFUNCTION("IFERROR(ARRAYFORMULA(REGEXEXTRACT(C1211,""^(?:https?:\/\/)?(?:[^@\n]+@)?(?:www\.)?([^:\/\n]+)"")),"""")"),"s.gmx.com")</f>
        <v>s.gmx.com</v>
      </c>
      <c r="E1211" s="26" t="str">
        <f ca="1">IFERROR(__xludf.DUMMYFUNCTION("""COMPUTED_VALUE"""),"New")</f>
        <v>New</v>
      </c>
      <c r="F1211" s="72">
        <v>74</v>
      </c>
      <c r="G1211" s="72">
        <v>115797</v>
      </c>
      <c r="P1211" s="26"/>
    </row>
    <row r="1212" spans="1:16" ht="14.5">
      <c r="A1212" s="3" t="s">
        <v>38</v>
      </c>
      <c r="B1212" s="8" t="s">
        <v>2813</v>
      </c>
      <c r="C1212" s="46" t="s">
        <v>4666</v>
      </c>
      <c r="D1212" s="41" t="str">
        <f ca="1">IFERROR(__xludf.DUMMYFUNCTION("IFERROR(ARRAYFORMULA(REGEXEXTRACT(C1212,""^(?:https?:\/\/)?(?:[^@\n]+@)?(?:www\.)?([^:\/\n]+)"")),"""")"),"aga.org")</f>
        <v>aga.org</v>
      </c>
      <c r="E1212" s="26" t="str">
        <f ca="1">IFERROR(__xludf.DUMMYFUNCTION("""COMPUTED_VALUE"""),"New")</f>
        <v>New</v>
      </c>
      <c r="F1212" s="72">
        <v>74</v>
      </c>
      <c r="G1212" s="72">
        <v>6159</v>
      </c>
      <c r="P1212" s="26"/>
    </row>
    <row r="1213" spans="1:16" ht="14.5">
      <c r="A1213" s="3" t="s">
        <v>38</v>
      </c>
      <c r="B1213" s="8" t="s">
        <v>2813</v>
      </c>
      <c r="C1213" s="46" t="s">
        <v>4667</v>
      </c>
      <c r="D1213" s="41" t="str">
        <f ca="1">IFERROR(__xludf.DUMMYFUNCTION("IFERROR(ARRAYFORMULA(REGEXEXTRACT(C1213,""^(?:https?:\/\/)?(?:[^@\n]+@)?(?:www\.)?([^:\/\n]+)"")),"""")"),"operationhomefront.org")</f>
        <v>operationhomefront.org</v>
      </c>
      <c r="E1213" s="26" t="str">
        <f ca="1">IFERROR(__xludf.DUMMYFUNCTION("""COMPUTED_VALUE"""),"New")</f>
        <v>New</v>
      </c>
      <c r="F1213" s="72">
        <v>73</v>
      </c>
      <c r="G1213" s="72">
        <v>3482</v>
      </c>
      <c r="P1213" s="26"/>
    </row>
    <row r="1214" spans="1:16" ht="14.5">
      <c r="A1214" s="3" t="s">
        <v>38</v>
      </c>
      <c r="B1214" s="8" t="s">
        <v>2813</v>
      </c>
      <c r="C1214" s="49" t="s">
        <v>4668</v>
      </c>
      <c r="D1214" s="41" t="str">
        <f ca="1">IFERROR(__xludf.DUMMYFUNCTION("IFERROR(ARRAYFORMULA(REGEXEXTRACT(C1214,""^(?:https?:\/\/)?(?:[^@\n]+@)?(?:www\.)?([^:\/\n]+)"")),"""")"),"bluevaultpartners.com")</f>
        <v>bluevaultpartners.com</v>
      </c>
      <c r="E1214" s="26" t="str">
        <f ca="1">IFERROR(__xludf.DUMMYFUNCTION("""COMPUTED_VALUE"""),"New")</f>
        <v>New</v>
      </c>
      <c r="F1214" s="72">
        <v>32</v>
      </c>
      <c r="G1214" s="72">
        <v>1166</v>
      </c>
      <c r="I1214" s="27" t="s">
        <v>4669</v>
      </c>
      <c r="J1214" s="27" t="s">
        <v>4670</v>
      </c>
      <c r="K1214" s="27" t="s">
        <v>3772</v>
      </c>
      <c r="L1214" s="112"/>
      <c r="M1214" s="27" t="s">
        <v>3117</v>
      </c>
      <c r="N1214" s="48">
        <v>46041</v>
      </c>
      <c r="O1214" s="48">
        <v>46084</v>
      </c>
      <c r="P1214" s="26"/>
    </row>
    <row r="1215" spans="1:16" ht="14.5">
      <c r="A1215" s="3" t="s">
        <v>38</v>
      </c>
      <c r="B1215" s="8" t="s">
        <v>2813</v>
      </c>
      <c r="C1215" s="46" t="s">
        <v>4671</v>
      </c>
      <c r="D1215" s="41" t="str">
        <f ca="1">IFERROR(__xludf.DUMMYFUNCTION("IFERROR(ARRAYFORMULA(REGEXEXTRACT(C1215,""^(?:https?:\/\/)?(?:[^@\n]+@)?(?:www\.)?([^:\/\n]+)"")),"""")"),"mynews13.com")</f>
        <v>mynews13.com</v>
      </c>
      <c r="E1215" s="26" t="str">
        <f ca="1">IFERROR(__xludf.DUMMYFUNCTION("""COMPUTED_VALUE"""),"New")</f>
        <v>New</v>
      </c>
      <c r="F1215" s="72">
        <v>74</v>
      </c>
      <c r="G1215" s="72">
        <v>124188</v>
      </c>
      <c r="P1215" s="26"/>
    </row>
    <row r="1216" spans="1:16" ht="14.5">
      <c r="A1216" s="3" t="s">
        <v>38</v>
      </c>
      <c r="B1216" s="8" t="s">
        <v>2813</v>
      </c>
      <c r="C1216" s="46" t="s">
        <v>4672</v>
      </c>
      <c r="D1216" s="41" t="str">
        <f ca="1">IFERROR(__xludf.DUMMYFUNCTION("IFERROR(ARRAYFORMULA(REGEXEXTRACT(C1216,""^(?:https?:\/\/)?(?:[^@\n]+@)?(?:www\.)?([^:\/\n]+)"")),"""")"),"savannahchamber.com")</f>
        <v>savannahchamber.com</v>
      </c>
      <c r="E1216" s="26" t="str">
        <f ca="1">IFERROR(__xludf.DUMMYFUNCTION("""COMPUTED_VALUE"""),"New")</f>
        <v>New</v>
      </c>
      <c r="F1216" s="72">
        <v>48</v>
      </c>
      <c r="G1216" s="72">
        <v>6868</v>
      </c>
      <c r="P1216" s="26"/>
    </row>
    <row r="1217" spans="1:16" ht="14.5">
      <c r="A1217" s="3" t="s">
        <v>38</v>
      </c>
      <c r="B1217" s="8" t="s">
        <v>2813</v>
      </c>
      <c r="C1217" s="49" t="s">
        <v>4673</v>
      </c>
      <c r="D1217" s="41" t="str">
        <f ca="1">IFERROR(__xludf.DUMMYFUNCTION("IFERROR(ARRAYFORMULA(REGEXEXTRACT(C1217,""^(?:https?:\/\/)?(?:[^@\n]+@)?(?:www\.)?([^:\/\n]+)"")),"""")"),"cepro.com")</f>
        <v>cepro.com</v>
      </c>
      <c r="E1217" s="26" t="str">
        <f ca="1">IFERROR(__xludf.DUMMYFUNCTION("""COMPUTED_VALUE"""),"New")</f>
        <v>New</v>
      </c>
      <c r="F1217" s="72">
        <v>75</v>
      </c>
      <c r="G1217" s="72">
        <v>9134</v>
      </c>
      <c r="H1217" s="27" t="s">
        <v>4476</v>
      </c>
      <c r="I1217" s="27" t="s">
        <v>4674</v>
      </c>
      <c r="J1217" s="27" t="s">
        <v>4675</v>
      </c>
      <c r="K1217" s="27" t="s">
        <v>3772</v>
      </c>
      <c r="L1217" s="112"/>
      <c r="M1217" s="27" t="s">
        <v>3117</v>
      </c>
      <c r="N1217" s="48">
        <v>46041</v>
      </c>
      <c r="O1217" s="48">
        <v>46084</v>
      </c>
      <c r="P1217" s="26"/>
    </row>
    <row r="1218" spans="1:16" ht="14.5">
      <c r="A1218" s="3" t="s">
        <v>38</v>
      </c>
      <c r="B1218" s="8" t="s">
        <v>2813</v>
      </c>
      <c r="C1218" s="46" t="s">
        <v>4676</v>
      </c>
      <c r="D1218" s="41" t="str">
        <f ca="1">IFERROR(__xludf.DUMMYFUNCTION("IFERROR(ARRAYFORMULA(REGEXEXTRACT(C1218,""^(?:https?:\/\/)?(?:[^@\n]+@)?(?:www\.)?([^:\/\n]+)"")),"""")"),"festivals.com")</f>
        <v>festivals.com</v>
      </c>
      <c r="E1218" s="26" t="str">
        <f ca="1">IFERROR(__xludf.DUMMYFUNCTION("""COMPUTED_VALUE"""),"New")</f>
        <v>New</v>
      </c>
      <c r="F1218" s="72">
        <v>47</v>
      </c>
      <c r="G1218" s="72">
        <v>3531</v>
      </c>
      <c r="P1218" s="26"/>
    </row>
    <row r="1219" spans="1:16" ht="14.5">
      <c r="A1219" s="3" t="s">
        <v>38</v>
      </c>
      <c r="B1219" s="8" t="s">
        <v>2813</v>
      </c>
      <c r="C1219" s="46" t="s">
        <v>4677</v>
      </c>
      <c r="D1219" s="41" t="str">
        <f ca="1">IFERROR(__xludf.DUMMYFUNCTION("IFERROR(ARRAYFORMULA(REGEXEXTRACT(C1219,""^(?:https?:\/\/)?(?:[^@\n]+@)?(?:www\.)?([^:\/\n]+)"")),"""")"),"live5news.com")</f>
        <v>live5news.com</v>
      </c>
      <c r="E1219" s="26" t="str">
        <f ca="1">IFERROR(__xludf.DUMMYFUNCTION("""COMPUTED_VALUE"""),"New")</f>
        <v>New</v>
      </c>
      <c r="F1219" s="72">
        <v>75</v>
      </c>
      <c r="G1219" s="72">
        <v>114242</v>
      </c>
      <c r="P1219" s="26"/>
    </row>
    <row r="1220" spans="1:16" ht="14.5">
      <c r="A1220" s="3" t="s">
        <v>38</v>
      </c>
      <c r="B1220" s="8" t="s">
        <v>2813</v>
      </c>
      <c r="C1220" s="46" t="s">
        <v>4678</v>
      </c>
      <c r="D1220" s="41" t="str">
        <f ca="1">IFERROR(__xludf.DUMMYFUNCTION("IFERROR(ARRAYFORMULA(REGEXEXTRACT(C1220,""^(?:https?:\/\/)?(?:[^@\n]+@)?(?:www\.)?([^:\/\n]+)"")),"""")"),"georgiatrend.com")</f>
        <v>georgiatrend.com</v>
      </c>
      <c r="E1220" s="26" t="str">
        <f ca="1">IFERROR(__xludf.DUMMYFUNCTION("""COMPUTED_VALUE"""),"New")</f>
        <v>New</v>
      </c>
      <c r="F1220" s="72">
        <v>63</v>
      </c>
      <c r="G1220" s="72">
        <v>1173</v>
      </c>
      <c r="P1220" s="26"/>
    </row>
    <row r="1221" spans="1:16" ht="14.5">
      <c r="A1221" s="3" t="s">
        <v>38</v>
      </c>
      <c r="B1221" s="8" t="s">
        <v>2813</v>
      </c>
      <c r="C1221" s="46" t="s">
        <v>4679</v>
      </c>
      <c r="D1221" s="41" t="str">
        <f ca="1">IFERROR(__xludf.DUMMYFUNCTION("IFERROR(ARRAYFORMULA(REGEXEXTRACT(C1221,""^(?:https?:\/\/)?(?:[^@\n]+@)?(?:www\.)?([^:\/\n]+)"")),"""")"),"redlandsdailyfacts.com")</f>
        <v>redlandsdailyfacts.com</v>
      </c>
      <c r="E1221" s="26" t="str">
        <f ca="1">IFERROR(__xludf.DUMMYFUNCTION("""COMPUTED_VALUE"""),"New")</f>
        <v>New</v>
      </c>
      <c r="F1221" s="72">
        <v>62</v>
      </c>
      <c r="G1221" s="72">
        <v>3535</v>
      </c>
      <c r="P1221" s="26"/>
    </row>
    <row r="1222" spans="1:16" ht="14.5">
      <c r="A1222" s="3" t="s">
        <v>38</v>
      </c>
      <c r="B1222" s="8" t="s">
        <v>2813</v>
      </c>
      <c r="C1222" s="46" t="s">
        <v>4680</v>
      </c>
      <c r="D1222" s="41" t="str">
        <f ca="1">IFERROR(__xludf.DUMMYFUNCTION("IFERROR(ARRAYFORMULA(REGEXEXTRACT(C1222,""^(?:https?:\/\/)?(?:[^@\n]+@)?(?:www\.)?([^:\/\n]+)"")),"""")"),"oregonlive.com")</f>
        <v>oregonlive.com</v>
      </c>
      <c r="E1222" s="26" t="str">
        <f ca="1">IFERROR(__xludf.DUMMYFUNCTION("""COMPUTED_VALUE"""),"New")</f>
        <v>New</v>
      </c>
      <c r="F1222" s="72">
        <v>86</v>
      </c>
      <c r="G1222" s="72">
        <v>685165</v>
      </c>
      <c r="P1222" s="26"/>
    </row>
    <row r="1223" spans="1:16" ht="14.5">
      <c r="A1223" s="3" t="s">
        <v>38</v>
      </c>
      <c r="B1223" s="8" t="s">
        <v>2813</v>
      </c>
      <c r="C1223" s="46" t="s">
        <v>4681</v>
      </c>
      <c r="D1223" s="41" t="str">
        <f ca="1">IFERROR(__xludf.DUMMYFUNCTION("IFERROR(ARRAYFORMULA(REGEXEXTRACT(C1223,""^(?:https?:\/\/)?(?:[^@\n]+@)?(?:www\.)?([^:\/\n]+)"")),"""")"),"opencw.aprende.org")</f>
        <v>opencw.aprende.org</v>
      </c>
      <c r="E1223" s="26" t="str">
        <f ca="1">IFERROR(__xludf.DUMMYFUNCTION("""COMPUTED_VALUE"""),"New")</f>
        <v>New</v>
      </c>
      <c r="F1223" s="72">
        <v>61</v>
      </c>
      <c r="G1223" s="72">
        <v>14604</v>
      </c>
      <c r="P1223" s="26"/>
    </row>
    <row r="1224" spans="1:16" ht="14.5">
      <c r="A1224" s="3" t="s">
        <v>38</v>
      </c>
      <c r="B1224" s="8" t="s">
        <v>2813</v>
      </c>
      <c r="C1224" s="46" t="s">
        <v>4682</v>
      </c>
      <c r="D1224" s="41" t="str">
        <f ca="1">IFERROR(__xludf.DUMMYFUNCTION("IFERROR(ARRAYFORMULA(REGEXEXTRACT(C1224,""^(?:https?:\/\/)?(?:[^@\n]+@)?(?:www\.)?([^:\/\n]+)"")),"""")"),"hoodline.com")</f>
        <v>hoodline.com</v>
      </c>
      <c r="E1224" s="26" t="str">
        <f ca="1">IFERROR(__xludf.DUMMYFUNCTION("""COMPUTED_VALUE"""),"New")</f>
        <v>New</v>
      </c>
      <c r="F1224" s="72">
        <v>77</v>
      </c>
      <c r="G1224" s="72">
        <v>93353</v>
      </c>
      <c r="P1224" s="26"/>
    </row>
    <row r="1225" spans="1:16" ht="14.5">
      <c r="A1225" s="3" t="s">
        <v>38</v>
      </c>
      <c r="B1225" s="8" t="s">
        <v>2813</v>
      </c>
      <c r="C1225" s="46" t="s">
        <v>4683</v>
      </c>
      <c r="D1225" s="41" t="str">
        <f ca="1">IFERROR(__xludf.DUMMYFUNCTION("IFERROR(ARRAYFORMULA(REGEXEXTRACT(C1225,""^(?:https?:\/\/)?(?:[^@\n]+@)?(?:www\.)?([^:\/\n]+)"")),"""")"),"golfcourseindustry.com")</f>
        <v>golfcourseindustry.com</v>
      </c>
      <c r="E1225" s="26" t="str">
        <f ca="1">IFERROR(__xludf.DUMMYFUNCTION("""COMPUTED_VALUE"""),"New")</f>
        <v>New</v>
      </c>
      <c r="F1225" s="72">
        <v>65</v>
      </c>
      <c r="G1225" s="72">
        <v>3150</v>
      </c>
      <c r="P1225" s="26"/>
    </row>
    <row r="1226" spans="1:16" ht="14.5">
      <c r="A1226" s="3" t="s">
        <v>38</v>
      </c>
      <c r="B1226" s="8" t="s">
        <v>2813</v>
      </c>
      <c r="C1226" s="46" t="s">
        <v>4684</v>
      </c>
      <c r="D1226" s="41" t="str">
        <f ca="1">IFERROR(__xludf.DUMMYFUNCTION("IFERROR(ARRAYFORMULA(REGEXEXTRACT(C1226,""^(?:https?:\/\/)?(?:[^@\n]+@)?(?:www\.)?([^:\/\n]+)"")),"""")"),"floridarealtymarketplace.com")</f>
        <v>floridarealtymarketplace.com</v>
      </c>
      <c r="E1226" s="26" t="str">
        <f ca="1">IFERROR(__xludf.DUMMYFUNCTION("""COMPUTED_VALUE"""),"New")</f>
        <v>New</v>
      </c>
      <c r="F1226" s="72">
        <v>30</v>
      </c>
      <c r="G1226" s="72">
        <v>5202</v>
      </c>
      <c r="P1226" s="26"/>
    </row>
    <row r="1227" spans="1:16" ht="14.5">
      <c r="A1227" s="3" t="s">
        <v>38</v>
      </c>
      <c r="B1227" s="8" t="s">
        <v>2813</v>
      </c>
      <c r="C1227" s="46" t="s">
        <v>4685</v>
      </c>
      <c r="D1227" s="41" t="str">
        <f ca="1">IFERROR(__xludf.DUMMYFUNCTION("IFERROR(ARRAYFORMULA(REGEXEXTRACT(C1227,""^(?:https?:\/\/)?(?:[^@\n]+@)?(?:www\.)?([^:\/\n]+)"")),"""")"),"goodallhomes.com")</f>
        <v>goodallhomes.com</v>
      </c>
      <c r="E1227" s="26" t="str">
        <f ca="1">IFERROR(__xludf.DUMMYFUNCTION("""COMPUTED_VALUE"""),"New")</f>
        <v>New</v>
      </c>
      <c r="F1227" s="72">
        <v>32</v>
      </c>
      <c r="G1227" s="72">
        <v>1564</v>
      </c>
      <c r="P1227" s="26"/>
    </row>
    <row r="1228" spans="1:16" ht="14.5">
      <c r="A1228" s="3" t="s">
        <v>38</v>
      </c>
      <c r="B1228" s="8" t="s">
        <v>2813</v>
      </c>
      <c r="C1228" s="46" t="s">
        <v>4686</v>
      </c>
      <c r="D1228" s="41" t="str">
        <f ca="1">IFERROR(__xludf.DUMMYFUNCTION("IFERROR(ARRAYFORMULA(REGEXEXTRACT(C1228,""^(?:https?:\/\/)?(?:[^@\n]+@)?(?:www\.)?([^:\/\n]+)"")),"""")"),"localbiznetwork.com")</f>
        <v>localbiznetwork.com</v>
      </c>
      <c r="E1228" s="26" t="str">
        <f ca="1">IFERROR(__xludf.DUMMYFUNCTION("""COMPUTED_VALUE"""),"New")</f>
        <v>New</v>
      </c>
      <c r="F1228" s="72">
        <v>58</v>
      </c>
      <c r="G1228" s="72">
        <v>2548</v>
      </c>
      <c r="P1228" s="26"/>
    </row>
    <row r="1229" spans="1:16" ht="14.5">
      <c r="A1229" s="3" t="s">
        <v>38</v>
      </c>
      <c r="B1229" s="8" t="s">
        <v>2813</v>
      </c>
      <c r="C1229" s="46" t="s">
        <v>4687</v>
      </c>
      <c r="D1229" s="41" t="str">
        <f ca="1">IFERROR(__xludf.DUMMYFUNCTION("IFERROR(ARRAYFORMULA(REGEXEXTRACT(C1229,""^(?:https?:\/\/)?(?:[^@\n]+@)?(?:www\.)?([^:\/\n]+)"")),"""")"),"news.libertysavingsbank.com")</f>
        <v>news.libertysavingsbank.com</v>
      </c>
      <c r="E1229" s="26" t="str">
        <f ca="1">IFERROR(__xludf.DUMMYFUNCTION("""COMPUTED_VALUE"""),"New")</f>
        <v>New</v>
      </c>
      <c r="F1229" s="72">
        <v>34</v>
      </c>
      <c r="G1229" s="72">
        <v>3292</v>
      </c>
      <c r="P1229" s="26"/>
    </row>
    <row r="1230" spans="1:16" ht="14.5">
      <c r="A1230" s="3" t="s">
        <v>38</v>
      </c>
      <c r="B1230" s="8" t="s">
        <v>2813</v>
      </c>
      <c r="C1230" s="46" t="s">
        <v>4688</v>
      </c>
      <c r="D1230" s="41" t="str">
        <f ca="1">IFERROR(__xludf.DUMMYFUNCTION("IFERROR(ARRAYFORMULA(REGEXEXTRACT(C1230,""^(?:https?:\/\/)?(?:[^@\n]+@)?(?:www\.)?([^:\/\n]+)"")),"""")"),"buzzfile.com")</f>
        <v>buzzfile.com</v>
      </c>
      <c r="E1230" s="26" t="str">
        <f ca="1">IFERROR(__xludf.DUMMYFUNCTION("""COMPUTED_VALUE"""),"New")</f>
        <v>New</v>
      </c>
      <c r="F1230" s="72">
        <v>68</v>
      </c>
      <c r="G1230" s="72">
        <v>6166</v>
      </c>
      <c r="P1230" s="26"/>
    </row>
    <row r="1231" spans="1:16" ht="14.5">
      <c r="A1231" s="3" t="s">
        <v>38</v>
      </c>
      <c r="B1231" s="8" t="s">
        <v>2813</v>
      </c>
      <c r="C1231" s="49" t="s">
        <v>4689</v>
      </c>
      <c r="D1231" s="41" t="str">
        <f ca="1">IFERROR(__xludf.DUMMYFUNCTION("IFERROR(ARRAYFORMULA(REGEXEXTRACT(C1231,""^(?:https?:\/\/)?(?:[^@\n]+@)?(?:www\.)?([^:\/\n]+)"")),"""")"),"bellacollina.com")</f>
        <v>bellacollina.com</v>
      </c>
      <c r="E1231" s="26" t="str">
        <f ca="1">IFERROR(__xludf.DUMMYFUNCTION("""COMPUTED_VALUE"""),"New")</f>
        <v>New</v>
      </c>
      <c r="F1231" s="72">
        <v>54</v>
      </c>
      <c r="G1231" s="72">
        <v>8568</v>
      </c>
      <c r="H1231" s="27" t="s">
        <v>4690</v>
      </c>
      <c r="I1231" s="27" t="s">
        <v>4691</v>
      </c>
      <c r="J1231" s="27" t="s">
        <v>4692</v>
      </c>
      <c r="K1231" s="27" t="s">
        <v>3853</v>
      </c>
      <c r="L1231" s="112"/>
      <c r="M1231" s="27" t="s">
        <v>3117</v>
      </c>
      <c r="N1231" s="48">
        <v>46041</v>
      </c>
      <c r="O1231" s="48">
        <v>46084</v>
      </c>
      <c r="P1231" s="26"/>
    </row>
    <row r="1232" spans="1:16" ht="14.5">
      <c r="A1232" s="3" t="s">
        <v>38</v>
      </c>
      <c r="B1232" s="8" t="s">
        <v>2813</v>
      </c>
      <c r="C1232" s="46" t="s">
        <v>4693</v>
      </c>
      <c r="D1232" s="41" t="str">
        <f ca="1">IFERROR(__xludf.DUMMYFUNCTION("IFERROR(ARRAYFORMULA(REGEXEXTRACT(C1232,""^(?:https?:\/\/)?(?:[^@\n]+@)?(?:www\.)?([^:\/\n]+)"")),"""")"),"virtualmuseum.finearts.go.th")</f>
        <v>virtualmuseum.finearts.go.th</v>
      </c>
      <c r="E1232" s="26" t="str">
        <f ca="1">IFERROR(__xludf.DUMMYFUNCTION("""COMPUTED_VALUE"""),"New")</f>
        <v>New</v>
      </c>
      <c r="F1232" s="72">
        <v>66</v>
      </c>
      <c r="G1232" s="72">
        <v>354847</v>
      </c>
      <c r="P1232" s="26"/>
    </row>
    <row r="1233" spans="1:16" ht="14.5">
      <c r="A1233" s="3" t="s">
        <v>38</v>
      </c>
      <c r="B1233" s="8" t="s">
        <v>2813</v>
      </c>
      <c r="C1233" s="46" t="s">
        <v>4694</v>
      </c>
      <c r="D1233" s="41" t="str">
        <f ca="1">IFERROR(__xludf.DUMMYFUNCTION("IFERROR(ARRAYFORMULA(REGEXEXTRACT(C1233,""^(?:https?:\/\/)?(?:[^@\n]+@)?(?:www\.)?([^:\/\n]+)"")),"""")"),"phillymag.com")</f>
        <v>phillymag.com</v>
      </c>
      <c r="E1233" s="26" t="str">
        <f ca="1">IFERROR(__xludf.DUMMYFUNCTION("""COMPUTED_VALUE"""),"New")</f>
        <v>New</v>
      </c>
      <c r="F1233" s="72">
        <v>80</v>
      </c>
      <c r="G1233" s="72">
        <v>109567</v>
      </c>
      <c r="P1233" s="26"/>
    </row>
    <row r="1234" spans="1:16" ht="14.5">
      <c r="A1234" s="3" t="s">
        <v>38</v>
      </c>
      <c r="B1234" s="8" t="s">
        <v>2813</v>
      </c>
      <c r="C1234" s="67" t="s">
        <v>4695</v>
      </c>
      <c r="D1234" s="41" t="str">
        <f ca="1">IFERROR(__xludf.DUMMYFUNCTION("IFERROR(ARRAYFORMULA(REGEXEXTRACT(C1234,""^(?:https?:\/\/)?(?:[^@\n]+@)?(?:www\.)?([^:\/\n]+)"")),"""")"),"houston.culturemap.com")</f>
        <v>houston.culturemap.com</v>
      </c>
      <c r="E1234" s="26" t="str">
        <f ca="1">IFERROR(__xludf.DUMMYFUNCTION("""COMPUTED_VALUE"""),"New")</f>
        <v>New</v>
      </c>
      <c r="F1234" s="72">
        <v>79</v>
      </c>
      <c r="G1234" s="72">
        <v>96643</v>
      </c>
      <c r="P1234" s="26"/>
    </row>
    <row r="1235" spans="1:16" ht="14.5">
      <c r="A1235" s="3" t="s">
        <v>38</v>
      </c>
      <c r="B1235" s="8" t="s">
        <v>2813</v>
      </c>
      <c r="C1235" s="46" t="s">
        <v>4696</v>
      </c>
      <c r="D1235" s="41" t="str">
        <f ca="1">IFERROR(__xludf.DUMMYFUNCTION("IFERROR(ARRAYFORMULA(REGEXEXTRACT(C1235,""^(?:https?:\/\/)?(?:[^@\n]+@)?(?:www\.)?([^:\/\n]+)"")),"""")"),"thescottsdaleliving.com")</f>
        <v>thescottsdaleliving.com</v>
      </c>
      <c r="E1235" s="26" t="str">
        <f ca="1">IFERROR(__xludf.DUMMYFUNCTION("""COMPUTED_VALUE"""),"New")</f>
        <v>New</v>
      </c>
      <c r="F1235" s="72">
        <v>31</v>
      </c>
      <c r="G1235" s="72">
        <v>4912</v>
      </c>
      <c r="P1235" s="26"/>
    </row>
    <row r="1236" spans="1:16" ht="14.5">
      <c r="A1236" s="3" t="s">
        <v>38</v>
      </c>
      <c r="B1236" s="8" t="s">
        <v>2813</v>
      </c>
      <c r="C1236" s="46" t="s">
        <v>4697</v>
      </c>
      <c r="D1236" s="41" t="str">
        <f ca="1">IFERROR(__xludf.DUMMYFUNCTION("IFERROR(ARRAYFORMULA(REGEXEXTRACT(C1236,""^(?:https?:\/\/)?(?:[^@\n]+@)?(?:www\.)?([^:\/\n]+)"")),"""")"),"floqast.com")</f>
        <v>floqast.com</v>
      </c>
      <c r="E1236" s="26" t="str">
        <f ca="1">IFERROR(__xludf.DUMMYFUNCTION("""COMPUTED_VALUE"""),"New")</f>
        <v>New</v>
      </c>
      <c r="F1236" s="72">
        <v>71</v>
      </c>
      <c r="G1236" s="72">
        <v>26017</v>
      </c>
      <c r="P1236" s="26"/>
    </row>
    <row r="1237" spans="1:16" ht="14.5">
      <c r="A1237" s="3" t="s">
        <v>38</v>
      </c>
      <c r="B1237" s="8" t="s">
        <v>2813</v>
      </c>
      <c r="C1237" s="46" t="s">
        <v>4698</v>
      </c>
      <c r="D1237" s="41" t="str">
        <f ca="1">IFERROR(__xludf.DUMMYFUNCTION("IFERROR(ARRAYFORMULA(REGEXEXTRACT(C1237,""^(?:https?:\/\/)?(?:[^@\n]+@)?(?:www\.)?([^:\/\n]+)"")),"""")"),"reinhartrealtors.com")</f>
        <v>reinhartrealtors.com</v>
      </c>
      <c r="E1237" s="26" t="str">
        <f ca="1">IFERROR(__xludf.DUMMYFUNCTION("""COMPUTED_VALUE"""),"New")</f>
        <v>New</v>
      </c>
      <c r="F1237" s="72">
        <v>40</v>
      </c>
      <c r="G1237" s="72">
        <v>2537</v>
      </c>
      <c r="P1237" s="26"/>
    </row>
    <row r="1238" spans="1:16" ht="14.5">
      <c r="A1238" s="3" t="s">
        <v>38</v>
      </c>
      <c r="B1238" s="8" t="s">
        <v>2813</v>
      </c>
      <c r="C1238" s="46" t="s">
        <v>4699</v>
      </c>
      <c r="D1238" s="41" t="str">
        <f ca="1">IFERROR(__xludf.DUMMYFUNCTION("IFERROR(ARRAYFORMULA(REGEXEXTRACT(C1238,""^(?:https?:\/\/)?(?:[^@\n]+@)?(?:www\.)?([^:\/\n]+)"")),"""")"),"gulfcoast.helpusell.com")</f>
        <v>gulfcoast.helpusell.com</v>
      </c>
      <c r="E1238" s="26" t="str">
        <f ca="1">IFERROR(__xludf.DUMMYFUNCTION("""COMPUTED_VALUE"""),"New")</f>
        <v>New</v>
      </c>
      <c r="F1238" s="72">
        <v>45</v>
      </c>
      <c r="G1238" s="72">
        <v>1256</v>
      </c>
      <c r="P1238" s="26"/>
    </row>
    <row r="1239" spans="1:16" ht="14.5">
      <c r="A1239" s="3" t="s">
        <v>38</v>
      </c>
      <c r="B1239" s="8" t="s">
        <v>2813</v>
      </c>
      <c r="C1239" s="46" t="s">
        <v>4700</v>
      </c>
      <c r="D1239" s="41" t="str">
        <f ca="1">IFERROR(__xludf.DUMMYFUNCTION("IFERROR(ARRAYFORMULA(REGEXEXTRACT(C1239,""^(?:https?:\/\/)?(?:[^@\n]+@)?(?:www\.)?([^:\/\n]+)"")),"""")"),"lasvegasaviators.enmotive.com")</f>
        <v>lasvegasaviators.enmotive.com</v>
      </c>
      <c r="E1239" s="26" t="str">
        <f ca="1">IFERROR(__xludf.DUMMYFUNCTION("""COMPUTED_VALUE"""),"New")</f>
        <v>New</v>
      </c>
      <c r="F1239" s="72">
        <v>71</v>
      </c>
      <c r="G1239" s="72">
        <v>5409</v>
      </c>
      <c r="P1239" s="26"/>
    </row>
    <row r="1240" spans="1:16" ht="14.5">
      <c r="A1240" s="3" t="s">
        <v>38</v>
      </c>
      <c r="B1240" s="8" t="s">
        <v>2813</v>
      </c>
      <c r="C1240" s="46" t="s">
        <v>4701</v>
      </c>
      <c r="D1240" s="41" t="str">
        <f ca="1">IFERROR(__xludf.DUMMYFUNCTION("IFERROR(ARRAYFORMULA(REGEXEXTRACT(C1240,""^(?:https?:\/\/)?(?:[^@\n]+@)?(?:www\.)?([^:\/\n]+)"")),"""")"),"resnet.us")</f>
        <v>resnet.us</v>
      </c>
      <c r="E1240" s="26" t="str">
        <f ca="1">IFERROR(__xludf.DUMMYFUNCTION("""COMPUTED_VALUE"""),"New")</f>
        <v>New</v>
      </c>
      <c r="F1240" s="72">
        <v>74</v>
      </c>
      <c r="G1240" s="72">
        <v>5547</v>
      </c>
      <c r="P1240" s="26"/>
    </row>
    <row r="1241" spans="1:16" ht="14.5">
      <c r="A1241" s="3" t="s">
        <v>38</v>
      </c>
      <c r="B1241" s="8" t="s">
        <v>2813</v>
      </c>
      <c r="C1241" s="46" t="s">
        <v>4702</v>
      </c>
      <c r="D1241" s="41" t="str">
        <f ca="1">IFERROR(__xludf.DUMMYFUNCTION("IFERROR(ARRAYFORMULA(REGEXEXTRACT(C1241,""^(?:https?:\/\/)?(?:[^@\n]+@)?(?:www\.)?([^:\/\n]+)"")),"""")"),"vestapropertyservices.com")</f>
        <v>vestapropertyservices.com</v>
      </c>
      <c r="E1241" s="26" t="str">
        <f ca="1">IFERROR(__xludf.DUMMYFUNCTION("""COMPUTED_VALUE"""),"New")</f>
        <v>New</v>
      </c>
      <c r="F1241" s="72">
        <v>47</v>
      </c>
      <c r="G1241" s="72">
        <v>1996</v>
      </c>
      <c r="P1241" s="26"/>
    </row>
    <row r="1242" spans="1:16" ht="14.5">
      <c r="A1242" s="3" t="s">
        <v>38</v>
      </c>
      <c r="B1242" s="8" t="s">
        <v>2813</v>
      </c>
      <c r="C1242" s="46" t="s">
        <v>4703</v>
      </c>
      <c r="D1242" s="41" t="str">
        <f ca="1">IFERROR(__xludf.DUMMYFUNCTION("IFERROR(ARRAYFORMULA(REGEXEXTRACT(C1242,""^(?:https?:\/\/)?(?:[^@\n]+@)?(?:www\.)?([^:\/\n]+)"")),"""")"),"allgov.com")</f>
        <v>allgov.com</v>
      </c>
      <c r="E1242" s="26" t="str">
        <f ca="1">IFERROR(__xludf.DUMMYFUNCTION("""COMPUTED_VALUE"""),"New")</f>
        <v>New</v>
      </c>
      <c r="F1242" s="72">
        <v>60</v>
      </c>
      <c r="G1242" s="72">
        <v>1576</v>
      </c>
      <c r="P1242" s="26"/>
    </row>
    <row r="1243" spans="1:16" ht="14.5">
      <c r="A1243" s="3" t="s">
        <v>38</v>
      </c>
      <c r="B1243" s="8" t="s">
        <v>2813</v>
      </c>
      <c r="C1243" s="46" t="s">
        <v>4704</v>
      </c>
      <c r="D1243" s="41" t="str">
        <f ca="1">IFERROR(__xludf.DUMMYFUNCTION("IFERROR(ARRAYFORMULA(REGEXEXTRACT(C1243,""^(?:https?:\/\/)?(?:[^@\n]+@)?(?:www\.)?([^:\/\n]+)"")),"""")"),"rallypoint.com")</f>
        <v>rallypoint.com</v>
      </c>
      <c r="E1243" s="26" t="str">
        <f ca="1">IFERROR(__xludf.DUMMYFUNCTION("""COMPUTED_VALUE"""),"New")</f>
        <v>New</v>
      </c>
      <c r="F1243" s="72">
        <v>60</v>
      </c>
      <c r="G1243" s="72">
        <v>4918</v>
      </c>
      <c r="P1243" s="26"/>
    </row>
    <row r="1244" spans="1:16" ht="14.5">
      <c r="A1244" s="3" t="s">
        <v>38</v>
      </c>
      <c r="B1244" s="8" t="s">
        <v>2813</v>
      </c>
      <c r="C1244" s="46" t="s">
        <v>4705</v>
      </c>
      <c r="D1244" s="41" t="str">
        <f ca="1">IFERROR(__xludf.DUMMYFUNCTION("IFERROR(ARRAYFORMULA(REGEXEXTRACT(C1244,""^(?:https?:\/\/)?(?:[^@\n]+@)?(?:www\.)?([^:\/\n]+)"")),"""")"),"fortmyersbeachtalk.com")</f>
        <v>fortmyersbeachtalk.com</v>
      </c>
      <c r="E1244" s="26" t="str">
        <f ca="1">IFERROR(__xludf.DUMMYFUNCTION("""COMPUTED_VALUE"""),"New")</f>
        <v>New</v>
      </c>
      <c r="F1244" s="72">
        <v>43</v>
      </c>
      <c r="G1244" s="72">
        <v>1360</v>
      </c>
      <c r="P1244" s="26"/>
    </row>
    <row r="1245" spans="1:16" ht="14.5">
      <c r="A1245" s="3" t="s">
        <v>38</v>
      </c>
      <c r="B1245" s="8" t="s">
        <v>2813</v>
      </c>
      <c r="C1245" s="46" t="s">
        <v>4706</v>
      </c>
      <c r="D1245" s="41" t="str">
        <f ca="1">IFERROR(__xludf.DUMMYFUNCTION("IFERROR(ARRAYFORMULA(REGEXEXTRACT(C1245,""^(?:https?:\/\/)?(?:[^@\n]+@)?(?:www\.)?([^:\/\n]+)"")),"""")"),"bbtw.cheddar.com")</f>
        <v>bbtw.cheddar.com</v>
      </c>
      <c r="E1245" s="26" t="str">
        <f ca="1">IFERROR(__xludf.DUMMYFUNCTION("""COMPUTED_VALUE"""),"New")</f>
        <v>New</v>
      </c>
      <c r="F1245" s="72">
        <v>80</v>
      </c>
      <c r="G1245" s="72">
        <v>5348</v>
      </c>
      <c r="P1245" s="26"/>
    </row>
    <row r="1246" spans="1:16" ht="14.5">
      <c r="A1246" s="3" t="s">
        <v>38</v>
      </c>
      <c r="B1246" s="8" t="s">
        <v>2813</v>
      </c>
      <c r="C1246" s="46" t="s">
        <v>4707</v>
      </c>
      <c r="D1246" s="41" t="str">
        <f ca="1">IFERROR(__xludf.DUMMYFUNCTION("IFERROR(ARRAYFORMULA(REGEXEXTRACT(C1246,""^(?:https?:\/\/)?(?:[^@\n]+@)?(?:www\.)?([^:\/\n]+)"")),"""")"),"auburnhills.org")</f>
        <v>auburnhills.org</v>
      </c>
      <c r="E1246" s="26" t="str">
        <f ca="1">IFERROR(__xludf.DUMMYFUNCTION("""COMPUTED_VALUE"""),"New")</f>
        <v>New</v>
      </c>
      <c r="F1246" s="72">
        <v>53</v>
      </c>
      <c r="G1246" s="72">
        <v>2106</v>
      </c>
      <c r="P1246" s="26"/>
    </row>
    <row r="1247" spans="1:16" ht="14.5">
      <c r="A1247" s="3" t="s">
        <v>38</v>
      </c>
      <c r="B1247" s="8" t="s">
        <v>2813</v>
      </c>
      <c r="C1247" s="46" t="s">
        <v>4708</v>
      </c>
      <c r="D1247" s="41" t="str">
        <f ca="1">IFERROR(__xludf.DUMMYFUNCTION("IFERROR(ARRAYFORMULA(REGEXEXTRACT(C1247,""^(?:https?:\/\/)?(?:[^@\n]+@)?(?:www\.)?([^:\/\n]+)"")),"""")"),"www7.eere.energy.gov")</f>
        <v>www7.eere.energy.gov</v>
      </c>
      <c r="E1247" s="26" t="str">
        <f ca="1">IFERROR(__xludf.DUMMYFUNCTION("""COMPUTED_VALUE"""),"New")</f>
        <v>New</v>
      </c>
      <c r="F1247" s="72">
        <v>91</v>
      </c>
      <c r="G1247" s="72">
        <v>2990186</v>
      </c>
      <c r="P1247" s="26"/>
    </row>
    <row r="1248" spans="1:16" ht="14.5">
      <c r="A1248" s="3" t="s">
        <v>38</v>
      </c>
      <c r="B1248" s="8" t="s">
        <v>2813</v>
      </c>
      <c r="C1248" s="46" t="s">
        <v>4709</v>
      </c>
      <c r="D1248" s="41" t="str">
        <f ca="1">IFERROR(__xludf.DUMMYFUNCTION("IFERROR(ARRAYFORMULA(REGEXEXTRACT(C1248,""^(?:https?:\/\/)?(?:[^@\n]+@)?(?:www\.)?([^:\/\n]+)"")),"""")"),"adventhealth.com")</f>
        <v>adventhealth.com</v>
      </c>
      <c r="E1248" s="26" t="str">
        <f ca="1">IFERROR(__xludf.DUMMYFUNCTION("""COMPUTED_VALUE"""),"New")</f>
        <v>New</v>
      </c>
      <c r="F1248" s="72">
        <v>79</v>
      </c>
      <c r="G1248" s="72">
        <v>656998</v>
      </c>
      <c r="P1248" s="26"/>
    </row>
    <row r="1249" spans="1:16" ht="14.5">
      <c r="A1249" s="3" t="s">
        <v>38</v>
      </c>
      <c r="B1249" s="8" t="s">
        <v>2813</v>
      </c>
      <c r="C1249" s="46" t="s">
        <v>4710</v>
      </c>
      <c r="D1249" s="41" t="str">
        <f ca="1">IFERROR(__xludf.DUMMYFUNCTION("IFERROR(ARRAYFORMULA(REGEXEXTRACT(C1249,""^(?:https?:\/\/)?(?:[^@\n]+@)?(?:www\.)?([^:\/\n]+)"")),"""")"),"sbsun.com")</f>
        <v>sbsun.com</v>
      </c>
      <c r="E1249" s="26" t="str">
        <f ca="1">IFERROR(__xludf.DUMMYFUNCTION("""COMPUTED_VALUE"""),"New")</f>
        <v>New</v>
      </c>
      <c r="F1249" s="72">
        <v>73</v>
      </c>
      <c r="G1249" s="72">
        <v>30645</v>
      </c>
      <c r="P1249" s="26"/>
    </row>
    <row r="1250" spans="1:16" ht="14.5">
      <c r="A1250" s="3" t="s">
        <v>38</v>
      </c>
      <c r="B1250" s="8" t="s">
        <v>2813</v>
      </c>
      <c r="C1250" s="46" t="s">
        <v>4711</v>
      </c>
      <c r="D1250" s="41" t="str">
        <f ca="1">IFERROR(__xludf.DUMMYFUNCTION("IFERROR(ARRAYFORMULA(REGEXEXTRACT(C1250,""^(?:https?:\/\/)?(?:[^@\n]+@)?(?:www\.)?([^:\/\n]+)"")),"""")"),"findmassleads.com")</f>
        <v>findmassleads.com</v>
      </c>
      <c r="E1250" s="26" t="str">
        <f ca="1">IFERROR(__xludf.DUMMYFUNCTION("""COMPUTED_VALUE"""),"New")</f>
        <v>New</v>
      </c>
      <c r="F1250" s="72">
        <v>39</v>
      </c>
      <c r="G1250" s="72">
        <v>72395</v>
      </c>
      <c r="P1250" s="26"/>
    </row>
    <row r="1251" spans="1:16" ht="14.5">
      <c r="A1251" s="3" t="s">
        <v>38</v>
      </c>
      <c r="B1251" s="8" t="s">
        <v>2813</v>
      </c>
      <c r="C1251" s="46" t="s">
        <v>4712</v>
      </c>
      <c r="D1251" s="41" t="str">
        <f ca="1">IFERROR(__xludf.DUMMYFUNCTION("IFERROR(ARRAYFORMULA(REGEXEXTRACT(C1251,""^(?:https?:\/\/)?(?:[^@\n]+@)?(?:www\.)?([^:\/\n]+)"")),"""")"),"michigansthumb.com")</f>
        <v>michigansthumb.com</v>
      </c>
      <c r="E1251" s="26" t="str">
        <f ca="1">IFERROR(__xludf.DUMMYFUNCTION("""COMPUTED_VALUE"""),"New")</f>
        <v>New</v>
      </c>
      <c r="F1251" s="72">
        <v>61</v>
      </c>
      <c r="G1251" s="72">
        <v>52581</v>
      </c>
      <c r="P1251" s="26"/>
    </row>
    <row r="1252" spans="1:16" ht="14.5">
      <c r="A1252" s="3" t="s">
        <v>38</v>
      </c>
      <c r="B1252" s="8" t="s">
        <v>2813</v>
      </c>
      <c r="C1252" s="49" t="s">
        <v>4713</v>
      </c>
      <c r="D1252" s="41" t="str">
        <f ca="1">IFERROR(__xludf.DUMMYFUNCTION("IFERROR(ARRAYFORMULA(REGEXEXTRACT(C1252,""^(?:https?:\/\/)?(?:[^@\n]+@)?(?:www\.)?([^:\/\n]+)"")),"""")"),"mentorsmoving.com")</f>
        <v>mentorsmoving.com</v>
      </c>
      <c r="E1252" s="26" t="str">
        <f ca="1">IFERROR(__xludf.DUMMYFUNCTION("""COMPUTED_VALUE"""),"New")</f>
        <v>New</v>
      </c>
      <c r="F1252" s="72">
        <v>30</v>
      </c>
      <c r="G1252" s="72">
        <v>1723</v>
      </c>
      <c r="J1252" s="27" t="s">
        <v>4714</v>
      </c>
      <c r="K1252" s="27" t="s">
        <v>4092</v>
      </c>
      <c r="L1252" s="112"/>
      <c r="M1252" s="27" t="s">
        <v>3117</v>
      </c>
      <c r="N1252" s="48">
        <v>46042</v>
      </c>
      <c r="O1252" s="48">
        <v>46084</v>
      </c>
      <c r="P1252" s="26"/>
    </row>
    <row r="1253" spans="1:16" ht="14.5">
      <c r="A1253" s="3" t="s">
        <v>38</v>
      </c>
      <c r="B1253" s="8" t="s">
        <v>2813</v>
      </c>
      <c r="C1253" s="46" t="s">
        <v>4715</v>
      </c>
      <c r="D1253" s="41" t="str">
        <f ca="1">IFERROR(__xludf.DUMMYFUNCTION("IFERROR(ARRAYFORMULA(REGEXEXTRACT(C1253,""^(?:https?:\/\/)?(?:[^@\n]+@)?(?:www\.)?([^:\/\n]+)"")),"""")"),"imunovacin.websiteseguro.com")</f>
        <v>imunovacin.websiteseguro.com</v>
      </c>
      <c r="E1253" s="26" t="str">
        <f ca="1">IFERROR(__xludf.DUMMYFUNCTION("""COMPUTED_VALUE"""),"New")</f>
        <v>New</v>
      </c>
      <c r="F1253" s="72">
        <v>75</v>
      </c>
      <c r="G1253" s="72">
        <v>8929</v>
      </c>
      <c r="P1253" s="26"/>
    </row>
    <row r="1254" spans="1:16" ht="14.5">
      <c r="A1254" s="3" t="s">
        <v>38</v>
      </c>
      <c r="B1254" s="8" t="s">
        <v>2813</v>
      </c>
      <c r="C1254" s="46" t="s">
        <v>4716</v>
      </c>
      <c r="D1254" s="41" t="str">
        <f ca="1">IFERROR(__xludf.DUMMYFUNCTION("IFERROR(ARRAYFORMULA(REGEXEXTRACT(C1254,""^(?:https?:\/\/)?(?:[^@\n]+@)?(?:www\.)?([^:\/\n]+)"")),"""")"),"coroflot.com")</f>
        <v>coroflot.com</v>
      </c>
      <c r="E1254" s="26" t="str">
        <f ca="1">IFERROR(__xludf.DUMMYFUNCTION("""COMPUTED_VALUE"""),"New")</f>
        <v>New</v>
      </c>
      <c r="F1254" s="72">
        <v>78</v>
      </c>
      <c r="G1254" s="72">
        <v>8226</v>
      </c>
      <c r="P1254" s="26"/>
    </row>
    <row r="1255" spans="1:16" ht="14.5">
      <c r="A1255" s="3" t="s">
        <v>38</v>
      </c>
      <c r="B1255" s="8" t="s">
        <v>2813</v>
      </c>
      <c r="C1255" s="46" t="s">
        <v>4717</v>
      </c>
      <c r="D1255" s="41" t="str">
        <f ca="1">IFERROR(__xludf.DUMMYFUNCTION("IFERROR(ARRAYFORMULA(REGEXEXTRACT(C1255,""^(?:https?:\/\/)?(?:[^@\n]+@)?(?:www\.)?([^:\/\n]+)"")),"""")"),"ironvalleyrealestate.com")</f>
        <v>ironvalleyrealestate.com</v>
      </c>
      <c r="E1255" s="26" t="str">
        <f ca="1">IFERROR(__xludf.DUMMYFUNCTION("""COMPUTED_VALUE"""),"New")</f>
        <v>New</v>
      </c>
      <c r="F1255" s="72">
        <v>47</v>
      </c>
      <c r="G1255" s="72">
        <v>1408</v>
      </c>
      <c r="P1255" s="26"/>
    </row>
    <row r="1256" spans="1:16" ht="14.5">
      <c r="A1256" s="3" t="s">
        <v>38</v>
      </c>
      <c r="B1256" s="8" t="s">
        <v>2813</v>
      </c>
      <c r="C1256" s="46" t="s">
        <v>4718</v>
      </c>
      <c r="D1256" s="41" t="str">
        <f ca="1">IFERROR(__xludf.DUMMYFUNCTION("IFERROR(ARRAYFORMULA(REGEXEXTRACT(C1256,""^(?:https?:\/\/)?(?:[^@\n]+@)?(?:www\.)?([^:\/\n]+)"")),"""")"),"members.ghcc.com")</f>
        <v>members.ghcc.com</v>
      </c>
      <c r="E1256" s="26" t="str">
        <f ca="1">IFERROR(__xludf.DUMMYFUNCTION("""COMPUTED_VALUE"""),"New")</f>
        <v>New</v>
      </c>
      <c r="F1256" s="72">
        <v>43</v>
      </c>
      <c r="G1256" s="72">
        <v>1288</v>
      </c>
      <c r="P1256" s="26"/>
    </row>
    <row r="1257" spans="1:16" ht="14.5">
      <c r="A1257" s="3" t="s">
        <v>38</v>
      </c>
      <c r="B1257" s="8" t="s">
        <v>2813</v>
      </c>
      <c r="C1257" s="46" t="s">
        <v>4719</v>
      </c>
      <c r="D1257" s="41" t="str">
        <f ca="1">IFERROR(__xludf.DUMMYFUNCTION("IFERROR(ARRAYFORMULA(REGEXEXTRACT(C1257,""^(?:https?:\/\/)?(?:[^@\n]+@)?(?:www\.)?([^:\/\n]+)"")),"""")"),"statestemplate.byf.org")</f>
        <v>statestemplate.byf.org</v>
      </c>
      <c r="E1257" s="26" t="str">
        <f ca="1">IFERROR(__xludf.DUMMYFUNCTION("""COMPUTED_VALUE"""),"New")</f>
        <v>New</v>
      </c>
      <c r="F1257" s="72">
        <v>60</v>
      </c>
      <c r="G1257" s="72">
        <v>1558</v>
      </c>
      <c r="P1257" s="26"/>
    </row>
    <row r="1258" spans="1:16" ht="14.5">
      <c r="A1258" s="3" t="s">
        <v>38</v>
      </c>
      <c r="B1258" s="8" t="s">
        <v>2813</v>
      </c>
      <c r="C1258" s="46" t="s">
        <v>4720</v>
      </c>
      <c r="D1258" s="41" t="str">
        <f ca="1">IFERROR(__xludf.DUMMYFUNCTION("IFERROR(ARRAYFORMULA(REGEXEXTRACT(C1258,""^(?:https?:\/\/)?(?:[^@\n]+@)?(?:www\.)?([^:\/\n]+)"")),"""")"),"southern-energy.com")</f>
        <v>southern-energy.com</v>
      </c>
      <c r="E1258" s="26" t="str">
        <f ca="1">IFERROR(__xludf.DUMMYFUNCTION("""COMPUTED_VALUE"""),"New")</f>
        <v>New</v>
      </c>
      <c r="F1258" s="72">
        <v>51</v>
      </c>
      <c r="G1258" s="72">
        <v>2142</v>
      </c>
      <c r="P1258" s="26"/>
    </row>
    <row r="1259" spans="1:16" ht="14.5">
      <c r="A1259" s="3" t="s">
        <v>38</v>
      </c>
      <c r="B1259" s="8" t="s">
        <v>2813</v>
      </c>
      <c r="C1259" s="46" t="s">
        <v>4721</v>
      </c>
      <c r="D1259" s="41" t="str">
        <f ca="1">IFERROR(__xludf.DUMMYFUNCTION("IFERROR(ARRAYFORMULA(REGEXEXTRACT(C1259,""^(?:https?:\/\/)?(?:[^@\n]+@)?(?:www\.)?([^:\/\n]+)"")),"""")"),"alta.org")</f>
        <v>alta.org</v>
      </c>
      <c r="E1259" s="26" t="str">
        <f ca="1">IFERROR(__xludf.DUMMYFUNCTION("""COMPUTED_VALUE"""),"New")</f>
        <v>New</v>
      </c>
      <c r="F1259" s="72">
        <v>77</v>
      </c>
      <c r="G1259" s="72">
        <v>8787</v>
      </c>
      <c r="P1259" s="26"/>
    </row>
    <row r="1260" spans="1:16" ht="14.5">
      <c r="A1260" s="3" t="s">
        <v>38</v>
      </c>
      <c r="B1260" s="8" t="s">
        <v>2813</v>
      </c>
      <c r="C1260" s="49" t="s">
        <v>4722</v>
      </c>
      <c r="D1260" s="41" t="str">
        <f ca="1">IFERROR(__xludf.DUMMYFUNCTION("IFERROR(ARRAYFORMULA(REGEXEXTRACT(C1260,""^(?:https?:\/\/)?(?:[^@\n]+@)?(?:www\.)?([^:\/\n]+)"")),"""")"),"jbrec.com")</f>
        <v>jbrec.com</v>
      </c>
      <c r="E1260" s="26" t="str">
        <f ca="1">IFERROR(__xludf.DUMMYFUNCTION("""COMPUTED_VALUE"""),"New")</f>
        <v>New</v>
      </c>
      <c r="F1260" s="72">
        <v>68</v>
      </c>
      <c r="G1260" s="72">
        <v>2017</v>
      </c>
      <c r="H1260" s="27" t="s">
        <v>4723</v>
      </c>
      <c r="I1260" s="27" t="s">
        <v>4724</v>
      </c>
      <c r="J1260" s="27" t="s">
        <v>4725</v>
      </c>
      <c r="K1260" s="27" t="s">
        <v>3853</v>
      </c>
      <c r="L1260" s="112"/>
      <c r="M1260" s="27" t="s">
        <v>3117</v>
      </c>
      <c r="N1260" s="48">
        <v>46042</v>
      </c>
      <c r="O1260" s="48">
        <v>46084</v>
      </c>
      <c r="P1260" s="26"/>
    </row>
    <row r="1261" spans="1:16" ht="14.5">
      <c r="A1261" s="3" t="s">
        <v>38</v>
      </c>
      <c r="B1261" s="8" t="s">
        <v>2813</v>
      </c>
      <c r="C1261" s="46" t="s">
        <v>4726</v>
      </c>
      <c r="D1261" s="41" t="str">
        <f ca="1">IFERROR(__xludf.DUMMYFUNCTION("IFERROR(ARRAYFORMULA(REGEXEXTRACT(C1261,""^(?:https?:\/\/)?(?:[^@\n]+@)?(?:www\.)?([^:\/\n]+)"")),"""")"),"ww.irionlumber.com")</f>
        <v>ww.irionlumber.com</v>
      </c>
      <c r="E1261" s="26" t="str">
        <f ca="1">IFERROR(__xludf.DUMMYFUNCTION("""COMPUTED_VALUE"""),"New")</f>
        <v>New</v>
      </c>
      <c r="F1261" s="72">
        <v>31</v>
      </c>
      <c r="G1261" s="72">
        <v>4972</v>
      </c>
      <c r="P1261" s="26"/>
    </row>
    <row r="1262" spans="1:16" ht="14.5">
      <c r="A1262" s="3" t="s">
        <v>38</v>
      </c>
      <c r="B1262" s="8" t="s">
        <v>2813</v>
      </c>
      <c r="C1262" s="46" t="s">
        <v>4727</v>
      </c>
      <c r="D1262" s="41" t="str">
        <f ca="1">IFERROR(__xludf.DUMMYFUNCTION("IFERROR(ARRAYFORMULA(REGEXEXTRACT(C1262,""^(?:https?:\/\/)?(?:[^@\n]+@)?(?:www\.)?([^:\/\n]+)"")),"""")"),"connectcre.com")</f>
        <v>connectcre.com</v>
      </c>
      <c r="E1262" s="26" t="str">
        <f ca="1">IFERROR(__xludf.DUMMYFUNCTION("""COMPUTED_VALUE"""),"New")</f>
        <v>New</v>
      </c>
      <c r="F1262" s="72">
        <v>74</v>
      </c>
      <c r="G1262" s="72">
        <v>12835</v>
      </c>
      <c r="P1262" s="26"/>
    </row>
    <row r="1263" spans="1:16" ht="14.5">
      <c r="A1263" s="3" t="s">
        <v>38</v>
      </c>
      <c r="B1263" s="8" t="s">
        <v>2813</v>
      </c>
      <c r="C1263" s="46" t="s">
        <v>4728</v>
      </c>
      <c r="D1263" s="41" t="str">
        <f ca="1">IFERROR(__xludf.DUMMYFUNCTION("IFERROR(ARRAYFORMULA(REGEXEXTRACT(C1263,""^(?:https?:\/\/)?(?:[^@\n]+@)?(?:www\.)?([^:\/\n]+)"")),"""")"),"chicagobusiness.com")</f>
        <v>chicagobusiness.com</v>
      </c>
      <c r="E1263" s="26" t="str">
        <f ca="1">IFERROR(__xludf.DUMMYFUNCTION("""COMPUTED_VALUE"""),"New")</f>
        <v>New</v>
      </c>
      <c r="F1263" s="72">
        <v>81</v>
      </c>
      <c r="G1263" s="72">
        <v>63338</v>
      </c>
      <c r="P1263" s="26"/>
    </row>
    <row r="1264" spans="1:16" ht="14.5">
      <c r="A1264" s="3" t="s">
        <v>38</v>
      </c>
      <c r="B1264" s="8" t="s">
        <v>2813</v>
      </c>
      <c r="C1264" s="49" t="s">
        <v>4729</v>
      </c>
      <c r="D1264" s="41" t="str">
        <f ca="1">IFERROR(__xludf.DUMMYFUNCTION("IFERROR(ARRAYFORMULA(REGEXEXTRACT(C1264,""^(?:https?:\/\/)?(?:[^@\n]+@)?(?:www\.)?([^:\/\n]+)"")),"""")"),"homeserviceexpert.com")</f>
        <v>homeserviceexpert.com</v>
      </c>
      <c r="E1264" s="26" t="str">
        <f ca="1">IFERROR(__xludf.DUMMYFUNCTION("""COMPUTED_VALUE"""),"New")</f>
        <v>New</v>
      </c>
      <c r="F1264" s="72">
        <v>42</v>
      </c>
      <c r="G1264" s="72">
        <v>1224</v>
      </c>
      <c r="H1264" s="27" t="s">
        <v>4730</v>
      </c>
      <c r="I1264" s="27" t="s">
        <v>4731</v>
      </c>
      <c r="J1264" s="27" t="s">
        <v>4732</v>
      </c>
      <c r="K1264" s="27" t="s">
        <v>3853</v>
      </c>
      <c r="L1264" s="112"/>
      <c r="M1264" s="27" t="s">
        <v>3117</v>
      </c>
      <c r="N1264" s="48">
        <v>46042</v>
      </c>
      <c r="O1264" s="48">
        <v>46084</v>
      </c>
      <c r="P1264" s="26"/>
    </row>
    <row r="1265" spans="1:16" ht="14.5">
      <c r="A1265" s="3" t="s">
        <v>38</v>
      </c>
      <c r="B1265" s="8" t="s">
        <v>2813</v>
      </c>
      <c r="C1265" s="46" t="s">
        <v>4733</v>
      </c>
      <c r="D1265" s="41" t="str">
        <f ca="1">IFERROR(__xludf.DUMMYFUNCTION("IFERROR(ARRAYFORMULA(REGEXEXTRACT(C1265,""^(?:https?:\/\/)?(?:[^@\n]+@)?(?:www\.)?([^:\/\n]+)"")),"""")"),"test.carpentersworkshopgallery.com")</f>
        <v>test.carpentersworkshopgallery.com</v>
      </c>
      <c r="E1265" s="26" t="str">
        <f ca="1">IFERROR(__xludf.DUMMYFUNCTION("""COMPUTED_VALUE"""),"New")</f>
        <v>New</v>
      </c>
      <c r="F1265" s="72">
        <v>61</v>
      </c>
      <c r="G1265" s="72">
        <v>4081</v>
      </c>
      <c r="P1265" s="26"/>
    </row>
    <row r="1266" spans="1:16" ht="14.5">
      <c r="A1266" s="3" t="s">
        <v>38</v>
      </c>
      <c r="B1266" s="8" t="s">
        <v>2813</v>
      </c>
      <c r="C1266" s="46" t="s">
        <v>4734</v>
      </c>
      <c r="D1266" s="41" t="str">
        <f ca="1">IFERROR(__xludf.DUMMYFUNCTION("IFERROR(ARRAYFORMULA(REGEXEXTRACT(C1266,""^(?:https?:\/\/)?(?:[^@\n]+@)?(?:www\.)?([^:\/\n]+)"")),"""")"),"suburbanlifemagazine.com")</f>
        <v>suburbanlifemagazine.com</v>
      </c>
      <c r="E1266" s="26" t="str">
        <f ca="1">IFERROR(__xludf.DUMMYFUNCTION("""COMPUTED_VALUE"""),"New")</f>
        <v>New</v>
      </c>
      <c r="F1266" s="72">
        <v>53</v>
      </c>
      <c r="G1266" s="72">
        <v>1444</v>
      </c>
      <c r="P1266" s="26"/>
    </row>
    <row r="1267" spans="1:16" ht="14.5">
      <c r="A1267" s="3" t="s">
        <v>38</v>
      </c>
      <c r="B1267" s="8" t="s">
        <v>2813</v>
      </c>
      <c r="C1267" s="46" t="s">
        <v>4735</v>
      </c>
      <c r="D1267" s="41" t="str">
        <f ca="1">IFERROR(__xludf.DUMMYFUNCTION("IFERROR(ARRAYFORMULA(REGEXEXTRACT(C1267,""^(?:https?:\/\/)?(?:[^@\n]+@)?(?:www\.)?([^:\/\n]+)"")),"""")"),"foxsanantonio.com")</f>
        <v>foxsanantonio.com</v>
      </c>
      <c r="E1267" s="26" t="str">
        <f ca="1">IFERROR(__xludf.DUMMYFUNCTION("""COMPUTED_VALUE"""),"New")</f>
        <v>New</v>
      </c>
      <c r="F1267" s="72">
        <v>71</v>
      </c>
      <c r="G1267" s="72">
        <v>31289</v>
      </c>
      <c r="P1267" s="26"/>
    </row>
    <row r="1268" spans="1:16" ht="14.5">
      <c r="A1268" s="3" t="s">
        <v>38</v>
      </c>
      <c r="B1268" s="8" t="s">
        <v>2813</v>
      </c>
      <c r="C1268" s="46" t="s">
        <v>4736</v>
      </c>
      <c r="D1268" s="41" t="str">
        <f ca="1">IFERROR(__xludf.DUMMYFUNCTION("IFERROR(ARRAYFORMULA(REGEXEXTRACT(C1268,""^(?:https?:\/\/)?(?:[^@\n]+@)?(?:www\.)?([^:\/\n]+)"")),"""")"),"fox10phoenix.com")</f>
        <v>fox10phoenix.com</v>
      </c>
      <c r="E1268" s="26" t="str">
        <f ca="1">IFERROR(__xludf.DUMMYFUNCTION("""COMPUTED_VALUE"""),"New")</f>
        <v>New</v>
      </c>
      <c r="F1268" s="72">
        <v>77</v>
      </c>
      <c r="G1268" s="72">
        <v>265691</v>
      </c>
      <c r="P1268" s="26"/>
    </row>
    <row r="1269" spans="1:16" ht="14.5">
      <c r="A1269" s="3" t="s">
        <v>38</v>
      </c>
      <c r="B1269" s="8" t="s">
        <v>2813</v>
      </c>
      <c r="C1269" s="46" t="s">
        <v>4737</v>
      </c>
      <c r="D1269" s="41" t="str">
        <f ca="1">IFERROR(__xludf.DUMMYFUNCTION("IFERROR(ARRAYFORMULA(REGEXEXTRACT(C1269,""^(?:https?:\/\/)?(?:[^@\n]+@)?(?:www\.)?([^:\/\n]+)"")),"""")"),"assincampo.ismea.it")</f>
        <v>assincampo.ismea.it</v>
      </c>
      <c r="E1269" s="26" t="str">
        <f ca="1">IFERROR(__xludf.DUMMYFUNCTION("""COMPUTED_VALUE"""),"New")</f>
        <v>New</v>
      </c>
      <c r="F1269" s="72">
        <v>68</v>
      </c>
      <c r="G1269" s="72">
        <v>5752</v>
      </c>
      <c r="P1269" s="26"/>
    </row>
    <row r="1270" spans="1:16" ht="14.5">
      <c r="A1270" s="3" t="s">
        <v>38</v>
      </c>
      <c r="B1270" s="8" t="s">
        <v>2813</v>
      </c>
      <c r="C1270" s="49" t="s">
        <v>4738</v>
      </c>
      <c r="D1270" s="41" t="str">
        <f ca="1">IFERROR(__xludf.DUMMYFUNCTION("IFERROR(ARRAYFORMULA(REGEXEXTRACT(C1270,""^(?:https?:\/\/)?(?:[^@\n]+@)?(?:www\.)?([^:\/\n]+)"")),"""")"),"dailyvoice.com")</f>
        <v>dailyvoice.com</v>
      </c>
      <c r="E1270" s="26" t="str">
        <f ca="1">IFERROR(__xludf.DUMMYFUNCTION("""COMPUTED_VALUE"""),"New")</f>
        <v>New</v>
      </c>
      <c r="F1270" s="72">
        <v>75</v>
      </c>
      <c r="G1270" s="72">
        <v>35714</v>
      </c>
      <c r="H1270" s="27" t="s">
        <v>4739</v>
      </c>
      <c r="I1270" s="27" t="s">
        <v>4740</v>
      </c>
      <c r="J1270" s="27" t="s">
        <v>4741</v>
      </c>
      <c r="K1270" s="27" t="s">
        <v>3772</v>
      </c>
      <c r="L1270" s="112"/>
      <c r="M1270" s="27" t="s">
        <v>3117</v>
      </c>
      <c r="N1270" s="48">
        <v>46042</v>
      </c>
      <c r="O1270" s="48">
        <v>46084</v>
      </c>
      <c r="P1270" s="26"/>
    </row>
    <row r="1271" spans="1:16" ht="14.5">
      <c r="A1271" s="3" t="s">
        <v>38</v>
      </c>
      <c r="B1271" s="8" t="s">
        <v>2813</v>
      </c>
      <c r="C1271" s="46" t="s">
        <v>4742</v>
      </c>
      <c r="D1271" s="41" t="str">
        <f ca="1">IFERROR(__xludf.DUMMYFUNCTION("IFERROR(ARRAYFORMULA(REGEXEXTRACT(C1271,""^(?:https?:\/\/)?(?:[^@\n]+@)?(?:www\.)?([^:\/\n]+)"")),"""")"),"houstonchronicle.com")</f>
        <v>houstonchronicle.com</v>
      </c>
      <c r="E1271" s="26" t="str">
        <f ca="1">IFERROR(__xludf.DUMMYFUNCTION("""COMPUTED_VALUE"""),"New")</f>
        <v>New</v>
      </c>
      <c r="F1271" s="72">
        <v>85</v>
      </c>
      <c r="G1271" s="72">
        <v>331339</v>
      </c>
      <c r="P1271" s="26"/>
    </row>
    <row r="1272" spans="1:16" ht="14.5">
      <c r="A1272" s="3" t="s">
        <v>38</v>
      </c>
      <c r="B1272" s="8" t="s">
        <v>2813</v>
      </c>
      <c r="C1272" s="46" t="s">
        <v>4743</v>
      </c>
      <c r="D1272" s="41" t="str">
        <f ca="1">IFERROR(__xludf.DUMMYFUNCTION("IFERROR(ARRAYFORMULA(REGEXEXTRACT(C1272,""^(?:https?:\/\/)?(?:[^@\n]+@)?(?:www\.)?([^:\/\n]+)"")),"""")"),"quantumonline.com")</f>
        <v>quantumonline.com</v>
      </c>
      <c r="E1272" s="26" t="str">
        <f ca="1">IFERROR(__xludf.DUMMYFUNCTION("""COMPUTED_VALUE"""),"New")</f>
        <v>New</v>
      </c>
      <c r="F1272" s="72">
        <v>33</v>
      </c>
      <c r="G1272" s="72">
        <v>1930</v>
      </c>
      <c r="P1272" s="26"/>
    </row>
    <row r="1273" spans="1:16" ht="14.5">
      <c r="A1273" s="3" t="s">
        <v>38</v>
      </c>
      <c r="B1273" s="8" t="s">
        <v>2813</v>
      </c>
      <c r="C1273" s="46" t="s">
        <v>4744</v>
      </c>
      <c r="D1273" s="41" t="str">
        <f ca="1">IFERROR(__xludf.DUMMYFUNCTION("IFERROR(ARRAYFORMULA(REGEXEXTRACT(C1273,""^(?:https?:\/\/)?(?:[^@\n]+@)?(?:www\.)?([^:\/\n]+)"")),"""")"),"hartfordbusiness.com")</f>
        <v>hartfordbusiness.com</v>
      </c>
      <c r="E1273" s="26" t="str">
        <f ca="1">IFERROR(__xludf.DUMMYFUNCTION("""COMPUTED_VALUE"""),"New")</f>
        <v>New</v>
      </c>
      <c r="F1273" s="72">
        <v>74</v>
      </c>
      <c r="G1273" s="72">
        <v>12902</v>
      </c>
      <c r="P1273" s="26"/>
    </row>
    <row r="1274" spans="1:16" ht="14.5">
      <c r="A1274" s="3" t="s">
        <v>38</v>
      </c>
      <c r="B1274" s="8" t="s">
        <v>2813</v>
      </c>
      <c r="C1274" s="49" t="s">
        <v>4745</v>
      </c>
      <c r="D1274" s="41" t="str">
        <f ca="1">IFERROR(__xludf.DUMMYFUNCTION("IFERROR(ARRAYFORMULA(REGEXEXTRACT(C1274,""^(?:https?:\/\/)?(?:[^@\n]+@)?(?:www\.)?([^:\/\n]+)"")),"""")"),"serviceone.com")</f>
        <v>serviceone.com</v>
      </c>
      <c r="E1274" s="26" t="str">
        <f ca="1">IFERROR(__xludf.DUMMYFUNCTION("""COMPUTED_VALUE"""),"New")</f>
        <v>New</v>
      </c>
      <c r="F1274" s="72">
        <v>35</v>
      </c>
      <c r="G1274" s="72">
        <v>1751</v>
      </c>
      <c r="J1274" s="27" t="s">
        <v>4746</v>
      </c>
      <c r="K1274" s="27" t="s">
        <v>3844</v>
      </c>
      <c r="L1274" s="112"/>
      <c r="M1274" s="27" t="s">
        <v>3117</v>
      </c>
      <c r="N1274" s="48">
        <v>46042</v>
      </c>
      <c r="O1274" s="48">
        <v>46085</v>
      </c>
      <c r="P1274" s="26"/>
    </row>
    <row r="1275" spans="1:16" ht="14.5">
      <c r="A1275" s="3" t="s">
        <v>38</v>
      </c>
      <c r="B1275" s="8" t="s">
        <v>2813</v>
      </c>
      <c r="C1275" s="46" t="s">
        <v>4747</v>
      </c>
      <c r="D1275" s="41" t="str">
        <f ca="1">IFERROR(__xludf.DUMMYFUNCTION("IFERROR(ARRAYFORMULA(REGEXEXTRACT(C1275,""^(?:https?:\/\/)?(?:[^@\n]+@)?(?:www\.)?([^:\/\n]+)"")),"""")"),"events.waterloorecords.com")</f>
        <v>events.waterloorecords.com</v>
      </c>
      <c r="E1275" s="26" t="str">
        <f ca="1">IFERROR(__xludf.DUMMYFUNCTION("""COMPUTED_VALUE"""),"New")</f>
        <v>New</v>
      </c>
      <c r="F1275" s="72">
        <v>57</v>
      </c>
      <c r="G1275" s="72">
        <v>1688</v>
      </c>
      <c r="P1275" s="26"/>
    </row>
    <row r="1276" spans="1:16" ht="14.5">
      <c r="A1276" s="3" t="s">
        <v>38</v>
      </c>
      <c r="B1276" s="8" t="s">
        <v>2813</v>
      </c>
      <c r="C1276" s="46" t="s">
        <v>4748</v>
      </c>
      <c r="D1276" s="41" t="str">
        <f ca="1">IFERROR(__xludf.DUMMYFUNCTION("IFERROR(ARRAYFORMULA(REGEXEXTRACT(C1276,""^(?:https?:\/\/)?(?:[^@\n]+@)?(?:www\.)?([^:\/\n]+)"")),"""")"),"real.vision")</f>
        <v>real.vision</v>
      </c>
      <c r="E1276" s="26" t="str">
        <f ca="1">IFERROR(__xludf.DUMMYFUNCTION("""COMPUTED_VALUE"""),"New")</f>
        <v>New</v>
      </c>
      <c r="F1276" s="72">
        <v>68</v>
      </c>
      <c r="G1276" s="72">
        <v>4880</v>
      </c>
      <c r="P1276" s="26"/>
    </row>
    <row r="1277" spans="1:16" ht="14.5">
      <c r="A1277" s="3" t="s">
        <v>38</v>
      </c>
      <c r="B1277" s="8" t="s">
        <v>2813</v>
      </c>
      <c r="C1277" s="46" t="s">
        <v>4749</v>
      </c>
      <c r="D1277" s="41" t="str">
        <f ca="1">IFERROR(__xludf.DUMMYFUNCTION("IFERROR(ARRAYFORMULA(REGEXEXTRACT(C1277,""^(?:https?:\/\/)?(?:[^@\n]+@)?(?:www\.)?([^:\/\n]+)"")),"""")"),"miao.withwre.com")</f>
        <v>miao.withwre.com</v>
      </c>
      <c r="E1277" s="26" t="str">
        <f ca="1">IFERROR(__xludf.DUMMYFUNCTION("""COMPUTED_VALUE"""),"New")</f>
        <v>New</v>
      </c>
      <c r="F1277" s="72">
        <v>71</v>
      </c>
      <c r="G1277" s="72">
        <v>1654</v>
      </c>
      <c r="P1277" s="26"/>
    </row>
    <row r="1278" spans="1:16" ht="14.5">
      <c r="A1278" s="3" t="s">
        <v>38</v>
      </c>
      <c r="B1278" s="8" t="s">
        <v>2813</v>
      </c>
      <c r="C1278" s="46" t="s">
        <v>4750</v>
      </c>
      <c r="D1278" s="41" t="str">
        <f ca="1">IFERROR(__xludf.DUMMYFUNCTION("IFERROR(ARRAYFORMULA(REGEXEXTRACT(C1278,""^(?:https?:\/\/)?(?:[^@\n]+@)?(?:www\.)?([^:\/\n]+)"")),"""")"),"wgtjradio.com")</f>
        <v>wgtjradio.com</v>
      </c>
      <c r="E1278" s="26" t="str">
        <f ca="1">IFERROR(__xludf.DUMMYFUNCTION("""COMPUTED_VALUE"""),"New")</f>
        <v>New</v>
      </c>
      <c r="F1278" s="72">
        <v>42</v>
      </c>
      <c r="G1278" s="72">
        <v>1520</v>
      </c>
      <c r="P1278" s="26"/>
    </row>
    <row r="1279" spans="1:16" ht="14.5">
      <c r="A1279" s="3" t="s">
        <v>38</v>
      </c>
      <c r="B1279" s="8" t="s">
        <v>2813</v>
      </c>
      <c r="C1279" s="46" t="s">
        <v>4751</v>
      </c>
      <c r="D1279" s="41" t="str">
        <f ca="1">IFERROR(__xludf.DUMMYFUNCTION("IFERROR(ARRAYFORMULA(REGEXEXTRACT(C1279,""^(?:https?:\/\/)?(?:[^@\n]+@)?(?:www\.)?([^:\/\n]+)"")),"""")"),"riverislands.goodbarber.app")</f>
        <v>riverislands.goodbarber.app</v>
      </c>
      <c r="E1279" s="26" t="str">
        <f ca="1">IFERROR(__xludf.DUMMYFUNCTION("""COMPUTED_VALUE"""),"New")</f>
        <v>New</v>
      </c>
      <c r="F1279" s="72">
        <v>71</v>
      </c>
      <c r="G1279" s="72">
        <v>10106</v>
      </c>
      <c r="P1279" s="26"/>
    </row>
    <row r="1280" spans="1:16" ht="14.5">
      <c r="A1280" s="3" t="s">
        <v>38</v>
      </c>
      <c r="B1280" s="8" t="s">
        <v>2813</v>
      </c>
      <c r="C1280" s="49" t="s">
        <v>4752</v>
      </c>
      <c r="D1280" s="41" t="str">
        <f ca="1">IFERROR(__xludf.DUMMYFUNCTION("IFERROR(ARRAYFORMULA(REGEXEXTRACT(C1280,""^(?:https?:\/\/)?(?:[^@\n]+@)?(?:www\.)?([^:\/\n]+)"")),"""")"),"newestateonly.com")</f>
        <v>newestateonly.com</v>
      </c>
      <c r="E1280" s="26" t="str">
        <f ca="1">IFERROR(__xludf.DUMMYFUNCTION("""COMPUTED_VALUE"""),"New")</f>
        <v>New</v>
      </c>
      <c r="F1280" s="72">
        <v>48</v>
      </c>
      <c r="G1280" s="72">
        <v>2075</v>
      </c>
      <c r="J1280" s="27" t="s">
        <v>4753</v>
      </c>
      <c r="K1280" s="27" t="s">
        <v>3853</v>
      </c>
      <c r="L1280" s="112"/>
      <c r="M1280" s="27" t="s">
        <v>3117</v>
      </c>
      <c r="N1280" s="48">
        <v>46042</v>
      </c>
      <c r="O1280" s="48">
        <v>46085</v>
      </c>
      <c r="P1280" s="26"/>
    </row>
    <row r="1281" spans="1:16" ht="14.5">
      <c r="A1281" s="3" t="s">
        <v>38</v>
      </c>
      <c r="B1281" s="8" t="s">
        <v>2813</v>
      </c>
      <c r="C1281" s="49" t="s">
        <v>4754</v>
      </c>
      <c r="D1281" s="41" t="str">
        <f ca="1">IFERROR(__xludf.DUMMYFUNCTION("IFERROR(ARRAYFORMULA(REGEXEXTRACT(C1281,""^(?:https?:\/\/)?(?:[^@\n]+@)?(?:www\.)?([^:\/\n]+)"")),"""")"),"windowhero.com")</f>
        <v>windowhero.com</v>
      </c>
      <c r="E1281" s="26" t="str">
        <f ca="1">IFERROR(__xludf.DUMMYFUNCTION("""COMPUTED_VALUE"""),"New")</f>
        <v>New</v>
      </c>
      <c r="F1281" s="72">
        <v>39</v>
      </c>
      <c r="G1281" s="72">
        <v>4342</v>
      </c>
      <c r="H1281" s="27" t="s">
        <v>4755</v>
      </c>
      <c r="I1281" s="27" t="s">
        <v>4756</v>
      </c>
      <c r="J1281" s="27" t="s">
        <v>4757</v>
      </c>
      <c r="K1281" s="27" t="s">
        <v>3844</v>
      </c>
      <c r="L1281" s="112"/>
      <c r="M1281" s="27" t="s">
        <v>3117</v>
      </c>
      <c r="N1281" s="48">
        <v>46042</v>
      </c>
      <c r="O1281" s="48">
        <v>46085</v>
      </c>
      <c r="P1281" s="26"/>
    </row>
    <row r="1282" spans="1:16" ht="14.5" hidden="1">
      <c r="A1282" s="3" t="s">
        <v>38</v>
      </c>
      <c r="B1282" s="8" t="s">
        <v>2813</v>
      </c>
      <c r="C1282" s="46" t="s">
        <v>4758</v>
      </c>
      <c r="D1282" s="41" t="str">
        <f ca="1">IFERROR(__xludf.DUMMYFUNCTION("IFERROR(ARRAYFORMULA(REGEXEXTRACT(C1282,""^(?:https?:\/\/)?(?:[^@\n]+@)?(?:www\.)?([^:\/\n]+)"")),"""")"),"multifamilyexecutive.com")</f>
        <v>multifamilyexecutive.com</v>
      </c>
      <c r="E1282" s="26" t="str">
        <f ca="1">IFERROR(__xludf.DUMMYFUNCTION("""COMPUTED_VALUE"""),"Already Exists")</f>
        <v>Already Exists</v>
      </c>
      <c r="F1282" s="72">
        <v>73</v>
      </c>
      <c r="G1282" s="72">
        <v>3863</v>
      </c>
    </row>
    <row r="1283" spans="1:16" ht="14.5">
      <c r="A1283" s="3" t="s">
        <v>38</v>
      </c>
      <c r="B1283" s="8" t="s">
        <v>2813</v>
      </c>
      <c r="C1283" s="46" t="s">
        <v>4759</v>
      </c>
      <c r="D1283" s="41" t="str">
        <f ca="1">IFERROR(__xludf.DUMMYFUNCTION("IFERROR(ARRAYFORMULA(REGEXEXTRACT(C1283,""^(?:https?:\/\/)?(?:[^@\n]+@)?(?:www\.)?([^:\/\n]+)"")),"""")"),"ourmidland.com")</f>
        <v>ourmidland.com</v>
      </c>
      <c r="E1283" s="26" t="str">
        <f ca="1">IFERROR(__xludf.DUMMYFUNCTION("""COMPUTED_VALUE"""),"New")</f>
        <v>New</v>
      </c>
      <c r="F1283" s="72">
        <v>72</v>
      </c>
      <c r="G1283" s="72">
        <v>37683</v>
      </c>
      <c r="P1283" s="26"/>
    </row>
    <row r="1284" spans="1:16" ht="14.5">
      <c r="A1284" s="3" t="s">
        <v>38</v>
      </c>
      <c r="B1284" s="8" t="s">
        <v>2813</v>
      </c>
      <c r="C1284" s="46" t="s">
        <v>4760</v>
      </c>
      <c r="D1284" s="41" t="str">
        <f ca="1">IFERROR(__xludf.DUMMYFUNCTION("IFERROR(ARRAYFORMULA(REGEXEXTRACT(C1284,""^(?:https?:\/\/)?(?:[^@\n]+@)?(?:www\.)?([^:\/\n]+)"")),"""")"),"blogs.sas.com")</f>
        <v>blogs.sas.com</v>
      </c>
      <c r="E1284" s="26" t="str">
        <f ca="1">IFERROR(__xludf.DUMMYFUNCTION("""COMPUTED_VALUE"""),"New")</f>
        <v>New</v>
      </c>
      <c r="F1284" s="72">
        <v>86</v>
      </c>
      <c r="G1284" s="72">
        <v>449244</v>
      </c>
      <c r="P1284" s="26"/>
    </row>
    <row r="1285" spans="1:16" ht="14.5">
      <c r="A1285" s="3" t="s">
        <v>38</v>
      </c>
      <c r="B1285" s="8" t="s">
        <v>2813</v>
      </c>
      <c r="C1285" s="46" t="s">
        <v>4761</v>
      </c>
      <c r="D1285" s="41" t="str">
        <f ca="1">IFERROR(__xludf.DUMMYFUNCTION("IFERROR(ARRAYFORMULA(REGEXEXTRACT(C1285,""^(?:https?:\/\/)?(?:[^@\n]+@)?(?:www\.)?([^:\/\n]+)"")),"""")"),"web.dallasbuilders.org")</f>
        <v>web.dallasbuilders.org</v>
      </c>
      <c r="E1285" s="26" t="str">
        <f ca="1">IFERROR(__xludf.DUMMYFUNCTION("""COMPUTED_VALUE"""),"New")</f>
        <v>New</v>
      </c>
      <c r="F1285" s="72">
        <v>42</v>
      </c>
      <c r="G1285" s="72">
        <v>1031</v>
      </c>
      <c r="P1285" s="26"/>
    </row>
    <row r="1286" spans="1:16" ht="14.5">
      <c r="A1286" s="3" t="s">
        <v>38</v>
      </c>
      <c r="B1286" s="8" t="s">
        <v>2813</v>
      </c>
      <c r="C1286" s="46" t="s">
        <v>4762</v>
      </c>
      <c r="D1286" s="41" t="str">
        <f ca="1">IFERROR(__xludf.DUMMYFUNCTION("IFERROR(ARRAYFORMULA(REGEXEXTRACT(C1286,""^(?:https?:\/\/)?(?:[^@\n]+@)?(?:www\.)?([^:\/\n]+)"")),"""")"),"slides.com")</f>
        <v>slides.com</v>
      </c>
      <c r="E1286" s="26" t="str">
        <f ca="1">IFERROR(__xludf.DUMMYFUNCTION("""COMPUTED_VALUE"""),"New")</f>
        <v>New</v>
      </c>
      <c r="F1286" s="72">
        <v>82</v>
      </c>
      <c r="G1286" s="72">
        <v>43911</v>
      </c>
      <c r="P1286" s="26"/>
    </row>
    <row r="1287" spans="1:16" ht="14.5">
      <c r="A1287" s="3" t="s">
        <v>38</v>
      </c>
      <c r="B1287" s="8" t="s">
        <v>2813</v>
      </c>
      <c r="C1287" s="46" t="s">
        <v>4763</v>
      </c>
      <c r="D1287" s="41" t="str">
        <f ca="1">IFERROR(__xludf.DUMMYFUNCTION("IFERROR(ARRAYFORMULA(REGEXEXTRACT(C1287,""^(?:https?:\/\/)?(?:[^@\n]+@)?(?:www\.)?([^:\/\n]+)"")),"""")"),"nhc.org")</f>
        <v>nhc.org</v>
      </c>
      <c r="E1287" s="26" t="str">
        <f ca="1">IFERROR(__xludf.DUMMYFUNCTION("""COMPUTED_VALUE"""),"New")</f>
        <v>New</v>
      </c>
      <c r="F1287" s="72">
        <v>69</v>
      </c>
      <c r="G1287" s="72">
        <v>3209</v>
      </c>
      <c r="P1287" s="26"/>
    </row>
    <row r="1288" spans="1:16" ht="14.5">
      <c r="A1288" s="3" t="s">
        <v>38</v>
      </c>
      <c r="B1288" s="8" t="s">
        <v>2813</v>
      </c>
      <c r="C1288" s="46" t="s">
        <v>4764</v>
      </c>
      <c r="D1288" s="41" t="str">
        <f ca="1">IFERROR(__xludf.DUMMYFUNCTION("IFERROR(ARRAYFORMULA(REGEXEXTRACT(C1288,""^(?:https?:\/\/)?(?:[^@\n]+@)?(?:www\.)?([^:\/\n]+)"")),"""")"),"yourdigitalteam.pdqs.mobi")</f>
        <v>yourdigitalteam.pdqs.mobi</v>
      </c>
      <c r="E1288" s="26" t="str">
        <f ca="1">IFERROR(__xludf.DUMMYFUNCTION("""COMPUTED_VALUE"""),"New")</f>
        <v>New</v>
      </c>
      <c r="F1288" s="72">
        <v>51</v>
      </c>
      <c r="G1288" s="72">
        <v>1023</v>
      </c>
      <c r="P1288" s="26"/>
    </row>
    <row r="1289" spans="1:16" ht="14.5">
      <c r="A1289" s="3" t="s">
        <v>38</v>
      </c>
      <c r="B1289" s="8" t="s">
        <v>2813</v>
      </c>
      <c r="C1289" s="46" t="s">
        <v>4765</v>
      </c>
      <c r="D1289" s="41" t="str">
        <f ca="1">IFERROR(__xludf.DUMMYFUNCTION("IFERROR(ARRAYFORMULA(REGEXEXTRACT(C1289,""^(?:https?:\/\/)?(?:[^@\n]+@)?(?:www\.)?([^:\/\n]+)"")),"""")"),"wbtv.com")</f>
        <v>wbtv.com</v>
      </c>
      <c r="E1289" s="26" t="str">
        <f ca="1">IFERROR(__xludf.DUMMYFUNCTION("""COMPUTED_VALUE"""),"New")</f>
        <v>New</v>
      </c>
      <c r="F1289" s="72">
        <v>77</v>
      </c>
      <c r="G1289" s="72">
        <v>189810</v>
      </c>
      <c r="P1289" s="26"/>
    </row>
    <row r="1290" spans="1:16" ht="14.5">
      <c r="A1290" s="3" t="s">
        <v>38</v>
      </c>
      <c r="B1290" s="8" t="s">
        <v>2813</v>
      </c>
      <c r="C1290" s="46" t="s">
        <v>4766</v>
      </c>
      <c r="D1290" s="41" t="str">
        <f ca="1">IFERROR(__xludf.DUMMYFUNCTION("IFERROR(ARRAYFORMULA(REGEXEXTRACT(C1290,""^(?:https?:\/\/)?(?:[^@\n]+@)?(?:www\.)?([^:\/\n]+)"")),"""")"),"groupon.com")</f>
        <v>groupon.com</v>
      </c>
      <c r="E1290" s="26" t="str">
        <f ca="1">IFERROR(__xludf.DUMMYFUNCTION("""COMPUTED_VALUE"""),"New")</f>
        <v>New</v>
      </c>
      <c r="F1290" s="72">
        <v>84</v>
      </c>
      <c r="G1290" s="72">
        <v>4771842</v>
      </c>
      <c r="P1290" s="26"/>
    </row>
    <row r="1291" spans="1:16" ht="14.5">
      <c r="A1291" s="3" t="s">
        <v>38</v>
      </c>
      <c r="B1291" s="8" t="s">
        <v>2813</v>
      </c>
      <c r="C1291" s="46" t="s">
        <v>4767</v>
      </c>
      <c r="D1291" s="41" t="str">
        <f ca="1">IFERROR(__xludf.DUMMYFUNCTION("IFERROR(ARRAYFORMULA(REGEXEXTRACT(C1291,""^(?:https?:\/\/)?(?:[^@\n]+@)?(?:www\.)?([^:\/\n]+)"")),"""")"),"bigthink.com")</f>
        <v>bigthink.com</v>
      </c>
      <c r="E1291" s="26" t="str">
        <f ca="1">IFERROR(__xludf.DUMMYFUNCTION("""COMPUTED_VALUE"""),"New")</f>
        <v>New</v>
      </c>
      <c r="F1291" s="72">
        <v>84</v>
      </c>
      <c r="G1291" s="72">
        <v>90819</v>
      </c>
      <c r="P1291" s="26"/>
    </row>
    <row r="1292" spans="1:16" ht="14.5">
      <c r="A1292" s="3" t="s">
        <v>38</v>
      </c>
      <c r="B1292" s="8" t="s">
        <v>2813</v>
      </c>
      <c r="C1292" s="46" t="s">
        <v>4768</v>
      </c>
      <c r="D1292" s="41" t="str">
        <f ca="1">IFERROR(__xludf.DUMMYFUNCTION("IFERROR(ARRAYFORMULA(REGEXEXTRACT(C1292,""^(?:https?:\/\/)?(?:[^@\n]+@)?(?:www\.)?([^:\/\n]+)"")),"""")"),"gpb.org")</f>
        <v>gpb.org</v>
      </c>
      <c r="E1292" s="26" t="str">
        <f ca="1">IFERROR(__xludf.DUMMYFUNCTION("""COMPUTED_VALUE"""),"New")</f>
        <v>New</v>
      </c>
      <c r="F1292" s="72">
        <v>76</v>
      </c>
      <c r="G1292" s="72">
        <v>675268</v>
      </c>
      <c r="P1292" s="26"/>
    </row>
    <row r="1293" spans="1:16" ht="14.5">
      <c r="A1293" s="3" t="s">
        <v>38</v>
      </c>
      <c r="B1293" s="8" t="s">
        <v>2813</v>
      </c>
      <c r="C1293" s="46" t="s">
        <v>4769</v>
      </c>
      <c r="D1293" s="41" t="str">
        <f ca="1">IFERROR(__xludf.DUMMYFUNCTION("IFERROR(ARRAYFORMULA(REGEXEXTRACT(C1293,""^(?:https?:\/\/)?(?:[^@\n]+@)?(?:www\.)?([^:\/\n]+)"")),"""")"),"seekingalpha.com")</f>
        <v>seekingalpha.com</v>
      </c>
      <c r="E1293" s="26" t="str">
        <f ca="1">IFERROR(__xludf.DUMMYFUNCTION("""COMPUTED_VALUE"""),"New")</f>
        <v>New</v>
      </c>
      <c r="F1293" s="72">
        <v>86</v>
      </c>
      <c r="G1293" s="72">
        <v>4043131</v>
      </c>
      <c r="P1293" s="26"/>
    </row>
    <row r="1294" spans="1:16" ht="14.5">
      <c r="A1294" s="3" t="s">
        <v>38</v>
      </c>
      <c r="B1294" s="8" t="s">
        <v>2813</v>
      </c>
      <c r="C1294" s="46" t="s">
        <v>4770</v>
      </c>
      <c r="D1294" s="41" t="str">
        <f ca="1">IFERROR(__xludf.DUMMYFUNCTION("IFERROR(ARRAYFORMULA(REGEXEXTRACT(C1294,""^(?:https?:\/\/)?(?:[^@\n]+@)?(?:www\.)?([^:\/\n]+)"")),"""")"),"mrt.com")</f>
        <v>mrt.com</v>
      </c>
      <c r="E1294" s="26" t="str">
        <f ca="1">IFERROR(__xludf.DUMMYFUNCTION("""COMPUTED_VALUE"""),"New")</f>
        <v>New</v>
      </c>
      <c r="F1294" s="72">
        <v>72</v>
      </c>
      <c r="G1294" s="72">
        <v>21758</v>
      </c>
      <c r="P1294" s="26"/>
    </row>
    <row r="1295" spans="1:16" ht="14.5">
      <c r="A1295" s="3" t="s">
        <v>38</v>
      </c>
      <c r="B1295" s="8" t="s">
        <v>2813</v>
      </c>
      <c r="C1295" s="46" t="s">
        <v>4771</v>
      </c>
      <c r="D1295" s="41" t="str">
        <f ca="1">IFERROR(__xludf.DUMMYFUNCTION("IFERROR(ARRAYFORMULA(REGEXEXTRACT(C1295,""^(?:https?:\/\/)?(?:[^@\n]+@)?(?:www\.)?([^:\/\n]+)"")),"""")"),"ccmcnet.com")</f>
        <v>ccmcnet.com</v>
      </c>
      <c r="E1295" s="26" t="str">
        <f ca="1">IFERROR(__xludf.DUMMYFUNCTION("""COMPUTED_VALUE"""),"New")</f>
        <v>New</v>
      </c>
      <c r="F1295" s="72">
        <v>46</v>
      </c>
      <c r="G1295" s="72">
        <v>5473</v>
      </c>
      <c r="P1295" s="26"/>
    </row>
    <row r="1296" spans="1:16" ht="14.5">
      <c r="A1296" s="3" t="s">
        <v>38</v>
      </c>
      <c r="B1296" s="8" t="s">
        <v>2813</v>
      </c>
      <c r="C1296" s="46" t="s">
        <v>4772</v>
      </c>
      <c r="D1296" s="41" t="str">
        <f ca="1">IFERROR(__xludf.DUMMYFUNCTION("IFERROR(ARRAYFORMULA(REGEXEXTRACT(C1296,""^(?:https?:\/\/)?(?:[^@\n]+@)?(?:www\.)?([^:\/\n]+)"")),"""")"),"arizonafoothillsmagazine.com")</f>
        <v>arizonafoothillsmagazine.com</v>
      </c>
      <c r="E1296" s="26" t="str">
        <f ca="1">IFERROR(__xludf.DUMMYFUNCTION("""COMPUTED_VALUE"""),"New")</f>
        <v>New</v>
      </c>
      <c r="F1296" s="72">
        <v>71</v>
      </c>
      <c r="G1296" s="72">
        <v>5792</v>
      </c>
      <c r="P1296" s="26"/>
    </row>
    <row r="1297" spans="1:16" ht="14.5">
      <c r="A1297" s="3" t="s">
        <v>38</v>
      </c>
      <c r="B1297" s="8" t="s">
        <v>2813</v>
      </c>
      <c r="C1297" s="46" t="s">
        <v>4773</v>
      </c>
      <c r="D1297" s="41" t="str">
        <f ca="1">IFERROR(__xludf.DUMMYFUNCTION("IFERROR(ARRAYFORMULA(REGEXEXTRACT(C1297,""^(?:https?:\/\/)?(?:[^@\n]+@)?(?:www\.)?([^:\/\n]+)"")),"""")"),"boston.com")</f>
        <v>boston.com</v>
      </c>
      <c r="E1297" s="26" t="str">
        <f ca="1">IFERROR(__xludf.DUMMYFUNCTION("""COMPUTED_VALUE"""),"New")</f>
        <v>New</v>
      </c>
      <c r="F1297" s="72">
        <v>87</v>
      </c>
      <c r="G1297" s="72">
        <v>682872</v>
      </c>
      <c r="P1297" s="26"/>
    </row>
    <row r="1298" spans="1:16" ht="14.5">
      <c r="A1298" s="3" t="s">
        <v>38</v>
      </c>
      <c r="B1298" s="8" t="s">
        <v>2813</v>
      </c>
      <c r="C1298" s="46" t="s">
        <v>4774</v>
      </c>
      <c r="D1298" s="41" t="str">
        <f ca="1">IFERROR(__xludf.DUMMYFUNCTION("IFERROR(ARRAYFORMULA(REGEXEXTRACT(C1298,""^(?:https?:\/\/)?(?:[^@\n]+@)?(?:www\.)?([^:\/\n]+)"")),"""")"),"inquirer.com")</f>
        <v>inquirer.com</v>
      </c>
      <c r="E1298" s="26" t="str">
        <f ca="1">IFERROR(__xludf.DUMMYFUNCTION("""COMPUTED_VALUE"""),"New")</f>
        <v>New</v>
      </c>
      <c r="F1298" s="72">
        <v>87</v>
      </c>
      <c r="G1298" s="72">
        <v>310385</v>
      </c>
      <c r="P1298" s="26"/>
    </row>
    <row r="1299" spans="1:16" ht="14.5">
      <c r="A1299" s="3" t="s">
        <v>38</v>
      </c>
      <c r="B1299" s="8" t="s">
        <v>2813</v>
      </c>
      <c r="C1299" s="46" t="s">
        <v>4775</v>
      </c>
      <c r="D1299" s="41" t="str">
        <f ca="1">IFERROR(__xludf.DUMMYFUNCTION("IFERROR(ARRAYFORMULA(REGEXEXTRACT(C1299,""^(?:https?:\/\/)?(?:[^@\n]+@)?(?:www\.)?([^:\/\n]+)"")),"""")"),"user.xmission.com")</f>
        <v>user.xmission.com</v>
      </c>
      <c r="E1299" s="26" t="str">
        <f ca="1">IFERROR(__xludf.DUMMYFUNCTION("""COMPUTED_VALUE"""),"New")</f>
        <v>New</v>
      </c>
      <c r="F1299" s="72">
        <v>76</v>
      </c>
      <c r="G1299" s="72">
        <v>5678</v>
      </c>
      <c r="P1299" s="26"/>
    </row>
    <row r="1300" spans="1:16" ht="14.5">
      <c r="A1300" s="3" t="s">
        <v>38</v>
      </c>
      <c r="B1300" s="8" t="s">
        <v>2813</v>
      </c>
      <c r="C1300" s="49" t="s">
        <v>4776</v>
      </c>
      <c r="D1300" s="41" t="str">
        <f ca="1">IFERROR(__xludf.DUMMYFUNCTION("IFERROR(ARRAYFORMULA(REGEXEXTRACT(C1300,""^(?:https?:\/\/)?(?:[^@\n]+@)?(?:www\.)?([^:\/\n]+)"")),"""")"),"skyecanyon.com")</f>
        <v>skyecanyon.com</v>
      </c>
      <c r="E1300" s="26" t="str">
        <f ca="1">IFERROR(__xludf.DUMMYFUNCTION("""COMPUTED_VALUE"""),"New")</f>
        <v>New</v>
      </c>
      <c r="F1300" s="72">
        <v>31</v>
      </c>
      <c r="G1300" s="72">
        <v>2724</v>
      </c>
      <c r="J1300" s="27" t="s">
        <v>4777</v>
      </c>
      <c r="K1300" s="27" t="s">
        <v>3853</v>
      </c>
      <c r="L1300" s="112"/>
      <c r="M1300" s="27" t="s">
        <v>3117</v>
      </c>
      <c r="N1300" s="48">
        <v>46042</v>
      </c>
      <c r="O1300" s="48">
        <v>46085</v>
      </c>
      <c r="P1300" s="26"/>
    </row>
    <row r="1301" spans="1:16" ht="14.5">
      <c r="A1301" s="3" t="s">
        <v>38</v>
      </c>
      <c r="B1301" s="8" t="s">
        <v>2813</v>
      </c>
      <c r="C1301" s="46" t="s">
        <v>4778</v>
      </c>
      <c r="D1301" s="41" t="str">
        <f ca="1">IFERROR(__xludf.DUMMYFUNCTION("IFERROR(ARRAYFORMULA(REGEXEXTRACT(C1301,""^(?:https?:\/\/)?(?:[^@\n]+@)?(?:www\.)?([^:\/\n]+)"")),"""")"),"player.fm")</f>
        <v>player.fm</v>
      </c>
      <c r="E1301" s="26" t="str">
        <f ca="1">IFERROR(__xludf.DUMMYFUNCTION("""COMPUTED_VALUE"""),"New")</f>
        <v>New</v>
      </c>
      <c r="F1301" s="72">
        <v>86</v>
      </c>
      <c r="G1301" s="72">
        <v>56307</v>
      </c>
      <c r="P1301" s="26"/>
    </row>
    <row r="1302" spans="1:16" ht="14.5">
      <c r="A1302" s="3" t="s">
        <v>38</v>
      </c>
      <c r="B1302" s="8" t="s">
        <v>2813</v>
      </c>
      <c r="C1302" s="46" t="s">
        <v>4779</v>
      </c>
      <c r="D1302" s="41" t="str">
        <f ca="1">IFERROR(__xludf.DUMMYFUNCTION("IFERROR(ARRAYFORMULA(REGEXEXTRACT(C1302,""^(?:https?:\/\/)?(?:[^@\n]+@)?(?:www\.)?([^:\/\n]+)"")),"""")"),"roughdraftatlanta.com")</f>
        <v>roughdraftatlanta.com</v>
      </c>
      <c r="E1302" s="26" t="str">
        <f ca="1">IFERROR(__xludf.DUMMYFUNCTION("""COMPUTED_VALUE"""),"New")</f>
        <v>New</v>
      </c>
      <c r="F1302" s="72">
        <v>72</v>
      </c>
      <c r="G1302" s="72">
        <v>75005</v>
      </c>
      <c r="P1302" s="26"/>
    </row>
    <row r="1303" spans="1:16" ht="14.5">
      <c r="A1303" s="3" t="s">
        <v>38</v>
      </c>
      <c r="B1303" s="8" t="s">
        <v>2813</v>
      </c>
      <c r="C1303" s="46" t="s">
        <v>4780</v>
      </c>
      <c r="D1303" s="41" t="str">
        <f ca="1">IFERROR(__xludf.DUMMYFUNCTION("IFERROR(ARRAYFORMULA(REGEXEXTRACT(C1303,""^(?:https?:\/\/)?(?:[^@\n]+@)?(?:www\.)?([^:\/\n]+)"")),"""")"),"nateseidel-newconstruction.my.canva.site")</f>
        <v>nateseidel-newconstruction.my.canva.site</v>
      </c>
      <c r="E1303" s="26" t="str">
        <f ca="1">IFERROR(__xludf.DUMMYFUNCTION("""COMPUTED_VALUE"""),"New")</f>
        <v>New</v>
      </c>
      <c r="F1303" s="72">
        <v>91</v>
      </c>
      <c r="G1303" s="72">
        <v>159880</v>
      </c>
      <c r="P1303" s="26"/>
    </row>
    <row r="1304" spans="1:16" ht="14.5">
      <c r="A1304" s="3" t="s">
        <v>38</v>
      </c>
      <c r="B1304" s="8" t="s">
        <v>2813</v>
      </c>
      <c r="C1304" s="46" t="s">
        <v>4781</v>
      </c>
      <c r="D1304" s="41" t="str">
        <f ca="1">IFERROR(__xludf.DUMMYFUNCTION("IFERROR(ARRAYFORMULA(REGEXEXTRACT(C1304,""^(?:https?:\/\/)?(?:[^@\n]+@)?(?:www\.)?([^:\/\n]+)"")),"""")"),"bldup.com")</f>
        <v>bldup.com</v>
      </c>
      <c r="E1304" s="26" t="str">
        <f ca="1">IFERROR(__xludf.DUMMYFUNCTION("""COMPUTED_VALUE"""),"New")</f>
        <v>New</v>
      </c>
      <c r="F1304" s="72">
        <v>49</v>
      </c>
      <c r="G1304" s="72">
        <v>14699</v>
      </c>
      <c r="P1304" s="26"/>
    </row>
    <row r="1305" spans="1:16" ht="14.5">
      <c r="A1305" s="3" t="s">
        <v>38</v>
      </c>
      <c r="B1305" s="8" t="s">
        <v>2813</v>
      </c>
      <c r="C1305" s="46" t="s">
        <v>4782</v>
      </c>
      <c r="D1305" s="41" t="str">
        <f ca="1">IFERROR(__xludf.DUMMYFUNCTION("IFERROR(ARRAYFORMULA(REGEXEXTRACT(C1305,""^(?:https?:\/\/)?(?:[^@\n]+@)?(?:www\.)?([^:\/\n]+)"")),"""")"),"newsroom.ocfl.net")</f>
        <v>newsroom.ocfl.net</v>
      </c>
      <c r="E1305" s="26" t="str">
        <f ca="1">IFERROR(__xludf.DUMMYFUNCTION("""COMPUTED_VALUE"""),"New")</f>
        <v>New</v>
      </c>
      <c r="F1305" s="72">
        <v>72</v>
      </c>
      <c r="G1305" s="72">
        <v>59839</v>
      </c>
      <c r="P1305" s="26"/>
    </row>
    <row r="1306" spans="1:16" ht="14.5">
      <c r="A1306" s="3" t="s">
        <v>38</v>
      </c>
      <c r="B1306" s="8" t="s">
        <v>2813</v>
      </c>
      <c r="C1306" s="46" t="s">
        <v>4783</v>
      </c>
      <c r="D1306" s="41" t="str">
        <f ca="1">IFERROR(__xludf.DUMMYFUNCTION("IFERROR(ARRAYFORMULA(REGEXEXTRACT(C1306,""^(?:https?:\/\/)?(?:[^@\n]+@)?(?:www\.)?([^:\/\n]+)"")),"""")"),"wbjournal.com")</f>
        <v>wbjournal.com</v>
      </c>
      <c r="E1306" s="26" t="str">
        <f ca="1">IFERROR(__xludf.DUMMYFUNCTION("""COMPUTED_VALUE"""),"New")</f>
        <v>New</v>
      </c>
      <c r="F1306" s="72">
        <v>71</v>
      </c>
      <c r="G1306" s="72">
        <v>5757</v>
      </c>
      <c r="P1306" s="26"/>
    </row>
    <row r="1307" spans="1:16" ht="14.5">
      <c r="A1307" s="3" t="s">
        <v>38</v>
      </c>
      <c r="B1307" s="8" t="s">
        <v>2813</v>
      </c>
      <c r="C1307" s="46" t="s">
        <v>4784</v>
      </c>
      <c r="D1307" s="41" t="str">
        <f ca="1">IFERROR(__xludf.DUMMYFUNCTION("IFERROR(ARRAYFORMULA(REGEXEXTRACT(C1307,""^(?:https?:\/\/)?(?:[^@\n]+@)?(?:www\.)?([^:\/\n]+)"")),"""")"),"lakelasvegas.com")</f>
        <v>lakelasvegas.com</v>
      </c>
      <c r="E1307" s="26" t="str">
        <f ca="1">IFERROR(__xludf.DUMMYFUNCTION("""COMPUTED_VALUE"""),"New")</f>
        <v>New</v>
      </c>
      <c r="F1307" s="72">
        <v>46</v>
      </c>
      <c r="G1307" s="72">
        <v>7277</v>
      </c>
      <c r="P1307" s="26"/>
    </row>
    <row r="1308" spans="1:16" ht="14.5">
      <c r="A1308" s="3" t="s">
        <v>38</v>
      </c>
      <c r="B1308" s="8" t="s">
        <v>2813</v>
      </c>
      <c r="C1308" s="46" t="s">
        <v>4785</v>
      </c>
      <c r="D1308" s="41" t="str">
        <f ca="1">IFERROR(__xludf.DUMMYFUNCTION("IFERROR(ARRAYFORMULA(REGEXEXTRACT(C1308,""^(?:https?:\/\/)?(?:[^@\n]+@)?(?:www\.)?([^:\/\n]+)"")),"""")"),"subdomainfinder.c99.nl")</f>
        <v>subdomainfinder.c99.nl</v>
      </c>
      <c r="E1308" s="26" t="str">
        <f ca="1">IFERROR(__xludf.DUMMYFUNCTION("""COMPUTED_VALUE"""),"New")</f>
        <v>New</v>
      </c>
      <c r="F1308" s="72">
        <v>48</v>
      </c>
      <c r="G1308" s="72">
        <v>33651</v>
      </c>
      <c r="P1308" s="26"/>
    </row>
    <row r="1309" spans="1:16" ht="14.5">
      <c r="A1309" s="3" t="s">
        <v>38</v>
      </c>
      <c r="B1309" s="8" t="s">
        <v>2813</v>
      </c>
      <c r="C1309" s="46" t="s">
        <v>4786</v>
      </c>
      <c r="D1309" s="41" t="str">
        <f ca="1">IFERROR(__xludf.DUMMYFUNCTION("IFERROR(ARRAYFORMULA(REGEXEXTRACT(C1309,""^(?:https?:\/\/)?(?:[^@\n]+@)?(?:www\.)?([^:\/\n]+)"")),"""")"),"reviewjournal.com")</f>
        <v>reviewjournal.com</v>
      </c>
      <c r="E1309" s="26" t="str">
        <f ca="1">IFERROR(__xludf.DUMMYFUNCTION("""COMPUTED_VALUE"""),"New")</f>
        <v>New</v>
      </c>
      <c r="F1309" s="72">
        <v>83</v>
      </c>
      <c r="G1309" s="72">
        <v>356099</v>
      </c>
      <c r="P1309" s="26"/>
    </row>
    <row r="1310" spans="1:16" ht="14.5">
      <c r="A1310" s="3" t="s">
        <v>38</v>
      </c>
      <c r="B1310" s="8" t="s">
        <v>2813</v>
      </c>
      <c r="C1310" s="46" t="s">
        <v>4787</v>
      </c>
      <c r="D1310" s="41" t="str">
        <f ca="1">IFERROR(__xludf.DUMMYFUNCTION("IFERROR(ARRAYFORMULA(REGEXEXTRACT(C1310,""^(?:https?:\/\/)?(?:[^@\n]+@)?(?:www\.)?([^:\/\n]+)"")),"""")"),"myplainview.com")</f>
        <v>myplainview.com</v>
      </c>
      <c r="E1310" s="26" t="str">
        <f ca="1">IFERROR(__xludf.DUMMYFUNCTION("""COMPUTED_VALUE"""),"New")</f>
        <v>New</v>
      </c>
      <c r="F1310" s="72">
        <v>56</v>
      </c>
      <c r="G1310" s="72">
        <v>4009</v>
      </c>
      <c r="P1310" s="26"/>
    </row>
    <row r="1311" spans="1:16" ht="14.5">
      <c r="A1311" s="3" t="s">
        <v>38</v>
      </c>
      <c r="B1311" s="8" t="s">
        <v>2813</v>
      </c>
      <c r="C1311" s="46" t="s">
        <v>4788</v>
      </c>
      <c r="D1311" s="41" t="str">
        <f ca="1">IFERROR(__xludf.DUMMYFUNCTION("IFERROR(ARRAYFORMULA(REGEXEXTRACT(C1311,""^(?:https?:\/\/)?(?:[^@\n]+@)?(?:www\.)?([^:\/\n]+)"")),"""")"),"allentate.com")</f>
        <v>allentate.com</v>
      </c>
      <c r="E1311" s="26" t="str">
        <f ca="1">IFERROR(__xludf.DUMMYFUNCTION("""COMPUTED_VALUE"""),"New")</f>
        <v>New</v>
      </c>
      <c r="F1311" s="72">
        <v>63</v>
      </c>
      <c r="G1311" s="72">
        <v>26890</v>
      </c>
      <c r="P1311" s="26"/>
    </row>
    <row r="1312" spans="1:16" ht="14.5">
      <c r="A1312" s="3" t="s">
        <v>38</v>
      </c>
      <c r="B1312" s="8" t="s">
        <v>2813</v>
      </c>
      <c r="C1312" s="46" t="s">
        <v>4789</v>
      </c>
      <c r="D1312" s="41" t="str">
        <f ca="1">IFERROR(__xludf.DUMMYFUNCTION("IFERROR(ARRAYFORMULA(REGEXEXTRACT(C1312,""^(?:https?:\/\/)?(?:[^@\n]+@)?(?:www\.)?([^:\/\n]+)"")),"""")"),"michiganpublic.org")</f>
        <v>michiganpublic.org</v>
      </c>
      <c r="E1312" s="26" t="str">
        <f ca="1">IFERROR(__xludf.DUMMYFUNCTION("""COMPUTED_VALUE"""),"New")</f>
        <v>New</v>
      </c>
      <c r="F1312" s="72">
        <v>75</v>
      </c>
      <c r="G1312" s="72">
        <v>44742</v>
      </c>
      <c r="P1312" s="26"/>
    </row>
    <row r="1313" spans="1:16" ht="14.5">
      <c r="A1313" s="3" t="s">
        <v>38</v>
      </c>
      <c r="B1313" s="8" t="s">
        <v>2813</v>
      </c>
      <c r="C1313" s="46" t="s">
        <v>4790</v>
      </c>
      <c r="D1313" s="41" t="str">
        <f ca="1">IFERROR(__xludf.DUMMYFUNCTION("IFERROR(ARRAYFORMULA(REGEXEXTRACT(C1313,""^(?:https?:\/\/)?(?:[^@\n]+@)?(?:www\.)?([^:\/\n]+)"")),"""")"),"arlnow.com")</f>
        <v>arlnow.com</v>
      </c>
      <c r="E1313" s="26" t="str">
        <f ca="1">IFERROR(__xludf.DUMMYFUNCTION("""COMPUTED_VALUE"""),"New")</f>
        <v>New</v>
      </c>
      <c r="F1313" s="72">
        <v>72</v>
      </c>
      <c r="G1313" s="72">
        <v>20381</v>
      </c>
      <c r="P1313" s="26"/>
    </row>
    <row r="1314" spans="1:16" ht="14.5">
      <c r="A1314" s="3" t="s">
        <v>38</v>
      </c>
      <c r="B1314" s="8" t="s">
        <v>2813</v>
      </c>
      <c r="C1314" s="46" t="s">
        <v>4791</v>
      </c>
      <c r="D1314" s="41" t="str">
        <f ca="1">IFERROR(__xludf.DUMMYFUNCTION("IFERROR(ARRAYFORMULA(REGEXEXTRACT(C1314,""^(?:https?:\/\/)?(?:[^@\n]+@)?(?:www\.)?([^:\/\n]+)"")),"""")"),"hydro.navy.lk")</f>
        <v>hydro.navy.lk</v>
      </c>
      <c r="E1314" s="26" t="str">
        <f ca="1">IFERROR(__xludf.DUMMYFUNCTION("""COMPUTED_VALUE"""),"New")</f>
        <v>New</v>
      </c>
      <c r="F1314" s="72">
        <v>53</v>
      </c>
      <c r="G1314" s="72">
        <v>15037</v>
      </c>
      <c r="P1314" s="26"/>
    </row>
    <row r="1315" spans="1:16" ht="14.5">
      <c r="A1315" s="3" t="s">
        <v>38</v>
      </c>
      <c r="B1315" s="8" t="s">
        <v>2813</v>
      </c>
      <c r="C1315" s="46" t="s">
        <v>4792</v>
      </c>
      <c r="D1315" s="41" t="str">
        <f ca="1">IFERROR(__xludf.DUMMYFUNCTION("IFERROR(ARRAYFORMULA(REGEXEXTRACT(C1315,""^(?:https?:\/\/)?(?:[^@\n]+@)?(?:www\.)?([^:\/\n]+)"")),"""")"),"the-american-interest.com")</f>
        <v>the-american-interest.com</v>
      </c>
      <c r="E1315" s="26" t="str">
        <f ca="1">IFERROR(__xludf.DUMMYFUNCTION("""COMPUTED_VALUE"""),"New")</f>
        <v>New</v>
      </c>
      <c r="F1315" s="72">
        <v>72</v>
      </c>
      <c r="G1315" s="72">
        <v>1111</v>
      </c>
      <c r="P1315" s="26"/>
    </row>
    <row r="1316" spans="1:16" ht="14.5">
      <c r="A1316" s="3" t="s">
        <v>38</v>
      </c>
      <c r="B1316" s="8" t="s">
        <v>2813</v>
      </c>
      <c r="C1316" s="46" t="s">
        <v>4793</v>
      </c>
      <c r="D1316" s="41" t="str">
        <f ca="1">IFERROR(__xludf.DUMMYFUNCTION("IFERROR(ARRAYFORMULA(REGEXEXTRACT(C1316,""^(?:https?:\/\/)?(?:[^@\n]+@)?(?:www\.)?([^:\/\n]+)"")),"""")"),"seniorcarefinder.com")</f>
        <v>seniorcarefinder.com</v>
      </c>
      <c r="E1316" s="26" t="str">
        <f ca="1">IFERROR(__xludf.DUMMYFUNCTION("""COMPUTED_VALUE"""),"New")</f>
        <v>New</v>
      </c>
      <c r="F1316" s="72">
        <v>28</v>
      </c>
      <c r="G1316" s="72">
        <v>7266</v>
      </c>
      <c r="P1316" s="26"/>
    </row>
    <row r="1317" spans="1:16" ht="14.5">
      <c r="A1317" s="3" t="s">
        <v>38</v>
      </c>
      <c r="B1317" s="8" t="s">
        <v>2813</v>
      </c>
      <c r="C1317" s="46" t="s">
        <v>4794</v>
      </c>
      <c r="D1317" s="41" t="str">
        <f ca="1">IFERROR(__xludf.DUMMYFUNCTION("IFERROR(ARRAYFORMULA(REGEXEXTRACT(C1317,""^(?:https?:\/\/)?(?:[^@\n]+@)?(?:www\.)?([^:\/\n]+)"")),"""")"),"savannah.uberflip.com")</f>
        <v>savannah.uberflip.com</v>
      </c>
      <c r="E1317" s="26" t="str">
        <f ca="1">IFERROR(__xludf.DUMMYFUNCTION("""COMPUTED_VALUE"""),"New")</f>
        <v>New</v>
      </c>
      <c r="F1317" s="72">
        <v>81</v>
      </c>
      <c r="G1317" s="72">
        <v>1987</v>
      </c>
      <c r="P1317" s="26"/>
    </row>
    <row r="1318" spans="1:16" ht="14.5">
      <c r="A1318" s="3" t="s">
        <v>38</v>
      </c>
      <c r="B1318" s="8" t="s">
        <v>2813</v>
      </c>
      <c r="C1318" s="46" t="s">
        <v>4795</v>
      </c>
      <c r="D1318" s="41" t="str">
        <f ca="1">IFERROR(__xludf.DUMMYFUNCTION("IFERROR(ARRAYFORMULA(REGEXEXTRACT(C1318,""^(?:https?:\/\/)?(?:[^@\n]+@)?(?:www\.)?([^:\/\n]+)"")),"""")"),"wcnc.com")</f>
        <v>wcnc.com</v>
      </c>
      <c r="E1318" s="26" t="str">
        <f ca="1">IFERROR(__xludf.DUMMYFUNCTION("""COMPUTED_VALUE"""),"New")</f>
        <v>New</v>
      </c>
      <c r="F1318" s="72">
        <v>77</v>
      </c>
      <c r="G1318" s="72">
        <v>173733</v>
      </c>
      <c r="P1318" s="26"/>
    </row>
    <row r="1319" spans="1:16" ht="14.5">
      <c r="A1319" s="3" t="s">
        <v>38</v>
      </c>
      <c r="B1319" s="8" t="s">
        <v>2813</v>
      </c>
      <c r="C1319" s="46" t="s">
        <v>4796</v>
      </c>
      <c r="D1319" s="41" t="str">
        <f ca="1">IFERROR(__xludf.DUMMYFUNCTION("IFERROR(ARRAYFORMULA(REGEXEXTRACT(C1319,""^(?:https?:\/\/)?(?:[^@\n]+@)?(?:www\.)?([^:\/\n]+)"")),"""")"),"phyllisbrowning.com")</f>
        <v>phyllisbrowning.com</v>
      </c>
      <c r="E1319" s="26" t="str">
        <f ca="1">IFERROR(__xludf.DUMMYFUNCTION("""COMPUTED_VALUE"""),"New")</f>
        <v>New</v>
      </c>
      <c r="F1319" s="72">
        <v>43</v>
      </c>
      <c r="G1319" s="72">
        <v>3366</v>
      </c>
      <c r="P1319" s="26"/>
    </row>
    <row r="1320" spans="1:16" ht="14.5">
      <c r="A1320" s="3" t="s">
        <v>38</v>
      </c>
      <c r="B1320" s="8" t="s">
        <v>2813</v>
      </c>
      <c r="C1320" s="46" t="s">
        <v>4797</v>
      </c>
      <c r="D1320" s="41" t="str">
        <f ca="1">IFERROR(__xludf.DUMMYFUNCTION("IFERROR(ARRAYFORMULA(REGEXEXTRACT(C1320,""^(?:https?:\/\/)?(?:[^@\n]+@)?(?:www\.)?([^:\/\n]+)"")),"""")"),"zillow.mediaroom.com")</f>
        <v>zillow.mediaroom.com</v>
      </c>
      <c r="E1320" s="26" t="str">
        <f ca="1">IFERROR(__xludf.DUMMYFUNCTION("""COMPUTED_VALUE"""),"New")</f>
        <v>New</v>
      </c>
      <c r="F1320" s="72">
        <v>87</v>
      </c>
      <c r="G1320" s="72">
        <v>73931</v>
      </c>
      <c r="P1320" s="26"/>
    </row>
    <row r="1321" spans="1:16" ht="14.5">
      <c r="A1321" s="3" t="s">
        <v>38</v>
      </c>
      <c r="B1321" s="8" t="s">
        <v>2813</v>
      </c>
      <c r="C1321" s="46" t="s">
        <v>4798</v>
      </c>
      <c r="D1321" s="41" t="str">
        <f ca="1">IFERROR(__xludf.DUMMYFUNCTION("IFERROR(ARRAYFORMULA(REGEXEXTRACT(C1321,""^(?:https?:\/\/)?(?:[^@\n]+@)?(?:www\.)?([^:\/\n]+)"")),"""")"),"coparking.ch")</f>
        <v>coparking.ch</v>
      </c>
      <c r="E1321" s="26" t="str">
        <f ca="1">IFERROR(__xludf.DUMMYFUNCTION("""COMPUTED_VALUE"""),"New")</f>
        <v>New</v>
      </c>
      <c r="F1321" s="72">
        <v>33</v>
      </c>
      <c r="G1321" s="72">
        <v>7733</v>
      </c>
      <c r="P1321" s="26"/>
    </row>
    <row r="1322" spans="1:16" ht="14.5">
      <c r="A1322" s="3" t="s">
        <v>38</v>
      </c>
      <c r="B1322" s="8" t="s">
        <v>2813</v>
      </c>
      <c r="C1322" s="46" t="s">
        <v>4799</v>
      </c>
      <c r="D1322" s="41" t="str">
        <f ca="1">IFERROR(__xludf.DUMMYFUNCTION("IFERROR(ARRAYFORMULA(REGEXEXTRACT(C1322,""^(?:https?:\/\/)?(?:[^@\n]+@)?(?:www\.)?([^:\/\n]+)"")),"""")"),"lightreading.com")</f>
        <v>lightreading.com</v>
      </c>
      <c r="E1322" s="26" t="str">
        <f ca="1">IFERROR(__xludf.DUMMYFUNCTION("""COMPUTED_VALUE"""),"New")</f>
        <v>New</v>
      </c>
      <c r="F1322" s="72">
        <v>80</v>
      </c>
      <c r="G1322" s="72">
        <v>20592</v>
      </c>
      <c r="P1322" s="26"/>
    </row>
    <row r="1323" spans="1:16" ht="14.5">
      <c r="A1323" s="3" t="s">
        <v>38</v>
      </c>
      <c r="B1323" s="8" t="s">
        <v>2813</v>
      </c>
      <c r="C1323" s="46" t="s">
        <v>4800</v>
      </c>
      <c r="D1323" s="41" t="str">
        <f ca="1">IFERROR(__xludf.DUMMYFUNCTION("IFERROR(ARRAYFORMULA(REGEXEXTRACT(C1323,""^(?:https?:\/\/)?(?:[^@\n]+@)?(?:www\.)?([^:\/\n]+)"")),"""")"),"bellmoving.com")</f>
        <v>bellmoving.com</v>
      </c>
      <c r="E1323" s="26" t="str">
        <f ca="1">IFERROR(__xludf.DUMMYFUNCTION("""COMPUTED_VALUE"""),"New")</f>
        <v>New</v>
      </c>
      <c r="F1323" s="72">
        <v>45</v>
      </c>
      <c r="G1323" s="72">
        <v>2807</v>
      </c>
      <c r="P1323" s="26"/>
    </row>
    <row r="1324" spans="1:16" ht="14.5">
      <c r="A1324" s="3" t="s">
        <v>38</v>
      </c>
      <c r="B1324" s="8" t="s">
        <v>2813</v>
      </c>
      <c r="C1324" s="46" t="s">
        <v>4801</v>
      </c>
      <c r="D1324" s="41" t="str">
        <f ca="1">IFERROR(__xludf.DUMMYFUNCTION("IFERROR(ARRAYFORMULA(REGEXEXTRACT(C1324,""^(?:https?:\/\/)?(?:[^@\n]+@)?(?:www\.)?([^:\/\n]+)"")),"""")"),"remax.com")</f>
        <v>remax.com</v>
      </c>
      <c r="E1324" s="26" t="str">
        <f ca="1">IFERROR(__xludf.DUMMYFUNCTION("""COMPUTED_VALUE"""),"New")</f>
        <v>New</v>
      </c>
      <c r="F1324" s="72">
        <v>82</v>
      </c>
      <c r="G1324" s="72">
        <v>930624</v>
      </c>
      <c r="P1324" s="26"/>
    </row>
    <row r="1325" spans="1:16" ht="14.5">
      <c r="A1325" s="3" t="s">
        <v>38</v>
      </c>
      <c r="B1325" s="8" t="s">
        <v>2813</v>
      </c>
      <c r="C1325" s="46" t="s">
        <v>4802</v>
      </c>
      <c r="D1325" s="41" t="str">
        <f ca="1">IFERROR(__xludf.DUMMYFUNCTION("IFERROR(ARRAYFORMULA(REGEXEXTRACT(C1325,""^(?:https?:\/\/)?(?:[^@\n]+@)?(?:www\.)?([^:\/\n]+)"")),"""")"),"wetlands.msuextension.org")</f>
        <v>wetlands.msuextension.org</v>
      </c>
      <c r="E1325" s="26" t="str">
        <f ca="1">IFERROR(__xludf.DUMMYFUNCTION("""COMPUTED_VALUE"""),"New")</f>
        <v>New</v>
      </c>
      <c r="F1325" s="72">
        <v>66</v>
      </c>
      <c r="G1325" s="72">
        <v>2575</v>
      </c>
      <c r="P1325" s="26"/>
    </row>
    <row r="1326" spans="1:16" ht="14.5">
      <c r="A1326" s="3" t="s">
        <v>38</v>
      </c>
      <c r="B1326" s="8" t="s">
        <v>2813</v>
      </c>
      <c r="C1326" s="46" t="s">
        <v>4803</v>
      </c>
      <c r="D1326" s="41" t="str">
        <f ca="1">IFERROR(__xludf.DUMMYFUNCTION("IFERROR(ARRAYFORMULA(REGEXEXTRACT(C1326,""^(?:https?:\/\/)?(?:[^@\n]+@)?(?:www\.)?([^:\/\n]+)"")),"""")"),"cabotwealth.com")</f>
        <v>cabotwealth.com</v>
      </c>
      <c r="E1326" s="26" t="str">
        <f ca="1">IFERROR(__xludf.DUMMYFUNCTION("""COMPUTED_VALUE"""),"New")</f>
        <v>New</v>
      </c>
      <c r="F1326" s="72">
        <v>37</v>
      </c>
      <c r="G1326" s="72">
        <v>3169</v>
      </c>
      <c r="P1326" s="26"/>
    </row>
    <row r="1327" spans="1:16" ht="14.5">
      <c r="A1327" s="3" t="s">
        <v>38</v>
      </c>
      <c r="B1327" s="8" t="s">
        <v>2813</v>
      </c>
      <c r="C1327" s="46" t="s">
        <v>4804</v>
      </c>
      <c r="D1327" s="41" t="str">
        <f ca="1">IFERROR(__xludf.DUMMYFUNCTION("IFERROR(ARRAYFORMULA(REGEXEXTRACT(C1327,""^(?:https?:\/\/)?(?:[^@\n]+@)?(?:www\.)?([^:\/\n]+)"")),"""")"),"folkd.com")</f>
        <v>folkd.com</v>
      </c>
      <c r="E1327" s="26" t="str">
        <f ca="1">IFERROR(__xludf.DUMMYFUNCTION("""COMPUTED_VALUE"""),"New")</f>
        <v>New</v>
      </c>
      <c r="F1327" s="72">
        <v>74</v>
      </c>
      <c r="G1327" s="72">
        <v>2068</v>
      </c>
      <c r="P1327" s="26"/>
    </row>
    <row r="1328" spans="1:16" ht="14.5">
      <c r="A1328" s="3" t="s">
        <v>38</v>
      </c>
      <c r="B1328" s="8" t="s">
        <v>2813</v>
      </c>
      <c r="C1328" s="46" t="s">
        <v>4805</v>
      </c>
      <c r="D1328" s="41" t="str">
        <f ca="1">IFERROR(__xludf.DUMMYFUNCTION("IFERROR(ARRAYFORMULA(REGEXEXTRACT(C1328,""^(?:https?:\/\/)?(?:[^@\n]+@)?(?:www\.)?([^:\/\n]+)"")),"""")"),"babcockranch.com")</f>
        <v>babcockranch.com</v>
      </c>
      <c r="E1328" s="26" t="str">
        <f ca="1">IFERROR(__xludf.DUMMYFUNCTION("""COMPUTED_VALUE"""),"New")</f>
        <v>New</v>
      </c>
      <c r="F1328" s="72">
        <v>55</v>
      </c>
      <c r="G1328" s="72">
        <v>29725</v>
      </c>
      <c r="P1328" s="26"/>
    </row>
    <row r="1329" spans="1:16" ht="14.5">
      <c r="A1329" s="3" t="s">
        <v>38</v>
      </c>
      <c r="B1329" s="8" t="s">
        <v>2813</v>
      </c>
      <c r="C1329" s="46" t="s">
        <v>4806</v>
      </c>
      <c r="D1329" s="41" t="str">
        <f ca="1">IFERROR(__xludf.DUMMYFUNCTION("IFERROR(ARRAYFORMULA(REGEXEXTRACT(C1329,""^(?:https?:\/\/)?(?:[^@\n]+@)?(?:www\.)?([^:\/\n]+)"")),"""")"),"wabe.org")</f>
        <v>wabe.org</v>
      </c>
      <c r="E1329" s="26" t="str">
        <f ca="1">IFERROR(__xludf.DUMMYFUNCTION("""COMPUTED_VALUE"""),"New")</f>
        <v>New</v>
      </c>
      <c r="F1329" s="72">
        <v>77</v>
      </c>
      <c r="G1329" s="72">
        <v>81781</v>
      </c>
      <c r="P1329" s="26"/>
    </row>
    <row r="1330" spans="1:16" ht="14.5">
      <c r="A1330" s="3" t="s">
        <v>38</v>
      </c>
      <c r="B1330" s="8" t="s">
        <v>2813</v>
      </c>
      <c r="C1330" s="46" t="s">
        <v>4807</v>
      </c>
      <c r="D1330" s="41" t="str">
        <f ca="1">IFERROR(__xludf.DUMMYFUNCTION("IFERROR(ARRAYFORMULA(REGEXEXTRACT(C1330,""^(?:https?:\/\/)?(?:[^@\n]+@)?(?:www\.)?([^:\/\n]+)"")),"""")"),"trackshack.orlando2024trials.com")</f>
        <v>trackshack.orlando2024trials.com</v>
      </c>
      <c r="E1330" s="26" t="str">
        <f ca="1">IFERROR(__xludf.DUMMYFUNCTION("""COMPUTED_VALUE"""),"New")</f>
        <v>New</v>
      </c>
      <c r="F1330" s="72">
        <v>31</v>
      </c>
      <c r="G1330" s="72">
        <v>3641</v>
      </c>
      <c r="P1330" s="26"/>
    </row>
    <row r="1331" spans="1:16" ht="14.5">
      <c r="A1331" s="3" t="s">
        <v>38</v>
      </c>
      <c r="B1331" s="8" t="s">
        <v>2813</v>
      </c>
      <c r="C1331" s="46" t="s">
        <v>4808</v>
      </c>
      <c r="D1331" s="41" t="str">
        <f ca="1">IFERROR(__xludf.DUMMYFUNCTION("IFERROR(ARRAYFORMULA(REGEXEXTRACT(C1331,""^(?:https?:\/\/)?(?:[^@\n]+@)?(?:www\.)?([^:\/\n]+)"")),"""")"),"qujica.prv.pl")</f>
        <v>qujica.prv.pl</v>
      </c>
      <c r="E1331" s="26" t="str">
        <f ca="1">IFERROR(__xludf.DUMMYFUNCTION("""COMPUTED_VALUE"""),"New")</f>
        <v>New</v>
      </c>
      <c r="F1331" s="72">
        <v>78</v>
      </c>
      <c r="G1331" s="72">
        <v>18392</v>
      </c>
      <c r="P1331" s="26"/>
    </row>
    <row r="1332" spans="1:16" ht="14.5">
      <c r="A1332" s="3" t="s">
        <v>38</v>
      </c>
      <c r="B1332" s="8" t="s">
        <v>2813</v>
      </c>
      <c r="C1332" s="46" t="s">
        <v>4809</v>
      </c>
      <c r="D1332" s="41" t="str">
        <f ca="1">IFERROR(__xludf.DUMMYFUNCTION("IFERROR(ARRAYFORMULA(REGEXEXTRACT(C1332,""^(?:https?:\/\/)?(?:[^@\n]+@)?(?:www\.)?([^:\/\n]+)"")),"""")"),"santaferealestate.com")</f>
        <v>santaferealestate.com</v>
      </c>
      <c r="E1332" s="26" t="str">
        <f ca="1">IFERROR(__xludf.DUMMYFUNCTION("""COMPUTED_VALUE"""),"New")</f>
        <v>New</v>
      </c>
      <c r="F1332" s="72">
        <v>32</v>
      </c>
      <c r="G1332" s="72">
        <v>1453</v>
      </c>
      <c r="P1332" s="26"/>
    </row>
    <row r="1333" spans="1:16" ht="14.5">
      <c r="A1333" s="3" t="s">
        <v>38</v>
      </c>
      <c r="B1333" s="8" t="s">
        <v>2813</v>
      </c>
      <c r="C1333" s="46" t="s">
        <v>4810</v>
      </c>
      <c r="D1333" s="41" t="str">
        <f ca="1">IFERROR(__xludf.DUMMYFUNCTION("IFERROR(ARRAYFORMULA(REGEXEXTRACT(C1333,""^(?:https?:\/\/)?(?:[^@\n]+@)?(?:www\.)?([^:\/\n]+)"")),"""")"),"njbiz.com")</f>
        <v>njbiz.com</v>
      </c>
      <c r="E1333" s="26" t="str">
        <f ca="1">IFERROR(__xludf.DUMMYFUNCTION("""COMPUTED_VALUE"""),"New")</f>
        <v>New</v>
      </c>
      <c r="F1333" s="72">
        <v>76</v>
      </c>
      <c r="G1333" s="72">
        <v>15746</v>
      </c>
      <c r="P1333" s="26"/>
    </row>
    <row r="1334" spans="1:16" ht="14.5">
      <c r="A1334" s="3" t="s">
        <v>38</v>
      </c>
      <c r="B1334" s="8" t="s">
        <v>2813</v>
      </c>
      <c r="C1334" s="46" t="s">
        <v>4811</v>
      </c>
      <c r="D1334" s="41" t="str">
        <f ca="1">IFERROR(__xludf.DUMMYFUNCTION("IFERROR(ARRAYFORMULA(REGEXEXTRACT(C1334,""^(?:https?:\/\/)?(?:[^@\n]+@)?(?:www\.)?([^:\/\n]+)"")),"""")"),"teamcarver.com")</f>
        <v>teamcarver.com</v>
      </c>
      <c r="E1334" s="26" t="str">
        <f ca="1">IFERROR(__xludf.DUMMYFUNCTION("""COMPUTED_VALUE"""),"New")</f>
        <v>New</v>
      </c>
      <c r="F1334" s="72">
        <v>27</v>
      </c>
      <c r="G1334" s="72">
        <v>1841</v>
      </c>
      <c r="P1334" s="26"/>
    </row>
    <row r="1335" spans="1:16" ht="14.5">
      <c r="A1335" s="3" t="s">
        <v>38</v>
      </c>
      <c r="B1335" s="8" t="s">
        <v>2813</v>
      </c>
      <c r="C1335" s="46" t="s">
        <v>4812</v>
      </c>
      <c r="D1335" s="41" t="str">
        <f ca="1">IFERROR(__xludf.DUMMYFUNCTION("IFERROR(ARRAYFORMULA(REGEXEXTRACT(C1335,""^(?:https?:\/\/)?(?:[^@\n]+@)?(?:www\.)?([^:\/\n]+)"")),"""")"),"wwww.stockwatch.com")</f>
        <v>wwww.stockwatch.com</v>
      </c>
      <c r="E1335" s="26" t="str">
        <f ca="1">IFERROR(__xludf.DUMMYFUNCTION("""COMPUTED_VALUE"""),"New")</f>
        <v>New</v>
      </c>
      <c r="F1335" s="72">
        <v>67</v>
      </c>
      <c r="G1335" s="72">
        <v>30426</v>
      </c>
      <c r="P1335" s="26"/>
    </row>
    <row r="1336" spans="1:16" ht="14.5">
      <c r="A1336" s="3" t="s">
        <v>38</v>
      </c>
      <c r="B1336" s="8" t="s">
        <v>2813</v>
      </c>
      <c r="C1336" s="46" t="s">
        <v>4813</v>
      </c>
      <c r="D1336" s="41" t="str">
        <f ca="1">IFERROR(__xludf.DUMMYFUNCTION("IFERROR(ARRAYFORMULA(REGEXEXTRACT(C1336,""^(?:https?:\/\/)?(?:[^@\n]+@)?(?:www\.)?([^:\/\n]+)"")),"""")"),"viprealestate.com")</f>
        <v>viprealestate.com</v>
      </c>
      <c r="E1336" s="26" t="str">
        <f ca="1">IFERROR(__xludf.DUMMYFUNCTION("""COMPUTED_VALUE"""),"New")</f>
        <v>New</v>
      </c>
      <c r="F1336" s="72">
        <v>34</v>
      </c>
      <c r="G1336" s="72">
        <v>12215</v>
      </c>
      <c r="P1336" s="26"/>
    </row>
    <row r="1337" spans="1:16" ht="14.5">
      <c r="A1337" s="3" t="s">
        <v>38</v>
      </c>
      <c r="B1337" s="8" t="s">
        <v>2813</v>
      </c>
      <c r="C1337" s="46" t="s">
        <v>4814</v>
      </c>
      <c r="D1337" s="41" t="str">
        <f ca="1">IFERROR(__xludf.DUMMYFUNCTION("IFERROR(ARRAYFORMULA(REGEXEXTRACT(C1337,""^(?:https?:\/\/)?(?:[^@\n]+@)?(?:www\.)?([^:\/\n]+)"")),"""")"),"cascadepbs.org")</f>
        <v>cascadepbs.org</v>
      </c>
      <c r="E1337" s="26" t="str">
        <f ca="1">IFERROR(__xludf.DUMMYFUNCTION("""COMPUTED_VALUE"""),"New")</f>
        <v>New</v>
      </c>
      <c r="F1337" s="72">
        <v>76</v>
      </c>
      <c r="G1337" s="72">
        <v>15900</v>
      </c>
      <c r="P1337" s="26"/>
    </row>
    <row r="1338" spans="1:16" ht="14.5">
      <c r="A1338" s="3" t="s">
        <v>38</v>
      </c>
      <c r="B1338" s="8" t="s">
        <v>2813</v>
      </c>
      <c r="C1338" s="46" t="s">
        <v>4815</v>
      </c>
      <c r="D1338" s="41" t="str">
        <f ca="1">IFERROR(__xludf.DUMMYFUNCTION("IFERROR(ARRAYFORMULA(REGEXEXTRACT(C1338,""^(?:https?:\/\/)?(?:[^@\n]+@)?(?:www\.)?([^:\/\n]+)"")),"""")"),"msn.com")</f>
        <v>msn.com</v>
      </c>
      <c r="E1338" s="26" t="str">
        <f ca="1">IFERROR(__xludf.DUMMYFUNCTION("""COMPUTED_VALUE"""),"New")</f>
        <v>New</v>
      </c>
      <c r="F1338" s="72">
        <v>92</v>
      </c>
      <c r="G1338" s="72">
        <v>32214940</v>
      </c>
      <c r="P1338" s="26"/>
    </row>
    <row r="1339" spans="1:16" ht="14.5">
      <c r="A1339" s="3" t="s">
        <v>38</v>
      </c>
      <c r="B1339" s="8" t="s">
        <v>2813</v>
      </c>
      <c r="C1339" s="46" t="s">
        <v>4816</v>
      </c>
      <c r="D1339" s="41" t="str">
        <f ca="1">IFERROR(__xludf.DUMMYFUNCTION("IFERROR(ARRAYFORMULA(REGEXEXTRACT(C1339,""^(?:https?:\/\/)?(?:[^@\n]+@)?(?:www\.)?([^:\/\n]+)"")),"""")"),"sleepwithmepodcast.com")</f>
        <v>sleepwithmepodcast.com</v>
      </c>
      <c r="E1339" s="26" t="str">
        <f ca="1">IFERROR(__xludf.DUMMYFUNCTION("""COMPUTED_VALUE"""),"New")</f>
        <v>New</v>
      </c>
      <c r="F1339" s="72">
        <v>60</v>
      </c>
      <c r="G1339" s="72">
        <v>4619</v>
      </c>
      <c r="P1339" s="26"/>
    </row>
    <row r="1340" spans="1:16" ht="14.5">
      <c r="A1340" s="3" t="s">
        <v>38</v>
      </c>
      <c r="B1340" s="8" t="s">
        <v>2813</v>
      </c>
      <c r="C1340" s="46" t="s">
        <v>4817</v>
      </c>
      <c r="D1340" s="41" t="str">
        <f ca="1">IFERROR(__xludf.DUMMYFUNCTION("IFERROR(ARRAYFORMULA(REGEXEXTRACT(C1340,""^(?:https?:\/\/)?(?:[^@\n]+@)?(?:www\.)?([^:\/\n]+)"")),"""")"),"woodlandsnewhomes.com")</f>
        <v>woodlandsnewhomes.com</v>
      </c>
      <c r="E1340" s="26" t="str">
        <f ca="1">IFERROR(__xludf.DUMMYFUNCTION("""COMPUTED_VALUE"""),"New")</f>
        <v>New</v>
      </c>
      <c r="F1340" s="72">
        <v>23</v>
      </c>
      <c r="G1340" s="72">
        <v>1204</v>
      </c>
      <c r="P1340" s="26"/>
    </row>
    <row r="1341" spans="1:16" ht="14.5">
      <c r="A1341" s="3" t="s">
        <v>38</v>
      </c>
      <c r="B1341" s="8" t="s">
        <v>2813</v>
      </c>
      <c r="C1341" s="46" t="s">
        <v>4818</v>
      </c>
      <c r="D1341" s="41" t="str">
        <f ca="1">IFERROR(__xludf.DUMMYFUNCTION("IFERROR(ARRAYFORMULA(REGEXEXTRACT(C1341,""^(?:https?:\/\/)?(?:[^@\n]+@)?(?:www\.)?([^:\/\n]+)"")),"""")"),"procore.com")</f>
        <v>procore.com</v>
      </c>
      <c r="E1341" s="26" t="str">
        <f ca="1">IFERROR(__xludf.DUMMYFUNCTION("""COMPUTED_VALUE"""),"New")</f>
        <v>New</v>
      </c>
      <c r="F1341" s="72">
        <v>82</v>
      </c>
      <c r="G1341" s="72">
        <v>1159234</v>
      </c>
      <c r="P1341" s="26"/>
    </row>
    <row r="1342" spans="1:16" ht="14.5">
      <c r="A1342" s="3" t="s">
        <v>38</v>
      </c>
      <c r="B1342" s="8" t="s">
        <v>2813</v>
      </c>
      <c r="C1342" s="46" t="s">
        <v>4819</v>
      </c>
      <c r="D1342" s="41" t="str">
        <f ca="1">IFERROR(__xludf.DUMMYFUNCTION("IFERROR(ARRAYFORMULA(REGEXEXTRACT(C1342,""^(?:https?:\/\/)?(?:[^@\n]+@)?(?:www\.)?([^:\/\n]+)"")),"""")"),"sofiahealth.com")</f>
        <v>sofiahealth.com</v>
      </c>
      <c r="E1342" s="26" t="str">
        <f ca="1">IFERROR(__xludf.DUMMYFUNCTION("""COMPUTED_VALUE"""),"New")</f>
        <v>New</v>
      </c>
      <c r="F1342" s="72">
        <v>34</v>
      </c>
      <c r="G1342" s="72">
        <v>1599</v>
      </c>
      <c r="P1342" s="26"/>
    </row>
    <row r="1343" spans="1:16" ht="14.5">
      <c r="A1343" s="3" t="s">
        <v>38</v>
      </c>
      <c r="B1343" s="8" t="s">
        <v>2813</v>
      </c>
      <c r="C1343" s="46" t="s">
        <v>4820</v>
      </c>
      <c r="D1343" s="41" t="str">
        <f ca="1">IFERROR(__xludf.DUMMYFUNCTION("IFERROR(ARRAYFORMULA(REGEXEXTRACT(C1343,""^(?:https?:\/\/)?(?:[^@\n]+@)?(?:www\.)?([^:\/\n]+)"")),"""")"),"zillowgroup.com")</f>
        <v>zillowgroup.com</v>
      </c>
      <c r="E1343" s="26" t="str">
        <f ca="1">IFERROR(__xludf.DUMMYFUNCTION("""COMPUTED_VALUE"""),"New")</f>
        <v>New</v>
      </c>
      <c r="F1343" s="72">
        <v>73</v>
      </c>
      <c r="G1343" s="72">
        <v>15126</v>
      </c>
      <c r="P1343" s="26"/>
    </row>
    <row r="1344" spans="1:16" ht="14.5">
      <c r="A1344" s="3" t="s">
        <v>38</v>
      </c>
      <c r="B1344" s="8" t="s">
        <v>2813</v>
      </c>
      <c r="C1344" s="46" t="s">
        <v>4821</v>
      </c>
      <c r="D1344" s="41" t="str">
        <f ca="1">IFERROR(__xludf.DUMMYFUNCTION("IFERROR(ARRAYFORMULA(REGEXEXTRACT(C1344,""^(?:https?:\/\/)?(?:[^@\n]+@)?(?:www\.)?([^:\/\n]+)"")),"""")"),"winknews.com")</f>
        <v>winknews.com</v>
      </c>
      <c r="E1344" s="26" t="str">
        <f ca="1">IFERROR(__xludf.DUMMYFUNCTION("""COMPUTED_VALUE"""),"New")</f>
        <v>New</v>
      </c>
      <c r="F1344" s="72">
        <v>75</v>
      </c>
      <c r="G1344" s="72">
        <v>73799</v>
      </c>
      <c r="P1344" s="26"/>
    </row>
    <row r="1345" spans="1:16" ht="14.5">
      <c r="A1345" s="3" t="s">
        <v>38</v>
      </c>
      <c r="B1345" s="8" t="s">
        <v>2813</v>
      </c>
      <c r="C1345" s="46" t="s">
        <v>4822</v>
      </c>
      <c r="D1345" s="41" t="str">
        <f ca="1">IFERROR(__xludf.DUMMYFUNCTION("IFERROR(ARRAYFORMULA(REGEXEXTRACT(C1345,""^(?:https?:\/\/)?(?:[^@\n]+@)?(?:www\.)?([^:\/\n]+)"")),"""")"),"tolestemple.com")</f>
        <v>tolestemple.com</v>
      </c>
      <c r="E1345" s="26" t="str">
        <f ca="1">IFERROR(__xludf.DUMMYFUNCTION("""COMPUTED_VALUE"""),"New")</f>
        <v>New</v>
      </c>
      <c r="F1345" s="72">
        <v>28</v>
      </c>
      <c r="G1345" s="72">
        <v>1066</v>
      </c>
      <c r="P1345" s="26"/>
    </row>
    <row r="1346" spans="1:16" ht="14.5">
      <c r="A1346" s="3" t="s">
        <v>38</v>
      </c>
      <c r="B1346" s="8" t="s">
        <v>2813</v>
      </c>
      <c r="C1346" s="46" t="s">
        <v>4823</v>
      </c>
      <c r="D1346" s="41" t="str">
        <f ca="1">IFERROR(__xludf.DUMMYFUNCTION("IFERROR(ARRAYFORMULA(REGEXEXTRACT(C1346,""^(?:https?:\/\/)?(?:[^@\n]+@)?(?:www\.)?([^:\/\n]+)"")),"""")"),"colliers.com")</f>
        <v>colliers.com</v>
      </c>
      <c r="E1346" s="26" t="str">
        <f ca="1">IFERROR(__xludf.DUMMYFUNCTION("""COMPUTED_VALUE"""),"New")</f>
        <v>New</v>
      </c>
      <c r="F1346" s="72">
        <v>81</v>
      </c>
      <c r="G1346" s="72">
        <v>88349</v>
      </c>
      <c r="P1346" s="26"/>
    </row>
    <row r="1347" spans="1:16" ht="14.5">
      <c r="A1347" s="3" t="s">
        <v>38</v>
      </c>
      <c r="B1347" s="8" t="s">
        <v>2813</v>
      </c>
      <c r="C1347" s="46" t="s">
        <v>4824</v>
      </c>
      <c r="D1347" s="41" t="str">
        <f ca="1">IFERROR(__xludf.DUMMYFUNCTION("IFERROR(ARRAYFORMULA(REGEXEXTRACT(C1347,""^(?:https?:\/\/)?(?:[^@\n]+@)?(?:www\.)?([^:\/\n]+)"")),"""")"),"brownstoner.com")</f>
        <v>brownstoner.com</v>
      </c>
      <c r="E1347" s="26" t="str">
        <f ca="1">IFERROR(__xludf.DUMMYFUNCTION("""COMPUTED_VALUE"""),"New")</f>
        <v>New</v>
      </c>
      <c r="F1347" s="72">
        <v>73</v>
      </c>
      <c r="G1347" s="72">
        <v>14004</v>
      </c>
      <c r="P1347" s="26"/>
    </row>
    <row r="1348" spans="1:16" ht="14.5">
      <c r="A1348" s="3" t="s">
        <v>38</v>
      </c>
      <c r="B1348" s="8" t="s">
        <v>2813</v>
      </c>
      <c r="C1348" s="46" t="s">
        <v>4825</v>
      </c>
      <c r="D1348" s="41" t="str">
        <f ca="1">IFERROR(__xludf.DUMMYFUNCTION("IFERROR(ARRAYFORMULA(REGEXEXTRACT(C1348,""^(?:https?:\/\/)?(?:[^@\n]+@)?(?:www\.)?([^:\/\n]+)"")),"""")"),"11alive.com")</f>
        <v>11alive.com</v>
      </c>
      <c r="E1348" s="26" t="str">
        <f ca="1">IFERROR(__xludf.DUMMYFUNCTION("""COMPUTED_VALUE"""),"New")</f>
        <v>New</v>
      </c>
      <c r="F1348" s="72">
        <v>79</v>
      </c>
      <c r="G1348" s="72">
        <v>214459</v>
      </c>
      <c r="P1348" s="26"/>
    </row>
    <row r="1349" spans="1:16" ht="14.5">
      <c r="A1349" s="3" t="s">
        <v>38</v>
      </c>
      <c r="B1349" s="8" t="s">
        <v>2813</v>
      </c>
      <c r="C1349" s="46" t="s">
        <v>4826</v>
      </c>
      <c r="D1349" s="41" t="str">
        <f ca="1">IFERROR(__xludf.DUMMYFUNCTION("IFERROR(ARRAYFORMULA(REGEXEXTRACT(C1349,""^(?:https?:\/\/)?(?:[^@\n]+@)?(?:www\.)?([^:\/\n]+)"")),"""")"),"torre.ai")</f>
        <v>torre.ai</v>
      </c>
      <c r="E1349" s="26" t="str">
        <f ca="1">IFERROR(__xludf.DUMMYFUNCTION("""COMPUTED_VALUE"""),"New")</f>
        <v>New</v>
      </c>
      <c r="F1349" s="72">
        <v>51</v>
      </c>
      <c r="G1349" s="72">
        <v>6586</v>
      </c>
      <c r="P1349" s="26"/>
    </row>
    <row r="1350" spans="1:16" ht="14.5">
      <c r="A1350" s="3" t="s">
        <v>38</v>
      </c>
      <c r="B1350" s="8" t="s">
        <v>2813</v>
      </c>
      <c r="C1350" s="46" t="s">
        <v>4827</v>
      </c>
      <c r="D1350" s="41" t="str">
        <f ca="1">IFERROR(__xludf.DUMMYFUNCTION("IFERROR(ARRAYFORMULA(REGEXEXTRACT(C1350,""^(?:https?:\/\/)?(?:[^@\n]+@)?(?:www\.)?([^:\/\n]+)"")),"""")"),"capecoralbreeze.com")</f>
        <v>capecoralbreeze.com</v>
      </c>
      <c r="E1350" s="26" t="str">
        <f ca="1">IFERROR(__xludf.DUMMYFUNCTION("""COMPUTED_VALUE"""),"New")</f>
        <v>New</v>
      </c>
      <c r="F1350" s="72">
        <v>53</v>
      </c>
      <c r="G1350" s="72">
        <v>2577</v>
      </c>
      <c r="P1350" s="26"/>
    </row>
    <row r="1351" spans="1:16" ht="14.5">
      <c r="A1351" s="3" t="s">
        <v>38</v>
      </c>
      <c r="B1351" s="8" t="s">
        <v>2813</v>
      </c>
      <c r="C1351" s="46" t="s">
        <v>4828</v>
      </c>
      <c r="D1351" s="41" t="str">
        <f ca="1">IFERROR(__xludf.DUMMYFUNCTION("IFERROR(ARRAYFORMULA(REGEXEXTRACT(C1351,""^(?:https?:\/\/)?(?:[^@\n]+@)?(?:www\.)?([^:\/\n]+)"")),"""")"),"jeromevillage.com")</f>
        <v>jeromevillage.com</v>
      </c>
      <c r="E1351" s="26" t="str">
        <f ca="1">IFERROR(__xludf.DUMMYFUNCTION("""COMPUTED_VALUE"""),"New")</f>
        <v>New</v>
      </c>
      <c r="F1351" s="72">
        <v>25</v>
      </c>
      <c r="G1351" s="72">
        <v>1011</v>
      </c>
      <c r="P1351" s="26"/>
    </row>
    <row r="1352" spans="1:16" ht="14.5">
      <c r="A1352" s="3" t="s">
        <v>38</v>
      </c>
      <c r="B1352" s="8" t="s">
        <v>2813</v>
      </c>
      <c r="C1352" s="46" t="s">
        <v>4829</v>
      </c>
      <c r="D1352" s="41" t="str">
        <f ca="1">IFERROR(__xludf.DUMMYFUNCTION("IFERROR(ARRAYFORMULA(REGEXEXTRACT(C1352,""^(?:https?:\/\/)?(?:[^@\n]+@)?(?:www\.)?([^:\/\n]+)"")),"""")"),"arlingtoncardinal.com")</f>
        <v>arlingtoncardinal.com</v>
      </c>
      <c r="E1352" s="26" t="str">
        <f ca="1">IFERROR(__xludf.DUMMYFUNCTION("""COMPUTED_VALUE"""),"New")</f>
        <v>New</v>
      </c>
      <c r="F1352" s="72">
        <v>40</v>
      </c>
      <c r="G1352" s="72">
        <v>2247</v>
      </c>
      <c r="P1352" s="26"/>
    </row>
    <row r="1353" spans="1:16" ht="14.5">
      <c r="A1353" s="3" t="s">
        <v>38</v>
      </c>
      <c r="B1353" s="8" t="s">
        <v>2813</v>
      </c>
      <c r="C1353" s="46" t="s">
        <v>4830</v>
      </c>
      <c r="D1353" s="41" t="str">
        <f ca="1">IFERROR(__xludf.DUMMYFUNCTION("IFERROR(ARRAYFORMULA(REGEXEXTRACT(C1353,""^(?:https?:\/\/)?(?:[^@\n]+@)?(?:www\.)?([^:\/\n]+)"")),"""")"),"multifamilybiz.com")</f>
        <v>multifamilybiz.com</v>
      </c>
      <c r="E1353" s="26" t="str">
        <f ca="1">IFERROR(__xludf.DUMMYFUNCTION("""COMPUTED_VALUE"""),"New")</f>
        <v>New</v>
      </c>
      <c r="F1353" s="72">
        <v>56</v>
      </c>
      <c r="G1353" s="72">
        <v>5170</v>
      </c>
      <c r="P1353" s="26"/>
    </row>
    <row r="1354" spans="1:16" ht="14.5">
      <c r="A1354" s="3" t="s">
        <v>38</v>
      </c>
      <c r="B1354" s="8" t="s">
        <v>2813</v>
      </c>
      <c r="C1354" s="46" t="s">
        <v>4831</v>
      </c>
      <c r="D1354" s="41" t="str">
        <f ca="1">IFERROR(__xludf.DUMMYFUNCTION("IFERROR(ARRAYFORMULA(REGEXEXTRACT(C1354,""^(?:https?:\/\/)?(?:[^@\n]+@)?(?:www\.)?([^:\/\n]+)"")),"""")"),"realestatedaily-news.com")</f>
        <v>realestatedaily-news.com</v>
      </c>
      <c r="E1354" s="26" t="str">
        <f ca="1">IFERROR(__xludf.DUMMYFUNCTION("""COMPUTED_VALUE"""),"New")</f>
        <v>New</v>
      </c>
      <c r="F1354" s="72">
        <v>48</v>
      </c>
      <c r="G1354" s="72">
        <v>1767</v>
      </c>
      <c r="P1354" s="26"/>
    </row>
    <row r="1355" spans="1:16" ht="14.5">
      <c r="A1355" s="3" t="s">
        <v>38</v>
      </c>
      <c r="B1355" s="8" t="s">
        <v>2813</v>
      </c>
      <c r="C1355" s="46" t="s">
        <v>4832</v>
      </c>
      <c r="D1355" s="41" t="str">
        <f ca="1">IFERROR(__xludf.DUMMYFUNCTION("IFERROR(ARRAYFORMULA(REGEXEXTRACT(C1355,""^(?:https?:\/\/)?(?:[^@\n]+@)?(?:www\.)?([^:\/\n]+)"")),"""")"),"c21edge.com")</f>
        <v>c21edge.com</v>
      </c>
      <c r="E1355" s="26" t="str">
        <f ca="1">IFERROR(__xludf.DUMMYFUNCTION("""COMPUTED_VALUE"""),"New")</f>
        <v>New</v>
      </c>
      <c r="F1355" s="72">
        <v>26</v>
      </c>
      <c r="G1355" s="72">
        <v>1625</v>
      </c>
      <c r="P1355" s="26"/>
    </row>
    <row r="1356" spans="1:16" ht="14.5">
      <c r="A1356" s="3" t="s">
        <v>38</v>
      </c>
      <c r="B1356" s="8" t="s">
        <v>2813</v>
      </c>
      <c r="C1356" s="46" t="s">
        <v>4833</v>
      </c>
      <c r="D1356" s="41" t="str">
        <f ca="1">IFERROR(__xludf.DUMMYFUNCTION("IFERROR(ARRAYFORMULA(REGEXEXTRACT(C1356,""^(?:https?:\/\/)?(?:[^@\n]+@)?(?:www\.)?([^:\/\n]+)"")),"""")"),"swooped.co")</f>
        <v>swooped.co</v>
      </c>
      <c r="E1356" s="26" t="str">
        <f ca="1">IFERROR(__xludf.DUMMYFUNCTION("""COMPUTED_VALUE"""),"New")</f>
        <v>New</v>
      </c>
      <c r="F1356" s="72">
        <v>28</v>
      </c>
      <c r="G1356" s="72">
        <v>3773</v>
      </c>
      <c r="P1356" s="26"/>
    </row>
    <row r="1357" spans="1:16" ht="14.5">
      <c r="A1357" s="3" t="s">
        <v>38</v>
      </c>
      <c r="B1357" s="8" t="s">
        <v>2813</v>
      </c>
      <c r="C1357" s="46" t="s">
        <v>4834</v>
      </c>
      <c r="D1357" s="41" t="str">
        <f ca="1">IFERROR(__xludf.DUMMYFUNCTION("IFERROR(ARRAYFORMULA(REGEXEXTRACT(C1357,""^(?:https?:\/\/)?(?:[^@\n]+@)?(?:www\.)?([^:\/\n]+)"")),"""")"),"artfulliving.com")</f>
        <v>artfulliving.com</v>
      </c>
      <c r="E1357" s="26" t="str">
        <f ca="1">IFERROR(__xludf.DUMMYFUNCTION("""COMPUTED_VALUE"""),"New")</f>
        <v>New</v>
      </c>
      <c r="F1357" s="72">
        <v>64</v>
      </c>
      <c r="G1357" s="72">
        <v>4158</v>
      </c>
      <c r="P1357" s="26"/>
    </row>
    <row r="1358" spans="1:16" ht="14.5">
      <c r="A1358" s="3" t="s">
        <v>38</v>
      </c>
      <c r="B1358" s="71" t="s">
        <v>2817</v>
      </c>
      <c r="C1358" s="46" t="s">
        <v>4835</v>
      </c>
      <c r="D1358" s="41" t="str">
        <f ca="1">IFERROR(__xludf.DUMMYFUNCTION("IFERROR(ARRAYFORMULA(REGEXEXTRACT(C1358,""^(?:https?:\/\/)?(?:[^@\n]+@)?(?:www\.)?([^:\/\n]+)"")),"""")"),"toptenreviews.com")</f>
        <v>toptenreviews.com</v>
      </c>
      <c r="E1358" s="26" t="str">
        <f ca="1">IFERROR(__xludf.DUMMYFUNCTION("""COMPUTED_VALUE"""),"New")</f>
        <v>New</v>
      </c>
      <c r="F1358" s="72">
        <v>78</v>
      </c>
      <c r="G1358" s="72">
        <v>12189</v>
      </c>
      <c r="P1358" s="26"/>
    </row>
    <row r="1359" spans="1:16" ht="14.5">
      <c r="A1359" s="3" t="s">
        <v>38</v>
      </c>
      <c r="B1359" s="54" t="s">
        <v>2817</v>
      </c>
      <c r="C1359" s="46" t="s">
        <v>4836</v>
      </c>
      <c r="D1359" s="41" t="str">
        <f ca="1">IFERROR(__xludf.DUMMYFUNCTION("IFERROR(ARRAYFORMULA(REGEXEXTRACT(C1359,""^(?:https?:\/\/)?(?:[^@\n]+@)?(?:www\.)?([^:\/\n]+)"")),"""")"),"overheaddoor.com")</f>
        <v>overheaddoor.com</v>
      </c>
      <c r="E1359" s="26" t="str">
        <f ca="1">IFERROR(__xludf.DUMMYFUNCTION("""COMPUTED_VALUE"""),"New")</f>
        <v>New</v>
      </c>
      <c r="F1359" s="72">
        <v>74</v>
      </c>
      <c r="G1359" s="72">
        <v>242718</v>
      </c>
      <c r="P1359" s="26"/>
    </row>
    <row r="1360" spans="1:16" ht="14.5">
      <c r="A1360" s="3" t="s">
        <v>38</v>
      </c>
      <c r="B1360" s="54" t="s">
        <v>2817</v>
      </c>
      <c r="C1360" s="46" t="s">
        <v>4837</v>
      </c>
      <c r="D1360" s="41" t="str">
        <f ca="1">IFERROR(__xludf.DUMMYFUNCTION("IFERROR(ARRAYFORMULA(REGEXEXTRACT(C1360,""^(?:https?:\/\/)?(?:[^@\n]+@)?(?:www\.)?([^:\/\n]+)"")),"""")"),"830weeu.com")</f>
        <v>830weeu.com</v>
      </c>
      <c r="E1360" s="26" t="str">
        <f ca="1">IFERROR(__xludf.DUMMYFUNCTION("""COMPUTED_VALUE"""),"New")</f>
        <v>New</v>
      </c>
      <c r="F1360" s="72">
        <v>28</v>
      </c>
      <c r="G1360" s="72">
        <v>1274</v>
      </c>
      <c r="P1360" s="26"/>
    </row>
    <row r="1361" spans="1:16" ht="14.5">
      <c r="A1361" s="3" t="s">
        <v>38</v>
      </c>
      <c r="B1361" s="54" t="s">
        <v>2817</v>
      </c>
      <c r="C1361" s="46" t="s">
        <v>4838</v>
      </c>
      <c r="D1361" s="41" t="str">
        <f ca="1">IFERROR(__xludf.DUMMYFUNCTION("IFERROR(ARRAYFORMULA(REGEXEXTRACT(C1361,""^(?:https?:\/\/)?(?:[^@\n]+@)?(?:www\.)?([^:\/\n]+)"")),"""")"),"calltrackingmetrics.com")</f>
        <v>calltrackingmetrics.com</v>
      </c>
      <c r="E1361" s="26" t="str">
        <f ca="1">IFERROR(__xludf.DUMMYFUNCTION("""COMPUTED_VALUE"""),"New")</f>
        <v>New</v>
      </c>
      <c r="F1361" s="72">
        <v>72</v>
      </c>
      <c r="G1361" s="72">
        <v>14718</v>
      </c>
      <c r="P1361" s="26"/>
    </row>
    <row r="1362" spans="1:16" ht="14.5">
      <c r="A1362" s="3" t="s">
        <v>38</v>
      </c>
      <c r="B1362" s="54" t="s">
        <v>2817</v>
      </c>
      <c r="C1362" s="46" t="s">
        <v>4839</v>
      </c>
      <c r="D1362" s="41" t="str">
        <f ca="1">IFERROR(__xludf.DUMMYFUNCTION("IFERROR(ARRAYFORMULA(REGEXEXTRACT(C1362,""^(?:https?:\/\/)?(?:[^@\n]+@)?(?:www\.)?([^:\/\n]+)"")),"""")"),"7ten.marketing")</f>
        <v>7ten.marketing</v>
      </c>
      <c r="E1362" s="26" t="str">
        <f ca="1">IFERROR(__xludf.DUMMYFUNCTION("""COMPUTED_VALUE"""),"New")</f>
        <v>New</v>
      </c>
      <c r="F1362" s="72">
        <v>36</v>
      </c>
      <c r="G1362" s="72">
        <v>1679</v>
      </c>
      <c r="P1362" s="26"/>
    </row>
    <row r="1363" spans="1:16" ht="14.5">
      <c r="A1363" s="3" t="s">
        <v>38</v>
      </c>
      <c r="B1363" s="54" t="s">
        <v>2817</v>
      </c>
      <c r="C1363" s="46" t="s">
        <v>4840</v>
      </c>
      <c r="D1363" s="41" t="str">
        <f ca="1">IFERROR(__xludf.DUMMYFUNCTION("IFERROR(ARRAYFORMULA(REGEXEXTRACT(C1363,""^(?:https?:\/\/)?(?:[^@\n]+@)?(?:www\.)?([^:\/\n]+)"")),"""")"),"squareup.com")</f>
        <v>squareup.com</v>
      </c>
      <c r="E1363" s="26" t="str">
        <f ca="1">IFERROR(__xludf.DUMMYFUNCTION("""COMPUTED_VALUE"""),"New")</f>
        <v>New</v>
      </c>
      <c r="F1363" s="72">
        <v>93</v>
      </c>
      <c r="G1363" s="72">
        <v>3706562</v>
      </c>
      <c r="P1363" s="26"/>
    </row>
    <row r="1364" spans="1:16" ht="14.5">
      <c r="A1364" s="3" t="s">
        <v>38</v>
      </c>
      <c r="B1364" s="54" t="s">
        <v>2817</v>
      </c>
      <c r="C1364" s="46" t="s">
        <v>4841</v>
      </c>
      <c r="D1364" s="41" t="str">
        <f ca="1">IFERROR(__xludf.DUMMYFUNCTION("IFERROR(ARRAYFORMULA(REGEXEXTRACT(C1364,""^(?:https?:\/\/)?(?:[^@\n]+@)?(?:www\.)?([^:\/\n]+)"")),"""")"),"ddmgaragedoors.com")</f>
        <v>ddmgaragedoors.com</v>
      </c>
      <c r="E1364" s="26" t="str">
        <f ca="1">IFERROR(__xludf.DUMMYFUNCTION("""COMPUTED_VALUE"""),"New")</f>
        <v>New</v>
      </c>
      <c r="F1364" s="72">
        <v>38</v>
      </c>
      <c r="G1364" s="72">
        <v>15879</v>
      </c>
      <c r="P1364" s="26"/>
    </row>
    <row r="1365" spans="1:16" ht="14.5">
      <c r="A1365" s="3" t="s">
        <v>38</v>
      </c>
      <c r="B1365" s="54" t="s">
        <v>2817</v>
      </c>
      <c r="C1365" s="46" t="s">
        <v>4842</v>
      </c>
      <c r="D1365" s="41" t="str">
        <f ca="1">IFERROR(__xludf.DUMMYFUNCTION("IFERROR(ARRAYFORMULA(REGEXEXTRACT(C1365,""^(?:https?:\/\/)?(?:[^@\n]+@)?(?:www\.)?([^:\/\n]+)"")),"""")"),"riverhill.membershiptoolkit.com")</f>
        <v>riverhill.membershiptoolkit.com</v>
      </c>
      <c r="E1365" s="26" t="str">
        <f ca="1">IFERROR(__xludf.DUMMYFUNCTION("""COMPUTED_VALUE"""),"New")</f>
        <v>New</v>
      </c>
      <c r="F1365" s="72">
        <v>76</v>
      </c>
      <c r="G1365" s="72">
        <v>13054</v>
      </c>
      <c r="P1365" s="26"/>
    </row>
    <row r="1366" spans="1:16" ht="14.5">
      <c r="A1366" s="3" t="s">
        <v>38</v>
      </c>
      <c r="B1366" s="54" t="s">
        <v>2817</v>
      </c>
      <c r="C1366" s="46" t="s">
        <v>4843</v>
      </c>
      <c r="D1366" s="41" t="str">
        <f ca="1">IFERROR(__xludf.DUMMYFUNCTION("IFERROR(ARRAYFORMULA(REGEXEXTRACT(C1366,""^(?:https?:\/\/)?(?:[^@\n]+@)?(?:www\.)?([^:\/\n]+)"")),"""")"),"olgchs.org")</f>
        <v>olgchs.org</v>
      </c>
      <c r="E1366" s="26" t="str">
        <f ca="1">IFERROR(__xludf.DUMMYFUNCTION("""COMPUTED_VALUE"""),"New")</f>
        <v>New</v>
      </c>
      <c r="F1366" s="72">
        <v>41</v>
      </c>
      <c r="G1366" s="72">
        <v>6649</v>
      </c>
      <c r="P1366" s="26"/>
    </row>
    <row r="1367" spans="1:16" ht="14.5">
      <c r="A1367" s="3" t="s">
        <v>38</v>
      </c>
      <c r="B1367" s="54" t="s">
        <v>2817</v>
      </c>
      <c r="C1367" s="46" t="s">
        <v>4844</v>
      </c>
      <c r="D1367" s="41" t="str">
        <f ca="1">IFERROR(__xludf.DUMMYFUNCTION("IFERROR(ARRAYFORMULA(REGEXEXTRACT(C1367,""^(?:https?:\/\/)?(?:[^@\n]+@)?(?:www\.)?([^:\/\n]+)"")),"""")"),"alta-effect-productions.pdqs.mobi")</f>
        <v>alta-effect-productions.pdqs.mobi</v>
      </c>
      <c r="E1367" s="26" t="str">
        <f ca="1">IFERROR(__xludf.DUMMYFUNCTION("""COMPUTED_VALUE"""),"New")</f>
        <v>New</v>
      </c>
      <c r="F1367" s="72">
        <v>51</v>
      </c>
      <c r="G1367" s="72">
        <v>1023</v>
      </c>
      <c r="P1367" s="26"/>
    </row>
    <row r="1368" spans="1:16" ht="14.5">
      <c r="A1368" s="3" t="s">
        <v>38</v>
      </c>
      <c r="B1368" s="54" t="s">
        <v>2817</v>
      </c>
      <c r="C1368" s="46" t="s">
        <v>4845</v>
      </c>
      <c r="D1368" s="41" t="str">
        <f ca="1">IFERROR(__xludf.DUMMYFUNCTION("IFERROR(ARRAYFORMULA(REGEXEXTRACT(C1368,""^(?:https?:\/\/)?(?:[^@\n]+@)?(?:www\.)?([^:\/\n]+)"")),"""")"),"buyersguide.insideselfstorage.com")</f>
        <v>buyersguide.insideselfstorage.com</v>
      </c>
      <c r="E1368" s="26" t="str">
        <f ca="1">IFERROR(__xludf.DUMMYFUNCTION("""COMPUTED_VALUE"""),"New")</f>
        <v>New</v>
      </c>
      <c r="F1368" s="72">
        <v>70</v>
      </c>
      <c r="G1368" s="72">
        <v>6296</v>
      </c>
      <c r="P1368" s="26"/>
    </row>
    <row r="1369" spans="1:16" ht="14.5">
      <c r="A1369" s="3" t="s">
        <v>38</v>
      </c>
      <c r="B1369" s="54" t="s">
        <v>2817</v>
      </c>
      <c r="C1369" s="46" t="s">
        <v>4846</v>
      </c>
      <c r="D1369" s="41" t="str">
        <f ca="1">IFERROR(__xludf.DUMMYFUNCTION("IFERROR(ARRAYFORMULA(REGEXEXTRACT(C1369,""^(?:https?:\/\/)?(?:[^@\n]+@)?(?:www\.)?([^:\/\n]+)"")),"""")"),"chamberofcommerce.com")</f>
        <v>chamberofcommerce.com</v>
      </c>
      <c r="E1369" s="26" t="str">
        <f ca="1">IFERROR(__xludf.DUMMYFUNCTION("""COMPUTED_VALUE"""),"New")</f>
        <v>New</v>
      </c>
      <c r="F1369" s="72">
        <v>84</v>
      </c>
      <c r="G1369" s="72">
        <v>2745</v>
      </c>
      <c r="P1369" s="26"/>
    </row>
    <row r="1370" spans="1:16" ht="14.5">
      <c r="A1370" s="3" t="s">
        <v>38</v>
      </c>
      <c r="B1370" s="54" t="s">
        <v>2817</v>
      </c>
      <c r="C1370" s="46" t="s">
        <v>4847</v>
      </c>
      <c r="D1370" s="41" t="str">
        <f ca="1">IFERROR(__xludf.DUMMYFUNCTION("IFERROR(ARRAYFORMULA(REGEXEXTRACT(C1370,""^(?:https?:\/\/)?(?:[^@\n]+@)?(?:www\.)?([^:\/\n]+)"")),"""")"),"infarrantlycreative.net")</f>
        <v>infarrantlycreative.net</v>
      </c>
      <c r="E1370" s="26" t="str">
        <f ca="1">IFERROR(__xludf.DUMMYFUNCTION("""COMPUTED_VALUE"""),"New")</f>
        <v>New</v>
      </c>
      <c r="F1370" s="72">
        <v>59</v>
      </c>
      <c r="G1370" s="72">
        <v>8689</v>
      </c>
      <c r="P1370" s="26"/>
    </row>
    <row r="1371" spans="1:16" ht="14.5">
      <c r="A1371" s="3" t="s">
        <v>38</v>
      </c>
      <c r="B1371" s="54" t="s">
        <v>2817</v>
      </c>
      <c r="C1371" s="46" t="s">
        <v>4848</v>
      </c>
      <c r="D1371" s="41" t="str">
        <f ca="1">IFERROR(__xludf.DUMMYFUNCTION("IFERROR(ARRAYFORMULA(REGEXEXTRACT(C1371,""^(?:https?:\/\/)?(?:[^@\n]+@)?(?:www\.)?([^:\/\n]+)"")),"""")"),"biztechmagazine.com")</f>
        <v>biztechmagazine.com</v>
      </c>
      <c r="E1371" s="26" t="str">
        <f ca="1">IFERROR(__xludf.DUMMYFUNCTION("""COMPUTED_VALUE"""),"New")</f>
        <v>New</v>
      </c>
      <c r="F1371" s="72">
        <v>76</v>
      </c>
      <c r="G1371" s="72">
        <v>19419</v>
      </c>
      <c r="P1371" s="26"/>
    </row>
    <row r="1372" spans="1:16" ht="14.5">
      <c r="A1372" s="3" t="s">
        <v>38</v>
      </c>
      <c r="B1372" s="54" t="s">
        <v>2817</v>
      </c>
      <c r="C1372" s="46" t="s">
        <v>4849</v>
      </c>
      <c r="D1372" s="41" t="str">
        <f ca="1">IFERROR(__xludf.DUMMYFUNCTION("IFERROR(ARRAYFORMULA(REGEXEXTRACT(C1372,""^(?:https?:\/\/)?(?:[^@\n]+@)?(?:www\.)?([^:\/\n]+)"")),"""")"),"tympanus.net")</f>
        <v>tympanus.net</v>
      </c>
      <c r="E1372" s="26" t="str">
        <f ca="1">IFERROR(__xludf.DUMMYFUNCTION("""COMPUTED_VALUE"""),"New")</f>
        <v>New</v>
      </c>
      <c r="F1372" s="72">
        <v>85</v>
      </c>
      <c r="G1372" s="72">
        <v>6268</v>
      </c>
      <c r="P1372" s="26"/>
    </row>
    <row r="1373" spans="1:16" ht="14.5">
      <c r="A1373" s="3" t="s">
        <v>38</v>
      </c>
      <c r="B1373" s="54" t="s">
        <v>2817</v>
      </c>
      <c r="C1373" s="49" t="s">
        <v>4850</v>
      </c>
      <c r="D1373" s="41" t="str">
        <f ca="1">IFERROR(__xludf.DUMMYFUNCTION("IFERROR(ARRAYFORMULA(REGEXEXTRACT(C1373,""^(?:https?:\/\/)?(?:[^@\n]+@)?(?:www\.)?([^:\/\n]+)"")),"""")"),"rjgaragedoorservice.com")</f>
        <v>rjgaragedoorservice.com</v>
      </c>
      <c r="E1373" s="26" t="str">
        <f ca="1">IFERROR(__xludf.DUMMYFUNCTION("""COMPUTED_VALUE"""),"New")</f>
        <v>New</v>
      </c>
      <c r="F1373" s="72">
        <v>23</v>
      </c>
      <c r="G1373" s="72">
        <v>1474</v>
      </c>
      <c r="J1373" s="27" t="s">
        <v>4851</v>
      </c>
      <c r="K1373" s="27" t="s">
        <v>4852</v>
      </c>
      <c r="L1373" s="112"/>
      <c r="M1373" s="27" t="s">
        <v>3117</v>
      </c>
      <c r="N1373" s="48">
        <v>46042</v>
      </c>
      <c r="O1373" s="48">
        <v>46086</v>
      </c>
      <c r="P1373" s="26"/>
    </row>
    <row r="1374" spans="1:16" ht="14.5">
      <c r="A1374" s="3" t="s">
        <v>38</v>
      </c>
      <c r="B1374" s="54" t="s">
        <v>2817</v>
      </c>
      <c r="C1374" s="46" t="s">
        <v>4853</v>
      </c>
      <c r="D1374" s="41" t="str">
        <f ca="1">IFERROR(__xludf.DUMMYFUNCTION("IFERROR(ARRAYFORMULA(REGEXEXTRACT(C1374,""^(?:https?:\/\/)?(?:[^@\n]+@)?(?:www\.)?([^:\/\n]+)"")),"""")"),"archpaper.com")</f>
        <v>archpaper.com</v>
      </c>
      <c r="E1374" s="26" t="str">
        <f ca="1">IFERROR(__xludf.DUMMYFUNCTION("""COMPUTED_VALUE"""),"New")</f>
        <v>New</v>
      </c>
      <c r="F1374" s="72">
        <v>80</v>
      </c>
      <c r="G1374" s="72">
        <v>29217</v>
      </c>
      <c r="P1374" s="26"/>
    </row>
    <row r="1375" spans="1:16" ht="14.5">
      <c r="A1375" s="3" t="s">
        <v>38</v>
      </c>
      <c r="B1375" s="54" t="s">
        <v>2817</v>
      </c>
      <c r="C1375" s="46" t="s">
        <v>4854</v>
      </c>
      <c r="D1375" s="41" t="str">
        <f ca="1">IFERROR(__xludf.DUMMYFUNCTION("IFERROR(ARRAYFORMULA(REGEXEXTRACT(C1375,""^(?:https?:\/\/)?(?:[^@\n]+@)?(?:www\.)?([^:\/\n]+)"")),"""")"),"trustguide.ai")</f>
        <v>trustguide.ai</v>
      </c>
      <c r="E1375" s="26" t="str">
        <f ca="1">IFERROR(__xludf.DUMMYFUNCTION("""COMPUTED_VALUE"""),"New")</f>
        <v>New</v>
      </c>
      <c r="F1375" s="72">
        <v>24</v>
      </c>
      <c r="G1375" s="72">
        <v>3907</v>
      </c>
      <c r="P1375" s="26"/>
    </row>
    <row r="1376" spans="1:16" ht="14.5">
      <c r="A1376" s="3" t="s">
        <v>38</v>
      </c>
      <c r="B1376" s="54" t="s">
        <v>2817</v>
      </c>
      <c r="C1376" s="49" t="s">
        <v>4855</v>
      </c>
      <c r="D1376" s="41" t="str">
        <f ca="1">IFERROR(__xludf.DUMMYFUNCTION("IFERROR(ARRAYFORMULA(REGEXEXTRACT(C1376,""^(?:https?:\/\/)?(?:[^@\n]+@)?(?:www\.)?([^:\/\n]+)"")),"""")"),"firstforwomen.com")</f>
        <v>firstforwomen.com</v>
      </c>
      <c r="E1376" s="26" t="str">
        <f ca="1">IFERROR(__xludf.DUMMYFUNCTION("""COMPUTED_VALUE"""),"New")</f>
        <v>New</v>
      </c>
      <c r="F1376" s="72">
        <v>72</v>
      </c>
      <c r="G1376" s="72">
        <v>68481</v>
      </c>
      <c r="H1376" s="27" t="s">
        <v>4856</v>
      </c>
      <c r="I1376" s="27" t="s">
        <v>4857</v>
      </c>
      <c r="J1376" s="27" t="s">
        <v>4858</v>
      </c>
      <c r="K1376" s="27" t="s">
        <v>3772</v>
      </c>
      <c r="L1376" s="112"/>
      <c r="M1376" s="27" t="s">
        <v>3117</v>
      </c>
      <c r="N1376" s="48">
        <v>46042</v>
      </c>
      <c r="O1376" s="48">
        <v>46086</v>
      </c>
      <c r="P1376" s="26"/>
    </row>
    <row r="1377" spans="1:16" ht="14.5">
      <c r="A1377" s="3" t="s">
        <v>38</v>
      </c>
      <c r="B1377" s="54" t="s">
        <v>2817</v>
      </c>
      <c r="C1377" s="46" t="s">
        <v>4859</v>
      </c>
      <c r="D1377" s="41" t="str">
        <f ca="1">IFERROR(__xludf.DUMMYFUNCTION("IFERROR(ARRAYFORMULA(REGEXEXTRACT(C1377,""^(?:https?:\/\/)?(?:[^@\n]+@)?(?:www\.)?([^:\/\n]+)"")),"""")"),"bestlifeonline.com")</f>
        <v>bestlifeonline.com</v>
      </c>
      <c r="E1377" s="26" t="str">
        <f ca="1">IFERROR(__xludf.DUMMYFUNCTION("""COMPUTED_VALUE"""),"New")</f>
        <v>New</v>
      </c>
      <c r="F1377" s="72">
        <v>78</v>
      </c>
      <c r="G1377" s="72">
        <v>27880</v>
      </c>
      <c r="P1377" s="26"/>
    </row>
    <row r="1378" spans="1:16" ht="14.5">
      <c r="A1378" s="3" t="s">
        <v>38</v>
      </c>
      <c r="B1378" s="54" t="s">
        <v>2817</v>
      </c>
      <c r="C1378" s="46" t="s">
        <v>4860</v>
      </c>
      <c r="D1378" s="41" t="str">
        <f ca="1">IFERROR(__xludf.DUMMYFUNCTION("IFERROR(ARRAYFORMULA(REGEXEXTRACT(C1378,""^(?:https?:\/\/)?(?:[^@\n]+@)?(?:www\.)?([^:\/\n]+)"")),"""")"),"homesandgardens.com")</f>
        <v>homesandgardens.com</v>
      </c>
      <c r="E1378" s="26" t="str">
        <f ca="1">IFERROR(__xludf.DUMMYFUNCTION("""COMPUTED_VALUE"""),"New")</f>
        <v>New</v>
      </c>
      <c r="F1378" s="72">
        <v>83</v>
      </c>
      <c r="G1378" s="72">
        <v>339412</v>
      </c>
      <c r="P1378" s="26"/>
    </row>
    <row r="1379" spans="1:16" ht="14.5">
      <c r="A1379" s="3" t="s">
        <v>38</v>
      </c>
      <c r="B1379" s="54" t="s">
        <v>2817</v>
      </c>
      <c r="C1379" s="46" t="s">
        <v>4861</v>
      </c>
      <c r="D1379" s="41" t="str">
        <f ca="1">IFERROR(__xludf.DUMMYFUNCTION("IFERROR(ARRAYFORMULA(REGEXEXTRACT(C1379,""^(?:https?:\/\/)?(?:[^@\n]+@)?(?:www\.)?([^:\/\n]+)"")),"""")"),"sovereigninsurance.ca")</f>
        <v>sovereigninsurance.ca</v>
      </c>
      <c r="E1379" s="26" t="str">
        <f ca="1">IFERROR(__xludf.DUMMYFUNCTION("""COMPUTED_VALUE"""),"New")</f>
        <v>New</v>
      </c>
      <c r="F1379" s="72">
        <v>39</v>
      </c>
      <c r="G1379" s="72">
        <v>2395</v>
      </c>
      <c r="P1379" s="26"/>
    </row>
    <row r="1380" spans="1:16" ht="14.5">
      <c r="A1380" s="3" t="s">
        <v>38</v>
      </c>
      <c r="B1380" s="54" t="s">
        <v>2817</v>
      </c>
      <c r="C1380" s="46" t="s">
        <v>4862</v>
      </c>
      <c r="D1380" s="41" t="str">
        <f ca="1">IFERROR(__xludf.DUMMYFUNCTION("IFERROR(ARRAYFORMULA(REGEXEXTRACT(C1380,""^(?:https?:\/\/)?(?:[^@\n]+@)?(?:www\.)?([^:\/\n]+)"")),"""")"),"home.kangaroo.vn")</f>
        <v>home.kangaroo.vn</v>
      </c>
      <c r="E1380" s="26" t="str">
        <f ca="1">IFERROR(__xludf.DUMMYFUNCTION("""COMPUTED_VALUE"""),"New")</f>
        <v>New</v>
      </c>
      <c r="F1380" s="72">
        <v>63</v>
      </c>
      <c r="G1380" s="72">
        <v>21500</v>
      </c>
      <c r="P1380" s="26"/>
    </row>
    <row r="1381" spans="1:16" ht="14.5">
      <c r="A1381" s="3" t="s">
        <v>38</v>
      </c>
      <c r="B1381" s="54" t="s">
        <v>2817</v>
      </c>
      <c r="C1381" s="49" t="s">
        <v>4863</v>
      </c>
      <c r="D1381" s="41" t="str">
        <f ca="1">IFERROR(__xludf.DUMMYFUNCTION("IFERROR(ARRAYFORMULA(REGEXEXTRACT(C1381,""^(?:https?:\/\/)?(?:[^@\n]+@)?(?:www\.)?([^:\/\n]+)"")),"""")"),"danleys.com")</f>
        <v>danleys.com</v>
      </c>
      <c r="E1381" s="26" t="str">
        <f ca="1">IFERROR(__xludf.DUMMYFUNCTION("""COMPUTED_VALUE"""),"New")</f>
        <v>New</v>
      </c>
      <c r="F1381" s="72">
        <v>37</v>
      </c>
      <c r="G1381" s="72">
        <v>3658</v>
      </c>
      <c r="H1381" s="27" t="s">
        <v>4864</v>
      </c>
      <c r="I1381" s="27" t="s">
        <v>4865</v>
      </c>
      <c r="K1381" s="27" t="s">
        <v>4852</v>
      </c>
      <c r="L1381" s="112"/>
      <c r="M1381" s="27" t="s">
        <v>3117</v>
      </c>
      <c r="N1381" s="48">
        <v>46042</v>
      </c>
      <c r="O1381" s="48">
        <v>46086</v>
      </c>
      <c r="P1381" s="26"/>
    </row>
    <row r="1382" spans="1:16" ht="14.5" hidden="1">
      <c r="A1382" s="3" t="s">
        <v>38</v>
      </c>
      <c r="B1382" s="54" t="s">
        <v>2817</v>
      </c>
      <c r="C1382" s="46" t="s">
        <v>4866</v>
      </c>
      <c r="D1382" s="41" t="str">
        <f ca="1">IFERROR(__xludf.DUMMYFUNCTION("IFERROR(ARRAYFORMULA(REGEXEXTRACT(C1382,""^(?:https?:\/\/)?(?:[^@\n]+@)?(?:www\.)?([^:\/\n]+)"")),"""")"),"lookwhatmomfound.com")</f>
        <v>lookwhatmomfound.com</v>
      </c>
      <c r="E1382" s="26" t="str">
        <f ca="1">IFERROR(__xludf.DUMMYFUNCTION("""COMPUTED_VALUE"""),"Already Exists")</f>
        <v>Already Exists</v>
      </c>
      <c r="F1382" s="72">
        <v>70</v>
      </c>
      <c r="G1382" s="72">
        <v>26055</v>
      </c>
      <c r="P1382" s="26"/>
    </row>
    <row r="1383" spans="1:16" ht="14.5">
      <c r="A1383" s="3" t="s">
        <v>38</v>
      </c>
      <c r="B1383" s="54" t="s">
        <v>2817</v>
      </c>
      <c r="C1383" s="46" t="s">
        <v>4867</v>
      </c>
      <c r="D1383" s="41" t="str">
        <f ca="1">IFERROR(__xludf.DUMMYFUNCTION("IFERROR(ARRAYFORMULA(REGEXEXTRACT(C1383,""^(?:https?:\/\/)?(?:[^@\n]+@)?(?:www\.)?([^:\/\n]+)"")),"""")"),"alpinedoors.com")</f>
        <v>alpinedoors.com</v>
      </c>
      <c r="E1383" s="26" t="str">
        <f ca="1">IFERROR(__xludf.DUMMYFUNCTION("""COMPUTED_VALUE"""),"New")</f>
        <v>New</v>
      </c>
      <c r="F1383" s="72">
        <v>25</v>
      </c>
      <c r="G1383" s="72">
        <v>1296</v>
      </c>
      <c r="P1383" s="26"/>
    </row>
    <row r="1384" spans="1:16" ht="14.5">
      <c r="A1384" s="3" t="s">
        <v>38</v>
      </c>
      <c r="B1384" s="54" t="s">
        <v>2817</v>
      </c>
      <c r="C1384" s="46" t="s">
        <v>4868</v>
      </c>
      <c r="D1384" s="41" t="str">
        <f ca="1">IFERROR(__xludf.DUMMYFUNCTION("IFERROR(ARRAYFORMULA(REGEXEXTRACT(C1384,""^(?:https?:\/\/)?(?:[^@\n]+@)?(?:www\.)?([^:\/\n]+)"")),"""")"),"blog.drummondhouseplans.com")</f>
        <v>blog.drummondhouseplans.com</v>
      </c>
      <c r="E1384" s="26" t="str">
        <f ca="1">IFERROR(__xludf.DUMMYFUNCTION("""COMPUTED_VALUE"""),"New")</f>
        <v>New</v>
      </c>
      <c r="F1384" s="72">
        <v>28</v>
      </c>
      <c r="G1384" s="72">
        <v>7693</v>
      </c>
      <c r="P1384" s="26"/>
    </row>
    <row r="1385" spans="1:16" ht="14.5">
      <c r="A1385" s="3" t="s">
        <v>38</v>
      </c>
      <c r="B1385" s="54" t="s">
        <v>2817</v>
      </c>
      <c r="C1385" s="49" t="s">
        <v>4869</v>
      </c>
      <c r="D1385" s="41" t="str">
        <f ca="1">IFERROR(__xludf.DUMMYFUNCTION("IFERROR(ARRAYFORMULA(REGEXEXTRACT(C1385,""^(?:https?:\/\/)?(?:[^@\n]+@)?(?:www\.)?([^:\/\n]+)"")),"""")"),"garagebuildings.com")</f>
        <v>garagebuildings.com</v>
      </c>
      <c r="E1385" s="26" t="str">
        <f ca="1">IFERROR(__xludf.DUMMYFUNCTION("""COMPUTED_VALUE"""),"New")</f>
        <v>New</v>
      </c>
      <c r="F1385" s="72">
        <v>23</v>
      </c>
      <c r="G1385" s="72">
        <v>19468</v>
      </c>
      <c r="J1385" s="27" t="s">
        <v>4870</v>
      </c>
      <c r="K1385" s="27" t="s">
        <v>4852</v>
      </c>
      <c r="L1385" s="112"/>
      <c r="M1385" s="27" t="s">
        <v>3715</v>
      </c>
      <c r="N1385" s="48">
        <v>46042</v>
      </c>
      <c r="O1385" s="48">
        <v>46067</v>
      </c>
      <c r="P1385" s="26"/>
    </row>
    <row r="1386" spans="1:16" ht="14.5">
      <c r="A1386" s="3" t="s">
        <v>38</v>
      </c>
      <c r="B1386" s="54" t="s">
        <v>2817</v>
      </c>
      <c r="C1386" s="46" t="s">
        <v>4871</v>
      </c>
      <c r="D1386" s="41" t="str">
        <f ca="1">IFERROR(__xludf.DUMMYFUNCTION("IFERROR(ARRAYFORMULA(REGEXEXTRACT(C1386,""^(?:https?:\/\/)?(?:[^@\n]+@)?(?:www\.)?([^:\/\n]+)"")),"""")"),"botw.org")</f>
        <v>botw.org</v>
      </c>
      <c r="E1386" s="26" t="str">
        <f ca="1">IFERROR(__xludf.DUMMYFUNCTION("""COMPUTED_VALUE"""),"New")</f>
        <v>New</v>
      </c>
      <c r="F1386" s="72">
        <v>72</v>
      </c>
      <c r="G1386" s="72">
        <v>1356</v>
      </c>
      <c r="P1386" s="26"/>
    </row>
    <row r="1387" spans="1:16" ht="14.5">
      <c r="A1387" s="3" t="s">
        <v>38</v>
      </c>
      <c r="B1387" s="54" t="s">
        <v>2817</v>
      </c>
      <c r="C1387" s="46" t="s">
        <v>4872</v>
      </c>
      <c r="D1387" s="41" t="str">
        <f ca="1">IFERROR(__xludf.DUMMYFUNCTION("IFERROR(ARRAYFORMULA(REGEXEXTRACT(C1387,""^(?:https?:\/\/)?(?:[^@\n]+@)?(?:www\.)?([^:\/\n]+)"")),"""")"),"network.procore.com")</f>
        <v>network.procore.com</v>
      </c>
      <c r="E1387" s="26" t="str">
        <f ca="1">IFERROR(__xludf.DUMMYFUNCTION("""COMPUTED_VALUE"""),"New")</f>
        <v>New</v>
      </c>
      <c r="F1387" s="72">
        <v>82</v>
      </c>
      <c r="G1387" s="72">
        <v>1159234</v>
      </c>
      <c r="P1387" s="26"/>
    </row>
    <row r="1388" spans="1:16" ht="14.5">
      <c r="A1388" s="3" t="s">
        <v>38</v>
      </c>
      <c r="B1388" s="54" t="s">
        <v>2817</v>
      </c>
      <c r="C1388" s="46" t="s">
        <v>4873</v>
      </c>
      <c r="D1388" s="41" t="str">
        <f ca="1">IFERROR(__xludf.DUMMYFUNCTION("IFERROR(ARRAYFORMULA(REGEXEXTRACT(C1388,""^(?:https?:\/\/)?(?:[^@\n]+@)?(?:www\.)?([^:\/\n]+)"")),"""")"),"garage-door-repair-15.nyc3.digitaloceanspaces.com")</f>
        <v>garage-door-repair-15.nyc3.digitaloceanspaces.com</v>
      </c>
      <c r="E1388" s="26" t="str">
        <f ca="1">IFERROR(__xludf.DUMMYFUNCTION("""COMPUTED_VALUE"""),"New")</f>
        <v>New</v>
      </c>
      <c r="F1388" s="72">
        <v>91</v>
      </c>
      <c r="G1388" s="72">
        <v>61555</v>
      </c>
      <c r="P1388" s="26"/>
    </row>
    <row r="1389" spans="1:16" ht="14.5">
      <c r="A1389" s="3" t="s">
        <v>38</v>
      </c>
      <c r="B1389" s="54" t="s">
        <v>2817</v>
      </c>
      <c r="C1389" s="46" t="s">
        <v>4874</v>
      </c>
      <c r="D1389" s="41" t="str">
        <f ca="1">IFERROR(__xludf.DUMMYFUNCTION("IFERROR(ARRAYFORMULA(REGEXEXTRACT(C1389,""^(?:https?:\/\/)?(?:[^@\n]+@)?(?:www\.)?([^:\/\n]+)"")),"""")"),"recetas.paraguay.com")</f>
        <v>recetas.paraguay.com</v>
      </c>
      <c r="E1389" s="26" t="str">
        <f ca="1">IFERROR(__xludf.DUMMYFUNCTION("""COMPUTED_VALUE"""),"New")</f>
        <v>New</v>
      </c>
      <c r="F1389" s="72">
        <v>50</v>
      </c>
      <c r="G1389" s="72">
        <v>15179</v>
      </c>
      <c r="P1389" s="26"/>
    </row>
    <row r="1390" spans="1:16" ht="14.5">
      <c r="A1390" s="3" t="s">
        <v>38</v>
      </c>
      <c r="B1390" s="54" t="s">
        <v>2817</v>
      </c>
      <c r="C1390" s="46" t="s">
        <v>4875</v>
      </c>
      <c r="D1390" s="41" t="str">
        <f ca="1">IFERROR(__xludf.DUMMYFUNCTION("IFERROR(ARRAYFORMULA(REGEXEXTRACT(C1390,""^(?:https?:\/\/)?(?:[^@\n]+@)?(?:www\.)?([^:\/\n]+)"")),"""")"),"garage-door-repair-13.us-southeast-1.linodeobjects.com")</f>
        <v>garage-door-repair-13.us-southeast-1.linodeobjects.com</v>
      </c>
      <c r="E1390" s="26" t="str">
        <f ca="1">IFERROR(__xludf.DUMMYFUNCTION("""COMPUTED_VALUE"""),"New")</f>
        <v>New</v>
      </c>
      <c r="F1390" s="72">
        <v>78</v>
      </c>
      <c r="G1390" s="72">
        <v>16076</v>
      </c>
      <c r="P1390" s="26"/>
    </row>
    <row r="1391" spans="1:16" ht="14.5">
      <c r="A1391" s="3" t="s">
        <v>38</v>
      </c>
      <c r="B1391" s="54" t="s">
        <v>2817</v>
      </c>
      <c r="C1391" s="46" t="s">
        <v>4876</v>
      </c>
      <c r="D1391" s="41" t="str">
        <f ca="1">IFERROR(__xludf.DUMMYFUNCTION("IFERROR(ARRAYFORMULA(REGEXEXTRACT(C1391,""^(?:https?:\/\/)?(?:[^@\n]+@)?(?:www\.)?([^:\/\n]+)"")),"""")"),"blog.eskrim.org.tr")</f>
        <v>blog.eskrim.org.tr</v>
      </c>
      <c r="E1391" s="26" t="str">
        <f ca="1">IFERROR(__xludf.DUMMYFUNCTION("""COMPUTED_VALUE"""),"New")</f>
        <v>New</v>
      </c>
      <c r="F1391" s="72">
        <v>27</v>
      </c>
      <c r="G1391" s="72">
        <v>5404</v>
      </c>
      <c r="P1391" s="26"/>
    </row>
    <row r="1392" spans="1:16" ht="14.5">
      <c r="A1392" s="3" t="s">
        <v>38</v>
      </c>
      <c r="B1392" s="54" t="s">
        <v>2817</v>
      </c>
      <c r="C1392" s="46" t="s">
        <v>4877</v>
      </c>
      <c r="D1392" s="41" t="str">
        <f ca="1">IFERROR(__xludf.DUMMYFUNCTION("IFERROR(ARRAYFORMULA(REGEXEXTRACT(C1392,""^(?:https?:\/\/)?(?:[^@\n]+@)?(?:www\.)?([^:\/\n]+)"")),"""")"),"selling.com")</f>
        <v>selling.com</v>
      </c>
      <c r="E1392" s="26" t="str">
        <f ca="1">IFERROR(__xludf.DUMMYFUNCTION("""COMPUTED_VALUE"""),"New")</f>
        <v>New</v>
      </c>
      <c r="F1392" s="72">
        <v>28</v>
      </c>
      <c r="G1392" s="72">
        <v>1146</v>
      </c>
      <c r="P1392" s="26"/>
    </row>
    <row r="1393" spans="1:16" ht="14.5">
      <c r="A1393" s="3" t="s">
        <v>38</v>
      </c>
      <c r="B1393" s="54" t="s">
        <v>2817</v>
      </c>
      <c r="C1393" s="49" t="s">
        <v>4878</v>
      </c>
      <c r="D1393" s="41" t="str">
        <f ca="1">IFERROR(__xludf.DUMMYFUNCTION("IFERROR(ARRAYFORMULA(REGEXEXTRACT(C1393,""^(?:https?:\/\/)?(?:[^@\n]+@)?(?:www\.)?([^:\/\n]+)"")),"""")"),"due.com")</f>
        <v>due.com</v>
      </c>
      <c r="E1393" s="26" t="str">
        <f ca="1">IFERROR(__xludf.DUMMYFUNCTION("""COMPUTED_VALUE"""),"New")</f>
        <v>New</v>
      </c>
      <c r="F1393" s="72">
        <v>76</v>
      </c>
      <c r="G1393" s="72">
        <v>1347</v>
      </c>
      <c r="H1393" s="27" t="s">
        <v>4879</v>
      </c>
      <c r="I1393" s="27" t="s">
        <v>4880</v>
      </c>
      <c r="K1393" s="27" t="s">
        <v>3772</v>
      </c>
      <c r="L1393" s="112"/>
      <c r="M1393" s="27" t="s">
        <v>3715</v>
      </c>
      <c r="N1393" s="48">
        <v>46042</v>
      </c>
      <c r="O1393" s="48">
        <v>46067</v>
      </c>
      <c r="P1393" s="26"/>
    </row>
    <row r="1394" spans="1:16" ht="14.5">
      <c r="A1394" s="3" t="s">
        <v>38</v>
      </c>
      <c r="B1394" s="54" t="s">
        <v>2817</v>
      </c>
      <c r="C1394" s="46" t="s">
        <v>4881</v>
      </c>
      <c r="D1394" s="41" t="str">
        <f ca="1">IFERROR(__xludf.DUMMYFUNCTION("IFERROR(ARRAYFORMULA(REGEXEXTRACT(C1394,""^(?:https?:\/\/)?(?:[^@\n]+@)?(?:www\.)?([^:\/\n]+)"")),"""")"),"certifiedeo.com")</f>
        <v>certifiedeo.com</v>
      </c>
      <c r="E1394" s="26" t="str">
        <f ca="1">IFERROR(__xludf.DUMMYFUNCTION("""COMPUTED_VALUE"""),"New")</f>
        <v>New</v>
      </c>
      <c r="F1394" s="72">
        <v>50</v>
      </c>
      <c r="G1394" s="72">
        <v>1560</v>
      </c>
      <c r="P1394" s="26"/>
    </row>
    <row r="1395" spans="1:16" ht="14.5">
      <c r="A1395" s="3" t="s">
        <v>38</v>
      </c>
      <c r="B1395" s="54" t="s">
        <v>2817</v>
      </c>
      <c r="C1395" s="46" t="s">
        <v>4882</v>
      </c>
      <c r="D1395" s="41" t="str">
        <f ca="1">IFERROR(__xludf.DUMMYFUNCTION("IFERROR(ARRAYFORMULA(REGEXEXTRACT(C1395,""^(?:https?:\/\/)?(?:[^@\n]+@)?(?:www\.)?([^:\/\n]+)"")),"""")"),"forum.gamequitters.com")</f>
        <v>forum.gamequitters.com</v>
      </c>
      <c r="E1395" s="26" t="str">
        <f ca="1">IFERROR(__xludf.DUMMYFUNCTION("""COMPUTED_VALUE"""),"New")</f>
        <v>New</v>
      </c>
      <c r="F1395" s="72">
        <v>71</v>
      </c>
      <c r="G1395" s="72">
        <v>59980</v>
      </c>
      <c r="P1395" s="26"/>
    </row>
    <row r="1396" spans="1:16" ht="14.5">
      <c r="A1396" s="3" t="s">
        <v>38</v>
      </c>
      <c r="B1396" s="57" t="s">
        <v>2818</v>
      </c>
      <c r="C1396" s="46" t="s">
        <v>4883</v>
      </c>
      <c r="D1396" s="41" t="str">
        <f ca="1">IFERROR(__xludf.DUMMYFUNCTION("IFERROR(ARRAYFORMULA(REGEXEXTRACT(C1396,""^(?:https?:\/\/)?(?:[^@\n]+@)?(?:www\.)?([^:\/\n]+)"")),"""")"),"foamorder.com")</f>
        <v>foamorder.com</v>
      </c>
      <c r="E1396" s="26" t="str">
        <f ca="1">IFERROR(__xludf.DUMMYFUNCTION("""COMPUTED_VALUE"""),"New")</f>
        <v>New</v>
      </c>
      <c r="F1396" s="72">
        <v>39</v>
      </c>
      <c r="G1396" s="72">
        <v>51105</v>
      </c>
      <c r="P1396" s="26"/>
    </row>
    <row r="1397" spans="1:16" ht="14.5">
      <c r="A1397" s="3" t="s">
        <v>38</v>
      </c>
      <c r="B1397" s="12" t="s">
        <v>2818</v>
      </c>
      <c r="C1397" s="46" t="s">
        <v>4884</v>
      </c>
      <c r="D1397" s="41" t="str">
        <f ca="1">IFERROR(__xludf.DUMMYFUNCTION("IFERROR(ARRAYFORMULA(REGEXEXTRACT(C1397,""^(?:https?:\/\/)?(?:[^@\n]+@)?(?:www\.)?([^:\/\n]+)"")),"""")"),"sites.google.com")</f>
        <v>sites.google.com</v>
      </c>
      <c r="E1397" s="26" t="str">
        <f ca="1">IFERROR(__xludf.DUMMYFUNCTION("""COMPUTED_VALUE"""),"New")</f>
        <v>New</v>
      </c>
      <c r="F1397" s="72">
        <v>99</v>
      </c>
      <c r="G1397" s="74">
        <v>1240000000</v>
      </c>
      <c r="P1397" s="26"/>
    </row>
    <row r="1398" spans="1:16" ht="14.5">
      <c r="A1398" s="3" t="s">
        <v>38</v>
      </c>
      <c r="B1398" s="12" t="s">
        <v>2818</v>
      </c>
      <c r="C1398" s="49" t="s">
        <v>4885</v>
      </c>
      <c r="D1398" s="41" t="str">
        <f ca="1">IFERROR(__xludf.DUMMYFUNCTION("IFERROR(ARRAYFORMULA(REGEXEXTRACT(C1398,""^(?:https?:\/\/)?(?:[^@\n]+@)?(?:www\.)?([^:\/\n]+)"")),"""")"),"o-care.com")</f>
        <v>o-care.com</v>
      </c>
      <c r="E1398" s="26" t="str">
        <f ca="1">IFERROR(__xludf.DUMMYFUNCTION("""COMPUTED_VALUE"""),"New")</f>
        <v>New</v>
      </c>
      <c r="F1398" s="72">
        <v>45</v>
      </c>
      <c r="G1398" s="72">
        <v>6338</v>
      </c>
      <c r="H1398" s="27" t="s">
        <v>4886</v>
      </c>
      <c r="I1398" s="38" t="s">
        <v>4887</v>
      </c>
      <c r="J1398" s="38" t="s">
        <v>4888</v>
      </c>
      <c r="K1398" s="27" t="s">
        <v>3839</v>
      </c>
      <c r="L1398" s="112"/>
      <c r="M1398" s="27" t="s">
        <v>3715</v>
      </c>
      <c r="N1398" s="48">
        <v>46042</v>
      </c>
      <c r="P1398" s="26"/>
    </row>
    <row r="1399" spans="1:16" ht="14.5">
      <c r="A1399" s="3" t="s">
        <v>38</v>
      </c>
      <c r="B1399" s="12" t="s">
        <v>2818</v>
      </c>
      <c r="C1399" s="46" t="s">
        <v>4889</v>
      </c>
      <c r="D1399" s="41" t="str">
        <f ca="1">IFERROR(__xludf.DUMMYFUNCTION("IFERROR(ARRAYFORMULA(REGEXEXTRACT(C1399,""^(?:https?:\/\/)?(?:[^@\n]+@)?(?:www\.)?([^:\/\n]+)"")),"""")"),"educationdata.org")</f>
        <v>educationdata.org</v>
      </c>
      <c r="E1399" s="26" t="str">
        <f ca="1">IFERROR(__xludf.DUMMYFUNCTION("""COMPUTED_VALUE"""),"New")</f>
        <v>New</v>
      </c>
      <c r="F1399" s="72">
        <v>80</v>
      </c>
      <c r="G1399" s="72">
        <v>64656</v>
      </c>
      <c r="P1399" s="26"/>
    </row>
    <row r="1400" spans="1:16" ht="14.5">
      <c r="A1400" s="3" t="s">
        <v>38</v>
      </c>
      <c r="B1400" s="12" t="s">
        <v>2818</v>
      </c>
      <c r="C1400" s="46" t="s">
        <v>4890</v>
      </c>
      <c r="D1400" s="41" t="str">
        <f ca="1">IFERROR(__xludf.DUMMYFUNCTION("IFERROR(ARRAYFORMULA(REGEXEXTRACT(C1400,""^(?:https?:\/\/)?(?:[^@\n]+@)?(?:www\.)?([^:\/\n]+)"")),"""")"),"scholartree.ca")</f>
        <v>scholartree.ca</v>
      </c>
      <c r="E1400" s="26" t="str">
        <f ca="1">IFERROR(__xludf.DUMMYFUNCTION("""COMPUTED_VALUE"""),"New")</f>
        <v>New</v>
      </c>
      <c r="F1400" s="72">
        <v>44</v>
      </c>
      <c r="G1400" s="72">
        <v>3139</v>
      </c>
      <c r="P1400" s="26"/>
    </row>
    <row r="1401" spans="1:16" ht="14.5">
      <c r="A1401" s="3" t="s">
        <v>38</v>
      </c>
      <c r="B1401" s="12" t="s">
        <v>2818</v>
      </c>
      <c r="C1401" s="46" t="s">
        <v>4891</v>
      </c>
      <c r="D1401" s="41" t="str">
        <f ca="1">IFERROR(__xludf.DUMMYFUNCTION("IFERROR(ARRAYFORMULA(REGEXEXTRACT(C1401,""^(?:https?:\/\/)?(?:[^@\n]+@)?(?:www\.)?([^:\/\n]+)"")),"""")"),"thecoverguy.zendesk.com")</f>
        <v>thecoverguy.zendesk.com</v>
      </c>
      <c r="E1401" s="26" t="str">
        <f ca="1">IFERROR(__xludf.DUMMYFUNCTION("""COMPUTED_VALUE"""),"New")</f>
        <v>New</v>
      </c>
      <c r="F1401" s="72">
        <v>93</v>
      </c>
      <c r="G1401" s="72">
        <v>2655410</v>
      </c>
      <c r="P1401" s="26"/>
    </row>
    <row r="1402" spans="1:16" ht="14.5">
      <c r="A1402" s="3" t="s">
        <v>38</v>
      </c>
      <c r="B1402" s="12" t="s">
        <v>2818</v>
      </c>
      <c r="C1402" s="46" t="s">
        <v>4892</v>
      </c>
      <c r="D1402" s="41" t="str">
        <f ca="1">IFERROR(__xludf.DUMMYFUNCTION("IFERROR(ARRAYFORMULA(REGEXEXTRACT(C1402,""^(?:https?:\/\/)?(?:[^@\n]+@)?(?:www\.)?([^:\/\n]+)"")),"""")"),"the-cover-guy.tenereteam.com")</f>
        <v>the-cover-guy.tenereteam.com</v>
      </c>
      <c r="E1402" s="26" t="str">
        <f ca="1">IFERROR(__xludf.DUMMYFUNCTION("""COMPUTED_VALUE"""),"New")</f>
        <v>New</v>
      </c>
      <c r="F1402" s="72">
        <v>52</v>
      </c>
      <c r="G1402" s="72">
        <v>603442</v>
      </c>
      <c r="P1402" s="26"/>
    </row>
    <row r="1403" spans="1:16" ht="14.5">
      <c r="A1403" s="3" t="s">
        <v>38</v>
      </c>
      <c r="B1403" s="12" t="s">
        <v>2818</v>
      </c>
      <c r="C1403" s="46" t="s">
        <v>4893</v>
      </c>
      <c r="D1403" s="41" t="str">
        <f ca="1">IFERROR(__xludf.DUMMYFUNCTION("IFERROR(ARRAYFORMULA(REGEXEXTRACT(C1403,""^(?:https?:\/\/)?(?:[^@\n]+@)?(?:www\.)?([^:\/\n]+)"")),"""")"),"centris.ca")</f>
        <v>centris.ca</v>
      </c>
      <c r="E1403" s="26" t="str">
        <f ca="1">IFERROR(__xludf.DUMMYFUNCTION("""COMPUTED_VALUE"""),"New")</f>
        <v>New</v>
      </c>
      <c r="F1403" s="72">
        <v>76</v>
      </c>
      <c r="G1403" s="72">
        <v>1671256</v>
      </c>
      <c r="P1403" s="26"/>
    </row>
    <row r="1404" spans="1:16" ht="14.5">
      <c r="A1404" s="3" t="s">
        <v>38</v>
      </c>
      <c r="B1404" s="12" t="s">
        <v>2818</v>
      </c>
      <c r="C1404" s="46" t="s">
        <v>4894</v>
      </c>
      <c r="D1404" s="41" t="str">
        <f ca="1">IFERROR(__xludf.DUMMYFUNCTION("IFERROR(ARRAYFORMULA(REGEXEXTRACT(C1404,""^(?:https?:\/\/)?(?:[^@\n]+@)?(?:www\.)?([^:\/\n]+)"")),"""")"),"scholarships360.org")</f>
        <v>scholarships360.org</v>
      </c>
      <c r="E1404" s="26" t="str">
        <f ca="1">IFERROR(__xludf.DUMMYFUNCTION("""COMPUTED_VALUE"""),"New")</f>
        <v>New</v>
      </c>
      <c r="F1404" s="72">
        <v>64</v>
      </c>
      <c r="G1404" s="72">
        <v>87189</v>
      </c>
      <c r="P1404" s="26"/>
    </row>
    <row r="1405" spans="1:16" ht="14.5">
      <c r="A1405" s="3" t="s">
        <v>38</v>
      </c>
      <c r="B1405" s="12" t="s">
        <v>2818</v>
      </c>
      <c r="C1405" s="49" t="s">
        <v>4895</v>
      </c>
      <c r="D1405" s="41" t="str">
        <f ca="1">IFERROR(__xludf.DUMMYFUNCTION("IFERROR(ARRAYFORMULA(REGEXEXTRACT(C1405,""^(?:https?:\/\/)?(?:[^@\n]+@)?(?:www\.)?([^:\/\n]+)"")),"""")"),"arcticspas.ca")</f>
        <v>arcticspas.ca</v>
      </c>
      <c r="E1405" s="26" t="str">
        <f ca="1">IFERROR(__xludf.DUMMYFUNCTION("""COMPUTED_VALUE"""),"New")</f>
        <v>New</v>
      </c>
      <c r="F1405" s="72">
        <v>47</v>
      </c>
      <c r="G1405" s="72">
        <v>13224</v>
      </c>
      <c r="J1405" s="27" t="s">
        <v>4896</v>
      </c>
      <c r="K1405" s="27" t="s">
        <v>4897</v>
      </c>
      <c r="L1405" s="112"/>
      <c r="M1405" s="27" t="s">
        <v>3715</v>
      </c>
      <c r="N1405" s="48">
        <v>46042</v>
      </c>
      <c r="O1405" s="48">
        <v>46067</v>
      </c>
      <c r="P1405" s="26"/>
    </row>
    <row r="1406" spans="1:16" ht="14.5">
      <c r="A1406" s="3" t="s">
        <v>38</v>
      </c>
      <c r="B1406" s="12" t="s">
        <v>2818</v>
      </c>
      <c r="C1406" s="46" t="s">
        <v>4898</v>
      </c>
      <c r="D1406" s="41" t="str">
        <f ca="1">IFERROR(__xludf.DUMMYFUNCTION("IFERROR(ARRAYFORMULA(REGEXEXTRACT(C1406,""^(?:https?:\/\/)?(?:[^@\n]+@)?(?:www\.)?([^:\/\n]+)"")),"""")"),"arcticspas.com")</f>
        <v>arcticspas.com</v>
      </c>
      <c r="E1406" s="26" t="str">
        <f ca="1">IFERROR(__xludf.DUMMYFUNCTION("""COMPUTED_VALUE"""),"New")</f>
        <v>New</v>
      </c>
      <c r="F1406" s="72">
        <v>62</v>
      </c>
      <c r="G1406" s="72">
        <v>13964</v>
      </c>
      <c r="P1406" s="26"/>
    </row>
    <row r="1407" spans="1:16" ht="14.5">
      <c r="A1407" s="3" t="s">
        <v>38</v>
      </c>
      <c r="B1407" s="12" t="s">
        <v>2818</v>
      </c>
      <c r="C1407" s="46" t="s">
        <v>4899</v>
      </c>
      <c r="D1407" s="41" t="str">
        <f ca="1">IFERROR(__xludf.DUMMYFUNCTION("IFERROR(ARRAYFORMULA(REGEXEXTRACT(C1407,""^(?:https?:\/\/)?(?:[^@\n]+@)?(?:www\.)?([^:\/\n]+)"")),"""")"),"discover.com")</f>
        <v>discover.com</v>
      </c>
      <c r="E1407" s="26" t="str">
        <f ca="1">IFERROR(__xludf.DUMMYFUNCTION("""COMPUTED_VALUE"""),"New")</f>
        <v>New</v>
      </c>
      <c r="F1407" s="72">
        <v>86</v>
      </c>
      <c r="G1407" s="72">
        <v>6798794</v>
      </c>
      <c r="P1407" s="26"/>
    </row>
    <row r="1408" spans="1:16" ht="14.5">
      <c r="A1408" s="3" t="s">
        <v>38</v>
      </c>
      <c r="B1408" s="12" t="s">
        <v>2818</v>
      </c>
      <c r="C1408" s="46" t="s">
        <v>4900</v>
      </c>
      <c r="D1408" s="41" t="str">
        <f ca="1">IFERROR(__xludf.DUMMYFUNCTION("IFERROR(ARRAYFORMULA(REGEXEXTRACT(C1408,""^(?:https?:\/\/)?(?:[^@\n]+@)?(?:www\.)?([^:\/\n]+)"")),"""")"),"inc.com")</f>
        <v>inc.com</v>
      </c>
      <c r="E1408" s="26" t="str">
        <f ca="1">IFERROR(__xludf.DUMMYFUNCTION("""COMPUTED_VALUE"""),"New")</f>
        <v>New</v>
      </c>
      <c r="F1408" s="72">
        <v>91</v>
      </c>
      <c r="G1408" s="72">
        <v>396274</v>
      </c>
      <c r="P1408" s="26"/>
    </row>
    <row r="1409" spans="1:16" ht="14.5">
      <c r="A1409" s="3" t="s">
        <v>38</v>
      </c>
      <c r="B1409" s="12" t="s">
        <v>2818</v>
      </c>
      <c r="C1409" s="49" t="s">
        <v>4901</v>
      </c>
      <c r="D1409" s="41" t="str">
        <f ca="1">IFERROR(__xludf.DUMMYFUNCTION("IFERROR(ARRAYFORMULA(REGEXEXTRACT(C1409,""^(?:https?:\/\/)?(?:[^@\n]+@)?(?:www\.)?([^:\/\n]+)"")),"""")"),"useactive.com")</f>
        <v>useactive.com</v>
      </c>
      <c r="E1409" s="26" t="str">
        <f ca="1">IFERROR(__xludf.DUMMYFUNCTION("""COMPUTED_VALUE"""),"New")</f>
        <v>New</v>
      </c>
      <c r="F1409" s="72">
        <v>27</v>
      </c>
      <c r="G1409" s="72">
        <v>10243</v>
      </c>
      <c r="H1409" s="27" t="s">
        <v>4061</v>
      </c>
      <c r="I1409" s="27" t="s">
        <v>4902</v>
      </c>
      <c r="J1409" s="27" t="s">
        <v>4903</v>
      </c>
      <c r="K1409" s="27" t="s">
        <v>3839</v>
      </c>
      <c r="L1409" s="112"/>
      <c r="M1409" s="27" t="s">
        <v>3715</v>
      </c>
      <c r="N1409" s="48">
        <v>46042</v>
      </c>
      <c r="O1409" s="48">
        <v>46067</v>
      </c>
      <c r="P1409" s="26"/>
    </row>
    <row r="1410" spans="1:16" ht="14.5">
      <c r="A1410" s="3" t="s">
        <v>38</v>
      </c>
      <c r="B1410" s="12" t="s">
        <v>2818</v>
      </c>
      <c r="C1410" s="46" t="s">
        <v>4904</v>
      </c>
      <c r="D1410" s="41" t="str">
        <f ca="1">IFERROR(__xludf.DUMMYFUNCTION("IFERROR(ARRAYFORMULA(REGEXEXTRACT(C1410,""^(?:https?:\/\/)?(?:[^@\n]+@)?(?:www\.)?([^:\/\n]+)"")),"""")"),"blog.megaventory.com")</f>
        <v>blog.megaventory.com</v>
      </c>
      <c r="E1410" s="26" t="str">
        <f ca="1">IFERROR(__xludf.DUMMYFUNCTION("""COMPUTED_VALUE"""),"New")</f>
        <v>New</v>
      </c>
      <c r="F1410" s="72">
        <v>55</v>
      </c>
      <c r="G1410" s="72">
        <v>3687</v>
      </c>
      <c r="P1410" s="26"/>
    </row>
    <row r="1411" spans="1:16" ht="14.5">
      <c r="A1411" s="3" t="s">
        <v>38</v>
      </c>
      <c r="B1411" s="12" t="s">
        <v>2818</v>
      </c>
      <c r="C1411" s="46" t="s">
        <v>4905</v>
      </c>
      <c r="D1411" s="41" t="str">
        <f ca="1">IFERROR(__xludf.DUMMYFUNCTION("IFERROR(ARRAYFORMULA(REGEXEXTRACT(C1411,""^(?:https?:\/\/)?(?:[^@\n]+@)?(?:www\.)?([^:\/\n]+)"")),"""")"),"homestratosphere.com")</f>
        <v>homestratosphere.com</v>
      </c>
      <c r="E1411" s="26" t="str">
        <f ca="1">IFERROR(__xludf.DUMMYFUNCTION("""COMPUTED_VALUE"""),"New")</f>
        <v>New</v>
      </c>
      <c r="F1411" s="72">
        <v>73</v>
      </c>
      <c r="G1411" s="72">
        <v>15042</v>
      </c>
      <c r="P1411" s="26"/>
    </row>
    <row r="1412" spans="1:16" ht="14.5">
      <c r="A1412" s="3" t="s">
        <v>38</v>
      </c>
      <c r="B1412" s="12" t="s">
        <v>2818</v>
      </c>
      <c r="C1412" s="46" t="s">
        <v>4906</v>
      </c>
      <c r="D1412" s="41" t="str">
        <f ca="1">IFERROR(__xludf.DUMMYFUNCTION("IFERROR(ARRAYFORMULA(REGEXEXTRACT(C1412,""^(?:https?:\/\/)?(?:[^@\n]+@)?(?:www\.)?([^:\/\n]+)"")),"""")"),"ideal.house")</f>
        <v>ideal.house</v>
      </c>
      <c r="E1412" s="26" t="str">
        <f ca="1">IFERROR(__xludf.DUMMYFUNCTION("""COMPUTED_VALUE"""),"New")</f>
        <v>New</v>
      </c>
      <c r="F1412" s="72">
        <v>28</v>
      </c>
      <c r="G1412" s="72">
        <v>16963</v>
      </c>
      <c r="P1412" s="26"/>
    </row>
    <row r="1413" spans="1:16" ht="14.5">
      <c r="A1413" s="3" t="s">
        <v>38</v>
      </c>
      <c r="B1413" s="12" t="s">
        <v>2818</v>
      </c>
      <c r="C1413" s="46" t="s">
        <v>4907</v>
      </c>
      <c r="D1413" s="41" t="str">
        <f ca="1">IFERROR(__xludf.DUMMYFUNCTION("IFERROR(ARRAYFORMULA(REGEXEXTRACT(C1413,""^(?:https?:\/\/)?(?:[^@\n]+@)?(?:www\.)?([^:\/\n]+)"")),"""")"),"huntinghills.rdpsd.ab.ca")</f>
        <v>huntinghills.rdpsd.ab.ca</v>
      </c>
      <c r="E1413" s="26" t="str">
        <f ca="1">IFERROR(__xludf.DUMMYFUNCTION("""COMPUTED_VALUE"""),"New")</f>
        <v>New</v>
      </c>
      <c r="F1413" s="72">
        <v>39</v>
      </c>
      <c r="G1413" s="72">
        <v>2185</v>
      </c>
      <c r="P1413" s="26"/>
    </row>
    <row r="1414" spans="1:16" ht="14.5">
      <c r="A1414" s="3" t="s">
        <v>38</v>
      </c>
      <c r="B1414" s="12" t="s">
        <v>2818</v>
      </c>
      <c r="C1414" s="46" t="s">
        <v>4908</v>
      </c>
      <c r="D1414" s="41" t="str">
        <f ca="1">IFERROR(__xludf.DUMMYFUNCTION("IFERROR(ARRAYFORMULA(REGEXEXTRACT(C1414,""^(?:https?:\/\/)?(?:[^@\n]+@)?(?:www\.)?([^:\/\n]+)"")),"""")"),"hawkemedia.com")</f>
        <v>hawkemedia.com</v>
      </c>
      <c r="E1414" s="26" t="str">
        <f ca="1">IFERROR(__xludf.DUMMYFUNCTION("""COMPUTED_VALUE"""),"New")</f>
        <v>New</v>
      </c>
      <c r="F1414" s="72">
        <v>70</v>
      </c>
      <c r="G1414" s="72">
        <v>3003</v>
      </c>
      <c r="P1414" s="26"/>
    </row>
    <row r="1415" spans="1:16" ht="14.5">
      <c r="A1415" s="3" t="s">
        <v>38</v>
      </c>
      <c r="B1415" s="12" t="s">
        <v>2818</v>
      </c>
      <c r="C1415" s="49" t="s">
        <v>4909</v>
      </c>
      <c r="D1415" s="41" t="str">
        <f ca="1">IFERROR(__xludf.DUMMYFUNCTION("IFERROR(ARRAYFORMULA(REGEXEXTRACT(C1415,""^(?:https?:\/\/)?(?:[^@\n]+@)?(?:www\.)?([^:\/\n]+)"")),"""")"),"canadianhomeleisure.ca")</f>
        <v>canadianhomeleisure.ca</v>
      </c>
      <c r="E1415" s="26" t="str">
        <f ca="1">IFERROR(__xludf.DUMMYFUNCTION("""COMPUTED_VALUE"""),"New")</f>
        <v>New</v>
      </c>
      <c r="F1415" s="72">
        <v>22</v>
      </c>
      <c r="G1415" s="72">
        <v>2031</v>
      </c>
      <c r="J1415" s="27" t="s">
        <v>4910</v>
      </c>
      <c r="K1415" s="27" t="s">
        <v>4911</v>
      </c>
      <c r="L1415" s="112"/>
      <c r="M1415" s="27" t="s">
        <v>3715</v>
      </c>
      <c r="N1415" s="48">
        <v>46042</v>
      </c>
      <c r="O1415" s="48">
        <v>46067</v>
      </c>
      <c r="P1415" s="26"/>
    </row>
    <row r="1416" spans="1:16" ht="14.5" hidden="1">
      <c r="A1416" s="3" t="s">
        <v>38</v>
      </c>
      <c r="B1416" s="12" t="s">
        <v>2818</v>
      </c>
      <c r="C1416" s="46" t="s">
        <v>4912</v>
      </c>
      <c r="D1416" s="41" t="str">
        <f ca="1">IFERROR(__xludf.DUMMYFUNCTION("IFERROR(ARRAYFORMULA(REGEXEXTRACT(C1416,""^(?:https?:\/\/)?(?:[^@\n]+@)?(?:www\.)?([^:\/\n]+)"")),"""")"),"morningchores.com")</f>
        <v>morningchores.com</v>
      </c>
      <c r="E1416" s="26" t="str">
        <f ca="1">IFERROR(__xludf.DUMMYFUNCTION("""COMPUTED_VALUE"""),"Already Exists")</f>
        <v>Already Exists</v>
      </c>
      <c r="F1416" s="72">
        <v>68</v>
      </c>
      <c r="G1416" s="72">
        <v>2045</v>
      </c>
      <c r="P1416" s="26"/>
    </row>
    <row r="1417" spans="1:16" ht="14.5">
      <c r="A1417" s="3" t="s">
        <v>38</v>
      </c>
      <c r="B1417" s="12" t="s">
        <v>2818</v>
      </c>
      <c r="C1417" s="46" t="s">
        <v>4913</v>
      </c>
      <c r="D1417" s="41" t="str">
        <f ca="1">IFERROR(__xludf.DUMMYFUNCTION("IFERROR(ARRAYFORMULA(REGEXEXTRACT(C1417,""^(?:https?:\/\/)?(?:[^@\n]+@)?(?:www\.)?([^:\/\n]+)"")),"""")"),"onecommunityglobal.org")</f>
        <v>onecommunityglobal.org</v>
      </c>
      <c r="E1417" s="26" t="str">
        <f ca="1">IFERROR(__xludf.DUMMYFUNCTION("""COMPUTED_VALUE"""),"New")</f>
        <v>New</v>
      </c>
      <c r="F1417" s="72">
        <v>45</v>
      </c>
      <c r="G1417" s="72">
        <v>1896</v>
      </c>
      <c r="P1417" s="26"/>
    </row>
    <row r="1418" spans="1:16" ht="14.5">
      <c r="A1418" s="3" t="s">
        <v>38</v>
      </c>
      <c r="B1418" s="12" t="s">
        <v>2818</v>
      </c>
      <c r="C1418" s="49" t="s">
        <v>4914</v>
      </c>
      <c r="D1418" s="41" t="str">
        <f ca="1">IFERROR(__xludf.DUMMYFUNCTION("IFERROR(ARRAYFORMULA(REGEXEXTRACT(C1418,""^(?:https?:\/\/)?(?:[^@\n]+@)?(?:www\.)?([^:\/\n]+)"")),"""")"),"sustainablejungle.com")</f>
        <v>sustainablejungle.com</v>
      </c>
      <c r="E1418" s="26" t="str">
        <f ca="1">IFERROR(__xludf.DUMMYFUNCTION("""COMPUTED_VALUE"""),"New")</f>
        <v>New</v>
      </c>
      <c r="F1418" s="72">
        <v>70</v>
      </c>
      <c r="G1418" s="72">
        <v>4717</v>
      </c>
      <c r="H1418" s="27" t="s">
        <v>4915</v>
      </c>
      <c r="I1418" s="27" t="s">
        <v>4916</v>
      </c>
      <c r="J1418" s="27" t="s">
        <v>4917</v>
      </c>
      <c r="K1418" s="27" t="s">
        <v>3756</v>
      </c>
      <c r="L1418" s="112"/>
      <c r="M1418" s="27" t="s">
        <v>3715</v>
      </c>
      <c r="N1418" s="48">
        <v>46042</v>
      </c>
      <c r="O1418" s="48">
        <v>46067</v>
      </c>
      <c r="P1418" s="26"/>
    </row>
    <row r="1419" spans="1:16" ht="14.5">
      <c r="A1419" s="3" t="s">
        <v>38</v>
      </c>
      <c r="B1419" s="12" t="s">
        <v>2818</v>
      </c>
      <c r="C1419" s="46" t="s">
        <v>4918</v>
      </c>
      <c r="D1419" s="41" t="str">
        <f ca="1">IFERROR(__xludf.DUMMYFUNCTION("IFERROR(ARRAYFORMULA(REGEXEXTRACT(C1419,""^(?:https?:\/\/)?(?:[^@\n]+@)?(?:www\.)?([^:\/\n]+)"")),"""")"),"blog.squaretrade.com")</f>
        <v>blog.squaretrade.com</v>
      </c>
      <c r="E1419" s="26" t="str">
        <f ca="1">IFERROR(__xludf.DUMMYFUNCTION("""COMPUTED_VALUE"""),"New")</f>
        <v>New</v>
      </c>
      <c r="F1419" s="72">
        <v>72</v>
      </c>
      <c r="G1419" s="72">
        <v>73696</v>
      </c>
      <c r="P1419" s="26"/>
    </row>
    <row r="1420" spans="1:16" ht="14.5">
      <c r="A1420" s="3" t="s">
        <v>38</v>
      </c>
      <c r="B1420" s="12" t="s">
        <v>2818</v>
      </c>
      <c r="C1420" s="46" t="s">
        <v>4919</v>
      </c>
      <c r="D1420" s="41" t="str">
        <f ca="1">IFERROR(__xludf.DUMMYFUNCTION("IFERROR(ARRAYFORMULA(REGEXEXTRACT(C1420,""^(?:https?:\/\/)?(?:[^@\n]+@)?(?:www\.)?([^:\/\n]+)"")),"""")"),"wheaton.edu")</f>
        <v>wheaton.edu</v>
      </c>
      <c r="E1420" s="26" t="str">
        <f ca="1">IFERROR(__xludf.DUMMYFUNCTION("""COMPUTED_VALUE"""),"New")</f>
        <v>New</v>
      </c>
      <c r="F1420" s="72">
        <v>75</v>
      </c>
      <c r="G1420" s="72">
        <v>26118</v>
      </c>
      <c r="P1420" s="26"/>
    </row>
    <row r="1421" spans="1:16" ht="14.5">
      <c r="A1421" s="3" t="s">
        <v>38</v>
      </c>
      <c r="B1421" s="12" t="s">
        <v>2818</v>
      </c>
      <c r="C1421" s="46" t="s">
        <v>4920</v>
      </c>
      <c r="D1421" s="41" t="str">
        <f ca="1">IFERROR(__xludf.DUMMYFUNCTION("IFERROR(ARRAYFORMULA(REGEXEXTRACT(C1421,""^(?:https?:\/\/)?(?:[^@\n]+@)?(?:www\.)?([^:\/\n]+)"")),"""")"),"collegesofdistinction.com")</f>
        <v>collegesofdistinction.com</v>
      </c>
      <c r="E1421" s="26" t="str">
        <f ca="1">IFERROR(__xludf.DUMMYFUNCTION("""COMPUTED_VALUE"""),"New")</f>
        <v>New</v>
      </c>
      <c r="F1421" s="72">
        <v>55</v>
      </c>
      <c r="G1421" s="72">
        <v>37484</v>
      </c>
      <c r="P1421" s="26"/>
    </row>
    <row r="1422" spans="1:16" ht="14.5">
      <c r="A1422" s="3" t="s">
        <v>38</v>
      </c>
      <c r="B1422" s="12" t="s">
        <v>2818</v>
      </c>
      <c r="C1422" s="49" t="s">
        <v>4921</v>
      </c>
      <c r="D1422" s="41" t="str">
        <f ca="1">IFERROR(__xludf.DUMMYFUNCTION("IFERROR(ARRAYFORMULA(REGEXEXTRACT(C1422,""^(?:https?:\/\/)?(?:[^@\n]+@)?(?:www\.)?([^:\/\n]+)"")),"""")"),"thelogcompany.com")</f>
        <v>thelogcompany.com</v>
      </c>
      <c r="E1422" s="26" t="str">
        <f ca="1">IFERROR(__xludf.DUMMYFUNCTION("""COMPUTED_VALUE"""),"New")</f>
        <v>New</v>
      </c>
      <c r="F1422" s="72">
        <v>33</v>
      </c>
      <c r="G1422" s="72">
        <v>3576</v>
      </c>
      <c r="J1422" s="27" t="s">
        <v>4922</v>
      </c>
      <c r="K1422" s="27" t="s">
        <v>3839</v>
      </c>
      <c r="L1422" s="112"/>
      <c r="M1422" s="27" t="s">
        <v>3117</v>
      </c>
      <c r="N1422" s="48">
        <v>46044</v>
      </c>
      <c r="O1422" s="48">
        <v>46086</v>
      </c>
      <c r="P1422" s="26"/>
    </row>
    <row r="1423" spans="1:16" ht="14.5">
      <c r="A1423" s="3" t="s">
        <v>38</v>
      </c>
      <c r="B1423" s="12" t="s">
        <v>2818</v>
      </c>
      <c r="C1423" s="46" t="s">
        <v>4923</v>
      </c>
      <c r="D1423" s="41" t="str">
        <f ca="1">IFERROR(__xludf.DUMMYFUNCTION("IFERROR(ARRAYFORMULA(REGEXEXTRACT(C1423,""^(?:https?:\/\/)?(?:[^@\n]+@)?(?:www\.)?([^:\/\n]+)"")),"""")"),"civiconcepts.com")</f>
        <v>civiconcepts.com</v>
      </c>
      <c r="E1423" s="26" t="str">
        <f ca="1">IFERROR(__xludf.DUMMYFUNCTION("""COMPUTED_VALUE"""),"New")</f>
        <v>New</v>
      </c>
      <c r="F1423" s="72">
        <v>43</v>
      </c>
      <c r="G1423" s="72">
        <v>11230</v>
      </c>
      <c r="P1423" s="26"/>
    </row>
    <row r="1424" spans="1:16" ht="14.5">
      <c r="A1424" s="3" t="s">
        <v>38</v>
      </c>
      <c r="B1424" s="12" t="s">
        <v>2818</v>
      </c>
      <c r="C1424" s="46" t="s">
        <v>4924</v>
      </c>
      <c r="D1424" s="41" t="str">
        <f ca="1">IFERROR(__xludf.DUMMYFUNCTION("IFERROR(ARRAYFORMULA(REGEXEXTRACT(C1424,""^(?:https?:\/\/)?(?:[^@\n]+@)?(?:www\.)?([^:\/\n]+)"")),"""")"),"careeronestop.org")</f>
        <v>careeronestop.org</v>
      </c>
      <c r="E1424" s="26" t="str">
        <f ca="1">IFERROR(__xludf.DUMMYFUNCTION("""COMPUTED_VALUE"""),"New")</f>
        <v>New</v>
      </c>
      <c r="F1424" s="72">
        <v>84</v>
      </c>
      <c r="G1424" s="72">
        <v>400697</v>
      </c>
      <c r="P1424" s="26"/>
    </row>
    <row r="1425" spans="1:16" ht="14.5">
      <c r="A1425" s="3" t="s">
        <v>38</v>
      </c>
      <c r="B1425" s="12" t="s">
        <v>2818</v>
      </c>
      <c r="C1425" s="46" t="s">
        <v>4925</v>
      </c>
      <c r="D1425" s="41" t="str">
        <f ca="1">IFERROR(__xludf.DUMMYFUNCTION("IFERROR(ARRAYFORMULA(REGEXEXTRACT(C1425,""^(?:https?:\/\/)?(?:[^@\n]+@)?(?:www\.)?([^:\/\n]+)"")),"""")"),"phta.org")</f>
        <v>phta.org</v>
      </c>
      <c r="E1425" s="26" t="str">
        <f ca="1">IFERROR(__xludf.DUMMYFUNCTION("""COMPUTED_VALUE"""),"New")</f>
        <v>New</v>
      </c>
      <c r="F1425" s="72">
        <v>75</v>
      </c>
      <c r="G1425" s="72">
        <v>5152</v>
      </c>
      <c r="P1425" s="26"/>
    </row>
    <row r="1426" spans="1:16" ht="14.5">
      <c r="A1426" s="3" t="s">
        <v>38</v>
      </c>
      <c r="B1426" s="12" t="s">
        <v>2818</v>
      </c>
      <c r="C1426" s="49" t="s">
        <v>4926</v>
      </c>
      <c r="D1426" s="41" t="str">
        <f ca="1">IFERROR(__xludf.DUMMYFUNCTION("IFERROR(ARRAYFORMULA(REGEXEXTRACT(C1426,""^(?:https?:\/\/)?(?:[^@\n]+@)?(?:www\.)?([^:\/\n]+)"")),"""")"),"backyardboss.net")</f>
        <v>backyardboss.net</v>
      </c>
      <c r="E1426" s="26" t="str">
        <f ca="1">IFERROR(__xludf.DUMMYFUNCTION("""COMPUTED_VALUE"""),"New")</f>
        <v>New</v>
      </c>
      <c r="F1426" s="72">
        <v>61</v>
      </c>
      <c r="G1426" s="72">
        <v>22925</v>
      </c>
      <c r="J1426" s="38" t="s">
        <v>4927</v>
      </c>
      <c r="K1426" s="27" t="s">
        <v>3839</v>
      </c>
      <c r="L1426" s="112"/>
      <c r="M1426" s="27" t="s">
        <v>3117</v>
      </c>
      <c r="N1426" s="48">
        <v>46044</v>
      </c>
      <c r="P1426" s="26"/>
    </row>
    <row r="1427" spans="1:16" ht="14.5">
      <c r="A1427" s="3" t="s">
        <v>38</v>
      </c>
      <c r="B1427" s="12" t="s">
        <v>2818</v>
      </c>
      <c r="C1427" s="46" t="s">
        <v>4928</v>
      </c>
      <c r="D1427" s="41" t="str">
        <f ca="1">IFERROR(__xludf.DUMMYFUNCTION("IFERROR(ARRAYFORMULA(REGEXEXTRACT(C1427,""^(?:https?:\/\/)?(?:[^@\n]+@)?(?:www\.)?([^:\/\n]+)"")),"""")"),"financialaid.ucdavis.edu")</f>
        <v>financialaid.ucdavis.edu</v>
      </c>
      <c r="E1427" s="26" t="str">
        <f ca="1">IFERROR(__xludf.DUMMYFUNCTION("""COMPUTED_VALUE"""),"New")</f>
        <v>New</v>
      </c>
      <c r="F1427" s="72">
        <v>90</v>
      </c>
      <c r="G1427" s="72">
        <v>2512924</v>
      </c>
      <c r="P1427" s="26"/>
    </row>
    <row r="1428" spans="1:16" ht="14.5">
      <c r="A1428" s="3" t="s">
        <v>38</v>
      </c>
      <c r="B1428" s="12" t="s">
        <v>2818</v>
      </c>
      <c r="C1428" s="46" t="s">
        <v>4929</v>
      </c>
      <c r="D1428" s="41" t="str">
        <f ca="1">IFERROR(__xludf.DUMMYFUNCTION("IFERROR(ARRAYFORMULA(REGEXEXTRACT(C1428,""^(?:https?:\/\/)?(?:[^@\n]+@)?(?:www\.)?([^:\/\n]+)"")),"""")"),"pinterest.ca")</f>
        <v>pinterest.ca</v>
      </c>
      <c r="E1428" s="26" t="str">
        <f ca="1">IFERROR(__xludf.DUMMYFUNCTION("""COMPUTED_VALUE"""),"New")</f>
        <v>New</v>
      </c>
      <c r="F1428" s="72">
        <v>86</v>
      </c>
      <c r="G1428" s="72">
        <v>2827</v>
      </c>
      <c r="P1428" s="26"/>
    </row>
    <row r="1429" spans="1:16" ht="14.5">
      <c r="A1429" s="3" t="s">
        <v>38</v>
      </c>
      <c r="B1429" s="12" t="s">
        <v>2818</v>
      </c>
      <c r="C1429" s="46" t="s">
        <v>4930</v>
      </c>
      <c r="D1429" s="41" t="str">
        <f ca="1">IFERROR(__xludf.DUMMYFUNCTION("IFERROR(ARRAYFORMULA(REGEXEXTRACT(C1429,""^(?:https?:\/\/)?(?:[^@\n]+@)?(?:www\.)?([^:\/\n]+)"")),"""")"),"fixya.com")</f>
        <v>fixya.com</v>
      </c>
      <c r="E1429" s="26" t="str">
        <f ca="1">IFERROR(__xludf.DUMMYFUNCTION("""COMPUTED_VALUE"""),"New")</f>
        <v>New</v>
      </c>
      <c r="F1429" s="72">
        <v>58</v>
      </c>
      <c r="G1429" s="72">
        <v>9245</v>
      </c>
      <c r="P1429" s="26"/>
    </row>
    <row r="1430" spans="1:16" ht="14.5">
      <c r="A1430" s="3" t="s">
        <v>38</v>
      </c>
      <c r="B1430" s="12" t="s">
        <v>2818</v>
      </c>
      <c r="C1430" s="46" t="s">
        <v>4931</v>
      </c>
      <c r="D1430" s="41" t="str">
        <f ca="1">IFERROR(__xludf.DUMMYFUNCTION("IFERROR(ARRAYFORMULA(REGEXEXTRACT(C1430,""^(?:https?:\/\/)?(?:[^@\n]+@)?(?:www\.)?([^:\/\n]+)"")),"""")"),"campusreel.org")</f>
        <v>campusreel.org</v>
      </c>
      <c r="E1430" s="26" t="str">
        <f ca="1">IFERROR(__xludf.DUMMYFUNCTION("""COMPUTED_VALUE"""),"New")</f>
        <v>New</v>
      </c>
      <c r="F1430" s="72">
        <v>57</v>
      </c>
      <c r="G1430" s="72">
        <v>30701</v>
      </c>
      <c r="P1430" s="26"/>
    </row>
    <row r="1431" spans="1:16" ht="14.5">
      <c r="A1431" s="3" t="s">
        <v>38</v>
      </c>
      <c r="B1431" s="12" t="s">
        <v>2818</v>
      </c>
      <c r="C1431" s="46" t="s">
        <v>4932</v>
      </c>
      <c r="D1431" s="41" t="str">
        <f ca="1">IFERROR(__xludf.DUMMYFUNCTION("IFERROR(ARRAYFORMULA(REGEXEXTRACT(C1431,""^(?:https?:\/\/)?(?:[^@\n]+@)?(?:www\.)?([^:\/\n]+)"")),"""")"),"downforeveryoneorjustme.com")</f>
        <v>downforeveryoneorjustme.com</v>
      </c>
      <c r="E1431" s="26" t="str">
        <f ca="1">IFERROR(__xludf.DUMMYFUNCTION("""COMPUTED_VALUE"""),"New")</f>
        <v>New</v>
      </c>
      <c r="F1431" s="72">
        <v>80</v>
      </c>
      <c r="G1431" s="72">
        <v>871060</v>
      </c>
      <c r="P1431" s="26"/>
    </row>
    <row r="1432" spans="1:16" ht="14.5">
      <c r="A1432" s="3" t="s">
        <v>38</v>
      </c>
      <c r="B1432" s="12" t="s">
        <v>2818</v>
      </c>
      <c r="C1432" s="46" t="s">
        <v>4933</v>
      </c>
      <c r="D1432" s="41" t="str">
        <f ca="1">IFERROR(__xludf.DUMMYFUNCTION("IFERROR(ARRAYFORMULA(REGEXEXTRACT(C1432,""^(?:https?:\/\/)?(?:[^@\n]+@)?(?:www\.)?([^:\/\n]+)"")),"""")"),"sparefoot.com")</f>
        <v>sparefoot.com</v>
      </c>
      <c r="E1432" s="26" t="str">
        <f ca="1">IFERROR(__xludf.DUMMYFUNCTION("""COMPUTED_VALUE"""),"New")</f>
        <v>New</v>
      </c>
      <c r="F1432" s="72">
        <v>73</v>
      </c>
      <c r="G1432" s="72">
        <v>143920</v>
      </c>
      <c r="P1432" s="26"/>
    </row>
    <row r="1433" spans="1:16" ht="14.5">
      <c r="A1433" s="3" t="s">
        <v>38</v>
      </c>
      <c r="B1433" s="12" t="s">
        <v>2818</v>
      </c>
      <c r="C1433" s="46" t="s">
        <v>4934</v>
      </c>
      <c r="D1433" s="41" t="str">
        <f ca="1">IFERROR(__xludf.DUMMYFUNCTION("IFERROR(ARRAYFORMULA(REGEXEXTRACT(C1433,""^(?:https?:\/\/)?(?:[^@\n]+@)?(?:www\.)?([^:\/\n]+)"")),"""")"),"llmrefs.com")</f>
        <v>llmrefs.com</v>
      </c>
      <c r="E1433" s="26" t="str">
        <f ca="1">IFERROR(__xludf.DUMMYFUNCTION("""COMPUTED_VALUE"""),"New")</f>
        <v>New</v>
      </c>
      <c r="F1433" s="72">
        <v>47</v>
      </c>
      <c r="G1433" s="72">
        <v>5573</v>
      </c>
      <c r="P1433" s="26"/>
    </row>
    <row r="1434" spans="1:16" ht="14.5">
      <c r="A1434" s="3" t="s">
        <v>38</v>
      </c>
      <c r="B1434" s="12" t="s">
        <v>2818</v>
      </c>
      <c r="C1434" s="46" t="s">
        <v>4935</v>
      </c>
      <c r="D1434" s="41" t="str">
        <f ca="1">IFERROR(__xludf.DUMMYFUNCTION("IFERROR(ARRAYFORMULA(REGEXEXTRACT(C1434,""^(?:https?:\/\/)?(?:[^@\n]+@)?(?:www\.)?([^:\/\n]+)"")),"""")"),"joinchargeback.com")</f>
        <v>joinchargeback.com</v>
      </c>
      <c r="E1434" s="26" t="str">
        <f ca="1">IFERROR(__xludf.DUMMYFUNCTION("""COMPUTED_VALUE"""),"New")</f>
        <v>New</v>
      </c>
      <c r="F1434" s="72">
        <v>30</v>
      </c>
      <c r="G1434" s="72">
        <v>1898</v>
      </c>
      <c r="P1434" s="26"/>
    </row>
    <row r="1435" spans="1:16" ht="14.5">
      <c r="A1435" s="3" t="s">
        <v>38</v>
      </c>
      <c r="B1435" s="12" t="s">
        <v>2818</v>
      </c>
      <c r="C1435" s="46" t="s">
        <v>4936</v>
      </c>
      <c r="D1435" s="41" t="str">
        <f ca="1">IFERROR(__xludf.DUMMYFUNCTION("IFERROR(ARRAYFORMULA(REGEXEXTRACT(C1435,""^(?:https?:\/\/)?(?:[^@\n]+@)?(?:www\.)?([^:\/\n]+)"")),"""")"),"fastbase.com")</f>
        <v>fastbase.com</v>
      </c>
      <c r="E1435" s="26" t="str">
        <f ca="1">IFERROR(__xludf.DUMMYFUNCTION("""COMPUTED_VALUE"""),"New")</f>
        <v>New</v>
      </c>
      <c r="F1435" s="72">
        <v>45</v>
      </c>
      <c r="G1435" s="72">
        <v>1421</v>
      </c>
      <c r="P1435" s="26"/>
    </row>
    <row r="1436" spans="1:16" ht="14.5">
      <c r="A1436" s="3" t="s">
        <v>38</v>
      </c>
      <c r="B1436" s="12" t="s">
        <v>2818</v>
      </c>
      <c r="C1436" s="46" t="s">
        <v>4937</v>
      </c>
      <c r="D1436" s="41" t="str">
        <f ca="1">IFERROR(__xludf.DUMMYFUNCTION("IFERROR(ARRAYFORMULA(REGEXEXTRACT(C1436,""^(?:https?:\/\/)?(?:[^@\n]+@)?(?:www\.)?([^:\/\n]+)"")),"""")"),"thesource.com")</f>
        <v>thesource.com</v>
      </c>
      <c r="E1436" s="26" t="str">
        <f ca="1">IFERROR(__xludf.DUMMYFUNCTION("""COMPUTED_VALUE"""),"New")</f>
        <v>New</v>
      </c>
      <c r="F1436" s="72">
        <v>75</v>
      </c>
      <c r="G1436" s="72">
        <v>531497</v>
      </c>
      <c r="P1436" s="26"/>
    </row>
    <row r="1437" spans="1:16" ht="14.5">
      <c r="A1437" s="3" t="s">
        <v>38</v>
      </c>
      <c r="B1437" s="12" t="s">
        <v>2818</v>
      </c>
      <c r="C1437" s="46" t="s">
        <v>4938</v>
      </c>
      <c r="D1437" s="41" t="str">
        <f ca="1">IFERROR(__xludf.DUMMYFUNCTION("IFERROR(ARRAYFORMULA(REGEXEXTRACT(C1437,""^(?:https?:\/\/)?(?:[^@\n]+@)?(?:www\.)?([^:\/\n]+)"")),"""")"),"cfcc.academicworks.com")</f>
        <v>cfcc.academicworks.com</v>
      </c>
      <c r="E1437" s="26" t="str">
        <f ca="1">IFERROR(__xludf.DUMMYFUNCTION("""COMPUTED_VALUE"""),"New")</f>
        <v>New</v>
      </c>
      <c r="F1437" s="72">
        <v>75</v>
      </c>
      <c r="G1437" s="72">
        <v>32238</v>
      </c>
      <c r="P1437" s="26"/>
    </row>
    <row r="1438" spans="1:16" ht="14.5">
      <c r="A1438" s="3" t="s">
        <v>38</v>
      </c>
      <c r="B1438" s="12" t="s">
        <v>2818</v>
      </c>
      <c r="C1438" s="46" t="s">
        <v>4939</v>
      </c>
      <c r="D1438" s="41" t="str">
        <f ca="1">IFERROR(__xludf.DUMMYFUNCTION("IFERROR(ARRAYFORMULA(REGEXEXTRACT(C1438,""^(?:https?:\/\/)?(?:[^@\n]+@)?(?:www\.)?([^:\/\n]+)"")),"""")"),"katu.com")</f>
        <v>katu.com</v>
      </c>
      <c r="E1438" s="26" t="str">
        <f ca="1">IFERROR(__xludf.DUMMYFUNCTION("""COMPUTED_VALUE"""),"New")</f>
        <v>New</v>
      </c>
      <c r="F1438" s="72">
        <v>78</v>
      </c>
      <c r="G1438" s="72">
        <v>275067</v>
      </c>
      <c r="P1438" s="26"/>
    </row>
    <row r="1439" spans="1:16" ht="14.5">
      <c r="A1439" s="3" t="s">
        <v>38</v>
      </c>
      <c r="B1439" s="12" t="s">
        <v>2818</v>
      </c>
      <c r="C1439" s="46" t="s">
        <v>4940</v>
      </c>
      <c r="D1439" s="41" t="str">
        <f ca="1">IFERROR(__xludf.DUMMYFUNCTION("IFERROR(ARRAYFORMULA(REGEXEXTRACT(C1439,""^(?:https?:\/\/)?(?:[^@\n]+@)?(?:www\.)?([^:\/\n]+)"")),"""")"),"fixit-act.cmtc.ac.th")</f>
        <v>fixit-act.cmtc.ac.th</v>
      </c>
      <c r="E1439" s="26" t="str">
        <f ca="1">IFERROR(__xludf.DUMMYFUNCTION("""COMPUTED_VALUE"""),"New")</f>
        <v>New</v>
      </c>
      <c r="F1439" s="72">
        <v>28</v>
      </c>
      <c r="G1439" s="72">
        <v>3459</v>
      </c>
      <c r="P1439" s="26"/>
    </row>
    <row r="1440" spans="1:16" ht="14.5">
      <c r="A1440" s="3" t="s">
        <v>38</v>
      </c>
      <c r="B1440" s="12" t="s">
        <v>2818</v>
      </c>
      <c r="C1440" s="46" t="s">
        <v>4941</v>
      </c>
      <c r="D1440" s="41" t="str">
        <f ca="1">IFERROR(__xludf.DUMMYFUNCTION("IFERROR(ARRAYFORMULA(REGEXEXTRACT(C1440,""^(?:https?:\/\/)?(?:[^@\n]+@)?(?:www\.)?([^:\/\n]+)"")),"""")"),"globalbrandsmagazine.com")</f>
        <v>globalbrandsmagazine.com</v>
      </c>
      <c r="E1440" s="26" t="str">
        <f ca="1">IFERROR(__xludf.DUMMYFUNCTION("""COMPUTED_VALUE"""),"New")</f>
        <v>New</v>
      </c>
      <c r="F1440" s="72">
        <v>70</v>
      </c>
      <c r="G1440" s="72">
        <v>25703</v>
      </c>
      <c r="P1440" s="26"/>
    </row>
    <row r="1441" spans="1:16" ht="14.5">
      <c r="A1441" s="3" t="s">
        <v>38</v>
      </c>
      <c r="B1441" s="12" t="s">
        <v>2818</v>
      </c>
      <c r="C1441" s="46" t="s">
        <v>4942</v>
      </c>
      <c r="D1441" s="41" t="str">
        <f ca="1">IFERROR(__xludf.DUMMYFUNCTION("IFERROR(ARRAYFORMULA(REGEXEXTRACT(C1441,""^(?:https?:\/\/)?(?:[^@\n]+@)?(?:www\.)?([^:\/\n]+)"")),"""")"),"sd35.bc.ca")</f>
        <v>sd35.bc.ca</v>
      </c>
      <c r="E1441" s="26" t="str">
        <f ca="1">IFERROR(__xludf.DUMMYFUNCTION("""COMPUTED_VALUE"""),"New")</f>
        <v>New</v>
      </c>
      <c r="F1441" s="72">
        <v>56</v>
      </c>
      <c r="G1441" s="72">
        <v>6221</v>
      </c>
      <c r="P1441" s="26"/>
    </row>
    <row r="1442" spans="1:16" ht="14.5">
      <c r="A1442" s="3" t="s">
        <v>38</v>
      </c>
      <c r="B1442" s="12" t="s">
        <v>2818</v>
      </c>
      <c r="C1442" s="46" t="s">
        <v>4943</v>
      </c>
      <c r="D1442" s="41" t="str">
        <f ca="1">IFERROR(__xludf.DUMMYFUNCTION("IFERROR(ARRAYFORMULA(REGEXEXTRACT(C1442,""^(?:https?:\/\/)?(?:[^@\n]+@)?(?:www\.)?([^:\/\n]+)"")),"""")"),"sawmillcreek.org")</f>
        <v>sawmillcreek.org</v>
      </c>
      <c r="E1442" s="26" t="str">
        <f ca="1">IFERROR(__xludf.DUMMYFUNCTION("""COMPUTED_VALUE"""),"New")</f>
        <v>New</v>
      </c>
      <c r="F1442" s="72">
        <v>51</v>
      </c>
      <c r="G1442" s="72">
        <v>143038</v>
      </c>
      <c r="P1442" s="26"/>
    </row>
    <row r="1443" spans="1:16" ht="14.5">
      <c r="A1443" s="3" t="s">
        <v>38</v>
      </c>
      <c r="B1443" s="12" t="s">
        <v>2818</v>
      </c>
      <c r="C1443" s="46" t="s">
        <v>4944</v>
      </c>
      <c r="D1443" s="41" t="str">
        <f ca="1">IFERROR(__xludf.DUMMYFUNCTION("IFERROR(ARRAYFORMULA(REGEXEXTRACT(C1443,""^(?:https?:\/\/)?(?:[^@\n]+@)?(?:www\.)?([^:\/\n]+)"")),"""")"),"lakelandcollege.ca")</f>
        <v>lakelandcollege.ca</v>
      </c>
      <c r="E1443" s="26" t="str">
        <f ca="1">IFERROR(__xludf.DUMMYFUNCTION("""COMPUTED_VALUE"""),"New")</f>
        <v>New</v>
      </c>
      <c r="F1443" s="72">
        <v>59</v>
      </c>
      <c r="G1443" s="72">
        <v>9640</v>
      </c>
      <c r="P1443" s="26"/>
    </row>
    <row r="1444" spans="1:16" ht="14.5">
      <c r="A1444" s="3" t="s">
        <v>38</v>
      </c>
      <c r="B1444" s="12" t="s">
        <v>2818</v>
      </c>
      <c r="C1444" s="46" t="s">
        <v>4945</v>
      </c>
      <c r="D1444" s="41" t="str">
        <f ca="1">IFERROR(__xludf.DUMMYFUNCTION("IFERROR(ARRAYFORMULA(REGEXEXTRACT(C1444,""^(?:https?:\/\/)?(?:[^@\n]+@)?(?:www\.)?([^:\/\n]+)"")),"""")"),"mavaquadoc.com")</f>
        <v>mavaquadoc.com</v>
      </c>
      <c r="E1444" s="26" t="str">
        <f ca="1">IFERROR(__xludf.DUMMYFUNCTION("""COMPUTED_VALUE"""),"New")</f>
        <v>New</v>
      </c>
      <c r="F1444" s="72">
        <v>28</v>
      </c>
      <c r="G1444" s="72">
        <v>3381</v>
      </c>
      <c r="P1444" s="26"/>
    </row>
    <row r="1445" spans="1:16" ht="14.5">
      <c r="A1445" s="3" t="s">
        <v>38</v>
      </c>
      <c r="B1445" s="12" t="s">
        <v>2818</v>
      </c>
      <c r="C1445" s="46" t="s">
        <v>4946</v>
      </c>
      <c r="D1445" s="41" t="str">
        <f ca="1">IFERROR(__xludf.DUMMYFUNCTION("IFERROR(ARRAYFORMULA(REGEXEXTRACT(C1445,""^(?:https?:\/\/)?(?:[^@\n]+@)?(?:www\.)?([^:\/\n]+)"")),"""")"),"simcoe.com")</f>
        <v>simcoe.com</v>
      </c>
      <c r="E1445" s="26" t="str">
        <f ca="1">IFERROR(__xludf.DUMMYFUNCTION("""COMPUTED_VALUE"""),"New")</f>
        <v>New</v>
      </c>
      <c r="F1445" s="72">
        <v>71</v>
      </c>
      <c r="G1445" s="72">
        <v>20711</v>
      </c>
      <c r="P1445" s="26"/>
    </row>
    <row r="1446" spans="1:16" ht="14.5">
      <c r="A1446" s="3" t="s">
        <v>38</v>
      </c>
      <c r="B1446" s="12" t="s">
        <v>2818</v>
      </c>
      <c r="C1446" s="46" t="s">
        <v>4947</v>
      </c>
      <c r="D1446" s="41" t="str">
        <f ca="1">IFERROR(__xludf.DUMMYFUNCTION("IFERROR(ARRAYFORMULA(REGEXEXTRACT(C1446,""^(?:https?:\/\/)?(?:[^@\n]+@)?(?:www\.)?([^:\/\n]+)"")),"""")"),"portal.mycampus.ca")</f>
        <v>portal.mycampus.ca</v>
      </c>
      <c r="E1446" s="26" t="str">
        <f ca="1">IFERROR(__xludf.DUMMYFUNCTION("""COMPUTED_VALUE"""),"New")</f>
        <v>New</v>
      </c>
      <c r="F1446" s="72">
        <v>30</v>
      </c>
      <c r="G1446" s="72">
        <v>2799</v>
      </c>
      <c r="P1446" s="26"/>
    </row>
    <row r="1447" spans="1:16" ht="14.5">
      <c r="A1447" s="3" t="s">
        <v>38</v>
      </c>
      <c r="B1447" s="57" t="s">
        <v>2819</v>
      </c>
      <c r="C1447" s="46" t="s">
        <v>4948</v>
      </c>
      <c r="D1447" s="41" t="str">
        <f ca="1">IFERROR(__xludf.DUMMYFUNCTION("IFERROR(ARRAYFORMULA(REGEXEXTRACT(C1447,""^(?:https?:\/\/)?(?:[^@\n]+@)?(?:www\.)?([^:\/\n]+)"")),"""")"),"yellowpages.com.au")</f>
        <v>yellowpages.com.au</v>
      </c>
      <c r="E1447" s="26" t="str">
        <f ca="1">IFERROR(__xludf.DUMMYFUNCTION("""COMPUTED_VALUE"""),"New")</f>
        <v>New</v>
      </c>
      <c r="F1447" s="72">
        <v>83</v>
      </c>
      <c r="G1447" s="72">
        <v>767787</v>
      </c>
      <c r="P1447" s="26"/>
    </row>
    <row r="1448" spans="1:16" ht="14.5">
      <c r="A1448" s="3" t="s">
        <v>38</v>
      </c>
      <c r="B1448" s="12" t="s">
        <v>2819</v>
      </c>
      <c r="C1448" s="49" t="s">
        <v>4949</v>
      </c>
      <c r="D1448" s="41" t="str">
        <f ca="1">IFERROR(__xludf.DUMMYFUNCTION("IFERROR(ARRAYFORMULA(REGEXEXTRACT(C1448,""^(?:https?:\/\/)?(?:[^@\n]+@)?(?:www\.)?([^:\/\n]+)"")),"""")"),"customhomesonline.com.au")</f>
        <v>customhomesonline.com.au</v>
      </c>
      <c r="E1448" s="26" t="str">
        <f ca="1">IFERROR(__xludf.DUMMYFUNCTION("""COMPUTED_VALUE"""),"New")</f>
        <v>New</v>
      </c>
      <c r="F1448" s="72">
        <v>38</v>
      </c>
      <c r="G1448" s="72">
        <v>1145</v>
      </c>
      <c r="J1448" s="27" t="s">
        <v>4950</v>
      </c>
      <c r="K1448" s="27" t="s">
        <v>4951</v>
      </c>
      <c r="L1448" s="112"/>
      <c r="M1448" s="27" t="s">
        <v>3117</v>
      </c>
      <c r="N1448" s="48">
        <v>46044</v>
      </c>
      <c r="O1448" s="48">
        <v>46086</v>
      </c>
      <c r="P1448" s="26"/>
    </row>
    <row r="1449" spans="1:16" ht="14.5">
      <c r="A1449" s="3" t="s">
        <v>38</v>
      </c>
      <c r="B1449" s="12" t="s">
        <v>2819</v>
      </c>
      <c r="C1449" s="46" t="s">
        <v>4952</v>
      </c>
      <c r="D1449" s="41" t="str">
        <f ca="1">IFERROR(__xludf.DUMMYFUNCTION("IFERROR(ARRAYFORMULA(REGEXEXTRACT(C1449,""^(?:https?:\/\/)?(?:[^@\n]+@)?(?:www\.)?([^:\/\n]+)"")),"""")"),"az.ezilon.com")</f>
        <v>az.ezilon.com</v>
      </c>
      <c r="E1449" s="26" t="str">
        <f ca="1">IFERROR(__xludf.DUMMYFUNCTION("""COMPUTED_VALUE"""),"New")</f>
        <v>New</v>
      </c>
      <c r="F1449" s="72">
        <v>53</v>
      </c>
      <c r="G1449" s="72">
        <v>31982</v>
      </c>
      <c r="P1449" s="26"/>
    </row>
    <row r="1450" spans="1:16" ht="14.5">
      <c r="A1450" s="3" t="s">
        <v>38</v>
      </c>
      <c r="B1450" s="12" t="s">
        <v>2819</v>
      </c>
      <c r="C1450" s="46" t="s">
        <v>4953</v>
      </c>
      <c r="D1450" s="41" t="str">
        <f ca="1">IFERROR(__xludf.DUMMYFUNCTION("IFERROR(ARRAYFORMULA(REGEXEXTRACT(C1450,""^(?:https?:\/\/)?(?:[^@\n]+@)?(?:www\.)?([^:\/\n]+)"")),"""")"),"brisbane-australia.com")</f>
        <v>brisbane-australia.com</v>
      </c>
      <c r="E1450" s="26" t="str">
        <f ca="1">IFERROR(__xludf.DUMMYFUNCTION("""COMPUTED_VALUE"""),"New")</f>
        <v>New</v>
      </c>
      <c r="F1450" s="72">
        <v>41</v>
      </c>
      <c r="G1450" s="72">
        <v>1307</v>
      </c>
      <c r="P1450" s="26"/>
    </row>
    <row r="1451" spans="1:16" ht="14.5">
      <c r="A1451" s="3" t="s">
        <v>38</v>
      </c>
      <c r="B1451" s="12" t="s">
        <v>2819</v>
      </c>
      <c r="C1451" s="46" t="s">
        <v>4954</v>
      </c>
      <c r="D1451" s="41" t="str">
        <f ca="1">IFERROR(__xludf.DUMMYFUNCTION("IFERROR(ARRAYFORMULA(REGEXEXTRACT(C1451,""^(?:https?:\/\/)?(?:[^@\n]+@)?(?:www\.)?([^:\/\n]+)"")),"""")"),"thesenior.com.au")</f>
        <v>thesenior.com.au</v>
      </c>
      <c r="E1451" s="26" t="str">
        <f ca="1">IFERROR(__xludf.DUMMYFUNCTION("""COMPUTED_VALUE"""),"New")</f>
        <v>New</v>
      </c>
      <c r="F1451" s="72">
        <v>60</v>
      </c>
      <c r="G1451" s="72">
        <v>14867</v>
      </c>
      <c r="P1451" s="26"/>
    </row>
    <row r="1452" spans="1:16" ht="14.5">
      <c r="A1452" s="3" t="s">
        <v>38</v>
      </c>
      <c r="B1452" s="12" t="s">
        <v>2819</v>
      </c>
      <c r="C1452" s="46" t="s">
        <v>4955</v>
      </c>
      <c r="D1452" s="41" t="str">
        <f ca="1">IFERROR(__xludf.DUMMYFUNCTION("IFERROR(ARRAYFORMULA(REGEXEXTRACT(C1452,""^(?:https?:\/\/)?(?:[^@\n]+@)?(?:www\.)?([^:\/\n]+)"")),"""")"),"truelocal.com.au")</f>
        <v>truelocal.com.au</v>
      </c>
      <c r="E1452" s="26" t="str">
        <f ca="1">IFERROR(__xludf.DUMMYFUNCTION("""COMPUTED_VALUE"""),"New")</f>
        <v>New</v>
      </c>
      <c r="F1452" s="72">
        <v>79</v>
      </c>
      <c r="G1452" s="72">
        <v>18777</v>
      </c>
      <c r="P1452" s="26"/>
    </row>
    <row r="1453" spans="1:16" ht="14.5">
      <c r="A1453" s="3" t="s">
        <v>38</v>
      </c>
      <c r="B1453" s="12" t="s">
        <v>2819</v>
      </c>
      <c r="C1453" s="49" t="s">
        <v>4956</v>
      </c>
      <c r="D1453" s="41" t="str">
        <f ca="1">IFERROR(__xludf.DUMMYFUNCTION("IFERROR(ARRAYFORMULA(REGEXEXTRACT(C1453,""^(?:https?:\/\/)?(?:[^@\n]+@)?(?:www\.)?([^:\/\n]+)"")),"""")"),"batemansbaypost.com.au")</f>
        <v>batemansbaypost.com.au</v>
      </c>
      <c r="E1453" s="26" t="str">
        <f ca="1">IFERROR(__xludf.DUMMYFUNCTION("""COMPUTED_VALUE"""),"New")</f>
        <v>New</v>
      </c>
      <c r="F1453" s="72">
        <v>45</v>
      </c>
      <c r="G1453" s="72">
        <v>3540</v>
      </c>
      <c r="H1453" s="27" t="s">
        <v>4957</v>
      </c>
      <c r="I1453" s="27" t="s">
        <v>4958</v>
      </c>
      <c r="K1453" s="27" t="s">
        <v>3772</v>
      </c>
      <c r="L1453" s="112"/>
      <c r="M1453" s="27" t="s">
        <v>3117</v>
      </c>
      <c r="N1453" s="48">
        <v>46044</v>
      </c>
      <c r="O1453" s="48">
        <v>46086</v>
      </c>
      <c r="P1453" s="26"/>
    </row>
    <row r="1454" spans="1:16" ht="14.5">
      <c r="A1454" s="3" t="s">
        <v>38</v>
      </c>
      <c r="B1454" s="12" t="s">
        <v>2819</v>
      </c>
      <c r="C1454" s="46" t="s">
        <v>4959</v>
      </c>
      <c r="D1454" s="41" t="str">
        <f ca="1">IFERROR(__xludf.DUMMYFUNCTION("IFERROR(ARRAYFORMULA(REGEXEXTRACT(C1454,""^(?:https?:\/\/)?(?:[^@\n]+@)?(?:www\.)?([^:\/\n]+)"")),"""")"),"nationaldirectory.com.au")</f>
        <v>nationaldirectory.com.au</v>
      </c>
      <c r="E1454" s="26" t="str">
        <f ca="1">IFERROR(__xludf.DUMMYFUNCTION("""COMPUTED_VALUE"""),"New")</f>
        <v>New</v>
      </c>
      <c r="F1454" s="72">
        <v>47</v>
      </c>
      <c r="G1454" s="72">
        <v>2684</v>
      </c>
      <c r="P1454" s="26"/>
    </row>
    <row r="1455" spans="1:16" ht="14.5">
      <c r="A1455" s="3" t="s">
        <v>38</v>
      </c>
      <c r="B1455" s="12" t="s">
        <v>2820</v>
      </c>
      <c r="C1455" s="46" t="s">
        <v>4960</v>
      </c>
      <c r="D1455" s="41" t="str">
        <f ca="1">IFERROR(__xludf.DUMMYFUNCTION("IFERROR(ARRAYFORMULA(REGEXEXTRACT(C1455,""^(?:https?:\/\/)?(?:[^@\n]+@)?(?:www\.)?([^:\/\n]+)"")),"""")"),"worldpopulationreview.com")</f>
        <v>worldpopulationreview.com</v>
      </c>
      <c r="E1455" s="26" t="str">
        <f ca="1">IFERROR(__xludf.DUMMYFUNCTION("""COMPUTED_VALUE"""),"New")</f>
        <v>New</v>
      </c>
      <c r="F1455" s="72">
        <v>86</v>
      </c>
      <c r="G1455" s="72">
        <v>2534430</v>
      </c>
      <c r="P1455" s="26"/>
    </row>
    <row r="1456" spans="1:16" ht="14.5">
      <c r="A1456" s="3" t="s">
        <v>38</v>
      </c>
      <c r="B1456" s="12" t="s">
        <v>2820</v>
      </c>
      <c r="C1456" s="46" t="s">
        <v>4961</v>
      </c>
      <c r="D1456" s="41" t="str">
        <f ca="1">IFERROR(__xludf.DUMMYFUNCTION("IFERROR(ARRAYFORMULA(REGEXEXTRACT(C1456,""^(?:https?:\/\/)?(?:[^@\n]+@)?(?:www\.)?([^:\/\n]+)"")),"""")"),"ecomena.org")</f>
        <v>ecomena.org</v>
      </c>
      <c r="E1456" s="26" t="str">
        <f ca="1">IFERROR(__xludf.DUMMYFUNCTION("""COMPUTED_VALUE"""),"New")</f>
        <v>New</v>
      </c>
      <c r="F1456" s="72">
        <v>58</v>
      </c>
      <c r="G1456" s="72">
        <v>13628</v>
      </c>
      <c r="P1456" s="26"/>
    </row>
    <row r="1457" spans="1:16" ht="14.5">
      <c r="A1457" s="3" t="s">
        <v>38</v>
      </c>
      <c r="B1457" s="12" t="s">
        <v>2820</v>
      </c>
      <c r="C1457" s="49" t="s">
        <v>4962</v>
      </c>
      <c r="D1457" s="41" t="str">
        <f ca="1">IFERROR(__xludf.DUMMYFUNCTION("IFERROR(ARRAYFORMULA(REGEXEXTRACT(C1457,""^(?:https?:\/\/)?(?:[^@\n]+@)?(?:www\.)?([^:\/\n]+)"")),"""")"),"payaca.com")</f>
        <v>payaca.com</v>
      </c>
      <c r="E1457" s="26" t="str">
        <f ca="1">IFERROR(__xludf.DUMMYFUNCTION("""COMPUTED_VALUE"""),"New")</f>
        <v>New</v>
      </c>
      <c r="F1457" s="72">
        <v>38</v>
      </c>
      <c r="G1457" s="72">
        <v>1642</v>
      </c>
      <c r="J1457" s="27" t="s">
        <v>4963</v>
      </c>
      <c r="K1457" s="27" t="s">
        <v>3795</v>
      </c>
      <c r="L1457" s="112"/>
      <c r="M1457" s="27" t="s">
        <v>3117</v>
      </c>
      <c r="N1457" s="48">
        <v>46044</v>
      </c>
      <c r="O1457" s="48">
        <v>46086</v>
      </c>
      <c r="P1457" s="26"/>
    </row>
    <row r="1458" spans="1:16" ht="14.5">
      <c r="A1458" s="3" t="s">
        <v>38</v>
      </c>
      <c r="B1458" s="12" t="s">
        <v>2820</v>
      </c>
      <c r="C1458" s="46" t="s">
        <v>4964</v>
      </c>
      <c r="D1458" s="41" t="str">
        <f ca="1">IFERROR(__xludf.DUMMYFUNCTION("IFERROR(ARRAYFORMULA(REGEXEXTRACT(C1458,""^(?:https?:\/\/)?(?:[^@\n]+@)?(?:www\.)?([^:\/\n]+)"")),"""")"),"spacedaily.com")</f>
        <v>spacedaily.com</v>
      </c>
      <c r="E1458" s="26" t="str">
        <f ca="1">IFERROR(__xludf.DUMMYFUNCTION("""COMPUTED_VALUE"""),"New")</f>
        <v>New</v>
      </c>
      <c r="F1458" s="72">
        <v>73</v>
      </c>
      <c r="G1458" s="72">
        <v>11908</v>
      </c>
      <c r="P1458" s="26"/>
    </row>
    <row r="1459" spans="1:16" ht="14.5">
      <c r="A1459" s="3" t="s">
        <v>38</v>
      </c>
      <c r="B1459" s="12" t="s">
        <v>2820</v>
      </c>
      <c r="C1459" s="46" t="s">
        <v>4965</v>
      </c>
      <c r="D1459" s="41" t="str">
        <f ca="1">IFERROR(__xludf.DUMMYFUNCTION("IFERROR(ARRAYFORMULA(REGEXEXTRACT(C1459,""^(?:https?:\/\/)?(?:[^@\n]+@)?(?:www\.)?([^:\/\n]+)"")),"""")"),"ases.org")</f>
        <v>ases.org</v>
      </c>
      <c r="E1459" s="26" t="str">
        <f ca="1">IFERROR(__xludf.DUMMYFUNCTION("""COMPUTED_VALUE"""),"New")</f>
        <v>New</v>
      </c>
      <c r="F1459" s="72">
        <v>71</v>
      </c>
      <c r="G1459" s="72">
        <v>2649</v>
      </c>
      <c r="P1459" s="26"/>
    </row>
    <row r="1460" spans="1:16" ht="14.5">
      <c r="A1460" s="3" t="s">
        <v>38</v>
      </c>
      <c r="B1460" s="12" t="s">
        <v>2820</v>
      </c>
      <c r="C1460" s="46" t="s">
        <v>4966</v>
      </c>
      <c r="D1460" s="41" t="str">
        <f ca="1">IFERROR(__xludf.DUMMYFUNCTION("IFERROR(ARRAYFORMULA(REGEXEXTRACT(C1460,""^(?:https?:\/\/)?(?:[^@\n]+@)?(?:www\.)?([^:\/\n]+)"")),"""")"),"popularmechanics.com")</f>
        <v>popularmechanics.com</v>
      </c>
      <c r="E1460" s="26" t="str">
        <f ca="1">IFERROR(__xludf.DUMMYFUNCTION("""COMPUTED_VALUE"""),"New")</f>
        <v>New</v>
      </c>
      <c r="F1460" s="72">
        <v>86</v>
      </c>
      <c r="G1460" s="72">
        <v>406317</v>
      </c>
      <c r="P1460" s="26"/>
    </row>
    <row r="1461" spans="1:16" ht="14.5">
      <c r="A1461" s="3" t="s">
        <v>38</v>
      </c>
      <c r="B1461" s="12" t="s">
        <v>2820</v>
      </c>
      <c r="C1461" s="46" t="s">
        <v>4967</v>
      </c>
      <c r="D1461" s="41" t="str">
        <f ca="1">IFERROR(__xludf.DUMMYFUNCTION("IFERROR(ARRAYFORMULA(REGEXEXTRACT(C1461,""^(?:https?:\/\/)?(?:[^@\n]+@)?(?:www\.)?([^:\/\n]+)"")),"""")"),"constructionreviewonline.com")</f>
        <v>constructionreviewonline.com</v>
      </c>
      <c r="E1461" s="26" t="str">
        <f ca="1">IFERROR(__xludf.DUMMYFUNCTION("""COMPUTED_VALUE"""),"New")</f>
        <v>New</v>
      </c>
      <c r="F1461" s="72">
        <v>67</v>
      </c>
      <c r="G1461" s="72">
        <v>1155</v>
      </c>
      <c r="P1461" s="26"/>
    </row>
    <row r="1462" spans="1:16" ht="14.5">
      <c r="A1462" s="3" t="s">
        <v>38</v>
      </c>
      <c r="B1462" s="12" t="s">
        <v>2820</v>
      </c>
      <c r="C1462" s="49" t="s">
        <v>4968</v>
      </c>
      <c r="D1462" s="41" t="str">
        <f ca="1">IFERROR(__xludf.DUMMYFUNCTION("IFERROR(ARRAYFORMULA(REGEXEXTRACT(C1462,""^(?:https?:\/\/)?(?:[^@\n]+@)?(?:www\.)?([^:\/\n]+)"")),"""")"),"saveonenergy.com")</f>
        <v>saveonenergy.com</v>
      </c>
      <c r="E1462" s="26" t="str">
        <f ca="1">IFERROR(__xludf.DUMMYFUNCTION("""COMPUTED_VALUE"""),"New")</f>
        <v>New</v>
      </c>
      <c r="F1462" s="72">
        <v>71</v>
      </c>
      <c r="G1462" s="72">
        <v>10669</v>
      </c>
      <c r="H1462" s="27" t="s">
        <v>4969</v>
      </c>
      <c r="I1462" s="38" t="s">
        <v>4970</v>
      </c>
      <c r="J1462" s="38" t="s">
        <v>4971</v>
      </c>
      <c r="K1462" s="27" t="s">
        <v>3795</v>
      </c>
      <c r="L1462" s="112"/>
      <c r="M1462" s="27" t="s">
        <v>3117</v>
      </c>
      <c r="N1462" s="48">
        <v>46044</v>
      </c>
      <c r="P1462" s="26"/>
    </row>
    <row r="1463" spans="1:16" ht="14.5" hidden="1">
      <c r="A1463" s="3" t="s">
        <v>38</v>
      </c>
      <c r="B1463" s="12" t="s">
        <v>2820</v>
      </c>
      <c r="C1463" s="46" t="s">
        <v>4972</v>
      </c>
      <c r="D1463" s="41" t="str">
        <f ca="1">IFERROR(__xludf.DUMMYFUNCTION("IFERROR(ARRAYFORMULA(REGEXEXTRACT(C1463,""^(?:https?:\/\/)?(?:[^@\n]+@)?(?:www\.)?([^:\/\n]+)"")),"""")"),"gharpedia.com")</f>
        <v>gharpedia.com</v>
      </c>
      <c r="E1463" s="26" t="str">
        <f ca="1">IFERROR(__xludf.DUMMYFUNCTION("""COMPUTED_VALUE"""),"Already Exists")</f>
        <v>Already Exists</v>
      </c>
      <c r="F1463" s="72">
        <v>58</v>
      </c>
      <c r="G1463" s="72">
        <v>29979</v>
      </c>
      <c r="P1463" s="26"/>
    </row>
    <row r="1464" spans="1:16" ht="14.5">
      <c r="A1464" s="3" t="s">
        <v>38</v>
      </c>
      <c r="B1464" s="12" t="s">
        <v>2820</v>
      </c>
      <c r="C1464" s="46" t="s">
        <v>4973</v>
      </c>
      <c r="D1464" s="41" t="str">
        <f ca="1">IFERROR(__xludf.DUMMYFUNCTION("IFERROR(ARRAYFORMULA(REGEXEXTRACT(C1464,""^(?:https?:\/\/)?(?:[^@\n]+@)?(?:www\.)?([^:\/\n]+)"")),"""")"),"solarfeeds.com")</f>
        <v>solarfeeds.com</v>
      </c>
      <c r="E1464" s="26" t="str">
        <f ca="1">IFERROR(__xludf.DUMMYFUNCTION("""COMPUTED_VALUE"""),"New")</f>
        <v>New</v>
      </c>
      <c r="F1464" s="72">
        <v>47</v>
      </c>
      <c r="G1464" s="72">
        <v>1761</v>
      </c>
      <c r="P1464" s="26"/>
    </row>
    <row r="1465" spans="1:16" ht="14.5" hidden="1">
      <c r="A1465" s="3" t="s">
        <v>38</v>
      </c>
      <c r="B1465" s="12" t="s">
        <v>2820</v>
      </c>
      <c r="C1465" s="46" t="s">
        <v>4974</v>
      </c>
      <c r="D1465" s="41" t="str">
        <f ca="1">IFERROR(__xludf.DUMMYFUNCTION("IFERROR(ARRAYFORMULA(REGEXEXTRACT(C1465,""^(?:https?:\/\/)?(?:[^@\n]+@)?(?:www\.)?([^:\/\n]+)"")),"""")"),"homecrux.com")</f>
        <v>homecrux.com</v>
      </c>
      <c r="E1465" s="26" t="str">
        <f ca="1">IFERROR(__xludf.DUMMYFUNCTION("""COMPUTED_VALUE"""),"Already Exists")</f>
        <v>Already Exists</v>
      </c>
      <c r="F1465" s="72">
        <v>63</v>
      </c>
      <c r="G1465" s="72">
        <v>4775</v>
      </c>
      <c r="P1465" s="26"/>
    </row>
    <row r="1466" spans="1:16" ht="14.5" hidden="1">
      <c r="A1466" s="3" t="s">
        <v>38</v>
      </c>
      <c r="B1466" s="12" t="s">
        <v>2820</v>
      </c>
      <c r="C1466" s="46" t="s">
        <v>4975</v>
      </c>
      <c r="D1466" s="41" t="str">
        <f ca="1">IFERROR(__xludf.DUMMYFUNCTION("IFERROR(ARRAYFORMULA(REGEXEXTRACT(C1466,""^(?:https?:\/\/)?(?:[^@\n]+@)?(?:www\.)?([^:\/\n]+)"")),"""")"),"thursd.com")</f>
        <v>thursd.com</v>
      </c>
      <c r="E1466" s="26" t="str">
        <f ca="1">IFERROR(__xludf.DUMMYFUNCTION("""COMPUTED_VALUE"""),"Already Exists")</f>
        <v>Already Exists</v>
      </c>
      <c r="F1466" s="72">
        <v>64</v>
      </c>
      <c r="G1466" s="72">
        <v>130782</v>
      </c>
      <c r="P1466" s="26"/>
    </row>
    <row r="1467" spans="1:16" ht="14.5">
      <c r="A1467" s="3" t="s">
        <v>38</v>
      </c>
      <c r="B1467" s="12" t="s">
        <v>2820</v>
      </c>
      <c r="C1467" s="46" t="s">
        <v>4976</v>
      </c>
      <c r="D1467" s="41" t="str">
        <f ca="1">IFERROR(__xludf.DUMMYFUNCTION("IFERROR(ARRAYFORMULA(REGEXEXTRACT(C1467,""^(?:https?:\/\/)?(?:[^@\n]+@)?(?:www\.)?([^:\/\n]+)"")),"""")"),"aeroleads.com")</f>
        <v>aeroleads.com</v>
      </c>
      <c r="E1467" s="26" t="str">
        <f ca="1">IFERROR(__xludf.DUMMYFUNCTION("""COMPUTED_VALUE"""),"New")</f>
        <v>New</v>
      </c>
      <c r="F1467" s="72">
        <v>73</v>
      </c>
      <c r="G1467" s="72">
        <v>4551</v>
      </c>
      <c r="P1467" s="26"/>
    </row>
    <row r="1468" spans="1:16" ht="14.5" hidden="1">
      <c r="A1468" s="3" t="s">
        <v>38</v>
      </c>
      <c r="B1468" s="12" t="s">
        <v>2820</v>
      </c>
      <c r="C1468" s="46" t="s">
        <v>4977</v>
      </c>
      <c r="D1468" s="41" t="str">
        <f ca="1">IFERROR(__xludf.DUMMYFUNCTION("IFERROR(ARRAYFORMULA(REGEXEXTRACT(C1468,""^(?:https?:\/\/)?(?:[^@\n]+@)?(?:www\.)?([^:\/\n]+)"")),"""")"),"businessnewsthisweek.com")</f>
        <v>businessnewsthisweek.com</v>
      </c>
      <c r="E1468" s="26" t="str">
        <f ca="1">IFERROR(__xludf.DUMMYFUNCTION("""COMPUTED_VALUE"""),"Already Exists")</f>
        <v>Already Exists</v>
      </c>
      <c r="F1468" s="72">
        <v>74</v>
      </c>
      <c r="G1468" s="72">
        <v>19467</v>
      </c>
      <c r="P1468" s="26"/>
    </row>
    <row r="1469" spans="1:16" ht="14.5">
      <c r="A1469" s="3" t="s">
        <v>38</v>
      </c>
      <c r="B1469" s="12" t="s">
        <v>2820</v>
      </c>
      <c r="C1469" s="49" t="s">
        <v>4978</v>
      </c>
      <c r="D1469" s="41" t="str">
        <f ca="1">IFERROR(__xludf.DUMMYFUNCTION("IFERROR(ARRAYFORMULA(REGEXEXTRACT(C1469,""^(?:https?:\/\/)?(?:[^@\n]+@)?(?:www\.)?([^:\/\n]+)"")),"""")"),"riverjournalonline.com")</f>
        <v>riverjournalonline.com</v>
      </c>
      <c r="E1469" s="26" t="str">
        <f ca="1">IFERROR(__xludf.DUMMYFUNCTION("""COMPUTED_VALUE"""),"Already Exists")</f>
        <v>Already Exists</v>
      </c>
      <c r="F1469" s="72">
        <v>68</v>
      </c>
      <c r="G1469" s="72">
        <v>1173</v>
      </c>
      <c r="H1469" s="27" t="s">
        <v>4979</v>
      </c>
      <c r="I1469" s="27" t="s">
        <v>4980</v>
      </c>
      <c r="K1469" s="27" t="s">
        <v>3772</v>
      </c>
      <c r="L1469" s="112"/>
      <c r="M1469" s="27" t="s">
        <v>3117</v>
      </c>
      <c r="N1469" s="48">
        <v>46044</v>
      </c>
      <c r="O1469" s="48">
        <v>46086</v>
      </c>
      <c r="P1469" s="26"/>
    </row>
    <row r="1470" spans="1:16" ht="14.5">
      <c r="A1470" s="3" t="s">
        <v>38</v>
      </c>
      <c r="B1470" s="12" t="s">
        <v>2820</v>
      </c>
      <c r="C1470" s="46" t="s">
        <v>4981</v>
      </c>
      <c r="D1470" s="41" t="str">
        <f ca="1">IFERROR(__xludf.DUMMYFUNCTION("IFERROR(ARRAYFORMULA(REGEXEXTRACT(C1470,""^(?:https?:\/\/)?(?:[^@\n]+@)?(?:www\.)?([^:\/\n]+)"")),"""")"),"guruhitech.com")</f>
        <v>guruhitech.com</v>
      </c>
      <c r="E1470" s="26" t="str">
        <f ca="1">IFERROR(__xludf.DUMMYFUNCTION("""COMPUTED_VALUE"""),"New")</f>
        <v>New</v>
      </c>
      <c r="F1470" s="72">
        <v>34</v>
      </c>
      <c r="G1470" s="72">
        <v>10356</v>
      </c>
      <c r="P1470" s="26"/>
    </row>
    <row r="1471" spans="1:16" ht="14.5" hidden="1">
      <c r="A1471" s="3" t="s">
        <v>38</v>
      </c>
      <c r="B1471" s="12" t="s">
        <v>2820</v>
      </c>
      <c r="C1471" s="46" t="s">
        <v>4982</v>
      </c>
      <c r="D1471" s="41" t="str">
        <f ca="1">IFERROR(__xludf.DUMMYFUNCTION("IFERROR(ARRAYFORMULA(REGEXEXTRACT(C1471,""^(?:https?:\/\/)?(?:[^@\n]+@)?(?:www\.)?([^:\/\n]+)"")),"""")"),"otsnews.co.uk")</f>
        <v>otsnews.co.uk</v>
      </c>
      <c r="E1471" s="26" t="str">
        <f ca="1">IFERROR(__xludf.DUMMYFUNCTION("""COMPUTED_VALUE"""),"Already Exists")</f>
        <v>Already Exists</v>
      </c>
      <c r="F1471" s="72">
        <v>51</v>
      </c>
      <c r="G1471" s="72">
        <v>3929</v>
      </c>
      <c r="P1471" s="26"/>
    </row>
    <row r="1472" spans="1:16" ht="14.5">
      <c r="A1472" s="3" t="s">
        <v>38</v>
      </c>
      <c r="B1472" s="12" t="s">
        <v>2820</v>
      </c>
      <c r="C1472" s="46" t="s">
        <v>4983</v>
      </c>
      <c r="D1472" s="41" t="str">
        <f ca="1">IFERROR(__xludf.DUMMYFUNCTION("IFERROR(ARRAYFORMULA(REGEXEXTRACT(C1472,""^(?:https?:\/\/)?(?:[^@\n]+@)?(?:www\.)?([^:\/\n]+)"")),"""")"),"pdxtoday.6amcity.com")</f>
        <v>pdxtoday.6amcity.com</v>
      </c>
      <c r="E1472" s="26" t="str">
        <f ca="1">IFERROR(__xludf.DUMMYFUNCTION("""COMPUTED_VALUE"""),"New")</f>
        <v>New</v>
      </c>
      <c r="F1472" s="72">
        <v>76</v>
      </c>
      <c r="G1472" s="72">
        <v>132353</v>
      </c>
      <c r="P1472" s="26"/>
    </row>
    <row r="1473" spans="1:16" ht="14.5">
      <c r="A1473" s="3" t="s">
        <v>38</v>
      </c>
      <c r="B1473" s="12" t="s">
        <v>2820</v>
      </c>
      <c r="C1473" s="46" t="s">
        <v>4984</v>
      </c>
      <c r="D1473" s="41" t="str">
        <f ca="1">IFERROR(__xludf.DUMMYFUNCTION("IFERROR(ARRAYFORMULA(REGEXEXTRACT(C1473,""^(?:https?:\/\/)?(?:[^@\n]+@)?(?:www\.)?([^:\/\n]+)"")),"""")"),"outdoorproject.com")</f>
        <v>outdoorproject.com</v>
      </c>
      <c r="E1473" s="26" t="str">
        <f ca="1">IFERROR(__xludf.DUMMYFUNCTION("""COMPUTED_VALUE"""),"New")</f>
        <v>New</v>
      </c>
      <c r="F1473" s="72">
        <v>72</v>
      </c>
      <c r="G1473" s="72">
        <v>2844</v>
      </c>
      <c r="P1473" s="26"/>
    </row>
    <row r="1474" spans="1:16" ht="14.5">
      <c r="A1474" s="3" t="s">
        <v>38</v>
      </c>
      <c r="B1474" s="57" t="s">
        <v>2821</v>
      </c>
      <c r="C1474" s="46" t="s">
        <v>4985</v>
      </c>
      <c r="D1474" s="41" t="str">
        <f ca="1">IFERROR(__xludf.DUMMYFUNCTION("IFERROR(ARRAYFORMULA(REGEXEXTRACT(C1474,""^(?:https?:\/\/)?(?:[^@\n]+@)?(?:www\.)?([^:\/\n]+)"")),"""")"),"wgsmartsavings.com")</f>
        <v>wgsmartsavings.com</v>
      </c>
      <c r="E1474" s="26" t="str">
        <f ca="1">IFERROR(__xludf.DUMMYFUNCTION("""COMPUTED_VALUE"""),"New")</f>
        <v>New</v>
      </c>
      <c r="F1474" s="72">
        <v>47</v>
      </c>
      <c r="G1474" s="72">
        <v>1292</v>
      </c>
      <c r="P1474" s="26"/>
    </row>
    <row r="1475" spans="1:16" ht="14.5">
      <c r="A1475" s="3" t="s">
        <v>38</v>
      </c>
      <c r="B1475" s="12" t="s">
        <v>2821</v>
      </c>
      <c r="C1475" s="46" t="s">
        <v>4986</v>
      </c>
      <c r="D1475" s="41" t="str">
        <f ca="1">IFERROR(__xludf.DUMMYFUNCTION("IFERROR(ARRAYFORMULA(REGEXEXTRACT(C1475,""^(?:https?:\/\/)?(?:[^@\n]+@)?(?:www\.)?([^:\/\n]+)"")),"""")"),"bellflower-grapefruit-egek.squarespace.com")</f>
        <v>bellflower-grapefruit-egek.squarespace.com</v>
      </c>
      <c r="E1475" s="26" t="str">
        <f ca="1">IFERROR(__xludf.DUMMYFUNCTION("""COMPUTED_VALUE"""),"New")</f>
        <v>New</v>
      </c>
      <c r="F1475" s="72">
        <v>95</v>
      </c>
      <c r="G1475" s="72">
        <v>3752534</v>
      </c>
      <c r="P1475" s="26"/>
    </row>
    <row r="1476" spans="1:16" ht="14.5">
      <c r="A1476" s="3" t="s">
        <v>38</v>
      </c>
      <c r="B1476" s="12" t="s">
        <v>2821</v>
      </c>
      <c r="C1476" s="46" t="s">
        <v>4987</v>
      </c>
      <c r="D1476" s="41" t="str">
        <f ca="1">IFERROR(__xludf.DUMMYFUNCTION("IFERROR(ARRAYFORMULA(REGEXEXTRACT(C1476,""^(?:https?:\/\/)?(?:[^@\n]+@)?(?:www\.)?([^:\/\n]+)"")),"""")"),"appleplumbing.applicantpro.com")</f>
        <v>appleplumbing.applicantpro.com</v>
      </c>
      <c r="E1476" s="26" t="str">
        <f ca="1">IFERROR(__xludf.DUMMYFUNCTION("""COMPUTED_VALUE"""),"New")</f>
        <v>New</v>
      </c>
      <c r="F1476" s="72">
        <v>83</v>
      </c>
      <c r="G1476" s="72">
        <v>57362</v>
      </c>
      <c r="P1476" s="26"/>
    </row>
    <row r="1477" spans="1:16" ht="14.5">
      <c r="A1477" s="3" t="s">
        <v>38</v>
      </c>
      <c r="B1477" s="12" t="s">
        <v>2821</v>
      </c>
      <c r="C1477" s="46" t="s">
        <v>4988</v>
      </c>
      <c r="D1477" s="41" t="str">
        <f ca="1">IFERROR(__xludf.DUMMYFUNCTION("IFERROR(ARRAYFORMULA(REGEXEXTRACT(C1477,""^(?:https?:\/\/)?(?:[^@\n]+@)?(?:www\.)?([^:\/\n]+)"")),"""")"),"carrollcountychamberofcommercemd.growthzoneapp.com")</f>
        <v>carrollcountychamberofcommercemd.growthzoneapp.com</v>
      </c>
      <c r="E1477" s="26" t="str">
        <f ca="1">IFERROR(__xludf.DUMMYFUNCTION("""COMPUTED_VALUE"""),"New")</f>
        <v>New</v>
      </c>
      <c r="F1477" s="72">
        <v>78</v>
      </c>
      <c r="G1477" s="72">
        <v>10719</v>
      </c>
      <c r="P1477" s="26"/>
    </row>
    <row r="1478" spans="1:16" ht="14.5">
      <c r="A1478" s="3" t="s">
        <v>38</v>
      </c>
      <c r="B1478" s="12" t="s">
        <v>2821</v>
      </c>
      <c r="C1478" s="46" t="s">
        <v>4989</v>
      </c>
      <c r="D1478" s="41" t="str">
        <f ca="1">IFERROR(__xludf.DUMMYFUNCTION("IFERROR(ARRAYFORMULA(REGEXEXTRACT(C1478,""^(?:https?:\/\/)?(?:[^@\n]+@)?(?:www\.)?([^:\/\n]+)"")),"""")"),"usboiler.net")</f>
        <v>usboiler.net</v>
      </c>
      <c r="E1478" s="26" t="str">
        <f ca="1">IFERROR(__xludf.DUMMYFUNCTION("""COMPUTED_VALUE"""),"New")</f>
        <v>New</v>
      </c>
      <c r="F1478" s="72">
        <v>53</v>
      </c>
      <c r="G1478" s="72">
        <v>8457</v>
      </c>
      <c r="P1478" s="26"/>
    </row>
    <row r="1479" spans="1:16" ht="14.5">
      <c r="A1479" s="3" t="s">
        <v>38</v>
      </c>
      <c r="B1479" s="12" t="s">
        <v>2821</v>
      </c>
      <c r="C1479" s="46" t="s">
        <v>4990</v>
      </c>
      <c r="D1479" s="41" t="str">
        <f ca="1">IFERROR(__xludf.DUMMYFUNCTION("IFERROR(ARRAYFORMULA(REGEXEXTRACT(C1479,""^(?:https?:\/\/)?(?:[^@\n]+@)?(?:www\.)?([^:\/\n]+)"")),"""")"),"bestplumbers.com")</f>
        <v>bestplumbers.com</v>
      </c>
      <c r="E1479" s="26" t="str">
        <f ca="1">IFERROR(__xludf.DUMMYFUNCTION("""COMPUTED_VALUE"""),"New")</f>
        <v>New</v>
      </c>
      <c r="F1479" s="72">
        <v>53</v>
      </c>
      <c r="G1479" s="72">
        <v>1925</v>
      </c>
      <c r="P1479" s="26"/>
    </row>
    <row r="1480" spans="1:16" ht="14.5">
      <c r="A1480" s="3" t="s">
        <v>38</v>
      </c>
      <c r="B1480" s="12" t="s">
        <v>2821</v>
      </c>
      <c r="C1480" s="46" t="s">
        <v>4991</v>
      </c>
      <c r="D1480" s="41" t="str">
        <f ca="1">IFERROR(__xludf.DUMMYFUNCTION("IFERROR(ARRAYFORMULA(REGEXEXTRACT(C1480,""^(?:https?:\/\/)?(?:[^@\n]+@)?(?:www\.)?([^:\/\n]+)"")),"""")"),"wpstudents.towson.edu")</f>
        <v>wpstudents.towson.edu</v>
      </c>
      <c r="E1480" s="26" t="str">
        <f ca="1">IFERROR(__xludf.DUMMYFUNCTION("""COMPUTED_VALUE"""),"New")</f>
        <v>New</v>
      </c>
      <c r="F1480" s="72">
        <v>76</v>
      </c>
      <c r="G1480" s="72">
        <v>108727</v>
      </c>
      <c r="P1480" s="26"/>
    </row>
    <row r="1481" spans="1:16" ht="14.5">
      <c r="A1481" s="3" t="s">
        <v>38</v>
      </c>
      <c r="B1481" s="12" t="s">
        <v>2821</v>
      </c>
      <c r="C1481" s="46" t="s">
        <v>4992</v>
      </c>
      <c r="D1481" s="41" t="str">
        <f ca="1">IFERROR(__xludf.DUMMYFUNCTION("IFERROR(ARRAYFORMULA(REGEXEXTRACT(C1481,""^(?:https?:\/\/)?(?:[^@\n]+@)?(?:www\.)?([^:\/\n]+)"")),"""")"),"mylocal.carrollcountytimes.com")</f>
        <v>mylocal.carrollcountytimes.com</v>
      </c>
      <c r="E1481" s="26" t="str">
        <f ca="1">IFERROR(__xludf.DUMMYFUNCTION("""COMPUTED_VALUE"""),"New")</f>
        <v>New</v>
      </c>
      <c r="F1481" s="72">
        <v>61</v>
      </c>
      <c r="G1481" s="72">
        <v>1212</v>
      </c>
      <c r="P1481" s="26"/>
    </row>
    <row r="1482" spans="1:16" ht="14.5" hidden="1">
      <c r="A1482" s="3" t="s">
        <v>38</v>
      </c>
      <c r="B1482" s="12" t="s">
        <v>2821</v>
      </c>
      <c r="C1482" s="46" t="s">
        <v>4993</v>
      </c>
      <c r="D1482" s="41" t="str">
        <f ca="1">IFERROR(__xludf.DUMMYFUNCTION("IFERROR(ARRAYFORMULA(REGEXEXTRACT(C1482,""^(?:https?:\/\/)?(?:[^@\n]+@)?(?:www\.)?([^:\/\n]+)"")),"""")"),"finance-monthly.com")</f>
        <v>finance-monthly.com</v>
      </c>
      <c r="E1482" s="26" t="str">
        <f ca="1">IFERROR(__xludf.DUMMYFUNCTION("""COMPUTED_VALUE"""),"Already Exists")</f>
        <v>Already Exists</v>
      </c>
      <c r="F1482" s="72">
        <v>72</v>
      </c>
      <c r="G1482" s="72">
        <v>167021</v>
      </c>
      <c r="P1482" s="26"/>
    </row>
    <row r="1483" spans="1:16" ht="14.5" hidden="1">
      <c r="A1483" s="3" t="s">
        <v>38</v>
      </c>
      <c r="B1483" s="12" t="s">
        <v>2821</v>
      </c>
      <c r="C1483" s="46" t="s">
        <v>4994</v>
      </c>
      <c r="D1483" s="41" t="str">
        <f ca="1">IFERROR(__xludf.DUMMYFUNCTION("IFERROR(ARRAYFORMULA(REGEXEXTRACT(C1483,""^(?:https?:\/\/)?(?:[^@\n]+@)?(?:www\.)?([^:\/\n]+)"")),"""")"),"southernmarylandchronicle.com")</f>
        <v>southernmarylandchronicle.com</v>
      </c>
      <c r="E1483" s="26" t="str">
        <f ca="1">IFERROR(__xludf.DUMMYFUNCTION("""COMPUTED_VALUE"""),"Already Exists")</f>
        <v>Already Exists</v>
      </c>
      <c r="F1483" s="72">
        <v>73</v>
      </c>
      <c r="G1483" s="72">
        <v>1217</v>
      </c>
      <c r="P1483" s="26"/>
    </row>
    <row r="1484" spans="1:16" ht="14.5" hidden="1">
      <c r="A1484" s="3" t="s">
        <v>38</v>
      </c>
      <c r="B1484" s="12" t="s">
        <v>2821</v>
      </c>
      <c r="C1484" s="46" t="s">
        <v>4995</v>
      </c>
      <c r="D1484" s="41" t="str">
        <f ca="1">IFERROR(__xludf.DUMMYFUNCTION("IFERROR(ARRAYFORMULA(REGEXEXTRACT(C1484,""^(?:https?:\/\/)?(?:[^@\n]+@)?(?:www\.)?([^:\/\n]+)"")),"""")"),"housereal.net")</f>
        <v>housereal.net</v>
      </c>
      <c r="E1484" s="26" t="str">
        <f ca="1">IFERROR(__xludf.DUMMYFUNCTION("""COMPUTED_VALUE"""),"Already Exists")</f>
        <v>Already Exists</v>
      </c>
      <c r="F1484" s="72">
        <v>59</v>
      </c>
      <c r="G1484" s="72">
        <v>2354</v>
      </c>
      <c r="P1484" s="26"/>
    </row>
    <row r="1485" spans="1:16" ht="14.5">
      <c r="A1485" s="3" t="s">
        <v>38</v>
      </c>
      <c r="B1485" s="12" t="s">
        <v>2821</v>
      </c>
      <c r="C1485" s="46" t="s">
        <v>4996</v>
      </c>
      <c r="D1485" s="41" t="str">
        <f ca="1">IFERROR(__xludf.DUMMYFUNCTION("IFERROR(ARRAYFORMULA(REGEXEXTRACT(C1485,""^(?:https?:\/\/)?(?:[^@\n]+@)?(?:www\.)?([^:\/\n]+)"")),"""")"),"paulteitelman.com")</f>
        <v>paulteitelman.com</v>
      </c>
      <c r="E1485" s="26" t="str">
        <f ca="1">IFERROR(__xludf.DUMMYFUNCTION("""COMPUTED_VALUE"""),"New")</f>
        <v>New</v>
      </c>
      <c r="F1485" s="72">
        <v>46</v>
      </c>
      <c r="G1485" s="72">
        <v>3407</v>
      </c>
      <c r="P1485" s="26"/>
    </row>
    <row r="1486" spans="1:16" ht="14.5">
      <c r="A1486" s="3" t="s">
        <v>38</v>
      </c>
      <c r="B1486" s="12" t="s">
        <v>2821</v>
      </c>
      <c r="C1486" s="46" t="s">
        <v>4997</v>
      </c>
      <c r="D1486" s="41" t="str">
        <f ca="1">IFERROR(__xludf.DUMMYFUNCTION("IFERROR(ARRAYFORMULA(REGEXEXTRACT(C1486,""^(?:https?:\/\/)?(?:[^@\n]+@)?(?:www\.)?([^:\/\n]+)"")),"""")"),"mylocal.capitalgazette.com")</f>
        <v>mylocal.capitalgazette.com</v>
      </c>
      <c r="E1486" s="26" t="str">
        <f ca="1">IFERROR(__xludf.DUMMYFUNCTION("""COMPUTED_VALUE"""),"New")</f>
        <v>New</v>
      </c>
      <c r="F1486" s="72">
        <v>74</v>
      </c>
      <c r="G1486" s="72">
        <v>8662</v>
      </c>
      <c r="P1486" s="26"/>
    </row>
    <row r="1487" spans="1:16" ht="14.5">
      <c r="A1487" s="3" t="s">
        <v>38</v>
      </c>
      <c r="B1487" s="71" t="s">
        <v>2822</v>
      </c>
      <c r="C1487" s="46" t="s">
        <v>4998</v>
      </c>
      <c r="D1487" s="41" t="str">
        <f ca="1">IFERROR(__xludf.DUMMYFUNCTION("IFERROR(ARRAYFORMULA(REGEXEXTRACT(C1487,""^(?:https?:\/\/)?(?:[^@\n]+@)?(?:www\.)?([^:\/\n]+)"")),"""")"),"kaplanfinancial.com")</f>
        <v>kaplanfinancial.com</v>
      </c>
      <c r="E1487" s="26" t="str">
        <f ca="1">IFERROR(__xludf.DUMMYFUNCTION("""COMPUTED_VALUE"""),"New")</f>
        <v>New</v>
      </c>
      <c r="F1487" s="72">
        <v>70</v>
      </c>
      <c r="G1487" s="72">
        <v>99925</v>
      </c>
      <c r="P1487" s="26"/>
    </row>
    <row r="1488" spans="1:16" ht="14.5">
      <c r="A1488" s="3" t="s">
        <v>38</v>
      </c>
      <c r="B1488" s="8" t="s">
        <v>2822</v>
      </c>
      <c r="C1488" s="46" t="s">
        <v>4999</v>
      </c>
      <c r="D1488" s="41" t="str">
        <f ca="1">IFERROR(__xludf.DUMMYFUNCTION("IFERROR(ARRAYFORMULA(REGEXEXTRACT(C1488,""^(?:https?:\/\/)?(?:[^@\n]+@)?(?:www\.)?([^:\/\n]+)"")),"""")"),"schweser.com")</f>
        <v>schweser.com</v>
      </c>
      <c r="E1488" s="26" t="str">
        <f ca="1">IFERROR(__xludf.DUMMYFUNCTION("""COMPUTED_VALUE"""),"New")</f>
        <v>New</v>
      </c>
      <c r="F1488" s="72">
        <v>53</v>
      </c>
      <c r="G1488" s="72">
        <v>39144</v>
      </c>
      <c r="P1488" s="26"/>
    </row>
    <row r="1489" spans="1:16" ht="14.5">
      <c r="A1489" s="3" t="s">
        <v>38</v>
      </c>
      <c r="B1489" s="8" t="s">
        <v>2822</v>
      </c>
      <c r="C1489" s="46" t="s">
        <v>5000</v>
      </c>
      <c r="D1489" s="41" t="str">
        <f ca="1">IFERROR(__xludf.DUMMYFUNCTION("IFERROR(ARRAYFORMULA(REGEXEXTRACT(C1489,""^(?:https?:\/\/)?(?:[^@\n]+@)?(?:www\.)?([^:\/\n]+)"")),"""")"),"ppi2pass.com")</f>
        <v>ppi2pass.com</v>
      </c>
      <c r="E1489" s="26" t="str">
        <f ca="1">IFERROR(__xludf.DUMMYFUNCTION("""COMPUTED_VALUE"""),"New")</f>
        <v>New</v>
      </c>
      <c r="F1489" s="72">
        <v>51</v>
      </c>
      <c r="G1489" s="72">
        <v>20436</v>
      </c>
      <c r="P1489" s="26"/>
    </row>
    <row r="1490" spans="1:16" ht="14.5">
      <c r="A1490" s="3" t="s">
        <v>38</v>
      </c>
      <c r="B1490" s="8" t="s">
        <v>2822</v>
      </c>
      <c r="C1490" s="49" t="s">
        <v>5001</v>
      </c>
      <c r="D1490" s="41" t="str">
        <f ca="1">IFERROR(__xludf.DUMMYFUNCTION("IFERROR(ARRAYFORMULA(REGEXEXTRACT(C1490,""^(?:https?:\/\/)?(?:[^@\n]+@)?(?:www\.)?([^:\/\n]+)"")),"""")"),"investing.io")</f>
        <v>investing.io</v>
      </c>
      <c r="E1490" s="26" t="str">
        <f ca="1">IFERROR(__xludf.DUMMYFUNCTION("""COMPUTED_VALUE"""),"New")</f>
        <v>New</v>
      </c>
      <c r="F1490" s="72">
        <v>71</v>
      </c>
      <c r="G1490" s="72">
        <v>1502</v>
      </c>
      <c r="H1490" s="27" t="s">
        <v>5002</v>
      </c>
      <c r="I1490" s="27" t="s">
        <v>5003</v>
      </c>
      <c r="K1490" s="27" t="s">
        <v>3829</v>
      </c>
      <c r="L1490" s="112"/>
      <c r="M1490" s="75" t="s">
        <v>3117</v>
      </c>
      <c r="N1490" s="48">
        <v>46043</v>
      </c>
      <c r="O1490" s="48">
        <v>46086</v>
      </c>
      <c r="P1490" s="26"/>
    </row>
    <row r="1491" spans="1:16" ht="14.5">
      <c r="A1491" s="3" t="s">
        <v>38</v>
      </c>
      <c r="B1491" s="8" t="s">
        <v>2822</v>
      </c>
      <c r="C1491" s="46" t="s">
        <v>5004</v>
      </c>
      <c r="D1491" s="41" t="str">
        <f ca="1">IFERROR(__xludf.DUMMYFUNCTION("IFERROR(ARRAYFORMULA(REGEXEXTRACT(C1491,""^(?:https?:\/\/)?(?:[^@\n]+@)?(?:www\.)?([^:\/\n]+)"")),"""")"),"crowdspring.com")</f>
        <v>crowdspring.com</v>
      </c>
      <c r="E1491" s="26" t="str">
        <f ca="1">IFERROR(__xludf.DUMMYFUNCTION("""COMPUTED_VALUE"""),"New")</f>
        <v>New</v>
      </c>
      <c r="F1491" s="72">
        <v>80</v>
      </c>
      <c r="G1491" s="72">
        <v>58185</v>
      </c>
      <c r="P1491" s="26"/>
    </row>
    <row r="1492" spans="1:16" ht="14.5">
      <c r="A1492" s="3" t="s">
        <v>38</v>
      </c>
      <c r="B1492" s="8" t="s">
        <v>2822</v>
      </c>
      <c r="C1492" s="49" t="s">
        <v>5005</v>
      </c>
      <c r="D1492" s="41" t="str">
        <f ca="1">IFERROR(__xludf.DUMMYFUNCTION("IFERROR(ARRAYFORMULA(REGEXEXTRACT(C1492,""^(?:https?:\/\/)?(?:[^@\n]+@)?(?:www\.)?([^:\/\n]+)"")),"""")"),"realestateskills.com")</f>
        <v>realestateskills.com</v>
      </c>
      <c r="E1492" s="26" t="str">
        <f ca="1">IFERROR(__xludf.DUMMYFUNCTION("""COMPUTED_VALUE"""),"New")</f>
        <v>New</v>
      </c>
      <c r="F1492" s="72">
        <v>58</v>
      </c>
      <c r="G1492" s="72">
        <v>21123</v>
      </c>
      <c r="H1492" s="27" t="s">
        <v>3236</v>
      </c>
      <c r="I1492" s="27" t="s">
        <v>3237</v>
      </c>
      <c r="J1492" s="27" t="s">
        <v>5006</v>
      </c>
      <c r="K1492" s="27" t="s">
        <v>3853</v>
      </c>
      <c r="L1492" s="112"/>
      <c r="M1492" s="75" t="s">
        <v>3117</v>
      </c>
      <c r="N1492" s="48">
        <v>46043</v>
      </c>
      <c r="P1492" s="26"/>
    </row>
    <row r="1493" spans="1:16" ht="14.5">
      <c r="A1493" s="3" t="s">
        <v>38</v>
      </c>
      <c r="B1493" s="8" t="s">
        <v>2822</v>
      </c>
      <c r="C1493" s="46" t="s">
        <v>5007</v>
      </c>
      <c r="D1493" s="41" t="str">
        <f ca="1">IFERROR(__xludf.DUMMYFUNCTION("IFERROR(ARRAYFORMULA(REGEXEXTRACT(C1493,""^(?:https?:\/\/)?(?:[^@\n]+@)?(?:www\.)?([^:\/\n]+)"")),"""")"),"oop.ky.gov")</f>
        <v>oop.ky.gov</v>
      </c>
      <c r="E1493" s="26" t="str">
        <f ca="1">IFERROR(__xludf.DUMMYFUNCTION("""COMPUTED_VALUE"""),"New")</f>
        <v>New</v>
      </c>
      <c r="F1493" s="72">
        <v>89</v>
      </c>
      <c r="G1493" s="72">
        <v>941506</v>
      </c>
      <c r="P1493" s="26"/>
    </row>
    <row r="1494" spans="1:16" ht="14.5">
      <c r="A1494" s="3" t="s">
        <v>38</v>
      </c>
      <c r="B1494" s="8" t="s">
        <v>2822</v>
      </c>
      <c r="C1494" s="46" t="s">
        <v>5008</v>
      </c>
      <c r="D1494" s="41" t="str">
        <f ca="1">IFERROR(__xludf.DUMMYFUNCTION("IFERROR(ARRAYFORMULA(REGEXEXTRACT(C1494,""^(?:https?:\/\/)?(?:[^@\n]+@)?(?:www\.)?([^:\/\n]+)"")),"""")"),"kaplanquizzes.com")</f>
        <v>kaplanquizzes.com</v>
      </c>
      <c r="E1494" s="26" t="str">
        <f ca="1">IFERROR(__xludf.DUMMYFUNCTION("""COMPUTED_VALUE"""),"New")</f>
        <v>New</v>
      </c>
      <c r="F1494" s="72">
        <v>40</v>
      </c>
      <c r="G1494" s="72">
        <v>19154</v>
      </c>
      <c r="P1494" s="26"/>
    </row>
    <row r="1495" spans="1:16" ht="14.5">
      <c r="A1495" s="3" t="s">
        <v>38</v>
      </c>
      <c r="B1495" s="8" t="s">
        <v>2822</v>
      </c>
      <c r="C1495" s="49" t="s">
        <v>5009</v>
      </c>
      <c r="D1495" s="41" t="str">
        <f ca="1">IFERROR(__xludf.DUMMYFUNCTION("IFERROR(ARRAYFORMULA(REGEXEXTRACT(C1495,""^(?:https?:\/\/)?(?:[^@\n]+@)?(?:www\.)?([^:\/\n]+)"")),"""")"),"contractortrainingcenter.com")</f>
        <v>contractortrainingcenter.com</v>
      </c>
      <c r="E1495" s="26" t="str">
        <f ca="1">IFERROR(__xludf.DUMMYFUNCTION("""COMPUTED_VALUE"""),"New")</f>
        <v>New</v>
      </c>
      <c r="F1495" s="72">
        <v>45</v>
      </c>
      <c r="G1495" s="72">
        <v>19712</v>
      </c>
      <c r="J1495" s="27" t="s">
        <v>5010</v>
      </c>
      <c r="K1495" s="27" t="s">
        <v>4291</v>
      </c>
      <c r="L1495" s="112"/>
      <c r="M1495" s="75" t="s">
        <v>3117</v>
      </c>
      <c r="N1495" s="48">
        <v>46043</v>
      </c>
      <c r="O1495" s="48">
        <v>46086</v>
      </c>
      <c r="P1495" s="26"/>
    </row>
    <row r="1496" spans="1:16" ht="14.5">
      <c r="A1496" s="3" t="s">
        <v>38</v>
      </c>
      <c r="B1496" s="8" t="s">
        <v>2822</v>
      </c>
      <c r="C1496" s="46" t="s">
        <v>5011</v>
      </c>
      <c r="D1496" s="41" t="str">
        <f ca="1">IFERROR(__xludf.DUMMYFUNCTION("IFERROR(ARRAYFORMULA(REGEXEXTRACT(C1496,""^(?:https?:\/\/)?(?:[^@\n]+@)?(?:www\.)?([^:\/\n]+)"")),"""")"),"enhancv.com")</f>
        <v>enhancv.com</v>
      </c>
      <c r="E1496" s="26" t="str">
        <f ca="1">IFERROR(__xludf.DUMMYFUNCTION("""COMPUTED_VALUE"""),"New")</f>
        <v>New</v>
      </c>
      <c r="F1496" s="72">
        <v>74</v>
      </c>
      <c r="G1496" s="72">
        <v>1412955</v>
      </c>
      <c r="P1496" s="26"/>
    </row>
    <row r="1497" spans="1:16" ht="14.5">
      <c r="A1497" s="3" t="s">
        <v>38</v>
      </c>
      <c r="B1497" s="8" t="s">
        <v>2822</v>
      </c>
      <c r="C1497" s="46" t="s">
        <v>5012</v>
      </c>
      <c r="D1497" s="41" t="str">
        <f ca="1">IFERROR(__xludf.DUMMYFUNCTION("IFERROR(ARRAYFORMULA(REGEXEXTRACT(C1497,""^(?:https?:\/\/)?(?:[^@\n]+@)?(?:www\.)?([^:\/\n]+)"")),"""")"),"realestate.utah.gov")</f>
        <v>realestate.utah.gov</v>
      </c>
      <c r="E1497" s="26" t="str">
        <f ca="1">IFERROR(__xludf.DUMMYFUNCTION("""COMPUTED_VALUE"""),"New")</f>
        <v>New</v>
      </c>
      <c r="F1497" s="72">
        <v>90</v>
      </c>
      <c r="G1497" s="72">
        <v>1457914</v>
      </c>
      <c r="O1497" s="48"/>
      <c r="P1497" s="26"/>
    </row>
    <row r="1498" spans="1:16" ht="14.5">
      <c r="A1498" s="3" t="s">
        <v>38</v>
      </c>
      <c r="B1498" s="8" t="s">
        <v>2822</v>
      </c>
      <c r="C1498" s="49" t="s">
        <v>5013</v>
      </c>
      <c r="D1498" s="41" t="str">
        <f ca="1">IFERROR(__xludf.DUMMYFUNCTION("IFERROR(ARRAYFORMULA(REGEXEXTRACT(C1498,""^(?:https?:\/\/)?(?:[^@\n]+@)?(?:www\.)?([^:\/\n]+)"")),"""")"),"moneyzine.com")</f>
        <v>moneyzine.com</v>
      </c>
      <c r="E1498" s="26" t="str">
        <f ca="1">IFERROR(__xludf.DUMMYFUNCTION("""COMPUTED_VALUE"""),"New")</f>
        <v>New</v>
      </c>
      <c r="F1498" s="72">
        <v>69</v>
      </c>
      <c r="G1498" s="72">
        <v>13801</v>
      </c>
      <c r="H1498" s="27" t="s">
        <v>5014</v>
      </c>
      <c r="I1498" s="27" t="s">
        <v>5015</v>
      </c>
      <c r="J1498" s="27" t="s">
        <v>5016</v>
      </c>
      <c r="K1498" s="27" t="s">
        <v>3829</v>
      </c>
      <c r="L1498" s="112"/>
      <c r="M1498" s="75" t="s">
        <v>3117</v>
      </c>
      <c r="N1498" s="48">
        <v>46043</v>
      </c>
      <c r="O1498" s="48">
        <v>46087</v>
      </c>
      <c r="P1498" s="26"/>
    </row>
    <row r="1499" spans="1:16" ht="14.5">
      <c r="A1499" s="3" t="s">
        <v>38</v>
      </c>
      <c r="B1499" s="8" t="s">
        <v>2822</v>
      </c>
      <c r="C1499" s="46" t="s">
        <v>5017</v>
      </c>
      <c r="D1499" s="41" t="str">
        <f ca="1">IFERROR(__xludf.DUMMYFUNCTION("IFERROR(ARRAYFORMULA(REGEXEXTRACT(C1499,""^(?:https?:\/\/)?(?:[^@\n]+@)?(?:www\.)?([^:\/\n]+)"")),"""")"),"arec.arkansas.gov")</f>
        <v>arec.arkansas.gov</v>
      </c>
      <c r="E1499" s="26" t="str">
        <f ca="1">IFERROR(__xludf.DUMMYFUNCTION("""COMPUTED_VALUE"""),"New")</f>
        <v>New</v>
      </c>
      <c r="F1499" s="72">
        <v>87</v>
      </c>
      <c r="G1499" s="72">
        <v>546739</v>
      </c>
      <c r="P1499" s="26"/>
    </row>
    <row r="1500" spans="1:16" ht="14.5">
      <c r="A1500" s="3" t="s">
        <v>38</v>
      </c>
      <c r="B1500" s="8" t="s">
        <v>2822</v>
      </c>
      <c r="C1500" s="46" t="s">
        <v>5018</v>
      </c>
      <c r="D1500" s="41" t="str">
        <f ca="1">IFERROR(__xludf.DUMMYFUNCTION("IFERROR(ARRAYFORMULA(REGEXEXTRACT(C1500,""^(?:https?:\/\/)?(?:[^@\n]+@)?(?:www\.)?([^:\/\n]+)"")),"""")"),"uopeople.edu")</f>
        <v>uopeople.edu</v>
      </c>
      <c r="E1500" s="26" t="str">
        <f ca="1">IFERROR(__xludf.DUMMYFUNCTION("""COMPUTED_VALUE"""),"New")</f>
        <v>New</v>
      </c>
      <c r="F1500" s="72">
        <v>74</v>
      </c>
      <c r="G1500" s="72">
        <v>464366</v>
      </c>
      <c r="P1500" s="26"/>
    </row>
    <row r="1501" spans="1:16" ht="14.5">
      <c r="A1501" s="3" t="s">
        <v>38</v>
      </c>
      <c r="B1501" s="8" t="s">
        <v>2822</v>
      </c>
      <c r="C1501" s="46" t="s">
        <v>5019</v>
      </c>
      <c r="D1501" s="41" t="str">
        <f ca="1">IFERROR(__xludf.DUMMYFUNCTION("IFERROR(ARRAYFORMULA(REGEXEXTRACT(C1501,""^(?:https?:\/\/)?(?:[^@\n]+@)?(?:www\.)?([^:\/\n]+)"")),"""")"),"help.kaplanlearn.com")</f>
        <v>help.kaplanlearn.com</v>
      </c>
      <c r="E1501" s="26" t="str">
        <f ca="1">IFERROR(__xludf.DUMMYFUNCTION("""COMPUTED_VALUE"""),"New")</f>
        <v>New</v>
      </c>
      <c r="F1501" s="72">
        <v>48</v>
      </c>
      <c r="G1501" s="72">
        <v>12775</v>
      </c>
      <c r="P1501" s="26"/>
    </row>
    <row r="1502" spans="1:16" ht="14.5" hidden="1">
      <c r="A1502" s="3" t="s">
        <v>38</v>
      </c>
      <c r="B1502" s="8" t="s">
        <v>2822</v>
      </c>
      <c r="C1502" s="46" t="s">
        <v>5020</v>
      </c>
      <c r="D1502" s="41" t="str">
        <f ca="1">IFERROR(__xludf.DUMMYFUNCTION("IFERROR(ARRAYFORMULA(REGEXEXTRACT(C1502,""^(?:https?:\/\/)?(?:[^@\n]+@)?(?:www\.)?([^:\/\n]+)"")),"""")"),"realestatelicensewizard.com")</f>
        <v>realestatelicensewizard.com</v>
      </c>
      <c r="E1502" s="26" t="str">
        <f ca="1">IFERROR(__xludf.DUMMYFUNCTION("""COMPUTED_VALUE"""),"Already Exists")</f>
        <v>Already Exists</v>
      </c>
      <c r="F1502" s="72">
        <v>35</v>
      </c>
      <c r="G1502" s="72">
        <v>3130</v>
      </c>
      <c r="P1502" s="26"/>
    </row>
    <row r="1503" spans="1:16" ht="14.5">
      <c r="A1503" s="3" t="s">
        <v>38</v>
      </c>
      <c r="B1503" s="8" t="s">
        <v>2822</v>
      </c>
      <c r="C1503" s="46" t="s">
        <v>5021</v>
      </c>
      <c r="D1503" s="41" t="str">
        <f ca="1">IFERROR(__xludf.DUMMYFUNCTION("IFERROR(ARRAYFORMULA(REGEXEXTRACT(C1503,""^(?:https?:\/\/)?(?:[^@\n]+@)?(?:www\.)?([^:\/\n]+)"")),"""")"),"theclose.com")</f>
        <v>theclose.com</v>
      </c>
      <c r="E1503" s="26" t="str">
        <f ca="1">IFERROR(__xludf.DUMMYFUNCTION("""COMPUTED_VALUE"""),"New")</f>
        <v>New</v>
      </c>
      <c r="F1503" s="72">
        <v>74</v>
      </c>
      <c r="G1503" s="72">
        <v>112484</v>
      </c>
      <c r="P1503" s="26"/>
    </row>
    <row r="1504" spans="1:16" ht="14.5">
      <c r="A1504" s="3" t="s">
        <v>38</v>
      </c>
      <c r="B1504" s="8" t="s">
        <v>2822</v>
      </c>
      <c r="C1504" s="46" t="s">
        <v>5022</v>
      </c>
      <c r="D1504" s="41" t="str">
        <f ca="1">IFERROR(__xludf.DUMMYFUNCTION("IFERROR(ARRAYFORMULA(REGEXEXTRACT(C1504,""^(?:https?:\/\/)?(?:[^@\n]+@)?(?:www\.)?([^:\/\n]+)"")),"""")"),"investopedia.com")</f>
        <v>investopedia.com</v>
      </c>
      <c r="E1504" s="26" t="str">
        <f ca="1">IFERROR(__xludf.DUMMYFUNCTION("""COMPUTED_VALUE"""),"New")</f>
        <v>New</v>
      </c>
      <c r="F1504" s="72">
        <v>92</v>
      </c>
      <c r="G1504" s="72">
        <v>18734288</v>
      </c>
      <c r="P1504" s="26"/>
    </row>
    <row r="1505" spans="1:16" ht="14.5">
      <c r="A1505" s="3" t="s">
        <v>38</v>
      </c>
      <c r="B1505" s="8" t="s">
        <v>2822</v>
      </c>
      <c r="C1505" s="46" t="s">
        <v>5023</v>
      </c>
      <c r="D1505" s="41" t="str">
        <f ca="1">IFERROR(__xludf.DUMMYFUNCTION("IFERROR(ARRAYFORMULA(REGEXEXTRACT(C1505,""^(?:https?:\/\/)?(?:[^@\n]+@)?(?:www\.)?([^:\/\n]+)"")),"""")"),"indeed.com")</f>
        <v>indeed.com</v>
      </c>
      <c r="E1505" s="26" t="str">
        <f ca="1">IFERROR(__xludf.DUMMYFUNCTION("""COMPUTED_VALUE"""),"New")</f>
        <v>New</v>
      </c>
      <c r="F1505" s="72">
        <v>92</v>
      </c>
      <c r="G1505" s="74">
        <v>120000000</v>
      </c>
      <c r="P1505" s="26"/>
    </row>
    <row r="1506" spans="1:16" ht="14.5">
      <c r="A1506" s="3" t="s">
        <v>38</v>
      </c>
      <c r="B1506" s="8" t="s">
        <v>2822</v>
      </c>
      <c r="C1506" s="46" t="s">
        <v>5024</v>
      </c>
      <c r="D1506" s="41" t="str">
        <f ca="1">IFERROR(__xludf.DUMMYFUNCTION("IFERROR(ARRAYFORMULA(REGEXEXTRACT(C1506,""^(?:https?:\/\/)?(?:[^@\n]+@)?(?:www\.)?([^:\/\n]+)"")),"""")"),"dlr.sd.gov")</f>
        <v>dlr.sd.gov</v>
      </c>
      <c r="E1506" s="26" t="str">
        <f ca="1">IFERROR(__xludf.DUMMYFUNCTION("""COMPUTED_VALUE"""),"New")</f>
        <v>New</v>
      </c>
      <c r="F1506" s="72">
        <v>86</v>
      </c>
      <c r="G1506" s="72">
        <v>310970</v>
      </c>
      <c r="P1506" s="26"/>
    </row>
    <row r="1507" spans="1:16" ht="14.5">
      <c r="A1507" s="3" t="s">
        <v>38</v>
      </c>
      <c r="B1507" s="8" t="s">
        <v>2822</v>
      </c>
      <c r="C1507" s="49" t="s">
        <v>5025</v>
      </c>
      <c r="D1507" s="41" t="str">
        <f ca="1">IFERROR(__xludf.DUMMYFUNCTION("IFERROR(ARRAYFORMULA(REGEXEXTRACT(C1507,""^(?:https?:\/\/)?(?:[^@\n]+@)?(?:www\.)?([^:\/\n]+)"")),"""")"),"iconsofrealestate.com")</f>
        <v>iconsofrealestate.com</v>
      </c>
      <c r="E1507" s="26" t="str">
        <f ca="1">IFERROR(__xludf.DUMMYFUNCTION("""COMPUTED_VALUE"""),"New")</f>
        <v>New</v>
      </c>
      <c r="F1507" s="72">
        <v>61</v>
      </c>
      <c r="G1507" s="72">
        <v>1307</v>
      </c>
      <c r="J1507" s="27" t="s">
        <v>5026</v>
      </c>
      <c r="K1507" s="27" t="s">
        <v>3853</v>
      </c>
      <c r="L1507" s="112"/>
      <c r="M1507" s="75" t="s">
        <v>3117</v>
      </c>
      <c r="N1507" s="48">
        <v>46043</v>
      </c>
      <c r="O1507" s="48">
        <v>46087</v>
      </c>
      <c r="P1507" s="26"/>
    </row>
    <row r="1508" spans="1:16" ht="14.5">
      <c r="A1508" s="3" t="s">
        <v>38</v>
      </c>
      <c r="B1508" s="8" t="s">
        <v>2822</v>
      </c>
      <c r="C1508" s="46" t="s">
        <v>5027</v>
      </c>
      <c r="D1508" s="41" t="str">
        <f ca="1">IFERROR(__xludf.DUMMYFUNCTION("IFERROR(ARRAYFORMULA(REGEXEXTRACT(C1508,""^(?:https?:\/\/)?(?:[^@\n]+@)?(?:www\.)?([^:\/\n]+)"")),"""")"),"rankings.newsweek.com")</f>
        <v>rankings.newsweek.com</v>
      </c>
      <c r="E1508" s="26" t="str">
        <f ca="1">IFERROR(__xludf.DUMMYFUNCTION("""COMPUTED_VALUE"""),"New")</f>
        <v>New</v>
      </c>
      <c r="F1508" s="72">
        <v>91</v>
      </c>
      <c r="G1508" s="72">
        <v>3883616</v>
      </c>
      <c r="P1508" s="26"/>
    </row>
    <row r="1509" spans="1:16" ht="14.5">
      <c r="A1509" s="3" t="s">
        <v>38</v>
      </c>
      <c r="B1509" s="8" t="s">
        <v>2822</v>
      </c>
      <c r="C1509" s="49" t="s">
        <v>5028</v>
      </c>
      <c r="D1509" s="41" t="str">
        <f ca="1">IFERROR(__xludf.DUMMYFUNCTION("IFERROR(ARRAYFORMULA(REGEXEXTRACT(C1509,""^(?:https?:\/\/)?(?:[^@\n]+@)?(?:www\.)?([^:\/\n]+)"")),"""")"),"propstream.com")</f>
        <v>propstream.com</v>
      </c>
      <c r="E1509" s="26" t="str">
        <f ca="1">IFERROR(__xludf.DUMMYFUNCTION("""COMPUTED_VALUE"""),"New")</f>
        <v>New</v>
      </c>
      <c r="F1509" s="72">
        <v>66</v>
      </c>
      <c r="G1509" s="72">
        <v>46918</v>
      </c>
      <c r="I1509" s="27" t="s">
        <v>5029</v>
      </c>
      <c r="J1509" s="27" t="s">
        <v>5030</v>
      </c>
      <c r="K1509" s="27" t="s">
        <v>3853</v>
      </c>
      <c r="L1509" s="112"/>
      <c r="M1509" s="75" t="s">
        <v>3117</v>
      </c>
      <c r="N1509" s="48">
        <v>46043</v>
      </c>
      <c r="O1509" s="48">
        <v>46087</v>
      </c>
      <c r="P1509" s="26"/>
    </row>
    <row r="1510" spans="1:16" ht="14.5">
      <c r="A1510" s="3" t="s">
        <v>38</v>
      </c>
      <c r="B1510" s="8" t="s">
        <v>2822</v>
      </c>
      <c r="C1510" s="49" t="s">
        <v>5031</v>
      </c>
      <c r="D1510" s="41" t="str">
        <f ca="1">IFERROR(__xludf.DUMMYFUNCTION("IFERROR(ARRAYFORMULA(REGEXEXTRACT(C1510,""^(?:https?:\/\/)?(?:[^@\n]+@)?(?:www\.)?([^:\/\n]+)"")),"""")"),"optimoroute.com")</f>
        <v>optimoroute.com</v>
      </c>
      <c r="E1510" s="26" t="str">
        <f ca="1">IFERROR(__xludf.DUMMYFUNCTION("""COMPUTED_VALUE"""),"New")</f>
        <v>New</v>
      </c>
      <c r="F1510" s="72">
        <v>71</v>
      </c>
      <c r="G1510" s="72">
        <v>22125</v>
      </c>
      <c r="J1510" s="27" t="s">
        <v>5032</v>
      </c>
      <c r="K1510" s="27" t="s">
        <v>3795</v>
      </c>
      <c r="L1510" s="112"/>
      <c r="M1510" s="75" t="s">
        <v>3117</v>
      </c>
      <c r="N1510" s="48">
        <v>46043</v>
      </c>
      <c r="O1510" s="48">
        <v>46087</v>
      </c>
      <c r="P1510" s="26"/>
    </row>
    <row r="1511" spans="1:16" ht="14.5">
      <c r="A1511" s="3" t="s">
        <v>38</v>
      </c>
      <c r="B1511" s="8" t="s">
        <v>2822</v>
      </c>
      <c r="C1511" s="46" t="s">
        <v>5033</v>
      </c>
      <c r="D1511" s="41" t="str">
        <f ca="1">IFERROR(__xludf.DUMMYFUNCTION("IFERROR(ARRAYFORMULA(REGEXEXTRACT(C1511,""^(?:https?:\/\/)?(?:[^@\n]+@)?(?:www\.)?([^:\/\n]+)"")),"""")"),"best-trade-schools.net")</f>
        <v>best-trade-schools.net</v>
      </c>
      <c r="E1511" s="26" t="str">
        <f ca="1">IFERROR(__xludf.DUMMYFUNCTION("""COMPUTED_VALUE"""),"New")</f>
        <v>New</v>
      </c>
      <c r="F1511" s="72">
        <v>62</v>
      </c>
      <c r="G1511" s="72">
        <v>43023</v>
      </c>
      <c r="P1511" s="26"/>
    </row>
    <row r="1512" spans="1:16" ht="14.5">
      <c r="A1512" s="3" t="s">
        <v>38</v>
      </c>
      <c r="B1512" s="8" t="s">
        <v>2822</v>
      </c>
      <c r="C1512" s="46" t="s">
        <v>5034</v>
      </c>
      <c r="D1512" s="41" t="str">
        <f ca="1">IFERROR(__xludf.DUMMYFUNCTION("IFERROR(ARRAYFORMULA(REGEXEXTRACT(C1512,""^(?:https?:\/\/)?(?:[^@\n]+@)?(?:www\.)?([^:\/\n]+)"")),"""")"),"aceableagent.com")</f>
        <v>aceableagent.com</v>
      </c>
      <c r="E1512" s="26" t="str">
        <f ca="1">IFERROR(__xludf.DUMMYFUNCTION("""COMPUTED_VALUE"""),"New")</f>
        <v>New</v>
      </c>
      <c r="F1512" s="72">
        <v>55</v>
      </c>
      <c r="G1512" s="72">
        <v>72546</v>
      </c>
      <c r="P1512" s="26"/>
    </row>
    <row r="1513" spans="1:16" ht="14.5">
      <c r="A1513" s="3" t="s">
        <v>38</v>
      </c>
      <c r="B1513" s="8" t="s">
        <v>2822</v>
      </c>
      <c r="C1513" s="46" t="s">
        <v>5035</v>
      </c>
      <c r="D1513" s="41" t="str">
        <f ca="1">IFERROR(__xludf.DUMMYFUNCTION("IFERROR(ARRAYFORMULA(REGEXEXTRACT(C1513,""^(?:https?:\/\/)?(?:[^@\n]+@)?(?:www\.)?([^:\/\n]+)"")),"""")"),"chamberofcommerce.org")</f>
        <v>chamberofcommerce.org</v>
      </c>
      <c r="E1513" s="26" t="str">
        <f ca="1">IFERROR(__xludf.DUMMYFUNCTION("""COMPUTED_VALUE"""),"New")</f>
        <v>New</v>
      </c>
      <c r="F1513" s="72">
        <v>78</v>
      </c>
      <c r="G1513" s="72">
        <v>42742</v>
      </c>
      <c r="P1513" s="26"/>
    </row>
    <row r="1514" spans="1:16" ht="14.5">
      <c r="A1514" s="3" t="s">
        <v>38</v>
      </c>
      <c r="B1514" s="8" t="s">
        <v>2822</v>
      </c>
      <c r="C1514" s="49" t="s">
        <v>5036</v>
      </c>
      <c r="D1514" s="41" t="str">
        <f ca="1">IFERROR(__xludf.DUMMYFUNCTION("IFERROR(ARRAYFORMULA(REGEXEXTRACT(C1514,""^(?:https?:\/\/)?(?:[^@\n]+@)?(?:www\.)?([^:\/\n]+)"")),"""")"),"inspectionsupport.com")</f>
        <v>inspectionsupport.com</v>
      </c>
      <c r="E1514" s="26" t="str">
        <f ca="1">IFERROR(__xludf.DUMMYFUNCTION("""COMPUTED_VALUE"""),"New")</f>
        <v>New</v>
      </c>
      <c r="F1514" s="72">
        <v>76</v>
      </c>
      <c r="G1514" s="72">
        <v>13710</v>
      </c>
      <c r="H1514" s="27" t="s">
        <v>5037</v>
      </c>
      <c r="I1514" s="27" t="s">
        <v>5038</v>
      </c>
      <c r="J1514" s="27" t="s">
        <v>5039</v>
      </c>
      <c r="K1514" s="27" t="s">
        <v>3853</v>
      </c>
      <c r="L1514" s="112"/>
      <c r="M1514" s="75" t="s">
        <v>3117</v>
      </c>
      <c r="N1514" s="48">
        <v>46043</v>
      </c>
      <c r="O1514" s="48">
        <v>46087</v>
      </c>
      <c r="P1514" s="26"/>
    </row>
    <row r="1515" spans="1:16" ht="14.5">
      <c r="A1515" s="3" t="s">
        <v>38</v>
      </c>
      <c r="B1515" s="8" t="s">
        <v>2822</v>
      </c>
      <c r="C1515" s="49" t="s">
        <v>5040</v>
      </c>
      <c r="D1515" s="41" t="str">
        <f ca="1">IFERROR(__xludf.DUMMYFUNCTION("IFERROR(ARRAYFORMULA(REGEXEXTRACT(C1515,""^(?:https?:\/\/)?(?:[^@\n]+@)?(?:www\.)?([^:\/\n]+)"")),"""")"),"gaar.com")</f>
        <v>gaar.com</v>
      </c>
      <c r="E1515" s="26" t="str">
        <f ca="1">IFERROR(__xludf.DUMMYFUNCTION("""COMPUTED_VALUE"""),"New")</f>
        <v>New</v>
      </c>
      <c r="F1515" s="72">
        <v>64</v>
      </c>
      <c r="G1515" s="72">
        <v>2770</v>
      </c>
      <c r="H1515" s="27" t="s">
        <v>5041</v>
      </c>
      <c r="I1515" s="27" t="s">
        <v>5042</v>
      </c>
      <c r="K1515" s="27" t="s">
        <v>3853</v>
      </c>
      <c r="L1515" s="112"/>
      <c r="M1515" s="75" t="s">
        <v>3117</v>
      </c>
      <c r="N1515" s="48">
        <v>46043</v>
      </c>
      <c r="O1515" s="48">
        <v>46087</v>
      </c>
      <c r="P1515" s="26"/>
    </row>
    <row r="1516" spans="1:16" ht="14.5">
      <c r="A1516" s="3" t="s">
        <v>38</v>
      </c>
      <c r="B1516" s="8" t="s">
        <v>2822</v>
      </c>
      <c r="C1516" s="46" t="s">
        <v>5043</v>
      </c>
      <c r="D1516" s="41" t="str">
        <f ca="1">IFERROR(__xludf.DUMMYFUNCTION("IFERROR(ARRAYFORMULA(REGEXEXTRACT(C1516,""^(?:https?:\/\/)?(?:[^@\n]+@)?(?:www\.)?([^:\/\n]+)"")),"""")"),"wealthysinglemommy.com")</f>
        <v>wealthysinglemommy.com</v>
      </c>
      <c r="E1516" s="26" t="str">
        <f ca="1">IFERROR(__xludf.DUMMYFUNCTION("""COMPUTED_VALUE"""),"New")</f>
        <v>New</v>
      </c>
      <c r="F1516" s="72">
        <v>57</v>
      </c>
      <c r="G1516" s="72">
        <v>9046</v>
      </c>
      <c r="P1516" s="26"/>
    </row>
    <row r="1517" spans="1:16" ht="14.5">
      <c r="A1517" s="3" t="s">
        <v>38</v>
      </c>
      <c r="B1517" s="8" t="s">
        <v>2822</v>
      </c>
      <c r="C1517" s="46" t="s">
        <v>5044</v>
      </c>
      <c r="D1517" s="41" t="str">
        <f ca="1">IFERROR(__xludf.DUMMYFUNCTION("IFERROR(ARRAYFORMULA(REGEXEXTRACT(C1517,""^(?:https?:\/\/)?(?:[^@\n]+@)?(?:www\.)?([^:\/\n]+)"")),"""")"),"buildsubmarines.com")</f>
        <v>buildsubmarines.com</v>
      </c>
      <c r="E1517" s="26" t="str">
        <f ca="1">IFERROR(__xludf.DUMMYFUNCTION("""COMPUTED_VALUE"""),"New")</f>
        <v>New</v>
      </c>
      <c r="F1517" s="72">
        <v>52</v>
      </c>
      <c r="G1517" s="72">
        <v>18983</v>
      </c>
      <c r="P1517" s="26"/>
    </row>
    <row r="1518" spans="1:16" ht="14.5">
      <c r="A1518" s="3" t="s">
        <v>38</v>
      </c>
      <c r="B1518" s="8" t="s">
        <v>2822</v>
      </c>
      <c r="C1518" s="46" t="s">
        <v>5045</v>
      </c>
      <c r="D1518" s="41" t="str">
        <f ca="1">IFERROR(__xludf.DUMMYFUNCTION("IFERROR(ARRAYFORMULA(REGEXEXTRACT(C1518,""^(?:https?:\/\/)?(?:[^@\n]+@)?(?:www\.)?([^:\/\n]+)"")),"""")"),"fortune.com")</f>
        <v>fortune.com</v>
      </c>
      <c r="E1518" s="26" t="str">
        <f ca="1">IFERROR(__xludf.DUMMYFUNCTION("""COMPUTED_VALUE"""),"New")</f>
        <v>New</v>
      </c>
      <c r="F1518" s="72">
        <v>91</v>
      </c>
      <c r="G1518" s="72">
        <v>1707312</v>
      </c>
      <c r="P1518" s="26"/>
    </row>
    <row r="1519" spans="1:16" ht="14.5">
      <c r="A1519" s="3" t="s">
        <v>38</v>
      </c>
      <c r="B1519" s="8" t="s">
        <v>2822</v>
      </c>
      <c r="C1519" s="46" t="s">
        <v>5046</v>
      </c>
      <c r="D1519" s="41" t="str">
        <f ca="1">IFERROR(__xludf.DUMMYFUNCTION("IFERROR(ARRAYFORMULA(REGEXEXTRACT(C1519,""^(?:https?:\/\/)?(?:[^@\n]+@)?(?:www\.)?([^:\/\n]+)"")),"""")"),"myelisting.com")</f>
        <v>myelisting.com</v>
      </c>
      <c r="E1519" s="26" t="str">
        <f ca="1">IFERROR(__xludf.DUMMYFUNCTION("""COMPUTED_VALUE"""),"New")</f>
        <v>New</v>
      </c>
      <c r="F1519" s="72">
        <v>47</v>
      </c>
      <c r="G1519" s="72">
        <v>9443</v>
      </c>
      <c r="P1519" s="26"/>
    </row>
    <row r="1520" spans="1:16" ht="14.5">
      <c r="A1520" s="3" t="s">
        <v>38</v>
      </c>
      <c r="B1520" s="8" t="s">
        <v>2822</v>
      </c>
      <c r="C1520" s="49" t="s">
        <v>5047</v>
      </c>
      <c r="D1520" s="41" t="str">
        <f ca="1">IFERROR(__xludf.DUMMYFUNCTION("IFERROR(ARRAYFORMULA(REGEXEXTRACT(C1520,""^(?:https?:\/\/)?(?:[^@\n]+@)?(?:www\.)?([^:\/\n]+)"")),"""")"),"kwarizona.com")</f>
        <v>kwarizona.com</v>
      </c>
      <c r="E1520" s="26" t="str">
        <f ca="1">IFERROR(__xludf.DUMMYFUNCTION("""COMPUTED_VALUE"""),"New")</f>
        <v>New</v>
      </c>
      <c r="F1520" s="72">
        <v>29</v>
      </c>
      <c r="G1520" s="72">
        <v>1058</v>
      </c>
      <c r="H1520" s="27" t="s">
        <v>5048</v>
      </c>
      <c r="I1520" s="27" t="s">
        <v>5049</v>
      </c>
      <c r="J1520" s="27" t="s">
        <v>5050</v>
      </c>
      <c r="K1520" s="27" t="s">
        <v>3853</v>
      </c>
      <c r="L1520" s="112"/>
      <c r="M1520" s="75" t="s">
        <v>3117</v>
      </c>
      <c r="N1520" s="48">
        <v>46043</v>
      </c>
      <c r="O1520" s="48">
        <v>46087</v>
      </c>
      <c r="P1520" s="26"/>
    </row>
    <row r="1521" spans="1:16" ht="14.5">
      <c r="A1521" s="3" t="s">
        <v>38</v>
      </c>
      <c r="B1521" s="8" t="s">
        <v>2822</v>
      </c>
      <c r="C1521" s="46" t="s">
        <v>5051</v>
      </c>
      <c r="D1521" s="41" t="str">
        <f ca="1">IFERROR(__xludf.DUMMYFUNCTION("IFERROR(ARRAYFORMULA(REGEXEXTRACT(C1521,""^(?:https?:\/\/)?(?:[^@\n]+@)?(?:www\.)?([^:\/\n]+)"")),"""")"),"flcaa.com")</f>
        <v>flcaa.com</v>
      </c>
      <c r="E1521" s="26" t="str">
        <f ca="1">IFERROR(__xludf.DUMMYFUNCTION("""COMPUTED_VALUE"""),"New")</f>
        <v>New</v>
      </c>
      <c r="F1521" s="72">
        <v>26</v>
      </c>
      <c r="G1521" s="72">
        <v>7030</v>
      </c>
      <c r="P1521" s="26"/>
    </row>
    <row r="1522" spans="1:16" ht="14.5">
      <c r="A1522" s="3" t="s">
        <v>38</v>
      </c>
      <c r="B1522" s="8" t="s">
        <v>2822</v>
      </c>
      <c r="C1522" s="49" t="s">
        <v>5052</v>
      </c>
      <c r="D1522" s="41" t="str">
        <f ca="1">IFERROR(__xludf.DUMMYFUNCTION("IFERROR(ARRAYFORMULA(REGEXEXTRACT(C1522,""^(?:https?:\/\/)?(?:[^@\n]+@)?(?:www\.)?([^:\/\n]+)"")),"""")"),"homegauge.com")</f>
        <v>homegauge.com</v>
      </c>
      <c r="E1522" s="26" t="str">
        <f ca="1">IFERROR(__xludf.DUMMYFUNCTION("""COMPUTED_VALUE"""),"New")</f>
        <v>New</v>
      </c>
      <c r="F1522" s="72">
        <v>79</v>
      </c>
      <c r="G1522" s="72">
        <v>8030</v>
      </c>
      <c r="J1522" s="27" t="s">
        <v>5053</v>
      </c>
      <c r="K1522" s="27" t="s">
        <v>3853</v>
      </c>
      <c r="L1522" s="112"/>
      <c r="M1522" s="27" t="s">
        <v>3117</v>
      </c>
      <c r="N1522" s="48">
        <v>46047</v>
      </c>
      <c r="O1522" s="48">
        <v>46087</v>
      </c>
      <c r="P1522" s="26"/>
    </row>
    <row r="1523" spans="1:16" ht="14.5">
      <c r="A1523" s="3" t="s">
        <v>38</v>
      </c>
      <c r="B1523" s="8" t="s">
        <v>2822</v>
      </c>
      <c r="C1523" s="46" t="s">
        <v>5054</v>
      </c>
      <c r="D1523" s="41" t="str">
        <f ca="1">IFERROR(__xludf.DUMMYFUNCTION("IFERROR(ARRAYFORMULA(REGEXEXTRACT(C1523,""^(?:https?:\/\/)?(?:[^@\n]+@)?(?:www\.)?([^:\/\n]+)"")),"""")"),"wisepelican.com")</f>
        <v>wisepelican.com</v>
      </c>
      <c r="E1523" s="26" t="str">
        <f ca="1">IFERROR(__xludf.DUMMYFUNCTION("""COMPUTED_VALUE"""),"New")</f>
        <v>New</v>
      </c>
      <c r="F1523" s="72">
        <v>58</v>
      </c>
      <c r="G1523" s="72">
        <v>13026</v>
      </c>
      <c r="P1523" s="26"/>
    </row>
    <row r="1524" spans="1:16" ht="14.5">
      <c r="A1524" s="3" t="s">
        <v>38</v>
      </c>
      <c r="B1524" s="8" t="s">
        <v>2822</v>
      </c>
      <c r="C1524" s="49" t="s">
        <v>5055</v>
      </c>
      <c r="D1524" s="41" t="str">
        <f ca="1">IFERROR(__xludf.DUMMYFUNCTION("IFERROR(ARRAYFORMULA(REGEXEXTRACT(C1524,""^(?:https?:\/\/)?(?:[^@\n]+@)?(?:www\.)?([^:\/\n]+)"")),"""")"),"followupboss.com")</f>
        <v>followupboss.com</v>
      </c>
      <c r="E1524" s="26" t="str">
        <f ca="1">IFERROR(__xludf.DUMMYFUNCTION("""COMPUTED_VALUE"""),"New")</f>
        <v>New</v>
      </c>
      <c r="F1524" s="72">
        <v>74</v>
      </c>
      <c r="G1524" s="72">
        <v>86218</v>
      </c>
      <c r="H1524" s="27" t="s">
        <v>5056</v>
      </c>
      <c r="I1524" s="38" t="s">
        <v>5057</v>
      </c>
      <c r="K1524" s="27" t="s">
        <v>3853</v>
      </c>
      <c r="L1524" s="112"/>
      <c r="M1524" s="27" t="s">
        <v>3117</v>
      </c>
      <c r="N1524" s="48">
        <v>46047</v>
      </c>
      <c r="P1524" s="26"/>
    </row>
    <row r="1525" spans="1:16" ht="14.5">
      <c r="A1525" s="3" t="s">
        <v>38</v>
      </c>
      <c r="B1525" s="8" t="s">
        <v>2822</v>
      </c>
      <c r="C1525" s="49" t="s">
        <v>5058</v>
      </c>
      <c r="D1525" s="41" t="str">
        <f ca="1">IFERROR(__xludf.DUMMYFUNCTION("IFERROR(ARRAYFORMULA(REGEXEXTRACT(C1525,""^(?:https?:\/\/)?(?:[^@\n]+@)?(?:www\.)?([^:\/\n]+)"")),"""")"),"fitsmallbusiness.com")</f>
        <v>fitsmallbusiness.com</v>
      </c>
      <c r="E1525" s="26" t="str">
        <f ca="1">IFERROR(__xludf.DUMMYFUNCTION("""COMPUTED_VALUE"""),"New")</f>
        <v>New</v>
      </c>
      <c r="F1525" s="72">
        <v>84</v>
      </c>
      <c r="G1525" s="72">
        <v>34865</v>
      </c>
      <c r="H1525" s="27" t="s">
        <v>5059</v>
      </c>
      <c r="I1525" s="27" t="s">
        <v>5060</v>
      </c>
      <c r="J1525" s="27" t="s">
        <v>5061</v>
      </c>
      <c r="K1525" s="27" t="s">
        <v>3772</v>
      </c>
      <c r="L1525" s="112"/>
      <c r="M1525" s="27" t="s">
        <v>3117</v>
      </c>
      <c r="N1525" s="48">
        <v>46047</v>
      </c>
      <c r="O1525" s="48">
        <v>46087</v>
      </c>
      <c r="P1525" s="26"/>
    </row>
    <row r="1526" spans="1:16" ht="14.5">
      <c r="A1526" s="3" t="s">
        <v>38</v>
      </c>
      <c r="B1526" s="8" t="s">
        <v>2822</v>
      </c>
      <c r="C1526" s="46" t="s">
        <v>5062</v>
      </c>
      <c r="D1526" s="41" t="str">
        <f ca="1">IFERROR(__xludf.DUMMYFUNCTION("IFERROR(ARRAYFORMULA(REGEXEXTRACT(C1526,""^(?:https?:\/\/)?(?:[^@\n]+@)?(?:www\.)?([^:\/\n]+)"")),"""")"),"myengineeringbuddy.com")</f>
        <v>myengineeringbuddy.com</v>
      </c>
      <c r="E1526" s="26" t="str">
        <f ca="1">IFERROR(__xludf.DUMMYFUNCTION("""COMPUTED_VALUE"""),"New")</f>
        <v>New</v>
      </c>
      <c r="F1526" s="72">
        <v>27</v>
      </c>
      <c r="G1526" s="72">
        <v>18701</v>
      </c>
      <c r="P1526" s="26"/>
    </row>
    <row r="1527" spans="1:16" ht="14.5">
      <c r="A1527" s="3" t="s">
        <v>38</v>
      </c>
      <c r="B1527" s="8" t="s">
        <v>2822</v>
      </c>
      <c r="C1527" s="46" t="s">
        <v>5063</v>
      </c>
      <c r="D1527" s="41" t="str">
        <f ca="1">IFERROR(__xludf.DUMMYFUNCTION("IFERROR(ARRAYFORMULA(REGEXEXTRACT(C1527,""^(?:https?:\/\/)?(?:[^@\n]+@)?(?:www\.)?([^:\/\n]+)"")),"""")"),"labor.maryland.gov")</f>
        <v>labor.maryland.gov</v>
      </c>
      <c r="E1527" s="26" t="str">
        <f ca="1">IFERROR(__xludf.DUMMYFUNCTION("""COMPUTED_VALUE"""),"New")</f>
        <v>New</v>
      </c>
      <c r="F1527" s="72">
        <v>90</v>
      </c>
      <c r="G1527" s="72">
        <v>1620167</v>
      </c>
      <c r="P1527" s="26"/>
    </row>
    <row r="1528" spans="1:16" ht="14.5">
      <c r="A1528" s="3" t="s">
        <v>38</v>
      </c>
      <c r="B1528" s="8" t="s">
        <v>2822</v>
      </c>
      <c r="C1528" s="46" t="s">
        <v>5064</v>
      </c>
      <c r="D1528" s="41" t="str">
        <f ca="1">IFERROR(__xludf.DUMMYFUNCTION("IFERROR(ARRAYFORMULA(REGEXEXTRACT(C1528,""^(?:https?:\/\/)?(?:[^@\n]+@)?(?:www\.)?([^:\/\n]+)"")),"""")"),"moneypantry.com")</f>
        <v>moneypantry.com</v>
      </c>
      <c r="E1528" s="26" t="str">
        <f ca="1">IFERROR(__xludf.DUMMYFUNCTION("""COMPUTED_VALUE"""),"New")</f>
        <v>New</v>
      </c>
      <c r="F1528" s="72">
        <v>56</v>
      </c>
      <c r="G1528" s="72">
        <v>19281</v>
      </c>
      <c r="P1528" s="26"/>
    </row>
    <row r="1529" spans="1:16" ht="14.5">
      <c r="A1529" s="3" t="s">
        <v>38</v>
      </c>
      <c r="B1529" s="8" t="s">
        <v>2822</v>
      </c>
      <c r="C1529" s="46" t="s">
        <v>5065</v>
      </c>
      <c r="D1529" s="41" t="str">
        <f ca="1">IFERROR(__xludf.DUMMYFUNCTION("IFERROR(ARRAYFORMULA(REGEXEXTRACT(C1529,""^(?:https?:\/\/)?(?:[^@\n]+@)?(?:www\.)?([^:\/\n]+)"")),"""")"),"thestreet.com")</f>
        <v>thestreet.com</v>
      </c>
      <c r="E1529" s="26" t="str">
        <f ca="1">IFERROR(__xludf.DUMMYFUNCTION("""COMPUTED_VALUE"""),"New")</f>
        <v>New</v>
      </c>
      <c r="F1529" s="72">
        <v>86</v>
      </c>
      <c r="G1529" s="72">
        <v>1073828</v>
      </c>
      <c r="P1529" s="26"/>
    </row>
    <row r="1530" spans="1:16" ht="14.5">
      <c r="A1530" s="3" t="s">
        <v>38</v>
      </c>
      <c r="B1530" s="8" t="s">
        <v>2822</v>
      </c>
      <c r="C1530" s="46" t="s">
        <v>5066</v>
      </c>
      <c r="D1530" s="41" t="str">
        <f ca="1">IFERROR(__xludf.DUMMYFUNCTION("IFERROR(ARRAYFORMULA(REGEXEXTRACT(C1530,""^(?:https?:\/\/)?(?:[^@\n]+@)?(?:www\.)?([^:\/\n]+)"")),"""")"),"pr.mo.gov")</f>
        <v>pr.mo.gov</v>
      </c>
      <c r="E1530" s="26" t="str">
        <f ca="1">IFERROR(__xludf.DUMMYFUNCTION("""COMPUTED_VALUE"""),"New")</f>
        <v>New</v>
      </c>
      <c r="F1530" s="72">
        <v>90</v>
      </c>
      <c r="G1530" s="72">
        <v>1853075</v>
      </c>
      <c r="P1530" s="26"/>
    </row>
    <row r="1531" spans="1:16" ht="14.5">
      <c r="A1531" s="3" t="s">
        <v>38</v>
      </c>
      <c r="B1531" s="8" t="s">
        <v>2822</v>
      </c>
      <c r="C1531" s="46" t="s">
        <v>5067</v>
      </c>
      <c r="D1531" s="41" t="str">
        <f ca="1">IFERROR(__xludf.DUMMYFUNCTION("IFERROR(ARRAYFORMULA(REGEXEXTRACT(C1531,""^(?:https?:\/\/)?(?:[^@\n]+@)?(?:www\.)?([^:\/\n]+)"")),"""")"),"moseley.org")</f>
        <v>moseley.org</v>
      </c>
      <c r="E1531" s="26" t="str">
        <f ca="1">IFERROR(__xludf.DUMMYFUNCTION("""COMPUTED_VALUE"""),"New")</f>
        <v>New</v>
      </c>
      <c r="F1531" s="72">
        <v>49</v>
      </c>
      <c r="G1531" s="72">
        <v>3651</v>
      </c>
      <c r="P1531" s="26"/>
    </row>
    <row r="1532" spans="1:16" ht="14.5">
      <c r="A1532" s="3" t="s">
        <v>38</v>
      </c>
      <c r="B1532" s="8" t="s">
        <v>2822</v>
      </c>
      <c r="C1532" s="46" t="s">
        <v>5068</v>
      </c>
      <c r="D1532" s="41" t="str">
        <f ca="1">IFERROR(__xludf.DUMMYFUNCTION("IFERROR(ARRAYFORMULA(REGEXEXTRACT(C1532,""^(?:https?:\/\/)?(?:[^@\n]+@)?(?:www\.)?([^:\/\n]+)"")),"""")"),"sandiegomagazine.com")</f>
        <v>sandiegomagazine.com</v>
      </c>
      <c r="E1532" s="26" t="str">
        <f ca="1">IFERROR(__xludf.DUMMYFUNCTION("""COMPUTED_VALUE"""),"New")</f>
        <v>New</v>
      </c>
      <c r="F1532" s="72">
        <v>76</v>
      </c>
      <c r="G1532" s="72">
        <v>81753</v>
      </c>
      <c r="P1532" s="26"/>
    </row>
    <row r="1533" spans="1:16" ht="14.5">
      <c r="A1533" s="3" t="s">
        <v>38</v>
      </c>
      <c r="B1533" s="8" t="s">
        <v>2822</v>
      </c>
      <c r="C1533" s="46" t="s">
        <v>5069</v>
      </c>
      <c r="D1533" s="41" t="str">
        <f ca="1">IFERROR(__xludf.DUMMYFUNCTION("IFERROR(ARRAYFORMULA(REGEXEXTRACT(C1533,""^(?:https?:\/\/)?(?:[^@\n]+@)?(?:www\.)?([^:\/\n]+)"")),"""")"),"teach.com")</f>
        <v>teach.com</v>
      </c>
      <c r="E1533" s="26" t="str">
        <f ca="1">IFERROR(__xludf.DUMMYFUNCTION("""COMPUTED_VALUE"""),"New")</f>
        <v>New</v>
      </c>
      <c r="F1533" s="72">
        <v>70</v>
      </c>
      <c r="G1533" s="72">
        <v>32692</v>
      </c>
      <c r="P1533" s="26"/>
    </row>
    <row r="1534" spans="1:16" ht="14.5">
      <c r="A1534" s="3" t="s">
        <v>38</v>
      </c>
      <c r="B1534" s="8" t="s">
        <v>2822</v>
      </c>
      <c r="C1534" s="46" t="s">
        <v>5070</v>
      </c>
      <c r="D1534" s="41" t="str">
        <f ca="1">IFERROR(__xludf.DUMMYFUNCTION("IFERROR(ARRAYFORMULA(REGEXEXTRACT(C1534,""^(?:https?:\/\/)?(?:[^@\n]+@)?(?:www\.)?([^:\/\n]+)"")),"""")"),"dbs.ie")</f>
        <v>dbs.ie</v>
      </c>
      <c r="E1534" s="26" t="str">
        <f ca="1">IFERROR(__xludf.DUMMYFUNCTION("""COMPUTED_VALUE"""),"New")</f>
        <v>New</v>
      </c>
      <c r="F1534" s="72">
        <v>60</v>
      </c>
      <c r="G1534" s="72">
        <v>16678</v>
      </c>
      <c r="P1534" s="26"/>
    </row>
    <row r="1535" spans="1:16" ht="14.5">
      <c r="A1535" s="3" t="s">
        <v>38</v>
      </c>
      <c r="B1535" s="8" t="s">
        <v>2822</v>
      </c>
      <c r="C1535" s="46" t="s">
        <v>5071</v>
      </c>
      <c r="D1535" s="41" t="str">
        <f ca="1">IFERROR(__xludf.DUMMYFUNCTION("IFERROR(ARRAYFORMULA(REGEXEXTRACT(C1535,""^(?:https?:\/\/)?(?:[^@\n]+@)?(?:www\.)?([^:\/\n]+)"")),"""")"),"usrealtytraining.com")</f>
        <v>usrealtytraining.com</v>
      </c>
      <c r="E1535" s="26" t="str">
        <f ca="1">IFERROR(__xludf.DUMMYFUNCTION("""COMPUTED_VALUE"""),"New")</f>
        <v>New</v>
      </c>
      <c r="F1535" s="72">
        <v>45</v>
      </c>
      <c r="G1535" s="72">
        <v>19982</v>
      </c>
      <c r="P1535" s="26"/>
    </row>
    <row r="1536" spans="1:16" ht="14.5">
      <c r="A1536" s="3" t="s">
        <v>38</v>
      </c>
      <c r="B1536" s="8" t="s">
        <v>2822</v>
      </c>
      <c r="C1536" s="46" t="s">
        <v>5072</v>
      </c>
      <c r="D1536" s="41" t="str">
        <f ca="1">IFERROR(__xludf.DUMMYFUNCTION("IFERROR(ARRAYFORMULA(REGEXEXTRACT(C1536,""^(?:https?:\/\/)?(?:[^@\n]+@)?(?:www\.)?([^:\/\n]+)"")),"""")"),"ohe.state.mn.us")</f>
        <v>ohe.state.mn.us</v>
      </c>
      <c r="E1536" s="26" t="str">
        <f ca="1">IFERROR(__xludf.DUMMYFUNCTION("""COMPUTED_VALUE"""),"New")</f>
        <v>New</v>
      </c>
      <c r="F1536" s="72">
        <v>90</v>
      </c>
      <c r="G1536" s="72">
        <v>1353608</v>
      </c>
      <c r="P1536" s="26"/>
    </row>
    <row r="1537" spans="1:16" ht="14.5">
      <c r="A1537" s="3" t="s">
        <v>38</v>
      </c>
      <c r="B1537" s="8" t="s">
        <v>2822</v>
      </c>
      <c r="C1537" s="46" t="s">
        <v>5073</v>
      </c>
      <c r="D1537" s="41" t="str">
        <f ca="1">IFERROR(__xludf.DUMMYFUNCTION("IFERROR(ARRAYFORMULA(REGEXEXTRACT(C1537,""^(?:https?:\/\/)?(?:[^@\n]+@)?(?:www\.)?([^:\/\n]+)"")),"""")"),"ark7.com")</f>
        <v>ark7.com</v>
      </c>
      <c r="E1537" s="26" t="str">
        <f ca="1">IFERROR(__xludf.DUMMYFUNCTION("""COMPUTED_VALUE"""),"New")</f>
        <v>New</v>
      </c>
      <c r="F1537" s="72">
        <v>42</v>
      </c>
      <c r="G1537" s="72">
        <v>3424</v>
      </c>
      <c r="P1537" s="26"/>
    </row>
    <row r="1538" spans="1:16" ht="14.5">
      <c r="A1538" s="3" t="s">
        <v>38</v>
      </c>
      <c r="B1538" s="8" t="s">
        <v>2822</v>
      </c>
      <c r="C1538" s="49" t="s">
        <v>5074</v>
      </c>
      <c r="D1538" s="41" t="str">
        <f ca="1">IFERROR(__xludf.DUMMYFUNCTION("IFERROR(ARRAYFORMULA(REGEXEXTRACT(C1538,""^(?:https?:\/\/)?(?:[^@\n]+@)?(?:www\.)?([^:\/\n]+)"")),"""")"),"wwnytv.com")</f>
        <v>wwnytv.com</v>
      </c>
      <c r="E1538" s="26" t="str">
        <f ca="1">IFERROR(__xludf.DUMMYFUNCTION("""COMPUTED_VALUE"""),"New")</f>
        <v>New</v>
      </c>
      <c r="F1538" s="72">
        <v>70</v>
      </c>
      <c r="G1538" s="72">
        <v>83972</v>
      </c>
      <c r="H1538" s="27" t="s">
        <v>5075</v>
      </c>
      <c r="I1538" s="27" t="s">
        <v>5076</v>
      </c>
      <c r="K1538" s="27" t="s">
        <v>3772</v>
      </c>
      <c r="L1538" s="112"/>
      <c r="M1538" s="27" t="s">
        <v>3117</v>
      </c>
      <c r="N1538" s="48">
        <v>46047</v>
      </c>
      <c r="O1538" s="48">
        <v>46087</v>
      </c>
      <c r="P1538" s="26"/>
    </row>
    <row r="1539" spans="1:16" ht="14.5">
      <c r="A1539" s="3" t="s">
        <v>38</v>
      </c>
      <c r="B1539" s="8" t="s">
        <v>2822</v>
      </c>
      <c r="C1539" s="46" t="s">
        <v>5077</v>
      </c>
      <c r="D1539" s="41" t="str">
        <f ca="1">IFERROR(__xludf.DUMMYFUNCTION("IFERROR(ARRAYFORMULA(REGEXEXTRACT(C1539,""^(?:https?:\/\/)?(?:[^@\n]+@)?(?:www\.)?([^:\/\n]+)"")),"""")"),"redfin.com")</f>
        <v>redfin.com</v>
      </c>
      <c r="E1539" s="26" t="str">
        <f ca="1">IFERROR(__xludf.DUMMYFUNCTION("""COMPUTED_VALUE"""),"New")</f>
        <v>New</v>
      </c>
      <c r="F1539" s="72">
        <v>91</v>
      </c>
      <c r="G1539" s="72">
        <v>5842894</v>
      </c>
      <c r="P1539" s="26"/>
    </row>
    <row r="1540" spans="1:16" ht="14.5">
      <c r="A1540" s="3" t="s">
        <v>38</v>
      </c>
      <c r="B1540" s="8" t="s">
        <v>2822</v>
      </c>
      <c r="C1540" s="46" t="s">
        <v>5078</v>
      </c>
      <c r="D1540" s="41" t="str">
        <f ca="1">IFERROR(__xludf.DUMMYFUNCTION("IFERROR(ARRAYFORMULA(REGEXEXTRACT(C1540,""^(?:https?:\/\/)?(?:[^@\n]+@)?(?:www\.)?([^:\/\n]+)"")),"""")"),"craryrealestate.com")</f>
        <v>craryrealestate.com</v>
      </c>
      <c r="E1540" s="26" t="str">
        <f ca="1">IFERROR(__xludf.DUMMYFUNCTION("""COMPUTED_VALUE"""),"New")</f>
        <v>New</v>
      </c>
      <c r="F1540" s="72">
        <v>25</v>
      </c>
      <c r="G1540" s="72">
        <v>1639</v>
      </c>
      <c r="P1540" s="26"/>
    </row>
    <row r="1541" spans="1:16" ht="14.5">
      <c r="A1541" s="3" t="s">
        <v>38</v>
      </c>
      <c r="B1541" s="8" t="s">
        <v>2822</v>
      </c>
      <c r="C1541" s="46" t="s">
        <v>5079</v>
      </c>
      <c r="D1541" s="41" t="str">
        <f ca="1">IFERROR(__xludf.DUMMYFUNCTION("IFERROR(ARRAYFORMULA(REGEXEXTRACT(C1541,""^(?:https?:\/\/)?(?:[^@\n]+@)?(?:www\.)?([^:\/\n]+)"")),"""")"),"actionnews5.com")</f>
        <v>actionnews5.com</v>
      </c>
      <c r="E1541" s="26" t="str">
        <f ca="1">IFERROR(__xludf.DUMMYFUNCTION("""COMPUTED_VALUE"""),"New")</f>
        <v>New</v>
      </c>
      <c r="F1541" s="72">
        <v>75</v>
      </c>
      <c r="G1541" s="72">
        <v>172183</v>
      </c>
      <c r="P1541" s="26"/>
    </row>
    <row r="1542" spans="1:16" ht="14.5">
      <c r="A1542" s="3" t="s">
        <v>38</v>
      </c>
      <c r="B1542" s="8" t="s">
        <v>2822</v>
      </c>
      <c r="C1542" s="46" t="s">
        <v>5080</v>
      </c>
      <c r="D1542" s="41" t="str">
        <f ca="1">IFERROR(__xludf.DUMMYFUNCTION("IFERROR(ARRAYFORMULA(REGEXEXTRACT(C1542,""^(?:https?:\/\/)?(?:[^@\n]+@)?(?:www\.)?([^:\/\n]+)"")),"""")"),"community.kaplan.com")</f>
        <v>community.kaplan.com</v>
      </c>
      <c r="E1542" s="26" t="str">
        <f ca="1">IFERROR(__xludf.DUMMYFUNCTION("""COMPUTED_VALUE"""),"New")</f>
        <v>New</v>
      </c>
      <c r="F1542" s="72">
        <v>74</v>
      </c>
      <c r="G1542" s="72">
        <v>71120</v>
      </c>
      <c r="P1542" s="26"/>
    </row>
    <row r="1543" spans="1:16" ht="14.5">
      <c r="A1543" s="3" t="s">
        <v>38</v>
      </c>
      <c r="B1543" s="8" t="s">
        <v>2822</v>
      </c>
      <c r="C1543" s="46" t="s">
        <v>5081</v>
      </c>
      <c r="D1543" s="41" t="str">
        <f ca="1">IFERROR(__xludf.DUMMYFUNCTION("IFERROR(ARRAYFORMULA(REGEXEXTRACT(C1543,""^(?:https?:\/\/)?(?:[^@\n]+@)?(?:www\.)?([^:\/\n]+)"")),"""")"),"easyresume.io")</f>
        <v>easyresume.io</v>
      </c>
      <c r="E1543" s="26" t="str">
        <f ca="1">IFERROR(__xludf.DUMMYFUNCTION("""COMPUTED_VALUE"""),"New")</f>
        <v>New</v>
      </c>
      <c r="F1543" s="72">
        <v>47</v>
      </c>
      <c r="G1543" s="72">
        <v>9680</v>
      </c>
      <c r="P1543" s="26"/>
    </row>
    <row r="1544" spans="1:16" ht="14.5">
      <c r="A1544" s="3" t="s">
        <v>38</v>
      </c>
      <c r="B1544" s="8" t="s">
        <v>2822</v>
      </c>
      <c r="C1544" s="46" t="s">
        <v>5082</v>
      </c>
      <c r="D1544" s="41" t="str">
        <f ca="1">IFERROR(__xludf.DUMMYFUNCTION("IFERROR(ARRAYFORMULA(REGEXEXTRACT(C1544,""^(?:https?:\/\/)?(?:[^@\n]+@)?(?:www\.)?([^:\/\n]+)"")),"""")"),"nj.gov")</f>
        <v>nj.gov</v>
      </c>
      <c r="E1544" s="26" t="str">
        <f ca="1">IFERROR(__xludf.DUMMYFUNCTION("""COMPUTED_VALUE"""),"New")</f>
        <v>New</v>
      </c>
      <c r="F1544" s="72">
        <v>90</v>
      </c>
      <c r="G1544" s="72">
        <v>1921867</v>
      </c>
      <c r="O1544" s="48"/>
      <c r="P1544" s="26"/>
    </row>
    <row r="1545" spans="1:16" ht="14.5" hidden="1">
      <c r="A1545" s="3" t="s">
        <v>38</v>
      </c>
      <c r="B1545" s="8" t="s">
        <v>2822</v>
      </c>
      <c r="C1545" s="47" t="s">
        <v>5083</v>
      </c>
      <c r="D1545" s="41" t="str">
        <f ca="1">IFERROR(__xludf.DUMMYFUNCTION("IFERROR(ARRAYFORMULA(REGEXEXTRACT(C1545,""^(?:https?:\/\/)?(?:[^@\n]+@)?(?:www\.)?([^:\/\n]+)"")),"""")"),"inboundrem.com")</f>
        <v>inboundrem.com</v>
      </c>
      <c r="E1545" s="26" t="str">
        <f ca="1">IFERROR(__xludf.DUMMYFUNCTION("""COMPUTED_VALUE"""),"Already Exists")</f>
        <v>Already Exists</v>
      </c>
      <c r="F1545" s="72">
        <v>55</v>
      </c>
      <c r="G1545" s="72">
        <v>8788</v>
      </c>
      <c r="H1545" s="27" t="s">
        <v>5084</v>
      </c>
      <c r="I1545" s="27" t="s">
        <v>5085</v>
      </c>
      <c r="J1545" s="27" t="s">
        <v>5086</v>
      </c>
      <c r="K1545" s="27" t="s">
        <v>3756</v>
      </c>
      <c r="L1545" s="112"/>
      <c r="M1545" s="27" t="s">
        <v>3117</v>
      </c>
      <c r="N1545" s="48">
        <v>46047</v>
      </c>
      <c r="P1545" s="27" t="s">
        <v>3201</v>
      </c>
    </row>
    <row r="1546" spans="1:16" ht="14.5">
      <c r="A1546" s="3" t="s">
        <v>38</v>
      </c>
      <c r="B1546" s="8" t="s">
        <v>2822</v>
      </c>
      <c r="C1546" s="49" t="s">
        <v>5087</v>
      </c>
      <c r="D1546" s="41" t="str">
        <f ca="1">IFERROR(__xludf.DUMMYFUNCTION("IFERROR(ARRAYFORMULA(REGEXEXTRACT(C1546,""^(?:https?:\/\/)?(?:[^@\n]+@)?(?:www\.)?([^:\/\n]+)"")),"""")"),"investinganswers.com")</f>
        <v>investinganswers.com</v>
      </c>
      <c r="E1546" s="26" t="str">
        <f ca="1">IFERROR(__xludf.DUMMYFUNCTION("""COMPUTED_VALUE"""),"New")</f>
        <v>New</v>
      </c>
      <c r="F1546" s="72">
        <v>68</v>
      </c>
      <c r="G1546" s="72">
        <v>1353</v>
      </c>
      <c r="H1546" s="27" t="s">
        <v>3858</v>
      </c>
      <c r="I1546" s="27" t="s">
        <v>5088</v>
      </c>
      <c r="J1546" s="27" t="s">
        <v>5089</v>
      </c>
      <c r="K1546" s="27" t="s">
        <v>3829</v>
      </c>
      <c r="L1546" s="112"/>
      <c r="M1546" s="27" t="s">
        <v>3117</v>
      </c>
      <c r="N1546" s="48">
        <v>46047</v>
      </c>
      <c r="O1546" s="48">
        <v>46088</v>
      </c>
      <c r="P1546" s="26"/>
    </row>
    <row r="1547" spans="1:16" ht="14.5">
      <c r="A1547" s="3" t="s">
        <v>38</v>
      </c>
      <c r="B1547" s="8" t="s">
        <v>2822</v>
      </c>
      <c r="C1547" s="46" t="s">
        <v>5090</v>
      </c>
      <c r="D1547" s="41" t="str">
        <f ca="1">IFERROR(__xludf.DUMMYFUNCTION("IFERROR(ARRAYFORMULA(REGEXEXTRACT(C1547,""^(?:https?:\/\/)?(?:[^@\n]+@)?(?:www\.)?([^:\/\n]+)"")),"""")"),"rezi.ai")</f>
        <v>rezi.ai</v>
      </c>
      <c r="E1547" s="26" t="str">
        <f ca="1">IFERROR(__xludf.DUMMYFUNCTION("""COMPUTED_VALUE"""),"New")</f>
        <v>New</v>
      </c>
      <c r="F1547" s="72">
        <v>71</v>
      </c>
      <c r="G1547" s="72">
        <v>230530</v>
      </c>
      <c r="P1547" s="26"/>
    </row>
    <row r="1548" spans="1:16" ht="14.5">
      <c r="A1548" s="3" t="s">
        <v>38</v>
      </c>
      <c r="B1548" s="8" t="s">
        <v>2822</v>
      </c>
      <c r="C1548" s="46" t="s">
        <v>5091</v>
      </c>
      <c r="D1548" s="41" t="str">
        <f ca="1">IFERROR(__xludf.DUMMYFUNCTION("IFERROR(ARRAYFORMULA(REGEXEXTRACT(C1548,""^(?:https?:\/\/)?(?:[^@\n]+@)?(?:www\.)?([^:\/\n]+)"")),"""")"),"quiz-maker.com")</f>
        <v>quiz-maker.com</v>
      </c>
      <c r="E1548" s="26" t="str">
        <f ca="1">IFERROR(__xludf.DUMMYFUNCTION("""COMPUTED_VALUE"""),"New")</f>
        <v>New</v>
      </c>
      <c r="F1548" s="72">
        <v>78</v>
      </c>
      <c r="G1548" s="72">
        <v>192328</v>
      </c>
      <c r="P1548" s="26"/>
    </row>
    <row r="1549" spans="1:16" ht="14.5">
      <c r="A1549" s="3" t="s">
        <v>38</v>
      </c>
      <c r="B1549" s="8" t="s">
        <v>2822</v>
      </c>
      <c r="C1549" s="49" t="s">
        <v>5092</v>
      </c>
      <c r="D1549" s="41" t="str">
        <f ca="1">IFERROR(__xludf.DUMMYFUNCTION("IFERROR(ARRAYFORMULA(REGEXEXTRACT(C1549,""^(?:https?:\/\/)?(?:[^@\n]+@)?(?:www\.)?([^:\/\n]+)"")),"""")"),"staterequirement.com")</f>
        <v>staterequirement.com</v>
      </c>
      <c r="E1549" s="26" t="str">
        <f ca="1">IFERROR(__xludf.DUMMYFUNCTION("""COMPUTED_VALUE"""),"New")</f>
        <v>New</v>
      </c>
      <c r="F1549" s="72">
        <v>61</v>
      </c>
      <c r="G1549" s="72">
        <v>2232</v>
      </c>
      <c r="H1549" s="27" t="s">
        <v>5093</v>
      </c>
      <c r="I1549" s="27" t="s">
        <v>5094</v>
      </c>
      <c r="K1549" s="27" t="s">
        <v>3756</v>
      </c>
      <c r="L1549" s="112"/>
      <c r="M1549" s="27" t="s">
        <v>3117</v>
      </c>
      <c r="N1549" s="48">
        <v>46047</v>
      </c>
      <c r="O1549" s="48">
        <v>46088</v>
      </c>
      <c r="P1549" s="26"/>
    </row>
    <row r="1550" spans="1:16" ht="14.5">
      <c r="A1550" s="3" t="s">
        <v>38</v>
      </c>
      <c r="B1550" s="8" t="s">
        <v>2822</v>
      </c>
      <c r="C1550" s="46" t="s">
        <v>5095</v>
      </c>
      <c r="D1550" s="41" t="str">
        <f ca="1">IFERROR(__xludf.DUMMYFUNCTION("IFERROR(ARRAYFORMULA(REGEXEXTRACT(C1550,""^(?:https?:\/\/)?(?:[^@\n]+@)?(?:www\.)?([^:\/\n]+)"")),"""")"),"edinformatics.com")</f>
        <v>edinformatics.com</v>
      </c>
      <c r="E1550" s="26" t="str">
        <f ca="1">IFERROR(__xludf.DUMMYFUNCTION("""COMPUTED_VALUE"""),"New")</f>
        <v>New</v>
      </c>
      <c r="F1550" s="72">
        <v>53</v>
      </c>
      <c r="G1550" s="72">
        <v>2193</v>
      </c>
      <c r="P1550" s="26"/>
    </row>
    <row r="1551" spans="1:16" ht="14.5">
      <c r="A1551" s="3" t="s">
        <v>38</v>
      </c>
      <c r="B1551" s="8" t="s">
        <v>2822</v>
      </c>
      <c r="C1551" s="46" t="s">
        <v>5096</v>
      </c>
      <c r="D1551" s="41" t="str">
        <f ca="1">IFERROR(__xludf.DUMMYFUNCTION("IFERROR(ARRAYFORMULA(REGEXEXTRACT(C1551,""^(?:https?:\/\/)?(?:[^@\n]+@)?(?:www\.)?([^:\/\n]+)"")),"""")"),"dllr.state.md.us")</f>
        <v>dllr.state.md.us</v>
      </c>
      <c r="E1551" s="26" t="str">
        <f ca="1">IFERROR(__xludf.DUMMYFUNCTION("""COMPUTED_VALUE"""),"New")</f>
        <v>New</v>
      </c>
      <c r="F1551" s="72">
        <v>85</v>
      </c>
      <c r="G1551" s="72">
        <v>171470</v>
      </c>
      <c r="P1551" s="26"/>
    </row>
    <row r="1552" spans="1:16" ht="14.5">
      <c r="A1552" s="3" t="s">
        <v>38</v>
      </c>
      <c r="B1552" s="8" t="s">
        <v>2822</v>
      </c>
      <c r="C1552" s="46" t="s">
        <v>5097</v>
      </c>
      <c r="D1552" s="41" t="str">
        <f ca="1">IFERROR(__xludf.DUMMYFUNCTION("IFERROR(ARRAYFORMULA(REGEXEXTRACT(C1552,""^(?:https?:\/\/)?(?:[^@\n]+@)?(?:www\.)?([^:\/\n]+)"")),"""")"),"johndecember.com")</f>
        <v>johndecember.com</v>
      </c>
      <c r="E1552" s="26" t="str">
        <f ca="1">IFERROR(__xludf.DUMMYFUNCTION("""COMPUTED_VALUE"""),"New")</f>
        <v>New</v>
      </c>
      <c r="F1552" s="72">
        <v>77</v>
      </c>
      <c r="G1552" s="72">
        <v>1476</v>
      </c>
      <c r="P1552" s="26"/>
    </row>
    <row r="1553" spans="1:16" ht="14.5">
      <c r="A1553" s="3" t="s">
        <v>38</v>
      </c>
      <c r="B1553" s="8" t="s">
        <v>2822</v>
      </c>
      <c r="C1553" s="46" t="s">
        <v>5098</v>
      </c>
      <c r="D1553" s="41" t="str">
        <f ca="1">IFERROR(__xludf.DUMMYFUNCTION("IFERROR(ARRAYFORMULA(REGEXEXTRACT(C1553,""^(?:https?:\/\/)?(?:[^@\n]+@)?(?:www\.)?([^:\/\n]+)"")),"""")"),"unitedcountry.com")</f>
        <v>unitedcountry.com</v>
      </c>
      <c r="E1553" s="26" t="str">
        <f ca="1">IFERROR(__xludf.DUMMYFUNCTION("""COMPUTED_VALUE"""),"New")</f>
        <v>New</v>
      </c>
      <c r="F1553" s="72">
        <v>70</v>
      </c>
      <c r="G1553" s="72">
        <v>54196</v>
      </c>
      <c r="P1553" s="26"/>
    </row>
    <row r="1554" spans="1:16" ht="14.5">
      <c r="A1554" s="3" t="s">
        <v>38</v>
      </c>
      <c r="B1554" s="8" t="s">
        <v>2822</v>
      </c>
      <c r="C1554" s="46" t="s">
        <v>5099</v>
      </c>
      <c r="D1554" s="41" t="str">
        <f ca="1">IFERROR(__xludf.DUMMYFUNCTION("IFERROR(ARRAYFORMULA(REGEXEXTRACT(C1554,""^(?:https?:\/\/)?(?:[^@\n]+@)?(?:www\.)?([^:\/\n]+)"")),"""")"),"thepennyhoarder.com")</f>
        <v>thepennyhoarder.com</v>
      </c>
      <c r="E1554" s="26" t="str">
        <f ca="1">IFERROR(__xludf.DUMMYFUNCTION("""COMPUTED_VALUE"""),"New")</f>
        <v>New</v>
      </c>
      <c r="F1554" s="72">
        <v>76</v>
      </c>
      <c r="G1554" s="72">
        <v>248382</v>
      </c>
      <c r="P1554" s="26"/>
    </row>
    <row r="1555" spans="1:16" ht="14.5">
      <c r="A1555" s="3" t="s">
        <v>38</v>
      </c>
      <c r="B1555" s="8" t="s">
        <v>2822</v>
      </c>
      <c r="C1555" s="46" t="s">
        <v>5100</v>
      </c>
      <c r="D1555" s="41" t="str">
        <f ca="1">IFERROR(__xludf.DUMMYFUNCTION("IFERROR(ARRAYFORMULA(REGEXEXTRACT(C1555,""^(?:https?:\/\/)?(?:[^@\n]+@)?(?:www\.)?([^:\/\n]+)"")),"""")"),"careersidekick.com")</f>
        <v>careersidekick.com</v>
      </c>
      <c r="E1555" s="26" t="str">
        <f ca="1">IFERROR(__xludf.DUMMYFUNCTION("""COMPUTED_VALUE"""),"New")</f>
        <v>New</v>
      </c>
      <c r="F1555" s="72">
        <v>70</v>
      </c>
      <c r="G1555" s="72">
        <v>2689</v>
      </c>
      <c r="P1555" s="26"/>
    </row>
    <row r="1556" spans="1:16" ht="14.5">
      <c r="A1556" s="3" t="s">
        <v>38</v>
      </c>
      <c r="B1556" s="8" t="s">
        <v>2822</v>
      </c>
      <c r="C1556" s="46" t="s">
        <v>5101</v>
      </c>
      <c r="D1556" s="41" t="str">
        <f ca="1">IFERROR(__xludf.DUMMYFUNCTION("IFERROR(ARRAYFORMULA(REGEXEXTRACT(C1556,""^(?:https?:\/\/)?(?:[^@\n]+@)?(?:www\.)?([^:\/\n]+)"")),"""")"),"parkplacenetwork.com")</f>
        <v>parkplacenetwork.com</v>
      </c>
      <c r="E1556" s="26" t="str">
        <f ca="1">IFERROR(__xludf.DUMMYFUNCTION("""COMPUTED_VALUE"""),"New")</f>
        <v>New</v>
      </c>
      <c r="F1556" s="72">
        <v>26</v>
      </c>
      <c r="G1556" s="72">
        <v>2630</v>
      </c>
      <c r="P1556" s="26"/>
    </row>
    <row r="1557" spans="1:16" ht="14.5">
      <c r="A1557" s="3" t="s">
        <v>38</v>
      </c>
      <c r="B1557" s="8" t="s">
        <v>2822</v>
      </c>
      <c r="C1557" s="46" t="s">
        <v>5102</v>
      </c>
      <c r="D1557" s="41" t="str">
        <f ca="1">IFERROR(__xludf.DUMMYFUNCTION("IFERROR(ARRAYFORMULA(REGEXEXTRACT(C1557,""^(?:https?:\/\/)?(?:[^@\n]+@)?(?:www\.)?([^:\/\n]+)"")),"""")"),"brittany.com.ph")</f>
        <v>brittany.com.ph</v>
      </c>
      <c r="E1557" s="26" t="str">
        <f ca="1">IFERROR(__xludf.DUMMYFUNCTION("""COMPUTED_VALUE"""),"New")</f>
        <v>New</v>
      </c>
      <c r="F1557" s="72">
        <v>35</v>
      </c>
      <c r="G1557" s="72">
        <v>5590</v>
      </c>
      <c r="P1557" s="26"/>
    </row>
    <row r="1558" spans="1:16" ht="14.5">
      <c r="A1558" s="3" t="s">
        <v>38</v>
      </c>
      <c r="B1558" s="8" t="s">
        <v>2822</v>
      </c>
      <c r="C1558" s="49" t="s">
        <v>5103</v>
      </c>
      <c r="D1558" s="41" t="str">
        <f ca="1">IFERROR(__xludf.DUMMYFUNCTION("IFERROR(ARRAYFORMULA(REGEXEXTRACT(C1558,""^(?:https?:\/\/)?(?:[^@\n]+@)?(?:www\.)?([^:\/\n]+)"")),"""")"),"blog.cheapism.com")</f>
        <v>blog.cheapism.com</v>
      </c>
      <c r="E1558" s="26" t="str">
        <f ca="1">IFERROR(__xludf.DUMMYFUNCTION("""COMPUTED_VALUE"""),"New")</f>
        <v>New</v>
      </c>
      <c r="F1558" s="72">
        <v>71</v>
      </c>
      <c r="G1558" s="72">
        <v>153941</v>
      </c>
      <c r="J1558" s="27" t="s">
        <v>5104</v>
      </c>
      <c r="K1558" s="27" t="s">
        <v>3756</v>
      </c>
      <c r="L1558" s="112"/>
      <c r="M1558" s="27" t="s">
        <v>3117</v>
      </c>
      <c r="N1558" s="48">
        <v>46047</v>
      </c>
      <c r="O1558" s="48">
        <v>46088</v>
      </c>
      <c r="P1558" s="26"/>
    </row>
    <row r="1559" spans="1:16" ht="14.5">
      <c r="A1559" s="3" t="s">
        <v>38</v>
      </c>
      <c r="B1559" s="8" t="s">
        <v>2822</v>
      </c>
      <c r="C1559" s="46" t="s">
        <v>5105</v>
      </c>
      <c r="D1559" s="41" t="str">
        <f ca="1">IFERROR(__xludf.DUMMYFUNCTION("IFERROR(ARRAYFORMULA(REGEXEXTRACT(C1559,""^(?:https?:\/\/)?(?:[^@\n]+@)?(?:www\.)?([^:\/\n]+)"")),"""")"),"nucamp.co")</f>
        <v>nucamp.co</v>
      </c>
      <c r="E1559" s="26" t="str">
        <f ca="1">IFERROR(__xludf.DUMMYFUNCTION("""COMPUTED_VALUE"""),"New")</f>
        <v>New</v>
      </c>
      <c r="F1559" s="72">
        <v>71</v>
      </c>
      <c r="G1559" s="72">
        <v>9725</v>
      </c>
      <c r="P1559" s="26"/>
    </row>
    <row r="1560" spans="1:16" ht="14.5">
      <c r="A1560" s="3" t="s">
        <v>38</v>
      </c>
      <c r="B1560" s="8" t="s">
        <v>2822</v>
      </c>
      <c r="C1560" s="46" t="s">
        <v>5106</v>
      </c>
      <c r="D1560" s="41" t="str">
        <f ca="1">IFERROR(__xludf.DUMMYFUNCTION("IFERROR(ARRAYFORMULA(REGEXEXTRACT(C1560,""^(?:https?:\/\/)?(?:[^@\n]+@)?(?:www\.)?([^:\/\n]+)"")),"""")"),"lendersa.com")</f>
        <v>lendersa.com</v>
      </c>
      <c r="E1560" s="26" t="str">
        <f ca="1">IFERROR(__xludf.DUMMYFUNCTION("""COMPUTED_VALUE"""),"New")</f>
        <v>New</v>
      </c>
      <c r="F1560" s="72">
        <v>32</v>
      </c>
      <c r="G1560" s="72">
        <v>2525</v>
      </c>
      <c r="P1560" s="26"/>
    </row>
    <row r="1561" spans="1:16" ht="14.5">
      <c r="A1561" s="3" t="s">
        <v>38</v>
      </c>
      <c r="B1561" s="8" t="s">
        <v>2822</v>
      </c>
      <c r="C1561" s="46" t="s">
        <v>5107</v>
      </c>
      <c r="D1561" s="41" t="str">
        <f ca="1">IFERROR(__xludf.DUMMYFUNCTION("IFERROR(ARRAYFORMULA(REGEXEXTRACT(C1561,""^(?:https?:\/\/)?(?:[^@\n]+@)?(?:www\.)?([^:\/\n]+)"")),"""")"),"diversification.com")</f>
        <v>diversification.com</v>
      </c>
      <c r="E1561" s="26" t="str">
        <f ca="1">IFERROR(__xludf.DUMMYFUNCTION("""COMPUTED_VALUE"""),"New")</f>
        <v>New</v>
      </c>
      <c r="F1561" s="72">
        <v>38</v>
      </c>
      <c r="G1561" s="72">
        <v>2906</v>
      </c>
      <c r="P1561" s="26"/>
    </row>
    <row r="1562" spans="1:16" ht="14.5">
      <c r="A1562" s="3" t="s">
        <v>38</v>
      </c>
      <c r="B1562" s="8" t="s">
        <v>2822</v>
      </c>
      <c r="C1562" s="46" t="s">
        <v>5108</v>
      </c>
      <c r="D1562" s="41" t="str">
        <f ca="1">IFERROR(__xludf.DUMMYFUNCTION("IFERROR(ARRAYFORMULA(REGEXEXTRACT(C1562,""^(?:https?:\/\/)?(?:[^@\n]+@)?(?:www\.)?([^:\/\n]+)"")),"""")"),"landerlab.io")</f>
        <v>landerlab.io</v>
      </c>
      <c r="E1562" s="26" t="str">
        <f ca="1">IFERROR(__xludf.DUMMYFUNCTION("""COMPUTED_VALUE"""),"New")</f>
        <v>New</v>
      </c>
      <c r="F1562" s="72">
        <v>70</v>
      </c>
      <c r="G1562" s="72">
        <v>3411</v>
      </c>
      <c r="P1562" s="26"/>
    </row>
    <row r="1563" spans="1:16" ht="14.5">
      <c r="A1563" s="3" t="s">
        <v>38</v>
      </c>
      <c r="B1563" s="8" t="s">
        <v>2822</v>
      </c>
      <c r="C1563" s="46" t="s">
        <v>5109</v>
      </c>
      <c r="D1563" s="41" t="str">
        <f ca="1">IFERROR(__xludf.DUMMYFUNCTION("IFERROR(ARRAYFORMULA(REGEXEXTRACT(C1563,""^(?:https?:\/\/)?(?:[^@\n]+@)?(?:www\.)?([^:\/\n]+)"")),"""")"),"pathwise.io")</f>
        <v>pathwise.io</v>
      </c>
      <c r="E1563" s="26" t="str">
        <f ca="1">IFERROR(__xludf.DUMMYFUNCTION("""COMPUTED_VALUE"""),"New")</f>
        <v>New</v>
      </c>
      <c r="F1563" s="72">
        <v>35</v>
      </c>
      <c r="G1563" s="72">
        <v>3863</v>
      </c>
      <c r="P1563" s="26"/>
    </row>
    <row r="1564" spans="1:16" ht="14.5" hidden="1">
      <c r="A1564" s="3" t="s">
        <v>38</v>
      </c>
      <c r="B1564" s="8" t="s">
        <v>2822</v>
      </c>
      <c r="C1564" s="46" t="s">
        <v>5110</v>
      </c>
      <c r="D1564" s="41" t="str">
        <f ca="1">IFERROR(__xludf.DUMMYFUNCTION("IFERROR(ARRAYFORMULA(REGEXEXTRACT(C1564,""^(?:https?:\/\/)?(?:[^@\n]+@)?(?:www\.)?([^:\/\n]+)"")),"""")"),"legalcareerpath.com")</f>
        <v>legalcareerpath.com</v>
      </c>
      <c r="E1564" s="26" t="str">
        <f ca="1">IFERROR(__xludf.DUMMYFUNCTION("""COMPUTED_VALUE"""),"Already Exists")</f>
        <v>Already Exists</v>
      </c>
      <c r="F1564" s="72">
        <v>38</v>
      </c>
      <c r="G1564" s="72">
        <v>3224</v>
      </c>
      <c r="P1564" s="26"/>
    </row>
    <row r="1565" spans="1:16" ht="14.5">
      <c r="A1565" s="3" t="s">
        <v>38</v>
      </c>
      <c r="B1565" s="8" t="s">
        <v>2822</v>
      </c>
      <c r="C1565" s="49" t="s">
        <v>5111</v>
      </c>
      <c r="D1565" s="41" t="str">
        <f ca="1">IFERROR(__xludf.DUMMYFUNCTION("IFERROR(ARRAYFORMULA(REGEXEXTRACT(C1565,""^(?:https?:\/\/)?(?:[^@\n]+@)?(?:www\.)?([^:\/\n]+)"")),"""")"),"structuretech.com")</f>
        <v>structuretech.com</v>
      </c>
      <c r="E1565" s="26" t="str">
        <f ca="1">IFERROR(__xludf.DUMMYFUNCTION("""COMPUTED_VALUE"""),"New")</f>
        <v>New</v>
      </c>
      <c r="F1565" s="72">
        <v>54</v>
      </c>
      <c r="G1565" s="72">
        <v>10852</v>
      </c>
      <c r="H1565" s="27" t="s">
        <v>5112</v>
      </c>
      <c r="I1565" s="27" t="s">
        <v>5113</v>
      </c>
      <c r="J1565" s="27" t="s">
        <v>5114</v>
      </c>
      <c r="K1565" s="27" t="s">
        <v>5115</v>
      </c>
      <c r="L1565" s="112"/>
      <c r="M1565" s="27" t="s">
        <v>3117</v>
      </c>
      <c r="N1565" s="48">
        <v>46047</v>
      </c>
      <c r="O1565" s="48">
        <v>46088</v>
      </c>
      <c r="P1565" s="26"/>
    </row>
    <row r="1566" spans="1:16" ht="14.5">
      <c r="A1566" s="3" t="s">
        <v>38</v>
      </c>
      <c r="B1566" s="8" t="s">
        <v>2822</v>
      </c>
      <c r="C1566" s="46" t="s">
        <v>5116</v>
      </c>
      <c r="D1566" s="41" t="str">
        <f ca="1">IFERROR(__xludf.DUMMYFUNCTION("IFERROR(ARRAYFORMULA(REGEXEXTRACT(C1566,""^(?:https?:\/\/)?(?:[^@\n]+@)?(?:www\.)?([^:\/\n]+)"")),"""")"),"bloggang.com")</f>
        <v>bloggang.com</v>
      </c>
      <c r="E1566" s="26" t="str">
        <f ca="1">IFERROR(__xludf.DUMMYFUNCTION("""COMPUTED_VALUE"""),"New")</f>
        <v>New</v>
      </c>
      <c r="F1566" s="72">
        <v>68</v>
      </c>
      <c r="G1566" s="72">
        <v>72098</v>
      </c>
      <c r="O1566" s="76"/>
      <c r="P1566" s="26"/>
    </row>
    <row r="1567" spans="1:16" ht="14.5">
      <c r="A1567" s="3" t="s">
        <v>38</v>
      </c>
      <c r="B1567" s="8" t="s">
        <v>2822</v>
      </c>
      <c r="C1567" s="49" t="s">
        <v>5117</v>
      </c>
      <c r="D1567" s="41" t="str">
        <f ca="1">IFERROR(__xludf.DUMMYFUNCTION("IFERROR(ARRAYFORMULA(REGEXEXTRACT(C1567,""^(?:https?:\/\/)?(?:[^@\n]+@)?(?:www\.)?([^:\/\n]+)"")),"""")"),"hometap.com")</f>
        <v>hometap.com</v>
      </c>
      <c r="E1567" s="26" t="str">
        <f ca="1">IFERROR(__xludf.DUMMYFUNCTION("""COMPUTED_VALUE"""),"New")</f>
        <v>New</v>
      </c>
      <c r="F1567" s="72">
        <v>46</v>
      </c>
      <c r="G1567" s="72">
        <v>18024</v>
      </c>
      <c r="H1567" s="27" t="s">
        <v>5118</v>
      </c>
      <c r="I1567" s="27" t="s">
        <v>5119</v>
      </c>
      <c r="J1567" s="27" t="s">
        <v>5120</v>
      </c>
      <c r="K1567" s="27" t="s">
        <v>3829</v>
      </c>
      <c r="L1567" s="112"/>
      <c r="M1567" s="27" t="s">
        <v>3117</v>
      </c>
      <c r="N1567" s="48">
        <v>46047</v>
      </c>
      <c r="O1567" s="48">
        <v>46088</v>
      </c>
      <c r="P1567" s="26"/>
    </row>
    <row r="1568" spans="1:16" ht="14.5">
      <c r="A1568" s="3" t="s">
        <v>38</v>
      </c>
      <c r="B1568" s="8" t="s">
        <v>2822</v>
      </c>
      <c r="C1568" s="49" t="s">
        <v>5121</v>
      </c>
      <c r="D1568" s="41" t="str">
        <f ca="1">IFERROR(__xludf.DUMMYFUNCTION("IFERROR(ARRAYFORMULA(REGEXEXTRACT(C1568,""^(?:https?:\/\/)?(?:[^@\n]+@)?(?:www\.)?([^:\/\n]+)"")),"""")"),"rentecdirect.com")</f>
        <v>rentecdirect.com</v>
      </c>
      <c r="E1568" s="26" t="str">
        <f ca="1">IFERROR(__xludf.DUMMYFUNCTION("""COMPUTED_VALUE"""),"New")</f>
        <v>New</v>
      </c>
      <c r="F1568" s="72">
        <v>76</v>
      </c>
      <c r="G1568" s="72">
        <v>20312</v>
      </c>
      <c r="H1568" s="27" t="s">
        <v>5122</v>
      </c>
      <c r="I1568" s="27" t="s">
        <v>5123</v>
      </c>
      <c r="K1568" s="27" t="s">
        <v>3772</v>
      </c>
      <c r="L1568" s="112"/>
      <c r="M1568" s="27" t="s">
        <v>3117</v>
      </c>
      <c r="N1568" s="48">
        <v>46047</v>
      </c>
      <c r="O1568" s="48">
        <v>46088</v>
      </c>
      <c r="P1568" s="26"/>
    </row>
    <row r="1569" spans="1:16" ht="14.5">
      <c r="A1569" s="3" t="s">
        <v>38</v>
      </c>
      <c r="B1569" s="8" t="s">
        <v>2822</v>
      </c>
      <c r="C1569" s="49" t="s">
        <v>5124</v>
      </c>
      <c r="D1569" s="41" t="str">
        <f ca="1">IFERROR(__xludf.DUMMYFUNCTION("IFERROR(ARRAYFORMULA(REGEXEXTRACT(C1569,""^(?:https?:\/\/)?(?:[^@\n]+@)?(?:www\.)?([^:\/\n]+)"")),"""")"),"dailymom.com")</f>
        <v>dailymom.com</v>
      </c>
      <c r="E1569" s="26" t="str">
        <f ca="1">IFERROR(__xludf.DUMMYFUNCTION("""COMPUTED_VALUE"""),"New")</f>
        <v>New</v>
      </c>
      <c r="F1569" s="72">
        <v>71</v>
      </c>
      <c r="G1569" s="72">
        <v>1333</v>
      </c>
      <c r="H1569" s="27" t="s">
        <v>5125</v>
      </c>
      <c r="J1569" s="27" t="s">
        <v>5126</v>
      </c>
      <c r="K1569" s="27" t="s">
        <v>3772</v>
      </c>
      <c r="L1569" s="112"/>
      <c r="M1569" s="27" t="s">
        <v>3117</v>
      </c>
      <c r="N1569" s="48">
        <v>46047</v>
      </c>
      <c r="O1569" s="48">
        <v>46088</v>
      </c>
      <c r="P1569" s="26"/>
    </row>
    <row r="1570" spans="1:16" ht="14.5">
      <c r="A1570" s="3" t="s">
        <v>38</v>
      </c>
      <c r="B1570" s="8" t="s">
        <v>2822</v>
      </c>
      <c r="C1570" s="46" t="s">
        <v>5127</v>
      </c>
      <c r="D1570" s="41" t="str">
        <f ca="1">IFERROR(__xludf.DUMMYFUNCTION("IFERROR(ARRAYFORMULA(REGEXEXTRACT(C1570,""^(?:https?:\/\/)?(?:[^@\n]+@)?(?:www\.)?([^:\/\n]+)"")),"""")"),"connecteam.com")</f>
        <v>connecteam.com</v>
      </c>
      <c r="E1570" s="26" t="str">
        <f ca="1">IFERROR(__xludf.DUMMYFUNCTION("""COMPUTED_VALUE"""),"New")</f>
        <v>New</v>
      </c>
      <c r="F1570" s="72">
        <v>76</v>
      </c>
      <c r="G1570" s="72">
        <v>511555</v>
      </c>
      <c r="P1570" s="26"/>
    </row>
    <row r="1571" spans="1:16" ht="14.5">
      <c r="A1571" s="3" t="s">
        <v>38</v>
      </c>
      <c r="B1571" s="8" t="s">
        <v>2822</v>
      </c>
      <c r="C1571" s="46" t="s">
        <v>5128</v>
      </c>
      <c r="D1571" s="41" t="str">
        <f ca="1">IFERROR(__xludf.DUMMYFUNCTION("IFERROR(ARRAYFORMULA(REGEXEXTRACT(C1571,""^(?:https?:\/\/)?(?:[^@\n]+@)?(?:www\.)?([^:\/\n]+)"")),"""")"),"spectora.com")</f>
        <v>spectora.com</v>
      </c>
      <c r="E1571" s="26" t="str">
        <f ca="1">IFERROR(__xludf.DUMMYFUNCTION("""COMPUTED_VALUE"""),"New")</f>
        <v>New</v>
      </c>
      <c r="F1571" s="72">
        <v>84</v>
      </c>
      <c r="G1571" s="72">
        <v>31186</v>
      </c>
      <c r="P1571" s="26"/>
    </row>
    <row r="1572" spans="1:16" ht="14.5">
      <c r="A1572" s="3" t="s">
        <v>38</v>
      </c>
      <c r="B1572" s="8" t="s">
        <v>2822</v>
      </c>
      <c r="C1572" s="49" t="s">
        <v>5129</v>
      </c>
      <c r="D1572" s="41" t="str">
        <f ca="1">IFERROR(__xludf.DUMMYFUNCTION("IFERROR(ARRAYFORMULA(REGEXEXTRACT(C1572,""^(?:https?:\/\/)?(?:[^@\n]+@)?(?:www\.)?([^:\/\n]+)"")),"""")"),"thrivabilitymatters.org")</f>
        <v>thrivabilitymatters.org</v>
      </c>
      <c r="E1572" s="26" t="str">
        <f ca="1">IFERROR(__xludf.DUMMYFUNCTION("""COMPUTED_VALUE"""),"New")</f>
        <v>New</v>
      </c>
      <c r="F1572" s="72">
        <v>28</v>
      </c>
      <c r="G1572" s="72">
        <v>1199</v>
      </c>
      <c r="H1572" s="27" t="s">
        <v>5130</v>
      </c>
      <c r="I1572" s="27" t="s">
        <v>5131</v>
      </c>
      <c r="J1572" s="27" t="s">
        <v>5132</v>
      </c>
      <c r="K1572" s="27" t="s">
        <v>3791</v>
      </c>
      <c r="L1572" s="112"/>
      <c r="M1572" s="27" t="s">
        <v>3117</v>
      </c>
      <c r="N1572" s="48">
        <v>46047</v>
      </c>
      <c r="O1572" s="48">
        <v>46088</v>
      </c>
      <c r="P1572" s="26"/>
    </row>
    <row r="1573" spans="1:16" ht="14.5">
      <c r="A1573" s="3" t="s">
        <v>38</v>
      </c>
      <c r="B1573" s="8" t="s">
        <v>2822</v>
      </c>
      <c r="C1573" s="46" t="s">
        <v>5133</v>
      </c>
      <c r="D1573" s="41" t="str">
        <f ca="1">IFERROR(__xludf.DUMMYFUNCTION("IFERROR(ARRAYFORMULA(REGEXEXTRACT(C1573,""^(?:https?:\/\/)?(?:[^@\n]+@)?(?:www\.)?([^:\/\n]+)"")),"""")"),"ppar.com")</f>
        <v>ppar.com</v>
      </c>
      <c r="E1573" s="26" t="str">
        <f ca="1">IFERROR(__xludf.DUMMYFUNCTION("""COMPUTED_VALUE"""),"New")</f>
        <v>New</v>
      </c>
      <c r="F1573" s="72">
        <v>51</v>
      </c>
      <c r="G1573" s="72">
        <v>3043</v>
      </c>
      <c r="P1573" s="26"/>
    </row>
    <row r="1574" spans="1:16" ht="14.5">
      <c r="A1574" s="3" t="s">
        <v>38</v>
      </c>
      <c r="B1574" s="8" t="s">
        <v>2822</v>
      </c>
      <c r="C1574" s="46" t="s">
        <v>5134</v>
      </c>
      <c r="D1574" s="41" t="str">
        <f ca="1">IFERROR(__xludf.DUMMYFUNCTION("IFERROR(ARRAYFORMULA(REGEXEXTRACT(C1574,""^(?:https?:\/\/)?(?:[^@\n]+@)?(?:www\.)?([^:\/\n]+)"")),"""")"),"amny.com")</f>
        <v>amny.com</v>
      </c>
      <c r="E1574" s="26" t="str">
        <f ca="1">IFERROR(__xludf.DUMMYFUNCTION("""COMPUTED_VALUE"""),"New")</f>
        <v>New</v>
      </c>
      <c r="F1574" s="72">
        <v>80</v>
      </c>
      <c r="G1574" s="72">
        <v>78007</v>
      </c>
      <c r="P1574" s="26"/>
    </row>
    <row r="1575" spans="1:16" ht="14.5">
      <c r="A1575" s="3" t="s">
        <v>38</v>
      </c>
      <c r="B1575" s="8" t="s">
        <v>2822</v>
      </c>
      <c r="C1575" s="49" t="s">
        <v>5135</v>
      </c>
      <c r="D1575" s="41" t="str">
        <f ca="1">IFERROR(__xludf.DUMMYFUNCTION("IFERROR(ARRAYFORMULA(REGEXEXTRACT(C1575,""^(?:https?:\/\/)?(?:[^@\n]+@)?(?:www\.)?([^:\/\n]+)"")),"""")"),"berxi.com")</f>
        <v>berxi.com</v>
      </c>
      <c r="E1575" s="26" t="str">
        <f ca="1">IFERROR(__xludf.DUMMYFUNCTION("""COMPUTED_VALUE"""),"New")</f>
        <v>New</v>
      </c>
      <c r="F1575" s="72">
        <v>49</v>
      </c>
      <c r="G1575" s="72">
        <v>18252</v>
      </c>
      <c r="H1575" s="27" t="s">
        <v>5136</v>
      </c>
      <c r="I1575" s="27" t="s">
        <v>5137</v>
      </c>
      <c r="K1575" s="27" t="s">
        <v>5138</v>
      </c>
      <c r="L1575" s="112"/>
      <c r="M1575" s="27" t="s">
        <v>3117</v>
      </c>
      <c r="N1575" s="48">
        <v>46047</v>
      </c>
      <c r="O1575" s="48">
        <v>46088</v>
      </c>
      <c r="P1575" s="26"/>
    </row>
    <row r="1576" spans="1:16" ht="14.5">
      <c r="A1576" s="3" t="s">
        <v>38</v>
      </c>
      <c r="B1576" s="8" t="s">
        <v>2822</v>
      </c>
      <c r="C1576" s="49" t="s">
        <v>5139</v>
      </c>
      <c r="D1576" s="41" t="str">
        <f ca="1">IFERROR(__xludf.DUMMYFUNCTION("IFERROR(ARRAYFORMULA(REGEXEXTRACT(C1576,""^(?:https?:\/\/)?(?:[^@\n]+@)?(?:www\.)?([^:\/\n]+)"")),"""")"),"newwestern.com")</f>
        <v>newwestern.com</v>
      </c>
      <c r="E1576" s="26" t="str">
        <f ca="1">IFERROR(__xludf.DUMMYFUNCTION("""COMPUTED_VALUE"""),"New")</f>
        <v>New</v>
      </c>
      <c r="F1576" s="72">
        <v>50</v>
      </c>
      <c r="G1576" s="72">
        <v>7877</v>
      </c>
      <c r="H1576" s="27" t="s">
        <v>5140</v>
      </c>
      <c r="I1576" s="27" t="s">
        <v>5141</v>
      </c>
      <c r="J1576" s="27" t="s">
        <v>5142</v>
      </c>
      <c r="K1576" s="27" t="s">
        <v>3853</v>
      </c>
      <c r="L1576" s="112"/>
      <c r="M1576" s="27" t="s">
        <v>3117</v>
      </c>
      <c r="N1576" s="48">
        <v>46047</v>
      </c>
      <c r="O1576" s="48">
        <v>46088</v>
      </c>
      <c r="P1576" s="26"/>
    </row>
    <row r="1577" spans="1:16" ht="14.5">
      <c r="A1577" s="3" t="s">
        <v>38</v>
      </c>
      <c r="B1577" s="8" t="s">
        <v>2822</v>
      </c>
      <c r="C1577" s="46" t="s">
        <v>5143</v>
      </c>
      <c r="D1577" s="41" t="str">
        <f ca="1">IFERROR(__xludf.DUMMYFUNCTION("IFERROR(ARRAYFORMULA(REGEXEXTRACT(C1577,""^(?:https?:\/\/)?(?:[^@\n]+@)?(?:www\.)?([^:\/\n]+)"")),"""")"),"blog.ict.com.mm")</f>
        <v>blog.ict.com.mm</v>
      </c>
      <c r="E1577" s="26" t="str">
        <f ca="1">IFERROR(__xludf.DUMMYFUNCTION("""COMPUTED_VALUE"""),"New")</f>
        <v>New</v>
      </c>
      <c r="F1577" s="72">
        <v>27</v>
      </c>
      <c r="G1577" s="72">
        <v>15015</v>
      </c>
      <c r="P1577" s="26"/>
    </row>
    <row r="1578" spans="1:16" ht="14.5">
      <c r="A1578" s="3" t="s">
        <v>38</v>
      </c>
      <c r="B1578" s="8" t="s">
        <v>2822</v>
      </c>
      <c r="C1578" s="49" t="s">
        <v>5144</v>
      </c>
      <c r="D1578" s="41" t="str">
        <f ca="1">IFERROR(__xludf.DUMMYFUNCTION("IFERROR(ARRAYFORMULA(REGEXEXTRACT(C1578,""^(?:https?:\/\/)?(?:[^@\n]+@)?(?:www\.)?([^:\/\n]+)"")),"""")"),"a-1locksmith.com")</f>
        <v>a-1locksmith.com</v>
      </c>
      <c r="E1578" s="26" t="str">
        <f ca="1">IFERROR(__xludf.DUMMYFUNCTION("""COMPUTED_VALUE"""),"New")</f>
        <v>New</v>
      </c>
      <c r="F1578" s="72">
        <v>43</v>
      </c>
      <c r="G1578" s="72">
        <v>8685</v>
      </c>
      <c r="J1578" s="27" t="s">
        <v>5145</v>
      </c>
      <c r="K1578" s="27" t="s">
        <v>5115</v>
      </c>
      <c r="L1578" s="112"/>
      <c r="M1578" s="27" t="s">
        <v>3117</v>
      </c>
      <c r="N1578" s="48">
        <v>46047</v>
      </c>
      <c r="P1578" s="26"/>
    </row>
    <row r="1579" spans="1:16" ht="14.5">
      <c r="A1579" s="3" t="s">
        <v>38</v>
      </c>
      <c r="B1579" s="8" t="s">
        <v>2822</v>
      </c>
      <c r="C1579" s="49" t="s">
        <v>5146</v>
      </c>
      <c r="D1579" s="41" t="str">
        <f ca="1">IFERROR(__xludf.DUMMYFUNCTION("IFERROR(ARRAYFORMULA(REGEXEXTRACT(C1579,""^(?:https?:\/\/)?(?:[^@\n]+@)?(?:www\.)?([^:\/\n]+)"")),"""")"),"choicehomewarranty.com")</f>
        <v>choicehomewarranty.com</v>
      </c>
      <c r="E1579" s="26" t="str">
        <f ca="1">IFERROR(__xludf.DUMMYFUNCTION("""COMPUTED_VALUE"""),"New")</f>
        <v>New</v>
      </c>
      <c r="F1579" s="72">
        <v>68</v>
      </c>
      <c r="G1579" s="72">
        <v>193450</v>
      </c>
      <c r="H1579" s="27" t="s">
        <v>5147</v>
      </c>
      <c r="I1579" s="27" t="s">
        <v>5148</v>
      </c>
      <c r="J1579" s="27" t="s">
        <v>5149</v>
      </c>
      <c r="K1579" s="27" t="s">
        <v>3853</v>
      </c>
      <c r="L1579" s="112"/>
      <c r="M1579" s="27" t="s">
        <v>3715</v>
      </c>
      <c r="N1579" s="48">
        <v>46047</v>
      </c>
      <c r="O1579" s="48">
        <v>46067</v>
      </c>
      <c r="P1579" s="26"/>
    </row>
    <row r="1580" spans="1:16" ht="14.5">
      <c r="A1580" s="3" t="s">
        <v>38</v>
      </c>
      <c r="B1580" s="8" t="s">
        <v>2822</v>
      </c>
      <c r="C1580" s="46" t="s">
        <v>5150</v>
      </c>
      <c r="D1580" s="41" t="str">
        <f ca="1">IFERROR(__xludf.DUMMYFUNCTION("IFERROR(ARRAYFORMULA(REGEXEXTRACT(C1580,""^(?:https?:\/\/)?(?:[^@\n]+@)?(?:www\.)?([^:\/\n]+)"")),"""")"),"pro-reed.com")</f>
        <v>pro-reed.com</v>
      </c>
      <c r="E1580" s="26" t="str">
        <f ca="1">IFERROR(__xludf.DUMMYFUNCTION("""COMPUTED_VALUE"""),"New")</f>
        <v>New</v>
      </c>
      <c r="F1580" s="72">
        <v>55</v>
      </c>
      <c r="G1580" s="72">
        <v>1827</v>
      </c>
      <c r="P1580" s="26"/>
    </row>
    <row r="1581" spans="1:16" ht="14.5">
      <c r="A1581" s="3" t="s">
        <v>38</v>
      </c>
      <c r="B1581" s="8" t="s">
        <v>2822</v>
      </c>
      <c r="C1581" s="46" t="s">
        <v>5151</v>
      </c>
      <c r="D1581" s="41" t="str">
        <f ca="1">IFERROR(__xludf.DUMMYFUNCTION("IFERROR(ARRAYFORMULA(REGEXEXTRACT(C1581,""^(?:https?:\/\/)?(?:[^@\n]+@)?(?:www\.)?([^:\/\n]+)"")),"""")"),"plusrender.com")</f>
        <v>plusrender.com</v>
      </c>
      <c r="E1581" s="26" t="str">
        <f ca="1">IFERROR(__xludf.DUMMYFUNCTION("""COMPUTED_VALUE"""),"New")</f>
        <v>New</v>
      </c>
      <c r="F1581" s="72">
        <v>28</v>
      </c>
      <c r="G1581" s="72">
        <v>5281</v>
      </c>
      <c r="P1581" s="26"/>
    </row>
    <row r="1582" spans="1:16" ht="14.5" hidden="1">
      <c r="A1582" s="3" t="s">
        <v>38</v>
      </c>
      <c r="B1582" s="8" t="s">
        <v>2822</v>
      </c>
      <c r="C1582" s="46" t="s">
        <v>5152</v>
      </c>
      <c r="D1582" s="41" t="str">
        <f ca="1">IFERROR(__xludf.DUMMYFUNCTION("IFERROR(ARRAYFORMULA(REGEXEXTRACT(C1582,""^(?:https?:\/\/)?(?:[^@\n]+@)?(?:www\.)?([^:\/\n]+)"")),"""")"),"biggerpockets.com")</f>
        <v>biggerpockets.com</v>
      </c>
      <c r="E1582" s="26" t="str">
        <f ca="1">IFERROR(__xludf.DUMMYFUNCTION("""COMPUTED_VALUE"""),"Already Exists")</f>
        <v>Already Exists</v>
      </c>
      <c r="F1582" s="72">
        <v>79</v>
      </c>
      <c r="G1582" s="72">
        <v>62336</v>
      </c>
      <c r="P1582" s="26"/>
    </row>
    <row r="1583" spans="1:16" ht="14.5" hidden="1">
      <c r="A1583" s="3" t="s">
        <v>38</v>
      </c>
      <c r="B1583" s="8" t="s">
        <v>2822</v>
      </c>
      <c r="C1583" s="46" t="s">
        <v>5153</v>
      </c>
      <c r="D1583" s="41" t="str">
        <f ca="1">IFERROR(__xludf.DUMMYFUNCTION("IFERROR(ARRAYFORMULA(REGEXEXTRACT(C1583,""^(?:https?:\/\/)?(?:[^@\n]+@)?(?:www\.)?([^:\/\n]+)"")),"""")"),"studybreaks.com")</f>
        <v>studybreaks.com</v>
      </c>
      <c r="E1583" s="26" t="str">
        <f ca="1">IFERROR(__xludf.DUMMYFUNCTION("""COMPUTED_VALUE"""),"Already Exists")</f>
        <v>Already Exists</v>
      </c>
      <c r="F1583" s="72">
        <v>69</v>
      </c>
      <c r="G1583" s="72">
        <v>2128</v>
      </c>
      <c r="P1583" s="26"/>
    </row>
    <row r="1584" spans="1:16" ht="14.5">
      <c r="A1584" s="3" t="s">
        <v>38</v>
      </c>
      <c r="B1584" s="8" t="s">
        <v>2822</v>
      </c>
      <c r="C1584" s="46" t="s">
        <v>5154</v>
      </c>
      <c r="D1584" s="41" t="str">
        <f ca="1">IFERROR(__xludf.DUMMYFUNCTION("IFERROR(ARRAYFORMULA(REGEXEXTRACT(C1584,""^(?:https?:\/\/)?(?:[^@\n]+@)?(?:www\.)?([^:\/\n]+)"")),"""")"),"maao.memberclicks.net")</f>
        <v>maao.memberclicks.net</v>
      </c>
      <c r="E1584" s="26" t="str">
        <f ca="1">IFERROR(__xludf.DUMMYFUNCTION("""COMPUTED_VALUE"""),"New")</f>
        <v>New</v>
      </c>
      <c r="F1584" s="72">
        <v>86</v>
      </c>
      <c r="G1584" s="72">
        <v>62783</v>
      </c>
      <c r="P1584" s="26"/>
    </row>
    <row r="1585" spans="1:16" ht="14.5">
      <c r="A1585" s="3" t="s">
        <v>38</v>
      </c>
      <c r="B1585" s="8" t="s">
        <v>2822</v>
      </c>
      <c r="C1585" s="49" t="s">
        <v>5155</v>
      </c>
      <c r="D1585" s="41" t="str">
        <f ca="1">IFERROR(__xludf.DUMMYFUNCTION("IFERROR(ARRAYFORMULA(REGEXEXTRACT(C1585,""^(?:https?:\/\/)?(?:[^@\n]+@)?(?:www\.)?([^:\/\n]+)"")),"""")"),"internationalvanlines.com")</f>
        <v>internationalvanlines.com</v>
      </c>
      <c r="E1585" s="26" t="str">
        <f ca="1">IFERROR(__xludf.DUMMYFUNCTION("""COMPUTED_VALUE"""),"New")</f>
        <v>New</v>
      </c>
      <c r="F1585" s="72">
        <v>69</v>
      </c>
      <c r="G1585" s="72">
        <v>2677</v>
      </c>
      <c r="H1585" s="27" t="s">
        <v>4394</v>
      </c>
      <c r="I1585" s="27" t="s">
        <v>5156</v>
      </c>
      <c r="J1585" s="27" t="s">
        <v>5157</v>
      </c>
      <c r="K1585" s="27" t="s">
        <v>4092</v>
      </c>
      <c r="L1585" s="112"/>
      <c r="M1585" s="27" t="s">
        <v>3715</v>
      </c>
      <c r="N1585" s="48">
        <v>46047</v>
      </c>
      <c r="O1585" s="48">
        <v>46068</v>
      </c>
      <c r="P1585" s="26"/>
    </row>
    <row r="1586" spans="1:16" ht="14.5">
      <c r="A1586" s="3" t="s">
        <v>38</v>
      </c>
      <c r="B1586" s="8" t="s">
        <v>2822</v>
      </c>
      <c r="C1586" s="46" t="s">
        <v>5158</v>
      </c>
      <c r="D1586" s="41" t="str">
        <f ca="1">IFERROR(__xludf.DUMMYFUNCTION("IFERROR(ARRAYFORMULA(REGEXEXTRACT(C1586,""^(?:https?:\/\/)?(?:[^@\n]+@)?(?:www\.)?([^:\/\n]+)"")),"""")"),"fairygodboss.com")</f>
        <v>fairygodboss.com</v>
      </c>
      <c r="E1586" s="26" t="str">
        <f ca="1">IFERROR(__xludf.DUMMYFUNCTION("""COMPUTED_VALUE"""),"New")</f>
        <v>New</v>
      </c>
      <c r="F1586" s="72">
        <v>76</v>
      </c>
      <c r="G1586" s="72">
        <v>43884</v>
      </c>
      <c r="P1586" s="26"/>
    </row>
    <row r="1587" spans="1:16" ht="14.5">
      <c r="A1587" s="3" t="s">
        <v>38</v>
      </c>
      <c r="B1587" s="8" t="s">
        <v>2822</v>
      </c>
      <c r="C1587" s="46" t="s">
        <v>5159</v>
      </c>
      <c r="D1587" s="41" t="str">
        <f ca="1">IFERROR(__xludf.DUMMYFUNCTION("IFERROR(ARRAYFORMULA(REGEXEXTRACT(C1587,""^(?:https?:\/\/)?(?:[^@\n]+@)?(?:www\.)?([^:\/\n]+)"")),"""")"),"mashvisor.com")</f>
        <v>mashvisor.com</v>
      </c>
      <c r="E1587" s="26" t="str">
        <f ca="1">IFERROR(__xludf.DUMMYFUNCTION("""COMPUTED_VALUE"""),"New")</f>
        <v>New</v>
      </c>
      <c r="F1587" s="72">
        <v>73</v>
      </c>
      <c r="G1587" s="72">
        <v>29387</v>
      </c>
      <c r="P1587" s="26"/>
    </row>
    <row r="1588" spans="1:16" ht="14.5">
      <c r="A1588" s="3" t="s">
        <v>38</v>
      </c>
      <c r="B1588" s="8" t="s">
        <v>2822</v>
      </c>
      <c r="C1588" s="46" t="s">
        <v>5160</v>
      </c>
      <c r="D1588" s="41" t="str">
        <f ca="1">IFERROR(__xludf.DUMMYFUNCTION("IFERROR(ARRAYFORMULA(REGEXEXTRACT(C1588,""^(?:https?:\/\/)?(?:[^@\n]+@)?(?:www\.)?([^:\/\n]+)"")),"""")"),"leaders.com")</f>
        <v>leaders.com</v>
      </c>
      <c r="E1588" s="26" t="str">
        <f ca="1">IFERROR(__xludf.DUMMYFUNCTION("""COMPUTED_VALUE"""),"New")</f>
        <v>New</v>
      </c>
      <c r="F1588" s="72">
        <v>68</v>
      </c>
      <c r="G1588" s="72">
        <v>2350</v>
      </c>
      <c r="P1588" s="26"/>
    </row>
    <row r="1589" spans="1:16" ht="14.5">
      <c r="A1589" s="3" t="s">
        <v>38</v>
      </c>
      <c r="B1589" s="8" t="s">
        <v>2822</v>
      </c>
      <c r="C1589" s="46" t="s">
        <v>5161</v>
      </c>
      <c r="D1589" s="41" t="str">
        <f ca="1">IFERROR(__xludf.DUMMYFUNCTION("IFERROR(ARRAYFORMULA(REGEXEXTRACT(C1589,""^(?:https?:\/\/)?(?:[^@\n]+@)?(?:www\.)?([^:\/\n]+)"")),"""")"),"rentspree.com")</f>
        <v>rentspree.com</v>
      </c>
      <c r="E1589" s="26" t="str">
        <f ca="1">IFERROR(__xludf.DUMMYFUNCTION("""COMPUTED_VALUE"""),"New")</f>
        <v>New</v>
      </c>
      <c r="F1589" s="72">
        <v>71</v>
      </c>
      <c r="G1589" s="72">
        <v>57942</v>
      </c>
      <c r="P1589" s="26"/>
    </row>
    <row r="1590" spans="1:16" ht="14.5">
      <c r="A1590" s="3" t="s">
        <v>38</v>
      </c>
      <c r="B1590" s="8" t="s">
        <v>2822</v>
      </c>
      <c r="C1590" s="46" t="s">
        <v>5162</v>
      </c>
      <c r="D1590" s="41" t="str">
        <f ca="1">IFERROR(__xludf.DUMMYFUNCTION("IFERROR(ARRAYFORMULA(REGEXEXTRACT(C1590,""^(?:https?:\/\/)?(?:[^@\n]+@)?(?:www\.)?([^:\/\n]+)"")),"""")"),"wvlt.tv")</f>
        <v>wvlt.tv</v>
      </c>
      <c r="E1590" s="26" t="str">
        <f ca="1">IFERROR(__xludf.DUMMYFUNCTION("""COMPUTED_VALUE"""),"New")</f>
        <v>New</v>
      </c>
      <c r="F1590" s="72">
        <v>71</v>
      </c>
      <c r="G1590" s="72">
        <v>81464</v>
      </c>
      <c r="P1590" s="26"/>
    </row>
    <row r="1591" spans="1:16" ht="14.5">
      <c r="A1591" s="3" t="s">
        <v>38</v>
      </c>
      <c r="B1591" s="8" t="s">
        <v>2822</v>
      </c>
      <c r="C1591" s="46" t="s">
        <v>5163</v>
      </c>
      <c r="D1591" s="41" t="str">
        <f ca="1">IFERROR(__xludf.DUMMYFUNCTION("IFERROR(ARRAYFORMULA(REGEXEXTRACT(C1591,""^(?:https?:\/\/)?(?:[^@\n]+@)?(?:www\.)?([^:\/\n]+)"")),"""")"),"fox5vegas.com")</f>
        <v>fox5vegas.com</v>
      </c>
      <c r="E1591" s="26" t="str">
        <f ca="1">IFERROR(__xludf.DUMMYFUNCTION("""COMPUTED_VALUE"""),"New")</f>
        <v>New</v>
      </c>
      <c r="F1591" s="72">
        <v>75</v>
      </c>
      <c r="G1591" s="72">
        <v>133485</v>
      </c>
      <c r="P1591" s="26"/>
    </row>
    <row r="1592" spans="1:16" ht="14.5">
      <c r="A1592" s="3" t="s">
        <v>38</v>
      </c>
      <c r="B1592" s="8" t="s">
        <v>2822</v>
      </c>
      <c r="C1592" s="46" t="s">
        <v>5164</v>
      </c>
      <c r="D1592" s="41" t="str">
        <f ca="1">IFERROR(__xludf.DUMMYFUNCTION("IFERROR(ARRAYFORMULA(REGEXEXTRACT(C1592,""^(?:https?:\/\/)?(?:[^@\n]+@)?(?:www\.)?([^:\/\n]+)"")),"""")"),"wlbt.com")</f>
        <v>wlbt.com</v>
      </c>
      <c r="E1592" s="26" t="str">
        <f ca="1">IFERROR(__xludf.DUMMYFUNCTION("""COMPUTED_VALUE"""),"New")</f>
        <v>New</v>
      </c>
      <c r="F1592" s="72">
        <v>72</v>
      </c>
      <c r="G1592" s="72">
        <v>75698</v>
      </c>
      <c r="P1592" s="26"/>
    </row>
    <row r="1593" spans="1:16" ht="14.5">
      <c r="A1593" s="3" t="s">
        <v>38</v>
      </c>
      <c r="B1593" s="8" t="s">
        <v>2822</v>
      </c>
      <c r="C1593" s="46" t="s">
        <v>5165</v>
      </c>
      <c r="D1593" s="41" t="str">
        <f ca="1">IFERROR(__xludf.DUMMYFUNCTION("IFERROR(ARRAYFORMULA(REGEXEXTRACT(C1593,""^(?:https?:\/\/)?(?:[^@\n]+@)?(?:www\.)?([^:\/\n]+)"")),"""")"),"fox10tv.com")</f>
        <v>fox10tv.com</v>
      </c>
      <c r="E1593" s="26" t="str">
        <f ca="1">IFERROR(__xludf.DUMMYFUNCTION("""COMPUTED_VALUE"""),"New")</f>
        <v>New</v>
      </c>
      <c r="F1593" s="72">
        <v>72</v>
      </c>
      <c r="G1593" s="72">
        <v>88588</v>
      </c>
      <c r="P1593" s="26"/>
    </row>
    <row r="1594" spans="1:16" ht="14.5">
      <c r="A1594" s="3" t="s">
        <v>38</v>
      </c>
      <c r="B1594" s="8" t="s">
        <v>2822</v>
      </c>
      <c r="C1594" s="46" t="s">
        <v>5166</v>
      </c>
      <c r="D1594" s="41" t="str">
        <f ca="1">IFERROR(__xludf.DUMMYFUNCTION("IFERROR(ARRAYFORMULA(REGEXEXTRACT(C1594,""^(?:https?:\/\/)?(?:[^@\n]+@)?(?:www\.)?([^:\/\n]+)"")),"""")"),"mobilemodular.com")</f>
        <v>mobilemodular.com</v>
      </c>
      <c r="E1594" s="26" t="str">
        <f ca="1">IFERROR(__xludf.DUMMYFUNCTION("""COMPUTED_VALUE"""),"New")</f>
        <v>New</v>
      </c>
      <c r="F1594" s="72">
        <v>37</v>
      </c>
      <c r="G1594" s="72">
        <v>20879</v>
      </c>
      <c r="P1594" s="26"/>
    </row>
    <row r="1595" spans="1:16" ht="14.5">
      <c r="A1595" s="3" t="s">
        <v>38</v>
      </c>
      <c r="B1595" s="8" t="s">
        <v>2822</v>
      </c>
      <c r="C1595" s="46" t="s">
        <v>5167</v>
      </c>
      <c r="D1595" s="41" t="str">
        <f ca="1">IFERROR(__xludf.DUMMYFUNCTION("IFERROR(ARRAYFORMULA(REGEXEXTRACT(C1595,""^(?:https?:\/\/)?(?:[^@\n]+@)?(?:www\.)?([^:\/\n]+)"")),"""")"),"wsmv.com")</f>
        <v>wsmv.com</v>
      </c>
      <c r="E1595" s="26" t="str">
        <f ca="1">IFERROR(__xludf.DUMMYFUNCTION("""COMPUTED_VALUE"""),"New")</f>
        <v>New</v>
      </c>
      <c r="F1595" s="72">
        <v>76</v>
      </c>
      <c r="G1595" s="72">
        <v>239702</v>
      </c>
      <c r="P1595" s="26"/>
    </row>
    <row r="1596" spans="1:16" ht="14.5">
      <c r="A1596" s="3" t="s">
        <v>38</v>
      </c>
      <c r="B1596" s="8" t="s">
        <v>2822</v>
      </c>
      <c r="C1596" s="46" t="s">
        <v>5168</v>
      </c>
      <c r="D1596" s="41" t="str">
        <f ca="1">IFERROR(__xludf.DUMMYFUNCTION("IFERROR(ARRAYFORMULA(REGEXEXTRACT(C1596,""^(?:https?:\/\/)?(?:[^@\n]+@)?(?:www\.)?([^:\/\n]+)"")),"""")"),"kptv.com")</f>
        <v>kptv.com</v>
      </c>
      <c r="E1596" s="26" t="str">
        <f ca="1">IFERROR(__xludf.DUMMYFUNCTION("""COMPUTED_VALUE"""),"New")</f>
        <v>New</v>
      </c>
      <c r="F1596" s="72">
        <v>75</v>
      </c>
      <c r="G1596" s="72">
        <v>123885</v>
      </c>
      <c r="P1596" s="26"/>
    </row>
    <row r="1597" spans="1:16" ht="14.5">
      <c r="A1597" s="3" t="s">
        <v>38</v>
      </c>
      <c r="B1597" s="8" t="s">
        <v>2822</v>
      </c>
      <c r="C1597" s="46" t="s">
        <v>5169</v>
      </c>
      <c r="D1597" s="41" t="str">
        <f ca="1">IFERROR(__xludf.DUMMYFUNCTION("IFERROR(ARRAYFORMULA(REGEXEXTRACT(C1597,""^(?:https?:\/\/)?(?:[^@\n]+@)?(?:www\.)?([^:\/\n]+)"")),"""")"),"kxii.com")</f>
        <v>kxii.com</v>
      </c>
      <c r="E1597" s="26" t="str">
        <f ca="1">IFERROR(__xludf.DUMMYFUNCTION("""COMPUTED_VALUE"""),"New")</f>
        <v>New</v>
      </c>
      <c r="F1597" s="72">
        <v>67</v>
      </c>
      <c r="G1597" s="72">
        <v>13174</v>
      </c>
      <c r="P1597" s="26"/>
    </row>
    <row r="1598" spans="1:16" ht="14.5">
      <c r="A1598" s="3" t="s">
        <v>38</v>
      </c>
      <c r="B1598" s="8" t="s">
        <v>2822</v>
      </c>
      <c r="C1598" s="46" t="s">
        <v>5170</v>
      </c>
      <c r="D1598" s="41" t="str">
        <f ca="1">IFERROR(__xludf.DUMMYFUNCTION("IFERROR(ARRAYFORMULA(REGEXEXTRACT(C1598,""^(?:https?:\/\/)?(?:[^@\n]+@)?(?:www\.)?([^:\/\n]+)"")),"""")"),"training.safetyculture.com")</f>
        <v>training.safetyculture.com</v>
      </c>
      <c r="E1598" s="26" t="str">
        <f ca="1">IFERROR(__xludf.DUMMYFUNCTION("""COMPUTED_VALUE"""),"New")</f>
        <v>New</v>
      </c>
      <c r="F1598" s="72">
        <v>81</v>
      </c>
      <c r="G1598" s="72">
        <v>617223</v>
      </c>
      <c r="P1598" s="26"/>
    </row>
    <row r="1599" spans="1:16" ht="14.5">
      <c r="A1599" s="3" t="s">
        <v>38</v>
      </c>
      <c r="B1599" s="8" t="s">
        <v>2822</v>
      </c>
      <c r="C1599" s="49" t="s">
        <v>5171</v>
      </c>
      <c r="D1599" s="41" t="str">
        <f ca="1">IFERROR(__xludf.DUMMYFUNCTION("IFERROR(ARRAYFORMULA(REGEXEXTRACT(C1599,""^(?:https?:\/\/)?(?:[^@\n]+@)?(?:www\.)?([^:\/\n]+)"")),"""")"),"elikarealestate.com")</f>
        <v>elikarealestate.com</v>
      </c>
      <c r="E1599" s="26" t="str">
        <f ca="1">IFERROR(__xludf.DUMMYFUNCTION("""COMPUTED_VALUE"""),"New")</f>
        <v>New</v>
      </c>
      <c r="F1599" s="72">
        <v>36</v>
      </c>
      <c r="G1599" s="72">
        <v>1205</v>
      </c>
      <c r="J1599" s="27" t="s">
        <v>5172</v>
      </c>
      <c r="K1599" s="27" t="s">
        <v>3853</v>
      </c>
      <c r="L1599" s="112"/>
      <c r="M1599" s="27" t="s">
        <v>3715</v>
      </c>
      <c r="N1599" s="48">
        <v>46047</v>
      </c>
      <c r="O1599" s="48">
        <v>46068</v>
      </c>
      <c r="P1599" s="26"/>
    </row>
    <row r="1600" spans="1:16" ht="14.5">
      <c r="A1600" s="3" t="s">
        <v>38</v>
      </c>
      <c r="B1600" s="8" t="s">
        <v>2822</v>
      </c>
      <c r="C1600" s="46" t="s">
        <v>5173</v>
      </c>
      <c r="D1600" s="41" t="str">
        <f ca="1">IFERROR(__xludf.DUMMYFUNCTION("IFERROR(ARRAYFORMULA(REGEXEXTRACT(C1600,""^(?:https?:\/\/)?(?:[^@\n]+@)?(?:www\.)?([^:\/\n]+)"")),"""")"),"upnest.com")</f>
        <v>upnest.com</v>
      </c>
      <c r="E1600" s="26" t="str">
        <f ca="1">IFERROR(__xludf.DUMMYFUNCTION("""COMPUTED_VALUE"""),"New")</f>
        <v>New</v>
      </c>
      <c r="F1600" s="72">
        <v>70</v>
      </c>
      <c r="G1600" s="72">
        <v>3896</v>
      </c>
      <c r="P1600" s="26"/>
    </row>
    <row r="1601" spans="1:16" ht="14.5">
      <c r="A1601" s="3" t="s">
        <v>38</v>
      </c>
      <c r="B1601" s="8" t="s">
        <v>2822</v>
      </c>
      <c r="C1601" s="46" t="s">
        <v>5174</v>
      </c>
      <c r="D1601" s="41" t="str">
        <f ca="1">IFERROR(__xludf.DUMMYFUNCTION("IFERROR(ARRAYFORMULA(REGEXEXTRACT(C1601,""^(?:https?:\/\/)?(?:[^@\n]+@)?(?:www\.)?([^:\/\n]+)"")),"""")"),"hondros.com")</f>
        <v>hondros.com</v>
      </c>
      <c r="E1601" s="26" t="str">
        <f ca="1">IFERROR(__xludf.DUMMYFUNCTION("""COMPUTED_VALUE"""),"New")</f>
        <v>New</v>
      </c>
      <c r="F1601" s="72">
        <v>46</v>
      </c>
      <c r="G1601" s="72">
        <v>17622</v>
      </c>
      <c r="P1601" s="26"/>
    </row>
    <row r="1602" spans="1:16" ht="14.5">
      <c r="A1602" s="3" t="s">
        <v>38</v>
      </c>
      <c r="B1602" s="8" t="s">
        <v>2822</v>
      </c>
      <c r="C1602" s="46" t="s">
        <v>5175</v>
      </c>
      <c r="D1602" s="41" t="str">
        <f ca="1">IFERROR(__xludf.DUMMYFUNCTION("IFERROR(ARRAYFORMULA(REGEXEXTRACT(C1602,""^(?:https?:\/\/)?(?:[^@\n]+@)?(?:www\.)?([^:\/\n]+)"")),"""")"),"sidehustleschool.com")</f>
        <v>sidehustleschool.com</v>
      </c>
      <c r="E1602" s="26" t="str">
        <f ca="1">IFERROR(__xludf.DUMMYFUNCTION("""COMPUTED_VALUE"""),"New")</f>
        <v>New</v>
      </c>
      <c r="F1602" s="72">
        <v>65</v>
      </c>
      <c r="G1602" s="72">
        <v>57437</v>
      </c>
      <c r="P1602" s="26"/>
    </row>
    <row r="1603" spans="1:16" ht="14.5">
      <c r="A1603" s="3" t="s">
        <v>38</v>
      </c>
      <c r="B1603" s="8" t="s">
        <v>2822</v>
      </c>
      <c r="C1603" s="46" t="s">
        <v>5176</v>
      </c>
      <c r="D1603" s="41" t="str">
        <f ca="1">IFERROR(__xludf.DUMMYFUNCTION("IFERROR(ARRAYFORMULA(REGEXEXTRACT(C1603,""^(?:https?:\/\/)?(?:[^@\n]+@)?(?:www\.)?([^:\/\n]+)"")),"""")"),"homesleuths.20m.com")</f>
        <v>homesleuths.20m.com</v>
      </c>
      <c r="E1603" s="26" t="str">
        <f ca="1">IFERROR(__xludf.DUMMYFUNCTION("""COMPUTED_VALUE"""),"New")</f>
        <v>New</v>
      </c>
      <c r="F1603" s="72">
        <v>73</v>
      </c>
      <c r="G1603" s="72">
        <v>6918</v>
      </c>
      <c r="P1603" s="26"/>
    </row>
    <row r="1604" spans="1:16" ht="14.5">
      <c r="A1604" s="3" t="s">
        <v>38</v>
      </c>
      <c r="B1604" s="8" t="s">
        <v>2822</v>
      </c>
      <c r="C1604" s="46" t="s">
        <v>5177</v>
      </c>
      <c r="D1604" s="41" t="str">
        <f ca="1">IFERROR(__xludf.DUMMYFUNCTION("IFERROR(ARRAYFORMULA(REGEXEXTRACT(C1604,""^(?:https?:\/\/)?(?:[^@\n]+@)?(?:www\.)?([^:\/\n]+)"")),"""")"),"fox8live.com")</f>
        <v>fox8live.com</v>
      </c>
      <c r="E1604" s="26" t="str">
        <f ca="1">IFERROR(__xludf.DUMMYFUNCTION("""COMPUTED_VALUE"""),"New")</f>
        <v>New</v>
      </c>
      <c r="F1604" s="72">
        <v>75</v>
      </c>
      <c r="G1604" s="72">
        <v>232342</v>
      </c>
      <c r="P1604" s="26"/>
    </row>
    <row r="1605" spans="1:16" ht="14.5">
      <c r="A1605" s="3" t="s">
        <v>38</v>
      </c>
      <c r="B1605" s="8" t="s">
        <v>2822</v>
      </c>
      <c r="C1605" s="46" t="s">
        <v>5178</v>
      </c>
      <c r="D1605" s="41" t="str">
        <f ca="1">IFERROR(__xludf.DUMMYFUNCTION("IFERROR(ARRAYFORMULA(REGEXEXTRACT(C1605,""^(?:https?:\/\/)?(?:[^@\n]+@)?(?:www\.)?([^:\/\n]+)"")),"""")"),"13abc.com")</f>
        <v>13abc.com</v>
      </c>
      <c r="E1605" s="26" t="str">
        <f ca="1">IFERROR(__xludf.DUMMYFUNCTION("""COMPUTED_VALUE"""),"New")</f>
        <v>New</v>
      </c>
      <c r="F1605" s="72">
        <v>73</v>
      </c>
      <c r="G1605" s="72">
        <v>54708</v>
      </c>
      <c r="P1605" s="26"/>
    </row>
    <row r="1606" spans="1:16" ht="14.5">
      <c r="A1606" s="3" t="s">
        <v>38</v>
      </c>
      <c r="B1606" s="8" t="s">
        <v>2822</v>
      </c>
      <c r="C1606" s="46" t="s">
        <v>5179</v>
      </c>
      <c r="D1606" s="41" t="str">
        <f ca="1">IFERROR(__xludf.DUMMYFUNCTION("IFERROR(ARRAYFORMULA(REGEXEXTRACT(C1606,""^(?:https?:\/\/)?(?:[^@\n]+@)?(?:www\.)?([^:\/\n]+)"")),"""")"),"screa.theceshop.com")</f>
        <v>screa.theceshop.com</v>
      </c>
      <c r="E1606" s="26" t="str">
        <f ca="1">IFERROR(__xludf.DUMMYFUNCTION("""COMPUTED_VALUE"""),"New")</f>
        <v>New</v>
      </c>
      <c r="F1606" s="72">
        <v>77</v>
      </c>
      <c r="G1606" s="72">
        <v>283631</v>
      </c>
      <c r="P1606" s="26"/>
    </row>
    <row r="1607" spans="1:16" ht="14.5">
      <c r="A1607" s="3" t="s">
        <v>38</v>
      </c>
      <c r="B1607" s="8" t="s">
        <v>2822</v>
      </c>
      <c r="C1607" s="46" t="s">
        <v>5180</v>
      </c>
      <c r="D1607" s="41" t="str">
        <f ca="1">IFERROR(__xludf.DUMMYFUNCTION("IFERROR(ARRAYFORMULA(REGEXEXTRACT(C1607,""^(?:https?:\/\/)?(?:[^@\n]+@)?(?:www\.)?([^:\/\n]+)"")),"""")"),"simplehomebuyers.hatenablog.com")</f>
        <v>simplehomebuyers.hatenablog.com</v>
      </c>
      <c r="E1607" s="26" t="str">
        <f ca="1">IFERROR(__xludf.DUMMYFUNCTION("""COMPUTED_VALUE"""),"New")</f>
        <v>New</v>
      </c>
      <c r="F1607" s="72">
        <v>90</v>
      </c>
      <c r="G1607" s="72">
        <v>5514746</v>
      </c>
      <c r="P1607" s="26"/>
    </row>
    <row r="1608" spans="1:16" ht="14.5">
      <c r="A1608" s="3" t="s">
        <v>38</v>
      </c>
      <c r="B1608" s="8" t="s">
        <v>2822</v>
      </c>
      <c r="C1608" s="46" t="s">
        <v>5181</v>
      </c>
      <c r="D1608" s="41" t="str">
        <f ca="1">IFERROR(__xludf.DUMMYFUNCTION("IFERROR(ARRAYFORMULA(REGEXEXTRACT(C1608,""^(?:https?:\/\/)?(?:[^@\n]+@)?(?:www\.)?([^:\/\n]+)"")),"""")"),"realestateskills.mykajabi.com")</f>
        <v>realestateskills.mykajabi.com</v>
      </c>
      <c r="E1608" s="26" t="str">
        <f ca="1">IFERROR(__xludf.DUMMYFUNCTION("""COMPUTED_VALUE"""),"New")</f>
        <v>New</v>
      </c>
      <c r="F1608" s="72">
        <v>91</v>
      </c>
      <c r="G1608" s="72">
        <v>35524</v>
      </c>
      <c r="P1608" s="26"/>
    </row>
    <row r="1609" spans="1:16" ht="14.5">
      <c r="A1609" s="3" t="s">
        <v>38</v>
      </c>
      <c r="B1609" s="8" t="s">
        <v>2822</v>
      </c>
      <c r="C1609" s="49" t="s">
        <v>5182</v>
      </c>
      <c r="D1609" s="41" t="str">
        <f ca="1">IFERROR(__xludf.DUMMYFUNCTION("IFERROR(ARRAYFORMULA(REGEXEXTRACT(C1609,""^(?:https?:\/\/)?(?:[^@\n]+@)?(?:www\.)?([^:\/\n]+)"")),"""")"),"mattwardhomes.com")</f>
        <v>mattwardhomes.com</v>
      </c>
      <c r="E1609" s="26" t="str">
        <f ca="1">IFERROR(__xludf.DUMMYFUNCTION("""COMPUTED_VALUE"""),"New")</f>
        <v>New</v>
      </c>
      <c r="F1609" s="72">
        <v>26</v>
      </c>
      <c r="G1609" s="72">
        <v>5158</v>
      </c>
      <c r="H1609" s="27" t="s">
        <v>4531</v>
      </c>
      <c r="I1609" s="27" t="s">
        <v>5183</v>
      </c>
      <c r="K1609" s="27" t="s">
        <v>3853</v>
      </c>
      <c r="L1609" s="112"/>
      <c r="M1609" s="27" t="s">
        <v>3715</v>
      </c>
      <c r="N1609" s="48">
        <v>46047</v>
      </c>
      <c r="O1609" s="48">
        <v>46068</v>
      </c>
      <c r="P1609" s="26"/>
    </row>
    <row r="1610" spans="1:16" ht="14.5">
      <c r="A1610" s="3" t="s">
        <v>38</v>
      </c>
      <c r="B1610" s="8" t="s">
        <v>2822</v>
      </c>
      <c r="C1610" s="46" t="s">
        <v>5184</v>
      </c>
      <c r="D1610" s="41" t="str">
        <f ca="1">IFERROR(__xludf.DUMMYFUNCTION("IFERROR(ARRAYFORMULA(REGEXEXTRACT(C1610,""^(?:https?:\/\/)?(?:[^@\n]+@)?(?:www\.)?([^:\/\n]+)"")),"""")"),"floridarealtors.org")</f>
        <v>floridarealtors.org</v>
      </c>
      <c r="E1610" s="26" t="str">
        <f ca="1">IFERROR(__xludf.DUMMYFUNCTION("""COMPUTED_VALUE"""),"New")</f>
        <v>New</v>
      </c>
      <c r="F1610" s="72">
        <v>75</v>
      </c>
      <c r="G1610" s="72">
        <v>27555</v>
      </c>
      <c r="P1610" s="26"/>
    </row>
    <row r="1611" spans="1:16" ht="14.5">
      <c r="A1611" s="3" t="s">
        <v>38</v>
      </c>
      <c r="B1611" s="8" t="s">
        <v>2822</v>
      </c>
      <c r="C1611" s="46" t="s">
        <v>5185</v>
      </c>
      <c r="D1611" s="41" t="str">
        <f ca="1">IFERROR(__xludf.DUMMYFUNCTION("IFERROR(ARRAYFORMULA(REGEXEXTRACT(C1611,""^(?:https?:\/\/)?(?:[^@\n]+@)?(?:www\.)?([^:\/\n]+)"")),"""")"),"insurancejournal.com")</f>
        <v>insurancejournal.com</v>
      </c>
      <c r="E1611" s="26" t="str">
        <f ca="1">IFERROR(__xludf.DUMMYFUNCTION("""COMPUTED_VALUE"""),"New")</f>
        <v>New</v>
      </c>
      <c r="F1611" s="72">
        <v>82</v>
      </c>
      <c r="G1611" s="72">
        <v>62960</v>
      </c>
      <c r="P1611" s="26"/>
    </row>
    <row r="1612" spans="1:16" ht="14.5">
      <c r="A1612" s="3" t="s">
        <v>38</v>
      </c>
      <c r="B1612" s="8" t="s">
        <v>2822</v>
      </c>
      <c r="C1612" s="46" t="s">
        <v>5186</v>
      </c>
      <c r="D1612" s="41" t="str">
        <f ca="1">IFERROR(__xludf.DUMMYFUNCTION("IFERROR(ARRAYFORMULA(REGEXEXTRACT(C1612,""^(?:https?:\/\/)?(?:[^@\n]+@)?(?:www\.)?([^:\/\n]+)"")),"""")"),"riclexel.substack.com")</f>
        <v>riclexel.substack.com</v>
      </c>
      <c r="E1612" s="26" t="str">
        <f ca="1">IFERROR(__xludf.DUMMYFUNCTION("""COMPUTED_VALUE"""),"New")</f>
        <v>New</v>
      </c>
      <c r="F1612" s="72">
        <v>93</v>
      </c>
      <c r="G1612" s="72">
        <v>6580894</v>
      </c>
      <c r="P1612" s="26"/>
    </row>
    <row r="1613" spans="1:16" ht="14.5">
      <c r="A1613" s="3" t="s">
        <v>38</v>
      </c>
      <c r="B1613" s="8" t="s">
        <v>2822</v>
      </c>
      <c r="C1613" s="46" t="s">
        <v>5187</v>
      </c>
      <c r="D1613" s="41" t="str">
        <f ca="1">IFERROR(__xludf.DUMMYFUNCTION("IFERROR(ARRAYFORMULA(REGEXEXTRACT(C1613,""^(?:https?:\/\/)?(?:[^@\n]+@)?(?:www\.)?([^:\/\n]+)"")),"""")"),"wave3.com")</f>
        <v>wave3.com</v>
      </c>
      <c r="E1613" s="26" t="str">
        <f ca="1">IFERROR(__xludf.DUMMYFUNCTION("""COMPUTED_VALUE"""),"New")</f>
        <v>New</v>
      </c>
      <c r="F1613" s="72">
        <v>74</v>
      </c>
      <c r="G1613" s="72">
        <v>131380</v>
      </c>
      <c r="P1613" s="26"/>
    </row>
    <row r="1614" spans="1:16" ht="14.5">
      <c r="A1614" s="3" t="s">
        <v>38</v>
      </c>
      <c r="B1614" s="8" t="s">
        <v>2822</v>
      </c>
      <c r="C1614" s="46" t="s">
        <v>5188</v>
      </c>
      <c r="D1614" s="41" t="str">
        <f ca="1">IFERROR(__xludf.DUMMYFUNCTION("IFERROR(ARRAYFORMULA(REGEXEXTRACT(C1614,""^(?:https?:\/\/)?(?:[^@\n]+@)?(?:www\.)?([^:\/\n]+)"")),"""")"),"21alivenews.com")</f>
        <v>21alivenews.com</v>
      </c>
      <c r="E1614" s="26" t="str">
        <f ca="1">IFERROR(__xludf.DUMMYFUNCTION("""COMPUTED_VALUE"""),"New")</f>
        <v>New</v>
      </c>
      <c r="F1614" s="72">
        <v>63</v>
      </c>
      <c r="G1614" s="72">
        <v>52754</v>
      </c>
      <c r="P1614" s="26"/>
    </row>
    <row r="1615" spans="1:16" ht="14.5">
      <c r="A1615" s="3" t="s">
        <v>38</v>
      </c>
      <c r="B1615" s="8" t="s">
        <v>2822</v>
      </c>
      <c r="C1615" s="46" t="s">
        <v>5189</v>
      </c>
      <c r="D1615" s="41" t="str">
        <f ca="1">IFERROR(__xludf.DUMMYFUNCTION("IFERROR(ARRAYFORMULA(REGEXEXTRACT(C1615,""^(?:https?:\/\/)?(?:[^@\n]+@)?(?:www\.)?([^:\/\n]+)"")),"""")"),"webcenterfairbanks.com")</f>
        <v>webcenterfairbanks.com</v>
      </c>
      <c r="E1615" s="26" t="str">
        <f ca="1">IFERROR(__xludf.DUMMYFUNCTION("""COMPUTED_VALUE"""),"New")</f>
        <v>New</v>
      </c>
      <c r="F1615" s="72">
        <v>52</v>
      </c>
      <c r="G1615" s="72">
        <v>2636</v>
      </c>
      <c r="P1615" s="26"/>
    </row>
    <row r="1616" spans="1:16" ht="14.5">
      <c r="A1616" s="3" t="s">
        <v>38</v>
      </c>
      <c r="B1616" s="8" t="s">
        <v>2822</v>
      </c>
      <c r="C1616" s="46" t="s">
        <v>5190</v>
      </c>
      <c r="D1616" s="41" t="str">
        <f ca="1">IFERROR(__xludf.DUMMYFUNCTION("IFERROR(ARRAYFORMULA(REGEXEXTRACT(C1616,""^(?:https?:\/\/)?(?:[^@\n]+@)?(?:www\.)?([^:\/\n]+)"")),"""")"),"newschannel10.com")</f>
        <v>newschannel10.com</v>
      </c>
      <c r="E1616" s="26" t="str">
        <f ca="1">IFERROR(__xludf.DUMMYFUNCTION("""COMPUTED_VALUE"""),"New")</f>
        <v>New</v>
      </c>
      <c r="F1616" s="72">
        <v>70</v>
      </c>
      <c r="G1616" s="72">
        <v>45842</v>
      </c>
      <c r="P1616" s="26"/>
    </row>
    <row r="1617" spans="1:16" ht="14.5">
      <c r="A1617" s="3" t="s">
        <v>38</v>
      </c>
      <c r="B1617" s="8" t="s">
        <v>2822</v>
      </c>
      <c r="C1617" s="46" t="s">
        <v>5191</v>
      </c>
      <c r="D1617" s="41" t="str">
        <f ca="1">IFERROR(__xludf.DUMMYFUNCTION("IFERROR(ARRAYFORMULA(REGEXEXTRACT(C1617,""^(?:https?:\/\/)?(?:[^@\n]+@)?(?:www\.)?([^:\/\n]+)"")),"""")"),"wistv.com")</f>
        <v>wistv.com</v>
      </c>
      <c r="E1617" s="26" t="str">
        <f ca="1">IFERROR(__xludf.DUMMYFUNCTION("""COMPUTED_VALUE"""),"New")</f>
        <v>New</v>
      </c>
      <c r="F1617" s="72">
        <v>74</v>
      </c>
      <c r="G1617" s="72">
        <v>140345</v>
      </c>
      <c r="P1617" s="26"/>
    </row>
    <row r="1618" spans="1:16" ht="14.5">
      <c r="A1618" s="3" t="s">
        <v>38</v>
      </c>
      <c r="B1618" s="8" t="s">
        <v>2822</v>
      </c>
      <c r="C1618" s="46" t="s">
        <v>5192</v>
      </c>
      <c r="D1618" s="41" t="str">
        <f ca="1">IFERROR(__xludf.DUMMYFUNCTION("IFERROR(ARRAYFORMULA(REGEXEXTRACT(C1618,""^(?:https?:\/\/)?(?:[^@\n]+@)?(?:www\.)?([^:\/\n]+)"")),"""")"),"kgns.tv")</f>
        <v>kgns.tv</v>
      </c>
      <c r="E1618" s="26" t="str">
        <f ca="1">IFERROR(__xludf.DUMMYFUNCTION("""COMPUTED_VALUE"""),"New")</f>
        <v>New</v>
      </c>
      <c r="F1618" s="72">
        <v>62</v>
      </c>
      <c r="G1618" s="72">
        <v>56596</v>
      </c>
      <c r="P1618" s="26"/>
    </row>
    <row r="1619" spans="1:16" ht="14.5">
      <c r="A1619" s="3" t="s">
        <v>38</v>
      </c>
      <c r="B1619" s="8" t="s">
        <v>2822</v>
      </c>
      <c r="C1619" s="46" t="s">
        <v>5193</v>
      </c>
      <c r="D1619" s="41" t="str">
        <f ca="1">IFERROR(__xludf.DUMMYFUNCTION("IFERROR(ARRAYFORMULA(REGEXEXTRACT(C1619,""^(?:https?:\/\/)?(?:[^@\n]+@)?(?:www\.)?([^:\/\n]+)"")),"""")"),"wkyt.com")</f>
        <v>wkyt.com</v>
      </c>
      <c r="E1619" s="26" t="str">
        <f ca="1">IFERROR(__xludf.DUMMYFUNCTION("""COMPUTED_VALUE"""),"New")</f>
        <v>New</v>
      </c>
      <c r="F1619" s="72">
        <v>74</v>
      </c>
      <c r="G1619" s="72">
        <v>126099</v>
      </c>
      <c r="P1619" s="26"/>
    </row>
    <row r="1620" spans="1:16" ht="14.5">
      <c r="A1620" s="3" t="s">
        <v>38</v>
      </c>
      <c r="B1620" s="8" t="s">
        <v>2822</v>
      </c>
      <c r="C1620" s="46" t="s">
        <v>5194</v>
      </c>
      <c r="D1620" s="41" t="str">
        <f ca="1">IFERROR(__xludf.DUMMYFUNCTION("IFERROR(ARRAYFORMULA(REGEXEXTRACT(C1620,""^(?:https?:\/\/)?(?:[^@\n]+@)?(?:www\.)?([^:\/\n]+)"")),"""")"),"foxcarolina.com")</f>
        <v>foxcarolina.com</v>
      </c>
      <c r="E1620" s="26" t="str">
        <f ca="1">IFERROR(__xludf.DUMMYFUNCTION("""COMPUTED_VALUE"""),"New")</f>
        <v>New</v>
      </c>
      <c r="F1620" s="72">
        <v>73</v>
      </c>
      <c r="G1620" s="72">
        <v>85226</v>
      </c>
      <c r="P1620" s="26"/>
    </row>
    <row r="1621" spans="1:16" ht="14.5" hidden="1">
      <c r="A1621" s="3" t="s">
        <v>38</v>
      </c>
      <c r="B1621" s="8" t="s">
        <v>2822</v>
      </c>
      <c r="C1621" s="47" t="s">
        <v>5195</v>
      </c>
      <c r="D1621" s="41" t="str">
        <f ca="1">IFERROR(__xludf.DUMMYFUNCTION("IFERROR(ARRAYFORMULA(REGEXEXTRACT(C1621,""^(?:https?:\/\/)?(?:[^@\n]+@)?(?:www\.)?([^:\/\n]+)"")),"""")"),"pick-kart.com")</f>
        <v>pick-kart.com</v>
      </c>
      <c r="E1621" s="26" t="str">
        <f ca="1">IFERROR(__xludf.DUMMYFUNCTION("""COMPUTED_VALUE"""),"Already Exists")</f>
        <v>Already Exists</v>
      </c>
      <c r="F1621" s="72">
        <v>33</v>
      </c>
      <c r="G1621" s="72">
        <v>14144</v>
      </c>
      <c r="J1621" s="27" t="s">
        <v>5196</v>
      </c>
      <c r="K1621" s="27" t="s">
        <v>3756</v>
      </c>
      <c r="L1621" s="112"/>
      <c r="M1621" s="27" t="s">
        <v>3715</v>
      </c>
      <c r="N1621" s="48">
        <v>46047</v>
      </c>
      <c r="P1621" s="27" t="s">
        <v>3201</v>
      </c>
    </row>
    <row r="1622" spans="1:16" ht="14.5">
      <c r="A1622" s="3" t="s">
        <v>38</v>
      </c>
      <c r="B1622" s="8" t="s">
        <v>2822</v>
      </c>
      <c r="C1622" s="46" t="s">
        <v>5197</v>
      </c>
      <c r="D1622" s="41" t="str">
        <f ca="1">IFERROR(__xludf.DUMMYFUNCTION("IFERROR(ARRAYFORMULA(REGEXEXTRACT(C1622,""^(?:https?:\/\/)?(?:[^@\n]+@)?(?:www\.)?([^:\/\n]+)"")),"""")"),"kttc.com")</f>
        <v>kttc.com</v>
      </c>
      <c r="E1622" s="26" t="str">
        <f ca="1">IFERROR(__xludf.DUMMYFUNCTION("""COMPUTED_VALUE"""),"New")</f>
        <v>New</v>
      </c>
      <c r="F1622" s="72">
        <v>71</v>
      </c>
      <c r="G1622" s="72">
        <v>32938</v>
      </c>
      <c r="P1622" s="26"/>
    </row>
    <row r="1623" spans="1:16" ht="14.5">
      <c r="A1623" s="3" t="s">
        <v>38</v>
      </c>
      <c r="B1623" s="8" t="s">
        <v>2822</v>
      </c>
      <c r="C1623" s="46" t="s">
        <v>5198</v>
      </c>
      <c r="D1623" s="41" t="str">
        <f ca="1">IFERROR(__xludf.DUMMYFUNCTION("IFERROR(ARRAYFORMULA(REGEXEXTRACT(C1623,""^(?:https?:\/\/)?(?:[^@\n]+@)?(?:www\.)?([^:\/\n]+)"")),"""")"),"hawaiinewsnow.com")</f>
        <v>hawaiinewsnow.com</v>
      </c>
      <c r="E1623" s="26" t="str">
        <f ca="1">IFERROR(__xludf.DUMMYFUNCTION("""COMPUTED_VALUE"""),"New")</f>
        <v>New</v>
      </c>
      <c r="F1623" s="72">
        <v>79</v>
      </c>
      <c r="G1623" s="72">
        <v>260274</v>
      </c>
      <c r="P1623" s="26"/>
    </row>
    <row r="1624" spans="1:16" ht="14.5">
      <c r="A1624" s="3" t="s">
        <v>38</v>
      </c>
      <c r="B1624" s="8" t="s">
        <v>2822</v>
      </c>
      <c r="C1624" s="46" t="s">
        <v>5199</v>
      </c>
      <c r="D1624" s="41" t="str">
        <f ca="1">IFERROR(__xludf.DUMMYFUNCTION("IFERROR(ARRAYFORMULA(REGEXEXTRACT(C1624,""^(?:https?:\/\/)?(?:[^@\n]+@)?(?:www\.)?([^:\/\n]+)"")),"""")"),"cleveland19.com")</f>
        <v>cleveland19.com</v>
      </c>
      <c r="E1624" s="26" t="str">
        <f ca="1">IFERROR(__xludf.DUMMYFUNCTION("""COMPUTED_VALUE"""),"New")</f>
        <v>New</v>
      </c>
      <c r="F1624" s="72">
        <v>74</v>
      </c>
      <c r="G1624" s="72">
        <v>160402</v>
      </c>
      <c r="P1624" s="26"/>
    </row>
    <row r="1625" spans="1:16" ht="14.5">
      <c r="A1625" s="3" t="s">
        <v>38</v>
      </c>
      <c r="B1625" s="8" t="s">
        <v>2822</v>
      </c>
      <c r="C1625" s="46" t="s">
        <v>5200</v>
      </c>
      <c r="D1625" s="41" t="str">
        <f ca="1">IFERROR(__xludf.DUMMYFUNCTION("IFERROR(ARRAYFORMULA(REGEXEXTRACT(C1625,""^(?:https?:\/\/)?(?:[^@\n]+@)?(?:www\.)?([^:\/\n]+)"")),"""")"),"kjct8.com")</f>
        <v>kjct8.com</v>
      </c>
      <c r="E1625" s="26" t="str">
        <f ca="1">IFERROR(__xludf.DUMMYFUNCTION("""COMPUTED_VALUE"""),"New")</f>
        <v>New</v>
      </c>
      <c r="F1625" s="72">
        <v>60</v>
      </c>
      <c r="G1625" s="72">
        <v>11387</v>
      </c>
      <c r="P1625" s="26"/>
    </row>
    <row r="1626" spans="1:16" ht="14.5">
      <c r="A1626" s="3" t="s">
        <v>38</v>
      </c>
      <c r="B1626" s="8" t="s">
        <v>2822</v>
      </c>
      <c r="C1626" s="46" t="s">
        <v>5201</v>
      </c>
      <c r="D1626" s="41" t="str">
        <f ca="1">IFERROR(__xludf.DUMMYFUNCTION("IFERROR(ARRAYFORMULA(REGEXEXTRACT(C1626,""^(?:https?:\/\/)?(?:[^@\n]+@)?(?:www\.)?([^:\/\n]+)"")),"""")"),"wabi.tv")</f>
        <v>wabi.tv</v>
      </c>
      <c r="E1626" s="26" t="str">
        <f ca="1">IFERROR(__xludf.DUMMYFUNCTION("""COMPUTED_VALUE"""),"New")</f>
        <v>New</v>
      </c>
      <c r="F1626" s="72">
        <v>73</v>
      </c>
      <c r="G1626" s="72">
        <v>29463</v>
      </c>
      <c r="P1626" s="26"/>
    </row>
    <row r="1627" spans="1:16" ht="14.5">
      <c r="A1627" s="3" t="s">
        <v>38</v>
      </c>
      <c r="B1627" s="8" t="s">
        <v>2822</v>
      </c>
      <c r="C1627" s="46" t="s">
        <v>5202</v>
      </c>
      <c r="D1627" s="41" t="str">
        <f ca="1">IFERROR(__xludf.DUMMYFUNCTION("IFERROR(ARRAYFORMULA(REGEXEXTRACT(C1627,""^(?:https?:\/\/)?(?:[^@\n]+@)?(?:www\.)?([^:\/\n]+)"")),"""")"),"wsaz.com")</f>
        <v>wsaz.com</v>
      </c>
      <c r="E1627" s="26" t="str">
        <f ca="1">IFERROR(__xludf.DUMMYFUNCTION("""COMPUTED_VALUE"""),"New")</f>
        <v>New</v>
      </c>
      <c r="F1627" s="72">
        <v>73</v>
      </c>
      <c r="G1627" s="72">
        <v>73737</v>
      </c>
      <c r="P1627" s="26"/>
    </row>
    <row r="1628" spans="1:16" ht="14.5">
      <c r="A1628" s="3" t="s">
        <v>38</v>
      </c>
      <c r="B1628" s="8" t="s">
        <v>2822</v>
      </c>
      <c r="C1628" s="46" t="s">
        <v>5203</v>
      </c>
      <c r="D1628" s="41" t="str">
        <f ca="1">IFERROR(__xludf.DUMMYFUNCTION("IFERROR(ARRAYFORMULA(REGEXEXTRACT(C1628,""^(?:https?:\/\/)?(?:[^@\n]+@)?(?:www\.)?([^:\/\n]+)"")),"""")"),"kolotv.com")</f>
        <v>kolotv.com</v>
      </c>
      <c r="E1628" s="26" t="str">
        <f ca="1">IFERROR(__xludf.DUMMYFUNCTION("""COMPUTED_VALUE"""),"New")</f>
        <v>New</v>
      </c>
      <c r="F1628" s="72">
        <v>74</v>
      </c>
      <c r="G1628" s="72">
        <v>30475</v>
      </c>
      <c r="P1628" s="26"/>
    </row>
    <row r="1629" spans="1:16" ht="14.5">
      <c r="A1629" s="3" t="s">
        <v>38</v>
      </c>
      <c r="B1629" s="8" t="s">
        <v>2822</v>
      </c>
      <c r="C1629" s="46" t="s">
        <v>5204</v>
      </c>
      <c r="D1629" s="41" t="str">
        <f ca="1">IFERROR(__xludf.DUMMYFUNCTION("IFERROR(ARRAYFORMULA(REGEXEXTRACT(C1629,""^(?:https?:\/\/)?(?:[^@\n]+@)?(?:www\.)?([^:\/\n]+)"")),"""")"),"business.providence.edu")</f>
        <v>business.providence.edu</v>
      </c>
      <c r="E1629" s="26" t="str">
        <f ca="1">IFERROR(__xludf.DUMMYFUNCTION("""COMPUTED_VALUE"""),"New")</f>
        <v>New</v>
      </c>
      <c r="F1629" s="72">
        <v>72</v>
      </c>
      <c r="G1629" s="72">
        <v>42169</v>
      </c>
      <c r="P1629" s="26"/>
    </row>
    <row r="1630" spans="1:16" ht="14.5">
      <c r="A1630" s="3" t="s">
        <v>38</v>
      </c>
      <c r="B1630" s="8" t="s">
        <v>2822</v>
      </c>
      <c r="C1630" s="46" t="s">
        <v>5205</v>
      </c>
      <c r="D1630" s="41" t="str">
        <f ca="1">IFERROR(__xludf.DUMMYFUNCTION("IFERROR(ARRAYFORMULA(REGEXEXTRACT(C1630,""^(?:https?:\/\/)?(?:[^@\n]+@)?(?:www\.)?([^:\/\n]+)"")),"""")"),"knoe.com")</f>
        <v>knoe.com</v>
      </c>
      <c r="E1630" s="26" t="str">
        <f ca="1">IFERROR(__xludf.DUMMYFUNCTION("""COMPUTED_VALUE"""),"New")</f>
        <v>New</v>
      </c>
      <c r="F1630" s="72">
        <v>69</v>
      </c>
      <c r="G1630" s="72">
        <v>16480</v>
      </c>
      <c r="P1630" s="26"/>
    </row>
    <row r="1631" spans="1:16" ht="14.5">
      <c r="A1631" s="3" t="s">
        <v>38</v>
      </c>
      <c r="B1631" s="8" t="s">
        <v>2822</v>
      </c>
      <c r="C1631" s="49" t="s">
        <v>5206</v>
      </c>
      <c r="D1631" s="41" t="str">
        <f ca="1">IFERROR(__xludf.DUMMYFUNCTION("IFERROR(ARRAYFORMULA(REGEXEXTRACT(C1631,""^(?:https?:\/\/)?(?:[^@\n]+@)?(?:www\.)?([^:\/\n]+)"")),"""")"),"realestateagents.com")</f>
        <v>realestateagents.com</v>
      </c>
      <c r="E1631" s="26" t="str">
        <f ca="1">IFERROR(__xludf.DUMMYFUNCTION("""COMPUTED_VALUE"""),"New")</f>
        <v>New</v>
      </c>
      <c r="F1631" s="72">
        <v>57</v>
      </c>
      <c r="G1631" s="72">
        <v>2953</v>
      </c>
      <c r="H1631" s="27" t="s">
        <v>3366</v>
      </c>
      <c r="I1631" s="27" t="s">
        <v>5207</v>
      </c>
      <c r="J1631" s="27" t="s">
        <v>5208</v>
      </c>
      <c r="K1631" s="27" t="s">
        <v>3853</v>
      </c>
      <c r="L1631" s="112"/>
      <c r="M1631" s="27" t="s">
        <v>3715</v>
      </c>
      <c r="N1631" s="48">
        <v>46047</v>
      </c>
      <c r="O1631" s="48">
        <v>46068</v>
      </c>
      <c r="P1631" s="26"/>
    </row>
    <row r="1632" spans="1:16" ht="14.5">
      <c r="A1632" s="3" t="s">
        <v>38</v>
      </c>
      <c r="B1632" s="8" t="s">
        <v>2822</v>
      </c>
      <c r="C1632" s="46" t="s">
        <v>5209</v>
      </c>
      <c r="D1632" s="41" t="str">
        <f ca="1">IFERROR(__xludf.DUMMYFUNCTION("IFERROR(ARRAYFORMULA(REGEXEXTRACT(C1632,""^(?:https?:\/\/)?(?:[^@\n]+@)?(?:www\.)?([^:\/\n]+)"")),"""")"),"29news.com")</f>
        <v>29news.com</v>
      </c>
      <c r="E1632" s="26" t="str">
        <f ca="1">IFERROR(__xludf.DUMMYFUNCTION("""COMPUTED_VALUE"""),"New")</f>
        <v>New</v>
      </c>
      <c r="F1632" s="72">
        <v>70</v>
      </c>
      <c r="G1632" s="72">
        <v>53008</v>
      </c>
      <c r="P1632" s="26"/>
    </row>
    <row r="1633" spans="1:16" ht="14.5">
      <c r="A1633" s="3" t="s">
        <v>38</v>
      </c>
      <c r="B1633" s="8" t="s">
        <v>2822</v>
      </c>
      <c r="C1633" s="46" t="s">
        <v>5210</v>
      </c>
      <c r="D1633" s="41" t="str">
        <f ca="1">IFERROR(__xludf.DUMMYFUNCTION("IFERROR(ARRAYFORMULA(REGEXEXTRACT(C1633,""^(?:https?:\/\/)?(?:[^@\n]+@)?(?:www\.)?([^:\/\n]+)"")),"""")"),"wmbfnews.com")</f>
        <v>wmbfnews.com</v>
      </c>
      <c r="E1633" s="26" t="str">
        <f ca="1">IFERROR(__xludf.DUMMYFUNCTION("""COMPUTED_VALUE"""),"New")</f>
        <v>New</v>
      </c>
      <c r="F1633" s="72">
        <v>73</v>
      </c>
      <c r="G1633" s="72">
        <v>49579</v>
      </c>
      <c r="P1633" s="26"/>
    </row>
    <row r="1634" spans="1:16" ht="14.5">
      <c r="A1634" s="3" t="s">
        <v>38</v>
      </c>
      <c r="B1634" s="8" t="s">
        <v>2822</v>
      </c>
      <c r="C1634" s="46" t="s">
        <v>5211</v>
      </c>
      <c r="D1634" s="41" t="str">
        <f ca="1">IFERROR(__xludf.DUMMYFUNCTION("IFERROR(ARRAYFORMULA(REGEXEXTRACT(C1634,""^(?:https?:\/\/)?(?:[^@\n]+@)?(?:www\.)?([^:\/\n]+)"")),"""")"),"14news.com")</f>
        <v>14news.com</v>
      </c>
      <c r="E1634" s="26" t="str">
        <f ca="1">IFERROR(__xludf.DUMMYFUNCTION("""COMPUTED_VALUE"""),"New")</f>
        <v>New</v>
      </c>
      <c r="F1634" s="72">
        <v>70</v>
      </c>
      <c r="G1634" s="72">
        <v>69621</v>
      </c>
      <c r="P1634" s="26"/>
    </row>
    <row r="1635" spans="1:16" ht="14.5">
      <c r="A1635" s="3" t="s">
        <v>38</v>
      </c>
      <c r="B1635" s="8" t="s">
        <v>2822</v>
      </c>
      <c r="C1635" s="46" t="s">
        <v>5212</v>
      </c>
      <c r="D1635" s="41" t="str">
        <f ca="1">IFERROR(__xludf.DUMMYFUNCTION("IFERROR(ARRAYFORMULA(REGEXEXTRACT(C1635,""^(?:https?:\/\/)?(?:[^@\n]+@)?(?:www\.)?([^:\/\n]+)"")),"""")"),"25newsnow.com")</f>
        <v>25newsnow.com</v>
      </c>
      <c r="E1635" s="26" t="str">
        <f ca="1">IFERROR(__xludf.DUMMYFUNCTION("""COMPUTED_VALUE"""),"New")</f>
        <v>New</v>
      </c>
      <c r="F1635" s="72">
        <v>66</v>
      </c>
      <c r="G1635" s="72">
        <v>46734</v>
      </c>
      <c r="P1635" s="26"/>
    </row>
    <row r="1636" spans="1:16" ht="14.5">
      <c r="A1636" s="3" t="s">
        <v>38</v>
      </c>
      <c r="B1636" s="8" t="s">
        <v>2822</v>
      </c>
      <c r="C1636" s="46" t="s">
        <v>5213</v>
      </c>
      <c r="D1636" s="41" t="str">
        <f ca="1">IFERROR(__xludf.DUMMYFUNCTION("IFERROR(ARRAYFORMULA(REGEXEXTRACT(C1636,""^(?:https?:\/\/)?(?:[^@\n]+@)?(?:www\.)?([^:\/\n]+)"")),"""")"),"knopnews2.com")</f>
        <v>knopnews2.com</v>
      </c>
      <c r="E1636" s="26" t="str">
        <f ca="1">IFERROR(__xludf.DUMMYFUNCTION("""COMPUTED_VALUE"""),"New")</f>
        <v>New</v>
      </c>
      <c r="F1636" s="72">
        <v>56</v>
      </c>
      <c r="G1636" s="72">
        <v>1942</v>
      </c>
      <c r="P1636" s="26"/>
    </row>
    <row r="1637" spans="1:16" ht="14.5">
      <c r="A1637" s="3" t="s">
        <v>38</v>
      </c>
      <c r="B1637" s="8" t="s">
        <v>2822</v>
      </c>
      <c r="C1637" s="46" t="s">
        <v>5214</v>
      </c>
      <c r="D1637" s="41" t="str">
        <f ca="1">IFERROR(__xludf.DUMMYFUNCTION("IFERROR(ARRAYFORMULA(REGEXEXTRACT(C1637,""^(?:https?:\/\/)?(?:[^@\n]+@)?(?:www\.)?([^:\/\n]+)"")),"""")"),"kkco11news.com")</f>
        <v>kkco11news.com</v>
      </c>
      <c r="E1637" s="26" t="str">
        <f ca="1">IFERROR(__xludf.DUMMYFUNCTION("""COMPUTED_VALUE"""),"New")</f>
        <v>New</v>
      </c>
      <c r="F1637" s="72">
        <v>59</v>
      </c>
      <c r="G1637" s="72">
        <v>13870</v>
      </c>
      <c r="P1637" s="26"/>
    </row>
    <row r="1638" spans="1:16" ht="14.5">
      <c r="A1638" s="3" t="s">
        <v>38</v>
      </c>
      <c r="B1638" s="8" t="s">
        <v>2822</v>
      </c>
      <c r="C1638" s="46" t="s">
        <v>5215</v>
      </c>
      <c r="D1638" s="41" t="str">
        <f ca="1">IFERROR(__xludf.DUMMYFUNCTION("IFERROR(ARRAYFORMULA(REGEXEXTRACT(C1638,""^(?:https?:\/\/)?(?:[^@\n]+@)?(?:www\.)?([^:\/\n]+)"")),"""")"),"ksla.com")</f>
        <v>ksla.com</v>
      </c>
      <c r="E1638" s="26" t="str">
        <f ca="1">IFERROR(__xludf.DUMMYFUNCTION("""COMPUTED_VALUE"""),"New")</f>
        <v>New</v>
      </c>
      <c r="F1638" s="72">
        <v>71</v>
      </c>
      <c r="G1638" s="72">
        <v>32725</v>
      </c>
      <c r="P1638" s="26"/>
    </row>
    <row r="1639" spans="1:16" ht="14.5">
      <c r="A1639" s="3" t="s">
        <v>38</v>
      </c>
      <c r="B1639" s="8" t="s">
        <v>2822</v>
      </c>
      <c r="C1639" s="46" t="s">
        <v>5216</v>
      </c>
      <c r="D1639" s="41" t="str">
        <f ca="1">IFERROR(__xludf.DUMMYFUNCTION("IFERROR(ARRAYFORMULA(REGEXEXTRACT(C1639,""^(?:https?:\/\/)?(?:[^@\n]+@)?(?:www\.)?([^:\/\n]+)"")),"""")"),"kold.com")</f>
        <v>kold.com</v>
      </c>
      <c r="E1639" s="26" t="str">
        <f ca="1">IFERROR(__xludf.DUMMYFUNCTION("""COMPUTED_VALUE"""),"New")</f>
        <v>New</v>
      </c>
      <c r="F1639" s="72">
        <v>73</v>
      </c>
      <c r="G1639" s="72">
        <v>50222</v>
      </c>
      <c r="P1639" s="26"/>
    </row>
    <row r="1640" spans="1:16" ht="14.5">
      <c r="A1640" s="3" t="s">
        <v>38</v>
      </c>
      <c r="B1640" s="8" t="s">
        <v>2822</v>
      </c>
      <c r="C1640" s="46" t="s">
        <v>5217</v>
      </c>
      <c r="D1640" s="41" t="str">
        <f ca="1">IFERROR(__xludf.DUMMYFUNCTION("IFERROR(ARRAYFORMULA(REGEXEXTRACT(C1640,""^(?:https?:\/\/)?(?:[^@\n]+@)?(?:www\.)?([^:\/\n]+)"")),"""")"),"wdtv.com")</f>
        <v>wdtv.com</v>
      </c>
      <c r="E1640" s="26" t="str">
        <f ca="1">IFERROR(__xludf.DUMMYFUNCTION("""COMPUTED_VALUE"""),"New")</f>
        <v>New</v>
      </c>
      <c r="F1640" s="72">
        <v>65</v>
      </c>
      <c r="G1640" s="72">
        <v>24991</v>
      </c>
      <c r="P1640" s="26"/>
    </row>
    <row r="1641" spans="1:16" ht="14.5">
      <c r="A1641" s="3" t="s">
        <v>38</v>
      </c>
      <c r="B1641" s="8" t="s">
        <v>2822</v>
      </c>
      <c r="C1641" s="46" t="s">
        <v>5218</v>
      </c>
      <c r="D1641" s="41" t="str">
        <f ca="1">IFERROR(__xludf.DUMMYFUNCTION("IFERROR(ARRAYFORMULA(REGEXEXTRACT(C1641,""^(?:https?:\/\/)?(?:[^@\n]+@)?(?:www\.)?([^:\/\n]+)"")),"""")"),"newschannel6now.com")</f>
        <v>newschannel6now.com</v>
      </c>
      <c r="E1641" s="26" t="str">
        <f ca="1">IFERROR(__xludf.DUMMYFUNCTION("""COMPUTED_VALUE"""),"New")</f>
        <v>New</v>
      </c>
      <c r="F1641" s="72">
        <v>60</v>
      </c>
      <c r="G1641" s="72">
        <v>15674</v>
      </c>
      <c r="P1641" s="26"/>
    </row>
    <row r="1642" spans="1:16" ht="14.5">
      <c r="A1642" s="3" t="s">
        <v>38</v>
      </c>
      <c r="B1642" s="8" t="s">
        <v>2822</v>
      </c>
      <c r="C1642" s="46" t="s">
        <v>5219</v>
      </c>
      <c r="D1642" s="41" t="str">
        <f ca="1">IFERROR(__xludf.DUMMYFUNCTION("IFERROR(ARRAYFORMULA(REGEXEXTRACT(C1642,""^(?:https?:\/\/)?(?:[^@\n]+@)?(?:www\.)?([^:\/\n]+)"")),"""")"),"wndu.com")</f>
        <v>wndu.com</v>
      </c>
      <c r="E1642" s="26" t="str">
        <f ca="1">IFERROR(__xludf.DUMMYFUNCTION("""COMPUTED_VALUE"""),"New")</f>
        <v>New</v>
      </c>
      <c r="F1642" s="72">
        <v>72</v>
      </c>
      <c r="G1642" s="72">
        <v>78115</v>
      </c>
      <c r="P1642" s="26"/>
    </row>
    <row r="1643" spans="1:16" ht="14.5">
      <c r="A1643" s="3" t="s">
        <v>38</v>
      </c>
      <c r="B1643" s="8" t="s">
        <v>2822</v>
      </c>
      <c r="C1643" s="46" t="s">
        <v>5220</v>
      </c>
      <c r="D1643" s="41" t="str">
        <f ca="1">IFERROR(__xludf.DUMMYFUNCTION("IFERROR(ARRAYFORMULA(REGEXEXTRACT(C1643,""^(?:https?:\/\/)?(?:[^@\n]+@)?(?:www\.)?([^:\/\n]+)"")),"""")"),"wymt.com")</f>
        <v>wymt.com</v>
      </c>
      <c r="E1643" s="26" t="str">
        <f ca="1">IFERROR(__xludf.DUMMYFUNCTION("""COMPUTED_VALUE"""),"New")</f>
        <v>New</v>
      </c>
      <c r="F1643" s="72">
        <v>69</v>
      </c>
      <c r="G1643" s="72">
        <v>23841</v>
      </c>
      <c r="P1643" s="26"/>
    </row>
    <row r="1644" spans="1:16" ht="14.5">
      <c r="A1644" s="3" t="s">
        <v>38</v>
      </c>
      <c r="B1644" s="8" t="s">
        <v>2822</v>
      </c>
      <c r="C1644" s="46" t="s">
        <v>5221</v>
      </c>
      <c r="D1644" s="41" t="str">
        <f ca="1">IFERROR(__xludf.DUMMYFUNCTION("IFERROR(ARRAYFORMULA(REGEXEXTRACT(C1644,""^(?:https?:\/\/)?(?:[^@\n]+@)?(?:www\.)?([^:\/\n]+)"")),"""")"),"wbay.com")</f>
        <v>wbay.com</v>
      </c>
      <c r="E1644" s="26" t="str">
        <f ca="1">IFERROR(__xludf.DUMMYFUNCTION("""COMPUTED_VALUE"""),"New")</f>
        <v>New</v>
      </c>
      <c r="F1644" s="72">
        <v>73</v>
      </c>
      <c r="G1644" s="72">
        <v>191607</v>
      </c>
      <c r="P1644" s="26"/>
    </row>
    <row r="1645" spans="1:16" ht="14.5">
      <c r="A1645" s="3" t="s">
        <v>38</v>
      </c>
      <c r="B1645" s="8" t="s">
        <v>2822</v>
      </c>
      <c r="C1645" s="46" t="s">
        <v>5222</v>
      </c>
      <c r="D1645" s="41" t="str">
        <f ca="1">IFERROR(__xludf.DUMMYFUNCTION("IFERROR(ARRAYFORMULA(REGEXEXTRACT(C1645,""^(?:https?:\/\/)?(?:[^@\n]+@)?(?:www\.)?([^:\/\n]+)"")),"""")"),"wflx.com")</f>
        <v>wflx.com</v>
      </c>
      <c r="E1645" s="26" t="str">
        <f ca="1">IFERROR(__xludf.DUMMYFUNCTION("""COMPUTED_VALUE"""),"New")</f>
        <v>New</v>
      </c>
      <c r="F1645" s="72">
        <v>61</v>
      </c>
      <c r="G1645" s="72">
        <v>10028</v>
      </c>
      <c r="P1645" s="26"/>
    </row>
    <row r="1646" spans="1:16" ht="14.5">
      <c r="A1646" s="3" t="s">
        <v>38</v>
      </c>
      <c r="B1646" s="8" t="s">
        <v>2822</v>
      </c>
      <c r="C1646" s="46" t="s">
        <v>5223</v>
      </c>
      <c r="D1646" s="41" t="str">
        <f ca="1">IFERROR(__xludf.DUMMYFUNCTION("IFERROR(ARRAYFORMULA(REGEXEXTRACT(C1646,""^(?:https?:\/\/)?(?:[^@\n]+@)?(?:www\.)?([^:\/\n]+)"")),"""")"),"builtinla.com")</f>
        <v>builtinla.com</v>
      </c>
      <c r="E1646" s="26" t="str">
        <f ca="1">IFERROR(__xludf.DUMMYFUNCTION("""COMPUTED_VALUE"""),"New")</f>
        <v>New</v>
      </c>
      <c r="F1646" s="72">
        <v>70</v>
      </c>
      <c r="G1646" s="72">
        <v>33179</v>
      </c>
      <c r="P1646" s="26"/>
    </row>
    <row r="1647" spans="1:16" ht="14.5">
      <c r="A1647" s="3" t="s">
        <v>38</v>
      </c>
      <c r="B1647" s="8" t="s">
        <v>2822</v>
      </c>
      <c r="C1647" s="46" t="s">
        <v>5224</v>
      </c>
      <c r="D1647" s="41" t="str">
        <f ca="1">IFERROR(__xludf.DUMMYFUNCTION("IFERROR(ARRAYFORMULA(REGEXEXTRACT(C1647,""^(?:https?:\/\/)?(?:[^@\n]+@)?(?:www\.)?([^:\/\n]+)"")),"""")"),"wagmtv.com")</f>
        <v>wagmtv.com</v>
      </c>
      <c r="E1647" s="26" t="str">
        <f ca="1">IFERROR(__xludf.DUMMYFUNCTION("""COMPUTED_VALUE"""),"New")</f>
        <v>New</v>
      </c>
      <c r="F1647" s="72">
        <v>60</v>
      </c>
      <c r="G1647" s="72">
        <v>2953</v>
      </c>
      <c r="P1647" s="26"/>
    </row>
    <row r="1648" spans="1:16" ht="14.5">
      <c r="A1648" s="3" t="s">
        <v>38</v>
      </c>
      <c r="B1648" s="8" t="s">
        <v>2822</v>
      </c>
      <c r="C1648" s="46" t="s">
        <v>5225</v>
      </c>
      <c r="D1648" s="41" t="str">
        <f ca="1">IFERROR(__xludf.DUMMYFUNCTION("IFERROR(ARRAYFORMULA(REGEXEXTRACT(C1648,""^(?:https?:\/\/)?(?:[^@\n]+@)?(?:www\.)?([^:\/\n]+)"")),"""")"),"fox34.com")</f>
        <v>fox34.com</v>
      </c>
      <c r="E1648" s="26" t="str">
        <f ca="1">IFERROR(__xludf.DUMMYFUNCTION("""COMPUTED_VALUE"""),"New")</f>
        <v>New</v>
      </c>
      <c r="F1648" s="72">
        <v>56</v>
      </c>
      <c r="G1648" s="72">
        <v>13108</v>
      </c>
      <c r="P1648" s="26"/>
    </row>
    <row r="1649" spans="1:16" ht="14.5">
      <c r="A1649" s="3" t="s">
        <v>38</v>
      </c>
      <c r="B1649" s="8" t="s">
        <v>2822</v>
      </c>
      <c r="C1649" s="46" t="s">
        <v>5226</v>
      </c>
      <c r="D1649" s="41" t="str">
        <f ca="1">IFERROR(__xludf.DUMMYFUNCTION("IFERROR(ARRAYFORMULA(REGEXEXTRACT(C1649,""^(?:https?:\/\/)?(?:[^@\n]+@)?(?:www\.)?([^:\/\n]+)"")),"""")"),"weau.com")</f>
        <v>weau.com</v>
      </c>
      <c r="E1649" s="26" t="str">
        <f ca="1">IFERROR(__xludf.DUMMYFUNCTION("""COMPUTED_VALUE"""),"New")</f>
        <v>New</v>
      </c>
      <c r="F1649" s="72">
        <v>71</v>
      </c>
      <c r="G1649" s="72">
        <v>80268</v>
      </c>
      <c r="P1649" s="26"/>
    </row>
    <row r="1650" spans="1:16" ht="14.5">
      <c r="A1650" s="3" t="s">
        <v>38</v>
      </c>
      <c r="B1650" s="8" t="s">
        <v>2822</v>
      </c>
      <c r="C1650" s="46" t="s">
        <v>5227</v>
      </c>
      <c r="D1650" s="41" t="str">
        <f ca="1">IFERROR(__xludf.DUMMYFUNCTION("IFERROR(ARRAYFORMULA(REGEXEXTRACT(C1650,""^(?:https?:\/\/)?(?:[^@\n]+@)?(?:www\.)?([^:\/\n]+)"")),"""")"),"kait8.com")</f>
        <v>kait8.com</v>
      </c>
      <c r="E1650" s="26" t="str">
        <f ca="1">IFERROR(__xludf.DUMMYFUNCTION("""COMPUTED_VALUE"""),"New")</f>
        <v>New</v>
      </c>
      <c r="F1650" s="72">
        <v>68</v>
      </c>
      <c r="G1650" s="72">
        <v>27739</v>
      </c>
      <c r="P1650" s="26"/>
    </row>
    <row r="1651" spans="1:16" ht="14.5">
      <c r="A1651" s="3" t="s">
        <v>38</v>
      </c>
      <c r="B1651" s="8" t="s">
        <v>2822</v>
      </c>
      <c r="C1651" s="46" t="s">
        <v>5228</v>
      </c>
      <c r="D1651" s="41" t="str">
        <f ca="1">IFERROR(__xludf.DUMMYFUNCTION("IFERROR(ARRAYFORMULA(REGEXEXTRACT(C1651,""^(?:https?:\/\/)?(?:[^@\n]+@)?(?:www\.)?([^:\/\n]+)"")),"""")"),"firstalert7.com")</f>
        <v>firstalert7.com</v>
      </c>
      <c r="E1651" s="26" t="str">
        <f ca="1">IFERROR(__xludf.DUMMYFUNCTION("""COMPUTED_VALUE"""),"New")</f>
        <v>New</v>
      </c>
      <c r="F1651" s="72">
        <v>64</v>
      </c>
      <c r="G1651" s="72">
        <v>13153</v>
      </c>
      <c r="P1651" s="26"/>
    </row>
    <row r="1652" spans="1:16" ht="14.5">
      <c r="A1652" s="3" t="s">
        <v>38</v>
      </c>
      <c r="B1652" s="8" t="s">
        <v>2822</v>
      </c>
      <c r="C1652" s="49" t="s">
        <v>5229</v>
      </c>
      <c r="D1652" s="41" t="str">
        <f ca="1">IFERROR(__xludf.DUMMYFUNCTION("IFERROR(ARRAYFORMULA(REGEXEXTRACT(C1652,""^(?:https?:\/\/)?(?:[^@\n]+@)?(?:www\.)?([^:\/\n]+)"")),"""")"),"tradersdna.com")</f>
        <v>tradersdna.com</v>
      </c>
      <c r="E1652" s="26" t="str">
        <f ca="1">IFERROR(__xludf.DUMMYFUNCTION("""COMPUTED_VALUE"""),"New")</f>
        <v>New</v>
      </c>
      <c r="F1652" s="72">
        <v>31</v>
      </c>
      <c r="G1652" s="72">
        <v>2122</v>
      </c>
      <c r="J1652" s="27" t="s">
        <v>5230</v>
      </c>
      <c r="K1652" s="27" t="s">
        <v>3756</v>
      </c>
      <c r="L1652" s="112"/>
      <c r="M1652" s="27" t="s">
        <v>3715</v>
      </c>
      <c r="N1652" s="48">
        <v>46047</v>
      </c>
      <c r="O1652" s="48">
        <v>46068</v>
      </c>
      <c r="P1652" s="26"/>
    </row>
    <row r="1653" spans="1:16" ht="14.5">
      <c r="A1653" s="3" t="s">
        <v>38</v>
      </c>
      <c r="B1653" s="8" t="s">
        <v>2822</v>
      </c>
      <c r="C1653" s="46" t="s">
        <v>5231</v>
      </c>
      <c r="D1653" s="41" t="str">
        <f ca="1">IFERROR(__xludf.DUMMYFUNCTION("IFERROR(ARRAYFORMULA(REGEXEXTRACT(C1653,""^(?:https?:\/\/)?(?:[^@\n]+@)?(?:www\.)?([^:\/\n]+)"")),"""")"),"dakotanewsnow.com")</f>
        <v>dakotanewsnow.com</v>
      </c>
      <c r="E1653" s="26" t="str">
        <f ca="1">IFERROR(__xludf.DUMMYFUNCTION("""COMPUTED_VALUE"""),"New")</f>
        <v>New</v>
      </c>
      <c r="F1653" s="72">
        <v>72</v>
      </c>
      <c r="G1653" s="72">
        <v>46363</v>
      </c>
      <c r="P1653" s="26"/>
    </row>
    <row r="1654" spans="1:16" ht="14.5">
      <c r="A1654" s="3" t="s">
        <v>38</v>
      </c>
      <c r="B1654" s="8" t="s">
        <v>2822</v>
      </c>
      <c r="C1654" s="46" t="s">
        <v>5232</v>
      </c>
      <c r="D1654" s="41" t="str">
        <f ca="1">IFERROR(__xludf.DUMMYFUNCTION("IFERROR(ARRAYFORMULA(REGEXEXTRACT(C1654,""^(?:https?:\/\/)?(?:[^@\n]+@)?(?:www\.)?([^:\/\n]+)"")),"""")"),"wifr.com")</f>
        <v>wifr.com</v>
      </c>
      <c r="E1654" s="26" t="str">
        <f ca="1">IFERROR(__xludf.DUMMYFUNCTION("""COMPUTED_VALUE"""),"New")</f>
        <v>New</v>
      </c>
      <c r="F1654" s="72">
        <v>71</v>
      </c>
      <c r="G1654" s="72">
        <v>65718</v>
      </c>
      <c r="P1654" s="26"/>
    </row>
    <row r="1655" spans="1:16" ht="14.5">
      <c r="A1655" s="3" t="s">
        <v>38</v>
      </c>
      <c r="B1655" s="8" t="s">
        <v>2822</v>
      </c>
      <c r="C1655" s="46" t="s">
        <v>5233</v>
      </c>
      <c r="D1655" s="41" t="str">
        <f ca="1">IFERROR(__xludf.DUMMYFUNCTION("IFERROR(ARRAYFORMULA(REGEXEXTRACT(C1655,""^(?:https?:\/\/)?(?:[^@\n]+@)?(?:www\.)?([^:\/\n]+)"")),"""")"),"kcbd.com")</f>
        <v>kcbd.com</v>
      </c>
      <c r="E1655" s="26" t="str">
        <f ca="1">IFERROR(__xludf.DUMMYFUNCTION("""COMPUTED_VALUE"""),"New")</f>
        <v>New</v>
      </c>
      <c r="F1655" s="72">
        <v>70</v>
      </c>
      <c r="G1655" s="72">
        <v>58302</v>
      </c>
      <c r="P1655" s="26"/>
    </row>
    <row r="1656" spans="1:16" ht="14.5">
      <c r="A1656" s="3" t="s">
        <v>38</v>
      </c>
      <c r="B1656" s="8" t="s">
        <v>2822</v>
      </c>
      <c r="C1656" s="46" t="s">
        <v>5234</v>
      </c>
      <c r="D1656" s="41" t="str">
        <f ca="1">IFERROR(__xludf.DUMMYFUNCTION("IFERROR(ARRAYFORMULA(REGEXEXTRACT(C1656,""^(?:https?:\/\/)?(?:[^@\n]+@)?(?:www\.)?([^:\/\n]+)"")),"""")"),"wfsb.com")</f>
        <v>wfsb.com</v>
      </c>
      <c r="E1656" s="26" t="str">
        <f ca="1">IFERROR(__xludf.DUMMYFUNCTION("""COMPUTED_VALUE"""),"New")</f>
        <v>New</v>
      </c>
      <c r="F1656" s="72">
        <v>76</v>
      </c>
      <c r="G1656" s="72">
        <v>195706</v>
      </c>
      <c r="P1656" s="26"/>
    </row>
    <row r="1657" spans="1:16" ht="14.5">
      <c r="A1657" s="3" t="s">
        <v>38</v>
      </c>
      <c r="B1657" s="8" t="s">
        <v>2822</v>
      </c>
      <c r="C1657" s="46" t="s">
        <v>5235</v>
      </c>
      <c r="D1657" s="41" t="str">
        <f ca="1">IFERROR(__xludf.DUMMYFUNCTION("IFERROR(ARRAYFORMULA(REGEXEXTRACT(C1657,""^(?:https?:\/\/)?(?:[^@\n]+@)?(?:www\.)?([^:\/\n]+)"")),"""")"),"kmvt.com")</f>
        <v>kmvt.com</v>
      </c>
      <c r="E1657" s="26" t="str">
        <f ca="1">IFERROR(__xludf.DUMMYFUNCTION("""COMPUTED_VALUE"""),"New")</f>
        <v>New</v>
      </c>
      <c r="F1657" s="72">
        <v>66</v>
      </c>
      <c r="G1657" s="72">
        <v>21344</v>
      </c>
      <c r="P1657" s="26"/>
    </row>
    <row r="1658" spans="1:16" ht="14.5">
      <c r="A1658" s="3" t="s">
        <v>38</v>
      </c>
      <c r="B1658" s="8" t="s">
        <v>2822</v>
      </c>
      <c r="C1658" s="46" t="s">
        <v>5236</v>
      </c>
      <c r="D1658" s="41" t="str">
        <f ca="1">IFERROR(__xludf.DUMMYFUNCTION("IFERROR(ARRAYFORMULA(REGEXEXTRACT(C1658,""^(?:https?:\/\/)?(?:[^@\n]+@)?(?:www\.)?([^:\/\n]+)"")),"""")"),"wlox.com")</f>
        <v>wlox.com</v>
      </c>
      <c r="E1658" s="26" t="str">
        <f ca="1">IFERROR(__xludf.DUMMYFUNCTION("""COMPUTED_VALUE"""),"New")</f>
        <v>New</v>
      </c>
      <c r="F1658" s="72">
        <v>73</v>
      </c>
      <c r="G1658" s="72">
        <v>36339</v>
      </c>
      <c r="P1658" s="26"/>
    </row>
    <row r="1659" spans="1:16" ht="14.5">
      <c r="A1659" s="3" t="s">
        <v>38</v>
      </c>
      <c r="B1659" s="8" t="s">
        <v>2822</v>
      </c>
      <c r="C1659" s="46" t="s">
        <v>5237</v>
      </c>
      <c r="D1659" s="41" t="str">
        <f ca="1">IFERROR(__xludf.DUMMYFUNCTION("IFERROR(ARRAYFORMULA(REGEXEXTRACT(C1659,""^(?:https?:\/\/)?(?:[^@\n]+@)?(?:www\.)?([^:\/\n]+)"")),"""")"),"ksnblocal4.com")</f>
        <v>ksnblocal4.com</v>
      </c>
      <c r="E1659" s="26" t="str">
        <f ca="1">IFERROR(__xludf.DUMMYFUNCTION("""COMPUTED_VALUE"""),"New")</f>
        <v>New</v>
      </c>
      <c r="F1659" s="72">
        <v>60</v>
      </c>
      <c r="G1659" s="72">
        <v>6881</v>
      </c>
      <c r="P1659" s="26"/>
    </row>
    <row r="1660" spans="1:16" ht="14.5">
      <c r="A1660" s="3" t="s">
        <v>38</v>
      </c>
      <c r="B1660" s="8" t="s">
        <v>2822</v>
      </c>
      <c r="C1660" s="46" t="s">
        <v>5238</v>
      </c>
      <c r="D1660" s="41" t="str">
        <f ca="1">IFERROR(__xludf.DUMMYFUNCTION("IFERROR(ARRAYFORMULA(REGEXEXTRACT(C1660,""^(?:https?:\/\/)?(?:[^@\n]+@)?(?:www\.)?([^:\/\n]+)"")),"""")"),"kfvs12.com")</f>
        <v>kfvs12.com</v>
      </c>
      <c r="E1660" s="26" t="str">
        <f ca="1">IFERROR(__xludf.DUMMYFUNCTION("""COMPUTED_VALUE"""),"New")</f>
        <v>New</v>
      </c>
      <c r="F1660" s="72">
        <v>72</v>
      </c>
      <c r="G1660" s="72">
        <v>28432</v>
      </c>
      <c r="P1660" s="26"/>
    </row>
    <row r="1661" spans="1:16" ht="14.5">
      <c r="A1661" s="3" t="s">
        <v>38</v>
      </c>
      <c r="B1661" s="8" t="s">
        <v>2822</v>
      </c>
      <c r="C1661" s="46" t="s">
        <v>5239</v>
      </c>
      <c r="D1661" s="41" t="str">
        <f ca="1">IFERROR(__xludf.DUMMYFUNCTION("IFERROR(ARRAYFORMULA(REGEXEXTRACT(C1661,""^(?:https?:\/\/)?(?:[^@\n]+@)?(?:www\.)?([^:\/\n]+)"")),"""")"),"kwch.com")</f>
        <v>kwch.com</v>
      </c>
      <c r="E1661" s="26" t="str">
        <f ca="1">IFERROR(__xludf.DUMMYFUNCTION("""COMPUTED_VALUE"""),"New")</f>
        <v>New</v>
      </c>
      <c r="F1661" s="72">
        <v>72</v>
      </c>
      <c r="G1661" s="72">
        <v>85571</v>
      </c>
      <c r="P1661" s="26"/>
    </row>
    <row r="1662" spans="1:16" ht="14.5">
      <c r="A1662" s="3" t="s">
        <v>38</v>
      </c>
      <c r="B1662" s="8" t="s">
        <v>2822</v>
      </c>
      <c r="C1662" s="46" t="s">
        <v>5240</v>
      </c>
      <c r="D1662" s="41" t="str">
        <f ca="1">IFERROR(__xludf.DUMMYFUNCTION("IFERROR(ARRAYFORMULA(REGEXEXTRACT(C1662,""^(?:https?:\/\/)?(?:[^@\n]+@)?(?:www\.)?([^:\/\n]+)"")),"""")"),"wsaw.com")</f>
        <v>wsaw.com</v>
      </c>
      <c r="E1662" s="26" t="str">
        <f ca="1">IFERROR(__xludf.DUMMYFUNCTION("""COMPUTED_VALUE"""),"New")</f>
        <v>New</v>
      </c>
      <c r="F1662" s="72">
        <v>71</v>
      </c>
      <c r="G1662" s="72">
        <v>50492</v>
      </c>
      <c r="P1662" s="26"/>
    </row>
    <row r="1663" spans="1:16" ht="14.5">
      <c r="A1663" s="3" t="s">
        <v>38</v>
      </c>
      <c r="B1663" s="8" t="s">
        <v>2822</v>
      </c>
      <c r="C1663" s="46" t="s">
        <v>5241</v>
      </c>
      <c r="D1663" s="41" t="str">
        <f ca="1">IFERROR(__xludf.DUMMYFUNCTION("IFERROR(ARRAYFORMULA(REGEXEXTRACT(C1663,""^(?:https?:\/\/)?(?:[^@\n]+@)?(?:www\.)?([^:\/\n]+)"")),"""")"),"wtvy.com")</f>
        <v>wtvy.com</v>
      </c>
      <c r="E1663" s="26" t="str">
        <f ca="1">IFERROR(__xludf.DUMMYFUNCTION("""COMPUTED_VALUE"""),"New")</f>
        <v>New</v>
      </c>
      <c r="F1663" s="72">
        <v>67</v>
      </c>
      <c r="G1663" s="72">
        <v>19224</v>
      </c>
      <c r="P1663" s="26"/>
    </row>
    <row r="1664" spans="1:16" ht="14.5">
      <c r="A1664" s="3" t="s">
        <v>38</v>
      </c>
      <c r="B1664" s="8" t="s">
        <v>2822</v>
      </c>
      <c r="C1664" s="46" t="s">
        <v>5242</v>
      </c>
      <c r="D1664" s="41" t="str">
        <f ca="1">IFERROR(__xludf.DUMMYFUNCTION("IFERROR(ARRAYFORMULA(REGEXEXTRACT(C1664,""^(?:https?:\/\/)?(?:[^@\n]+@)?(?:www\.)?([^:\/\n]+)"")),"""")"),"kctv5.com")</f>
        <v>kctv5.com</v>
      </c>
      <c r="E1664" s="26" t="str">
        <f ca="1">IFERROR(__xludf.DUMMYFUNCTION("""COMPUTED_VALUE"""),"New")</f>
        <v>New</v>
      </c>
      <c r="F1664" s="72">
        <v>76</v>
      </c>
      <c r="G1664" s="72">
        <v>148546</v>
      </c>
      <c r="P1664" s="26"/>
    </row>
    <row r="1665" spans="1:16" ht="14.5">
      <c r="A1665" s="3" t="s">
        <v>38</v>
      </c>
      <c r="B1665" s="8" t="s">
        <v>2822</v>
      </c>
      <c r="C1665" s="46" t="s">
        <v>5243</v>
      </c>
      <c r="D1665" s="41" t="str">
        <f ca="1">IFERROR(__xludf.DUMMYFUNCTION("IFERROR(ARRAYFORMULA(REGEXEXTRACT(C1665,""^(?:https?:\/\/)?(?:[^@\n]+@)?(?:www\.)?([^:\/\n]+)"")),"""")"),"1011now.com")</f>
        <v>1011now.com</v>
      </c>
      <c r="E1665" s="26" t="str">
        <f ca="1">IFERROR(__xludf.DUMMYFUNCTION("""COMPUTED_VALUE"""),"New")</f>
        <v>New</v>
      </c>
      <c r="F1665" s="72">
        <v>73</v>
      </c>
      <c r="G1665" s="72">
        <v>48842</v>
      </c>
      <c r="P1665" s="26"/>
    </row>
    <row r="1666" spans="1:16" ht="14.5">
      <c r="A1666" s="3" t="s">
        <v>38</v>
      </c>
      <c r="B1666" s="8" t="s">
        <v>2822</v>
      </c>
      <c r="C1666" s="46" t="s">
        <v>5244</v>
      </c>
      <c r="D1666" s="41" t="str">
        <f ca="1">IFERROR(__xludf.DUMMYFUNCTION("IFERROR(ARRAYFORMULA(REGEXEXTRACT(C1666,""^(?:https?:\/\/)?(?:[^@\n]+@)?(?:www\.)?([^:\/\n]+)"")),"""")"),"thunder1320.com")</f>
        <v>thunder1320.com</v>
      </c>
      <c r="E1666" s="26" t="str">
        <f ca="1">IFERROR(__xludf.DUMMYFUNCTION("""COMPUTED_VALUE"""),"New")</f>
        <v>New</v>
      </c>
      <c r="F1666" s="72">
        <v>30</v>
      </c>
      <c r="G1666" s="72">
        <v>2974</v>
      </c>
      <c r="P1666" s="26"/>
    </row>
    <row r="1667" spans="1:16" ht="14.5">
      <c r="A1667" s="3" t="s">
        <v>38</v>
      </c>
      <c r="B1667" s="8" t="s">
        <v>2822</v>
      </c>
      <c r="C1667" s="46" t="s">
        <v>5245</v>
      </c>
      <c r="D1667" s="41" t="str">
        <f ca="1">IFERROR(__xludf.DUMMYFUNCTION("IFERROR(ARRAYFORMULA(REGEXEXTRACT(C1667,""^(?:https?:\/\/)?(?:[^@\n]+@)?(?:www\.)?([^:\/\n]+)"")),"""")"),"wowt.com")</f>
        <v>wowt.com</v>
      </c>
      <c r="E1667" s="26" t="str">
        <f ca="1">IFERROR(__xludf.DUMMYFUNCTION("""COMPUTED_VALUE"""),"New")</f>
        <v>New</v>
      </c>
      <c r="F1667" s="72">
        <v>74</v>
      </c>
      <c r="G1667" s="72">
        <v>77182</v>
      </c>
      <c r="P1667" s="26"/>
    </row>
    <row r="1668" spans="1:16" ht="14.5">
      <c r="A1668" s="3" t="s">
        <v>38</v>
      </c>
      <c r="B1668" s="8" t="s">
        <v>2822</v>
      </c>
      <c r="C1668" s="46" t="s">
        <v>5246</v>
      </c>
      <c r="D1668" s="41" t="str">
        <f ca="1">IFERROR(__xludf.DUMMYFUNCTION("IFERROR(ARRAYFORMULA(REGEXEXTRACT(C1668,""^(?:https?:\/\/)?(?:[^@\n]+@)?(?:www\.)?([^:\/\n]+)"")),"""")"),"careers.kogod.american.edu")</f>
        <v>careers.kogod.american.edu</v>
      </c>
      <c r="E1668" s="26" t="str">
        <f ca="1">IFERROR(__xludf.DUMMYFUNCTION("""COMPUTED_VALUE"""),"New")</f>
        <v>New</v>
      </c>
      <c r="F1668" s="72">
        <v>84</v>
      </c>
      <c r="G1668" s="72">
        <v>275891</v>
      </c>
      <c r="P1668" s="26"/>
    </row>
    <row r="1669" spans="1:16" ht="14.5">
      <c r="A1669" s="3" t="s">
        <v>38</v>
      </c>
      <c r="B1669" s="8" t="s">
        <v>2822</v>
      </c>
      <c r="C1669" s="46" t="s">
        <v>5247</v>
      </c>
      <c r="D1669" s="41" t="str">
        <f ca="1">IFERROR(__xludf.DUMMYFUNCTION("IFERROR(ARRAYFORMULA(REGEXEXTRACT(C1669,""^(?:https?:\/\/)?(?:[^@\n]+@)?(?:www\.)?([^:\/\n]+)"")),"""")"),"blogs.jobget.com")</f>
        <v>blogs.jobget.com</v>
      </c>
      <c r="E1669" s="26" t="str">
        <f ca="1">IFERROR(__xludf.DUMMYFUNCTION("""COMPUTED_VALUE"""),"New")</f>
        <v>New</v>
      </c>
      <c r="F1669" s="72">
        <v>51</v>
      </c>
      <c r="G1669" s="72">
        <v>2923</v>
      </c>
      <c r="P1669" s="26"/>
    </row>
    <row r="1670" spans="1:16" ht="14.5">
      <c r="A1670" s="3" t="s">
        <v>38</v>
      </c>
      <c r="B1670" s="8" t="s">
        <v>2822</v>
      </c>
      <c r="C1670" s="46" t="s">
        <v>5248</v>
      </c>
      <c r="D1670" s="41" t="str">
        <f ca="1">IFERROR(__xludf.DUMMYFUNCTION("IFERROR(ARRAYFORMULA(REGEXEXTRACT(C1670,""^(?:https?:\/\/)?(?:[^@\n]+@)?(?:www\.)?([^:\/\n]+)"")),"""")"),"logintutor.org")</f>
        <v>logintutor.org</v>
      </c>
      <c r="E1670" s="26" t="str">
        <f ca="1">IFERROR(__xludf.DUMMYFUNCTION("""COMPUTED_VALUE"""),"New")</f>
        <v>New</v>
      </c>
      <c r="F1670" s="72">
        <v>33</v>
      </c>
      <c r="G1670" s="72">
        <v>1179</v>
      </c>
      <c r="P1670" s="26"/>
    </row>
    <row r="1671" spans="1:16" ht="14.5">
      <c r="A1671" s="3" t="s">
        <v>38</v>
      </c>
      <c r="B1671" s="8" t="s">
        <v>2822</v>
      </c>
      <c r="C1671" s="46" t="s">
        <v>5249</v>
      </c>
      <c r="D1671" s="41" t="str">
        <f ca="1">IFERROR(__xludf.DUMMYFUNCTION("IFERROR(ARRAYFORMULA(REGEXEXTRACT(C1671,""^(?:https?:\/\/)?(?:[^@\n]+@)?(?:www\.)?([^:\/\n]+)"")),"""")"),"wnem.com")</f>
        <v>wnem.com</v>
      </c>
      <c r="E1671" s="26" t="str">
        <f ca="1">IFERROR(__xludf.DUMMYFUNCTION("""COMPUTED_VALUE"""),"New")</f>
        <v>New</v>
      </c>
      <c r="F1671" s="72">
        <v>70</v>
      </c>
      <c r="G1671" s="72">
        <v>281568</v>
      </c>
      <c r="P1671" s="26"/>
    </row>
    <row r="1672" spans="1:16" ht="14.5">
      <c r="A1672" s="3" t="s">
        <v>38</v>
      </c>
      <c r="B1672" s="8" t="s">
        <v>2822</v>
      </c>
      <c r="C1672" s="46" t="s">
        <v>5250</v>
      </c>
      <c r="D1672" s="41" t="str">
        <f ca="1">IFERROR(__xludf.DUMMYFUNCTION("IFERROR(ARRAYFORMULA(REGEXEXTRACT(C1672,""^(?:https?:\/\/)?(?:[^@\n]+@)?(?:www\.)?([^:\/\n]+)"")),"""")"),"fox19.com")</f>
        <v>fox19.com</v>
      </c>
      <c r="E1672" s="26" t="str">
        <f ca="1">IFERROR(__xludf.DUMMYFUNCTION("""COMPUTED_VALUE"""),"New")</f>
        <v>New</v>
      </c>
      <c r="F1672" s="72">
        <v>76</v>
      </c>
      <c r="G1672" s="72">
        <v>125256</v>
      </c>
      <c r="P1672" s="26"/>
    </row>
    <row r="1673" spans="1:16" ht="14.5">
      <c r="A1673" s="3" t="s">
        <v>38</v>
      </c>
      <c r="B1673" s="8" t="s">
        <v>2822</v>
      </c>
      <c r="C1673" s="46" t="s">
        <v>5251</v>
      </c>
      <c r="D1673" s="41" t="str">
        <f ca="1">IFERROR(__xludf.DUMMYFUNCTION("IFERROR(ARRAYFORMULA(REGEXEXTRACT(C1673,""^(?:https?:\/\/)?(?:[^@\n]+@)?(?:www\.)?([^:\/\n]+)"")),"""")"),"wtok.com")</f>
        <v>wtok.com</v>
      </c>
      <c r="E1673" s="26" t="str">
        <f ca="1">IFERROR(__xludf.DUMMYFUNCTION("""COMPUTED_VALUE"""),"New")</f>
        <v>New</v>
      </c>
      <c r="F1673" s="72">
        <v>63</v>
      </c>
      <c r="G1673" s="72">
        <v>14580</v>
      </c>
      <c r="P1673" s="26"/>
    </row>
    <row r="1674" spans="1:16" ht="14.5">
      <c r="A1674" s="3" t="s">
        <v>38</v>
      </c>
      <c r="B1674" s="8" t="s">
        <v>2822</v>
      </c>
      <c r="C1674" s="46" t="s">
        <v>5252</v>
      </c>
      <c r="D1674" s="41" t="str">
        <f ca="1">IFERROR(__xludf.DUMMYFUNCTION("IFERROR(ARRAYFORMULA(REGEXEXTRACT(C1674,""^(?:https?:\/\/)?(?:[^@\n]+@)?(?:www\.)?([^:\/\n]+)"")),"""")"),"wbko.com")</f>
        <v>wbko.com</v>
      </c>
      <c r="E1674" s="26" t="str">
        <f ca="1">IFERROR(__xludf.DUMMYFUNCTION("""COMPUTED_VALUE"""),"New")</f>
        <v>New</v>
      </c>
      <c r="F1674" s="72">
        <v>67</v>
      </c>
      <c r="G1674" s="72">
        <v>27269</v>
      </c>
      <c r="P1674" s="26"/>
    </row>
    <row r="1675" spans="1:16" ht="14.5">
      <c r="A1675" s="3" t="s">
        <v>38</v>
      </c>
      <c r="B1675" s="8" t="s">
        <v>2822</v>
      </c>
      <c r="C1675" s="46" t="s">
        <v>5253</v>
      </c>
      <c r="D1675" s="41" t="str">
        <f ca="1">IFERROR(__xludf.DUMMYFUNCTION("IFERROR(ARRAYFORMULA(REGEXEXTRACT(C1675,""^(?:https?:\/\/)?(?:[^@\n]+@)?(?:www\.)?([^:\/\n]+)"")),"""")"),"mysuncoast.com")</f>
        <v>mysuncoast.com</v>
      </c>
      <c r="E1675" s="26" t="str">
        <f ca="1">IFERROR(__xludf.DUMMYFUNCTION("""COMPUTED_VALUE"""),"New")</f>
        <v>New</v>
      </c>
      <c r="F1675" s="72">
        <v>73</v>
      </c>
      <c r="G1675" s="72">
        <v>45601</v>
      </c>
      <c r="P1675" s="26"/>
    </row>
    <row r="1676" spans="1:16" ht="14.5">
      <c r="A1676" s="3" t="s">
        <v>38</v>
      </c>
      <c r="B1676" s="8" t="s">
        <v>2822</v>
      </c>
      <c r="C1676" s="46" t="s">
        <v>5254</v>
      </c>
      <c r="D1676" s="41" t="str">
        <f ca="1">IFERROR(__xludf.DUMMYFUNCTION("IFERROR(ARRAYFORMULA(REGEXEXTRACT(C1676,""^(?:https?:\/\/)?(?:[^@\n]+@)?(?:www\.)?([^:\/\n]+)"")),"""")"),"en.mehrnews.com")</f>
        <v>en.mehrnews.com</v>
      </c>
      <c r="E1676" s="26" t="str">
        <f ca="1">IFERROR(__xludf.DUMMYFUNCTION("""COMPUTED_VALUE"""),"New")</f>
        <v>New</v>
      </c>
      <c r="F1676" s="72">
        <v>82</v>
      </c>
      <c r="G1676" s="72">
        <v>86965</v>
      </c>
      <c r="P1676" s="26"/>
    </row>
    <row r="1677" spans="1:16" ht="14.5" hidden="1">
      <c r="A1677" s="3" t="s">
        <v>38</v>
      </c>
      <c r="B1677" s="8" t="s">
        <v>2822</v>
      </c>
      <c r="C1677" s="46" t="s">
        <v>5255</v>
      </c>
      <c r="D1677" s="41" t="str">
        <f ca="1">IFERROR(__xludf.DUMMYFUNCTION("IFERROR(ARRAYFORMULA(REGEXEXTRACT(C1677,""^(?:https?:\/\/)?(?:[^@\n]+@)?(?:www\.)?([^:\/\n]+)"")),"""")"),"entrepreneurshiplife.com")</f>
        <v>entrepreneurshiplife.com</v>
      </c>
      <c r="E1677" s="26" t="str">
        <f ca="1">IFERROR(__xludf.DUMMYFUNCTION("""COMPUTED_VALUE"""),"Already Exists")</f>
        <v>Already Exists</v>
      </c>
      <c r="F1677" s="72">
        <v>63</v>
      </c>
      <c r="G1677" s="72">
        <v>10162</v>
      </c>
      <c r="P1677" s="26"/>
    </row>
    <row r="1678" spans="1:16" ht="14.5">
      <c r="A1678" s="3" t="s">
        <v>38</v>
      </c>
      <c r="B1678" s="8" t="s">
        <v>2822</v>
      </c>
      <c r="C1678" s="46" t="s">
        <v>5256</v>
      </c>
      <c r="D1678" s="41" t="str">
        <f ca="1">IFERROR(__xludf.DUMMYFUNCTION("IFERROR(ARRAYFORMULA(REGEXEXTRACT(C1678,""^(?:https?:\/\/)?(?:[^@\n]+@)?(?:www\.)?([^:\/\n]+)"")),"""")"),"fsuniverse.net")</f>
        <v>fsuniverse.net</v>
      </c>
      <c r="E1678" s="26" t="str">
        <f ca="1">IFERROR(__xludf.DUMMYFUNCTION("""COMPUTED_VALUE"""),"New")</f>
        <v>New</v>
      </c>
      <c r="F1678" s="72">
        <v>26</v>
      </c>
      <c r="G1678" s="72">
        <v>1449</v>
      </c>
      <c r="P1678" s="26"/>
    </row>
    <row r="1679" spans="1:16" ht="14.5">
      <c r="A1679" s="3" t="s">
        <v>38</v>
      </c>
      <c r="B1679" s="8" t="s">
        <v>2822</v>
      </c>
      <c r="C1679" s="49" t="s">
        <v>5257</v>
      </c>
      <c r="D1679" s="41" t="str">
        <f ca="1">IFERROR(__xludf.DUMMYFUNCTION("IFERROR(ARRAYFORMULA(REGEXEXTRACT(C1679,""^(?:https?:\/\/)?(?:[^@\n]+@)?(?:www\.)?([^:\/\n]+)"")),"""")"),"romper.com")</f>
        <v>romper.com</v>
      </c>
      <c r="E1679" s="26" t="str">
        <f ca="1">IFERROR(__xludf.DUMMYFUNCTION("""COMPUTED_VALUE"""),"New")</f>
        <v>New</v>
      </c>
      <c r="F1679" s="72">
        <v>78</v>
      </c>
      <c r="G1679" s="72">
        <v>68898</v>
      </c>
      <c r="H1679" s="27" t="s">
        <v>5258</v>
      </c>
      <c r="I1679" s="27" t="s">
        <v>5259</v>
      </c>
      <c r="J1679" s="27" t="s">
        <v>5260</v>
      </c>
      <c r="K1679" s="27" t="s">
        <v>3772</v>
      </c>
      <c r="L1679" s="112"/>
      <c r="M1679" s="27" t="s">
        <v>3715</v>
      </c>
      <c r="N1679" s="48">
        <v>46047</v>
      </c>
      <c r="O1679" s="48">
        <v>46068</v>
      </c>
      <c r="P1679" s="26"/>
    </row>
    <row r="1680" spans="1:16" ht="14.5">
      <c r="A1680" s="3" t="s">
        <v>38</v>
      </c>
      <c r="B1680" s="8" t="s">
        <v>2822</v>
      </c>
      <c r="C1680" s="46" t="s">
        <v>5261</v>
      </c>
      <c r="D1680" s="41" t="str">
        <f ca="1">IFERROR(__xludf.DUMMYFUNCTION("IFERROR(ARRAYFORMULA(REGEXEXTRACT(C1680,""^(?:https?:\/\/)?(?:[^@\n]+@)?(?:www\.)?([^:\/\n]+)"")),"""")"),"c21northwest.com")</f>
        <v>c21northwest.com</v>
      </c>
      <c r="E1680" s="26" t="str">
        <f ca="1">IFERROR(__xludf.DUMMYFUNCTION("""COMPUTED_VALUE"""),"New")</f>
        <v>New</v>
      </c>
      <c r="F1680" s="72">
        <v>28</v>
      </c>
      <c r="G1680" s="72">
        <v>6714</v>
      </c>
      <c r="P1680" s="26"/>
    </row>
    <row r="1681" spans="1:16" ht="14.5">
      <c r="A1681" s="3" t="s">
        <v>38</v>
      </c>
      <c r="B1681" s="8" t="s">
        <v>2822</v>
      </c>
      <c r="C1681" s="46" t="s">
        <v>5262</v>
      </c>
      <c r="D1681" s="41" t="str">
        <f ca="1">IFERROR(__xludf.DUMMYFUNCTION("IFERROR(ARRAYFORMULA(REGEXEXTRACT(C1681,""^(?:https?:\/\/)?(?:[^@\n]+@)?(?:www\.)?([^:\/\n]+)"")),"""")"),"simplybusiness.com")</f>
        <v>simplybusiness.com</v>
      </c>
      <c r="E1681" s="26" t="str">
        <f ca="1">IFERROR(__xludf.DUMMYFUNCTION("""COMPUTED_VALUE"""),"New")</f>
        <v>New</v>
      </c>
      <c r="F1681" s="72">
        <v>64</v>
      </c>
      <c r="G1681" s="72">
        <v>49740</v>
      </c>
      <c r="P1681" s="26"/>
    </row>
    <row r="1682" spans="1:16" ht="14.5">
      <c r="A1682" s="3" t="s">
        <v>38</v>
      </c>
      <c r="B1682" s="8" t="s">
        <v>2822</v>
      </c>
      <c r="C1682" s="46" t="s">
        <v>5263</v>
      </c>
      <c r="D1682" s="41" t="str">
        <f ca="1">IFERROR(__xludf.DUMMYFUNCTION("IFERROR(ARRAYFORMULA(REGEXEXTRACT(C1682,""^(?:https?:\/\/)?(?:[^@\n]+@)?(?:www\.)?([^:\/\n]+)"")),"""")"),"valleynewslive.com")</f>
        <v>valleynewslive.com</v>
      </c>
      <c r="E1682" s="26" t="str">
        <f ca="1">IFERROR(__xludf.DUMMYFUNCTION("""COMPUTED_VALUE"""),"New")</f>
        <v>New</v>
      </c>
      <c r="F1682" s="72">
        <v>71</v>
      </c>
      <c r="G1682" s="72">
        <v>37723</v>
      </c>
      <c r="P1682" s="26"/>
    </row>
    <row r="1683" spans="1:16" ht="14.5">
      <c r="A1683" s="3" t="s">
        <v>38</v>
      </c>
      <c r="B1683" s="8" t="s">
        <v>2822</v>
      </c>
      <c r="C1683" s="46" t="s">
        <v>5264</v>
      </c>
      <c r="D1683" s="41" t="str">
        <f ca="1">IFERROR(__xludf.DUMMYFUNCTION("IFERROR(ARRAYFORMULA(REGEXEXTRACT(C1683,""^(?:https?:\/\/)?(?:[^@\n]+@)?(?:www\.)?([^:\/\n]+)"")),"""")"),"walb.com")</f>
        <v>walb.com</v>
      </c>
      <c r="E1683" s="26" t="str">
        <f ca="1">IFERROR(__xludf.DUMMYFUNCTION("""COMPUTED_VALUE"""),"New")</f>
        <v>New</v>
      </c>
      <c r="F1683" s="72">
        <v>72</v>
      </c>
      <c r="G1683" s="72">
        <v>317085</v>
      </c>
      <c r="P1683" s="26"/>
    </row>
    <row r="1684" spans="1:16" ht="14.5">
      <c r="A1684" s="3" t="s">
        <v>38</v>
      </c>
      <c r="B1684" s="8" t="s">
        <v>2822</v>
      </c>
      <c r="C1684" s="46" t="s">
        <v>5265</v>
      </c>
      <c r="D1684" s="41" t="str">
        <f ca="1">IFERROR(__xludf.DUMMYFUNCTION("IFERROR(ARRAYFORMULA(REGEXEXTRACT(C1684,""^(?:https?:\/\/)?(?:[^@\n]+@)?(?:www\.)?([^:\/\n]+)"")),"""")"),"expo.car.org")</f>
        <v>expo.car.org</v>
      </c>
      <c r="E1684" s="26" t="str">
        <f ca="1">IFERROR(__xludf.DUMMYFUNCTION("""COMPUTED_VALUE"""),"New")</f>
        <v>New</v>
      </c>
      <c r="F1684" s="72">
        <v>76</v>
      </c>
      <c r="G1684" s="72">
        <v>55166</v>
      </c>
      <c r="P1684" s="26"/>
    </row>
    <row r="1685" spans="1:16" ht="14.5">
      <c r="A1685" s="3" t="s">
        <v>38</v>
      </c>
      <c r="B1685" s="8" t="s">
        <v>2822</v>
      </c>
      <c r="C1685" s="46" t="s">
        <v>5266</v>
      </c>
      <c r="D1685" s="41" t="str">
        <f ca="1">IFERROR(__xludf.DUMMYFUNCTION("IFERROR(ARRAYFORMULA(REGEXEXTRACT(C1685,""^(?:https?:\/\/)?(?:[^@\n]+@)?(?:www\.)?([^:\/\n]+)"")),"""")"),"wtoc.com")</f>
        <v>wtoc.com</v>
      </c>
      <c r="E1685" s="26" t="str">
        <f ca="1">IFERROR(__xludf.DUMMYFUNCTION("""COMPUTED_VALUE"""),"New")</f>
        <v>New</v>
      </c>
      <c r="F1685" s="72">
        <v>74</v>
      </c>
      <c r="G1685" s="72">
        <v>54097</v>
      </c>
      <c r="P1685" s="26"/>
    </row>
    <row r="1686" spans="1:16" ht="14.5">
      <c r="A1686" s="3" t="s">
        <v>38</v>
      </c>
      <c r="B1686" s="8" t="s">
        <v>2822</v>
      </c>
      <c r="C1686" s="46" t="s">
        <v>5267</v>
      </c>
      <c r="D1686" s="41" t="str">
        <f ca="1">IFERROR(__xludf.DUMMYFUNCTION("IFERROR(ARRAYFORMULA(REGEXEXTRACT(C1686,""^(?:https?:\/\/)?(?:[^@\n]+@)?(?:www\.)?([^:\/\n]+)"")),"""")"),"wcjb.com")</f>
        <v>wcjb.com</v>
      </c>
      <c r="E1686" s="26" t="str">
        <f ca="1">IFERROR(__xludf.DUMMYFUNCTION("""COMPUTED_VALUE"""),"New")</f>
        <v>New</v>
      </c>
      <c r="F1686" s="72">
        <v>71</v>
      </c>
      <c r="G1686" s="72">
        <v>28858</v>
      </c>
      <c r="P1686" s="26"/>
    </row>
    <row r="1687" spans="1:16" ht="14.5" hidden="1">
      <c r="A1687" s="3" t="s">
        <v>38</v>
      </c>
      <c r="B1687" s="8" t="s">
        <v>2822</v>
      </c>
      <c r="C1687" s="46" t="s">
        <v>5268</v>
      </c>
      <c r="D1687" s="41" t="str">
        <f ca="1">IFERROR(__xludf.DUMMYFUNCTION("IFERROR(ARRAYFORMULA(REGEXEXTRACT(C1687,""^(?:https?:\/\/)?(?:[^@\n]+@)?(?:www\.)?([^:\/\n]+)"")),"""")"),"nextbillion.net")</f>
        <v>nextbillion.net</v>
      </c>
      <c r="E1687" s="26" t="str">
        <f ca="1">IFERROR(__xludf.DUMMYFUNCTION("""COMPUTED_VALUE"""),"Already Exists")</f>
        <v>Already Exists</v>
      </c>
      <c r="F1687" s="72">
        <v>70</v>
      </c>
      <c r="G1687" s="72">
        <v>16412</v>
      </c>
      <c r="P1687" s="26"/>
    </row>
    <row r="1688" spans="1:16" ht="14.5">
      <c r="A1688" s="3" t="s">
        <v>38</v>
      </c>
      <c r="B1688" s="8" t="s">
        <v>2822</v>
      </c>
      <c r="C1688" s="46" t="s">
        <v>5269</v>
      </c>
      <c r="D1688" s="41" t="str">
        <f ca="1">IFERROR(__xludf.DUMMYFUNCTION("IFERROR(ARRAYFORMULA(REGEXEXTRACT(C1688,""^(?:https?:\/\/)?(?:[^@\n]+@)?(?:www\.)?([^:\/\n]+)"")),"""")"),"mywebsite.flipcause.com")</f>
        <v>mywebsite.flipcause.com</v>
      </c>
      <c r="E1688" s="26" t="str">
        <f ca="1">IFERROR(__xludf.DUMMYFUNCTION("""COMPUTED_VALUE"""),"New")</f>
        <v>New</v>
      </c>
      <c r="F1688" s="72">
        <v>82</v>
      </c>
      <c r="G1688" s="72">
        <v>3248</v>
      </c>
      <c r="P1688" s="26"/>
    </row>
    <row r="1689" spans="1:16" ht="14.5">
      <c r="A1689" s="3" t="s">
        <v>38</v>
      </c>
      <c r="B1689" s="8" t="s">
        <v>2822</v>
      </c>
      <c r="C1689" s="46" t="s">
        <v>5270</v>
      </c>
      <c r="D1689" s="41" t="str">
        <f ca="1">IFERROR(__xludf.DUMMYFUNCTION("IFERROR(ARRAYFORMULA(REGEXEXTRACT(C1689,""^(?:https?:\/\/)?(?:[^@\n]+@)?(?:www\.)?([^:\/\n]+)"")),"""")"),"kyoutv.com")</f>
        <v>kyoutv.com</v>
      </c>
      <c r="E1689" s="26" t="str">
        <f ca="1">IFERROR(__xludf.DUMMYFUNCTION("""COMPUTED_VALUE"""),"New")</f>
        <v>New</v>
      </c>
      <c r="F1689" s="72">
        <v>37</v>
      </c>
      <c r="G1689" s="72">
        <v>1259</v>
      </c>
      <c r="P1689" s="26"/>
    </row>
    <row r="1690" spans="1:16" ht="14.5">
      <c r="A1690" s="3" t="s">
        <v>38</v>
      </c>
      <c r="B1690" s="8" t="s">
        <v>2822</v>
      </c>
      <c r="C1690" s="46" t="s">
        <v>5271</v>
      </c>
      <c r="D1690" s="41" t="str">
        <f ca="1">IFERROR(__xludf.DUMMYFUNCTION("IFERROR(ARRAYFORMULA(REGEXEXTRACT(C1690,""^(?:https?:\/\/)?(?:[^@\n]+@)?(?:www\.)?([^:\/\n]+)"")),"""")"),"fetzerlibrary.edgarcayce.org")</f>
        <v>fetzerlibrary.edgarcayce.org</v>
      </c>
      <c r="E1690" s="26" t="str">
        <f ca="1">IFERROR(__xludf.DUMMYFUNCTION("""COMPUTED_VALUE"""),"New")</f>
        <v>New</v>
      </c>
      <c r="F1690" s="72">
        <v>70</v>
      </c>
      <c r="G1690" s="72">
        <v>4182</v>
      </c>
      <c r="P1690" s="26"/>
    </row>
    <row r="1691" spans="1:16" ht="14.5">
      <c r="A1691" s="3" t="s">
        <v>38</v>
      </c>
      <c r="B1691" s="8" t="s">
        <v>2822</v>
      </c>
      <c r="C1691" s="46" t="s">
        <v>5272</v>
      </c>
      <c r="D1691" s="41" t="str">
        <f ca="1">IFERROR(__xludf.DUMMYFUNCTION("IFERROR(ARRAYFORMULA(REGEXEXTRACT(C1691,""^(?:https?:\/\/)?(?:[^@\n]+@)?(?:www\.)?([^:\/\n]+)"")),"""")"),"wgem.com")</f>
        <v>wgem.com</v>
      </c>
      <c r="E1691" s="26" t="str">
        <f ca="1">IFERROR(__xludf.DUMMYFUNCTION("""COMPUTED_VALUE"""),"New")</f>
        <v>New</v>
      </c>
      <c r="F1691" s="72">
        <v>67</v>
      </c>
      <c r="G1691" s="72">
        <v>12465</v>
      </c>
      <c r="P1691" s="26"/>
    </row>
    <row r="1692" spans="1:16" ht="14.5">
      <c r="A1692" s="3" t="s">
        <v>38</v>
      </c>
      <c r="B1692" s="8" t="s">
        <v>2822</v>
      </c>
      <c r="C1692" s="46" t="s">
        <v>5273</v>
      </c>
      <c r="D1692" s="41" t="str">
        <f ca="1">IFERROR(__xludf.DUMMYFUNCTION("IFERROR(ARRAYFORMULA(REGEXEXTRACT(C1692,""^(?:https?:\/\/)?(?:[^@\n]+@)?(?:www\.)?([^:\/\n]+)"")),"""")"),"kltv.com")</f>
        <v>kltv.com</v>
      </c>
      <c r="E1692" s="26" t="str">
        <f ca="1">IFERROR(__xludf.DUMMYFUNCTION("""COMPUTED_VALUE"""),"New")</f>
        <v>New</v>
      </c>
      <c r="F1692" s="72">
        <v>73</v>
      </c>
      <c r="G1692" s="72">
        <v>52084</v>
      </c>
      <c r="P1692" s="26"/>
    </row>
    <row r="1693" spans="1:16" ht="14.5">
      <c r="A1693" s="3" t="s">
        <v>38</v>
      </c>
      <c r="B1693" s="8" t="s">
        <v>2822</v>
      </c>
      <c r="C1693" s="46" t="s">
        <v>5274</v>
      </c>
      <c r="D1693" s="41" t="str">
        <f ca="1">IFERROR(__xludf.DUMMYFUNCTION("IFERROR(ARRAYFORMULA(REGEXEXTRACT(C1693,""^(?:https?:\/\/)?(?:[^@\n]+@)?(?:www\.)?([^:\/\n]+)"")),"""")"),"westernmassnews.com")</f>
        <v>westernmassnews.com</v>
      </c>
      <c r="E1693" s="26" t="str">
        <f ca="1">IFERROR(__xludf.DUMMYFUNCTION("""COMPUTED_VALUE"""),"New")</f>
        <v>New</v>
      </c>
      <c r="F1693" s="72">
        <v>70</v>
      </c>
      <c r="G1693" s="72">
        <v>95505</v>
      </c>
      <c r="P1693" s="26"/>
    </row>
    <row r="1694" spans="1:16" ht="14.5">
      <c r="A1694" s="3" t="s">
        <v>38</v>
      </c>
      <c r="B1694" s="8" t="s">
        <v>2822</v>
      </c>
      <c r="C1694" s="46" t="s">
        <v>5275</v>
      </c>
      <c r="D1694" s="41" t="str">
        <f ca="1">IFERROR(__xludf.DUMMYFUNCTION("IFERROR(ARRAYFORMULA(REGEXEXTRACT(C1694,""^(?:https?:\/\/)?(?:[^@\n]+@)?(?:www\.)?([^:\/\n]+)"")),"""")"),"kcrg.com")</f>
        <v>kcrg.com</v>
      </c>
      <c r="E1694" s="26" t="str">
        <f ca="1">IFERROR(__xludf.DUMMYFUNCTION("""COMPUTED_VALUE"""),"New")</f>
        <v>New</v>
      </c>
      <c r="F1694" s="72">
        <v>74</v>
      </c>
      <c r="G1694" s="72">
        <v>73757</v>
      </c>
      <c r="P1694" s="26"/>
    </row>
    <row r="1695" spans="1:16" ht="14.5">
      <c r="A1695" s="3" t="s">
        <v>38</v>
      </c>
      <c r="B1695" s="8" t="s">
        <v>2822</v>
      </c>
      <c r="C1695" s="46" t="s">
        <v>5276</v>
      </c>
      <c r="D1695" s="41" t="str">
        <f ca="1">IFERROR(__xludf.DUMMYFUNCTION("IFERROR(ARRAYFORMULA(REGEXEXTRACT(C1695,""^(?:https?:\/\/)?(?:[^@\n]+@)?(?:www\.)?([^:\/\n]+)"")),"""")"),"kktv.com")</f>
        <v>kktv.com</v>
      </c>
      <c r="E1695" s="26" t="str">
        <f ca="1">IFERROR(__xludf.DUMMYFUNCTION("""COMPUTED_VALUE"""),"New")</f>
        <v>New</v>
      </c>
      <c r="F1695" s="72">
        <v>73</v>
      </c>
      <c r="G1695" s="72">
        <v>92818</v>
      </c>
      <c r="P1695" s="26"/>
    </row>
    <row r="1696" spans="1:16" ht="14.5">
      <c r="A1696" s="3" t="s">
        <v>38</v>
      </c>
      <c r="B1696" s="8" t="s">
        <v>2822</v>
      </c>
      <c r="C1696" s="46" t="s">
        <v>5277</v>
      </c>
      <c r="D1696" s="41" t="str">
        <f ca="1">IFERROR(__xludf.DUMMYFUNCTION("IFERROR(ARRAYFORMULA(REGEXEXTRACT(C1696,""^(?:https?:\/\/)?(?:[^@\n]+@)?(?:www\.)?([^:\/\n]+)"")),"""")"),"wctv.tv")</f>
        <v>wctv.tv</v>
      </c>
      <c r="E1696" s="26" t="str">
        <f ca="1">IFERROR(__xludf.DUMMYFUNCTION("""COMPUTED_VALUE"""),"New")</f>
        <v>New</v>
      </c>
      <c r="F1696" s="72">
        <v>72</v>
      </c>
      <c r="G1696" s="72">
        <v>35838</v>
      </c>
      <c r="P1696" s="26"/>
    </row>
    <row r="1697" spans="1:16" ht="14.5">
      <c r="A1697" s="3" t="s">
        <v>38</v>
      </c>
      <c r="B1697" s="8" t="s">
        <v>2822</v>
      </c>
      <c r="C1697" s="46" t="s">
        <v>5278</v>
      </c>
      <c r="D1697" s="41" t="str">
        <f ca="1">IFERROR(__xludf.DUMMYFUNCTION("IFERROR(ARRAYFORMULA(REGEXEXTRACT(C1697,""^(?:https?:\/\/)?(?:[^@\n]+@)?(?:www\.)?([^:\/\n]+)"")),"""")"),"ktre.com")</f>
        <v>ktre.com</v>
      </c>
      <c r="E1697" s="26" t="str">
        <f ca="1">IFERROR(__xludf.DUMMYFUNCTION("""COMPUTED_VALUE"""),"New")</f>
        <v>New</v>
      </c>
      <c r="F1697" s="72">
        <v>65</v>
      </c>
      <c r="G1697" s="72">
        <v>9347</v>
      </c>
      <c r="P1697" s="26"/>
    </row>
    <row r="1698" spans="1:16" ht="14.5">
      <c r="A1698" s="3" t="s">
        <v>38</v>
      </c>
      <c r="B1698" s="8" t="s">
        <v>2822</v>
      </c>
      <c r="C1698" s="46" t="s">
        <v>5279</v>
      </c>
      <c r="D1698" s="41" t="str">
        <f ca="1">IFERROR(__xludf.DUMMYFUNCTION("IFERROR(ARRAYFORMULA(REGEXEXTRACT(C1698,""^(?:https?:\/\/)?(?:[^@\n]+@)?(?:www\.)?([^:\/\n]+)"")),"""")"),"usamls.net")</f>
        <v>usamls.net</v>
      </c>
      <c r="E1698" s="26" t="str">
        <f ca="1">IFERROR(__xludf.DUMMYFUNCTION("""COMPUTED_VALUE"""),"New")</f>
        <v>New</v>
      </c>
      <c r="F1698" s="72">
        <v>76</v>
      </c>
      <c r="G1698" s="72">
        <v>6033</v>
      </c>
      <c r="P1698" s="26"/>
    </row>
    <row r="1699" spans="1:16" ht="14.5">
      <c r="A1699" s="3" t="s">
        <v>38</v>
      </c>
      <c r="B1699" s="8" t="s">
        <v>2822</v>
      </c>
      <c r="C1699" s="46" t="s">
        <v>5280</v>
      </c>
      <c r="D1699" s="41" t="str">
        <f ca="1">IFERROR(__xludf.DUMMYFUNCTION("IFERROR(ARRAYFORMULA(REGEXEXTRACT(C1699,""^(?:https?:\/\/)?(?:[^@\n]+@)?(?:www\.)?([^:\/\n]+)"")),"""")"),"wilx.com")</f>
        <v>wilx.com</v>
      </c>
      <c r="E1699" s="26" t="str">
        <f ca="1">IFERROR(__xludf.DUMMYFUNCTION("""COMPUTED_VALUE"""),"New")</f>
        <v>New</v>
      </c>
      <c r="F1699" s="72">
        <v>72</v>
      </c>
      <c r="G1699" s="72">
        <v>53338</v>
      </c>
      <c r="P1699" s="26"/>
    </row>
    <row r="1700" spans="1:16" ht="14.5">
      <c r="A1700" s="3" t="s">
        <v>38</v>
      </c>
      <c r="B1700" s="8" t="s">
        <v>2822</v>
      </c>
      <c r="C1700" s="46" t="s">
        <v>5281</v>
      </c>
      <c r="D1700" s="41" t="str">
        <f ca="1">IFERROR(__xludf.DUMMYFUNCTION("IFERROR(ARRAYFORMULA(REGEXEXTRACT(C1700,""^(?:https?:\/\/)?(?:[^@\n]+@)?(?:www\.)?([^:\/\n]+)"")),"""")"),"kfyrtv.com")</f>
        <v>kfyrtv.com</v>
      </c>
      <c r="E1700" s="26" t="str">
        <f ca="1">IFERROR(__xludf.DUMMYFUNCTION("""COMPUTED_VALUE"""),"New")</f>
        <v>New</v>
      </c>
      <c r="F1700" s="72">
        <v>72</v>
      </c>
      <c r="G1700" s="72">
        <v>20857</v>
      </c>
      <c r="P1700" s="26"/>
    </row>
    <row r="1701" spans="1:16" ht="14.5">
      <c r="A1701" s="3" t="s">
        <v>38</v>
      </c>
      <c r="B1701" s="8" t="s">
        <v>2822</v>
      </c>
      <c r="C1701" s="46" t="s">
        <v>5282</v>
      </c>
      <c r="D1701" s="41" t="str">
        <f ca="1">IFERROR(__xludf.DUMMYFUNCTION("IFERROR(ARRAYFORMULA(REGEXEXTRACT(C1701,""^(?:https?:\/\/)?(?:[^@\n]+@)?(?:www\.)?([^:\/\n]+)"")),"""")"),"tnk12.gov")</f>
        <v>tnk12.gov</v>
      </c>
      <c r="E1701" s="26" t="str">
        <f ca="1">IFERROR(__xludf.DUMMYFUNCTION("""COMPUTED_VALUE"""),"New")</f>
        <v>New</v>
      </c>
      <c r="F1701" s="72">
        <v>43</v>
      </c>
      <c r="G1701" s="72">
        <v>39261</v>
      </c>
      <c r="P1701" s="26"/>
    </row>
    <row r="1702" spans="1:16" ht="14.5">
      <c r="A1702" s="3" t="s">
        <v>38</v>
      </c>
      <c r="B1702" s="8" t="s">
        <v>2822</v>
      </c>
      <c r="C1702" s="46" t="s">
        <v>5283</v>
      </c>
      <c r="D1702" s="41" t="str">
        <f ca="1">IFERROR(__xludf.DUMMYFUNCTION("IFERROR(ARRAYFORMULA(REGEXEXTRACT(C1702,""^(?:https?:\/\/)?(?:[^@\n]+@)?(?:www\.)?([^:\/\n]+)"")),"""")"),"wcax.com")</f>
        <v>wcax.com</v>
      </c>
      <c r="E1702" s="26" t="str">
        <f ca="1">IFERROR(__xludf.DUMMYFUNCTION("""COMPUTED_VALUE"""),"New")</f>
        <v>New</v>
      </c>
      <c r="F1702" s="72">
        <v>76</v>
      </c>
      <c r="G1702" s="72">
        <v>65210</v>
      </c>
      <c r="P1702" s="26"/>
    </row>
    <row r="1703" spans="1:16" ht="14.5">
      <c r="A1703" s="3" t="s">
        <v>38</v>
      </c>
      <c r="B1703" s="8" t="s">
        <v>2822</v>
      </c>
      <c r="C1703" s="46" t="s">
        <v>5284</v>
      </c>
      <c r="D1703" s="41" t="str">
        <f ca="1">IFERROR(__xludf.DUMMYFUNCTION("IFERROR(ARRAYFORMULA(REGEXEXTRACT(C1703,""^(?:https?:\/\/)?(?:[^@\n]+@)?(?:www\.)?([^:\/\n]+)"")),"""")"),"wtap.com")</f>
        <v>wtap.com</v>
      </c>
      <c r="E1703" s="26" t="str">
        <f ca="1">IFERROR(__xludf.DUMMYFUNCTION("""COMPUTED_VALUE"""),"New")</f>
        <v>New</v>
      </c>
      <c r="F1703" s="72">
        <v>59</v>
      </c>
      <c r="G1703" s="72">
        <v>21059</v>
      </c>
      <c r="P1703" s="26"/>
    </row>
    <row r="1704" spans="1:16" ht="14.5">
      <c r="A1704" s="3" t="s">
        <v>38</v>
      </c>
      <c r="B1704" s="8" t="s">
        <v>2822</v>
      </c>
      <c r="C1704" s="46" t="s">
        <v>5285</v>
      </c>
      <c r="D1704" s="41" t="str">
        <f ca="1">IFERROR(__xludf.DUMMYFUNCTION("IFERROR(ARRAYFORMULA(REGEXEXTRACT(C1704,""^(?:https?:\/\/)?(?:[^@\n]+@)?(?:www\.)?([^:\/\n]+)"")),"""")"),"uppermichiganssource.com")</f>
        <v>uppermichiganssource.com</v>
      </c>
      <c r="E1704" s="26" t="str">
        <f ca="1">IFERROR(__xludf.DUMMYFUNCTION("""COMPUTED_VALUE"""),"New")</f>
        <v>New</v>
      </c>
      <c r="F1704" s="72">
        <v>71</v>
      </c>
      <c r="G1704" s="72">
        <v>123749</v>
      </c>
      <c r="P1704" s="26"/>
    </row>
    <row r="1705" spans="1:16" ht="14.5">
      <c r="A1705" s="3" t="s">
        <v>38</v>
      </c>
      <c r="B1705" s="8" t="s">
        <v>2822</v>
      </c>
      <c r="C1705" s="46" t="s">
        <v>5286</v>
      </c>
      <c r="D1705" s="41" t="str">
        <f ca="1">IFERROR(__xludf.DUMMYFUNCTION("IFERROR(ARRAYFORMULA(REGEXEXTRACT(C1705,""^(?:https?:\/\/)?(?:[^@\n]+@)?(?:www\.)?([^:\/\n]+)"")),"""")"),"tn.gov")</f>
        <v>tn.gov</v>
      </c>
      <c r="E1705" s="26" t="str">
        <f ca="1">IFERROR(__xludf.DUMMYFUNCTION("""COMPUTED_VALUE"""),"New")</f>
        <v>New</v>
      </c>
      <c r="F1705" s="72">
        <v>90</v>
      </c>
      <c r="G1705" s="72">
        <v>1368396</v>
      </c>
      <c r="P1705" s="26"/>
    </row>
    <row r="1706" spans="1:16" ht="14.5">
      <c r="A1706" s="3" t="s">
        <v>38</v>
      </c>
      <c r="B1706" s="8" t="s">
        <v>2822</v>
      </c>
      <c r="C1706" s="46" t="s">
        <v>5287</v>
      </c>
      <c r="D1706" s="41" t="str">
        <f ca="1">IFERROR(__xludf.DUMMYFUNCTION("IFERROR(ARRAYFORMULA(REGEXEXTRACT(C1706,""^(?:https?:\/\/)?(?:[^@\n]+@)?(?:www\.)?([^:\/\n]+)"")),"""")"),"alaskasnewssource.com")</f>
        <v>alaskasnewssource.com</v>
      </c>
      <c r="E1706" s="26" t="str">
        <f ca="1">IFERROR(__xludf.DUMMYFUNCTION("""COMPUTED_VALUE"""),"New")</f>
        <v>New</v>
      </c>
      <c r="F1706" s="72">
        <v>74</v>
      </c>
      <c r="G1706" s="72">
        <v>52918</v>
      </c>
      <c r="P1706" s="26"/>
    </row>
    <row r="1707" spans="1:16" ht="14.5">
      <c r="A1707" s="3" t="s">
        <v>38</v>
      </c>
      <c r="B1707" s="8" t="s">
        <v>2822</v>
      </c>
      <c r="C1707" s="46" t="s">
        <v>5288</v>
      </c>
      <c r="D1707" s="41" t="str">
        <f ca="1">IFERROR(__xludf.DUMMYFUNCTION("IFERROR(ARRAYFORMULA(REGEXEXTRACT(C1707,""^(?:https?:\/\/)?(?:[^@\n]+@)?(?:www\.)?([^:\/\n]+)"")),"""")"),"kplctv.com")</f>
        <v>kplctv.com</v>
      </c>
      <c r="E1707" s="26" t="str">
        <f ca="1">IFERROR(__xludf.DUMMYFUNCTION("""COMPUTED_VALUE"""),"New")</f>
        <v>New</v>
      </c>
      <c r="F1707" s="72">
        <v>71</v>
      </c>
      <c r="G1707" s="72">
        <v>38199</v>
      </c>
      <c r="P1707" s="26"/>
    </row>
    <row r="1708" spans="1:16" ht="14.5">
      <c r="A1708" s="3" t="s">
        <v>38</v>
      </c>
      <c r="B1708" s="8" t="s">
        <v>2822</v>
      </c>
      <c r="C1708" s="46" t="s">
        <v>5289</v>
      </c>
      <c r="D1708" s="41" t="str">
        <f ca="1">IFERROR(__xludf.DUMMYFUNCTION("IFERROR(ARRAYFORMULA(REGEXEXTRACT(C1708,""^(?:https?:\/\/)?(?:[^@\n]+@)?(?:www\.)?([^:\/\n]+)"")),"""")"),"mississippifreepress.org")</f>
        <v>mississippifreepress.org</v>
      </c>
      <c r="E1708" s="26" t="str">
        <f ca="1">IFERROR(__xludf.DUMMYFUNCTION("""COMPUTED_VALUE"""),"New")</f>
        <v>New</v>
      </c>
      <c r="F1708" s="72">
        <v>67</v>
      </c>
      <c r="G1708" s="72">
        <v>6005</v>
      </c>
      <c r="P1708" s="26"/>
    </row>
    <row r="1709" spans="1:16" ht="14.5">
      <c r="A1709" s="3" t="s">
        <v>38</v>
      </c>
      <c r="B1709" s="8" t="s">
        <v>2822</v>
      </c>
      <c r="C1709" s="46" t="s">
        <v>5290</v>
      </c>
      <c r="D1709" s="41" t="str">
        <f ca="1">IFERROR(__xludf.DUMMYFUNCTION("IFERROR(ARRAYFORMULA(REGEXEXTRACT(C1709,""^(?:https?:\/\/)?(?:[^@\n]+@)?(?:www\.)?([^:\/\n]+)"")),"""")"),"liveplan.com")</f>
        <v>liveplan.com</v>
      </c>
      <c r="E1709" s="26" t="str">
        <f ca="1">IFERROR(__xludf.DUMMYFUNCTION("""COMPUTED_VALUE"""),"New")</f>
        <v>New</v>
      </c>
      <c r="F1709" s="72">
        <v>79</v>
      </c>
      <c r="G1709" s="72">
        <v>160311</v>
      </c>
      <c r="P1709" s="26"/>
    </row>
    <row r="1710" spans="1:16" ht="14.5">
      <c r="A1710" s="3" t="s">
        <v>38</v>
      </c>
      <c r="B1710" s="8" t="s">
        <v>2822</v>
      </c>
      <c r="C1710" s="46" t="s">
        <v>5291</v>
      </c>
      <c r="D1710" s="41" t="str">
        <f ca="1">IFERROR(__xludf.DUMMYFUNCTION("IFERROR(ARRAYFORMULA(REGEXEXTRACT(C1710,""^(?:https?:\/\/)?(?:[^@\n]+@)?(?:www\.)?([^:\/\n]+)"")),"""")"),"atlantanewsfirst.com")</f>
        <v>atlantanewsfirst.com</v>
      </c>
      <c r="E1710" s="26" t="str">
        <f ca="1">IFERROR(__xludf.DUMMYFUNCTION("""COMPUTED_VALUE"""),"New")</f>
        <v>New</v>
      </c>
      <c r="F1710" s="72">
        <v>75</v>
      </c>
      <c r="G1710" s="72">
        <v>192967</v>
      </c>
      <c r="P1710" s="26"/>
    </row>
    <row r="1711" spans="1:16" ht="14.5">
      <c r="A1711" s="3" t="s">
        <v>38</v>
      </c>
      <c r="B1711" s="8" t="s">
        <v>2822</v>
      </c>
      <c r="C1711" s="46" t="s">
        <v>5292</v>
      </c>
      <c r="D1711" s="41" t="str">
        <f ca="1">IFERROR(__xludf.DUMMYFUNCTION("IFERROR(ARRAYFORMULA(REGEXEXTRACT(C1711,""^(?:https?:\/\/)?(?:[^@\n]+@)?(?:www\.)?([^:\/\n]+)"")),"""")"),"kswo.com")</f>
        <v>kswo.com</v>
      </c>
      <c r="E1711" s="26" t="str">
        <f ca="1">IFERROR(__xludf.DUMMYFUNCTION("""COMPUTED_VALUE"""),"New")</f>
        <v>New</v>
      </c>
      <c r="F1711" s="72">
        <v>65</v>
      </c>
      <c r="G1711" s="72">
        <v>20433</v>
      </c>
      <c r="P1711" s="26"/>
    </row>
    <row r="1712" spans="1:16" ht="14.5">
      <c r="A1712" s="3" t="s">
        <v>38</v>
      </c>
      <c r="B1712" s="8" t="s">
        <v>2822</v>
      </c>
      <c r="C1712" s="46" t="s">
        <v>5293</v>
      </c>
      <c r="D1712" s="41" t="str">
        <f ca="1">IFERROR(__xludf.DUMMYFUNCTION("IFERROR(ARRAYFORMULA(REGEXEXTRACT(C1712,""^(?:https?:\/\/)?(?:[^@\n]+@)?(?:www\.)?([^:\/\n]+)"")),"""")"),"wbng.com")</f>
        <v>wbng.com</v>
      </c>
      <c r="E1712" s="26" t="str">
        <f ca="1">IFERROR(__xludf.DUMMYFUNCTION("""COMPUTED_VALUE"""),"New")</f>
        <v>New</v>
      </c>
      <c r="F1712" s="72">
        <v>69</v>
      </c>
      <c r="G1712" s="72">
        <v>43709</v>
      </c>
      <c r="P1712" s="26"/>
    </row>
    <row r="1713" spans="1:16" ht="14.5">
      <c r="A1713" s="3" t="s">
        <v>38</v>
      </c>
      <c r="B1713" s="8" t="s">
        <v>2822</v>
      </c>
      <c r="C1713" s="46" t="s">
        <v>5294</v>
      </c>
      <c r="D1713" s="41" t="str">
        <f ca="1">IFERROR(__xludf.DUMMYFUNCTION("IFERROR(ARRAYFORMULA(REGEXEXTRACT(C1713,""^(?:https?:\/\/)?(?:[^@\n]+@)?(?:www\.)?([^:\/\n]+)"")),"""")"),"wvva.com")</f>
        <v>wvva.com</v>
      </c>
      <c r="E1713" s="26" t="str">
        <f ca="1">IFERROR(__xludf.DUMMYFUNCTION("""COMPUTED_VALUE"""),"New")</f>
        <v>New</v>
      </c>
      <c r="F1713" s="72">
        <v>65</v>
      </c>
      <c r="G1713" s="72">
        <v>22869</v>
      </c>
      <c r="P1713" s="26"/>
    </row>
    <row r="1714" spans="1:16" ht="14.5">
      <c r="A1714" s="3" t="s">
        <v>38</v>
      </c>
      <c r="B1714" s="8" t="s">
        <v>2822</v>
      </c>
      <c r="C1714" s="46" t="s">
        <v>5295</v>
      </c>
      <c r="D1714" s="41" t="str">
        <f ca="1">IFERROR(__xludf.DUMMYFUNCTION("IFERROR(ARRAYFORMULA(REGEXEXTRACT(C1714,""^(?:https?:\/\/)?(?:[^@\n]+@)?(?:www\.)?([^:\/\n]+)"")),"""")"),"wtvm.com")</f>
        <v>wtvm.com</v>
      </c>
      <c r="E1714" s="26" t="str">
        <f ca="1">IFERROR(__xludf.DUMMYFUNCTION("""COMPUTED_VALUE"""),"New")</f>
        <v>New</v>
      </c>
      <c r="F1714" s="72">
        <v>71</v>
      </c>
      <c r="G1714" s="72">
        <v>45673</v>
      </c>
      <c r="P1714" s="26"/>
    </row>
    <row r="1715" spans="1:16" ht="14.5">
      <c r="A1715" s="3" t="s">
        <v>38</v>
      </c>
      <c r="B1715" s="8" t="s">
        <v>2822</v>
      </c>
      <c r="C1715" s="46" t="s">
        <v>5296</v>
      </c>
      <c r="D1715" s="41" t="str">
        <f ca="1">IFERROR(__xludf.DUMMYFUNCTION("IFERROR(ARRAYFORMULA(REGEXEXTRACT(C1715,""^(?:https?:\/\/)?(?:[^@\n]+@)?(?:www\.)?([^:\/\n]+)"")),"""")"),"wmtv15news.com")</f>
        <v>wmtv15news.com</v>
      </c>
      <c r="E1715" s="26" t="str">
        <f ca="1">IFERROR(__xludf.DUMMYFUNCTION("""COMPUTED_VALUE"""),"New")</f>
        <v>New</v>
      </c>
      <c r="F1715" s="72">
        <v>72</v>
      </c>
      <c r="G1715" s="72">
        <v>104204</v>
      </c>
      <c r="P1715" s="26"/>
    </row>
    <row r="1716" spans="1:16" ht="14.5">
      <c r="A1716" s="3" t="s">
        <v>38</v>
      </c>
      <c r="B1716" s="8" t="s">
        <v>2822</v>
      </c>
      <c r="C1716" s="46" t="s">
        <v>5297</v>
      </c>
      <c r="D1716" s="41" t="str">
        <f ca="1">IFERROR(__xludf.DUMMYFUNCTION("IFERROR(ARRAYFORMULA(REGEXEXTRACT(C1716,""^(?:https?:\/\/)?(?:[^@\n]+@)?(?:www\.)?([^:\/\n]+)"")),"""")"),"waff.com")</f>
        <v>waff.com</v>
      </c>
      <c r="E1716" s="26" t="str">
        <f ca="1">IFERROR(__xludf.DUMMYFUNCTION("""COMPUTED_VALUE"""),"New")</f>
        <v>New</v>
      </c>
      <c r="F1716" s="72">
        <v>72</v>
      </c>
      <c r="G1716" s="72">
        <v>70680</v>
      </c>
      <c r="P1716" s="26"/>
    </row>
    <row r="1717" spans="1:16" ht="14.5">
      <c r="A1717" s="3" t="s">
        <v>38</v>
      </c>
      <c r="B1717" s="8" t="s">
        <v>2822</v>
      </c>
      <c r="C1717" s="46" t="s">
        <v>5298</v>
      </c>
      <c r="D1717" s="41" t="str">
        <f ca="1">IFERROR(__xludf.DUMMYFUNCTION("IFERROR(ARRAYFORMULA(REGEXEXTRACT(C1717,""^(?:https?:\/\/)?(?:[^@\n]+@)?(?:www\.)?([^:\/\n]+)"")),"""")"),"kaplanmena.com")</f>
        <v>kaplanmena.com</v>
      </c>
      <c r="E1717" s="26" t="str">
        <f ca="1">IFERROR(__xludf.DUMMYFUNCTION("""COMPUTED_VALUE"""),"New")</f>
        <v>New</v>
      </c>
      <c r="F1717" s="72">
        <v>31</v>
      </c>
      <c r="G1717" s="72">
        <v>2389</v>
      </c>
      <c r="P1717" s="26"/>
    </row>
    <row r="1718" spans="1:16" ht="14.5">
      <c r="A1718" s="3" t="s">
        <v>38</v>
      </c>
      <c r="B1718" s="8" t="s">
        <v>2822</v>
      </c>
      <c r="C1718" s="46" t="s">
        <v>5299</v>
      </c>
      <c r="D1718" s="41" t="str">
        <f ca="1">IFERROR(__xludf.DUMMYFUNCTION("IFERROR(ARRAYFORMULA(REGEXEXTRACT(C1718,""^(?:https?:\/\/)?(?:[^@\n]+@)?(?:www\.)?([^:\/\n]+)"")),"""")"),"firstalert4.com")</f>
        <v>firstalert4.com</v>
      </c>
      <c r="E1718" s="26" t="str">
        <f ca="1">IFERROR(__xludf.DUMMYFUNCTION("""COMPUTED_VALUE"""),"New")</f>
        <v>New</v>
      </c>
      <c r="F1718" s="72">
        <v>74</v>
      </c>
      <c r="G1718" s="72">
        <v>174542</v>
      </c>
      <c r="P1718" s="26"/>
    </row>
    <row r="1719" spans="1:16" ht="14.5">
      <c r="A1719" s="3" t="s">
        <v>38</v>
      </c>
      <c r="B1719" s="8" t="s">
        <v>2822</v>
      </c>
      <c r="C1719" s="46" t="s">
        <v>5300</v>
      </c>
      <c r="D1719" s="41" t="str">
        <f ca="1">IFERROR(__xludf.DUMMYFUNCTION("IFERROR(ARRAYFORMULA(REGEXEXTRACT(C1719,""^(?:https?:\/\/)?(?:[^@\n]+@)?(?:www\.)?([^:\/\n]+)"")),"""")"),"wbrc.com")</f>
        <v>wbrc.com</v>
      </c>
      <c r="E1719" s="26" t="str">
        <f ca="1">IFERROR(__xludf.DUMMYFUNCTION("""COMPUTED_VALUE"""),"New")</f>
        <v>New</v>
      </c>
      <c r="F1719" s="72">
        <v>75</v>
      </c>
      <c r="G1719" s="72">
        <v>82136</v>
      </c>
      <c r="P1719" s="26"/>
    </row>
    <row r="1720" spans="1:16" ht="14.5">
      <c r="A1720" s="3" t="s">
        <v>38</v>
      </c>
      <c r="B1720" s="8" t="s">
        <v>2822</v>
      </c>
      <c r="C1720" s="46" t="s">
        <v>5301</v>
      </c>
      <c r="D1720" s="41" t="str">
        <f ca="1">IFERROR(__xludf.DUMMYFUNCTION("IFERROR(ARRAYFORMULA(REGEXEXTRACT(C1720,""^(?:https?:\/\/)?(?:[^@\n]+@)?(?:www\.)?([^:\/\n]+)"")),"""")"),"wafb.com")</f>
        <v>wafb.com</v>
      </c>
      <c r="E1720" s="26" t="str">
        <f ca="1">IFERROR(__xludf.DUMMYFUNCTION("""COMPUTED_VALUE"""),"New")</f>
        <v>New</v>
      </c>
      <c r="F1720" s="72">
        <v>74</v>
      </c>
      <c r="G1720" s="72">
        <v>117587</v>
      </c>
      <c r="P1720" s="26"/>
    </row>
    <row r="1721" spans="1:16" ht="14.5">
      <c r="A1721" s="3" t="s">
        <v>38</v>
      </c>
      <c r="B1721" s="8" t="s">
        <v>2822</v>
      </c>
      <c r="C1721" s="49" t="s">
        <v>5302</v>
      </c>
      <c r="D1721" s="41" t="str">
        <f ca="1">IFERROR(__xludf.DUMMYFUNCTION("IFERROR(ARRAYFORMULA(REGEXEXTRACT(C1721,""^(?:https?:\/\/)?(?:[^@\n]+@)?(?:www\.)?([^:\/\n]+)"")),"""")"),"theatlantavoice.com")</f>
        <v>theatlantavoice.com</v>
      </c>
      <c r="E1721" s="26" t="str">
        <f ca="1">IFERROR(__xludf.DUMMYFUNCTION("""COMPUTED_VALUE"""),"New")</f>
        <v>New</v>
      </c>
      <c r="F1721" s="72">
        <v>71</v>
      </c>
      <c r="G1721" s="72">
        <v>8979</v>
      </c>
      <c r="H1721" s="27" t="s">
        <v>5303</v>
      </c>
      <c r="I1721" s="27" t="s">
        <v>5304</v>
      </c>
      <c r="K1721" s="27" t="s">
        <v>3772</v>
      </c>
      <c r="L1721" s="112"/>
      <c r="M1721" s="27" t="s">
        <v>3715</v>
      </c>
      <c r="N1721" s="48">
        <v>46047</v>
      </c>
      <c r="O1721" s="48">
        <v>46068</v>
      </c>
      <c r="P1721" s="26"/>
    </row>
    <row r="1722" spans="1:16" ht="14.5">
      <c r="A1722" s="3" t="s">
        <v>38</v>
      </c>
      <c r="B1722" s="8" t="s">
        <v>2822</v>
      </c>
      <c r="C1722" s="46" t="s">
        <v>5305</v>
      </c>
      <c r="D1722" s="41" t="str">
        <f ca="1">IFERROR(__xludf.DUMMYFUNCTION("IFERROR(ARRAYFORMULA(REGEXEXTRACT(C1722,""^(?:https?:\/\/)?(?:[^@\n]+@)?(?:www\.)?([^:\/\n]+)"")),"""")"),"witn.com")</f>
        <v>witn.com</v>
      </c>
      <c r="E1722" s="26" t="str">
        <f ca="1">IFERROR(__xludf.DUMMYFUNCTION("""COMPUTED_VALUE"""),"New")</f>
        <v>New</v>
      </c>
      <c r="F1722" s="72">
        <v>71</v>
      </c>
      <c r="G1722" s="72">
        <v>71485</v>
      </c>
      <c r="P1722" s="26"/>
    </row>
    <row r="1723" spans="1:16" ht="14.5">
      <c r="A1723" s="3" t="s">
        <v>38</v>
      </c>
      <c r="B1723" s="8" t="s">
        <v>2822</v>
      </c>
      <c r="C1723" s="46" t="s">
        <v>5306</v>
      </c>
      <c r="D1723" s="41" t="str">
        <f ca="1">IFERROR(__xludf.DUMMYFUNCTION("IFERROR(ARRAYFORMULA(REGEXEXTRACT(C1723,""^(?:https?:\/\/)?(?:[^@\n]+@)?(?:www\.)?([^:\/\n]+)"")),"""")"),"kalb.com")</f>
        <v>kalb.com</v>
      </c>
      <c r="E1723" s="26" t="str">
        <f ca="1">IFERROR(__xludf.DUMMYFUNCTION("""COMPUTED_VALUE"""),"New")</f>
        <v>New</v>
      </c>
      <c r="F1723" s="72">
        <v>64</v>
      </c>
      <c r="G1723" s="72">
        <v>19974</v>
      </c>
      <c r="P1723" s="26"/>
    </row>
    <row r="1724" spans="1:16" ht="14.5">
      <c r="A1724" s="3" t="s">
        <v>38</v>
      </c>
      <c r="B1724" s="8" t="s">
        <v>2822</v>
      </c>
      <c r="C1724" s="46" t="s">
        <v>5307</v>
      </c>
      <c r="D1724" s="41" t="str">
        <f ca="1">IFERROR(__xludf.DUMMYFUNCTION("IFERROR(ARRAYFORMULA(REGEXEXTRACT(C1724,""^(?:https?:\/\/)?(?:[^@\n]+@)?(?:www\.)?([^:\/\n]+)"")),"""")"),"labor.md.gov")</f>
        <v>labor.md.gov</v>
      </c>
      <c r="E1724" s="26" t="str">
        <f ca="1">IFERROR(__xludf.DUMMYFUNCTION("""COMPUTED_VALUE"""),"New")</f>
        <v>New</v>
      </c>
      <c r="F1724" s="72">
        <v>74</v>
      </c>
      <c r="G1724" s="72">
        <v>31962</v>
      </c>
      <c r="P1724" s="26"/>
    </row>
    <row r="1725" spans="1:16" ht="14.5">
      <c r="A1725" s="3" t="s">
        <v>38</v>
      </c>
      <c r="B1725" s="8" t="s">
        <v>2822</v>
      </c>
      <c r="C1725" s="46" t="s">
        <v>5308</v>
      </c>
      <c r="D1725" s="41" t="str">
        <f ca="1">IFERROR(__xludf.DUMMYFUNCTION("IFERROR(ARRAYFORMULA(REGEXEXTRACT(C1725,""^(?:https?:\/\/)?(?:[^@\n]+@)?(?:www\.)?([^:\/\n]+)"")),"""")"),"wdbj7.com")</f>
        <v>wdbj7.com</v>
      </c>
      <c r="E1725" s="26" t="str">
        <f ca="1">IFERROR(__xludf.DUMMYFUNCTION("""COMPUTED_VALUE"""),"New")</f>
        <v>New</v>
      </c>
      <c r="F1725" s="72">
        <v>74</v>
      </c>
      <c r="G1725" s="72">
        <v>80220</v>
      </c>
      <c r="P1725" s="26"/>
    </row>
    <row r="1726" spans="1:16" ht="14.5">
      <c r="A1726" s="3" t="s">
        <v>38</v>
      </c>
      <c r="B1726" s="8" t="s">
        <v>2822</v>
      </c>
      <c r="C1726" s="46" t="s">
        <v>5309</v>
      </c>
      <c r="D1726" s="41" t="str">
        <f ca="1">IFERROR(__xludf.DUMMYFUNCTION("IFERROR(ARRAYFORMULA(REGEXEXTRACT(C1726,""^(?:https?:\/\/)?(?:[^@\n]+@)?(?:www\.)?([^:\/\n]+)"")),"""")"),"edinarealty.com")</f>
        <v>edinarealty.com</v>
      </c>
      <c r="E1726" s="26" t="str">
        <f ca="1">IFERROR(__xludf.DUMMYFUNCTION("""COMPUTED_VALUE"""),"New")</f>
        <v>New</v>
      </c>
      <c r="F1726" s="72">
        <v>66</v>
      </c>
      <c r="G1726" s="72">
        <v>65891</v>
      </c>
      <c r="P1726" s="26"/>
    </row>
    <row r="1727" spans="1:16" ht="14.5">
      <c r="A1727" s="3" t="s">
        <v>38</v>
      </c>
      <c r="B1727" s="8" t="s">
        <v>2822</v>
      </c>
      <c r="C1727" s="46" t="s">
        <v>5310</v>
      </c>
      <c r="D1727" s="41" t="str">
        <f ca="1">IFERROR(__xludf.DUMMYFUNCTION("IFERROR(ARRAYFORMULA(REGEXEXTRACT(C1727,""^(?:https?:\/\/)?(?:[^@\n]+@)?(?:www\.)?([^:\/\n]+)"")),"""")"),"wjhg.com")</f>
        <v>wjhg.com</v>
      </c>
      <c r="E1727" s="26" t="str">
        <f ca="1">IFERROR(__xludf.DUMMYFUNCTION("""COMPUTED_VALUE"""),"New")</f>
        <v>New</v>
      </c>
      <c r="F1727" s="72">
        <v>73</v>
      </c>
      <c r="G1727" s="72">
        <v>31000</v>
      </c>
      <c r="P1727" s="26"/>
    </row>
    <row r="1728" spans="1:16" ht="14.5">
      <c r="A1728" s="3" t="s">
        <v>38</v>
      </c>
      <c r="B1728" s="8" t="s">
        <v>2822</v>
      </c>
      <c r="C1728" s="46" t="s">
        <v>5311</v>
      </c>
      <c r="D1728" s="41" t="str">
        <f ca="1">IFERROR(__xludf.DUMMYFUNCTION("IFERROR(ARRAYFORMULA(REGEXEXTRACT(C1728,""^(?:https?:\/\/)?(?:[^@\n]+@)?(?:www\.)?([^:\/\n]+)"")),"""")"),"wect.com")</f>
        <v>wect.com</v>
      </c>
      <c r="E1728" s="26" t="str">
        <f ca="1">IFERROR(__xludf.DUMMYFUNCTION("""COMPUTED_VALUE"""),"New")</f>
        <v>New</v>
      </c>
      <c r="F1728" s="72">
        <v>73</v>
      </c>
      <c r="G1728" s="72">
        <v>77321</v>
      </c>
      <c r="P1728" s="26"/>
    </row>
    <row r="1729" spans="1:16" ht="14.5">
      <c r="A1729" s="3" t="s">
        <v>38</v>
      </c>
      <c r="B1729" s="8" t="s">
        <v>2822</v>
      </c>
      <c r="C1729" s="46" t="s">
        <v>5312</v>
      </c>
      <c r="D1729" s="41" t="str">
        <f ca="1">IFERROR(__xludf.DUMMYFUNCTION("IFERROR(ARRAYFORMULA(REGEXEXTRACT(C1729,""^(?:https?:\/\/)?(?:[^@\n]+@)?(?:www\.)?([^:\/\n]+)"")),"""")"),"keyc.com")</f>
        <v>keyc.com</v>
      </c>
      <c r="E1729" s="26" t="str">
        <f ca="1">IFERROR(__xludf.DUMMYFUNCTION("""COMPUTED_VALUE"""),"New")</f>
        <v>New</v>
      </c>
      <c r="F1729" s="72">
        <v>69</v>
      </c>
      <c r="G1729" s="72">
        <v>12152</v>
      </c>
      <c r="P1729" s="26"/>
    </row>
    <row r="1730" spans="1:16" ht="14.5">
      <c r="A1730" s="3" t="s">
        <v>38</v>
      </c>
      <c r="B1730" s="8" t="s">
        <v>2822</v>
      </c>
      <c r="C1730" s="46" t="s">
        <v>5313</v>
      </c>
      <c r="D1730" s="41" t="str">
        <f ca="1">IFERROR(__xludf.DUMMYFUNCTION("IFERROR(ARRAYFORMULA(REGEXEXTRACT(C1730,""^(?:https?:\/\/)?(?:[^@\n]+@)?(?:www\.)?([^:\/\n]+)"")),"""")"),"notoriousrob.com.dream.website")</f>
        <v>notoriousrob.com.dream.website</v>
      </c>
      <c r="E1730" s="26" t="str">
        <f ca="1">IFERROR(__xludf.DUMMYFUNCTION("""COMPUTED_VALUE"""),"New")</f>
        <v>New</v>
      </c>
      <c r="F1730" s="72">
        <v>77</v>
      </c>
      <c r="G1730" s="72">
        <v>1931</v>
      </c>
      <c r="P1730" s="26"/>
    </row>
    <row r="1731" spans="1:16" ht="14.5">
      <c r="A1731" s="3" t="s">
        <v>38</v>
      </c>
      <c r="B1731" s="8" t="s">
        <v>2822</v>
      </c>
      <c r="C1731" s="46" t="s">
        <v>5314</v>
      </c>
      <c r="D1731" s="41" t="str">
        <f ca="1">IFERROR(__xludf.DUMMYFUNCTION("IFERROR(ARRAYFORMULA(REGEXEXTRACT(C1731,""^(?:https?:\/\/)?(?:[^@\n]+@)?(?:www\.)?([^:\/\n]+)"")),"""")"),"reelmind.ai")</f>
        <v>reelmind.ai</v>
      </c>
      <c r="E1731" s="26" t="str">
        <f ca="1">IFERROR(__xludf.DUMMYFUNCTION("""COMPUTED_VALUE"""),"New")</f>
        <v>New</v>
      </c>
      <c r="F1731" s="72">
        <v>46</v>
      </c>
      <c r="G1731" s="72">
        <v>14212</v>
      </c>
      <c r="P1731" s="26"/>
    </row>
    <row r="1732" spans="1:16" ht="14.5">
      <c r="A1732" s="3" t="s">
        <v>38</v>
      </c>
      <c r="B1732" s="8" t="s">
        <v>2822</v>
      </c>
      <c r="C1732" s="46" t="s">
        <v>5315</v>
      </c>
      <c r="D1732" s="41" t="str">
        <f ca="1">IFERROR(__xludf.DUMMYFUNCTION("IFERROR(ARRAYFORMULA(REGEXEXTRACT(C1732,""^(?:https?:\/\/)?(?:[^@\n]+@)?(?:www\.)?([^:\/\n]+)"")),"""")"),"ktiv.com")</f>
        <v>ktiv.com</v>
      </c>
      <c r="E1732" s="26" t="str">
        <f ca="1">IFERROR(__xludf.DUMMYFUNCTION("""COMPUTED_VALUE"""),"New")</f>
        <v>New</v>
      </c>
      <c r="F1732" s="72">
        <v>68</v>
      </c>
      <c r="G1732" s="72">
        <v>39806</v>
      </c>
      <c r="P1732" s="26"/>
    </row>
    <row r="1733" spans="1:16" ht="14.5">
      <c r="A1733" s="3" t="s">
        <v>38</v>
      </c>
      <c r="B1733" s="8" t="s">
        <v>2822</v>
      </c>
      <c r="C1733" s="46" t="s">
        <v>5316</v>
      </c>
      <c r="D1733" s="41" t="str">
        <f ca="1">IFERROR(__xludf.DUMMYFUNCTION("IFERROR(ARRAYFORMULA(REGEXEXTRACT(C1733,""^(?:https?:\/\/)?(?:[^@\n]+@)?(?:www\.)?([^:\/\n]+)"")),"""")"),"wrdw.com")</f>
        <v>wrdw.com</v>
      </c>
      <c r="E1733" s="26" t="str">
        <f ca="1">IFERROR(__xludf.DUMMYFUNCTION("""COMPUTED_VALUE"""),"New")</f>
        <v>New</v>
      </c>
      <c r="F1733" s="72">
        <v>73</v>
      </c>
      <c r="G1733" s="72">
        <v>82468</v>
      </c>
      <c r="P1733" s="26"/>
    </row>
    <row r="1734" spans="1:16" ht="14.5">
      <c r="A1734" s="3" t="s">
        <v>38</v>
      </c>
      <c r="B1734" s="8" t="s">
        <v>2822</v>
      </c>
      <c r="C1734" s="46" t="s">
        <v>5317</v>
      </c>
      <c r="D1734" s="41" t="str">
        <f ca="1">IFERROR(__xludf.DUMMYFUNCTION("IFERROR(ARRAYFORMULA(REGEXEXTRACT(C1734,""^(?:https?:\/\/)?(?:[^@\n]+@)?(?:www\.)?([^:\/\n]+)"")),"""")"),"kwqc.com")</f>
        <v>kwqc.com</v>
      </c>
      <c r="E1734" s="26" t="str">
        <f ca="1">IFERROR(__xludf.DUMMYFUNCTION("""COMPUTED_VALUE"""),"New")</f>
        <v>New</v>
      </c>
      <c r="F1734" s="72">
        <v>71</v>
      </c>
      <c r="G1734" s="72">
        <v>61670</v>
      </c>
      <c r="P1734" s="26"/>
    </row>
    <row r="1735" spans="1:16" ht="14.5">
      <c r="A1735" s="3" t="s">
        <v>38</v>
      </c>
      <c r="B1735" s="8" t="s">
        <v>2822</v>
      </c>
      <c r="C1735" s="46" t="s">
        <v>5318</v>
      </c>
      <c r="D1735" s="41" t="str">
        <f ca="1">IFERROR(__xludf.DUMMYFUNCTION("IFERROR(ARRAYFORMULA(REGEXEXTRACT(C1735,""^(?:https?:\/\/)?(?:[^@\n]+@)?(?:www\.)?([^:\/\n]+)"")),"""")"),"edukemy.com")</f>
        <v>edukemy.com</v>
      </c>
      <c r="E1735" s="26" t="str">
        <f ca="1">IFERROR(__xludf.DUMMYFUNCTION("""COMPUTED_VALUE"""),"New")</f>
        <v>New</v>
      </c>
      <c r="F1735" s="72">
        <v>34</v>
      </c>
      <c r="G1735" s="72">
        <v>27343</v>
      </c>
      <c r="P1735" s="26"/>
    </row>
    <row r="1736" spans="1:16" ht="14.5">
      <c r="A1736" s="3" t="s">
        <v>38</v>
      </c>
      <c r="B1736" s="8" t="s">
        <v>2822</v>
      </c>
      <c r="C1736" s="46" t="s">
        <v>5319</v>
      </c>
      <c r="D1736" s="41" t="str">
        <f ca="1">IFERROR(__xludf.DUMMYFUNCTION("IFERROR(ARRAYFORMULA(REGEXEXTRACT(C1736,""^(?:https?:\/\/)?(?:[^@\n]+@)?(?:www\.)?([^:\/\n]+)"")),"""")"),"wdam.com")</f>
        <v>wdam.com</v>
      </c>
      <c r="E1736" s="26" t="str">
        <f ca="1">IFERROR(__xludf.DUMMYFUNCTION("""COMPUTED_VALUE"""),"New")</f>
        <v>New</v>
      </c>
      <c r="F1736" s="72">
        <v>67</v>
      </c>
      <c r="G1736" s="72">
        <v>18962</v>
      </c>
      <c r="P1736" s="26"/>
    </row>
    <row r="1737" spans="1:16" ht="14.5">
      <c r="A1737" s="3" t="s">
        <v>38</v>
      </c>
      <c r="B1737" s="8" t="s">
        <v>2822</v>
      </c>
      <c r="C1737" s="46" t="s">
        <v>5320</v>
      </c>
      <c r="D1737" s="41" t="str">
        <f ca="1">IFERROR(__xludf.DUMMYFUNCTION("IFERROR(ARRAYFORMULA(REGEXEXTRACT(C1737,""^(?:https?:\/\/)?(?:[^@\n]+@)?(?:www\.)?([^:\/\n]+)"")),"""")"),"kotatv.com")</f>
        <v>kotatv.com</v>
      </c>
      <c r="E1737" s="26" t="str">
        <f ca="1">IFERROR(__xludf.DUMMYFUNCTION("""COMPUTED_VALUE"""),"New")</f>
        <v>New</v>
      </c>
      <c r="F1737" s="72">
        <v>70</v>
      </c>
      <c r="G1737" s="72">
        <v>24033</v>
      </c>
      <c r="P1737" s="26"/>
    </row>
    <row r="1738" spans="1:16" ht="14.5">
      <c r="A1738" s="3" t="s">
        <v>38</v>
      </c>
      <c r="B1738" s="8" t="s">
        <v>2822</v>
      </c>
      <c r="C1738" s="46" t="s">
        <v>5321</v>
      </c>
      <c r="D1738" s="41" t="str">
        <f ca="1">IFERROR(__xludf.DUMMYFUNCTION("IFERROR(ARRAYFORMULA(REGEXEXTRACT(C1738,""^(?:https?:\/\/)?(?:[^@\n]+@)?(?:www\.)?([^:\/\n]+)"")),"""")"),"wsfa.com")</f>
        <v>wsfa.com</v>
      </c>
      <c r="E1738" s="26" t="str">
        <f ca="1">IFERROR(__xludf.DUMMYFUNCTION("""COMPUTED_VALUE"""),"New")</f>
        <v>New</v>
      </c>
      <c r="F1738" s="72">
        <v>74</v>
      </c>
      <c r="G1738" s="72">
        <v>74271</v>
      </c>
      <c r="P1738" s="26"/>
    </row>
    <row r="1739" spans="1:16" ht="14.5">
      <c r="A1739" s="3" t="s">
        <v>38</v>
      </c>
      <c r="B1739" s="8" t="s">
        <v>2822</v>
      </c>
      <c r="C1739" s="46" t="s">
        <v>5322</v>
      </c>
      <c r="D1739" s="41" t="str">
        <f ca="1">IFERROR(__xludf.DUMMYFUNCTION("IFERROR(ARRAYFORMULA(REGEXEXTRACT(C1739,""^(?:https?:\/\/)?(?:[^@\n]+@)?(?:www\.)?([^:\/\n]+)"")),"""")"),"wibw.com")</f>
        <v>wibw.com</v>
      </c>
      <c r="E1739" s="26" t="str">
        <f ca="1">IFERROR(__xludf.DUMMYFUNCTION("""COMPUTED_VALUE"""),"New")</f>
        <v>New</v>
      </c>
      <c r="F1739" s="72">
        <v>72</v>
      </c>
      <c r="G1739" s="72">
        <v>58965</v>
      </c>
      <c r="P1739" s="26"/>
    </row>
    <row r="1740" spans="1:16" ht="14.5">
      <c r="A1740" s="3" t="s">
        <v>38</v>
      </c>
      <c r="B1740" s="8" t="s">
        <v>2822</v>
      </c>
      <c r="C1740" s="46" t="s">
        <v>5323</v>
      </c>
      <c r="D1740" s="41" t="str">
        <f ca="1">IFERROR(__xludf.DUMMYFUNCTION("IFERROR(ARRAYFORMULA(REGEXEXTRACT(C1740,""^(?:https?:\/\/)?(?:[^@\n]+@)?(?:www\.)?([^:\/\n]+)"")),"""")"),"wisewhisperagency.com")</f>
        <v>wisewhisperagency.com</v>
      </c>
      <c r="E1740" s="26" t="str">
        <f ca="1">IFERROR(__xludf.DUMMYFUNCTION("""COMPUTED_VALUE"""),"New")</f>
        <v>New</v>
      </c>
      <c r="F1740" s="72">
        <v>42</v>
      </c>
      <c r="G1740" s="72">
        <v>2275</v>
      </c>
      <c r="P1740" s="26"/>
    </row>
    <row r="1741" spans="1:16" ht="14.5">
      <c r="A1741" s="3" t="s">
        <v>38</v>
      </c>
      <c r="B1741" s="8" t="s">
        <v>2822</v>
      </c>
      <c r="C1741" s="46" t="s">
        <v>5324</v>
      </c>
      <c r="D1741" s="41" t="str">
        <f ca="1">IFERROR(__xludf.DUMMYFUNCTION("IFERROR(ARRAYFORMULA(REGEXEXTRACT(C1741,""^(?:https?:\/\/)?(?:[^@\n]+@)?(?:www\.)?([^:\/\n]+)"")),"""")"),"kbtx.com")</f>
        <v>kbtx.com</v>
      </c>
      <c r="E1741" s="26" t="str">
        <f ca="1">IFERROR(__xludf.DUMMYFUNCTION("""COMPUTED_VALUE"""),"New")</f>
        <v>New</v>
      </c>
      <c r="F1741" s="72">
        <v>73</v>
      </c>
      <c r="G1741" s="72">
        <v>76971</v>
      </c>
      <c r="P1741" s="26"/>
    </row>
    <row r="1742" spans="1:16" ht="14.5">
      <c r="A1742" s="3" t="s">
        <v>38</v>
      </c>
      <c r="B1742" s="8" t="s">
        <v>2822</v>
      </c>
      <c r="C1742" s="46" t="s">
        <v>5325</v>
      </c>
      <c r="D1742" s="41" t="str">
        <f ca="1">IFERROR(__xludf.DUMMYFUNCTION("IFERROR(ARRAYFORMULA(REGEXEXTRACT(C1742,""^(?:https?:\/\/)?(?:[^@\n]+@)?(?:www\.)?([^:\/\n]+)"")),"""")"),"scottcountymn.gov")</f>
        <v>scottcountymn.gov</v>
      </c>
      <c r="E1742" s="26" t="str">
        <f ca="1">IFERROR(__xludf.DUMMYFUNCTION("""COMPUTED_VALUE"""),"New")</f>
        <v>New</v>
      </c>
      <c r="F1742" s="72">
        <v>59</v>
      </c>
      <c r="G1742" s="72">
        <v>6544</v>
      </c>
      <c r="P1742" s="26"/>
    </row>
    <row r="1743" spans="1:16" ht="14.5">
      <c r="A1743" s="3" t="s">
        <v>38</v>
      </c>
      <c r="B1743" s="8" t="s">
        <v>2822</v>
      </c>
      <c r="C1743" s="46" t="s">
        <v>5326</v>
      </c>
      <c r="D1743" s="41" t="str">
        <f ca="1">IFERROR(__xludf.DUMMYFUNCTION("IFERROR(ARRAYFORMULA(REGEXEXTRACT(C1743,""^(?:https?:\/\/)?(?:[^@\n]+@)?(?:www\.)?([^:\/\n]+)"")),"""")"),"digitalbranch.cmlibrary.org")</f>
        <v>digitalbranch.cmlibrary.org</v>
      </c>
      <c r="E1743" s="26" t="str">
        <f ca="1">IFERROR(__xludf.DUMMYFUNCTION("""COMPUTED_VALUE"""),"New")</f>
        <v>New</v>
      </c>
      <c r="F1743" s="72">
        <v>61</v>
      </c>
      <c r="G1743" s="72">
        <v>16402</v>
      </c>
      <c r="P1743" s="26"/>
    </row>
    <row r="1744" spans="1:16" ht="14.5">
      <c r="A1744" s="3" t="s">
        <v>38</v>
      </c>
      <c r="B1744" s="8" t="s">
        <v>2822</v>
      </c>
      <c r="C1744" s="46" t="s">
        <v>5327</v>
      </c>
      <c r="D1744" s="41" t="str">
        <f ca="1">IFERROR(__xludf.DUMMYFUNCTION("IFERROR(ARRAYFORMULA(REGEXEXTRACT(C1744,""^(?:https?:\/\/)?(?:[^@\n]+@)?(?:www\.)?([^:\/\n]+)"")),"""")"),"bigmarker.com")</f>
        <v>bigmarker.com</v>
      </c>
      <c r="E1744" s="26" t="str">
        <f ca="1">IFERROR(__xludf.DUMMYFUNCTION("""COMPUTED_VALUE"""),"New")</f>
        <v>New</v>
      </c>
      <c r="F1744" s="72">
        <v>82</v>
      </c>
      <c r="G1744" s="72">
        <v>8059</v>
      </c>
      <c r="P1744" s="26"/>
    </row>
    <row r="1745" spans="1:28" ht="14.5">
      <c r="A1745" s="3" t="s">
        <v>38</v>
      </c>
      <c r="B1745" s="8" t="s">
        <v>2822</v>
      </c>
      <c r="C1745" s="46" t="s">
        <v>5328</v>
      </c>
      <c r="D1745" s="41" t="str">
        <f ca="1">IFERROR(__xludf.DUMMYFUNCTION("IFERROR(ARRAYFORMULA(REGEXEXTRACT(C1745,""^(?:https?:\/\/)?(?:[^@\n]+@)?(?:www\.)?([^:\/\n]+)"")),"""")"),"ky3.com")</f>
        <v>ky3.com</v>
      </c>
      <c r="E1745" s="26" t="str">
        <f ca="1">IFERROR(__xludf.DUMMYFUNCTION("""COMPUTED_VALUE"""),"New")</f>
        <v>New</v>
      </c>
      <c r="F1745" s="72">
        <v>73</v>
      </c>
      <c r="G1745" s="72">
        <v>108568</v>
      </c>
      <c r="P1745" s="26"/>
    </row>
    <row r="1746" spans="1:28" ht="14.5">
      <c r="A1746" s="3" t="s">
        <v>38</v>
      </c>
      <c r="B1746" s="8" t="s">
        <v>2822</v>
      </c>
      <c r="C1746" s="46" t="s">
        <v>5329</v>
      </c>
      <c r="D1746" s="41" t="str">
        <f ca="1">IFERROR(__xludf.DUMMYFUNCTION("IFERROR(ARRAYFORMULA(REGEXEXTRACT(C1746,""^(?:https?:\/\/)?(?:[^@\n]+@)?(?:www\.)?([^:\/\n]+)"")),"""")"),"whsv.com")</f>
        <v>whsv.com</v>
      </c>
      <c r="E1746" s="26" t="str">
        <f ca="1">IFERROR(__xludf.DUMMYFUNCTION("""COMPUTED_VALUE"""),"New")</f>
        <v>New</v>
      </c>
      <c r="F1746" s="72">
        <v>72</v>
      </c>
      <c r="G1746" s="72">
        <v>47529</v>
      </c>
      <c r="P1746" s="26"/>
    </row>
    <row r="1747" spans="1:28" ht="14.5">
      <c r="A1747" s="3" t="s">
        <v>38</v>
      </c>
      <c r="B1747" s="8" t="s">
        <v>2822</v>
      </c>
      <c r="C1747" s="46" t="s">
        <v>5330</v>
      </c>
      <c r="D1747" s="41" t="str">
        <f ca="1">IFERROR(__xludf.DUMMYFUNCTION("IFERROR(ARRAYFORMULA(REGEXEXTRACT(C1747,""^(?:https?:\/\/)?(?:[^@\n]+@)?(?:www\.)?([^:\/\n]+)"")),"""")"),"northernnewsnow.com")</f>
        <v>northernnewsnow.com</v>
      </c>
      <c r="E1747" s="26" t="str">
        <f ca="1">IFERROR(__xludf.DUMMYFUNCTION("""COMPUTED_VALUE"""),"New")</f>
        <v>New</v>
      </c>
      <c r="F1747" s="72">
        <v>60</v>
      </c>
      <c r="G1747" s="72">
        <v>10868</v>
      </c>
      <c r="P1747" s="26"/>
    </row>
    <row r="1748" spans="1:28" ht="14.5">
      <c r="A1748" s="3" t="s">
        <v>38</v>
      </c>
      <c r="B1748" s="8" t="s">
        <v>2822</v>
      </c>
      <c r="C1748" s="46" t="s">
        <v>5331</v>
      </c>
      <c r="D1748" s="41" t="str">
        <f ca="1">IFERROR(__xludf.DUMMYFUNCTION("IFERROR(ARRAYFORMULA(REGEXEXTRACT(C1748,""^(?:https?:\/\/)?(?:[^@\n]+@)?(?:www\.)?([^:\/\n]+)"")),"""")"),"donsak-cbt.sru.ac.th")</f>
        <v>donsak-cbt.sru.ac.th</v>
      </c>
      <c r="E1748" s="26" t="str">
        <f ca="1">IFERROR(__xludf.DUMMYFUNCTION("""COMPUTED_VALUE"""),"New")</f>
        <v>New</v>
      </c>
      <c r="F1748" s="72">
        <v>57</v>
      </c>
      <c r="G1748" s="72">
        <v>40157</v>
      </c>
      <c r="P1748" s="26"/>
    </row>
    <row r="1749" spans="1:28" ht="14.5">
      <c r="A1749" s="12" t="s">
        <v>38</v>
      </c>
      <c r="B1749" s="54" t="s">
        <v>2822</v>
      </c>
      <c r="C1749" s="77" t="s">
        <v>5332</v>
      </c>
      <c r="D1749" s="68" t="str">
        <f ca="1">IFERROR(__xludf.DUMMYFUNCTION("IFERROR(ARRAYFORMULA(REGEXEXTRACT(C1749,""^(?:https?:\/\/)?(?:[^@\n]+@)?(?:www\.)?([^:\/\n]+)"")),"""")"),"greenbuildermedia.com")</f>
        <v>greenbuildermedia.com</v>
      </c>
      <c r="E1749" s="39" t="str">
        <f ca="1">IFERROR(__xludf.DUMMYFUNCTION("""COMPUTED_VALUE"""),"New")</f>
        <v>New</v>
      </c>
      <c r="F1749" s="78">
        <v>70</v>
      </c>
      <c r="G1749" s="78">
        <v>3451</v>
      </c>
      <c r="H1749" s="36" t="s">
        <v>5333</v>
      </c>
      <c r="I1749" s="36" t="s">
        <v>5334</v>
      </c>
      <c r="J1749" s="36" t="s">
        <v>5335</v>
      </c>
      <c r="K1749" s="36" t="s">
        <v>3772</v>
      </c>
      <c r="L1749" s="36"/>
      <c r="M1749" s="36" t="s">
        <v>3715</v>
      </c>
      <c r="N1749" s="37">
        <v>46047</v>
      </c>
      <c r="O1749" s="37">
        <v>46068</v>
      </c>
      <c r="P1749" s="39"/>
      <c r="Q1749" s="39"/>
      <c r="R1749" s="39"/>
      <c r="S1749" s="39"/>
      <c r="T1749" s="39"/>
      <c r="U1749" s="39"/>
      <c r="V1749" s="39"/>
      <c r="W1749" s="39"/>
      <c r="X1749" s="39"/>
      <c r="Y1749" s="39"/>
      <c r="Z1749" s="39"/>
      <c r="AA1749" s="39"/>
      <c r="AB1749" s="39"/>
    </row>
    <row r="1750" spans="1:28" ht="14.5">
      <c r="A1750" s="3" t="s">
        <v>38</v>
      </c>
      <c r="B1750" s="8" t="s">
        <v>2822</v>
      </c>
      <c r="C1750" s="46" t="s">
        <v>5336</v>
      </c>
      <c r="D1750" s="41" t="str">
        <f ca="1">IFERROR(__xludf.DUMMYFUNCTION("IFERROR(ARRAYFORMULA(REGEXEXTRACT(C1750,""^(?:https?:\/\/)?(?:[^@\n]+@)?(?:www\.)?([^:\/\n]+)"")),"""")"),"michric.grar.com")</f>
        <v>michric.grar.com</v>
      </c>
      <c r="E1750" s="26" t="str">
        <f ca="1">IFERROR(__xludf.DUMMYFUNCTION("""COMPUTED_VALUE"""),"New")</f>
        <v>New</v>
      </c>
      <c r="F1750" s="72">
        <v>50</v>
      </c>
      <c r="G1750" s="72">
        <v>4334</v>
      </c>
      <c r="P1750" s="26"/>
    </row>
    <row r="1751" spans="1:28" ht="14.5">
      <c r="A1751" s="3" t="s">
        <v>38</v>
      </c>
      <c r="B1751" s="79" t="s">
        <v>2823</v>
      </c>
      <c r="C1751" s="46" t="s">
        <v>5337</v>
      </c>
      <c r="D1751" s="41" t="str">
        <f ca="1">IFERROR(__xludf.DUMMYFUNCTION("IFERROR(ARRAYFORMULA(REGEXEXTRACT(C1751,""^(?:https?:\/\/)?(?:[^@\n]+@)?(?:www\.)?([^:\/\n]+)"")),"""")"),"iovox.com")</f>
        <v>iovox.com</v>
      </c>
      <c r="E1751" s="26" t="str">
        <f ca="1">IFERROR(__xludf.DUMMYFUNCTION("""COMPUTED_VALUE"""),"New")</f>
        <v>New</v>
      </c>
      <c r="F1751" s="72">
        <v>60</v>
      </c>
      <c r="G1751" s="72">
        <v>11736</v>
      </c>
      <c r="P1751" s="26"/>
    </row>
    <row r="1752" spans="1:28" ht="14.5" hidden="1">
      <c r="A1752" s="3" t="s">
        <v>38</v>
      </c>
      <c r="B1752" s="27" t="s">
        <v>2823</v>
      </c>
      <c r="C1752" s="46" t="s">
        <v>5338</v>
      </c>
      <c r="D1752" s="41" t="str">
        <f ca="1">IFERROR(__xludf.DUMMYFUNCTION("IFERROR(ARRAYFORMULA(REGEXEXTRACT(C1752,""^(?:https?:\/\/)?(?:[^@\n]+@)?(?:www\.)?([^:\/\n]+)"")),"""")"),"springshomes.com")</f>
        <v>springshomes.com</v>
      </c>
      <c r="E1752" s="26" t="str">
        <f ca="1">IFERROR(__xludf.DUMMYFUNCTION("""COMPUTED_VALUE"""),"Already Exists")</f>
        <v>Already Exists</v>
      </c>
      <c r="F1752" s="72">
        <v>44</v>
      </c>
      <c r="G1752" s="72">
        <v>2643</v>
      </c>
      <c r="P1752" s="26"/>
    </row>
    <row r="1753" spans="1:28" ht="14.5">
      <c r="A1753" s="3" t="s">
        <v>38</v>
      </c>
      <c r="B1753" s="27" t="s">
        <v>2823</v>
      </c>
      <c r="C1753" s="46" t="s">
        <v>5339</v>
      </c>
      <c r="D1753" s="41" t="str">
        <f ca="1">IFERROR(__xludf.DUMMYFUNCTION("IFERROR(ARRAYFORMULA(REGEXEXTRACT(C1753,""^(?:https?:\/\/)?(?:[^@\n]+@)?(?:www\.)?([^:\/\n]+)"")),"""")"),"luxurypresence.com")</f>
        <v>luxurypresence.com</v>
      </c>
      <c r="E1753" s="26" t="str">
        <f ca="1">IFERROR(__xludf.DUMMYFUNCTION("""COMPUTED_VALUE"""),"New")</f>
        <v>New</v>
      </c>
      <c r="F1753" s="72">
        <v>86</v>
      </c>
      <c r="G1753" s="72">
        <v>65427</v>
      </c>
      <c r="P1753" s="26"/>
    </row>
    <row r="1754" spans="1:28" ht="14.5">
      <c r="A1754" s="3" t="s">
        <v>38</v>
      </c>
      <c r="B1754" s="27" t="s">
        <v>2823</v>
      </c>
      <c r="C1754" s="46" t="s">
        <v>5340</v>
      </c>
      <c r="D1754" s="41" t="str">
        <f ca="1">IFERROR(__xludf.DUMMYFUNCTION("IFERROR(ARRAYFORMULA(REGEXEXTRACT(C1754,""^(?:https?:\/\/)?(?:[^@\n]+@)?(?:www\.)?([^:\/\n]+)"")),"""")"),"thunderbit.com")</f>
        <v>thunderbit.com</v>
      </c>
      <c r="E1754" s="26" t="str">
        <f ca="1">IFERROR(__xludf.DUMMYFUNCTION("""COMPUTED_VALUE"""),"New")</f>
        <v>New</v>
      </c>
      <c r="F1754" s="72">
        <v>68</v>
      </c>
      <c r="G1754" s="72">
        <v>83578</v>
      </c>
      <c r="P1754" s="26"/>
    </row>
    <row r="1755" spans="1:28" ht="14.5">
      <c r="A1755" s="3" t="s">
        <v>38</v>
      </c>
      <c r="B1755" s="27" t="s">
        <v>2823</v>
      </c>
      <c r="C1755" s="46" t="s">
        <v>5341</v>
      </c>
      <c r="D1755" s="41" t="str">
        <f ca="1">IFERROR(__xludf.DUMMYFUNCTION("IFERROR(ARRAYFORMULA(REGEXEXTRACT(C1755,""^(?:https?:\/\/)?(?:[^@\n]+@)?(?:www\.)?([^:\/\n]+)"")),"""")"),"mtb.com")</f>
        <v>mtb.com</v>
      </c>
      <c r="E1755" s="26" t="str">
        <f ca="1">IFERROR(__xludf.DUMMYFUNCTION("""COMPUTED_VALUE"""),"New")</f>
        <v>New</v>
      </c>
      <c r="F1755" s="72">
        <v>77</v>
      </c>
      <c r="G1755" s="72">
        <v>862882</v>
      </c>
      <c r="P1755" s="26"/>
    </row>
    <row r="1756" spans="1:28" ht="14.5">
      <c r="A1756" s="3" t="s">
        <v>38</v>
      </c>
      <c r="B1756" s="27" t="s">
        <v>2823</v>
      </c>
      <c r="C1756" s="46" t="s">
        <v>5342</v>
      </c>
      <c r="D1756" s="41" t="str">
        <f ca="1">IFERROR(__xludf.DUMMYFUNCTION("IFERROR(ARRAYFORMULA(REGEXEXTRACT(C1756,""^(?:https?:\/\/)?(?:[^@\n]+@)?(?:www\.)?([^:\/\n]+)"")),"""")"),"xara.com")</f>
        <v>xara.com</v>
      </c>
      <c r="E1756" s="26" t="str">
        <f ca="1">IFERROR(__xludf.DUMMYFUNCTION("""COMPUTED_VALUE"""),"New")</f>
        <v>New</v>
      </c>
      <c r="F1756" s="72">
        <v>88</v>
      </c>
      <c r="G1756" s="72">
        <v>12739</v>
      </c>
      <c r="P1756" s="26"/>
    </row>
    <row r="1757" spans="1:28" ht="14.5">
      <c r="A1757" s="3" t="s">
        <v>38</v>
      </c>
      <c r="B1757" s="27" t="s">
        <v>2823</v>
      </c>
      <c r="C1757" s="49" t="s">
        <v>5343</v>
      </c>
      <c r="D1757" s="41" t="str">
        <f ca="1">IFERROR(__xludf.DUMMYFUNCTION("IFERROR(ARRAYFORMULA(REGEXEXTRACT(C1757,""^(?:https?:\/\/)?(?:[^@\n]+@)?(?:www\.)?([^:\/\n]+)"")),"""")"),"ihomefinder.com")</f>
        <v>ihomefinder.com</v>
      </c>
      <c r="E1757" s="26" t="str">
        <f ca="1">IFERROR(__xludf.DUMMYFUNCTION("""COMPUTED_VALUE"""),"New")</f>
        <v>New</v>
      </c>
      <c r="F1757" s="72">
        <v>77</v>
      </c>
      <c r="G1757" s="72">
        <v>2754</v>
      </c>
      <c r="J1757" s="27" t="s">
        <v>5344</v>
      </c>
      <c r="K1757" s="27" t="s">
        <v>3853</v>
      </c>
      <c r="L1757" s="112"/>
      <c r="M1757" s="27" t="s">
        <v>3117</v>
      </c>
      <c r="N1757" s="48">
        <v>46048</v>
      </c>
      <c r="O1757" s="70">
        <v>46089</v>
      </c>
      <c r="P1757" s="26"/>
    </row>
    <row r="1758" spans="1:28" ht="14.5">
      <c r="A1758" s="3" t="s">
        <v>38</v>
      </c>
      <c r="B1758" s="27" t="s">
        <v>2823</v>
      </c>
      <c r="C1758" s="46" t="s">
        <v>5345</v>
      </c>
      <c r="D1758" s="41" t="str">
        <f ca="1">IFERROR(__xludf.DUMMYFUNCTION("IFERROR(ARRAYFORMULA(REGEXEXTRACT(C1758,""^(?:https?:\/\/)?(?:[^@\n]+@)?(?:www\.)?([^:\/\n]+)"")),"""")"),"wiseagent.com")</f>
        <v>wiseagent.com</v>
      </c>
      <c r="E1758" s="26" t="str">
        <f ca="1">IFERROR(__xludf.DUMMYFUNCTION("""COMPUTED_VALUE"""),"New")</f>
        <v>New</v>
      </c>
      <c r="F1758" s="72">
        <v>73</v>
      </c>
      <c r="G1758" s="72">
        <v>17804</v>
      </c>
      <c r="P1758" s="26"/>
    </row>
    <row r="1759" spans="1:28" ht="14.5">
      <c r="A1759" s="3" t="s">
        <v>38</v>
      </c>
      <c r="B1759" s="27" t="s">
        <v>2823</v>
      </c>
      <c r="C1759" s="46" t="s">
        <v>5346</v>
      </c>
      <c r="D1759" s="41" t="str">
        <f ca="1">IFERROR(__xludf.DUMMYFUNCTION("IFERROR(ARRAYFORMULA(REGEXEXTRACT(C1759,""^(?:https?:\/\/)?(?:[^@\n]+@)?(?:www\.)?([^:\/\n]+)"")),"""")"),"manifest.ly")</f>
        <v>manifest.ly</v>
      </c>
      <c r="E1759" s="26" t="str">
        <f ca="1">IFERROR(__xludf.DUMMYFUNCTION("""COMPUTED_VALUE"""),"New")</f>
        <v>New</v>
      </c>
      <c r="F1759" s="72">
        <v>52</v>
      </c>
      <c r="G1759" s="72">
        <v>4775</v>
      </c>
      <c r="P1759" s="26"/>
    </row>
    <row r="1760" spans="1:28" ht="14.5">
      <c r="A1760" s="3" t="s">
        <v>38</v>
      </c>
      <c r="B1760" s="27" t="s">
        <v>2823</v>
      </c>
      <c r="C1760" s="46" t="s">
        <v>5347</v>
      </c>
      <c r="D1760" s="41" t="str">
        <f ca="1">IFERROR(__xludf.DUMMYFUNCTION("IFERROR(ARRAYFORMULA(REGEXEXTRACT(C1760,""^(?:https?:\/\/)?(?:[^@\n]+@)?(?:www\.)?([^:\/\n]+)"")),"""")"),"weworkremotely.com")</f>
        <v>weworkremotely.com</v>
      </c>
      <c r="E1760" s="26" t="str">
        <f ca="1">IFERROR(__xludf.DUMMYFUNCTION("""COMPUTED_VALUE"""),"New")</f>
        <v>New</v>
      </c>
      <c r="F1760" s="72">
        <v>78</v>
      </c>
      <c r="G1760" s="72">
        <v>274665</v>
      </c>
      <c r="P1760" s="26"/>
    </row>
    <row r="1761" spans="1:16" ht="14.5">
      <c r="A1761" s="3" t="s">
        <v>38</v>
      </c>
      <c r="B1761" s="27" t="s">
        <v>2823</v>
      </c>
      <c r="C1761" s="46" t="s">
        <v>5348</v>
      </c>
      <c r="D1761" s="41" t="str">
        <f ca="1">IFERROR(__xludf.DUMMYFUNCTION("IFERROR(ARRAYFORMULA(REGEXEXTRACT(C1761,""^(?:https?:\/\/)?(?:[^@\n]+@)?(?:www\.)?([^:\/\n]+)"")),"""")"),"join.virtuallatinos.com")</f>
        <v>join.virtuallatinos.com</v>
      </c>
      <c r="E1761" s="26" t="str">
        <f ca="1">IFERROR(__xludf.DUMMYFUNCTION("""COMPUTED_VALUE"""),"New")</f>
        <v>New</v>
      </c>
      <c r="F1761" s="72">
        <v>61</v>
      </c>
      <c r="G1761" s="72">
        <v>23005</v>
      </c>
      <c r="P1761" s="26"/>
    </row>
    <row r="1762" spans="1:16" ht="14.5">
      <c r="A1762" s="3" t="s">
        <v>38</v>
      </c>
      <c r="B1762" s="27" t="s">
        <v>2823</v>
      </c>
      <c r="C1762" s="46" t="s">
        <v>5349</v>
      </c>
      <c r="D1762" s="41" t="str">
        <f ca="1">IFERROR(__xludf.DUMMYFUNCTION("IFERROR(ARRAYFORMULA(REGEXEXTRACT(C1762,""^(?:https?:\/\/)?(?:[^@\n]+@)?(?:www\.)?([^:\/\n]+)"")),"""")"),"softkraft.co")</f>
        <v>softkraft.co</v>
      </c>
      <c r="E1762" s="26" t="str">
        <f ca="1">IFERROR(__xludf.DUMMYFUNCTION("""COMPUTED_VALUE"""),"New")</f>
        <v>New</v>
      </c>
      <c r="F1762" s="72">
        <v>55</v>
      </c>
      <c r="G1762" s="72">
        <v>7753</v>
      </c>
      <c r="P1762" s="26"/>
    </row>
    <row r="1763" spans="1:16" ht="14.5">
      <c r="A1763" s="3" t="s">
        <v>38</v>
      </c>
      <c r="B1763" s="27" t="s">
        <v>2823</v>
      </c>
      <c r="C1763" s="46" t="s">
        <v>5350</v>
      </c>
      <c r="D1763" s="41" t="str">
        <f ca="1">IFERROR(__xludf.DUMMYFUNCTION("IFERROR(ARRAYFORMULA(REGEXEXTRACT(C1763,""^(?:https?:\/\/)?(?:[^@\n]+@)?(?:www\.)?([^:\/\n]+)"")),"""")"),"360training.com")</f>
        <v>360training.com</v>
      </c>
      <c r="E1763" s="26" t="str">
        <f ca="1">IFERROR(__xludf.DUMMYFUNCTION("""COMPUTED_VALUE"""),"New")</f>
        <v>New</v>
      </c>
      <c r="F1763" s="72">
        <v>74</v>
      </c>
      <c r="G1763" s="72">
        <v>347718</v>
      </c>
      <c r="P1763" s="26"/>
    </row>
    <row r="1764" spans="1:16" ht="14.5">
      <c r="A1764" s="3" t="s">
        <v>38</v>
      </c>
      <c r="B1764" s="27" t="s">
        <v>2823</v>
      </c>
      <c r="C1764" s="46" t="s">
        <v>5351</v>
      </c>
      <c r="D1764" s="41" t="str">
        <f ca="1">IFERROR(__xludf.DUMMYFUNCTION("IFERROR(ARRAYFORMULA(REGEXEXTRACT(C1764,""^(?:https?:\/\/)?(?:[^@\n]+@)?(?:www\.)?([^:\/\n]+)"")),"""")"),"wordstream.com")</f>
        <v>wordstream.com</v>
      </c>
      <c r="E1764" s="26" t="str">
        <f ca="1">IFERROR(__xludf.DUMMYFUNCTION("""COMPUTED_VALUE"""),"New")</f>
        <v>New</v>
      </c>
      <c r="F1764" s="72">
        <v>90</v>
      </c>
      <c r="G1764" s="72">
        <v>1007638</v>
      </c>
      <c r="P1764" s="26"/>
    </row>
    <row r="1765" spans="1:16" ht="14.5">
      <c r="A1765" s="3" t="s">
        <v>38</v>
      </c>
      <c r="B1765" s="27" t="s">
        <v>2823</v>
      </c>
      <c r="C1765" s="46" t="s">
        <v>5352</v>
      </c>
      <c r="D1765" s="41" t="str">
        <f ca="1">IFERROR(__xludf.DUMMYFUNCTION("IFERROR(ARRAYFORMULA(REGEXEXTRACT(C1765,""^(?:https?:\/\/)?(?:[^@\n]+@)?(?:www\.)?([^:\/\n]+)"")),"""")"),"uprinting.com")</f>
        <v>uprinting.com</v>
      </c>
      <c r="E1765" s="26" t="str">
        <f ca="1">IFERROR(__xludf.DUMMYFUNCTION("""COMPUTED_VALUE"""),"New")</f>
        <v>New</v>
      </c>
      <c r="F1765" s="72">
        <v>73</v>
      </c>
      <c r="G1765" s="72">
        <v>94616</v>
      </c>
      <c r="P1765" s="26"/>
    </row>
    <row r="1766" spans="1:16" ht="14.5">
      <c r="A1766" s="3" t="s">
        <v>38</v>
      </c>
      <c r="B1766" s="27" t="s">
        <v>2823</v>
      </c>
      <c r="C1766" s="46" t="s">
        <v>5353</v>
      </c>
      <c r="D1766" s="41" t="str">
        <f ca="1">IFERROR(__xludf.DUMMYFUNCTION("IFERROR(ARRAYFORMULA(REGEXEXTRACT(C1766,""^(?:https?:\/\/)?(?:[^@\n]+@)?(?:www\.)?([^:\/\n]+)"")),"""")"),"postalytics.com")</f>
        <v>postalytics.com</v>
      </c>
      <c r="E1766" s="26" t="str">
        <f ca="1">IFERROR(__xludf.DUMMYFUNCTION("""COMPUTED_VALUE"""),"New")</f>
        <v>New</v>
      </c>
      <c r="F1766" s="72">
        <v>61</v>
      </c>
      <c r="G1766" s="72">
        <v>17861</v>
      </c>
      <c r="P1766" s="26"/>
    </row>
    <row r="1767" spans="1:16" ht="14.5">
      <c r="A1767" s="3" t="s">
        <v>38</v>
      </c>
      <c r="B1767" s="27" t="s">
        <v>2823</v>
      </c>
      <c r="C1767" s="46" t="s">
        <v>5354</v>
      </c>
      <c r="D1767" s="41" t="str">
        <f ca="1">IFERROR(__xludf.DUMMYFUNCTION("IFERROR(ARRAYFORMULA(REGEXEXTRACT(C1767,""^(?:https?:\/\/)?(?:[^@\n]+@)?(?:www\.)?([^:\/\n]+)"")),"""")"),"adespresso.com")</f>
        <v>adespresso.com</v>
      </c>
      <c r="E1767" s="26" t="str">
        <f ca="1">IFERROR(__xludf.DUMMYFUNCTION("""COMPUTED_VALUE"""),"New")</f>
        <v>New</v>
      </c>
      <c r="F1767" s="72">
        <v>81</v>
      </c>
      <c r="G1767" s="72">
        <v>17185</v>
      </c>
      <c r="P1767" s="26"/>
    </row>
    <row r="1768" spans="1:16" ht="14.5">
      <c r="A1768" s="3" t="s">
        <v>38</v>
      </c>
      <c r="B1768" s="27" t="s">
        <v>2823</v>
      </c>
      <c r="C1768" s="46" t="s">
        <v>5355</v>
      </c>
      <c r="D1768" s="41" t="str">
        <f ca="1">IFERROR(__xludf.DUMMYFUNCTION("IFERROR(ARRAYFORMULA(REGEXEXTRACT(C1768,""^(?:https?:\/\/)?(?:[^@\n]+@)?(?:www\.)?([^:\/\n]+)"")),"""")"),"blog.quuu.co")</f>
        <v>blog.quuu.co</v>
      </c>
      <c r="E1768" s="26" t="str">
        <f ca="1">IFERROR(__xludf.DUMMYFUNCTION("""COMPUTED_VALUE"""),"New")</f>
        <v>New</v>
      </c>
      <c r="F1768" s="72">
        <v>70</v>
      </c>
      <c r="G1768" s="72">
        <v>1597</v>
      </c>
      <c r="P1768" s="26"/>
    </row>
    <row r="1769" spans="1:16" ht="14.5">
      <c r="A1769" s="3" t="s">
        <v>38</v>
      </c>
      <c r="B1769" s="27" t="s">
        <v>2823</v>
      </c>
      <c r="C1769" s="46" t="s">
        <v>5356</v>
      </c>
      <c r="D1769" s="41" t="str">
        <f ca="1">IFERROR(__xludf.DUMMYFUNCTION("IFERROR(ARRAYFORMULA(REGEXEXTRACT(C1769,""^(?:https?:\/\/)?(?:[^@\n]+@)?(?:www\.)?([^:\/\n]+)"")),"""")"),"darrylspeaks.com")</f>
        <v>darrylspeaks.com</v>
      </c>
      <c r="E1769" s="26" t="str">
        <f ca="1">IFERROR(__xludf.DUMMYFUNCTION("""COMPUTED_VALUE"""),"New")</f>
        <v>New</v>
      </c>
      <c r="F1769" s="72">
        <v>35</v>
      </c>
      <c r="G1769" s="72">
        <v>1115</v>
      </c>
      <c r="P1769" s="26"/>
    </row>
    <row r="1770" spans="1:16" ht="14.5" hidden="1">
      <c r="A1770" s="3" t="s">
        <v>38</v>
      </c>
      <c r="B1770" s="27" t="s">
        <v>2823</v>
      </c>
      <c r="C1770" s="47" t="s">
        <v>5357</v>
      </c>
      <c r="D1770" s="41" t="str">
        <f ca="1">IFERROR(__xludf.DUMMYFUNCTION("IFERROR(ARRAYFORMULA(REGEXEXTRACT(C1770,""^(?:https?:\/\/)?(?:[^@\n]+@)?(?:www\.)?([^:\/\n]+)"")),"""")"),"realestatemarket.us.com")</f>
        <v>realestatemarket.us.com</v>
      </c>
      <c r="E1770" s="26" t="str">
        <f ca="1">IFERROR(__xludf.DUMMYFUNCTION("""COMPUTED_VALUE"""),"Already Exists")</f>
        <v>Already Exists</v>
      </c>
      <c r="F1770" s="72">
        <v>92</v>
      </c>
      <c r="G1770" s="72">
        <v>11303924</v>
      </c>
      <c r="J1770" s="27" t="s">
        <v>5358</v>
      </c>
      <c r="K1770" s="27" t="s">
        <v>5359</v>
      </c>
      <c r="L1770" s="112"/>
      <c r="M1770" s="27" t="s">
        <v>3117</v>
      </c>
      <c r="N1770" s="48">
        <v>46048</v>
      </c>
      <c r="P1770" s="27" t="s">
        <v>3201</v>
      </c>
    </row>
    <row r="1771" spans="1:16" ht="14.5">
      <c r="A1771" s="3" t="s">
        <v>38</v>
      </c>
      <c r="B1771" s="27" t="s">
        <v>2823</v>
      </c>
      <c r="C1771" s="49" t="s">
        <v>5360</v>
      </c>
      <c r="D1771" s="41" t="str">
        <f ca="1">IFERROR(__xludf.DUMMYFUNCTION("IFERROR(ARRAYFORMULA(REGEXEXTRACT(C1771,""^(?:https?:\/\/)?(?:[^@\n]+@)?(?:www\.)?([^:\/\n]+)"")),"""")"),"blog.transactly.com")</f>
        <v>blog.transactly.com</v>
      </c>
      <c r="E1771" s="26" t="str">
        <f ca="1">IFERROR(__xludf.DUMMYFUNCTION("""COMPUTED_VALUE"""),"New")</f>
        <v>New</v>
      </c>
      <c r="F1771" s="72">
        <v>41</v>
      </c>
      <c r="G1771" s="72">
        <v>4190</v>
      </c>
      <c r="H1771" s="27" t="s">
        <v>5361</v>
      </c>
      <c r="I1771" s="27" t="s">
        <v>5362</v>
      </c>
      <c r="J1771" s="27" t="s">
        <v>5363</v>
      </c>
      <c r="K1771" s="27" t="s">
        <v>5359</v>
      </c>
      <c r="L1771" s="112"/>
      <c r="M1771" s="27" t="s">
        <v>3117</v>
      </c>
      <c r="N1771" s="48">
        <v>46048</v>
      </c>
      <c r="O1771" s="70">
        <v>46089</v>
      </c>
      <c r="P1771" s="26"/>
    </row>
    <row r="1772" spans="1:16" ht="14.5">
      <c r="A1772" s="3" t="s">
        <v>38</v>
      </c>
      <c r="B1772" s="27" t="s">
        <v>2823</v>
      </c>
      <c r="C1772" s="46" t="s">
        <v>5364</v>
      </c>
      <c r="D1772" s="41" t="str">
        <f ca="1">IFERROR(__xludf.DUMMYFUNCTION("IFERROR(ARRAYFORMULA(REGEXEXTRACT(C1772,""^(?:https?:\/\/)?(?:[^@\n]+@)?(?:www\.)?([^:\/\n]+)"")),"""")"),"colorwhistle.com")</f>
        <v>colorwhistle.com</v>
      </c>
      <c r="E1772" s="26" t="str">
        <f ca="1">IFERROR(__xludf.DUMMYFUNCTION("""COMPUTED_VALUE"""),"New")</f>
        <v>New</v>
      </c>
      <c r="F1772" s="72">
        <v>71</v>
      </c>
      <c r="G1772" s="72">
        <v>10844</v>
      </c>
      <c r="P1772" s="26"/>
    </row>
    <row r="1773" spans="1:16" ht="14.5">
      <c r="A1773" s="3" t="s">
        <v>38</v>
      </c>
      <c r="B1773" s="27" t="s">
        <v>2823</v>
      </c>
      <c r="C1773" s="46" t="s">
        <v>5365</v>
      </c>
      <c r="D1773" s="41" t="str">
        <f ca="1">IFERROR(__xludf.DUMMYFUNCTION("IFERROR(ARRAYFORMULA(REGEXEXTRACT(C1773,""^(?:https?:\/\/)?(?:[^@\n]+@)?(?:www\.)?([^:\/\n]+)"")),"""")"),"bloggingtips.com")</f>
        <v>bloggingtips.com</v>
      </c>
      <c r="E1773" s="26" t="str">
        <f ca="1">IFERROR(__xludf.DUMMYFUNCTION("""COMPUTED_VALUE"""),"New")</f>
        <v>New</v>
      </c>
      <c r="F1773" s="72">
        <v>67</v>
      </c>
      <c r="G1773" s="72">
        <v>5203</v>
      </c>
      <c r="P1773" s="26"/>
    </row>
    <row r="1774" spans="1:16" ht="14.5">
      <c r="A1774" s="3" t="s">
        <v>38</v>
      </c>
      <c r="B1774" s="27" t="s">
        <v>2823</v>
      </c>
      <c r="C1774" s="49" t="s">
        <v>5366</v>
      </c>
      <c r="D1774" s="41" t="str">
        <f ca="1">IFERROR(__xludf.DUMMYFUNCTION("IFERROR(ARRAYFORMULA(REGEXEXTRACT(C1774,""^(?:https?:\/\/)?(?:[^@\n]+@)?(?:www\.)?([^:\/\n]+)"")),"""")"),"feedough.com")</f>
        <v>feedough.com</v>
      </c>
      <c r="E1774" s="26" t="str">
        <f ca="1">IFERROR(__xludf.DUMMYFUNCTION("""COMPUTED_VALUE"""),"New")</f>
        <v>New</v>
      </c>
      <c r="F1774" s="72">
        <v>71</v>
      </c>
      <c r="G1774" s="72">
        <v>45357</v>
      </c>
      <c r="H1774" s="27" t="s">
        <v>5367</v>
      </c>
      <c r="I1774" s="27" t="s">
        <v>5368</v>
      </c>
      <c r="K1774" s="27" t="s">
        <v>3791</v>
      </c>
      <c r="L1774" s="112"/>
      <c r="M1774" s="27" t="s">
        <v>3117</v>
      </c>
      <c r="N1774" s="48">
        <v>46048</v>
      </c>
      <c r="O1774" s="70">
        <v>46089</v>
      </c>
      <c r="P1774" s="26"/>
    </row>
    <row r="1775" spans="1:16" ht="14.5">
      <c r="A1775" s="3" t="s">
        <v>38</v>
      </c>
      <c r="B1775" s="27" t="s">
        <v>2823</v>
      </c>
      <c r="C1775" s="46" t="s">
        <v>5369</v>
      </c>
      <c r="D1775" s="41" t="str">
        <f ca="1">IFERROR(__xludf.DUMMYFUNCTION("IFERROR(ARRAYFORMULA(REGEXEXTRACT(C1775,""^(?:https?:\/\/)?(?:[^@\n]+@)?(?:www\.)?([^:\/\n]+)"")),"""")"),"wmtips.com")</f>
        <v>wmtips.com</v>
      </c>
      <c r="E1775" s="26" t="str">
        <f ca="1">IFERROR(__xludf.DUMMYFUNCTION("""COMPUTED_VALUE"""),"New")</f>
        <v>New</v>
      </c>
      <c r="F1775" s="72">
        <v>46</v>
      </c>
      <c r="G1775" s="72">
        <v>4089</v>
      </c>
      <c r="P1775" s="26"/>
    </row>
    <row r="1776" spans="1:16" ht="14.5">
      <c r="A1776" s="3" t="s">
        <v>38</v>
      </c>
      <c r="B1776" s="27" t="s">
        <v>2823</v>
      </c>
      <c r="C1776" s="46" t="s">
        <v>5370</v>
      </c>
      <c r="D1776" s="41" t="str">
        <f ca="1">IFERROR(__xludf.DUMMYFUNCTION("IFERROR(ARRAYFORMULA(REGEXEXTRACT(C1776,""^(?:https?:\/\/)?(?:[^@\n]+@)?(?:www\.)?([^:\/\n]+)"")),"""")"),"awesome.ecosyste.ms")</f>
        <v>awesome.ecosyste.ms</v>
      </c>
      <c r="E1776" s="26" t="str">
        <f ca="1">IFERROR(__xludf.DUMMYFUNCTION("""COMPUTED_VALUE"""),"New")</f>
        <v>New</v>
      </c>
      <c r="F1776" s="72">
        <v>53</v>
      </c>
      <c r="G1776" s="72">
        <v>71437</v>
      </c>
      <c r="P1776" s="26"/>
    </row>
    <row r="1777" spans="1:16" ht="14.5">
      <c r="A1777" s="3" t="s">
        <v>38</v>
      </c>
      <c r="B1777" s="27" t="s">
        <v>2823</v>
      </c>
      <c r="C1777" s="46" t="s">
        <v>5371</v>
      </c>
      <c r="D1777" s="41" t="str">
        <f ca="1">IFERROR(__xludf.DUMMYFUNCTION("IFERROR(ARRAYFORMULA(REGEXEXTRACT(C1777,""^(?:https?:\/\/)?(?:[^@\n]+@)?(?:www\.)?([^:\/\n]+)"")),"""")"),"blog.homesandland.com")</f>
        <v>blog.homesandland.com</v>
      </c>
      <c r="E1777" s="26" t="str">
        <f ca="1">IFERROR(__xludf.DUMMYFUNCTION("""COMPUTED_VALUE"""),"New")</f>
        <v>New</v>
      </c>
      <c r="F1777" s="72">
        <v>59</v>
      </c>
      <c r="G1777" s="72">
        <v>2641</v>
      </c>
      <c r="P1777" s="26"/>
    </row>
    <row r="1778" spans="1:16" ht="14.5">
      <c r="A1778" s="3" t="s">
        <v>38</v>
      </c>
      <c r="B1778" s="27" t="s">
        <v>2823</v>
      </c>
      <c r="C1778" s="46" t="s">
        <v>5372</v>
      </c>
      <c r="D1778" s="41" t="str">
        <f ca="1">IFERROR(__xludf.DUMMYFUNCTION("IFERROR(ARRAYFORMULA(REGEXEXTRACT(C1778,""^(?:https?:\/\/)?(?:[^@\n]+@)?(?:www\.)?([^:\/\n]+)"")),"""")"),"dochipo.com")</f>
        <v>dochipo.com</v>
      </c>
      <c r="E1778" s="26" t="str">
        <f ca="1">IFERROR(__xludf.DUMMYFUNCTION("""COMPUTED_VALUE"""),"New")</f>
        <v>New</v>
      </c>
      <c r="F1778" s="72">
        <v>63</v>
      </c>
      <c r="G1778" s="72">
        <v>17899</v>
      </c>
      <c r="P1778" s="26"/>
    </row>
    <row r="1779" spans="1:16" ht="14.5">
      <c r="A1779" s="3" t="s">
        <v>38</v>
      </c>
      <c r="B1779" s="27" t="s">
        <v>2823</v>
      </c>
      <c r="C1779" s="49" t="s">
        <v>5373</v>
      </c>
      <c r="D1779" s="41" t="str">
        <f ca="1">IFERROR(__xludf.DUMMYFUNCTION("IFERROR(ARRAYFORMULA(REGEXEXTRACT(C1779,""^(?:https?:\/\/)?(?:[^@\n]+@)?(?:www\.)?([^:\/\n]+)"")),"""")"),"flow20.com")</f>
        <v>flow20.com</v>
      </c>
      <c r="E1779" s="26" t="str">
        <f ca="1">IFERROR(__xludf.DUMMYFUNCTION("""COMPUTED_VALUE"""),"New")</f>
        <v>New</v>
      </c>
      <c r="F1779" s="72">
        <v>56</v>
      </c>
      <c r="G1779" s="72">
        <v>1883</v>
      </c>
      <c r="J1779" s="27" t="s">
        <v>5374</v>
      </c>
      <c r="K1779" s="27" t="s">
        <v>5375</v>
      </c>
      <c r="L1779" s="112"/>
      <c r="M1779" s="27" t="s">
        <v>3117</v>
      </c>
      <c r="N1779" s="48">
        <v>46048</v>
      </c>
      <c r="O1779" s="70">
        <v>46089</v>
      </c>
      <c r="P1779" s="26"/>
    </row>
    <row r="1780" spans="1:16" ht="14.5">
      <c r="A1780" s="3" t="s">
        <v>38</v>
      </c>
      <c r="B1780" s="27" t="s">
        <v>2823</v>
      </c>
      <c r="C1780" s="46" t="s">
        <v>5376</v>
      </c>
      <c r="D1780" s="41" t="str">
        <f ca="1">IFERROR(__xludf.DUMMYFUNCTION("IFERROR(ARRAYFORMULA(REGEXEXTRACT(C1780,""^(?:https?:\/\/)?(?:[^@\n]+@)?(?:www\.)?([^:\/\n]+)"")),"""")"),"mainelistings.com")</f>
        <v>mainelistings.com</v>
      </c>
      <c r="E1780" s="26" t="str">
        <f ca="1">IFERROR(__xludf.DUMMYFUNCTION("""COMPUTED_VALUE"""),"New")</f>
        <v>New</v>
      </c>
      <c r="F1780" s="72">
        <v>52</v>
      </c>
      <c r="G1780" s="72">
        <v>8162</v>
      </c>
      <c r="P1780" s="26"/>
    </row>
    <row r="1781" spans="1:16" ht="14.5">
      <c r="A1781" s="3" t="s">
        <v>38</v>
      </c>
      <c r="B1781" s="27" t="s">
        <v>2823</v>
      </c>
      <c r="C1781" s="46" t="s">
        <v>5377</v>
      </c>
      <c r="D1781" s="41" t="str">
        <f ca="1">IFERROR(__xludf.DUMMYFUNCTION("IFERROR(ARRAYFORMULA(REGEXEXTRACT(C1781,""^(?:https?:\/\/)?(?:[^@\n]+@)?(?:www\.)?([^:\/\n]+)"")),"""")"),"carrot.com")</f>
        <v>carrot.com</v>
      </c>
      <c r="E1781" s="26" t="str">
        <f ca="1">IFERROR(__xludf.DUMMYFUNCTION("""COMPUTED_VALUE"""),"New")</f>
        <v>New</v>
      </c>
      <c r="F1781" s="72">
        <v>80</v>
      </c>
      <c r="G1781" s="72">
        <v>8352</v>
      </c>
      <c r="P1781" s="26"/>
    </row>
    <row r="1782" spans="1:16" ht="14.5">
      <c r="A1782" s="3" t="s">
        <v>38</v>
      </c>
      <c r="B1782" s="27" t="s">
        <v>2823</v>
      </c>
      <c r="C1782" s="46" t="s">
        <v>5378</v>
      </c>
      <c r="D1782" s="41" t="str">
        <f ca="1">IFERROR(__xludf.DUMMYFUNCTION("IFERROR(ARRAYFORMULA(REGEXEXTRACT(C1782,""^(?:https?:\/\/)?(?:[^@\n]+@)?(?:www\.)?([^:\/\n]+)"")),"""")"),"jasminedirectory.com")</f>
        <v>jasminedirectory.com</v>
      </c>
      <c r="E1782" s="26" t="str">
        <f ca="1">IFERROR(__xludf.DUMMYFUNCTION("""COMPUTED_VALUE"""),"New")</f>
        <v>New</v>
      </c>
      <c r="F1782" s="72">
        <v>64</v>
      </c>
      <c r="G1782" s="72">
        <v>4376</v>
      </c>
      <c r="P1782" s="26"/>
    </row>
    <row r="1783" spans="1:16" ht="14.5">
      <c r="A1783" s="3" t="s">
        <v>38</v>
      </c>
      <c r="B1783" s="27" t="s">
        <v>2823</v>
      </c>
      <c r="C1783" s="46" t="s">
        <v>5379</v>
      </c>
      <c r="D1783" s="41" t="str">
        <f ca="1">IFERROR(__xludf.DUMMYFUNCTION("IFERROR(ARRAYFORMULA(REGEXEXTRACT(C1783,""^(?:https?:\/\/)?(?:[^@\n]+@)?(?:www\.)?([^:\/\n]+)"")),"""")"),"investropa.com")</f>
        <v>investropa.com</v>
      </c>
      <c r="E1783" s="26" t="str">
        <f ca="1">IFERROR(__xludf.DUMMYFUNCTION("""COMPUTED_VALUE"""),"New")</f>
        <v>New</v>
      </c>
      <c r="F1783" s="72">
        <v>53</v>
      </c>
      <c r="G1783" s="72">
        <v>1051</v>
      </c>
      <c r="P1783" s="26"/>
    </row>
    <row r="1784" spans="1:16" ht="14.5">
      <c r="A1784" s="3" t="s">
        <v>38</v>
      </c>
      <c r="B1784" s="27" t="s">
        <v>2823</v>
      </c>
      <c r="C1784" s="46" t="s">
        <v>5380</v>
      </c>
      <c r="D1784" s="41" t="str">
        <f ca="1">IFERROR(__xludf.DUMMYFUNCTION("IFERROR(ARRAYFORMULA(REGEXEXTRACT(C1784,""^(?:https?:\/\/)?(?:[^@\n]+@)?(?:www\.)?([^:\/\n]+)"")),"""")"),"speedprocanada.com")</f>
        <v>speedprocanada.com</v>
      </c>
      <c r="E1784" s="26" t="str">
        <f ca="1">IFERROR(__xludf.DUMMYFUNCTION("""COMPUTED_VALUE"""),"New")</f>
        <v>New</v>
      </c>
      <c r="F1784" s="72">
        <v>39</v>
      </c>
      <c r="G1784" s="72">
        <v>1632</v>
      </c>
      <c r="P1784" s="26"/>
    </row>
    <row r="1785" spans="1:16" ht="14.5">
      <c r="A1785" s="3" t="s">
        <v>38</v>
      </c>
      <c r="B1785" s="27" t="s">
        <v>2823</v>
      </c>
      <c r="C1785" s="49" t="s">
        <v>5381</v>
      </c>
      <c r="D1785" s="41" t="str">
        <f ca="1">IFERROR(__xludf.DUMMYFUNCTION("IFERROR(ARRAYFORMULA(REGEXEXTRACT(C1785,""^(?:https?:\/\/)?(?:[^@\n]+@)?(?:www\.)?([^:\/\n]+)"")),"""")"),"shoot2sell.net")</f>
        <v>shoot2sell.net</v>
      </c>
      <c r="E1785" s="26" t="str">
        <f ca="1">IFERROR(__xludf.DUMMYFUNCTION("""COMPUTED_VALUE"""),"New")</f>
        <v>New</v>
      </c>
      <c r="F1785" s="72">
        <v>43</v>
      </c>
      <c r="G1785" s="72">
        <v>1328</v>
      </c>
      <c r="J1785" s="27" t="s">
        <v>5382</v>
      </c>
      <c r="K1785" s="27" t="s">
        <v>5359</v>
      </c>
      <c r="L1785" s="112"/>
      <c r="M1785" s="27" t="s">
        <v>3117</v>
      </c>
      <c r="N1785" s="48">
        <v>46048</v>
      </c>
      <c r="O1785" s="70">
        <v>46089</v>
      </c>
      <c r="P1785" s="26"/>
    </row>
    <row r="1786" spans="1:16" ht="14.5">
      <c r="A1786" s="3" t="s">
        <v>38</v>
      </c>
      <c r="B1786" s="27" t="s">
        <v>2823</v>
      </c>
      <c r="C1786" s="46" t="s">
        <v>5383</v>
      </c>
      <c r="D1786" s="41" t="str">
        <f ca="1">IFERROR(__xludf.DUMMYFUNCTION("IFERROR(ARRAYFORMULA(REGEXEXTRACT(C1786,""^(?:https?:\/\/)?(?:[^@\n]+@)?(?:www\.)?([^:\/\n]+)"")),"""")"),"propertyme.com.au")</f>
        <v>propertyme.com.au</v>
      </c>
      <c r="E1786" s="26" t="str">
        <f ca="1">IFERROR(__xludf.DUMMYFUNCTION("""COMPUTED_VALUE"""),"New")</f>
        <v>New</v>
      </c>
      <c r="F1786" s="72">
        <v>59</v>
      </c>
      <c r="G1786" s="72">
        <v>48067</v>
      </c>
      <c r="P1786" s="26"/>
    </row>
    <row r="1787" spans="1:16" ht="14.5">
      <c r="A1787" s="3" t="s">
        <v>38</v>
      </c>
      <c r="B1787" s="27" t="s">
        <v>2823</v>
      </c>
      <c r="C1787" s="46" t="s">
        <v>5384</v>
      </c>
      <c r="D1787" s="41" t="str">
        <f ca="1">IFERROR(__xludf.DUMMYFUNCTION("IFERROR(ARRAYFORMULA(REGEXEXTRACT(C1787,""^(?:https?:\/\/)?(?:[^@\n]+@)?(?:www\.)?([^:\/\n]+)"")),"""")"),"searchenginemagazine.com")</f>
        <v>searchenginemagazine.com</v>
      </c>
      <c r="E1787" s="26" t="str">
        <f ca="1">IFERROR(__xludf.DUMMYFUNCTION("""COMPUTED_VALUE"""),"New")</f>
        <v>New</v>
      </c>
      <c r="F1787" s="72">
        <v>33</v>
      </c>
      <c r="G1787" s="72">
        <v>20872</v>
      </c>
      <c r="P1787" s="26"/>
    </row>
    <row r="1788" spans="1:16" ht="14.5">
      <c r="A1788" s="3" t="s">
        <v>38</v>
      </c>
      <c r="B1788" s="27" t="s">
        <v>2823</v>
      </c>
      <c r="C1788" s="49" t="s">
        <v>5385</v>
      </c>
      <c r="D1788" s="41" t="str">
        <f ca="1">IFERROR(__xludf.DUMMYFUNCTION("IFERROR(ARRAYFORMULA(REGEXEXTRACT(C1788,""^(?:https?:\/\/)?(?:[^@\n]+@)?(?:www\.)?([^:\/\n]+)"")),"""")"),"greenresidential.com")</f>
        <v>greenresidential.com</v>
      </c>
      <c r="E1788" s="26" t="str">
        <f ca="1">IFERROR(__xludf.DUMMYFUNCTION("""COMPUTED_VALUE"""),"New")</f>
        <v>New</v>
      </c>
      <c r="F1788" s="72">
        <v>51</v>
      </c>
      <c r="G1788" s="72">
        <v>2954</v>
      </c>
      <c r="H1788" s="27" t="s">
        <v>3603</v>
      </c>
      <c r="I1788" s="27" t="s">
        <v>5386</v>
      </c>
      <c r="J1788" s="27" t="s">
        <v>5387</v>
      </c>
      <c r="K1788" s="27" t="s">
        <v>5359</v>
      </c>
      <c r="L1788" s="112"/>
      <c r="M1788" s="27" t="s">
        <v>3117</v>
      </c>
      <c r="N1788" s="48">
        <v>46048</v>
      </c>
      <c r="O1788" s="70">
        <v>46089</v>
      </c>
      <c r="P1788" s="26"/>
    </row>
    <row r="1789" spans="1:16" ht="14.5">
      <c r="A1789" s="3" t="s">
        <v>38</v>
      </c>
      <c r="B1789" s="27" t="s">
        <v>2823</v>
      </c>
      <c r="C1789" s="49" t="s">
        <v>5388</v>
      </c>
      <c r="D1789" s="41" t="str">
        <f ca="1">IFERROR(__xludf.DUMMYFUNCTION("IFERROR(ARRAYFORMULA(REGEXEXTRACT(C1789,""^(?:https?:\/\/)?(?:[^@\n]+@)?(?:www\.)?([^:\/\n]+)"")),"""")"),"denverpost.com")</f>
        <v>denverpost.com</v>
      </c>
      <c r="E1789" s="26" t="str">
        <f ca="1">IFERROR(__xludf.DUMMYFUNCTION("""COMPUTED_VALUE"""),"New")</f>
        <v>New</v>
      </c>
      <c r="F1789" s="72">
        <v>87</v>
      </c>
      <c r="G1789" s="72">
        <v>279710</v>
      </c>
      <c r="H1789" s="27" t="s">
        <v>5389</v>
      </c>
      <c r="I1789" s="27" t="s">
        <v>5390</v>
      </c>
      <c r="K1789" s="27" t="s">
        <v>3772</v>
      </c>
      <c r="L1789" s="112"/>
      <c r="M1789" s="27" t="s">
        <v>3117</v>
      </c>
      <c r="N1789" s="48">
        <v>46048</v>
      </c>
      <c r="O1789" s="70">
        <v>46089</v>
      </c>
      <c r="P1789" s="26"/>
    </row>
    <row r="1790" spans="1:16" ht="14.5">
      <c r="A1790" s="3" t="s">
        <v>38</v>
      </c>
      <c r="B1790" s="27" t="s">
        <v>2823</v>
      </c>
      <c r="C1790" s="49" t="s">
        <v>5391</v>
      </c>
      <c r="D1790" s="41" t="str">
        <f ca="1">IFERROR(__xludf.DUMMYFUNCTION("IFERROR(ARRAYFORMULA(REGEXEXTRACT(C1790,""^(?:https?:\/\/)?(?:[^@\n]+@)?(?:www\.)?([^:\/\n]+)"")),"""")"),"homejab.com")</f>
        <v>homejab.com</v>
      </c>
      <c r="E1790" s="26" t="str">
        <f ca="1">IFERROR(__xludf.DUMMYFUNCTION("""COMPUTED_VALUE"""),"New")</f>
        <v>New</v>
      </c>
      <c r="F1790" s="72">
        <v>71</v>
      </c>
      <c r="G1790" s="72">
        <v>8276</v>
      </c>
      <c r="H1790" s="27" t="s">
        <v>5392</v>
      </c>
      <c r="I1790" s="27" t="s">
        <v>5393</v>
      </c>
      <c r="J1790" s="27" t="s">
        <v>5394</v>
      </c>
      <c r="K1790" s="27" t="s">
        <v>5359</v>
      </c>
      <c r="L1790" s="112"/>
      <c r="M1790" s="27" t="s">
        <v>3117</v>
      </c>
      <c r="N1790" s="48">
        <v>46048</v>
      </c>
      <c r="O1790" s="70">
        <v>46089</v>
      </c>
      <c r="P1790" s="26"/>
    </row>
    <row r="1791" spans="1:16" ht="14.5">
      <c r="A1791" s="3" t="s">
        <v>38</v>
      </c>
      <c r="B1791" s="27" t="s">
        <v>2823</v>
      </c>
      <c r="C1791" s="46" t="s">
        <v>5395</v>
      </c>
      <c r="D1791" s="41" t="str">
        <f ca="1">IFERROR(__xludf.DUMMYFUNCTION("IFERROR(ARRAYFORMULA(REGEXEXTRACT(C1791,""^(?:https?:\/\/)?(?:[^@\n]+@)?(?:www\.)?([^:\/\n]+)"")),"""")"),"voicedrop.ai")</f>
        <v>voicedrop.ai</v>
      </c>
      <c r="E1791" s="26" t="str">
        <f ca="1">IFERROR(__xludf.DUMMYFUNCTION("""COMPUTED_VALUE"""),"New")</f>
        <v>New</v>
      </c>
      <c r="F1791" s="72">
        <v>55</v>
      </c>
      <c r="G1791" s="72">
        <v>6695</v>
      </c>
      <c r="P1791" s="26"/>
    </row>
    <row r="1792" spans="1:16" ht="14.5">
      <c r="A1792" s="3" t="s">
        <v>38</v>
      </c>
      <c r="B1792" s="27" t="s">
        <v>2823</v>
      </c>
      <c r="C1792" s="46" t="s">
        <v>5396</v>
      </c>
      <c r="D1792" s="41" t="str">
        <f ca="1">IFERROR(__xludf.DUMMYFUNCTION("IFERROR(ARRAYFORMULA(REGEXEXTRACT(C1792,""^(?:https?:\/\/)?(?:[^@\n]+@)?(?:www\.)?([^:\/\n]+)"")),"""")"),"getlatka.com")</f>
        <v>getlatka.com</v>
      </c>
      <c r="E1792" s="26" t="str">
        <f ca="1">IFERROR(__xludf.DUMMYFUNCTION("""COMPUTED_VALUE"""),"New")</f>
        <v>New</v>
      </c>
      <c r="F1792" s="72">
        <v>71</v>
      </c>
      <c r="G1792" s="72">
        <v>10154</v>
      </c>
      <c r="P1792" s="26"/>
    </row>
    <row r="1793" spans="1:16" ht="14.5">
      <c r="A1793" s="3" t="s">
        <v>38</v>
      </c>
      <c r="B1793" s="27" t="s">
        <v>2823</v>
      </c>
      <c r="C1793" s="46" t="s">
        <v>5397</v>
      </c>
      <c r="D1793" s="41" t="str">
        <f ca="1">IFERROR(__xludf.DUMMYFUNCTION("IFERROR(ARRAYFORMULA(REGEXEXTRACT(C1793,""^(?:https?:\/\/)?(?:[^@\n]+@)?(?:www\.)?([^:\/\n]+)"")),"""")"),"vistasocial.com")</f>
        <v>vistasocial.com</v>
      </c>
      <c r="E1793" s="26" t="str">
        <f ca="1">IFERROR(__xludf.DUMMYFUNCTION("""COMPUTED_VALUE"""),"New")</f>
        <v>New</v>
      </c>
      <c r="F1793" s="72">
        <v>71</v>
      </c>
      <c r="G1793" s="72">
        <v>40362</v>
      </c>
      <c r="P1793" s="26"/>
    </row>
    <row r="1794" spans="1:16" ht="14.5">
      <c r="A1794" s="3" t="s">
        <v>38</v>
      </c>
      <c r="B1794" s="27" t="s">
        <v>2823</v>
      </c>
      <c r="C1794" s="46" t="s">
        <v>5398</v>
      </c>
      <c r="D1794" s="41" t="str">
        <f ca="1">IFERROR(__xludf.DUMMYFUNCTION("IFERROR(ARRAYFORMULA(REGEXEXTRACT(C1794,""^(?:https?:\/\/)?(?:[^@\n]+@)?(?:www\.)?([^:\/\n]+)"")),"""")"),"uppromote.com")</f>
        <v>uppromote.com</v>
      </c>
      <c r="E1794" s="26" t="str">
        <f ca="1">IFERROR(__xludf.DUMMYFUNCTION("""COMPUTED_VALUE"""),"New")</f>
        <v>New</v>
      </c>
      <c r="F1794" s="72">
        <v>90</v>
      </c>
      <c r="G1794" s="72">
        <v>15167</v>
      </c>
      <c r="P1794" s="26"/>
    </row>
    <row r="1795" spans="1:16" ht="14.5">
      <c r="A1795" s="3" t="s">
        <v>38</v>
      </c>
      <c r="B1795" s="27" t="s">
        <v>2823</v>
      </c>
      <c r="C1795" s="49" t="s">
        <v>5399</v>
      </c>
      <c r="D1795" s="41" t="str">
        <f ca="1">IFERROR(__xludf.DUMMYFUNCTION("IFERROR(ARRAYFORMULA(REGEXEXTRACT(C1795,""^(?:https?:\/\/)?(?:[^@\n]+@)?(?:www\.)?([^:\/\n]+)"")),"""")"),"attomdata.com")</f>
        <v>attomdata.com</v>
      </c>
      <c r="E1795" s="26" t="str">
        <f ca="1">IFERROR(__xludf.DUMMYFUNCTION("""COMPUTED_VALUE"""),"New")</f>
        <v>New</v>
      </c>
      <c r="F1795" s="72">
        <v>77</v>
      </c>
      <c r="G1795" s="72">
        <v>9112</v>
      </c>
      <c r="H1795" s="27" t="s">
        <v>5400</v>
      </c>
      <c r="I1795" s="27" t="s">
        <v>5401</v>
      </c>
      <c r="K1795" s="27" t="s">
        <v>5359</v>
      </c>
      <c r="L1795" s="112"/>
      <c r="M1795" s="27" t="s">
        <v>3117</v>
      </c>
      <c r="N1795" s="48">
        <v>46048</v>
      </c>
      <c r="O1795" s="70">
        <v>46089</v>
      </c>
      <c r="P1795" s="26"/>
    </row>
    <row r="1796" spans="1:16" ht="14.5">
      <c r="A1796" s="3" t="s">
        <v>38</v>
      </c>
      <c r="B1796" s="27" t="s">
        <v>2823</v>
      </c>
      <c r="C1796" s="46" t="s">
        <v>5402</v>
      </c>
      <c r="D1796" s="41" t="str">
        <f ca="1">IFERROR(__xludf.DUMMYFUNCTION("IFERROR(ARRAYFORMULA(REGEXEXTRACT(C1796,""^(?:https?:\/\/)?(?:[^@\n]+@)?(?:www\.)?([^:\/\n]+)"")),"""")"),"creatopy.com")</f>
        <v>creatopy.com</v>
      </c>
      <c r="E1796" s="26" t="str">
        <f ca="1">IFERROR(__xludf.DUMMYFUNCTION("""COMPUTED_VALUE"""),"New")</f>
        <v>New</v>
      </c>
      <c r="F1796" s="72">
        <v>74</v>
      </c>
      <c r="G1796" s="72">
        <v>15389</v>
      </c>
      <c r="P1796" s="26"/>
    </row>
    <row r="1797" spans="1:16" ht="14.5">
      <c r="A1797" s="3" t="s">
        <v>38</v>
      </c>
      <c r="B1797" s="27" t="s">
        <v>2823</v>
      </c>
      <c r="C1797" s="46" t="s">
        <v>5403</v>
      </c>
      <c r="D1797" s="41" t="str">
        <f ca="1">IFERROR(__xludf.DUMMYFUNCTION("IFERROR(ARRAYFORMULA(REGEXEXTRACT(C1797,""^(?:https?:\/\/)?(?:[^@\n]+@)?(?:www\.)?([^:\/\n]+)"")),"""")"),"highperformr.ai")</f>
        <v>highperformr.ai</v>
      </c>
      <c r="E1797" s="26" t="str">
        <f ca="1">IFERROR(__xludf.DUMMYFUNCTION("""COMPUTED_VALUE"""),"New")</f>
        <v>New</v>
      </c>
      <c r="F1797" s="72">
        <v>57</v>
      </c>
      <c r="G1797" s="72">
        <v>15097</v>
      </c>
      <c r="P1797" s="26"/>
    </row>
    <row r="1798" spans="1:16" ht="14.5">
      <c r="A1798" s="3" t="s">
        <v>38</v>
      </c>
      <c r="B1798" s="27" t="s">
        <v>2823</v>
      </c>
      <c r="C1798" s="46" t="s">
        <v>5404</v>
      </c>
      <c r="D1798" s="41" t="str">
        <f ca="1">IFERROR(__xludf.DUMMYFUNCTION("IFERROR(ARRAYFORMULA(REGEXEXTRACT(C1798,""^(?:https?:\/\/)?(?:[^@\n]+@)?(?:www\.)?([^:\/\n]+)"")),"""")"),"sociallifemagazine.com")</f>
        <v>sociallifemagazine.com</v>
      </c>
      <c r="E1798" s="26" t="str">
        <f ca="1">IFERROR(__xludf.DUMMYFUNCTION("""COMPUTED_VALUE"""),"New")</f>
        <v>New</v>
      </c>
      <c r="F1798" s="72">
        <v>46</v>
      </c>
      <c r="G1798" s="72">
        <v>55148</v>
      </c>
      <c r="P1798" s="26"/>
    </row>
    <row r="1799" spans="1:16" ht="14.5">
      <c r="A1799" s="3" t="s">
        <v>38</v>
      </c>
      <c r="B1799" s="27" t="s">
        <v>2823</v>
      </c>
      <c r="C1799" s="46" t="s">
        <v>5405</v>
      </c>
      <c r="D1799" s="41" t="str">
        <f ca="1">IFERROR(__xludf.DUMMYFUNCTION("IFERROR(ARRAYFORMULA(REGEXEXTRACT(C1799,""^(?:https?:\/\/)?(?:[^@\n]+@)?(?:www\.)?([^:\/\n]+)"")),"""")"),"renb-social")</f>
        <v>renb-social</v>
      </c>
      <c r="E1799" s="26" t="str">
        <f ca="1">IFERROR(__xludf.DUMMYFUNCTION("""COMPUTED_VALUE"""),"New")</f>
        <v>New</v>
      </c>
      <c r="F1799" s="72">
        <v>64</v>
      </c>
      <c r="G1799" s="72">
        <v>3698</v>
      </c>
      <c r="P1799" s="26"/>
    </row>
    <row r="1800" spans="1:16" ht="14.5">
      <c r="A1800" s="3" t="s">
        <v>38</v>
      </c>
      <c r="B1800" s="27" t="s">
        <v>2823</v>
      </c>
      <c r="C1800" s="46" t="s">
        <v>5406</v>
      </c>
      <c r="D1800" s="41" t="str">
        <f ca="1">IFERROR(__xludf.DUMMYFUNCTION("IFERROR(ARRAYFORMULA(REGEXEXTRACT(C1800,""^(?:https?:\/\/)?(?:[^@\n]+@)?(?:www\.)?([^:\/\n]+)"")),"""")"),"thehustle.co")</f>
        <v>thehustle.co</v>
      </c>
      <c r="E1800" s="26" t="str">
        <f ca="1">IFERROR(__xludf.DUMMYFUNCTION("""COMPUTED_VALUE"""),"New")</f>
        <v>New</v>
      </c>
      <c r="F1800" s="72">
        <v>79</v>
      </c>
      <c r="G1800" s="72">
        <v>20719</v>
      </c>
      <c r="P1800" s="26"/>
    </row>
    <row r="1801" spans="1:16" ht="14.5">
      <c r="A1801" s="3" t="s">
        <v>38</v>
      </c>
      <c r="B1801" s="27" t="s">
        <v>2823</v>
      </c>
      <c r="C1801" s="46" t="s">
        <v>5407</v>
      </c>
      <c r="D1801" s="41" t="str">
        <f ca="1">IFERROR(__xludf.DUMMYFUNCTION("IFERROR(ARRAYFORMULA(REGEXEXTRACT(C1801,""^(?:https?:\/\/)?(?:[^@\n]+@)?(?:www\.)?([^:\/\n]+)"")),"""")"),"viasocket.com")</f>
        <v>viasocket.com</v>
      </c>
      <c r="E1801" s="26" t="str">
        <f ca="1">IFERROR(__xludf.DUMMYFUNCTION("""COMPUTED_VALUE"""),"New")</f>
        <v>New</v>
      </c>
      <c r="F1801" s="72">
        <v>74</v>
      </c>
      <c r="G1801" s="72">
        <v>2163</v>
      </c>
      <c r="P1801" s="26"/>
    </row>
    <row r="1802" spans="1:16" ht="14.5">
      <c r="A1802" s="3" t="s">
        <v>38</v>
      </c>
      <c r="B1802" s="27" t="s">
        <v>2823</v>
      </c>
      <c r="C1802" s="46" t="s">
        <v>5408</v>
      </c>
      <c r="D1802" s="41" t="str">
        <f ca="1">IFERROR(__xludf.DUMMYFUNCTION("IFERROR(ARRAYFORMULA(REGEXEXTRACT(C1802,""^(?:https?:\/\/)?(?:[^@\n]+@)?(?:www\.)?([^:\/\n]+)"")),"""")"),"us.fitgap.com")</f>
        <v>us.fitgap.com</v>
      </c>
      <c r="E1802" s="26" t="str">
        <f ca="1">IFERROR(__xludf.DUMMYFUNCTION("""COMPUTED_VALUE"""),"New")</f>
        <v>New</v>
      </c>
      <c r="F1802" s="72">
        <v>50</v>
      </c>
      <c r="G1802" s="72">
        <v>5411</v>
      </c>
      <c r="P1802" s="26"/>
    </row>
    <row r="1803" spans="1:16" ht="14.5">
      <c r="A1803" s="3" t="s">
        <v>38</v>
      </c>
      <c r="B1803" s="27" t="s">
        <v>2823</v>
      </c>
      <c r="C1803" s="46" t="s">
        <v>5409</v>
      </c>
      <c r="D1803" s="41" t="str">
        <f ca="1">IFERROR(__xludf.DUMMYFUNCTION("IFERROR(ARRAYFORMULA(REGEXEXTRACT(C1803,""^(?:https?:\/\/)?(?:[^@\n]+@)?(?:www\.)?([^:\/\n]+)"")),"""")"),"the-nexus-now.beehiiv.com")</f>
        <v>the-nexus-now.beehiiv.com</v>
      </c>
      <c r="E1803" s="26" t="str">
        <f ca="1">IFERROR(__xludf.DUMMYFUNCTION("""COMPUTED_VALUE"""),"New")</f>
        <v>New</v>
      </c>
      <c r="F1803" s="72">
        <v>91</v>
      </c>
      <c r="G1803" s="72">
        <v>137540</v>
      </c>
      <c r="P1803" s="26"/>
    </row>
    <row r="1804" spans="1:16" ht="14.5">
      <c r="A1804" s="3" t="s">
        <v>38</v>
      </c>
      <c r="B1804" s="27" t="s">
        <v>2823</v>
      </c>
      <c r="C1804" s="46" t="s">
        <v>5410</v>
      </c>
      <c r="D1804" s="41" t="str">
        <f ca="1">IFERROR(__xludf.DUMMYFUNCTION("IFERROR(ARRAYFORMULA(REGEXEXTRACT(C1804,""^(?:https?:\/\/)?(?:[^@\n]+@)?(?:www\.)?([^:\/\n]+)"")),"""")"),"newcareer.theceshop.com")</f>
        <v>newcareer.theceshop.com</v>
      </c>
      <c r="E1804" s="26" t="str">
        <f ca="1">IFERROR(__xludf.DUMMYFUNCTION("""COMPUTED_VALUE"""),"New")</f>
        <v>New</v>
      </c>
      <c r="F1804" s="72">
        <v>77</v>
      </c>
      <c r="G1804" s="72">
        <v>283631</v>
      </c>
      <c r="P1804" s="26"/>
    </row>
    <row r="1805" spans="1:16" ht="14.5">
      <c r="A1805" s="3" t="s">
        <v>38</v>
      </c>
      <c r="B1805" s="27" t="s">
        <v>2823</v>
      </c>
      <c r="C1805" s="46" t="s">
        <v>5411</v>
      </c>
      <c r="D1805" s="41" t="str">
        <f ca="1">IFERROR(__xludf.DUMMYFUNCTION("IFERROR(ARRAYFORMULA(REGEXEXTRACT(C1805,""^(?:https?:\/\/)?(?:[^@\n]+@)?(?:www\.)?([^:\/\n]+)"")),"""")"),"official.lofty.com")</f>
        <v>official.lofty.com</v>
      </c>
      <c r="E1805" s="26" t="str">
        <f ca="1">IFERROR(__xludf.DUMMYFUNCTION("""COMPUTED_VALUE"""),"New")</f>
        <v>New</v>
      </c>
      <c r="F1805" s="72">
        <v>67</v>
      </c>
      <c r="G1805" s="72">
        <v>8500</v>
      </c>
      <c r="P1805" s="26"/>
    </row>
    <row r="1806" spans="1:16" ht="14.5">
      <c r="A1806" s="3" t="s">
        <v>38</v>
      </c>
      <c r="B1806" s="27" t="s">
        <v>2823</v>
      </c>
      <c r="C1806" s="46" t="s">
        <v>5412</v>
      </c>
      <c r="D1806" s="41" t="str">
        <f ca="1">IFERROR(__xludf.DUMMYFUNCTION("IFERROR(ARRAYFORMULA(REGEXEXTRACT(C1806,""^(?:https?:\/\/)?(?:[^@\n]+@)?(?:www\.)?([^:\/\n]+)"")),"""")"),"bestversionmedia.com")</f>
        <v>bestversionmedia.com</v>
      </c>
      <c r="E1806" s="26" t="str">
        <f ca="1">IFERROR(__xludf.DUMMYFUNCTION("""COMPUTED_VALUE"""),"New")</f>
        <v>New</v>
      </c>
      <c r="F1806" s="72">
        <v>66</v>
      </c>
      <c r="G1806" s="72">
        <v>10104</v>
      </c>
      <c r="P1806" s="26"/>
    </row>
    <row r="1807" spans="1:16" ht="14.5">
      <c r="A1807" s="3" t="s">
        <v>38</v>
      </c>
      <c r="B1807" s="27" t="s">
        <v>2823</v>
      </c>
      <c r="C1807" s="46" t="s">
        <v>5413</v>
      </c>
      <c r="D1807" s="41" t="str">
        <f ca="1">IFERROR(__xludf.DUMMYFUNCTION("IFERROR(ARRAYFORMULA(REGEXEXTRACT(C1807,""^(?:https?:\/\/)?(?:[^@\n]+@)?(?:www\.)?([^:\/\n]+)"")),"""")"),"redx.com")</f>
        <v>redx.com</v>
      </c>
      <c r="E1807" s="26" t="str">
        <f ca="1">IFERROR(__xludf.DUMMYFUNCTION("""COMPUTED_VALUE"""),"New")</f>
        <v>New</v>
      </c>
      <c r="F1807" s="72">
        <v>58</v>
      </c>
      <c r="G1807" s="72">
        <v>20015</v>
      </c>
      <c r="P1807" s="26"/>
    </row>
    <row r="1808" spans="1:16" ht="14.5">
      <c r="A1808" s="3" t="s">
        <v>38</v>
      </c>
      <c r="B1808" s="27" t="s">
        <v>2823</v>
      </c>
      <c r="C1808" s="46" t="s">
        <v>5414</v>
      </c>
      <c r="D1808" s="41" t="str">
        <f ca="1">IFERROR(__xludf.DUMMYFUNCTION("IFERROR(ARRAYFORMULA(REGEXEXTRACT(C1808,""^(?:https?:\/\/)?(?:[^@\n]+@)?(?:www\.)?([^:\/\n]+)"")),"""")"),"best-of-web.builder.io")</f>
        <v>best-of-web.builder.io</v>
      </c>
      <c r="E1808" s="26" t="str">
        <f ca="1">IFERROR(__xludf.DUMMYFUNCTION("""COMPUTED_VALUE"""),"New")</f>
        <v>New</v>
      </c>
      <c r="F1808" s="72">
        <v>81</v>
      </c>
      <c r="G1808" s="72">
        <v>107931</v>
      </c>
      <c r="P1808" s="26"/>
    </row>
    <row r="1809" spans="1:16" ht="14.5">
      <c r="A1809" s="3" t="s">
        <v>38</v>
      </c>
      <c r="B1809" s="27" t="s">
        <v>2823</v>
      </c>
      <c r="C1809" s="46" t="s">
        <v>5415</v>
      </c>
      <c r="D1809" s="41" t="str">
        <f ca="1">IFERROR(__xludf.DUMMYFUNCTION("IFERROR(ARRAYFORMULA(REGEXEXTRACT(C1809,""^(?:https?:\/\/)?(?:[^@\n]+@)?(?:www\.)?([^:\/\n]+)"")),"""")"),"prosemedia.com")</f>
        <v>prosemedia.com</v>
      </c>
      <c r="E1809" s="26" t="str">
        <f ca="1">IFERROR(__xludf.DUMMYFUNCTION("""COMPUTED_VALUE"""),"New")</f>
        <v>New</v>
      </c>
      <c r="F1809" s="72">
        <v>49</v>
      </c>
      <c r="G1809" s="72">
        <v>1376</v>
      </c>
      <c r="P1809" s="26"/>
    </row>
    <row r="1810" spans="1:16" ht="14.5">
      <c r="A1810" s="3" t="s">
        <v>38</v>
      </c>
      <c r="B1810" s="27" t="s">
        <v>2823</v>
      </c>
      <c r="C1810" s="46" t="s">
        <v>5416</v>
      </c>
      <c r="D1810" s="41" t="str">
        <f ca="1">IFERROR(__xludf.DUMMYFUNCTION("IFERROR(ARRAYFORMULA(REGEXEXTRACT(C1810,""^(?:https?:\/\/)?(?:[^@\n]+@)?(?:www\.)?([^:\/\n]+)"")),"""")"),"ful.io")</f>
        <v>ful.io</v>
      </c>
      <c r="E1810" s="26" t="str">
        <f ca="1">IFERROR(__xludf.DUMMYFUNCTION("""COMPUTED_VALUE"""),"New")</f>
        <v>New</v>
      </c>
      <c r="F1810" s="72">
        <v>50</v>
      </c>
      <c r="G1810" s="72">
        <v>7838</v>
      </c>
      <c r="P1810" s="26"/>
    </row>
    <row r="1811" spans="1:16" ht="14.5">
      <c r="A1811" s="3" t="s">
        <v>38</v>
      </c>
      <c r="B1811" s="27" t="s">
        <v>2823</v>
      </c>
      <c r="C1811" s="46" t="s">
        <v>5417</v>
      </c>
      <c r="D1811" s="41" t="str">
        <f ca="1">IFERROR(__xludf.DUMMYFUNCTION("IFERROR(ARRAYFORMULA(REGEXEXTRACT(C1811,""^(?:https?:\/\/)?(?:[^@\n]+@)?(?:www\.)?([^:\/\n]+)"")),"""")"),"cloudpano.com")</f>
        <v>cloudpano.com</v>
      </c>
      <c r="E1811" s="26" t="str">
        <f ca="1">IFERROR(__xludf.DUMMYFUNCTION("""COMPUTED_VALUE"""),"New")</f>
        <v>New</v>
      </c>
      <c r="F1811" s="72">
        <v>79</v>
      </c>
      <c r="G1811" s="72">
        <v>5129</v>
      </c>
      <c r="P1811" s="26"/>
    </row>
    <row r="1812" spans="1:16" ht="14.5">
      <c r="A1812" s="3" t="s">
        <v>38</v>
      </c>
      <c r="B1812" s="27" t="s">
        <v>2823</v>
      </c>
      <c r="C1812" s="46" t="s">
        <v>5418</v>
      </c>
      <c r="D1812" s="41" t="str">
        <f ca="1">IFERROR(__xludf.DUMMYFUNCTION("IFERROR(ARRAYFORMULA(REGEXEXTRACT(C1812,""^(?:https?:\/\/)?(?:[^@\n]+@)?(?:www\.)?([^:\/\n]+)"")),"""")"),"webceo.com")</f>
        <v>webceo.com</v>
      </c>
      <c r="E1812" s="26" t="str">
        <f ca="1">IFERROR(__xludf.DUMMYFUNCTION("""COMPUTED_VALUE"""),"New")</f>
        <v>New</v>
      </c>
      <c r="F1812" s="72">
        <v>74</v>
      </c>
      <c r="G1812" s="72">
        <v>21813</v>
      </c>
      <c r="P1812" s="26"/>
    </row>
    <row r="1813" spans="1:16" ht="14.5">
      <c r="A1813" s="3" t="s">
        <v>38</v>
      </c>
      <c r="B1813" s="27" t="s">
        <v>2823</v>
      </c>
      <c r="C1813" s="46" t="s">
        <v>5419</v>
      </c>
      <c r="D1813" s="41" t="str">
        <f ca="1">IFERROR(__xludf.DUMMYFUNCTION("IFERROR(ARRAYFORMULA(REGEXEXTRACT(C1813,""^(?:https?:\/\/)?(?:[^@\n]+@)?(?:www\.)?([^:\/\n]+)"")),"""")"),"old.sermitsiaq.ag")</f>
        <v>old.sermitsiaq.ag</v>
      </c>
      <c r="E1813" s="26" t="str">
        <f ca="1">IFERROR(__xludf.DUMMYFUNCTION("""COMPUTED_VALUE"""),"New")</f>
        <v>New</v>
      </c>
      <c r="F1813" s="72">
        <v>68</v>
      </c>
      <c r="G1813" s="72">
        <v>18751</v>
      </c>
      <c r="P1813" s="26"/>
    </row>
    <row r="1814" spans="1:16" ht="14.5">
      <c r="A1814" s="3" t="s">
        <v>38</v>
      </c>
      <c r="B1814" s="27" t="s">
        <v>2823</v>
      </c>
      <c r="C1814" s="46" t="s">
        <v>5420</v>
      </c>
      <c r="D1814" s="41" t="str">
        <f ca="1">IFERROR(__xludf.DUMMYFUNCTION("IFERROR(ARRAYFORMULA(REGEXEXTRACT(C1814,""^(?:https?:\/\/)?(?:[^@\n]+@)?(?:www\.)?([^:\/\n]+)"")),"""")"),"agnesgaddis.journoportfolio.com")</f>
        <v>agnesgaddis.journoportfolio.com</v>
      </c>
      <c r="E1814" s="26" t="str">
        <f ca="1">IFERROR(__xludf.DUMMYFUNCTION("""COMPUTED_VALUE"""),"New")</f>
        <v>New</v>
      </c>
      <c r="F1814" s="72">
        <v>82</v>
      </c>
      <c r="G1814" s="72">
        <v>16493</v>
      </c>
      <c r="P1814" s="26"/>
    </row>
    <row r="1815" spans="1:16" ht="14.5">
      <c r="A1815" s="3" t="s">
        <v>38</v>
      </c>
      <c r="B1815" s="27" t="s">
        <v>2823</v>
      </c>
      <c r="C1815" s="46" t="s">
        <v>5421</v>
      </c>
      <c r="D1815" s="41" t="str">
        <f ca="1">IFERROR(__xludf.DUMMYFUNCTION("IFERROR(ARRAYFORMULA(REGEXEXTRACT(C1815,""^(?:https?:\/\/)?(?:[^@\n]+@)?(?:www\.)?([^:\/\n]+)"")),"""")"),"directorist.com")</f>
        <v>directorist.com</v>
      </c>
      <c r="E1815" s="26" t="str">
        <f ca="1">IFERROR(__xludf.DUMMYFUNCTION("""COMPUTED_VALUE"""),"New")</f>
        <v>New</v>
      </c>
      <c r="F1815" s="72">
        <v>72</v>
      </c>
      <c r="G1815" s="72">
        <v>4932</v>
      </c>
      <c r="P1815" s="26"/>
    </row>
    <row r="1816" spans="1:16" ht="14.5">
      <c r="A1816" s="3" t="s">
        <v>38</v>
      </c>
      <c r="B1816" s="27" t="s">
        <v>2823</v>
      </c>
      <c r="C1816" s="46" t="s">
        <v>5422</v>
      </c>
      <c r="D1816" s="41" t="str">
        <f ca="1">IFERROR(__xludf.DUMMYFUNCTION("IFERROR(ARRAYFORMULA(REGEXEXTRACT(C1816,""^(?:https?:\/\/)?(?:[^@\n]+@)?(?:www\.)?([^:\/\n]+)"")),"""")"),"datagrid.com")</f>
        <v>datagrid.com</v>
      </c>
      <c r="E1816" s="26" t="str">
        <f ca="1">IFERROR(__xludf.DUMMYFUNCTION("""COMPUTED_VALUE"""),"New")</f>
        <v>New</v>
      </c>
      <c r="F1816" s="72">
        <v>59</v>
      </c>
      <c r="G1816" s="72">
        <v>5069</v>
      </c>
      <c r="P1816" s="26"/>
    </row>
    <row r="1817" spans="1:16" ht="14.5">
      <c r="A1817" s="3" t="s">
        <v>38</v>
      </c>
      <c r="B1817" s="27" t="s">
        <v>2823</v>
      </c>
      <c r="C1817" s="46" t="s">
        <v>5423</v>
      </c>
      <c r="D1817" s="41" t="str">
        <f ca="1">IFERROR(__xludf.DUMMYFUNCTION("IFERROR(ARRAYFORMULA(REGEXEXTRACT(C1817,""^(?:https?:\/\/)?(?:[^@\n]+@)?(?:www\.)?([^:\/\n]+)"")),"""")"),"blog.rankfast.co")</f>
        <v>blog.rankfast.co</v>
      </c>
      <c r="E1817" s="26" t="str">
        <f ca="1">IFERROR(__xludf.DUMMYFUNCTION("""COMPUTED_VALUE"""),"New")</f>
        <v>New</v>
      </c>
      <c r="F1817" s="72">
        <v>30</v>
      </c>
      <c r="G1817" s="72">
        <v>1098</v>
      </c>
      <c r="P1817" s="26"/>
    </row>
    <row r="1818" spans="1:16" ht="14.5">
      <c r="A1818" s="3" t="s">
        <v>38</v>
      </c>
      <c r="B1818" s="27" t="s">
        <v>2823</v>
      </c>
      <c r="C1818" s="46" t="s">
        <v>5424</v>
      </c>
      <c r="D1818" s="41" t="str">
        <f ca="1">IFERROR(__xludf.DUMMYFUNCTION("IFERROR(ARRAYFORMULA(REGEXEXTRACT(C1818,""^(?:https?:\/\/)?(?:[^@\n]+@)?(?:www\.)?([^:\/\n]+)"")),"""")"),"toolbox.silvercreekrealty.net")</f>
        <v>toolbox.silvercreekrealty.net</v>
      </c>
      <c r="E1818" s="26" t="str">
        <f ca="1">IFERROR(__xludf.DUMMYFUNCTION("""COMPUTED_VALUE"""),"New")</f>
        <v>New</v>
      </c>
      <c r="F1818" s="72">
        <v>46</v>
      </c>
      <c r="G1818" s="72">
        <v>1358</v>
      </c>
      <c r="P1818" s="26"/>
    </row>
    <row r="1819" spans="1:16" ht="14.5">
      <c r="A1819" s="3" t="s">
        <v>38</v>
      </c>
      <c r="B1819" s="27" t="s">
        <v>2823</v>
      </c>
      <c r="C1819" s="46" t="s">
        <v>5425</v>
      </c>
      <c r="D1819" s="41" t="str">
        <f ca="1">IFERROR(__xludf.DUMMYFUNCTION("IFERROR(ARRAYFORMULA(REGEXEXTRACT(C1819,""^(?:https?:\/\/)?(?:[^@\n]+@)?(?:www\.)?([^:\/\n]+)"")),"""")"),"curbhe.ro")</f>
        <v>curbhe.ro</v>
      </c>
      <c r="E1819" s="26" t="str">
        <f ca="1">IFERROR(__xludf.DUMMYFUNCTION("""COMPUTED_VALUE"""),"New")</f>
        <v>New</v>
      </c>
      <c r="F1819" s="72">
        <v>47</v>
      </c>
      <c r="G1819" s="72">
        <v>5833</v>
      </c>
      <c r="P1819" s="26"/>
    </row>
    <row r="1820" spans="1:16" ht="14.5">
      <c r="A1820" s="3" t="s">
        <v>38</v>
      </c>
      <c r="B1820" s="27" t="s">
        <v>2823</v>
      </c>
      <c r="C1820" s="46" t="s">
        <v>5426</v>
      </c>
      <c r="D1820" s="41" t="str">
        <f ca="1">IFERROR(__xludf.DUMMYFUNCTION("IFERROR(ARRAYFORMULA(REGEXEXTRACT(C1820,""^(?:https?:\/\/)?(?:[^@\n]+@)?(?:www\.)?([^:\/\n]+)"")),"""")"),"emailsherlock.com")</f>
        <v>emailsherlock.com</v>
      </c>
      <c r="E1820" s="26" t="str">
        <f ca="1">IFERROR(__xludf.DUMMYFUNCTION("""COMPUTED_VALUE"""),"New")</f>
        <v>New</v>
      </c>
      <c r="F1820" s="72">
        <v>46</v>
      </c>
      <c r="G1820" s="72">
        <v>15741</v>
      </c>
      <c r="P1820" s="26"/>
    </row>
    <row r="1821" spans="1:16" ht="14.5">
      <c r="A1821" s="3" t="s">
        <v>38</v>
      </c>
      <c r="B1821" s="27" t="s">
        <v>2823</v>
      </c>
      <c r="C1821" s="46" t="s">
        <v>5427</v>
      </c>
      <c r="D1821" s="41" t="str">
        <f ca="1">IFERROR(__xludf.DUMMYFUNCTION("IFERROR(ARRAYFORMULA(REGEXEXTRACT(C1821,""^(?:https?:\/\/)?(?:[^@\n]+@)?(?:www\.)?([^:\/\n]+)"")),"""")"),"resumonk.com")</f>
        <v>resumonk.com</v>
      </c>
      <c r="E1821" s="26" t="str">
        <f ca="1">IFERROR(__xludf.DUMMYFUNCTION("""COMPUTED_VALUE"""),"New")</f>
        <v>New</v>
      </c>
      <c r="F1821" s="72">
        <v>50</v>
      </c>
      <c r="G1821" s="72">
        <v>10811</v>
      </c>
      <c r="P1821" s="26"/>
    </row>
    <row r="1822" spans="1:16" ht="14.5">
      <c r="A1822" s="3" t="s">
        <v>38</v>
      </c>
      <c r="B1822" s="27" t="s">
        <v>2823</v>
      </c>
      <c r="C1822" s="46" t="s">
        <v>5428</v>
      </c>
      <c r="D1822" s="41" t="str">
        <f ca="1">IFERROR(__xludf.DUMMYFUNCTION("IFERROR(ARRAYFORMULA(REGEXEXTRACT(C1822,""^(?:https?:\/\/)?(?:[^@\n]+@)?(?:www\.)?([^:\/\n]+)"")),"""")"),"theconversioncode.kit.com")</f>
        <v>theconversioncode.kit.com</v>
      </c>
      <c r="E1822" s="26" t="str">
        <f ca="1">IFERROR(__xludf.DUMMYFUNCTION("""COMPUTED_VALUE"""),"New")</f>
        <v>New</v>
      </c>
      <c r="F1822" s="72">
        <v>91</v>
      </c>
      <c r="G1822" s="72">
        <v>123780</v>
      </c>
      <c r="P1822" s="26"/>
    </row>
    <row r="1823" spans="1:16" ht="14.5">
      <c r="A1823" s="3" t="s">
        <v>38</v>
      </c>
      <c r="B1823" s="79" t="s">
        <v>2824</v>
      </c>
      <c r="C1823" s="46" t="s">
        <v>5429</v>
      </c>
      <c r="D1823" s="41" t="str">
        <f ca="1">IFERROR(__xludf.DUMMYFUNCTION("IFERROR(ARRAYFORMULA(REGEXEXTRACT(C1823,""^(?:https?:\/\/)?(?:[^@\n]+@)?(?:www\.)?([^:\/\n]+)"")),"""")"),"bigcommerce.com")</f>
        <v>bigcommerce.com</v>
      </c>
      <c r="E1823" s="26" t="str">
        <f ca="1">IFERROR(__xludf.DUMMYFUNCTION("""COMPUTED_VALUE"""),"New")</f>
        <v>New</v>
      </c>
      <c r="F1823" s="72">
        <v>92</v>
      </c>
      <c r="G1823" s="72">
        <v>408766</v>
      </c>
      <c r="P1823" s="26"/>
    </row>
    <row r="1824" spans="1:16" ht="14.5">
      <c r="A1824" s="3" t="s">
        <v>38</v>
      </c>
      <c r="B1824" s="27" t="s">
        <v>2824</v>
      </c>
      <c r="C1824" s="46" t="s">
        <v>5430</v>
      </c>
      <c r="D1824" s="41" t="str">
        <f ca="1">IFERROR(__xludf.DUMMYFUNCTION("IFERROR(ARRAYFORMULA(REGEXEXTRACT(C1824,""^(?:https?:\/\/)?(?:[^@\n]+@)?(?:www\.)?([^:\/\n]+)"")),"""")"),"apps.apple.com")</f>
        <v>apps.apple.com</v>
      </c>
      <c r="E1824" s="26" t="str">
        <f ca="1">IFERROR(__xludf.DUMMYFUNCTION("""COMPUTED_VALUE"""),"New")</f>
        <v>New</v>
      </c>
      <c r="F1824" s="72">
        <v>97</v>
      </c>
      <c r="G1824" s="74">
        <v>422000000</v>
      </c>
      <c r="P1824" s="26"/>
    </row>
    <row r="1825" spans="1:16" ht="14.5">
      <c r="A1825" s="3" t="s">
        <v>38</v>
      </c>
      <c r="B1825" s="27" t="s">
        <v>2824</v>
      </c>
      <c r="C1825" s="46" t="s">
        <v>5431</v>
      </c>
      <c r="D1825" s="41" t="str">
        <f ca="1">IFERROR(__xludf.DUMMYFUNCTION("IFERROR(ARRAYFORMULA(REGEXEXTRACT(C1825,""^(?:https?:\/\/)?(?:[^@\n]+@)?(?:www\.)?([^:\/\n]+)"")),"""")"),"venngage.com")</f>
        <v>venngage.com</v>
      </c>
      <c r="E1825" s="26" t="str">
        <f ca="1">IFERROR(__xludf.DUMMYFUNCTION("""COMPUTED_VALUE"""),"New")</f>
        <v>New</v>
      </c>
      <c r="F1825" s="72">
        <v>85</v>
      </c>
      <c r="G1825" s="72">
        <v>1053243</v>
      </c>
      <c r="P1825" s="26"/>
    </row>
    <row r="1826" spans="1:16" ht="14.5">
      <c r="A1826" s="3" t="s">
        <v>38</v>
      </c>
      <c r="B1826" s="27" t="s">
        <v>2824</v>
      </c>
      <c r="C1826" s="46" t="s">
        <v>5432</v>
      </c>
      <c r="D1826" s="41" t="str">
        <f ca="1">IFERROR(__xludf.DUMMYFUNCTION("IFERROR(ARRAYFORMULA(REGEXEXTRACT(C1826,""^(?:https?:\/\/)?(?:[^@\n]+@)?(?:www\.)?([^:\/\n]+)"")),"""")"),"bigcommerce.co.uk")</f>
        <v>bigcommerce.co.uk</v>
      </c>
      <c r="E1826" s="26" t="str">
        <f ca="1">IFERROR(__xludf.DUMMYFUNCTION("""COMPUTED_VALUE"""),"New")</f>
        <v>New</v>
      </c>
      <c r="F1826" s="72">
        <v>76</v>
      </c>
      <c r="G1826" s="72">
        <v>31001</v>
      </c>
      <c r="P1826" s="26"/>
    </row>
    <row r="1827" spans="1:16" ht="14.5">
      <c r="A1827" s="3" t="s">
        <v>38</v>
      </c>
      <c r="B1827" s="27" t="s">
        <v>2824</v>
      </c>
      <c r="C1827" s="46" t="s">
        <v>5433</v>
      </c>
      <c r="D1827" s="41" t="str">
        <f ca="1">IFERROR(__xludf.DUMMYFUNCTION("IFERROR(ARRAYFORMULA(REGEXEXTRACT(C1827,""^(?:https?:\/\/)?(?:[^@\n]+@)?(?:www\.)?([^:\/\n]+)"")),"""")"),"lendedu.com")</f>
        <v>lendedu.com</v>
      </c>
      <c r="E1827" s="26" t="str">
        <f ca="1">IFERROR(__xludf.DUMMYFUNCTION("""COMPUTED_VALUE"""),"New")</f>
        <v>New</v>
      </c>
      <c r="F1827" s="72">
        <v>74</v>
      </c>
      <c r="G1827" s="72">
        <v>73982</v>
      </c>
      <c r="P1827" s="26"/>
    </row>
    <row r="1828" spans="1:16" ht="14.5">
      <c r="A1828" s="3" t="s">
        <v>38</v>
      </c>
      <c r="B1828" s="27" t="s">
        <v>2824</v>
      </c>
      <c r="C1828" s="46" t="s">
        <v>5434</v>
      </c>
      <c r="D1828" s="41" t="str">
        <f ca="1">IFERROR(__xludf.DUMMYFUNCTION("IFERROR(ARRAYFORMULA(REGEXEXTRACT(C1828,""^(?:https?:\/\/)?(?:[^@\n]+@)?(?:www\.)?([^:\/\n]+)"")),"""")"),"goforma.com")</f>
        <v>goforma.com</v>
      </c>
      <c r="E1828" s="26" t="str">
        <f ca="1">IFERROR(__xludf.DUMMYFUNCTION("""COMPUTED_VALUE"""),"New")</f>
        <v>New</v>
      </c>
      <c r="F1828" s="72">
        <v>37</v>
      </c>
      <c r="G1828" s="72">
        <v>13045</v>
      </c>
      <c r="P1828" s="26"/>
    </row>
    <row r="1829" spans="1:16" ht="14.5">
      <c r="A1829" s="3" t="s">
        <v>38</v>
      </c>
      <c r="B1829" s="27" t="s">
        <v>2824</v>
      </c>
      <c r="C1829" s="49" t="s">
        <v>5435</v>
      </c>
      <c r="D1829" s="41" t="str">
        <f ca="1">IFERROR(__xludf.DUMMYFUNCTION("IFERROR(ARRAYFORMULA(REGEXEXTRACT(C1829,""^(?:https?:\/\/)?(?:[^@\n]+@)?(?:www\.)?([^:\/\n]+)"")),"""")"),"money.com")</f>
        <v>money.com</v>
      </c>
      <c r="E1829" s="26" t="str">
        <f ca="1">IFERROR(__xludf.DUMMYFUNCTION("""COMPUTED_VALUE"""),"New")</f>
        <v>New</v>
      </c>
      <c r="F1829" s="72">
        <v>84</v>
      </c>
      <c r="G1829" s="72">
        <v>330813</v>
      </c>
      <c r="H1829" s="27" t="s">
        <v>5436</v>
      </c>
      <c r="I1829" s="27" t="s">
        <v>5437</v>
      </c>
      <c r="J1829" s="27" t="s">
        <v>5438</v>
      </c>
      <c r="K1829" s="27" t="s">
        <v>3772</v>
      </c>
      <c r="L1829" s="112"/>
      <c r="M1829" s="27" t="s">
        <v>3117</v>
      </c>
      <c r="N1829" s="48">
        <v>46048</v>
      </c>
      <c r="O1829" s="70">
        <v>46089</v>
      </c>
      <c r="P1829" s="26"/>
    </row>
    <row r="1830" spans="1:16" ht="14.5">
      <c r="A1830" s="3" t="s">
        <v>38</v>
      </c>
      <c r="B1830" s="27" t="s">
        <v>2824</v>
      </c>
      <c r="C1830" s="46" t="s">
        <v>5439</v>
      </c>
      <c r="D1830" s="41" t="str">
        <f ca="1">IFERROR(__xludf.DUMMYFUNCTION("IFERROR(ARRAYFORMULA(REGEXEXTRACT(C1830,""^(?:https?:\/\/)?(?:[^@\n]+@)?(?:www\.)?([^:\/\n]+)"")),"""")"),"bigcommerce.com.au")</f>
        <v>bigcommerce.com.au</v>
      </c>
      <c r="E1830" s="26" t="str">
        <f ca="1">IFERROR(__xludf.DUMMYFUNCTION("""COMPUTED_VALUE"""),"New")</f>
        <v>New</v>
      </c>
      <c r="F1830" s="72">
        <v>71</v>
      </c>
      <c r="G1830" s="72">
        <v>12580</v>
      </c>
      <c r="P1830" s="26"/>
    </row>
    <row r="1831" spans="1:16" ht="14.5">
      <c r="A1831" s="3" t="s">
        <v>38</v>
      </c>
      <c r="B1831" s="27" t="s">
        <v>2824</v>
      </c>
      <c r="C1831" s="46" t="s">
        <v>5440</v>
      </c>
      <c r="D1831" s="41" t="str">
        <f ca="1">IFERROR(__xludf.DUMMYFUNCTION("IFERROR(ARRAYFORMULA(REGEXEXTRACT(C1831,""^(?:https?:\/\/)?(?:[^@\n]+@)?(?:www\.)?([^:\/\n]+)"")),"""")"),"touchstay.com")</f>
        <v>touchstay.com</v>
      </c>
      <c r="E1831" s="26" t="str">
        <f ca="1">IFERROR(__xludf.DUMMYFUNCTION("""COMPUTED_VALUE"""),"New")</f>
        <v>New</v>
      </c>
      <c r="F1831" s="72">
        <v>73</v>
      </c>
      <c r="G1831" s="72">
        <v>40435</v>
      </c>
      <c r="P1831" s="26"/>
    </row>
    <row r="1832" spans="1:16" ht="14.5">
      <c r="A1832" s="3" t="s">
        <v>38</v>
      </c>
      <c r="B1832" s="27" t="s">
        <v>2824</v>
      </c>
      <c r="C1832" s="46" t="s">
        <v>5441</v>
      </c>
      <c r="D1832" s="41" t="str">
        <f ca="1">IFERROR(__xludf.DUMMYFUNCTION("IFERROR(ARRAYFORMULA(REGEXEXTRACT(C1832,""^(?:https?:\/\/)?(?:[^@\n]+@)?(?:www\.)?([^:\/\n]+)"")),"""")"),"wotnot.io")</f>
        <v>wotnot.io</v>
      </c>
      <c r="E1832" s="26" t="str">
        <f ca="1">IFERROR(__xludf.DUMMYFUNCTION("""COMPUTED_VALUE"""),"New")</f>
        <v>New</v>
      </c>
      <c r="F1832" s="72">
        <v>56</v>
      </c>
      <c r="G1832" s="72">
        <v>74348</v>
      </c>
      <c r="P1832" s="26"/>
    </row>
    <row r="1833" spans="1:16" ht="14.5">
      <c r="A1833" s="3" t="s">
        <v>38</v>
      </c>
      <c r="B1833" s="27" t="s">
        <v>2824</v>
      </c>
      <c r="C1833" s="46" t="s">
        <v>5442</v>
      </c>
      <c r="D1833" s="41" t="str">
        <f ca="1">IFERROR(__xludf.DUMMYFUNCTION("IFERROR(ARRAYFORMULA(REGEXEXTRACT(C1833,""^(?:https?:\/\/)?(?:[^@\n]+@)?(?:www\.)?([^:\/\n]+)"")),"""")"),"identityguard.com")</f>
        <v>identityguard.com</v>
      </c>
      <c r="E1833" s="26" t="str">
        <f ca="1">IFERROR(__xludf.DUMMYFUNCTION("""COMPUTED_VALUE"""),"New")</f>
        <v>New</v>
      </c>
      <c r="F1833" s="72">
        <v>71</v>
      </c>
      <c r="G1833" s="72">
        <v>41625</v>
      </c>
      <c r="P1833" s="26"/>
    </row>
    <row r="1834" spans="1:16" ht="14.5">
      <c r="A1834" s="3" t="s">
        <v>38</v>
      </c>
      <c r="B1834" s="27" t="s">
        <v>2824</v>
      </c>
      <c r="C1834" s="46" t="s">
        <v>5443</v>
      </c>
      <c r="D1834" s="41" t="str">
        <f ca="1">IFERROR(__xludf.DUMMYFUNCTION("IFERROR(ARRAYFORMULA(REGEXEXTRACT(C1834,""^(?:https?:\/\/)?(?:[^@\n]+@)?(?:www\.)?([^:\/\n]+)"")),"""")"),"b2w.tv")</f>
        <v>b2w.tv</v>
      </c>
      <c r="E1834" s="26" t="str">
        <f ca="1">IFERROR(__xludf.DUMMYFUNCTION("""COMPUTED_VALUE"""),"New")</f>
        <v>New</v>
      </c>
      <c r="F1834" s="72">
        <v>64</v>
      </c>
      <c r="G1834" s="72">
        <v>17249</v>
      </c>
      <c r="P1834" s="26"/>
    </row>
    <row r="1835" spans="1:16" ht="14.5">
      <c r="A1835" s="3" t="s">
        <v>38</v>
      </c>
      <c r="B1835" s="27" t="s">
        <v>2824</v>
      </c>
      <c r="C1835" s="46" t="s">
        <v>5444</v>
      </c>
      <c r="D1835" s="41" t="str">
        <f ca="1">IFERROR(__xludf.DUMMYFUNCTION("IFERROR(ARRAYFORMULA(REGEXEXTRACT(C1835,""^(?:https?:\/\/)?(?:[^@\n]+@)?(?:www\.)?([^:\/\n]+)"")),"""")"),"pressofatlanticcity.com")</f>
        <v>pressofatlanticcity.com</v>
      </c>
      <c r="E1835" s="26" t="str">
        <f ca="1">IFERROR(__xludf.DUMMYFUNCTION("""COMPUTED_VALUE"""),"New")</f>
        <v>New</v>
      </c>
      <c r="F1835" s="72">
        <v>76</v>
      </c>
      <c r="G1835" s="72">
        <v>20651</v>
      </c>
      <c r="P1835" s="26"/>
    </row>
    <row r="1836" spans="1:16" ht="14.5">
      <c r="A1836" s="3" t="s">
        <v>38</v>
      </c>
      <c r="B1836" s="27" t="s">
        <v>2824</v>
      </c>
      <c r="C1836" s="46" t="s">
        <v>5445</v>
      </c>
      <c r="D1836" s="41" t="str">
        <f ca="1">IFERROR(__xludf.DUMMYFUNCTION("IFERROR(ARRAYFORMULA(REGEXEXTRACT(C1836,""^(?:https?:\/\/)?(?:[^@\n]+@)?(?:www\.)?([^:\/\n]+)"")),"""")"),"leadsbridge.com")</f>
        <v>leadsbridge.com</v>
      </c>
      <c r="E1836" s="26" t="str">
        <f ca="1">IFERROR(__xludf.DUMMYFUNCTION("""COMPUTED_VALUE"""),"New")</f>
        <v>New</v>
      </c>
      <c r="F1836" s="72">
        <v>77</v>
      </c>
      <c r="G1836" s="72">
        <v>39981</v>
      </c>
      <c r="P1836" s="26"/>
    </row>
    <row r="1837" spans="1:16" ht="14.5">
      <c r="A1837" s="3" t="s">
        <v>38</v>
      </c>
      <c r="B1837" s="27" t="s">
        <v>2824</v>
      </c>
      <c r="C1837" s="46" t="s">
        <v>5446</v>
      </c>
      <c r="D1837" s="41" t="str">
        <f ca="1">IFERROR(__xludf.DUMMYFUNCTION("IFERROR(ARRAYFORMULA(REGEXEXTRACT(C1837,""^(?:https?:\/\/)?(?:[^@\n]+@)?(?:www\.)?([^:\/\n]+)"")),"""")"),"bills.com")</f>
        <v>bills.com</v>
      </c>
      <c r="E1837" s="26" t="str">
        <f ca="1">IFERROR(__xludf.DUMMYFUNCTION("""COMPUTED_VALUE"""),"New")</f>
        <v>New</v>
      </c>
      <c r="F1837" s="72">
        <v>55</v>
      </c>
      <c r="G1837" s="72">
        <v>4505</v>
      </c>
      <c r="P1837" s="26"/>
    </row>
    <row r="1838" spans="1:16" ht="14.5">
      <c r="A1838" s="3" t="s">
        <v>38</v>
      </c>
      <c r="B1838" s="27" t="s">
        <v>2824</v>
      </c>
      <c r="C1838" s="46" t="s">
        <v>5447</v>
      </c>
      <c r="D1838" s="41" t="str">
        <f ca="1">IFERROR(__xludf.DUMMYFUNCTION("IFERROR(ARRAYFORMULA(REGEXEXTRACT(C1838,""^(?:https?:\/\/)?(?:[^@\n]+@)?(?:www\.)?([^:\/\n]+)"")),"""")"),"billdu.com")</f>
        <v>billdu.com</v>
      </c>
      <c r="E1838" s="26" t="str">
        <f ca="1">IFERROR(__xludf.DUMMYFUNCTION("""COMPUTED_VALUE"""),"New")</f>
        <v>New</v>
      </c>
      <c r="F1838" s="72">
        <v>72</v>
      </c>
      <c r="G1838" s="72">
        <v>45098</v>
      </c>
      <c r="P1838" s="26"/>
    </row>
    <row r="1839" spans="1:16" ht="14.5">
      <c r="A1839" s="3" t="s">
        <v>38</v>
      </c>
      <c r="B1839" s="27" t="s">
        <v>2824</v>
      </c>
      <c r="C1839" s="46" t="s">
        <v>5448</v>
      </c>
      <c r="D1839" s="41" t="str">
        <f ca="1">IFERROR(__xludf.DUMMYFUNCTION("IFERROR(ARRAYFORMULA(REGEXEXTRACT(C1839,""^(?:https?:\/\/)?(?:[^@\n]+@)?(?:www\.)?([^:\/\n]+)"")),"""")"),"flow.ninja")</f>
        <v>flow.ninja</v>
      </c>
      <c r="E1839" s="26" t="str">
        <f ca="1">IFERROR(__xludf.DUMMYFUNCTION("""COMPUTED_VALUE"""),"New")</f>
        <v>New</v>
      </c>
      <c r="F1839" s="72">
        <v>71</v>
      </c>
      <c r="G1839" s="72">
        <v>8845</v>
      </c>
      <c r="P1839" s="26"/>
    </row>
    <row r="1840" spans="1:16" ht="14.5">
      <c r="A1840" s="3" t="s">
        <v>38</v>
      </c>
      <c r="B1840" s="27" t="s">
        <v>2824</v>
      </c>
      <c r="C1840" s="46" t="s">
        <v>5449</v>
      </c>
      <c r="D1840" s="41" t="str">
        <f ca="1">IFERROR(__xludf.DUMMYFUNCTION("IFERROR(ARRAYFORMULA(REGEXEXTRACT(C1840,""^(?:https?:\/\/)?(?:[^@\n]+@)?(?:www\.)?([^:\/\n]+)"")),"""")"),"cherryservers.com")</f>
        <v>cherryservers.com</v>
      </c>
      <c r="E1840" s="26" t="str">
        <f ca="1">IFERROR(__xludf.DUMMYFUNCTION("""COMPUTED_VALUE"""),"New")</f>
        <v>New</v>
      </c>
      <c r="F1840" s="72">
        <v>70</v>
      </c>
      <c r="G1840" s="72">
        <v>71530</v>
      </c>
      <c r="P1840" s="26"/>
    </row>
    <row r="1841" spans="1:16" ht="14.5">
      <c r="A1841" s="3" t="s">
        <v>38</v>
      </c>
      <c r="B1841" s="27" t="s">
        <v>2824</v>
      </c>
      <c r="C1841" s="46" t="s">
        <v>5450</v>
      </c>
      <c r="D1841" s="41" t="str">
        <f ca="1">IFERROR(__xludf.DUMMYFUNCTION("IFERROR(ARRAYFORMULA(REGEXEXTRACT(C1841,""^(?:https?:\/\/)?(?:[^@\n]+@)?(?:www\.)?([^:\/\n]+)"")),"""")"),"cognism.com")</f>
        <v>cognism.com</v>
      </c>
      <c r="E1841" s="26" t="str">
        <f ca="1">IFERROR(__xludf.DUMMYFUNCTION("""COMPUTED_VALUE"""),"New")</f>
        <v>New</v>
      </c>
      <c r="F1841" s="72">
        <v>78</v>
      </c>
      <c r="G1841" s="72">
        <v>178419</v>
      </c>
      <c r="P1841" s="26"/>
    </row>
    <row r="1842" spans="1:16" ht="14.5">
      <c r="A1842" s="3" t="s">
        <v>38</v>
      </c>
      <c r="B1842" s="27" t="s">
        <v>2824</v>
      </c>
      <c r="C1842" s="46" t="s">
        <v>5451</v>
      </c>
      <c r="D1842" s="41" t="str">
        <f ca="1">IFERROR(__xludf.DUMMYFUNCTION("IFERROR(ARRAYFORMULA(REGEXEXTRACT(C1842,""^(?:https?:\/\/)?(?:[^@\n]+@)?(?:www\.)?([^:\/\n]+)"")),"""")"),"hickoryrecord.com")</f>
        <v>hickoryrecord.com</v>
      </c>
      <c r="E1842" s="26" t="str">
        <f ca="1">IFERROR(__xludf.DUMMYFUNCTION("""COMPUTED_VALUE"""),"New")</f>
        <v>New</v>
      </c>
      <c r="F1842" s="72">
        <v>61</v>
      </c>
      <c r="G1842" s="72">
        <v>8926</v>
      </c>
      <c r="P1842" s="26"/>
    </row>
    <row r="1843" spans="1:16" ht="14.5">
      <c r="A1843" s="3" t="s">
        <v>38</v>
      </c>
      <c r="B1843" s="27" t="s">
        <v>2824</v>
      </c>
      <c r="C1843" s="46" t="s">
        <v>5452</v>
      </c>
      <c r="D1843" s="41" t="str">
        <f ca="1">IFERROR(__xludf.DUMMYFUNCTION("IFERROR(ARRAYFORMULA(REGEXEXTRACT(C1843,""^(?:https?:\/\/)?(?:[^@\n]+@)?(?:www\.)?([^:\/\n]+)"")),"""")"),"forgeandsmith.com")</f>
        <v>forgeandsmith.com</v>
      </c>
      <c r="E1843" s="26" t="str">
        <f ca="1">IFERROR(__xludf.DUMMYFUNCTION("""COMPUTED_VALUE"""),"New")</f>
        <v>New</v>
      </c>
      <c r="F1843" s="72">
        <v>70</v>
      </c>
      <c r="G1843" s="72">
        <v>8894</v>
      </c>
      <c r="P1843" s="26"/>
    </row>
    <row r="1844" spans="1:16" ht="14.5">
      <c r="A1844" s="3" t="s">
        <v>38</v>
      </c>
      <c r="B1844" s="27" t="s">
        <v>2824</v>
      </c>
      <c r="C1844" s="46" t="s">
        <v>5453</v>
      </c>
      <c r="D1844" s="41" t="str">
        <f ca="1">IFERROR(__xludf.DUMMYFUNCTION("IFERROR(ARRAYFORMULA(REGEXEXTRACT(C1844,""^(?:https?:\/\/)?(?:[^@\n]+@)?(?:www\.)?([^:\/\n]+)"")),"""")"),"achieve.com")</f>
        <v>achieve.com</v>
      </c>
      <c r="E1844" s="26" t="str">
        <f ca="1">IFERROR(__xludf.DUMMYFUNCTION("""COMPUTED_VALUE"""),"New")</f>
        <v>New</v>
      </c>
      <c r="F1844" s="72">
        <v>63</v>
      </c>
      <c r="G1844" s="72">
        <v>64289</v>
      </c>
      <c r="P1844" s="26"/>
    </row>
    <row r="1845" spans="1:16" ht="14.5">
      <c r="A1845" s="3" t="s">
        <v>38</v>
      </c>
      <c r="B1845" s="27" t="s">
        <v>2824</v>
      </c>
      <c r="C1845" s="46" t="s">
        <v>5454</v>
      </c>
      <c r="D1845" s="41" t="str">
        <f ca="1">IFERROR(__xludf.DUMMYFUNCTION("IFERROR(ARRAYFORMULA(REGEXEXTRACT(C1845,""^(?:https?:\/\/)?(?:[^@\n]+@)?(?:www\.)?([^:\/\n]+)"")),"""")"),"mtstandard.com")</f>
        <v>mtstandard.com</v>
      </c>
      <c r="E1845" s="26" t="str">
        <f ca="1">IFERROR(__xludf.DUMMYFUNCTION("""COMPUTED_VALUE"""),"New")</f>
        <v>New</v>
      </c>
      <c r="F1845" s="72">
        <v>69</v>
      </c>
      <c r="G1845" s="72">
        <v>8949</v>
      </c>
      <c r="P1845" s="26"/>
    </row>
    <row r="1846" spans="1:16" ht="14.5">
      <c r="A1846" s="3" t="s">
        <v>38</v>
      </c>
      <c r="B1846" s="27" t="s">
        <v>2824</v>
      </c>
      <c r="C1846" s="46" t="s">
        <v>5455</v>
      </c>
      <c r="D1846" s="41" t="str">
        <f ca="1">IFERROR(__xludf.DUMMYFUNCTION("IFERROR(ARRAYFORMULA(REGEXEXTRACT(C1846,""^(?:https?:\/\/)?(?:[^@\n]+@)?(?:www\.)?([^:\/\n]+)"")),"""")"),"ecombalance.com")</f>
        <v>ecombalance.com</v>
      </c>
      <c r="E1846" s="26" t="str">
        <f ca="1">IFERROR(__xludf.DUMMYFUNCTION("""COMPUTED_VALUE"""),"New")</f>
        <v>New</v>
      </c>
      <c r="F1846" s="72">
        <v>52</v>
      </c>
      <c r="G1846" s="72">
        <v>9111</v>
      </c>
      <c r="P1846" s="26"/>
    </row>
    <row r="1847" spans="1:16" ht="14.5">
      <c r="A1847" s="3" t="s">
        <v>38</v>
      </c>
      <c r="B1847" s="27" t="s">
        <v>2824</v>
      </c>
      <c r="C1847" s="46" t="s">
        <v>5456</v>
      </c>
      <c r="D1847" s="41" t="str">
        <f ca="1">IFERROR(__xludf.DUMMYFUNCTION("IFERROR(ARRAYFORMULA(REGEXEXTRACT(C1847,""^(?:https?:\/\/)?(?:[^@\n]+@)?(?:www\.)?([^:\/\n]+)"")),"""")"),"suremembers.com")</f>
        <v>suremembers.com</v>
      </c>
      <c r="E1847" s="26" t="str">
        <f ca="1">IFERROR(__xludf.DUMMYFUNCTION("""COMPUTED_VALUE"""),"New")</f>
        <v>New</v>
      </c>
      <c r="F1847" s="72">
        <v>71</v>
      </c>
      <c r="G1847" s="72">
        <v>1567</v>
      </c>
      <c r="P1847" s="26"/>
    </row>
    <row r="1848" spans="1:16" ht="14.5">
      <c r="A1848" s="3" t="s">
        <v>38</v>
      </c>
      <c r="B1848" s="27" t="s">
        <v>2824</v>
      </c>
      <c r="C1848" s="46" t="s">
        <v>5457</v>
      </c>
      <c r="D1848" s="41" t="str">
        <f ca="1">IFERROR(__xludf.DUMMYFUNCTION("IFERROR(ARRAYFORMULA(REGEXEXTRACT(C1848,""^(?:https?:\/\/)?(?:[^@\n]+@)?(?:www\.)?([^:\/\n]+)"")),"""")"),"tapfiliate.com")</f>
        <v>tapfiliate.com</v>
      </c>
      <c r="E1848" s="26" t="str">
        <f ca="1">IFERROR(__xludf.DUMMYFUNCTION("""COMPUTED_VALUE"""),"New")</f>
        <v>New</v>
      </c>
      <c r="F1848" s="72">
        <v>81</v>
      </c>
      <c r="G1848" s="72">
        <v>14749</v>
      </c>
      <c r="P1848" s="26"/>
    </row>
    <row r="1849" spans="1:16" ht="14.5">
      <c r="A1849" s="3" t="s">
        <v>38</v>
      </c>
      <c r="B1849" s="27" t="s">
        <v>2824</v>
      </c>
      <c r="C1849" s="46" t="s">
        <v>5458</v>
      </c>
      <c r="D1849" s="41" t="str">
        <f ca="1">IFERROR(__xludf.DUMMYFUNCTION("IFERROR(ARRAYFORMULA(REGEXEXTRACT(C1849,""^(?:https?:\/\/)?(?:[^@\n]+@)?(?:www\.)?([^:\/\n]+)"")),"""")"),"socialpilot.co")</f>
        <v>socialpilot.co</v>
      </c>
      <c r="E1849" s="26" t="str">
        <f ca="1">IFERROR(__xludf.DUMMYFUNCTION("""COMPUTED_VALUE"""),"New")</f>
        <v>New</v>
      </c>
      <c r="F1849" s="72">
        <v>83</v>
      </c>
      <c r="G1849" s="72">
        <v>189329</v>
      </c>
      <c r="P1849" s="26"/>
    </row>
    <row r="1850" spans="1:16" ht="14.5">
      <c r="A1850" s="3" t="s">
        <v>38</v>
      </c>
      <c r="B1850" s="27" t="s">
        <v>2824</v>
      </c>
      <c r="C1850" s="46" t="s">
        <v>5459</v>
      </c>
      <c r="D1850" s="41" t="str">
        <f ca="1">IFERROR(__xludf.DUMMYFUNCTION("IFERROR(ARRAYFORMULA(REGEXEXTRACT(C1850,""^(?:https?:\/\/)?(?:[^@\n]+@)?(?:www\.)?([^:\/\n]+)"")),"""")"),"userp.io")</f>
        <v>userp.io</v>
      </c>
      <c r="E1850" s="26" t="str">
        <f ca="1">IFERROR(__xludf.DUMMYFUNCTION("""COMPUTED_VALUE"""),"New")</f>
        <v>New</v>
      </c>
      <c r="F1850" s="72">
        <v>75</v>
      </c>
      <c r="G1850" s="72">
        <v>9451</v>
      </c>
      <c r="P1850" s="26"/>
    </row>
    <row r="1851" spans="1:16" ht="14.5">
      <c r="A1851" s="3" t="s">
        <v>38</v>
      </c>
      <c r="B1851" s="27" t="s">
        <v>2824</v>
      </c>
      <c r="C1851" s="46" t="s">
        <v>5460</v>
      </c>
      <c r="D1851" s="41" t="str">
        <f ca="1">IFERROR(__xludf.DUMMYFUNCTION("IFERROR(ARRAYFORMULA(REGEXEXTRACT(C1851,""^(?:https?:\/\/)?(?:[^@\n]+@)?(?:www\.)?([^:\/\n]+)"")),"""")"),"creditkarma.com")</f>
        <v>creditkarma.com</v>
      </c>
      <c r="E1851" s="26" t="str">
        <f ca="1">IFERROR(__xludf.DUMMYFUNCTION("""COMPUTED_VALUE"""),"New")</f>
        <v>New</v>
      </c>
      <c r="F1851" s="72">
        <v>84</v>
      </c>
      <c r="G1851" s="72">
        <v>5398694</v>
      </c>
      <c r="P1851" s="26"/>
    </row>
    <row r="1852" spans="1:16" ht="14.5">
      <c r="A1852" s="3" t="s">
        <v>38</v>
      </c>
      <c r="B1852" s="27" t="s">
        <v>2824</v>
      </c>
      <c r="C1852" s="46" t="s">
        <v>5461</v>
      </c>
      <c r="D1852" s="41" t="str">
        <f ca="1">IFERROR(__xludf.DUMMYFUNCTION("IFERROR(ARRAYFORMULA(REGEXEXTRACT(C1852,""^(?:https?:\/\/)?(?:[^@\n]+@)?(?:www\.)?([^:\/\n]+)"")),"""")"),"independenttribune.com")</f>
        <v>independenttribune.com</v>
      </c>
      <c r="E1852" s="26" t="str">
        <f ca="1">IFERROR(__xludf.DUMMYFUNCTION("""COMPUTED_VALUE"""),"New")</f>
        <v>New</v>
      </c>
      <c r="F1852" s="72">
        <v>59</v>
      </c>
      <c r="G1852" s="72">
        <v>3819</v>
      </c>
      <c r="P1852" s="26"/>
    </row>
    <row r="1853" spans="1:16" ht="14.5">
      <c r="A1853" s="3" t="s">
        <v>38</v>
      </c>
      <c r="B1853" s="27" t="s">
        <v>2824</v>
      </c>
      <c r="C1853" s="46" t="s">
        <v>5462</v>
      </c>
      <c r="D1853" s="41" t="str">
        <f ca="1">IFERROR(__xludf.DUMMYFUNCTION("IFERROR(ARRAYFORMULA(REGEXEXTRACT(C1853,""^(?:https?:\/\/)?(?:[^@\n]+@)?(?:www\.)?([^:\/\n]+)"")),"""")"),"tryascend.com")</f>
        <v>tryascend.com</v>
      </c>
      <c r="E1853" s="26" t="str">
        <f ca="1">IFERROR(__xludf.DUMMYFUNCTION("""COMPUTED_VALUE"""),"New")</f>
        <v>New</v>
      </c>
      <c r="F1853" s="72">
        <v>48</v>
      </c>
      <c r="G1853" s="72">
        <v>17992</v>
      </c>
      <c r="P1853" s="26"/>
    </row>
    <row r="1854" spans="1:16" ht="14.5">
      <c r="A1854" s="3" t="s">
        <v>38</v>
      </c>
      <c r="B1854" s="27" t="s">
        <v>2824</v>
      </c>
      <c r="C1854" s="46" t="s">
        <v>5463</v>
      </c>
      <c r="D1854" s="41" t="str">
        <f ca="1">IFERROR(__xludf.DUMMYFUNCTION("IFERROR(ARRAYFORMULA(REGEXEXTRACT(C1854,""^(?:https?:\/\/)?(?:[^@\n]+@)?(?:www\.)?([^:\/\n]+)"")),"""")"),"scnow.com")</f>
        <v>scnow.com</v>
      </c>
      <c r="E1854" s="26" t="str">
        <f ca="1">IFERROR(__xludf.DUMMYFUNCTION("""COMPUTED_VALUE"""),"New")</f>
        <v>New</v>
      </c>
      <c r="F1854" s="72">
        <v>69</v>
      </c>
      <c r="G1854" s="72">
        <v>5839</v>
      </c>
      <c r="P1854" s="26"/>
    </row>
    <row r="1855" spans="1:16" ht="14.5">
      <c r="A1855" s="3" t="s">
        <v>38</v>
      </c>
      <c r="B1855" s="27" t="s">
        <v>2824</v>
      </c>
      <c r="C1855" s="46" t="s">
        <v>5464</v>
      </c>
      <c r="D1855" s="41" t="str">
        <f ca="1">IFERROR(__xludf.DUMMYFUNCTION("IFERROR(ARRAYFORMULA(REGEXEXTRACT(C1855,""^(?:https?:\/\/)?(?:[^@\n]+@)?(?:www\.)?([^:\/\n]+)"")),"""")"),"eller.arizona.edu")</f>
        <v>eller.arizona.edu</v>
      </c>
      <c r="E1855" s="26" t="str">
        <f ca="1">IFERROR(__xludf.DUMMYFUNCTION("""COMPUTED_VALUE"""),"New")</f>
        <v>New</v>
      </c>
      <c r="F1855" s="72">
        <v>89</v>
      </c>
      <c r="G1855" s="72">
        <v>1977220</v>
      </c>
      <c r="P1855" s="26"/>
    </row>
    <row r="1856" spans="1:16" ht="14.5" hidden="1">
      <c r="A1856" s="3" t="s">
        <v>38</v>
      </c>
      <c r="B1856" s="27" t="s">
        <v>2824</v>
      </c>
      <c r="C1856" s="46" t="s">
        <v>5465</v>
      </c>
      <c r="D1856" s="41" t="str">
        <f ca="1">IFERROR(__xludf.DUMMYFUNCTION("IFERROR(ARRAYFORMULA(REGEXEXTRACT(C1856,""^(?:https?:\/\/)?(?:[^@\n]+@)?(?:www\.)?([^:\/\n]+)"")),"""")"),"storagecafe.com")</f>
        <v>storagecafe.com</v>
      </c>
      <c r="E1856" s="26" t="str">
        <f ca="1">IFERROR(__xludf.DUMMYFUNCTION("""COMPUTED_VALUE"""),"Already Exists")</f>
        <v>Already Exists</v>
      </c>
      <c r="F1856" s="72">
        <v>67</v>
      </c>
      <c r="G1856" s="72">
        <v>59739</v>
      </c>
      <c r="P1856" s="26"/>
    </row>
    <row r="1857" spans="1:16" ht="14.5">
      <c r="A1857" s="3" t="s">
        <v>38</v>
      </c>
      <c r="B1857" s="27" t="s">
        <v>2824</v>
      </c>
      <c r="C1857" s="46" t="s">
        <v>5466</v>
      </c>
      <c r="D1857" s="41" t="str">
        <f ca="1">IFERROR(__xludf.DUMMYFUNCTION("IFERROR(ARRAYFORMULA(REGEXEXTRACT(C1857,""^(?:https?:\/\/)?(?:[^@\n]+@)?(?:www\.)?([^:\/\n]+)"")),"""")"),"culturemonkey.io")</f>
        <v>culturemonkey.io</v>
      </c>
      <c r="E1857" s="26" t="str">
        <f ca="1">IFERROR(__xludf.DUMMYFUNCTION("""COMPUTED_VALUE"""),"New")</f>
        <v>New</v>
      </c>
      <c r="F1857" s="72">
        <v>73</v>
      </c>
      <c r="G1857" s="72">
        <v>142775</v>
      </c>
      <c r="P1857" s="26"/>
    </row>
    <row r="1858" spans="1:16" ht="14.5">
      <c r="A1858" s="3" t="s">
        <v>38</v>
      </c>
      <c r="B1858" s="27" t="s">
        <v>2824</v>
      </c>
      <c r="C1858" s="46" t="s">
        <v>5467</v>
      </c>
      <c r="D1858" s="41" t="str">
        <f ca="1">IFERROR(__xludf.DUMMYFUNCTION("IFERROR(ARRAYFORMULA(REGEXEXTRACT(C1858,""^(?:https?:\/\/)?(?:[^@\n]+@)?(?:www\.)?([^:\/\n]+)"")),"""")"),"empmonitor.com")</f>
        <v>empmonitor.com</v>
      </c>
      <c r="E1858" s="26" t="str">
        <f ca="1">IFERROR(__xludf.DUMMYFUNCTION("""COMPUTED_VALUE"""),"New")</f>
        <v>New</v>
      </c>
      <c r="F1858" s="72">
        <v>54</v>
      </c>
      <c r="G1858" s="72">
        <v>15061</v>
      </c>
      <c r="P1858" s="26"/>
    </row>
    <row r="1859" spans="1:16" ht="14.5">
      <c r="A1859" s="3" t="s">
        <v>38</v>
      </c>
      <c r="B1859" s="27" t="s">
        <v>2824</v>
      </c>
      <c r="C1859" s="46" t="s">
        <v>5468</v>
      </c>
      <c r="D1859" s="41" t="str">
        <f ca="1">IFERROR(__xludf.DUMMYFUNCTION("IFERROR(ARRAYFORMULA(REGEXEXTRACT(C1859,""^(?:https?:\/\/)?(?:[^@\n]+@)?(?:www\.)?([^:\/\n]+)"")),"""")"),"ironhack.com")</f>
        <v>ironhack.com</v>
      </c>
      <c r="E1859" s="26" t="str">
        <f ca="1">IFERROR(__xludf.DUMMYFUNCTION("""COMPUTED_VALUE"""),"New")</f>
        <v>New</v>
      </c>
      <c r="F1859" s="72">
        <v>71</v>
      </c>
      <c r="G1859" s="72">
        <v>41305</v>
      </c>
      <c r="P1859" s="26"/>
    </row>
    <row r="1860" spans="1:16" ht="14.5">
      <c r="A1860" s="3" t="s">
        <v>38</v>
      </c>
      <c r="B1860" s="27" t="s">
        <v>2824</v>
      </c>
      <c r="C1860" s="46" t="s">
        <v>5469</v>
      </c>
      <c r="D1860" s="41" t="str">
        <f ca="1">IFERROR(__xludf.DUMMYFUNCTION("IFERROR(ARRAYFORMULA(REGEXEXTRACT(C1860,""^(?:https?:\/\/)?(?:[^@\n]+@)?(?:www\.)?([^:\/\n]+)"")),"""")"),"cloudtalk.io")</f>
        <v>cloudtalk.io</v>
      </c>
      <c r="E1860" s="26" t="str">
        <f ca="1">IFERROR(__xludf.DUMMYFUNCTION("""COMPUTED_VALUE"""),"New")</f>
        <v>New</v>
      </c>
      <c r="F1860" s="72">
        <v>79</v>
      </c>
      <c r="G1860" s="72">
        <v>55422</v>
      </c>
      <c r="P1860" s="26"/>
    </row>
    <row r="1861" spans="1:16" ht="14.5">
      <c r="A1861" s="3" t="s">
        <v>38</v>
      </c>
      <c r="B1861" s="27" t="s">
        <v>2824</v>
      </c>
      <c r="C1861" s="49" t="s">
        <v>5470</v>
      </c>
      <c r="D1861" s="41" t="str">
        <f ca="1">IFERROR(__xludf.DUMMYFUNCTION("IFERROR(ARRAYFORMULA(REGEXEXTRACT(C1861,""^(?:https?:\/\/)?(?:[^@\n]+@)?(?:www\.)?([^:\/\n]+)"")),"""")"),"muscatinejournal.com")</f>
        <v>muscatinejournal.com</v>
      </c>
      <c r="E1861" s="26" t="str">
        <f ca="1">IFERROR(__xludf.DUMMYFUNCTION("""COMPUTED_VALUE"""),"New")</f>
        <v>New</v>
      </c>
      <c r="F1861" s="72">
        <v>53</v>
      </c>
      <c r="G1861" s="72">
        <v>1253</v>
      </c>
      <c r="J1861" s="27" t="s">
        <v>5471</v>
      </c>
      <c r="K1861" s="27" t="s">
        <v>3772</v>
      </c>
      <c r="L1861" s="112"/>
      <c r="M1861" s="27" t="s">
        <v>3117</v>
      </c>
      <c r="N1861" s="48">
        <v>46048</v>
      </c>
      <c r="O1861" s="70">
        <v>46090</v>
      </c>
      <c r="P1861" s="26"/>
    </row>
    <row r="1862" spans="1:16" ht="14.5">
      <c r="A1862" s="3" t="s">
        <v>38</v>
      </c>
      <c r="B1862" s="27" t="s">
        <v>2824</v>
      </c>
      <c r="C1862" s="46" t="s">
        <v>5472</v>
      </c>
      <c r="D1862" s="41" t="str">
        <f ca="1">IFERROR(__xludf.DUMMYFUNCTION("IFERROR(ARRAYFORMULA(REGEXEXTRACT(C1862,""^(?:https?:\/\/)?(?:[^@\n]+@)?(?:www\.)?([^:\/\n]+)"")),"""")"),"safetyculture.com")</f>
        <v>safetyculture.com</v>
      </c>
      <c r="E1862" s="26" t="str">
        <f ca="1">IFERROR(__xludf.DUMMYFUNCTION("""COMPUTED_VALUE"""),"New")</f>
        <v>New</v>
      </c>
      <c r="F1862" s="72">
        <v>81</v>
      </c>
      <c r="G1862" s="72">
        <v>617223</v>
      </c>
      <c r="P1862" s="26"/>
    </row>
    <row r="1863" spans="1:16" ht="14.5">
      <c r="A1863" s="3" t="s">
        <v>38</v>
      </c>
      <c r="B1863" s="27" t="s">
        <v>2824</v>
      </c>
      <c r="C1863" s="46" t="s">
        <v>5473</v>
      </c>
      <c r="D1863" s="41" t="str">
        <f ca="1">IFERROR(__xludf.DUMMYFUNCTION("IFERROR(ARRAYFORMULA(REGEXEXTRACT(C1863,""^(?:https?:\/\/)?(?:[^@\n]+@)?(?:www\.)?([^:\/\n]+)"")),"""")"),"cflowapps.com")</f>
        <v>cflowapps.com</v>
      </c>
      <c r="E1863" s="26" t="str">
        <f ca="1">IFERROR(__xludf.DUMMYFUNCTION("""COMPUTED_VALUE"""),"New")</f>
        <v>New</v>
      </c>
      <c r="F1863" s="72">
        <v>72</v>
      </c>
      <c r="G1863" s="72">
        <v>35077</v>
      </c>
      <c r="P1863" s="26"/>
    </row>
    <row r="1864" spans="1:16" ht="14.5">
      <c r="A1864" s="3" t="s">
        <v>38</v>
      </c>
      <c r="B1864" s="27" t="s">
        <v>2824</v>
      </c>
      <c r="C1864" s="46" t="s">
        <v>5474</v>
      </c>
      <c r="D1864" s="41" t="str">
        <f ca="1">IFERROR(__xludf.DUMMYFUNCTION("IFERROR(ARRAYFORMULA(REGEXEXTRACT(C1864,""^(?:https?:\/\/)?(?:[^@\n]+@)?(?:www\.)?([^:\/\n]+)"")),"""")"),"legislate.ai")</f>
        <v>legislate.ai</v>
      </c>
      <c r="E1864" s="26" t="str">
        <f ca="1">IFERROR(__xludf.DUMMYFUNCTION("""COMPUTED_VALUE"""),"New")</f>
        <v>New</v>
      </c>
      <c r="F1864" s="72">
        <v>44</v>
      </c>
      <c r="G1864" s="72">
        <v>2437</v>
      </c>
      <c r="P1864" s="26"/>
    </row>
    <row r="1865" spans="1:16" ht="14.5">
      <c r="A1865" s="3" t="s">
        <v>38</v>
      </c>
      <c r="B1865" s="27" t="s">
        <v>2824</v>
      </c>
      <c r="C1865" s="46" t="s">
        <v>5475</v>
      </c>
      <c r="D1865" s="41" t="str">
        <f ca="1">IFERROR(__xludf.DUMMYFUNCTION("IFERROR(ARRAYFORMULA(REGEXEXTRACT(C1865,""^(?:https?:\/\/)?(?:[^@\n]+@)?(?:www\.)?([^:\/\n]+)"")),"""")"),"quaderno.io")</f>
        <v>quaderno.io</v>
      </c>
      <c r="E1865" s="26" t="str">
        <f ca="1">IFERROR(__xludf.DUMMYFUNCTION("""COMPUTED_VALUE"""),"New")</f>
        <v>New</v>
      </c>
      <c r="F1865" s="72">
        <v>74</v>
      </c>
      <c r="G1865" s="72">
        <v>23753</v>
      </c>
      <c r="P1865" s="26"/>
    </row>
    <row r="1866" spans="1:16" ht="14.5">
      <c r="A1866" s="3" t="s">
        <v>38</v>
      </c>
      <c r="B1866" s="27" t="s">
        <v>2824</v>
      </c>
      <c r="C1866" s="46" t="s">
        <v>5476</v>
      </c>
      <c r="D1866" s="41" t="str">
        <f ca="1">IFERROR(__xludf.DUMMYFUNCTION("IFERROR(ARRAYFORMULA(REGEXEXTRACT(C1866,""^(?:https?:\/\/)?(?:[^@\n]+@)?(?:www\.)?([^:\/\n]+)"")),"""")"),"wacotrib.com")</f>
        <v>wacotrib.com</v>
      </c>
      <c r="E1866" s="26" t="str">
        <f ca="1">IFERROR(__xludf.DUMMYFUNCTION("""COMPUTED_VALUE"""),"New")</f>
        <v>New</v>
      </c>
      <c r="F1866" s="72">
        <v>72</v>
      </c>
      <c r="G1866" s="72">
        <v>8439</v>
      </c>
      <c r="P1866" s="26"/>
    </row>
    <row r="1867" spans="1:16" ht="14.5">
      <c r="A1867" s="3" t="s">
        <v>38</v>
      </c>
      <c r="B1867" s="27" t="s">
        <v>2824</v>
      </c>
      <c r="C1867" s="46" t="s">
        <v>5477</v>
      </c>
      <c r="D1867" s="41" t="str">
        <f ca="1">IFERROR(__xludf.DUMMYFUNCTION("IFERROR(ARRAYFORMULA(REGEXEXTRACT(C1867,""^(?:https?:\/\/)?(?:[^@\n]+@)?(?:www\.)?([^:\/\n]+)"")),"""")"),"chatbase.co")</f>
        <v>chatbase.co</v>
      </c>
      <c r="E1867" s="26" t="str">
        <f ca="1">IFERROR(__xludf.DUMMYFUNCTION("""COMPUTED_VALUE"""),"New")</f>
        <v>New</v>
      </c>
      <c r="F1867" s="72">
        <v>80</v>
      </c>
      <c r="G1867" s="72">
        <v>60682</v>
      </c>
      <c r="P1867" s="26"/>
    </row>
    <row r="1868" spans="1:16" ht="14.5">
      <c r="A1868" s="3" t="s">
        <v>38</v>
      </c>
      <c r="B1868" s="27" t="s">
        <v>2824</v>
      </c>
      <c r="C1868" s="46" t="s">
        <v>5478</v>
      </c>
      <c r="D1868" s="41" t="str">
        <f ca="1">IFERROR(__xludf.DUMMYFUNCTION("IFERROR(ARRAYFORMULA(REGEXEXTRACT(C1868,""^(?:https?:\/\/)?(?:[^@\n]+@)?(?:www\.)?([^:\/\n]+)"")),"""")"),"blog.nachonacho.com")</f>
        <v>blog.nachonacho.com</v>
      </c>
      <c r="E1868" s="26" t="str">
        <f ca="1">IFERROR(__xludf.DUMMYFUNCTION("""COMPUTED_VALUE"""),"New")</f>
        <v>New</v>
      </c>
      <c r="F1868" s="72">
        <v>67</v>
      </c>
      <c r="G1868" s="72">
        <v>9706</v>
      </c>
      <c r="P1868" s="26"/>
    </row>
    <row r="1869" spans="1:16" ht="14.5">
      <c r="A1869" s="3" t="s">
        <v>38</v>
      </c>
      <c r="B1869" s="27" t="s">
        <v>2824</v>
      </c>
      <c r="C1869" s="46" t="s">
        <v>5479</v>
      </c>
      <c r="D1869" s="41" t="str">
        <f ca="1">IFERROR(__xludf.DUMMYFUNCTION("IFERROR(ARRAYFORMULA(REGEXEXTRACT(C1869,""^(?:https?:\/\/)?(?:[^@\n]+@)?(?:www\.)?([^:\/\n]+)"")),"""")"),"livebreathescotland.com")</f>
        <v>livebreathescotland.com</v>
      </c>
      <c r="E1869" s="26" t="str">
        <f ca="1">IFERROR(__xludf.DUMMYFUNCTION("""COMPUTED_VALUE"""),"New")</f>
        <v>New</v>
      </c>
      <c r="F1869" s="72">
        <v>46</v>
      </c>
      <c r="G1869" s="72">
        <v>11065</v>
      </c>
      <c r="P1869" s="26"/>
    </row>
    <row r="1870" spans="1:16" ht="14.5">
      <c r="A1870" s="3" t="s">
        <v>38</v>
      </c>
      <c r="B1870" s="27" t="s">
        <v>2824</v>
      </c>
      <c r="C1870" s="49" t="s">
        <v>5480</v>
      </c>
      <c r="D1870" s="41" t="str">
        <f ca="1">IFERROR(__xludf.DUMMYFUNCTION("IFERROR(ARRAYFORMULA(REGEXEXTRACT(C1870,""^(?:https?:\/\/)?(?:[^@\n]+@)?(?:www\.)?([^:\/\n]+)"")),"""")"),"nativeteams.com")</f>
        <v>nativeteams.com</v>
      </c>
      <c r="E1870" s="26" t="str">
        <f ca="1">IFERROR(__xludf.DUMMYFUNCTION("""COMPUTED_VALUE"""),"New")</f>
        <v>New</v>
      </c>
      <c r="F1870" s="72">
        <v>51</v>
      </c>
      <c r="G1870" s="72">
        <v>19237</v>
      </c>
      <c r="J1870" s="27" t="s">
        <v>5481</v>
      </c>
      <c r="K1870" s="27" t="s">
        <v>3829</v>
      </c>
      <c r="L1870" s="112"/>
      <c r="M1870" s="27" t="s">
        <v>3117</v>
      </c>
      <c r="N1870" s="48">
        <v>46048</v>
      </c>
      <c r="O1870" s="70">
        <v>46090</v>
      </c>
      <c r="P1870" s="26"/>
    </row>
    <row r="1871" spans="1:16" ht="14.5">
      <c r="A1871" s="3" t="s">
        <v>38</v>
      </c>
      <c r="B1871" s="27" t="s">
        <v>2824</v>
      </c>
      <c r="C1871" s="46" t="s">
        <v>5482</v>
      </c>
      <c r="D1871" s="41" t="str">
        <f ca="1">IFERROR(__xludf.DUMMYFUNCTION("IFERROR(ARRAYFORMULA(REGEXEXTRACT(C1871,""^(?:https?:\/\/)?(?:[^@\n]+@)?(?:www\.)?([^:\/\n]+)"")),"""")"),"play.google.com")</f>
        <v>play.google.com</v>
      </c>
      <c r="E1871" s="26" t="str">
        <f ca="1">IFERROR(__xludf.DUMMYFUNCTION("""COMPUTED_VALUE"""),"New")</f>
        <v>New</v>
      </c>
      <c r="F1871" s="72">
        <v>99</v>
      </c>
      <c r="G1871" s="74">
        <v>1240000000</v>
      </c>
      <c r="P1871" s="26"/>
    </row>
    <row r="1872" spans="1:16" ht="14.5">
      <c r="A1872" s="3" t="s">
        <v>38</v>
      </c>
      <c r="B1872" s="27" t="s">
        <v>2824</v>
      </c>
      <c r="C1872" s="46" t="s">
        <v>5483</v>
      </c>
      <c r="D1872" s="41" t="str">
        <f ca="1">IFERROR(__xludf.DUMMYFUNCTION("IFERROR(ARRAYFORMULA(REGEXEXTRACT(C1872,""^(?:https?:\/\/)?(?:[^@\n]+@)?(?:www\.)?([^:\/\n]+)"")),"""")"),"autonomous.ai")</f>
        <v>autonomous.ai</v>
      </c>
      <c r="E1872" s="26" t="str">
        <f ca="1">IFERROR(__xludf.DUMMYFUNCTION("""COMPUTED_VALUE"""),"New")</f>
        <v>New</v>
      </c>
      <c r="F1872" s="72">
        <v>71</v>
      </c>
      <c r="G1872" s="72">
        <v>189089</v>
      </c>
      <c r="P1872" s="26"/>
    </row>
    <row r="1873" spans="1:16" ht="14.5">
      <c r="A1873" s="3" t="s">
        <v>38</v>
      </c>
      <c r="B1873" s="27" t="s">
        <v>2824</v>
      </c>
      <c r="C1873" s="49" t="s">
        <v>5484</v>
      </c>
      <c r="D1873" s="41" t="str">
        <f ca="1">IFERROR(__xludf.DUMMYFUNCTION("IFERROR(ARRAYFORMULA(REGEXEXTRACT(C1873,""^(?:https?:\/\/)?(?:[^@\n]+@)?(?:www\.)?([^:\/\n]+)"")),"""")"),"ossisto.com")</f>
        <v>ossisto.com</v>
      </c>
      <c r="E1873" s="26" t="str">
        <f ca="1">IFERROR(__xludf.DUMMYFUNCTION("""COMPUTED_VALUE"""),"New")</f>
        <v>New</v>
      </c>
      <c r="F1873" s="72">
        <v>58</v>
      </c>
      <c r="G1873" s="72">
        <v>3296</v>
      </c>
      <c r="J1873" s="27" t="s">
        <v>5485</v>
      </c>
      <c r="K1873" s="27" t="s">
        <v>3829</v>
      </c>
      <c r="L1873" s="112"/>
      <c r="M1873" s="27" t="s">
        <v>3117</v>
      </c>
      <c r="N1873" s="48">
        <v>46048</v>
      </c>
      <c r="O1873" s="70">
        <v>46090</v>
      </c>
      <c r="P1873" s="26"/>
    </row>
    <row r="1874" spans="1:16" ht="14.5">
      <c r="A1874" s="3" t="s">
        <v>38</v>
      </c>
      <c r="B1874" s="27" t="s">
        <v>2824</v>
      </c>
      <c r="C1874" s="46" t="s">
        <v>5486</v>
      </c>
      <c r="D1874" s="41" t="str">
        <f ca="1">IFERROR(__xludf.DUMMYFUNCTION("IFERROR(ARRAYFORMULA(REGEXEXTRACT(C1874,""^(?:https?:\/\/)?(?:[^@\n]+@)?(?:www\.)?([^:\/\n]+)"")),"""")"),"peoplespheres.com")</f>
        <v>peoplespheres.com</v>
      </c>
      <c r="E1874" s="26" t="str">
        <f ca="1">IFERROR(__xludf.DUMMYFUNCTION("""COMPUTED_VALUE"""),"New")</f>
        <v>New</v>
      </c>
      <c r="F1874" s="72">
        <v>66</v>
      </c>
      <c r="G1874" s="72">
        <v>29270</v>
      </c>
      <c r="P1874" s="26"/>
    </row>
    <row r="1875" spans="1:16" ht="14.5">
      <c r="A1875" s="3" t="s">
        <v>38</v>
      </c>
      <c r="B1875" s="27" t="s">
        <v>2824</v>
      </c>
      <c r="C1875" s="46" t="s">
        <v>5487</v>
      </c>
      <c r="D1875" s="41" t="str">
        <f ca="1">IFERROR(__xludf.DUMMYFUNCTION("IFERROR(ARRAYFORMULA(REGEXEXTRACT(C1875,""^(?:https?:\/\/)?(?:[^@\n]+@)?(?:www\.)?([^:\/\n]+)"")),"""")"),"deadlinefunnel.com")</f>
        <v>deadlinefunnel.com</v>
      </c>
      <c r="E1875" s="26" t="str">
        <f ca="1">IFERROR(__xludf.DUMMYFUNCTION("""COMPUTED_VALUE"""),"New")</f>
        <v>New</v>
      </c>
      <c r="F1875" s="72">
        <v>71</v>
      </c>
      <c r="G1875" s="72">
        <v>2398</v>
      </c>
      <c r="P1875" s="26"/>
    </row>
    <row r="1876" spans="1:16" ht="14.5">
      <c r="A1876" s="3" t="s">
        <v>38</v>
      </c>
      <c r="B1876" s="27" t="s">
        <v>2824</v>
      </c>
      <c r="C1876" s="46" t="s">
        <v>5488</v>
      </c>
      <c r="D1876" s="41" t="str">
        <f ca="1">IFERROR(__xludf.DUMMYFUNCTION("IFERROR(ARRAYFORMULA(REGEXEXTRACT(C1876,""^(?:https?:\/\/)?(?:[^@\n]+@)?(?:www\.)?([^:\/\n]+)"")),"""")"),"martinsvillebulletin.com")</f>
        <v>martinsvillebulletin.com</v>
      </c>
      <c r="E1876" s="26" t="str">
        <f ca="1">IFERROR(__xludf.DUMMYFUNCTION("""COMPUTED_VALUE"""),"New")</f>
        <v>New</v>
      </c>
      <c r="F1876" s="72">
        <v>63</v>
      </c>
      <c r="G1876" s="72">
        <v>2274</v>
      </c>
      <c r="P1876" s="26"/>
    </row>
    <row r="1877" spans="1:16" ht="14.5">
      <c r="A1877" s="3" t="s">
        <v>38</v>
      </c>
      <c r="B1877" s="27" t="s">
        <v>2824</v>
      </c>
      <c r="C1877" s="46" t="s">
        <v>5489</v>
      </c>
      <c r="D1877" s="41" t="str">
        <f ca="1">IFERROR(__xludf.DUMMYFUNCTION("IFERROR(ARRAYFORMULA(REGEXEXTRACT(C1877,""^(?:https?:\/\/)?(?:[^@\n]+@)?(?:www\.)?([^:\/\n]+)"")),"""")"),"omnius.so")</f>
        <v>omnius.so</v>
      </c>
      <c r="E1877" s="26" t="str">
        <f ca="1">IFERROR(__xludf.DUMMYFUNCTION("""COMPUTED_VALUE"""),"New")</f>
        <v>New</v>
      </c>
      <c r="F1877" s="72">
        <v>57</v>
      </c>
      <c r="G1877" s="72">
        <v>12188</v>
      </c>
      <c r="P1877" s="26"/>
    </row>
    <row r="1878" spans="1:16" ht="14.5">
      <c r="A1878" s="3" t="s">
        <v>38</v>
      </c>
      <c r="B1878" s="27" t="s">
        <v>2824</v>
      </c>
      <c r="C1878" s="46" t="s">
        <v>5490</v>
      </c>
      <c r="D1878" s="41" t="str">
        <f ca="1">IFERROR(__xludf.DUMMYFUNCTION("IFERROR(ARRAYFORMULA(REGEXEXTRACT(C1878,""^(?:https?:\/\/)?(?:[^@\n]+@)?(?:www\.)?([^:\/\n]+)"")),"""")"),"azilen.com")</f>
        <v>azilen.com</v>
      </c>
      <c r="E1878" s="26" t="str">
        <f ca="1">IFERROR(__xludf.DUMMYFUNCTION("""COMPUTED_VALUE"""),"New")</f>
        <v>New</v>
      </c>
      <c r="F1878" s="72">
        <v>59</v>
      </c>
      <c r="G1878" s="72">
        <v>8558</v>
      </c>
      <c r="P1878" s="26"/>
    </row>
    <row r="1879" spans="1:16" ht="14.5">
      <c r="A1879" s="3" t="s">
        <v>38</v>
      </c>
      <c r="B1879" s="27" t="s">
        <v>2824</v>
      </c>
      <c r="C1879" s="46" t="s">
        <v>5491</v>
      </c>
      <c r="D1879" s="41" t="str">
        <f ca="1">IFERROR(__xludf.DUMMYFUNCTION("IFERROR(ARRAYFORMULA(REGEXEXTRACT(C1879,""^(?:https?:\/\/)?(?:[^@\n]+@)?(?:www\.)?([^:\/\n]+)"")),"""")"),"revolutionordering.com")</f>
        <v>revolutionordering.com</v>
      </c>
      <c r="E1879" s="26" t="str">
        <f ca="1">IFERROR(__xludf.DUMMYFUNCTION("""COMPUTED_VALUE"""),"New")</f>
        <v>New</v>
      </c>
      <c r="F1879" s="72">
        <v>42</v>
      </c>
      <c r="G1879" s="72">
        <v>1186</v>
      </c>
      <c r="P1879" s="26"/>
    </row>
    <row r="1880" spans="1:16" ht="14.5">
      <c r="A1880" s="3" t="s">
        <v>38</v>
      </c>
      <c r="B1880" s="27" t="s">
        <v>2824</v>
      </c>
      <c r="C1880" s="46" t="s">
        <v>5492</v>
      </c>
      <c r="D1880" s="41" t="str">
        <f ca="1">IFERROR(__xludf.DUMMYFUNCTION("IFERROR(ARRAYFORMULA(REGEXEXTRACT(C1880,""^(?:https?:\/\/)?(?:[^@\n]+@)?(?:www\.)?([^:\/\n]+)"")),"""")"),"lickd.co")</f>
        <v>lickd.co</v>
      </c>
      <c r="E1880" s="26" t="str">
        <f ca="1">IFERROR(__xludf.DUMMYFUNCTION("""COMPUTED_VALUE"""),"New")</f>
        <v>New</v>
      </c>
      <c r="F1880" s="72">
        <v>54</v>
      </c>
      <c r="G1880" s="72">
        <v>18616</v>
      </c>
      <c r="P1880" s="26"/>
    </row>
    <row r="1881" spans="1:16" ht="14.5">
      <c r="A1881" s="3" t="s">
        <v>38</v>
      </c>
      <c r="B1881" s="27" t="s">
        <v>2824</v>
      </c>
      <c r="C1881" s="46" t="s">
        <v>5493</v>
      </c>
      <c r="D1881" s="41" t="str">
        <f ca="1">IFERROR(__xludf.DUMMYFUNCTION("IFERROR(ARRAYFORMULA(REGEXEXTRACT(C1881,""^(?:https?:\/\/)?(?:[^@\n]+@)?(?:www\.)?([^:\/\n]+)"")),"""")"),"corbado.com")</f>
        <v>corbado.com</v>
      </c>
      <c r="E1881" s="26" t="str">
        <f ca="1">IFERROR(__xludf.DUMMYFUNCTION("""COMPUTED_VALUE"""),"New")</f>
        <v>New</v>
      </c>
      <c r="F1881" s="72">
        <v>66</v>
      </c>
      <c r="G1881" s="72">
        <v>15829</v>
      </c>
      <c r="P1881" s="26"/>
    </row>
    <row r="1882" spans="1:16" ht="14.5">
      <c r="A1882" s="3" t="s">
        <v>38</v>
      </c>
      <c r="B1882" s="27" t="s">
        <v>2824</v>
      </c>
      <c r="C1882" s="46" t="s">
        <v>5494</v>
      </c>
      <c r="D1882" s="41" t="str">
        <f ca="1">IFERROR(__xludf.DUMMYFUNCTION("IFERROR(ARRAYFORMULA(REGEXEXTRACT(C1882,""^(?:https?:\/\/)?(?:[^@\n]+@)?(?:www\.)?([^:\/\n]+)"")),"""")"),"ceinterim.com")</f>
        <v>ceinterim.com</v>
      </c>
      <c r="E1882" s="26" t="str">
        <f ca="1">IFERROR(__xludf.DUMMYFUNCTION("""COMPUTED_VALUE"""),"New")</f>
        <v>New</v>
      </c>
      <c r="F1882" s="72">
        <v>31</v>
      </c>
      <c r="G1882" s="72">
        <v>2234</v>
      </c>
      <c r="P1882" s="26"/>
    </row>
    <row r="1883" spans="1:16" ht="14.5">
      <c r="A1883" s="3" t="s">
        <v>38</v>
      </c>
      <c r="B1883" s="27" t="s">
        <v>2824</v>
      </c>
      <c r="C1883" s="46" t="s">
        <v>5495</v>
      </c>
      <c r="D1883" s="41" t="str">
        <f ca="1">IFERROR(__xludf.DUMMYFUNCTION("IFERROR(ARRAYFORMULA(REGEXEXTRACT(C1883,""^(?:https?:\/\/)?(?:[^@\n]+@)?(?:www\.)?([^:\/\n]+)"")),"""")"),"washingtonparent.com")</f>
        <v>washingtonparent.com</v>
      </c>
      <c r="E1883" s="26" t="str">
        <f ca="1">IFERROR(__xludf.DUMMYFUNCTION("""COMPUTED_VALUE"""),"New")</f>
        <v>New</v>
      </c>
      <c r="F1883" s="72">
        <v>54</v>
      </c>
      <c r="G1883" s="72">
        <v>2656</v>
      </c>
      <c r="P1883" s="26"/>
    </row>
    <row r="1884" spans="1:16" ht="14.5">
      <c r="A1884" s="3" t="s">
        <v>38</v>
      </c>
      <c r="B1884" s="27" t="s">
        <v>2824</v>
      </c>
      <c r="C1884" s="46" t="s">
        <v>5496</v>
      </c>
      <c r="D1884" s="41" t="str">
        <f ca="1">IFERROR(__xludf.DUMMYFUNCTION("IFERROR(ARRAYFORMULA(REGEXEXTRACT(C1884,""^(?:https?:\/\/)?(?:[^@\n]+@)?(?:www\.)?([^:\/\n]+)"")),"""")"),"thinkific.com")</f>
        <v>thinkific.com</v>
      </c>
      <c r="E1884" s="26" t="str">
        <f ca="1">IFERROR(__xludf.DUMMYFUNCTION("""COMPUTED_VALUE"""),"New")</f>
        <v>New</v>
      </c>
      <c r="F1884" s="72">
        <v>91</v>
      </c>
      <c r="G1884" s="72">
        <v>230665</v>
      </c>
      <c r="P1884" s="26"/>
    </row>
    <row r="1885" spans="1:16" ht="14.5">
      <c r="A1885" s="3" t="s">
        <v>38</v>
      </c>
      <c r="B1885" s="27" t="s">
        <v>2824</v>
      </c>
      <c r="C1885" s="46" t="s">
        <v>5497</v>
      </c>
      <c r="D1885" s="41" t="str">
        <f ca="1">IFERROR(__xludf.DUMMYFUNCTION("IFERROR(ARRAYFORMULA(REGEXEXTRACT(C1885,""^(?:https?:\/\/)?(?:[^@\n]+@)?(?:www\.)?([^:\/\n]+)"")),"""")"),"deskera.com")</f>
        <v>deskera.com</v>
      </c>
      <c r="E1885" s="26" t="str">
        <f ca="1">IFERROR(__xludf.DUMMYFUNCTION("""COMPUTED_VALUE"""),"New")</f>
        <v>New</v>
      </c>
      <c r="F1885" s="72">
        <v>73</v>
      </c>
      <c r="G1885" s="72">
        <v>40089</v>
      </c>
      <c r="P1885" s="26"/>
    </row>
    <row r="1886" spans="1:16" ht="14.5" hidden="1">
      <c r="A1886" s="3" t="s">
        <v>38</v>
      </c>
      <c r="B1886" s="27" t="s">
        <v>2824</v>
      </c>
      <c r="C1886" s="47" t="s">
        <v>5498</v>
      </c>
      <c r="D1886" s="41" t="str">
        <f ca="1">IFERROR(__xludf.DUMMYFUNCTION("IFERROR(ARRAYFORMULA(REGEXEXTRACT(C1886,""^(?:https?:\/\/)?(?:[^@\n]+@)?(?:www\.)?([^:\/\n]+)"")),"""")"),"lizzieinlace.com")</f>
        <v>lizzieinlace.com</v>
      </c>
      <c r="E1886" s="26" t="str">
        <f ca="1">IFERROR(__xludf.DUMMYFUNCTION("""COMPUTED_VALUE"""),"Already Exists")</f>
        <v>Already Exists</v>
      </c>
      <c r="F1886" s="72">
        <v>31</v>
      </c>
      <c r="G1886" s="72">
        <v>19256</v>
      </c>
      <c r="H1886" s="27" t="s">
        <v>5258</v>
      </c>
      <c r="I1886" s="27" t="s">
        <v>5499</v>
      </c>
      <c r="K1886" s="27" t="s">
        <v>3756</v>
      </c>
      <c r="L1886" s="112"/>
      <c r="M1886" s="27" t="s">
        <v>3715</v>
      </c>
      <c r="N1886" s="48">
        <v>46048</v>
      </c>
      <c r="P1886" s="27" t="s">
        <v>3201</v>
      </c>
    </row>
    <row r="1887" spans="1:16" ht="14.5">
      <c r="A1887" s="3" t="s">
        <v>38</v>
      </c>
      <c r="B1887" s="27" t="s">
        <v>2824</v>
      </c>
      <c r="C1887" s="46" t="s">
        <v>5500</v>
      </c>
      <c r="D1887" s="41" t="str">
        <f ca="1">IFERROR(__xludf.DUMMYFUNCTION("IFERROR(ARRAYFORMULA(REGEXEXTRACT(C1887,""^(?:https?:\/\/)?(?:[^@\n]+@)?(?:www\.)?([^:\/\n]+)"")),"""")"),"activatedscale.com")</f>
        <v>activatedscale.com</v>
      </c>
      <c r="E1887" s="26" t="str">
        <f ca="1">IFERROR(__xludf.DUMMYFUNCTION("""COMPUTED_VALUE"""),"New")</f>
        <v>New</v>
      </c>
      <c r="F1887" s="72">
        <v>36</v>
      </c>
      <c r="G1887" s="72">
        <v>8838</v>
      </c>
      <c r="P1887" s="26"/>
    </row>
    <row r="1888" spans="1:16" ht="14.5">
      <c r="A1888" s="3" t="s">
        <v>38</v>
      </c>
      <c r="B1888" s="27" t="s">
        <v>2824</v>
      </c>
      <c r="C1888" s="46" t="s">
        <v>5501</v>
      </c>
      <c r="D1888" s="41" t="str">
        <f ca="1">IFERROR(__xludf.DUMMYFUNCTION("IFERROR(ARRAYFORMULA(REGEXEXTRACT(C1888,""^(?:https?:\/\/)?(?:[^@\n]+@)?(?:www\.)?([^:\/\n]+)"")),"""")"),"debt.org")</f>
        <v>debt.org</v>
      </c>
      <c r="E1888" s="26" t="str">
        <f ca="1">IFERROR(__xludf.DUMMYFUNCTION("""COMPUTED_VALUE"""),"New")</f>
        <v>New</v>
      </c>
      <c r="F1888" s="72">
        <v>77</v>
      </c>
      <c r="G1888" s="72">
        <v>46622</v>
      </c>
      <c r="P1888" s="26"/>
    </row>
    <row r="1889" spans="1:16" ht="14.5">
      <c r="A1889" s="3" t="s">
        <v>38</v>
      </c>
      <c r="B1889" s="27" t="s">
        <v>2824</v>
      </c>
      <c r="C1889" s="46" t="s">
        <v>5502</v>
      </c>
      <c r="D1889" s="41" t="str">
        <f ca="1">IFERROR(__xludf.DUMMYFUNCTION("IFERROR(ARRAYFORMULA(REGEXEXTRACT(C1889,""^(?:https?:\/\/)?(?:[^@\n]+@)?(?:www\.)?([^:\/\n]+)"")),"""")"),"creator-hero.com")</f>
        <v>creator-hero.com</v>
      </c>
      <c r="E1889" s="26" t="str">
        <f ca="1">IFERROR(__xludf.DUMMYFUNCTION("""COMPUTED_VALUE"""),"New")</f>
        <v>New</v>
      </c>
      <c r="F1889" s="72">
        <v>50</v>
      </c>
      <c r="G1889" s="72">
        <v>43472</v>
      </c>
      <c r="P1889" s="26"/>
    </row>
    <row r="1890" spans="1:16" ht="14.5">
      <c r="A1890" s="3" t="s">
        <v>38</v>
      </c>
      <c r="B1890" s="27" t="s">
        <v>2824</v>
      </c>
      <c r="C1890" s="46" t="s">
        <v>5503</v>
      </c>
      <c r="D1890" s="41" t="str">
        <f ca="1">IFERROR(__xludf.DUMMYFUNCTION("IFERROR(ARRAYFORMULA(REGEXEXTRACT(C1890,""^(?:https?:\/\/)?(?:[^@\n]+@)?(?:www\.)?([^:\/\n]+)"")),"""")"),"teamgate.com")</f>
        <v>teamgate.com</v>
      </c>
      <c r="E1890" s="26" t="str">
        <f ca="1">IFERROR(__xludf.DUMMYFUNCTION("""COMPUTED_VALUE"""),"New")</f>
        <v>New</v>
      </c>
      <c r="F1890" s="72">
        <v>64</v>
      </c>
      <c r="G1890" s="72">
        <v>4429</v>
      </c>
      <c r="P1890" s="26"/>
    </row>
    <row r="1891" spans="1:16" ht="14.5">
      <c r="A1891" s="3" t="s">
        <v>38</v>
      </c>
      <c r="B1891" s="27" t="s">
        <v>2824</v>
      </c>
      <c r="C1891" s="46" t="s">
        <v>5504</v>
      </c>
      <c r="D1891" s="41" t="str">
        <f ca="1">IFERROR(__xludf.DUMMYFUNCTION("IFERROR(ARRAYFORMULA(REGEXEXTRACT(C1891,""^(?:https?:\/\/)?(?:[^@\n]+@)?(?:www\.)?([^:\/\n]+)"")),"""")"),"elliott.org")</f>
        <v>elliott.org</v>
      </c>
      <c r="E1891" s="26" t="str">
        <f ca="1">IFERROR(__xludf.DUMMYFUNCTION("""COMPUTED_VALUE"""),"New")</f>
        <v>New</v>
      </c>
      <c r="F1891" s="72">
        <v>60</v>
      </c>
      <c r="G1891" s="72">
        <v>324527</v>
      </c>
      <c r="P1891" s="26"/>
    </row>
    <row r="1892" spans="1:16" ht="14.5">
      <c r="A1892" s="3" t="s">
        <v>38</v>
      </c>
      <c r="B1892" s="27" t="s">
        <v>2824</v>
      </c>
      <c r="C1892" s="46" t="s">
        <v>5505</v>
      </c>
      <c r="D1892" s="41" t="str">
        <f ca="1">IFERROR(__xludf.DUMMYFUNCTION("IFERROR(ARRAYFORMULA(REGEXEXTRACT(C1892,""^(?:https?:\/\/)?(?:[^@\n]+@)?(?:www\.)?([^:\/\n]+)"")),"""")"),"spacebring.com")</f>
        <v>spacebring.com</v>
      </c>
      <c r="E1892" s="26" t="str">
        <f ca="1">IFERROR(__xludf.DUMMYFUNCTION("""COMPUTED_VALUE"""),"New")</f>
        <v>New</v>
      </c>
      <c r="F1892" s="72">
        <v>75</v>
      </c>
      <c r="G1892" s="72">
        <v>9635</v>
      </c>
      <c r="P1892" s="26"/>
    </row>
    <row r="1893" spans="1:16" ht="14.5">
      <c r="A1893" s="3" t="s">
        <v>38</v>
      </c>
      <c r="B1893" s="27" t="s">
        <v>2824</v>
      </c>
      <c r="C1893" s="46" t="s">
        <v>5506</v>
      </c>
      <c r="D1893" s="41" t="str">
        <f ca="1">IFERROR(__xludf.DUMMYFUNCTION("IFERROR(ARRAYFORMULA(REGEXEXTRACT(C1893,""^(?:https?:\/\/)?(?:[^@\n]+@)?(?:www\.)?([^:\/\n]+)"")),"""")"),"getuku.com")</f>
        <v>getuku.com</v>
      </c>
      <c r="E1893" s="26" t="str">
        <f ca="1">IFERROR(__xludf.DUMMYFUNCTION("""COMPUTED_VALUE"""),"New")</f>
        <v>New</v>
      </c>
      <c r="F1893" s="72">
        <v>56</v>
      </c>
      <c r="G1893" s="72">
        <v>17615</v>
      </c>
      <c r="P1893" s="26"/>
    </row>
    <row r="1894" spans="1:16" ht="14.5">
      <c r="A1894" s="3" t="s">
        <v>38</v>
      </c>
      <c r="B1894" s="27" t="s">
        <v>2824</v>
      </c>
      <c r="C1894" s="46" t="s">
        <v>5507</v>
      </c>
      <c r="D1894" s="41" t="str">
        <f ca="1">IFERROR(__xludf.DUMMYFUNCTION("IFERROR(ARRAYFORMULA(REGEXEXTRACT(C1894,""^(?:https?:\/\/)?(?:[^@\n]+@)?(?:www\.)?([^:\/\n]+)"")),"""")"),"designhill.com")</f>
        <v>designhill.com</v>
      </c>
      <c r="E1894" s="26" t="str">
        <f ca="1">IFERROR(__xludf.DUMMYFUNCTION("""COMPUTED_VALUE"""),"New")</f>
        <v>New</v>
      </c>
      <c r="F1894" s="72">
        <v>77</v>
      </c>
      <c r="G1894" s="72">
        <v>127242</v>
      </c>
      <c r="P1894" s="26"/>
    </row>
    <row r="1895" spans="1:16" ht="14.5">
      <c r="A1895" s="3" t="s">
        <v>38</v>
      </c>
      <c r="B1895" s="27" t="s">
        <v>2824</v>
      </c>
      <c r="C1895" s="46" t="s">
        <v>5508</v>
      </c>
      <c r="D1895" s="41" t="str">
        <f ca="1">IFERROR(__xludf.DUMMYFUNCTION("IFERROR(ARRAYFORMULA(REGEXEXTRACT(C1895,""^(?:https?:\/\/)?(?:[^@\n]+@)?(?:www\.)?([^:\/\n]+)"")),"""")"),"inbeat.co")</f>
        <v>inbeat.co</v>
      </c>
      <c r="E1895" s="26" t="str">
        <f ca="1">IFERROR(__xludf.DUMMYFUNCTION("""COMPUTED_VALUE"""),"New")</f>
        <v>New</v>
      </c>
      <c r="F1895" s="72">
        <v>73</v>
      </c>
      <c r="G1895" s="72">
        <v>18419</v>
      </c>
      <c r="P1895" s="26"/>
    </row>
    <row r="1896" spans="1:16" ht="14.5">
      <c r="A1896" s="3" t="s">
        <v>38</v>
      </c>
      <c r="B1896" s="27" t="s">
        <v>2824</v>
      </c>
      <c r="C1896" s="46" t="s">
        <v>5509</v>
      </c>
      <c r="D1896" s="41" t="str">
        <f ca="1">IFERROR(__xludf.DUMMYFUNCTION("IFERROR(ARRAYFORMULA(REGEXEXTRACT(C1896,""^(?:https?:\/\/)?(?:[^@\n]+@)?(?:www\.)?([^:\/\n]+)"")),"""")"),"duocircle.com")</f>
        <v>duocircle.com</v>
      </c>
      <c r="E1896" s="26" t="str">
        <f ca="1">IFERROR(__xludf.DUMMYFUNCTION("""COMPUTED_VALUE"""),"New")</f>
        <v>New</v>
      </c>
      <c r="F1896" s="72">
        <v>65</v>
      </c>
      <c r="G1896" s="72">
        <v>7130</v>
      </c>
      <c r="P1896" s="26"/>
    </row>
    <row r="1897" spans="1:16" ht="14.5">
      <c r="A1897" s="3" t="s">
        <v>38</v>
      </c>
      <c r="B1897" s="27" t="s">
        <v>2824</v>
      </c>
      <c r="C1897" s="46" t="s">
        <v>5510</v>
      </c>
      <c r="D1897" s="41" t="str">
        <f ca="1">IFERROR(__xludf.DUMMYFUNCTION("IFERROR(ARRAYFORMULA(REGEXEXTRACT(C1897,""^(?:https?:\/\/)?(?:[^@\n]+@)?(?:www\.)?([^:\/\n]+)"")),"""")"),"contactpoint360.com")</f>
        <v>contactpoint360.com</v>
      </c>
      <c r="E1897" s="26" t="str">
        <f ca="1">IFERROR(__xludf.DUMMYFUNCTION("""COMPUTED_VALUE"""),"New")</f>
        <v>New</v>
      </c>
      <c r="F1897" s="72">
        <v>40</v>
      </c>
      <c r="G1897" s="72">
        <v>2334</v>
      </c>
      <c r="P1897" s="26"/>
    </row>
    <row r="1898" spans="1:16" ht="14.5">
      <c r="A1898" s="3" t="s">
        <v>38</v>
      </c>
      <c r="B1898" s="27" t="s">
        <v>2824</v>
      </c>
      <c r="C1898" s="46" t="s">
        <v>5511</v>
      </c>
      <c r="D1898" s="41" t="str">
        <f ca="1">IFERROR(__xludf.DUMMYFUNCTION("IFERROR(ARRAYFORMULA(REGEXEXTRACT(C1898,""^(?:https?:\/\/)?(?:[^@\n]+@)?(?:www\.)?([^:\/\n]+)"")),"""")"),"casepacer.com")</f>
        <v>casepacer.com</v>
      </c>
      <c r="E1898" s="26" t="str">
        <f ca="1">IFERROR(__xludf.DUMMYFUNCTION("""COMPUTED_VALUE"""),"New")</f>
        <v>New</v>
      </c>
      <c r="F1898" s="72">
        <v>52</v>
      </c>
      <c r="G1898" s="72">
        <v>6279</v>
      </c>
      <c r="P1898" s="26"/>
    </row>
    <row r="1899" spans="1:16" ht="14.5">
      <c r="A1899" s="3" t="s">
        <v>38</v>
      </c>
      <c r="B1899" s="27" t="s">
        <v>2824</v>
      </c>
      <c r="C1899" s="46" t="s">
        <v>5512</v>
      </c>
      <c r="D1899" s="41" t="str">
        <f ca="1">IFERROR(__xludf.DUMMYFUNCTION("IFERROR(ARRAYFORMULA(REGEXEXTRACT(C1899,""^(?:https?:\/\/)?(?:[^@\n]+@)?(?:www\.)?([^:\/\n]+)"")),"""")"),"leaderonomics.com")</f>
        <v>leaderonomics.com</v>
      </c>
      <c r="E1899" s="26" t="str">
        <f ca="1">IFERROR(__xludf.DUMMYFUNCTION("""COMPUTED_VALUE"""),"New")</f>
        <v>New</v>
      </c>
      <c r="F1899" s="72">
        <v>57</v>
      </c>
      <c r="G1899" s="72">
        <v>1457</v>
      </c>
      <c r="P1899" s="26"/>
    </row>
    <row r="1900" spans="1:16" ht="14.5">
      <c r="A1900" s="3" t="s">
        <v>38</v>
      </c>
      <c r="B1900" s="27" t="s">
        <v>2824</v>
      </c>
      <c r="C1900" s="46" t="s">
        <v>5513</v>
      </c>
      <c r="D1900" s="41" t="str">
        <f ca="1">IFERROR(__xludf.DUMMYFUNCTION("IFERROR(ARRAYFORMULA(REGEXEXTRACT(C1900,""^(?:https?:\/\/)?(?:[^@\n]+@)?(?:www\.)?([^:\/\n]+)"")),"""")"),"nwitimes.com")</f>
        <v>nwitimes.com</v>
      </c>
      <c r="E1900" s="26" t="str">
        <f ca="1">IFERROR(__xludf.DUMMYFUNCTION("""COMPUTED_VALUE"""),"New")</f>
        <v>New</v>
      </c>
      <c r="F1900" s="72">
        <v>77</v>
      </c>
      <c r="G1900" s="72">
        <v>345062</v>
      </c>
      <c r="P1900" s="26"/>
    </row>
    <row r="1901" spans="1:16" ht="14.5">
      <c r="A1901" s="3" t="s">
        <v>38</v>
      </c>
      <c r="B1901" s="27" t="s">
        <v>2824</v>
      </c>
      <c r="C1901" s="46" t="s">
        <v>5514</v>
      </c>
      <c r="D1901" s="41" t="str">
        <f ca="1">IFERROR(__xludf.DUMMYFUNCTION("IFERROR(ARRAYFORMULA(REGEXEXTRACT(C1901,""^(?:https?:\/\/)?(?:[^@\n]+@)?(?:www\.)?([^:\/\n]+)"")),"""")"),"kiplinger.com")</f>
        <v>kiplinger.com</v>
      </c>
      <c r="E1901" s="26" t="str">
        <f ca="1">IFERROR(__xludf.DUMMYFUNCTION("""COMPUTED_VALUE"""),"New")</f>
        <v>New</v>
      </c>
      <c r="F1901" s="72">
        <v>85</v>
      </c>
      <c r="G1901" s="72">
        <v>390144</v>
      </c>
      <c r="P1901" s="26"/>
    </row>
    <row r="1902" spans="1:16" ht="14.5">
      <c r="A1902" s="3" t="s">
        <v>38</v>
      </c>
      <c r="B1902" s="27" t="s">
        <v>2824</v>
      </c>
      <c r="C1902" s="46" t="s">
        <v>5515</v>
      </c>
      <c r="D1902" s="41" t="str">
        <f ca="1">IFERROR(__xludf.DUMMYFUNCTION("IFERROR(ARRAYFORMULA(REGEXEXTRACT(C1902,""^(?:https?:\/\/)?(?:[^@\n]+@)?(?:www\.)?([^:\/\n]+)"")),"""")"),"getwpfunnels.com")</f>
        <v>getwpfunnels.com</v>
      </c>
      <c r="E1902" s="26" t="str">
        <f ca="1">IFERROR(__xludf.DUMMYFUNCTION("""COMPUTED_VALUE"""),"New")</f>
        <v>New</v>
      </c>
      <c r="F1902" s="72">
        <v>71</v>
      </c>
      <c r="G1902" s="72">
        <v>7001</v>
      </c>
      <c r="P1902" s="26"/>
    </row>
    <row r="1903" spans="1:16" ht="14.5">
      <c r="A1903" s="3" t="s">
        <v>38</v>
      </c>
      <c r="B1903" s="27" t="s">
        <v>2824</v>
      </c>
      <c r="C1903" s="46" t="s">
        <v>5516</v>
      </c>
      <c r="D1903" s="41" t="str">
        <f ca="1">IFERROR(__xludf.DUMMYFUNCTION("IFERROR(ARRAYFORMULA(REGEXEXTRACT(C1903,""^(?:https?:\/\/)?(?:[^@\n]+@)?(?:www\.)?([^:\/\n]+)"")),"""")"),"sotrender.com")</f>
        <v>sotrender.com</v>
      </c>
      <c r="E1903" s="26" t="str">
        <f ca="1">IFERROR(__xludf.DUMMYFUNCTION("""COMPUTED_VALUE"""),"New")</f>
        <v>New</v>
      </c>
      <c r="F1903" s="72">
        <v>72</v>
      </c>
      <c r="G1903" s="72">
        <v>23933</v>
      </c>
      <c r="P1903" s="26"/>
    </row>
    <row r="1904" spans="1:16" ht="14.5">
      <c r="A1904" s="3" t="s">
        <v>38</v>
      </c>
      <c r="B1904" s="27" t="s">
        <v>2824</v>
      </c>
      <c r="C1904" s="46" t="s">
        <v>5517</v>
      </c>
      <c r="D1904" s="41" t="str">
        <f ca="1">IFERROR(__xludf.DUMMYFUNCTION("IFERROR(ARRAYFORMULA(REGEXEXTRACT(C1904,""^(?:https?:\/\/)?(?:[^@\n]+@)?(?:www\.)?([^:\/\n]+)"")),"""")"),"recruiterflow.com")</f>
        <v>recruiterflow.com</v>
      </c>
      <c r="E1904" s="26" t="str">
        <f ca="1">IFERROR(__xludf.DUMMYFUNCTION("""COMPUTED_VALUE"""),"New")</f>
        <v>New</v>
      </c>
      <c r="F1904" s="72">
        <v>76</v>
      </c>
      <c r="G1904" s="72">
        <v>15141</v>
      </c>
      <c r="P1904" s="26"/>
    </row>
    <row r="1905" spans="1:16" ht="14.5">
      <c r="A1905" s="3" t="s">
        <v>38</v>
      </c>
      <c r="B1905" s="27" t="s">
        <v>2824</v>
      </c>
      <c r="C1905" s="46" t="s">
        <v>5518</v>
      </c>
      <c r="D1905" s="41" t="str">
        <f ca="1">IFERROR(__xludf.DUMMYFUNCTION("IFERROR(ARRAYFORMULA(REGEXEXTRACT(C1905,""^(?:https?:\/\/)?(?:[^@\n]+@)?(?:www\.)?([^:\/\n]+)"")),"""")"),"nunify.com")</f>
        <v>nunify.com</v>
      </c>
      <c r="E1905" s="26" t="str">
        <f ca="1">IFERROR(__xludf.DUMMYFUNCTION("""COMPUTED_VALUE"""),"New")</f>
        <v>New</v>
      </c>
      <c r="F1905" s="72">
        <v>54</v>
      </c>
      <c r="G1905" s="72">
        <v>15288</v>
      </c>
      <c r="P1905" s="26"/>
    </row>
    <row r="1906" spans="1:16" ht="14.5">
      <c r="A1906" s="3" t="s">
        <v>38</v>
      </c>
      <c r="B1906" s="27" t="s">
        <v>2824</v>
      </c>
      <c r="C1906" s="46" t="s">
        <v>5519</v>
      </c>
      <c r="D1906" s="41" t="str">
        <f ca="1">IFERROR(__xludf.DUMMYFUNCTION("IFERROR(ARRAYFORMULA(REGEXEXTRACT(C1906,""^(?:https?:\/\/)?(?:[^@\n]+@)?(?:www\.)?([^:\/\n]+)"")),"""")"),"flxpoint.com")</f>
        <v>flxpoint.com</v>
      </c>
      <c r="E1906" s="26" t="str">
        <f ca="1">IFERROR(__xludf.DUMMYFUNCTION("""COMPUTED_VALUE"""),"New")</f>
        <v>New</v>
      </c>
      <c r="F1906" s="72">
        <v>60</v>
      </c>
      <c r="G1906" s="72">
        <v>9628</v>
      </c>
      <c r="P1906" s="26"/>
    </row>
    <row r="1907" spans="1:16" ht="14.5">
      <c r="A1907" s="3" t="s">
        <v>38</v>
      </c>
      <c r="B1907" s="27" t="s">
        <v>2824</v>
      </c>
      <c r="C1907" s="46" t="s">
        <v>5520</v>
      </c>
      <c r="D1907" s="41" t="str">
        <f ca="1">IFERROR(__xludf.DUMMYFUNCTION("IFERROR(ARRAYFORMULA(REGEXEXTRACT(C1907,""^(?:https?:\/\/)?(?:[^@\n]+@)?(?:www\.)?([^:\/\n]+)"")),"""")"),"outbackteambuilding.com")</f>
        <v>outbackteambuilding.com</v>
      </c>
      <c r="E1907" s="26" t="str">
        <f ca="1">IFERROR(__xludf.DUMMYFUNCTION("""COMPUTED_VALUE"""),"New")</f>
        <v>New</v>
      </c>
      <c r="F1907" s="72">
        <v>67</v>
      </c>
      <c r="G1907" s="72">
        <v>19791</v>
      </c>
      <c r="P1907" s="26"/>
    </row>
    <row r="1908" spans="1:16" ht="14.5">
      <c r="A1908" s="3" t="s">
        <v>38</v>
      </c>
      <c r="B1908" s="27" t="s">
        <v>2824</v>
      </c>
      <c r="C1908" s="46" t="s">
        <v>5521</v>
      </c>
      <c r="D1908" s="41" t="str">
        <f ca="1">IFERROR(__xludf.DUMMYFUNCTION("IFERROR(ARRAYFORMULA(REGEXEXTRACT(C1908,""^(?:https?:\/\/)?(?:[^@\n]+@)?(?:www\.)?([^:\/\n]+)"")),"""")"),"digitalagencynetwork.com")</f>
        <v>digitalagencynetwork.com</v>
      </c>
      <c r="E1908" s="26" t="str">
        <f ca="1">IFERROR(__xludf.DUMMYFUNCTION("""COMPUTED_VALUE"""),"New")</f>
        <v>New</v>
      </c>
      <c r="F1908" s="72">
        <v>76</v>
      </c>
      <c r="G1908" s="72">
        <v>121127</v>
      </c>
      <c r="P1908" s="26"/>
    </row>
    <row r="1909" spans="1:16" ht="14.5">
      <c r="A1909" s="3" t="s">
        <v>38</v>
      </c>
      <c r="B1909" s="27" t="s">
        <v>2824</v>
      </c>
      <c r="C1909" s="46" t="s">
        <v>5522</v>
      </c>
      <c r="D1909" s="41" t="str">
        <f ca="1">IFERROR(__xludf.DUMMYFUNCTION("IFERROR(ARRAYFORMULA(REGEXEXTRACT(C1909,""^(?:https?:\/\/)?(?:[^@\n]+@)?(?:www\.)?([^:\/\n]+)"")),"""")"),"mailmunch.com")</f>
        <v>mailmunch.com</v>
      </c>
      <c r="E1909" s="26" t="str">
        <f ca="1">IFERROR(__xludf.DUMMYFUNCTION("""COMPUTED_VALUE"""),"New")</f>
        <v>New</v>
      </c>
      <c r="F1909" s="72">
        <v>77</v>
      </c>
      <c r="G1909" s="72">
        <v>28229</v>
      </c>
      <c r="P1909" s="26"/>
    </row>
    <row r="1910" spans="1:16" ht="14.5">
      <c r="A1910" s="3" t="s">
        <v>38</v>
      </c>
      <c r="B1910" s="27" t="s">
        <v>2824</v>
      </c>
      <c r="C1910" s="46" t="s">
        <v>5523</v>
      </c>
      <c r="D1910" s="41" t="str">
        <f ca="1">IFERROR(__xludf.DUMMYFUNCTION("IFERROR(ARRAYFORMULA(REGEXEXTRACT(C1910,""^(?:https?:\/\/)?(?:[^@\n]+@)?(?:www\.)?([^:\/\n]+)"")),"""")"),"resume.co")</f>
        <v>resume.co</v>
      </c>
      <c r="E1910" s="26" t="str">
        <f ca="1">IFERROR(__xludf.DUMMYFUNCTION("""COMPUTED_VALUE"""),"New")</f>
        <v>New</v>
      </c>
      <c r="F1910" s="72">
        <v>50</v>
      </c>
      <c r="G1910" s="72">
        <v>13811</v>
      </c>
      <c r="P1910" s="26"/>
    </row>
    <row r="1911" spans="1:16" ht="14.5">
      <c r="A1911" s="3" t="s">
        <v>38</v>
      </c>
      <c r="B1911" s="27" t="s">
        <v>2824</v>
      </c>
      <c r="C1911" s="46" t="s">
        <v>5524</v>
      </c>
      <c r="D1911" s="41" t="str">
        <f ca="1">IFERROR(__xludf.DUMMYFUNCTION("IFERROR(ARRAYFORMULA(REGEXEXTRACT(C1911,""^(?:https?:\/\/)?(?:[^@\n]+@)?(?:www\.)?([^:\/\n]+)"")),"""")"),"undetectable.ai")</f>
        <v>undetectable.ai</v>
      </c>
      <c r="E1911" s="26" t="str">
        <f ca="1">IFERROR(__xludf.DUMMYFUNCTION("""COMPUTED_VALUE"""),"New")</f>
        <v>New</v>
      </c>
      <c r="F1911" s="72">
        <v>78</v>
      </c>
      <c r="G1911" s="72">
        <v>574799</v>
      </c>
      <c r="P1911" s="26"/>
    </row>
    <row r="1912" spans="1:16" ht="14.5">
      <c r="A1912" s="3" t="s">
        <v>38</v>
      </c>
      <c r="B1912" s="27" t="s">
        <v>2824</v>
      </c>
      <c r="C1912" s="46" t="s">
        <v>5525</v>
      </c>
      <c r="D1912" s="41" t="str">
        <f ca="1">IFERROR(__xludf.DUMMYFUNCTION("IFERROR(ARRAYFORMULA(REGEXEXTRACT(C1912,""^(?:https?:\/\/)?(?:[^@\n]+@)?(?:www\.)?([^:\/\n]+)"")),"""")"),"cubecreative.design")</f>
        <v>cubecreative.design</v>
      </c>
      <c r="E1912" s="26" t="str">
        <f ca="1">IFERROR(__xludf.DUMMYFUNCTION("""COMPUTED_VALUE"""),"New")</f>
        <v>New</v>
      </c>
      <c r="F1912" s="72">
        <v>71</v>
      </c>
      <c r="G1912" s="72">
        <v>4138</v>
      </c>
      <c r="P1912" s="26"/>
    </row>
    <row r="1913" spans="1:16" ht="14.5">
      <c r="A1913" s="3" t="s">
        <v>38</v>
      </c>
      <c r="B1913" s="27" t="s">
        <v>2824</v>
      </c>
      <c r="C1913" s="46" t="s">
        <v>5526</v>
      </c>
      <c r="D1913" s="41" t="str">
        <f ca="1">IFERROR(__xludf.DUMMYFUNCTION("IFERROR(ARRAYFORMULA(REGEXEXTRACT(C1913,""^(?:https?:\/\/)?(?:[^@\n]+@)?(?:www\.)?([^:\/\n]+)"")),"""")"),"chargeflow.io")</f>
        <v>chargeflow.io</v>
      </c>
      <c r="E1913" s="26" t="str">
        <f ca="1">IFERROR(__xludf.DUMMYFUNCTION("""COMPUTED_VALUE"""),"New")</f>
        <v>New</v>
      </c>
      <c r="F1913" s="72">
        <v>73</v>
      </c>
      <c r="G1913" s="72">
        <v>19956</v>
      </c>
      <c r="P1913" s="26"/>
    </row>
    <row r="1914" spans="1:16" ht="14.5" hidden="1">
      <c r="A1914" s="3" t="s">
        <v>38</v>
      </c>
      <c r="B1914" s="27" t="s">
        <v>2824</v>
      </c>
      <c r="C1914" s="46" t="s">
        <v>5527</v>
      </c>
      <c r="D1914" s="41" t="str">
        <f ca="1">IFERROR(__xludf.DUMMYFUNCTION("IFERROR(ARRAYFORMULA(REGEXEXTRACT(C1914,""^(?:https?:\/\/)?(?:[^@\n]+@)?(?:www\.)?([^:\/\n]+)"")),"""")"),"entrepreneur.com")</f>
        <v>entrepreneur.com</v>
      </c>
      <c r="E1914" s="26" t="str">
        <f ca="1">IFERROR(__xludf.DUMMYFUNCTION("""COMPUTED_VALUE"""),"Already Exists")</f>
        <v>Already Exists</v>
      </c>
      <c r="F1914" s="72">
        <v>91</v>
      </c>
      <c r="G1914" s="72">
        <v>487929</v>
      </c>
      <c r="P1914" s="26"/>
    </row>
    <row r="1915" spans="1:16" ht="14.5">
      <c r="A1915" s="3" t="s">
        <v>38</v>
      </c>
      <c r="B1915" s="27" t="s">
        <v>2824</v>
      </c>
      <c r="C1915" s="46" t="s">
        <v>5528</v>
      </c>
      <c r="D1915" s="41" t="str">
        <f ca="1">IFERROR(__xludf.DUMMYFUNCTION("IFERROR(ARRAYFORMULA(REGEXEXTRACT(C1915,""^(?:https?:\/\/)?(?:[^@\n]+@)?(?:www\.)?([^:\/\n]+)"")),"""")"),"agilitypr.com")</f>
        <v>agilitypr.com</v>
      </c>
      <c r="E1915" s="26" t="str">
        <f ca="1">IFERROR(__xludf.DUMMYFUNCTION("""COMPUTED_VALUE"""),"New")</f>
        <v>New</v>
      </c>
      <c r="F1915" s="72">
        <v>78</v>
      </c>
      <c r="G1915" s="72">
        <v>15575</v>
      </c>
      <c r="P1915" s="26"/>
    </row>
    <row r="1916" spans="1:16" ht="14.5">
      <c r="A1916" s="3" t="s">
        <v>38</v>
      </c>
      <c r="B1916" s="27" t="s">
        <v>2824</v>
      </c>
      <c r="C1916" s="46" t="s">
        <v>5529</v>
      </c>
      <c r="D1916" s="41" t="str">
        <f ca="1">IFERROR(__xludf.DUMMYFUNCTION("IFERROR(ARRAYFORMULA(REGEXEXTRACT(C1916,""^(?:https?:\/\/)?(?:[^@\n]+@)?(?:www\.)?([^:\/\n]+)"")),"""")"),"ivyexec.com")</f>
        <v>ivyexec.com</v>
      </c>
      <c r="E1916" s="26" t="str">
        <f ca="1">IFERROR(__xludf.DUMMYFUNCTION("""COMPUTED_VALUE"""),"New")</f>
        <v>New</v>
      </c>
      <c r="F1916" s="72">
        <v>64</v>
      </c>
      <c r="G1916" s="72">
        <v>10983</v>
      </c>
      <c r="P1916" s="26"/>
    </row>
    <row r="1917" spans="1:16" ht="14.5">
      <c r="A1917" s="3" t="s">
        <v>38</v>
      </c>
      <c r="B1917" s="27" t="s">
        <v>2824</v>
      </c>
      <c r="C1917" s="46" t="s">
        <v>5530</v>
      </c>
      <c r="D1917" s="41" t="str">
        <f ca="1">IFERROR(__xludf.DUMMYFUNCTION("IFERROR(ARRAYFORMULA(REGEXEXTRACT(C1917,""^(?:https?:\/\/)?(?:[^@\n]+@)?(?:www\.)?([^:\/\n]+)"")),"""")"),"debrasmouse.com")</f>
        <v>debrasmouse.com</v>
      </c>
      <c r="E1917" s="26" t="str">
        <f ca="1">IFERROR(__xludf.DUMMYFUNCTION("""COMPUTED_VALUE"""),"New")</f>
        <v>New</v>
      </c>
      <c r="F1917" s="72">
        <v>36</v>
      </c>
      <c r="G1917" s="72">
        <v>9266</v>
      </c>
      <c r="P1917" s="26"/>
    </row>
    <row r="1918" spans="1:16" ht="14.5">
      <c r="A1918" s="3" t="s">
        <v>38</v>
      </c>
      <c r="B1918" s="27" t="s">
        <v>2824</v>
      </c>
      <c r="C1918" s="46" t="s">
        <v>5531</v>
      </c>
      <c r="D1918" s="41" t="str">
        <f ca="1">IFERROR(__xludf.DUMMYFUNCTION("IFERROR(ARRAYFORMULA(REGEXEXTRACT(C1918,""^(?:https?:\/\/)?(?:[^@\n]+@)?(?:www\.)?([^:\/\n]+)"")),"""")"),"superjoin.ai")</f>
        <v>superjoin.ai</v>
      </c>
      <c r="E1918" s="26" t="str">
        <f ca="1">IFERROR(__xludf.DUMMYFUNCTION("""COMPUTED_VALUE"""),"New")</f>
        <v>New</v>
      </c>
      <c r="F1918" s="72">
        <v>50</v>
      </c>
      <c r="G1918" s="72">
        <v>16710</v>
      </c>
      <c r="P1918" s="26"/>
    </row>
    <row r="1919" spans="1:16" ht="14.5">
      <c r="A1919" s="3" t="s">
        <v>38</v>
      </c>
      <c r="B1919" s="27" t="s">
        <v>2824</v>
      </c>
      <c r="C1919" s="46" t="s">
        <v>5532</v>
      </c>
      <c r="D1919" s="41" t="str">
        <f ca="1">IFERROR(__xludf.DUMMYFUNCTION("IFERROR(ARRAYFORMULA(REGEXEXTRACT(C1919,""^(?:https?:\/\/)?(?:[^@\n]+@)?(?:www\.)?([^:\/\n]+)"")),"""")"),"cheddarflow.com")</f>
        <v>cheddarflow.com</v>
      </c>
      <c r="E1919" s="26" t="str">
        <f ca="1">IFERROR(__xludf.DUMMYFUNCTION("""COMPUTED_VALUE"""),"New")</f>
        <v>New</v>
      </c>
      <c r="F1919" s="72">
        <v>34</v>
      </c>
      <c r="G1919" s="72">
        <v>12497</v>
      </c>
      <c r="P1919" s="26"/>
    </row>
    <row r="1920" spans="1:16" ht="14.5">
      <c r="A1920" s="3" t="s">
        <v>38</v>
      </c>
      <c r="B1920" s="27" t="s">
        <v>2824</v>
      </c>
      <c r="C1920" s="46" t="s">
        <v>5533</v>
      </c>
      <c r="D1920" s="41" t="str">
        <f ca="1">IFERROR(__xludf.DUMMYFUNCTION("IFERROR(ARRAYFORMULA(REGEXEXTRACT(C1920,""^(?:https?:\/\/)?(?:[^@\n]+@)?(?:www\.)?([^:\/\n]+)"")),"""")"),"bachbride.com")</f>
        <v>bachbride.com</v>
      </c>
      <c r="E1920" s="26" t="str">
        <f ca="1">IFERROR(__xludf.DUMMYFUNCTION("""COMPUTED_VALUE"""),"New")</f>
        <v>New</v>
      </c>
      <c r="F1920" s="72">
        <v>22</v>
      </c>
      <c r="G1920" s="72">
        <v>6212</v>
      </c>
      <c r="P1920" s="26"/>
    </row>
    <row r="1921" spans="1:16" ht="14.5">
      <c r="A1921" s="3" t="s">
        <v>38</v>
      </c>
      <c r="B1921" s="27" t="s">
        <v>2824</v>
      </c>
      <c r="C1921" s="46" t="s">
        <v>5534</v>
      </c>
      <c r="D1921" s="41" t="str">
        <f ca="1">IFERROR(__xludf.DUMMYFUNCTION("IFERROR(ARRAYFORMULA(REGEXEXTRACT(C1921,""^(?:https?:\/\/)?(?:[^@\n]+@)?(?:www\.)?([^:\/\n]+)"")),"""")"),"sunsama.com")</f>
        <v>sunsama.com</v>
      </c>
      <c r="E1921" s="26" t="str">
        <f ca="1">IFERROR(__xludf.DUMMYFUNCTION("""COMPUTED_VALUE"""),"New")</f>
        <v>New</v>
      </c>
      <c r="F1921" s="72">
        <v>72</v>
      </c>
      <c r="G1921" s="72">
        <v>33545</v>
      </c>
      <c r="P1921" s="26"/>
    </row>
    <row r="1922" spans="1:16" ht="14.5">
      <c r="A1922" s="3" t="s">
        <v>38</v>
      </c>
      <c r="B1922" s="27" t="s">
        <v>2824</v>
      </c>
      <c r="C1922" s="46" t="s">
        <v>5535</v>
      </c>
      <c r="D1922" s="41" t="str">
        <f ca="1">IFERROR(__xludf.DUMMYFUNCTION("IFERROR(ARRAYFORMULA(REGEXEXTRACT(C1922,""^(?:https?:\/\/)?(?:[^@\n]+@)?(?:www\.)?([^:\/\n]+)"")),"""")"),"creditdonkey.com")</f>
        <v>creditdonkey.com</v>
      </c>
      <c r="E1922" s="26" t="str">
        <f ca="1">IFERROR(__xludf.DUMMYFUNCTION("""COMPUTED_VALUE"""),"New")</f>
        <v>New</v>
      </c>
      <c r="F1922" s="72">
        <v>75</v>
      </c>
      <c r="G1922" s="72">
        <v>7717</v>
      </c>
      <c r="P1922" s="26"/>
    </row>
    <row r="1923" spans="1:16" ht="14.5">
      <c r="A1923" s="3" t="s">
        <v>38</v>
      </c>
      <c r="B1923" s="27" t="s">
        <v>2824</v>
      </c>
      <c r="C1923" s="46" t="s">
        <v>5536</v>
      </c>
      <c r="D1923" s="41" t="str">
        <f ca="1">IFERROR(__xludf.DUMMYFUNCTION("IFERROR(ARRAYFORMULA(REGEXEXTRACT(C1923,""^(?:https?:\/\/)?(?:[^@\n]+@)?(?:www\.)?([^:\/\n]+)"")),"""")"),"thesummitwellnessgroup.com")</f>
        <v>thesummitwellnessgroup.com</v>
      </c>
      <c r="E1923" s="26" t="str">
        <f ca="1">IFERROR(__xludf.DUMMYFUNCTION("""COMPUTED_VALUE"""),"New")</f>
        <v>New</v>
      </c>
      <c r="F1923" s="72">
        <v>53</v>
      </c>
      <c r="G1923" s="72">
        <v>15816</v>
      </c>
      <c r="P1923" s="26"/>
    </row>
    <row r="1924" spans="1:16" ht="14.5">
      <c r="A1924" s="3" t="s">
        <v>38</v>
      </c>
      <c r="B1924" s="27" t="s">
        <v>2824</v>
      </c>
      <c r="C1924" s="46" t="s">
        <v>5537</v>
      </c>
      <c r="D1924" s="41" t="str">
        <f ca="1">IFERROR(__xludf.DUMMYFUNCTION("IFERROR(ARRAYFORMULA(REGEXEXTRACT(C1924,""^(?:https?:\/\/)?(?:[^@\n]+@)?(?:www\.)?([^:\/\n]+)"")),"""")"),"artsyltech.com")</f>
        <v>artsyltech.com</v>
      </c>
      <c r="E1924" s="26" t="str">
        <f ca="1">IFERROR(__xludf.DUMMYFUNCTION("""COMPUTED_VALUE"""),"New")</f>
        <v>New</v>
      </c>
      <c r="F1924" s="72">
        <v>71</v>
      </c>
      <c r="G1924" s="72">
        <v>6953</v>
      </c>
      <c r="P1924" s="26"/>
    </row>
    <row r="1925" spans="1:16" ht="14.5">
      <c r="A1925" s="3" t="s">
        <v>38</v>
      </c>
      <c r="B1925" s="27" t="s">
        <v>2824</v>
      </c>
      <c r="C1925" s="46" t="s">
        <v>5538</v>
      </c>
      <c r="D1925" s="41" t="str">
        <f ca="1">IFERROR(__xludf.DUMMYFUNCTION("IFERROR(ARRAYFORMULA(REGEXEXTRACT(C1925,""^(?:https?:\/\/)?(?:[^@\n]+@)?(?:www\.)?([^:\/\n]+)"")),"""")"),"scarymommy.com")</f>
        <v>scarymommy.com</v>
      </c>
      <c r="E1925" s="26" t="str">
        <f ca="1">IFERROR(__xludf.DUMMYFUNCTION("""COMPUTED_VALUE"""),"New")</f>
        <v>New</v>
      </c>
      <c r="F1925" s="72">
        <v>78</v>
      </c>
      <c r="G1925" s="72">
        <v>360053</v>
      </c>
      <c r="P1925" s="26"/>
    </row>
    <row r="1926" spans="1:16" ht="14.5">
      <c r="A1926" s="3" t="s">
        <v>38</v>
      </c>
      <c r="B1926" s="27" t="s">
        <v>2824</v>
      </c>
      <c r="C1926" s="46" t="s">
        <v>5539</v>
      </c>
      <c r="D1926" s="41" t="str">
        <f ca="1">IFERROR(__xludf.DUMMYFUNCTION("IFERROR(ARRAYFORMULA(REGEXEXTRACT(C1926,""^(?:https?:\/\/)?(?:[^@\n]+@)?(?:www\.)?([^:\/\n]+)"")),"""")"),"qureos.com")</f>
        <v>qureos.com</v>
      </c>
      <c r="E1926" s="26" t="str">
        <f ca="1">IFERROR(__xludf.DUMMYFUNCTION("""COMPUTED_VALUE"""),"New")</f>
        <v>New</v>
      </c>
      <c r="F1926" s="72">
        <v>63</v>
      </c>
      <c r="G1926" s="72">
        <v>22692</v>
      </c>
      <c r="P1926" s="26"/>
    </row>
    <row r="1927" spans="1:16" ht="14.5">
      <c r="A1927" s="3" t="s">
        <v>38</v>
      </c>
      <c r="B1927" s="27" t="s">
        <v>2824</v>
      </c>
      <c r="C1927" s="46" t="s">
        <v>5540</v>
      </c>
      <c r="D1927" s="41" t="str">
        <f ca="1">IFERROR(__xludf.DUMMYFUNCTION("IFERROR(ARRAYFORMULA(REGEXEXTRACT(C1927,""^(?:https?:\/\/)?(?:[^@\n]+@)?(?:www\.)?([^:\/\n]+)"")),"""")"),"richmond.com")</f>
        <v>richmond.com</v>
      </c>
      <c r="E1927" s="26" t="str">
        <f ca="1">IFERROR(__xludf.DUMMYFUNCTION("""COMPUTED_VALUE"""),"New")</f>
        <v>New</v>
      </c>
      <c r="F1927" s="72">
        <v>80</v>
      </c>
      <c r="G1927" s="72">
        <v>70290</v>
      </c>
      <c r="P1927" s="26"/>
    </row>
    <row r="1928" spans="1:16" ht="14.5">
      <c r="A1928" s="3" t="s">
        <v>38</v>
      </c>
      <c r="B1928" s="27" t="s">
        <v>2824</v>
      </c>
      <c r="C1928" s="46" t="s">
        <v>5541</v>
      </c>
      <c r="D1928" s="41" t="str">
        <f ca="1">IFERROR(__xludf.DUMMYFUNCTION("IFERROR(ARRAYFORMULA(REGEXEXTRACT(C1928,""^(?:https?:\/\/)?(?:[^@\n]+@)?(?:www\.)?([^:\/\n]+)"")),"""")"),"inkle.io")</f>
        <v>inkle.io</v>
      </c>
      <c r="E1928" s="26" t="str">
        <f ca="1">IFERROR(__xludf.DUMMYFUNCTION("""COMPUTED_VALUE"""),"New")</f>
        <v>New</v>
      </c>
      <c r="F1928" s="72">
        <v>54</v>
      </c>
      <c r="G1928" s="72">
        <v>2272</v>
      </c>
      <c r="P1928" s="26"/>
    </row>
    <row r="1929" spans="1:16" ht="14.5">
      <c r="A1929" s="3" t="s">
        <v>38</v>
      </c>
      <c r="B1929" s="27" t="s">
        <v>2824</v>
      </c>
      <c r="C1929" s="49" t="s">
        <v>5542</v>
      </c>
      <c r="D1929" s="41" t="str">
        <f ca="1">IFERROR(__xludf.DUMMYFUNCTION("IFERROR(ARRAYFORMULA(REGEXEXTRACT(C1929,""^(?:https?:\/\/)?(?:[^@\n]+@)?(?:www\.)?([^:\/\n]+)"")),"""")"),"sprintzeal.com")</f>
        <v>sprintzeal.com</v>
      </c>
      <c r="E1929" s="26" t="str">
        <f ca="1">IFERROR(__xludf.DUMMYFUNCTION("""COMPUTED_VALUE"""),"New")</f>
        <v>New</v>
      </c>
      <c r="F1929" s="72">
        <v>62</v>
      </c>
      <c r="G1929" s="72">
        <v>19301</v>
      </c>
      <c r="H1929" s="27" t="s">
        <v>5543</v>
      </c>
      <c r="I1929" s="38" t="s">
        <v>5544</v>
      </c>
      <c r="J1929" s="38" t="s">
        <v>5545</v>
      </c>
      <c r="K1929" s="27" t="s">
        <v>3791</v>
      </c>
      <c r="L1929" s="112"/>
      <c r="M1929" s="27" t="s">
        <v>3715</v>
      </c>
      <c r="N1929" s="48">
        <v>46048</v>
      </c>
      <c r="P1929" s="26"/>
    </row>
    <row r="1930" spans="1:16" ht="14.5">
      <c r="A1930" s="3" t="s">
        <v>38</v>
      </c>
      <c r="B1930" s="27" t="s">
        <v>2824</v>
      </c>
      <c r="C1930" s="46" t="s">
        <v>5546</v>
      </c>
      <c r="D1930" s="41" t="str">
        <f ca="1">IFERROR(__xludf.DUMMYFUNCTION("IFERROR(ARRAYFORMULA(REGEXEXTRACT(C1930,""^(?:https?:\/\/)?(?:[^@\n]+@)?(?:www\.)?([^:\/\n]+)"")),"""")"),"kesq.com")</f>
        <v>kesq.com</v>
      </c>
      <c r="E1930" s="26" t="str">
        <f ca="1">IFERROR(__xludf.DUMMYFUNCTION("""COMPUTED_VALUE"""),"New")</f>
        <v>New</v>
      </c>
      <c r="F1930" s="72">
        <v>73</v>
      </c>
      <c r="G1930" s="72">
        <v>48640</v>
      </c>
      <c r="P1930" s="26"/>
    </row>
    <row r="1931" spans="1:16" ht="14.5">
      <c r="A1931" s="3" t="s">
        <v>38</v>
      </c>
      <c r="B1931" s="27" t="s">
        <v>2824</v>
      </c>
      <c r="C1931" s="46" t="s">
        <v>5547</v>
      </c>
      <c r="D1931" s="41" t="str">
        <f ca="1">IFERROR(__xludf.DUMMYFUNCTION("IFERROR(ARRAYFORMULA(REGEXEXTRACT(C1931,""^(?:https?:\/\/)?(?:[^@\n]+@)?(?:www\.)?([^:\/\n]+)"")),"""")"),"chamberlains.com.au")</f>
        <v>chamberlains.com.au</v>
      </c>
      <c r="E1931" s="26" t="str">
        <f ca="1">IFERROR(__xludf.DUMMYFUNCTION("""COMPUTED_VALUE"""),"New")</f>
        <v>New</v>
      </c>
      <c r="F1931" s="72">
        <v>32</v>
      </c>
      <c r="G1931" s="72">
        <v>6080</v>
      </c>
      <c r="P1931" s="26"/>
    </row>
    <row r="1932" spans="1:16" ht="14.5">
      <c r="A1932" s="3" t="s">
        <v>38</v>
      </c>
      <c r="B1932" s="27" t="s">
        <v>2824</v>
      </c>
      <c r="C1932" s="46" t="s">
        <v>5548</v>
      </c>
      <c r="D1932" s="41" t="str">
        <f ca="1">IFERROR(__xludf.DUMMYFUNCTION("IFERROR(ARRAYFORMULA(REGEXEXTRACT(C1932,""^(?:https?:\/\/)?(?:[^@\n]+@)?(?:www\.)?([^:\/\n]+)"")),"""")"),"top4.com.au")</f>
        <v>top4.com.au</v>
      </c>
      <c r="E1932" s="26" t="str">
        <f ca="1">IFERROR(__xludf.DUMMYFUNCTION("""COMPUTED_VALUE"""),"New")</f>
        <v>New</v>
      </c>
      <c r="F1932" s="72">
        <v>47</v>
      </c>
      <c r="G1932" s="72">
        <v>4546</v>
      </c>
      <c r="P1932" s="26"/>
    </row>
    <row r="1933" spans="1:16" ht="14.5">
      <c r="A1933" s="3" t="s">
        <v>38</v>
      </c>
      <c r="B1933" s="27" t="s">
        <v>2824</v>
      </c>
      <c r="C1933" s="46" t="s">
        <v>5549</v>
      </c>
      <c r="D1933" s="41" t="str">
        <f ca="1">IFERROR(__xludf.DUMMYFUNCTION("IFERROR(ARRAYFORMULA(REGEXEXTRACT(C1933,""^(?:https?:\/\/)?(?:[^@\n]+@)?(?:www\.)?([^:\/\n]+)"")),"""")"),"goodhousekeeping.com")</f>
        <v>goodhousekeeping.com</v>
      </c>
      <c r="E1933" s="26" t="str">
        <f ca="1">IFERROR(__xludf.DUMMYFUNCTION("""COMPUTED_VALUE"""),"New")</f>
        <v>New</v>
      </c>
      <c r="F1933" s="72">
        <v>90</v>
      </c>
      <c r="G1933" s="72">
        <v>10686806</v>
      </c>
      <c r="P1933" s="26"/>
    </row>
    <row r="1934" spans="1:16" ht="14.5">
      <c r="A1934" s="3" t="s">
        <v>38</v>
      </c>
      <c r="B1934" s="27" t="s">
        <v>2824</v>
      </c>
      <c r="C1934" s="46" t="s">
        <v>5550</v>
      </c>
      <c r="D1934" s="41" t="str">
        <f ca="1">IFERROR(__xludf.DUMMYFUNCTION("IFERROR(ARRAYFORMULA(REGEXEXTRACT(C1934,""^(?:https?:\/\/)?(?:[^@\n]+@)?(?:www\.)?([^:\/\n]+)"")),"""")"),"jobleads.com")</f>
        <v>jobleads.com</v>
      </c>
      <c r="E1934" s="26" t="str">
        <f ca="1">IFERROR(__xludf.DUMMYFUNCTION("""COMPUTED_VALUE"""),"New")</f>
        <v>New</v>
      </c>
      <c r="F1934" s="72">
        <v>54</v>
      </c>
      <c r="G1934" s="72">
        <v>22321</v>
      </c>
      <c r="P1934" s="26"/>
    </row>
    <row r="1935" spans="1:16" ht="14.5">
      <c r="A1935" s="3" t="s">
        <v>38</v>
      </c>
      <c r="B1935" s="27" t="s">
        <v>2824</v>
      </c>
      <c r="C1935" s="46" t="s">
        <v>5551</v>
      </c>
      <c r="D1935" s="41" t="str">
        <f ca="1">IFERROR(__xludf.DUMMYFUNCTION("IFERROR(ARRAYFORMULA(REGEXEXTRACT(C1935,""^(?:https?:\/\/)?(?:[^@\n]+@)?(?:www\.)?([^:\/\n]+)"")),"""")"),"advertisers.mediaradar.com")</f>
        <v>advertisers.mediaradar.com</v>
      </c>
      <c r="E1935" s="26" t="str">
        <f ca="1">IFERROR(__xludf.DUMMYFUNCTION("""COMPUTED_VALUE"""),"New")</f>
        <v>New</v>
      </c>
      <c r="F1935" s="72">
        <v>66</v>
      </c>
      <c r="G1935" s="72">
        <v>4708</v>
      </c>
      <c r="P1935" s="26"/>
    </row>
    <row r="1936" spans="1:16" ht="14.5">
      <c r="A1936" s="3" t="s">
        <v>38</v>
      </c>
      <c r="B1936" s="27" t="s">
        <v>2824</v>
      </c>
      <c r="C1936" s="46" t="s">
        <v>5552</v>
      </c>
      <c r="D1936" s="41" t="str">
        <f ca="1">IFERROR(__xludf.DUMMYFUNCTION("IFERROR(ARRAYFORMULA(REGEXEXTRACT(C1936,""^(?:https?:\/\/)?(?:[^@\n]+@)?(?:www\.)?([^:\/\n]+)"")),"""")"),"rategenius.com")</f>
        <v>rategenius.com</v>
      </c>
      <c r="E1936" s="26" t="str">
        <f ca="1">IFERROR(__xludf.DUMMYFUNCTION("""COMPUTED_VALUE"""),"New")</f>
        <v>New</v>
      </c>
      <c r="F1936" s="72">
        <v>51</v>
      </c>
      <c r="G1936" s="72">
        <v>14040</v>
      </c>
      <c r="P1936" s="26"/>
    </row>
    <row r="1937" spans="1:16" ht="14.5">
      <c r="A1937" s="3" t="s">
        <v>38</v>
      </c>
      <c r="B1937" s="27" t="s">
        <v>2824</v>
      </c>
      <c r="C1937" s="46" t="s">
        <v>5553</v>
      </c>
      <c r="D1937" s="41" t="str">
        <f ca="1">IFERROR(__xludf.DUMMYFUNCTION("IFERROR(ARRAYFORMULA(REGEXEXTRACT(C1937,""^(?:https?:\/\/)?(?:[^@\n]+@)?(?:www\.)?([^:\/\n]+)"")),"""")"),"auburnpub.com")</f>
        <v>auburnpub.com</v>
      </c>
      <c r="E1937" s="26" t="str">
        <f ca="1">IFERROR(__xludf.DUMMYFUNCTION("""COMPUTED_VALUE"""),"New")</f>
        <v>New</v>
      </c>
      <c r="F1937" s="72">
        <v>72</v>
      </c>
      <c r="G1937" s="72">
        <v>16686</v>
      </c>
      <c r="P1937" s="26"/>
    </row>
    <row r="1938" spans="1:16" ht="14.5">
      <c r="A1938" s="3" t="s">
        <v>38</v>
      </c>
      <c r="B1938" s="27" t="s">
        <v>2824</v>
      </c>
      <c r="C1938" s="46" t="s">
        <v>5554</v>
      </c>
      <c r="D1938" s="41" t="str">
        <f ca="1">IFERROR(__xludf.DUMMYFUNCTION("IFERROR(ARRAYFORMULA(REGEXEXTRACT(C1938,""^(?:https?:\/\/)?(?:[^@\n]+@)?(?:www\.)?([^:\/\n]+)"")),"""")"),"helenair.com")</f>
        <v>helenair.com</v>
      </c>
      <c r="E1938" s="26" t="str">
        <f ca="1">IFERROR(__xludf.DUMMYFUNCTION("""COMPUTED_VALUE"""),"New")</f>
        <v>New</v>
      </c>
      <c r="F1938" s="72">
        <v>72</v>
      </c>
      <c r="G1938" s="72">
        <v>11127</v>
      </c>
      <c r="P1938" s="26"/>
    </row>
    <row r="1939" spans="1:16" ht="14.5">
      <c r="A1939" s="3" t="s">
        <v>38</v>
      </c>
      <c r="B1939" s="27" t="s">
        <v>2824</v>
      </c>
      <c r="C1939" s="46" t="s">
        <v>5555</v>
      </c>
      <c r="D1939" s="41" t="str">
        <f ca="1">IFERROR(__xludf.DUMMYFUNCTION("IFERROR(ARRAYFORMULA(REGEXEXTRACT(C1939,""^(?:https?:\/\/)?(?:[^@\n]+@)?(?:www\.)?([^:\/\n]+)"")),"""")"),"solosuit.com")</f>
        <v>solosuit.com</v>
      </c>
      <c r="E1939" s="26" t="str">
        <f ca="1">IFERROR(__xludf.DUMMYFUNCTION("""COMPUTED_VALUE"""),"New")</f>
        <v>New</v>
      </c>
      <c r="F1939" s="72">
        <v>49</v>
      </c>
      <c r="G1939" s="72">
        <v>75584</v>
      </c>
      <c r="P1939" s="26"/>
    </row>
    <row r="1940" spans="1:16" ht="14.5">
      <c r="A1940" s="3" t="s">
        <v>38</v>
      </c>
      <c r="B1940" s="27" t="s">
        <v>2824</v>
      </c>
      <c r="C1940" s="46" t="s">
        <v>5556</v>
      </c>
      <c r="D1940" s="41" t="str">
        <f ca="1">IFERROR(__xludf.DUMMYFUNCTION("IFERROR(ARRAYFORMULA(REGEXEXTRACT(C1940,""^(?:https?:\/\/)?(?:[^@\n]+@)?(?:www\.)?([^:\/\n]+)"")),"""")"),"testsigma.com")</f>
        <v>testsigma.com</v>
      </c>
      <c r="E1940" s="26" t="str">
        <f ca="1">IFERROR(__xludf.DUMMYFUNCTION("""COMPUTED_VALUE"""),"New")</f>
        <v>New</v>
      </c>
      <c r="F1940" s="72">
        <v>73</v>
      </c>
      <c r="G1940" s="72">
        <v>69235</v>
      </c>
      <c r="P1940" s="26"/>
    </row>
    <row r="1941" spans="1:16" ht="14.5">
      <c r="A1941" s="3" t="s">
        <v>38</v>
      </c>
      <c r="B1941" s="27" t="s">
        <v>2824</v>
      </c>
      <c r="C1941" s="46" t="s">
        <v>5557</v>
      </c>
      <c r="D1941" s="41" t="str">
        <f ca="1">IFERROR(__xludf.DUMMYFUNCTION("IFERROR(ARRAYFORMULA(REGEXEXTRACT(C1941,""^(?:https?:\/\/)?(?:[^@\n]+@)?(?:www\.)?([^:\/\n]+)"")),"""")"),"leewayhertz.com")</f>
        <v>leewayhertz.com</v>
      </c>
      <c r="E1941" s="26" t="str">
        <f ca="1">IFERROR(__xludf.DUMMYFUNCTION("""COMPUTED_VALUE"""),"New")</f>
        <v>New</v>
      </c>
      <c r="F1941" s="72">
        <v>71</v>
      </c>
      <c r="G1941" s="72">
        <v>29435</v>
      </c>
      <c r="P1941" s="26"/>
    </row>
    <row r="1942" spans="1:16" ht="14.5">
      <c r="A1942" s="3" t="s">
        <v>38</v>
      </c>
      <c r="B1942" s="27" t="s">
        <v>2824</v>
      </c>
      <c r="C1942" s="46" t="s">
        <v>5558</v>
      </c>
      <c r="D1942" s="41" t="str">
        <f ca="1">IFERROR(__xludf.DUMMYFUNCTION("IFERROR(ARRAYFORMULA(REGEXEXTRACT(C1942,""^(?:https?:\/\/)?(?:[^@\n]+@)?(?:www\.)?([^:\/\n]+)"")),"""")"),"sqmagazine.co.uk")</f>
        <v>sqmagazine.co.uk</v>
      </c>
      <c r="E1942" s="26" t="str">
        <f ca="1">IFERROR(__xludf.DUMMYFUNCTION("""COMPUTED_VALUE"""),"New")</f>
        <v>New</v>
      </c>
      <c r="F1942" s="72">
        <v>74</v>
      </c>
      <c r="G1942" s="72">
        <v>4505</v>
      </c>
      <c r="P1942" s="26"/>
    </row>
    <row r="1943" spans="1:16" ht="14.5">
      <c r="A1943" s="3" t="s">
        <v>38</v>
      </c>
      <c r="B1943" s="27" t="s">
        <v>2824</v>
      </c>
      <c r="C1943" s="46" t="s">
        <v>5559</v>
      </c>
      <c r="D1943" s="41" t="str">
        <f ca="1">IFERROR(__xludf.DUMMYFUNCTION("IFERROR(ARRAYFORMULA(REGEXEXTRACT(C1943,""^(?:https?:\/\/)?(?:[^@\n]+@)?(?:www\.)?([^:\/\n]+)"")),"""")"),"sbcanning.com")</f>
        <v>sbcanning.com</v>
      </c>
      <c r="E1943" s="26" t="str">
        <f ca="1">IFERROR(__xludf.DUMMYFUNCTION("""COMPUTED_VALUE"""),"New")</f>
        <v>New</v>
      </c>
      <c r="F1943" s="72">
        <v>39</v>
      </c>
      <c r="G1943" s="72">
        <v>1582</v>
      </c>
      <c r="P1943" s="26"/>
    </row>
    <row r="1944" spans="1:16" ht="14.5">
      <c r="A1944" s="3" t="s">
        <v>38</v>
      </c>
      <c r="B1944" s="27" t="s">
        <v>2824</v>
      </c>
      <c r="C1944" s="46" t="s">
        <v>5560</v>
      </c>
      <c r="D1944" s="41" t="str">
        <f ca="1">IFERROR(__xludf.DUMMYFUNCTION("IFERROR(ARRAYFORMULA(REGEXEXTRACT(C1944,""^(?:https?:\/\/)?(?:[^@\n]+@)?(?:www\.)?([^:\/\n]+)"")),"""")"),"lingualift.com")</f>
        <v>lingualift.com</v>
      </c>
      <c r="E1944" s="26" t="str">
        <f ca="1">IFERROR(__xludf.DUMMYFUNCTION("""COMPUTED_VALUE"""),"New")</f>
        <v>New</v>
      </c>
      <c r="F1944" s="72">
        <v>49</v>
      </c>
      <c r="G1944" s="72">
        <v>4079</v>
      </c>
      <c r="P1944" s="26"/>
    </row>
    <row r="1945" spans="1:16" ht="14.5">
      <c r="A1945" s="3" t="s">
        <v>38</v>
      </c>
      <c r="B1945" s="27" t="s">
        <v>2824</v>
      </c>
      <c r="C1945" s="46" t="s">
        <v>5561</v>
      </c>
      <c r="D1945" s="41" t="str">
        <f ca="1">IFERROR(__xludf.DUMMYFUNCTION("IFERROR(ARRAYFORMULA(REGEXEXTRACT(C1945,""^(?:https?:\/\/)?(?:[^@\n]+@)?(?:www\.)?([^:\/\n]+)"")),"""")"),"fredericksburg.com")</f>
        <v>fredericksburg.com</v>
      </c>
      <c r="E1945" s="26" t="str">
        <f ca="1">IFERROR(__xludf.DUMMYFUNCTION("""COMPUTED_VALUE"""),"New")</f>
        <v>New</v>
      </c>
      <c r="F1945" s="72">
        <v>74</v>
      </c>
      <c r="G1945" s="72">
        <v>8996</v>
      </c>
      <c r="P1945" s="26"/>
    </row>
    <row r="1946" spans="1:16" ht="14.5">
      <c r="A1946" s="3" t="s">
        <v>38</v>
      </c>
      <c r="B1946" s="27" t="s">
        <v>2824</v>
      </c>
      <c r="C1946" s="46" t="s">
        <v>5562</v>
      </c>
      <c r="D1946" s="41" t="str">
        <f ca="1">IFERROR(__xludf.DUMMYFUNCTION("IFERROR(ARRAYFORMULA(REGEXEXTRACT(C1946,""^(?:https?:\/\/)?(?:[^@\n]+@)?(?:www\.)?([^:\/\n]+)"")),"""")"),"trib.com")</f>
        <v>trib.com</v>
      </c>
      <c r="E1946" s="26" t="str">
        <f ca="1">IFERROR(__xludf.DUMMYFUNCTION("""COMPUTED_VALUE"""),"New")</f>
        <v>New</v>
      </c>
      <c r="F1946" s="72">
        <v>74</v>
      </c>
      <c r="G1946" s="72">
        <v>5512</v>
      </c>
      <c r="P1946" s="26"/>
    </row>
    <row r="1947" spans="1:16" ht="14.5">
      <c r="A1947" s="3" t="s">
        <v>38</v>
      </c>
      <c r="B1947" s="27" t="s">
        <v>2824</v>
      </c>
      <c r="C1947" s="47" t="s">
        <v>5563</v>
      </c>
      <c r="D1947" s="41" t="str">
        <f ca="1">IFERROR(__xludf.DUMMYFUNCTION("IFERROR(ARRAYFORMULA(REGEXEXTRACT(C1947,""^(?:https?:\/\/)?(?:[^@\n]+@)?(?:www\.)?([^:\/\n]+)"")),"""")"),"usa.inquirer.net")</f>
        <v>usa.inquirer.net</v>
      </c>
      <c r="E1947" s="26" t="str">
        <f ca="1">IFERROR(__xludf.DUMMYFUNCTION("""COMPUTED_VALUE"""),"New")</f>
        <v>New</v>
      </c>
      <c r="F1947" s="72">
        <v>84</v>
      </c>
      <c r="G1947" s="72">
        <v>1647998</v>
      </c>
      <c r="H1947" s="27" t="s">
        <v>5564</v>
      </c>
      <c r="I1947" s="27" t="s">
        <v>5565</v>
      </c>
      <c r="J1947" s="27" t="s">
        <v>5566</v>
      </c>
      <c r="K1947" s="27" t="s">
        <v>3772</v>
      </c>
      <c r="L1947" s="112"/>
      <c r="M1947" s="27" t="s">
        <v>3715</v>
      </c>
      <c r="N1947" s="48">
        <v>46048</v>
      </c>
      <c r="P1947" s="27" t="s">
        <v>3201</v>
      </c>
    </row>
    <row r="1948" spans="1:16" ht="14.5">
      <c r="A1948" s="3" t="s">
        <v>38</v>
      </c>
      <c r="B1948" s="27" t="s">
        <v>2824</v>
      </c>
      <c r="C1948" s="46" t="s">
        <v>5567</v>
      </c>
      <c r="D1948" s="41" t="str">
        <f ca="1">IFERROR(__xludf.DUMMYFUNCTION("IFERROR(ARRAYFORMULA(REGEXEXTRACT(C1948,""^(?:https?:\/\/)?(?:[^@\n]+@)?(?:www\.)?([^:\/\n]+)"")),"""")"),"rentredi.com")</f>
        <v>rentredi.com</v>
      </c>
      <c r="E1948" s="26" t="str">
        <f ca="1">IFERROR(__xludf.DUMMYFUNCTION("""COMPUTED_VALUE"""),"New")</f>
        <v>New</v>
      </c>
      <c r="F1948" s="72">
        <v>74</v>
      </c>
      <c r="G1948" s="72">
        <v>53083</v>
      </c>
      <c r="P1948" s="26"/>
    </row>
    <row r="1949" spans="1:16" ht="14.5">
      <c r="A1949" s="3" t="s">
        <v>38</v>
      </c>
      <c r="B1949" s="27" t="s">
        <v>2824</v>
      </c>
      <c r="C1949" s="46" t="s">
        <v>5568</v>
      </c>
      <c r="D1949" s="41" t="str">
        <f ca="1">IFERROR(__xludf.DUMMYFUNCTION("IFERROR(ARRAYFORMULA(REGEXEXTRACT(C1949,""^(?:https?:\/\/)?(?:[^@\n]+@)?(?:www\.)?([^:\/\n]+)"")),"""")"),"withconfetti.com")</f>
        <v>withconfetti.com</v>
      </c>
      <c r="E1949" s="26" t="str">
        <f ca="1">IFERROR(__xludf.DUMMYFUNCTION("""COMPUTED_VALUE"""),"New")</f>
        <v>New</v>
      </c>
      <c r="F1949" s="72">
        <v>67</v>
      </c>
      <c r="G1949" s="72">
        <v>17245</v>
      </c>
      <c r="P1949" s="26"/>
    </row>
    <row r="1950" spans="1:16" ht="14.5">
      <c r="A1950" s="3" t="s">
        <v>38</v>
      </c>
      <c r="B1950" s="27" t="s">
        <v>2824</v>
      </c>
      <c r="C1950" s="46" t="s">
        <v>5569</v>
      </c>
      <c r="D1950" s="41" t="str">
        <f ca="1">IFERROR(__xludf.DUMMYFUNCTION("IFERROR(ARRAYFORMULA(REGEXEXTRACT(C1950,""^(?:https?:\/\/)?(?:[^@\n]+@)?(?:www\.)?([^:\/\n]+)"")),"""")"),"moneyconnexion.com")</f>
        <v>moneyconnexion.com</v>
      </c>
      <c r="E1950" s="26" t="str">
        <f ca="1">IFERROR(__xludf.DUMMYFUNCTION("""COMPUTED_VALUE"""),"New")</f>
        <v>New</v>
      </c>
      <c r="F1950" s="72">
        <v>38</v>
      </c>
      <c r="G1950" s="72">
        <v>1422</v>
      </c>
      <c r="P1950" s="26"/>
    </row>
    <row r="1951" spans="1:16" ht="14.5">
      <c r="A1951" s="3" t="s">
        <v>38</v>
      </c>
      <c r="B1951" s="27" t="s">
        <v>2824</v>
      </c>
      <c r="C1951" s="46" t="s">
        <v>5570</v>
      </c>
      <c r="D1951" s="41" t="str">
        <f ca="1">IFERROR(__xludf.DUMMYFUNCTION("IFERROR(ARRAYFORMULA(REGEXEXTRACT(C1951,""^(?:https?:\/\/)?(?:[^@\n]+@)?(?:www\.)?([^:\/\n]+)"")),"""")"),"outrightsystems.org")</f>
        <v>outrightsystems.org</v>
      </c>
      <c r="E1951" s="26" t="str">
        <f ca="1">IFERROR(__xludf.DUMMYFUNCTION("""COMPUTED_VALUE"""),"New")</f>
        <v>New</v>
      </c>
      <c r="F1951" s="72">
        <v>41</v>
      </c>
      <c r="G1951" s="72">
        <v>28249</v>
      </c>
      <c r="P1951" s="26"/>
    </row>
    <row r="1952" spans="1:16" ht="14.5">
      <c r="A1952" s="3" t="s">
        <v>38</v>
      </c>
      <c r="B1952" s="27" t="s">
        <v>2824</v>
      </c>
      <c r="C1952" s="46" t="s">
        <v>5571</v>
      </c>
      <c r="D1952" s="41" t="str">
        <f ca="1">IFERROR(__xludf.DUMMYFUNCTION("IFERROR(ARRAYFORMULA(REGEXEXTRACT(C1952,""^(?:https?:\/\/)?(?:[^@\n]+@)?(?:www\.)?([^:\/\n]+)"")),"""")"),"banks.com")</f>
        <v>banks.com</v>
      </c>
      <c r="E1952" s="26" t="str">
        <f ca="1">IFERROR(__xludf.DUMMYFUNCTION("""COMPUTED_VALUE"""),"New")</f>
        <v>New</v>
      </c>
      <c r="F1952" s="72">
        <v>50</v>
      </c>
      <c r="G1952" s="72">
        <v>4001</v>
      </c>
      <c r="P1952" s="26"/>
    </row>
    <row r="1953" spans="1:16" ht="14.5">
      <c r="A1953" s="3" t="s">
        <v>38</v>
      </c>
      <c r="B1953" s="27" t="s">
        <v>2824</v>
      </c>
      <c r="C1953" s="46" t="s">
        <v>5572</v>
      </c>
      <c r="D1953" s="41" t="str">
        <f ca="1">IFERROR(__xludf.DUMMYFUNCTION("IFERROR(ARRAYFORMULA(REGEXEXTRACT(C1953,""^(?:https?:\/\/)?(?:[^@\n]+@)?(?:www\.)?([^:\/\n]+)"")),"""")"),"helpware.com")</f>
        <v>helpware.com</v>
      </c>
      <c r="E1953" s="26" t="str">
        <f ca="1">IFERROR(__xludf.DUMMYFUNCTION("""COMPUTED_VALUE"""),"New")</f>
        <v>New</v>
      </c>
      <c r="F1953" s="72">
        <v>73</v>
      </c>
      <c r="G1953" s="72">
        <v>17850</v>
      </c>
      <c r="P1953" s="26"/>
    </row>
    <row r="1954" spans="1:16" ht="14.5">
      <c r="A1954" s="3" t="s">
        <v>38</v>
      </c>
      <c r="B1954" s="27" t="s">
        <v>2824</v>
      </c>
      <c r="C1954" s="46" t="s">
        <v>5573</v>
      </c>
      <c r="D1954" s="41" t="str">
        <f ca="1">IFERROR(__xludf.DUMMYFUNCTION("IFERROR(ARRAYFORMULA(REGEXEXTRACT(C1954,""^(?:https?:\/\/)?(?:[^@\n]+@)?(?:www\.)?([^:\/\n]+)"")),"""")"),"blackenterprise.com")</f>
        <v>blackenterprise.com</v>
      </c>
      <c r="E1954" s="26" t="str">
        <f ca="1">IFERROR(__xludf.DUMMYFUNCTION("""COMPUTED_VALUE"""),"New")</f>
        <v>New</v>
      </c>
      <c r="F1954" s="72">
        <v>81</v>
      </c>
      <c r="G1954" s="72">
        <v>47567</v>
      </c>
      <c r="P1954" s="26"/>
    </row>
    <row r="1955" spans="1:16" ht="14.5" hidden="1">
      <c r="A1955" s="3" t="s">
        <v>38</v>
      </c>
      <c r="B1955" s="27" t="s">
        <v>2824</v>
      </c>
      <c r="C1955" s="46" t="s">
        <v>5574</v>
      </c>
      <c r="D1955" s="41" t="str">
        <f ca="1">IFERROR(__xludf.DUMMYFUNCTION("IFERROR(ARRAYFORMULA(REGEXEXTRACT(C1955,""^(?:https?:\/\/)?(?:[^@\n]+@)?(?:www\.)?([^:\/\n]+)"")),"""")"),"findcontinuingcare.com")</f>
        <v>findcontinuingcare.com</v>
      </c>
      <c r="E1955" s="26" t="str">
        <f ca="1">IFERROR(__xludf.DUMMYFUNCTION("""COMPUTED_VALUE"""),"Already Exists")</f>
        <v>Already Exists</v>
      </c>
      <c r="F1955" s="72">
        <v>34</v>
      </c>
      <c r="G1955" s="72">
        <v>1339</v>
      </c>
      <c r="P1955" s="26"/>
    </row>
    <row r="1956" spans="1:16" ht="14.5">
      <c r="A1956" s="3" t="s">
        <v>38</v>
      </c>
      <c r="B1956" s="27" t="s">
        <v>2824</v>
      </c>
      <c r="C1956" s="46" t="s">
        <v>5575</v>
      </c>
      <c r="D1956" s="41" t="str">
        <f ca="1">IFERROR(__xludf.DUMMYFUNCTION("IFERROR(ARRAYFORMULA(REGEXEXTRACT(C1956,""^(?:https?:\/\/)?(?:[^@\n]+@)?(?:www\.)?([^:\/\n]+)"")),"""")"),"diplomaframe.com")</f>
        <v>diplomaframe.com</v>
      </c>
      <c r="E1956" s="26" t="str">
        <f ca="1">IFERROR(__xludf.DUMMYFUNCTION("""COMPUTED_VALUE"""),"New")</f>
        <v>New</v>
      </c>
      <c r="F1956" s="72">
        <v>69</v>
      </c>
      <c r="G1956" s="72">
        <v>34463</v>
      </c>
      <c r="P1956" s="26"/>
    </row>
    <row r="1957" spans="1:16" ht="14.5">
      <c r="A1957" s="3" t="s">
        <v>38</v>
      </c>
      <c r="B1957" s="27" t="s">
        <v>2824</v>
      </c>
      <c r="C1957" s="46" t="s">
        <v>5576</v>
      </c>
      <c r="D1957" s="41" t="str">
        <f ca="1">IFERROR(__xludf.DUMMYFUNCTION("IFERROR(ARRAYFORMULA(REGEXEXTRACT(C1957,""^(?:https?:\/\/)?(?:[^@\n]+@)?(?:www\.)?([^:\/\n]+)"")),"""")"),"yourgpt.ai")</f>
        <v>yourgpt.ai</v>
      </c>
      <c r="E1957" s="26" t="str">
        <f ca="1">IFERROR(__xludf.DUMMYFUNCTION("""COMPUTED_VALUE"""),"New")</f>
        <v>New</v>
      </c>
      <c r="F1957" s="72">
        <v>65</v>
      </c>
      <c r="G1957" s="72">
        <v>221422</v>
      </c>
      <c r="P1957" s="26"/>
    </row>
    <row r="1958" spans="1:16" ht="14.5">
      <c r="A1958" s="3" t="s">
        <v>38</v>
      </c>
      <c r="B1958" s="27" t="s">
        <v>2824</v>
      </c>
      <c r="C1958" s="46" t="s">
        <v>5577</v>
      </c>
      <c r="D1958" s="41" t="str">
        <f ca="1">IFERROR(__xludf.DUMMYFUNCTION("IFERROR(ARRAYFORMULA(REGEXEXTRACT(C1958,""^(?:https?:\/\/)?(?:[^@\n]+@)?(?:www\.)?([^:\/\n]+)"")),"""")"),"hashmicro.com")</f>
        <v>hashmicro.com</v>
      </c>
      <c r="E1958" s="26" t="str">
        <f ca="1">IFERROR(__xludf.DUMMYFUNCTION("""COMPUTED_VALUE"""),"New")</f>
        <v>New</v>
      </c>
      <c r="F1958" s="72">
        <v>63</v>
      </c>
      <c r="G1958" s="72">
        <v>79779</v>
      </c>
      <c r="P1958" s="26"/>
    </row>
    <row r="1959" spans="1:16" ht="14.5">
      <c r="A1959" s="3" t="s">
        <v>38</v>
      </c>
      <c r="B1959" s="27" t="s">
        <v>2824</v>
      </c>
      <c r="C1959" s="46" t="s">
        <v>5578</v>
      </c>
      <c r="D1959" s="41" t="str">
        <f ca="1">IFERROR(__xludf.DUMMYFUNCTION("IFERROR(ARRAYFORMULA(REGEXEXTRACT(C1959,""^(?:https?:\/\/)?(?:[^@\n]+@)?(?:www\.)?([^:\/\n]+)"")),"""")"),"efulfillmentservice.com")</f>
        <v>efulfillmentservice.com</v>
      </c>
      <c r="E1959" s="26" t="str">
        <f ca="1">IFERROR(__xludf.DUMMYFUNCTION("""COMPUTED_VALUE"""),"New")</f>
        <v>New</v>
      </c>
      <c r="F1959" s="72">
        <v>64</v>
      </c>
      <c r="G1959" s="72">
        <v>21949</v>
      </c>
      <c r="P1959" s="26"/>
    </row>
    <row r="1960" spans="1:16" ht="14.5">
      <c r="A1960" s="3" t="s">
        <v>38</v>
      </c>
      <c r="B1960" s="27" t="s">
        <v>2824</v>
      </c>
      <c r="C1960" s="46" t="s">
        <v>5579</v>
      </c>
      <c r="D1960" s="41" t="str">
        <f ca="1">IFERROR(__xludf.DUMMYFUNCTION("IFERROR(ARRAYFORMULA(REGEXEXTRACT(C1960,""^(?:https?:\/\/)?(?:[^@\n]+@)?(?:www\.)?([^:\/\n]+)"")),"""")"),"newsgram.com")</f>
        <v>newsgram.com</v>
      </c>
      <c r="E1960" s="26" t="str">
        <f ca="1">IFERROR(__xludf.DUMMYFUNCTION("""COMPUTED_VALUE"""),"New")</f>
        <v>New</v>
      </c>
      <c r="F1960" s="72">
        <v>56</v>
      </c>
      <c r="G1960" s="72">
        <v>5805</v>
      </c>
      <c r="P1960" s="26"/>
    </row>
    <row r="1961" spans="1:16" ht="14.5">
      <c r="A1961" s="3" t="s">
        <v>38</v>
      </c>
      <c r="B1961" s="27" t="s">
        <v>2824</v>
      </c>
      <c r="C1961" s="46" t="s">
        <v>5580</v>
      </c>
      <c r="D1961" s="41" t="str">
        <f ca="1">IFERROR(__xludf.DUMMYFUNCTION("IFERROR(ARRAYFORMULA(REGEXEXTRACT(C1961,""^(?:https?:\/\/)?(?:[^@\n]+@)?(?:www\.)?([^:\/\n]+)"")),"""")"),"skytechosting.com")</f>
        <v>skytechosting.com</v>
      </c>
      <c r="E1961" s="26" t="str">
        <f ca="1">IFERROR(__xludf.DUMMYFUNCTION("""COMPUTED_VALUE"""),"New")</f>
        <v>New</v>
      </c>
      <c r="F1961" s="72">
        <v>32</v>
      </c>
      <c r="G1961" s="72">
        <v>47490</v>
      </c>
      <c r="P1961" s="26"/>
    </row>
    <row r="1962" spans="1:16" ht="14.5">
      <c r="A1962" s="3" t="s">
        <v>38</v>
      </c>
      <c r="B1962" s="27" t="s">
        <v>2824</v>
      </c>
      <c r="C1962" s="46" t="s">
        <v>5581</v>
      </c>
      <c r="D1962" s="41" t="str">
        <f ca="1">IFERROR(__xludf.DUMMYFUNCTION("IFERROR(ARRAYFORMULA(REGEXEXTRACT(C1962,""^(?:https?:\/\/)?(?:[^@\n]+@)?(?:www\.)?([^:\/\n]+)"")),"""")"),"blog.internxt.com")</f>
        <v>blog.internxt.com</v>
      </c>
      <c r="E1962" s="26" t="str">
        <f ca="1">IFERROR(__xludf.DUMMYFUNCTION("""COMPUTED_VALUE"""),"New")</f>
        <v>New</v>
      </c>
      <c r="F1962" s="72">
        <v>74</v>
      </c>
      <c r="G1962" s="72">
        <v>675398</v>
      </c>
      <c r="P1962" s="26"/>
    </row>
    <row r="1963" spans="1:16" ht="14.5">
      <c r="A1963" s="3" t="s">
        <v>38</v>
      </c>
      <c r="B1963" s="27" t="s">
        <v>2824</v>
      </c>
      <c r="C1963" s="46" t="s">
        <v>5582</v>
      </c>
      <c r="D1963" s="41" t="str">
        <f ca="1">IFERROR(__xludf.DUMMYFUNCTION("IFERROR(ARRAYFORMULA(REGEXEXTRACT(C1963,""^(?:https?:\/\/)?(?:[^@\n]+@)?(?:www\.)?([^:\/\n]+)"")),"""")"),"upsilonit.com")</f>
        <v>upsilonit.com</v>
      </c>
      <c r="E1963" s="26" t="str">
        <f ca="1">IFERROR(__xludf.DUMMYFUNCTION("""COMPUTED_VALUE"""),"New")</f>
        <v>New</v>
      </c>
      <c r="F1963" s="72">
        <v>72</v>
      </c>
      <c r="G1963" s="72">
        <v>11184</v>
      </c>
      <c r="P1963" s="26"/>
    </row>
    <row r="1964" spans="1:16" ht="14.5">
      <c r="A1964" s="3" t="s">
        <v>38</v>
      </c>
      <c r="B1964" s="27" t="s">
        <v>2824</v>
      </c>
      <c r="C1964" s="46" t="s">
        <v>5583</v>
      </c>
      <c r="D1964" s="41" t="str">
        <f ca="1">IFERROR(__xludf.DUMMYFUNCTION("IFERROR(ARRAYFORMULA(REGEXEXTRACT(C1964,""^(?:https?:\/\/)?(?:[^@\n]+@)?(?:www\.)?([^:\/\n]+)"")),"""")"),"theinspiringjournal.com")</f>
        <v>theinspiringjournal.com</v>
      </c>
      <c r="E1964" s="26" t="str">
        <f ca="1">IFERROR(__xludf.DUMMYFUNCTION("""COMPUTED_VALUE"""),"New")</f>
        <v>New</v>
      </c>
      <c r="F1964" s="72">
        <v>54</v>
      </c>
      <c r="G1964" s="72">
        <v>8417</v>
      </c>
      <c r="P1964" s="26"/>
    </row>
    <row r="1965" spans="1:16" ht="14.5">
      <c r="A1965" s="3" t="s">
        <v>38</v>
      </c>
      <c r="B1965" s="27" t="s">
        <v>2824</v>
      </c>
      <c r="C1965" s="46" t="s">
        <v>5584</v>
      </c>
      <c r="D1965" s="41" t="str">
        <f ca="1">IFERROR(__xludf.DUMMYFUNCTION("IFERROR(ARRAYFORMULA(REGEXEXTRACT(C1965,""^(?:https?:\/\/)?(?:[^@\n]+@)?(?:www\.)?([^:\/\n]+)"")),"""")"),"abc17news.com")</f>
        <v>abc17news.com</v>
      </c>
      <c r="E1965" s="26" t="str">
        <f ca="1">IFERROR(__xludf.DUMMYFUNCTION("""COMPUTED_VALUE"""),"New")</f>
        <v>New</v>
      </c>
      <c r="F1965" s="72">
        <v>70</v>
      </c>
      <c r="G1965" s="72">
        <v>21982</v>
      </c>
      <c r="P1965" s="26"/>
    </row>
    <row r="1966" spans="1:16" ht="14.5">
      <c r="A1966" s="3" t="s">
        <v>38</v>
      </c>
      <c r="B1966" s="27" t="s">
        <v>2824</v>
      </c>
      <c r="C1966" s="46" t="s">
        <v>5585</v>
      </c>
      <c r="D1966" s="41" t="str">
        <f ca="1">IFERROR(__xludf.DUMMYFUNCTION("IFERROR(ARRAYFORMULA(REGEXEXTRACT(C1966,""^(?:https?:\/\/)?(?:[^@\n]+@)?(?:www\.)?([^:\/\n]+)"")),"""")"),"agrusslawfirm.com")</f>
        <v>agrusslawfirm.com</v>
      </c>
      <c r="E1966" s="26" t="str">
        <f ca="1">IFERROR(__xludf.DUMMYFUNCTION("""COMPUTED_VALUE"""),"New")</f>
        <v>New</v>
      </c>
      <c r="F1966" s="72">
        <v>36</v>
      </c>
      <c r="G1966" s="72">
        <v>98832</v>
      </c>
      <c r="P1966" s="26"/>
    </row>
    <row r="1967" spans="1:16" ht="14.5" hidden="1">
      <c r="A1967" s="3" t="s">
        <v>38</v>
      </c>
      <c r="B1967" s="27" t="s">
        <v>2824</v>
      </c>
      <c r="C1967" s="46" t="s">
        <v>5586</v>
      </c>
      <c r="D1967" s="41" t="str">
        <f ca="1">IFERROR(__xludf.DUMMYFUNCTION("IFERROR(ARRAYFORMULA(REGEXEXTRACT(C1967,""^(?:https?:\/\/)?(?:[^@\n]+@)?(?:www\.)?([^:\/\n]+)"")),"""")"),"tripfrogapp.com")</f>
        <v>tripfrogapp.com</v>
      </c>
      <c r="E1967" s="26" t="str">
        <f ca="1">IFERROR(__xludf.DUMMYFUNCTION("""COMPUTED_VALUE"""),"Already Exists")</f>
        <v>Already Exists</v>
      </c>
      <c r="F1967" s="72">
        <v>33</v>
      </c>
      <c r="G1967" s="72">
        <v>5206</v>
      </c>
      <c r="P1967" s="26"/>
    </row>
    <row r="1968" spans="1:16" ht="14.5">
      <c r="A1968" s="3" t="s">
        <v>38</v>
      </c>
      <c r="B1968" s="27" t="s">
        <v>2824</v>
      </c>
      <c r="C1968" s="46" t="s">
        <v>5587</v>
      </c>
      <c r="D1968" s="41" t="str">
        <f ca="1">IFERROR(__xludf.DUMMYFUNCTION("IFERROR(ARRAYFORMULA(REGEXEXTRACT(C1968,""^(?:https?:\/\/)?(?:[^@\n]+@)?(?:www\.)?([^:\/\n]+)"")),"""")"),"databox.com")</f>
        <v>databox.com</v>
      </c>
      <c r="E1968" s="26" t="str">
        <f ca="1">IFERROR(__xludf.DUMMYFUNCTION("""COMPUTED_VALUE"""),"New")</f>
        <v>New</v>
      </c>
      <c r="F1968" s="72">
        <v>83</v>
      </c>
      <c r="G1968" s="72">
        <v>100008</v>
      </c>
      <c r="P1968" s="26"/>
    </row>
    <row r="1969" spans="1:16" ht="14.5">
      <c r="A1969" s="3" t="s">
        <v>38</v>
      </c>
      <c r="B1969" s="27" t="s">
        <v>2824</v>
      </c>
      <c r="C1969" s="46" t="s">
        <v>5588</v>
      </c>
      <c r="D1969" s="41" t="str">
        <f ca="1">IFERROR(__xludf.DUMMYFUNCTION("IFERROR(ARRAYFORMULA(REGEXEXTRACT(C1969,""^(?:https?:\/\/)?(?:[^@\n]+@)?(?:www\.)?([^:\/\n]+)"")),"""")"),"screenapp.io")</f>
        <v>screenapp.io</v>
      </c>
      <c r="E1969" s="26" t="str">
        <f ca="1">IFERROR(__xludf.DUMMYFUNCTION("""COMPUTED_VALUE"""),"New")</f>
        <v>New</v>
      </c>
      <c r="F1969" s="72">
        <v>70</v>
      </c>
      <c r="G1969" s="72">
        <v>204561</v>
      </c>
      <c r="P1969" s="26"/>
    </row>
    <row r="1970" spans="1:16" ht="14.5">
      <c r="A1970" s="3" t="s">
        <v>38</v>
      </c>
      <c r="B1970" s="27" t="s">
        <v>2824</v>
      </c>
      <c r="C1970" s="46" t="s">
        <v>5589</v>
      </c>
      <c r="D1970" s="41" t="str">
        <f ca="1">IFERROR(__xludf.DUMMYFUNCTION("IFERROR(ARRAYFORMULA(REGEXEXTRACT(C1970,""^(?:https?:\/\/)?(?:[^@\n]+@)?(?:www\.)?([^:\/\n]+)"")),"""")"),"straitsresearch.com")</f>
        <v>straitsresearch.com</v>
      </c>
      <c r="E1970" s="26" t="str">
        <f ca="1">IFERROR(__xludf.DUMMYFUNCTION("""COMPUTED_VALUE"""),"New")</f>
        <v>New</v>
      </c>
      <c r="F1970" s="72">
        <v>79</v>
      </c>
      <c r="G1970" s="72">
        <v>13845</v>
      </c>
      <c r="P1970" s="26"/>
    </row>
    <row r="1971" spans="1:16" ht="14.5">
      <c r="A1971" s="3" t="s">
        <v>38</v>
      </c>
      <c r="B1971" s="27" t="s">
        <v>2824</v>
      </c>
      <c r="C1971" s="46" t="s">
        <v>5590</v>
      </c>
      <c r="D1971" s="41" t="str">
        <f ca="1">IFERROR(__xludf.DUMMYFUNCTION("IFERROR(ARRAYFORMULA(REGEXEXTRACT(C1971,""^(?:https?:\/\/)?(?:[^@\n]+@)?(?:www\.)?([^:\/\n]+)"")),"""")"),"surecart.com")</f>
        <v>surecart.com</v>
      </c>
      <c r="E1971" s="26" t="str">
        <f ca="1">IFERROR(__xludf.DUMMYFUNCTION("""COMPUTED_VALUE"""),"New")</f>
        <v>New</v>
      </c>
      <c r="F1971" s="72">
        <v>76</v>
      </c>
      <c r="G1971" s="72">
        <v>3663</v>
      </c>
      <c r="P1971" s="26"/>
    </row>
    <row r="1972" spans="1:16" ht="14.5">
      <c r="A1972" s="3" t="s">
        <v>38</v>
      </c>
      <c r="B1972" s="27" t="s">
        <v>2824</v>
      </c>
      <c r="C1972" s="46" t="s">
        <v>5591</v>
      </c>
      <c r="D1972" s="41" t="str">
        <f ca="1">IFERROR(__xludf.DUMMYFUNCTION("IFERROR(ARRAYFORMULA(REGEXEXTRACT(C1972,""^(?:https?:\/\/)?(?:[^@\n]+@)?(?:www\.)?([^:\/\n]+)"")),"""")"),"meritline.com")</f>
        <v>meritline.com</v>
      </c>
      <c r="E1972" s="26" t="str">
        <f ca="1">IFERROR(__xludf.DUMMYFUNCTION("""COMPUTED_VALUE"""),"New")</f>
        <v>New</v>
      </c>
      <c r="F1972" s="72">
        <v>44</v>
      </c>
      <c r="G1972" s="72">
        <v>1283</v>
      </c>
      <c r="P1972" s="26"/>
    </row>
    <row r="1973" spans="1:16" ht="14.5">
      <c r="A1973" s="3" t="s">
        <v>38</v>
      </c>
      <c r="B1973" s="27" t="s">
        <v>2824</v>
      </c>
      <c r="C1973" s="46" t="s">
        <v>5592</v>
      </c>
      <c r="D1973" s="41" t="str">
        <f ca="1">IFERROR(__xludf.DUMMYFUNCTION("IFERROR(ARRAYFORMULA(REGEXEXTRACT(C1973,""^(?:https?:\/\/)?(?:[^@\n]+@)?(?:www\.)?([^:\/\n]+)"")),"""")"),"startupnation.com")</f>
        <v>startupnation.com</v>
      </c>
      <c r="E1973" s="26" t="str">
        <f ca="1">IFERROR(__xludf.DUMMYFUNCTION("""COMPUTED_VALUE"""),"New")</f>
        <v>New</v>
      </c>
      <c r="F1973" s="72">
        <v>73</v>
      </c>
      <c r="G1973" s="72">
        <v>2431</v>
      </c>
      <c r="P1973" s="26"/>
    </row>
    <row r="1974" spans="1:16" ht="14.5">
      <c r="A1974" s="3" t="s">
        <v>38</v>
      </c>
      <c r="B1974" s="27" t="s">
        <v>2824</v>
      </c>
      <c r="C1974" s="46" t="s">
        <v>5593</v>
      </c>
      <c r="D1974" s="41" t="str">
        <f ca="1">IFERROR(__xludf.DUMMYFUNCTION("IFERROR(ARRAYFORMULA(REGEXEXTRACT(C1974,""^(?:https?:\/\/)?(?:[^@\n]+@)?(?:www\.)?([^:\/\n]+)"")),"""")"),"credenceresearch.com")</f>
        <v>credenceresearch.com</v>
      </c>
      <c r="E1974" s="26" t="str">
        <f ca="1">IFERROR(__xludf.DUMMYFUNCTION("""COMPUTED_VALUE"""),"New")</f>
        <v>New</v>
      </c>
      <c r="F1974" s="72">
        <v>72</v>
      </c>
      <c r="G1974" s="72">
        <v>1246</v>
      </c>
      <c r="P1974" s="26"/>
    </row>
    <row r="1975" spans="1:16" ht="14.5">
      <c r="A1975" s="3" t="s">
        <v>38</v>
      </c>
      <c r="B1975" s="27" t="s">
        <v>2824</v>
      </c>
      <c r="C1975" s="46" t="s">
        <v>5594</v>
      </c>
      <c r="D1975" s="41" t="str">
        <f ca="1">IFERROR(__xludf.DUMMYFUNCTION("IFERROR(ARRAYFORMULA(REGEXEXTRACT(C1975,""^(?:https?:\/\/)?(?:[^@\n]+@)?(?:www\.)?([^:\/\n]+)"")),"""")"),"realwedding.co.uk")</f>
        <v>realwedding.co.uk</v>
      </c>
      <c r="E1975" s="26" t="str">
        <f ca="1">IFERROR(__xludf.DUMMYFUNCTION("""COMPUTED_VALUE"""),"New")</f>
        <v>New</v>
      </c>
      <c r="F1975" s="72">
        <v>32</v>
      </c>
      <c r="G1975" s="72">
        <v>1624</v>
      </c>
      <c r="P1975" s="26"/>
    </row>
    <row r="1976" spans="1:16" ht="14.5">
      <c r="A1976" s="3" t="s">
        <v>38</v>
      </c>
      <c r="B1976" s="27" t="s">
        <v>2824</v>
      </c>
      <c r="C1976" s="46" t="s">
        <v>5595</v>
      </c>
      <c r="D1976" s="41" t="str">
        <f ca="1">IFERROR(__xludf.DUMMYFUNCTION("IFERROR(ARRAYFORMULA(REGEXEXTRACT(C1976,""^(?:https?:\/\/)?(?:[^@\n]+@)?(?:www\.)?([^:\/\n]+)"")),"""")"),"doms2cents.com")</f>
        <v>doms2cents.com</v>
      </c>
      <c r="E1976" s="26" t="str">
        <f ca="1">IFERROR(__xludf.DUMMYFUNCTION("""COMPUTED_VALUE"""),"New")</f>
        <v>New</v>
      </c>
      <c r="F1976" s="72">
        <v>58</v>
      </c>
      <c r="G1976" s="72">
        <v>1588</v>
      </c>
      <c r="P1976" s="26"/>
    </row>
    <row r="1977" spans="1:16" ht="14.5">
      <c r="A1977" s="3" t="s">
        <v>38</v>
      </c>
      <c r="B1977" s="27" t="s">
        <v>2824</v>
      </c>
      <c r="C1977" s="46" t="s">
        <v>5596</v>
      </c>
      <c r="D1977" s="41" t="str">
        <f ca="1">IFERROR(__xludf.DUMMYFUNCTION("IFERROR(ARRAYFORMULA(REGEXEXTRACT(C1977,""^(?:https?:\/\/)?(?:[^@\n]+@)?(?:www\.)?([^:\/\n]+)"")),"""")"),"eqvista.com")</f>
        <v>eqvista.com</v>
      </c>
      <c r="E1977" s="26" t="str">
        <f ca="1">IFERROR(__xludf.DUMMYFUNCTION("""COMPUTED_VALUE"""),"New")</f>
        <v>New</v>
      </c>
      <c r="F1977" s="72">
        <v>63</v>
      </c>
      <c r="G1977" s="72">
        <v>37015</v>
      </c>
      <c r="P1977" s="26"/>
    </row>
    <row r="1978" spans="1:16" ht="14.5" hidden="1">
      <c r="A1978" s="3" t="s">
        <v>38</v>
      </c>
      <c r="B1978" s="27" t="s">
        <v>2824</v>
      </c>
      <c r="C1978" s="47" t="s">
        <v>5597</v>
      </c>
      <c r="D1978" s="41" t="str">
        <f ca="1">IFERROR(__xludf.DUMMYFUNCTION("IFERROR(ARRAYFORMULA(REGEXEXTRACT(C1978,""^(?:https?:\/\/)?(?:[^@\n]+@)?(?:www\.)?([^:\/\n]+)"")),"""")"),"themoodguide.com")</f>
        <v>themoodguide.com</v>
      </c>
      <c r="E1978" s="26" t="str">
        <f ca="1">IFERROR(__xludf.DUMMYFUNCTION("""COMPUTED_VALUE"""),"Already Exists")</f>
        <v>Already Exists</v>
      </c>
      <c r="F1978" s="72">
        <v>32</v>
      </c>
      <c r="G1978" s="72">
        <v>3366</v>
      </c>
      <c r="H1978" s="27" t="s">
        <v>5598</v>
      </c>
      <c r="I1978" s="27" t="s">
        <v>5599</v>
      </c>
      <c r="K1978" s="27" t="s">
        <v>3756</v>
      </c>
      <c r="L1978" s="112"/>
      <c r="M1978" s="27" t="s">
        <v>3715</v>
      </c>
      <c r="N1978" s="48">
        <v>46048</v>
      </c>
      <c r="O1978" s="48">
        <v>46068</v>
      </c>
      <c r="P1978" s="27" t="s">
        <v>3201</v>
      </c>
    </row>
    <row r="1979" spans="1:16" ht="14.5">
      <c r="A1979" s="3" t="s">
        <v>38</v>
      </c>
      <c r="B1979" s="27" t="s">
        <v>2824</v>
      </c>
      <c r="C1979" s="46" t="s">
        <v>5600</v>
      </c>
      <c r="D1979" s="41" t="str">
        <f ca="1">IFERROR(__xludf.DUMMYFUNCTION("IFERROR(ARRAYFORMULA(REGEXEXTRACT(C1979,""^(?:https?:\/\/)?(?:[^@\n]+@)?(?:www\.)?([^:\/\n]+)"")),"""")"),"narrato.io")</f>
        <v>narrato.io</v>
      </c>
      <c r="E1979" s="26" t="str">
        <f ca="1">IFERROR(__xludf.DUMMYFUNCTION("""COMPUTED_VALUE"""),"New")</f>
        <v>New</v>
      </c>
      <c r="F1979" s="72">
        <v>73</v>
      </c>
      <c r="G1979" s="72">
        <v>4687</v>
      </c>
      <c r="P1979" s="26"/>
    </row>
    <row r="1980" spans="1:16" ht="14.5">
      <c r="A1980" s="3" t="s">
        <v>38</v>
      </c>
      <c r="B1980" s="27" t="s">
        <v>2824</v>
      </c>
      <c r="C1980" s="46" t="s">
        <v>5601</v>
      </c>
      <c r="D1980" s="41" t="str">
        <f ca="1">IFERROR(__xludf.DUMMYFUNCTION("IFERROR(ARRAYFORMULA(REGEXEXTRACT(C1980,""^(?:https?:\/\/)?(?:[^@\n]+@)?(?:www\.)?([^:\/\n]+)"")),"""")"),"brandcrowd.com")</f>
        <v>brandcrowd.com</v>
      </c>
      <c r="E1980" s="26" t="str">
        <f ca="1">IFERROR(__xludf.DUMMYFUNCTION("""COMPUTED_VALUE"""),"New")</f>
        <v>New</v>
      </c>
      <c r="F1980" s="72">
        <v>81</v>
      </c>
      <c r="G1980" s="72">
        <v>983924</v>
      </c>
      <c r="P1980" s="26"/>
    </row>
    <row r="1981" spans="1:16" ht="14.5">
      <c r="A1981" s="3" t="s">
        <v>38</v>
      </c>
      <c r="B1981" s="27" t="s">
        <v>2824</v>
      </c>
      <c r="C1981" s="46" t="s">
        <v>5602</v>
      </c>
      <c r="D1981" s="41" t="str">
        <f ca="1">IFERROR(__xludf.DUMMYFUNCTION("IFERROR(ARRAYFORMULA(REGEXEXTRACT(C1981,""^(?:https?:\/\/)?(?:[^@\n]+@)?(?:www\.)?([^:\/\n]+)"")),"""")"),"cartflows.com")</f>
        <v>cartflows.com</v>
      </c>
      <c r="E1981" s="26" t="str">
        <f ca="1">IFERROR(__xludf.DUMMYFUNCTION("""COMPUTED_VALUE"""),"New")</f>
        <v>New</v>
      </c>
      <c r="F1981" s="72">
        <v>77</v>
      </c>
      <c r="G1981" s="72">
        <v>4337</v>
      </c>
      <c r="P1981" s="26"/>
    </row>
    <row r="1982" spans="1:16" ht="14.5">
      <c r="A1982" s="3" t="s">
        <v>38</v>
      </c>
      <c r="B1982" s="27" t="s">
        <v>2824</v>
      </c>
      <c r="C1982" s="46" t="s">
        <v>5603</v>
      </c>
      <c r="D1982" s="41" t="str">
        <f ca="1">IFERROR(__xludf.DUMMYFUNCTION("IFERROR(ARRAYFORMULA(REGEXEXTRACT(C1982,""^(?:https?:\/\/)?(?:[^@\n]+@)?(?:www\.)?([^:\/\n]+)"")),"""")"),"redstaglabs.com")</f>
        <v>redstaglabs.com</v>
      </c>
      <c r="E1982" s="26" t="str">
        <f ca="1">IFERROR(__xludf.DUMMYFUNCTION("""COMPUTED_VALUE"""),"New")</f>
        <v>New</v>
      </c>
      <c r="F1982" s="72">
        <v>61</v>
      </c>
      <c r="G1982" s="72">
        <v>27627</v>
      </c>
      <c r="P1982" s="26"/>
    </row>
    <row r="1983" spans="1:16" ht="14.5">
      <c r="A1983" s="3" t="s">
        <v>38</v>
      </c>
      <c r="B1983" s="27" t="s">
        <v>2824</v>
      </c>
      <c r="C1983" s="46" t="s">
        <v>5604</v>
      </c>
      <c r="D1983" s="41" t="str">
        <f ca="1">IFERROR(__xludf.DUMMYFUNCTION("IFERROR(ARRAYFORMULA(REGEXEXTRACT(C1983,""^(?:https?:\/\/)?(?:[^@\n]+@)?(?:www\.)?([^:\/\n]+)"")),"""")"),"finder.com")</f>
        <v>finder.com</v>
      </c>
      <c r="E1983" s="26" t="str">
        <f ca="1">IFERROR(__xludf.DUMMYFUNCTION("""COMPUTED_VALUE"""),"New")</f>
        <v>New</v>
      </c>
      <c r="F1983" s="72">
        <v>82</v>
      </c>
      <c r="G1983" s="72">
        <v>164965</v>
      </c>
      <c r="P1983" s="26"/>
    </row>
    <row r="1984" spans="1:16" ht="14.5">
      <c r="A1984" s="3" t="s">
        <v>38</v>
      </c>
      <c r="B1984" s="27" t="s">
        <v>2824</v>
      </c>
      <c r="C1984" s="46" t="s">
        <v>5605</v>
      </c>
      <c r="D1984" s="41" t="str">
        <f ca="1">IFERROR(__xludf.DUMMYFUNCTION("IFERROR(ARRAYFORMULA(REGEXEXTRACT(C1984,""^(?:https?:\/\/)?(?:[^@\n]+@)?(?:www\.)?([^:\/\n]+)"")),"""")"),"kommunicate.io")</f>
        <v>kommunicate.io</v>
      </c>
      <c r="E1984" s="26" t="str">
        <f ca="1">IFERROR(__xludf.DUMMYFUNCTION("""COMPUTED_VALUE"""),"New")</f>
        <v>New</v>
      </c>
      <c r="F1984" s="72">
        <v>73</v>
      </c>
      <c r="G1984" s="72">
        <v>89136</v>
      </c>
      <c r="P1984" s="26"/>
    </row>
    <row r="1985" spans="1:16" ht="14.5">
      <c r="A1985" s="3" t="s">
        <v>38</v>
      </c>
      <c r="B1985" s="27" t="s">
        <v>2824</v>
      </c>
      <c r="C1985" s="46" t="s">
        <v>5606</v>
      </c>
      <c r="D1985" s="41" t="str">
        <f ca="1">IFERROR(__xludf.DUMMYFUNCTION("IFERROR(ARRAYFORMULA(REGEXEXTRACT(C1985,""^(?:https?:\/\/)?(?:[^@\n]+@)?(?:www\.)?([^:\/\n]+)"")),"""")"),"alibabacloud.com")</f>
        <v>alibabacloud.com</v>
      </c>
      <c r="E1985" s="26" t="str">
        <f ca="1">IFERROR(__xludf.DUMMYFUNCTION("""COMPUTED_VALUE"""),"New")</f>
        <v>New</v>
      </c>
      <c r="F1985" s="72">
        <v>91</v>
      </c>
      <c r="G1985" s="72">
        <v>180836</v>
      </c>
      <c r="P1985" s="26"/>
    </row>
    <row r="1986" spans="1:16" ht="14.5">
      <c r="A1986" s="3" t="s">
        <v>38</v>
      </c>
      <c r="B1986" s="27" t="s">
        <v>2824</v>
      </c>
      <c r="C1986" s="46" t="s">
        <v>5607</v>
      </c>
      <c r="D1986" s="41" t="str">
        <f ca="1">IFERROR(__xludf.DUMMYFUNCTION("IFERROR(ARRAYFORMULA(REGEXEXTRACT(C1986,""^(?:https?:\/\/)?(?:[^@\n]+@)?(?:www\.)?([^:\/\n]+)"")),"""")"),"writecream.com")</f>
        <v>writecream.com</v>
      </c>
      <c r="E1986" s="26" t="str">
        <f ca="1">IFERROR(__xludf.DUMMYFUNCTION("""COMPUTED_VALUE"""),"New")</f>
        <v>New</v>
      </c>
      <c r="F1986" s="72">
        <v>72</v>
      </c>
      <c r="G1986" s="72">
        <v>30591</v>
      </c>
      <c r="P1986" s="26"/>
    </row>
    <row r="1987" spans="1:16" ht="14.5">
      <c r="A1987" s="3" t="s">
        <v>38</v>
      </c>
      <c r="B1987" s="27" t="s">
        <v>2824</v>
      </c>
      <c r="C1987" s="46" t="s">
        <v>5608</v>
      </c>
      <c r="D1987" s="41" t="str">
        <f ca="1">IFERROR(__xludf.DUMMYFUNCTION("IFERROR(ARRAYFORMULA(REGEXEXTRACT(C1987,""^(?:https?:\/\/)?(?:[^@\n]+@)?(?:www\.)?([^:\/\n]+)"")),"""")"),"gracker.ai")</f>
        <v>gracker.ai</v>
      </c>
      <c r="E1987" s="26" t="str">
        <f ca="1">IFERROR(__xludf.DUMMYFUNCTION("""COMPUTED_VALUE"""),"New")</f>
        <v>New</v>
      </c>
      <c r="F1987" s="72">
        <v>49</v>
      </c>
      <c r="G1987" s="72">
        <v>3978</v>
      </c>
      <c r="P1987" s="26"/>
    </row>
    <row r="1988" spans="1:16" ht="14.5">
      <c r="A1988" s="3" t="s">
        <v>38</v>
      </c>
      <c r="B1988" s="27" t="s">
        <v>2824</v>
      </c>
      <c r="C1988" s="49" t="s">
        <v>5609</v>
      </c>
      <c r="D1988" s="41" t="str">
        <f ca="1">IFERROR(__xludf.DUMMYFUNCTION("IFERROR(ARRAYFORMULA(REGEXEXTRACT(C1988,""^(?:https?:\/\/)?(?:[^@\n]+@)?(?:www\.)?([^:\/\n]+)"")),"""")"),"newspressnow.com")</f>
        <v>newspressnow.com</v>
      </c>
      <c r="E1988" s="26" t="str">
        <f ca="1">IFERROR(__xludf.DUMMYFUNCTION("""COMPUTED_VALUE"""),"New")</f>
        <v>New</v>
      </c>
      <c r="F1988" s="72">
        <v>70</v>
      </c>
      <c r="G1988" s="72">
        <v>14149</v>
      </c>
      <c r="H1988" s="27" t="s">
        <v>5610</v>
      </c>
      <c r="I1988" s="27" t="s">
        <v>5611</v>
      </c>
      <c r="K1988" s="27" t="s">
        <v>3772</v>
      </c>
      <c r="L1988" s="112"/>
      <c r="M1988" s="27" t="s">
        <v>3715</v>
      </c>
      <c r="N1988" s="48">
        <v>46048</v>
      </c>
      <c r="O1988" s="48">
        <v>46068</v>
      </c>
      <c r="P1988" s="26"/>
    </row>
    <row r="1989" spans="1:16" ht="14.5">
      <c r="A1989" s="3" t="s">
        <v>38</v>
      </c>
      <c r="B1989" s="27" t="s">
        <v>2824</v>
      </c>
      <c r="C1989" s="46" t="s">
        <v>5612</v>
      </c>
      <c r="D1989" s="41" t="str">
        <f ca="1">IFERROR(__xludf.DUMMYFUNCTION("IFERROR(ARRAYFORMULA(REGEXEXTRACT(C1989,""^(?:https?:\/\/)?(?:[^@\n]+@)?(?:www\.)?([^:\/\n]+)"")),"""")"),"news.bitcoin.com")</f>
        <v>news.bitcoin.com</v>
      </c>
      <c r="E1989" s="26" t="str">
        <f ca="1">IFERROR(__xludf.DUMMYFUNCTION("""COMPUTED_VALUE"""),"New")</f>
        <v>New</v>
      </c>
      <c r="F1989" s="72">
        <v>85</v>
      </c>
      <c r="G1989" s="72">
        <v>932674</v>
      </c>
      <c r="P1989" s="26"/>
    </row>
    <row r="1990" spans="1:16" ht="14.5">
      <c r="A1990" s="3" t="s">
        <v>38</v>
      </c>
      <c r="B1990" s="27" t="s">
        <v>2824</v>
      </c>
      <c r="C1990" s="46" t="s">
        <v>5613</v>
      </c>
      <c r="D1990" s="41" t="str">
        <f ca="1">IFERROR(__xludf.DUMMYFUNCTION("IFERROR(ARRAYFORMULA(REGEXEXTRACT(C1990,""^(?:https?:\/\/)?(?:[^@\n]+@)?(?:www\.)?([^:\/\n]+)"")),"""")"),"bigblue.co")</f>
        <v>bigblue.co</v>
      </c>
      <c r="E1990" s="26" t="str">
        <f ca="1">IFERROR(__xludf.DUMMYFUNCTION("""COMPUTED_VALUE"""),"New")</f>
        <v>New</v>
      </c>
      <c r="F1990" s="72">
        <v>72</v>
      </c>
      <c r="G1990" s="72">
        <v>6231</v>
      </c>
      <c r="P1990" s="26"/>
    </row>
    <row r="1991" spans="1:16" ht="14.5">
      <c r="A1991" s="3" t="s">
        <v>38</v>
      </c>
      <c r="B1991" s="27" t="s">
        <v>2824</v>
      </c>
      <c r="C1991" s="46" t="s">
        <v>5614</v>
      </c>
      <c r="D1991" s="41" t="str">
        <f ca="1">IFERROR(__xludf.DUMMYFUNCTION("IFERROR(ARRAYFORMULA(REGEXEXTRACT(C1991,""^(?:https?:\/\/)?(?:[^@\n]+@)?(?:www\.)?([^:\/\n]+)"")),"""")"),"tulsaworld.com")</f>
        <v>tulsaworld.com</v>
      </c>
      <c r="E1991" s="26" t="str">
        <f ca="1">IFERROR(__xludf.DUMMYFUNCTION("""COMPUTED_VALUE"""),"New")</f>
        <v>New</v>
      </c>
      <c r="F1991" s="72">
        <v>79</v>
      </c>
      <c r="G1991" s="72">
        <v>15262</v>
      </c>
      <c r="P1991" s="26"/>
    </row>
    <row r="1992" spans="1:16" ht="14.5">
      <c r="A1992" s="3" t="s">
        <v>38</v>
      </c>
      <c r="B1992" s="27" t="s">
        <v>2824</v>
      </c>
      <c r="C1992" s="46" t="s">
        <v>5615</v>
      </c>
      <c r="D1992" s="41" t="str">
        <f ca="1">IFERROR(__xludf.DUMMYFUNCTION("IFERROR(ARRAYFORMULA(REGEXEXTRACT(C1992,""^(?:https?:\/\/)?(?:[^@\n]+@)?(?:www\.)?([^:\/\n]+)"")),"""")"),"kvia.com")</f>
        <v>kvia.com</v>
      </c>
      <c r="E1992" s="26" t="str">
        <f ca="1">IFERROR(__xludf.DUMMYFUNCTION("""COMPUTED_VALUE"""),"New")</f>
        <v>New</v>
      </c>
      <c r="F1992" s="72">
        <v>72</v>
      </c>
      <c r="G1992" s="72">
        <v>26485</v>
      </c>
      <c r="P1992" s="26"/>
    </row>
    <row r="1993" spans="1:16" ht="14.5">
      <c r="A1993" s="3" t="s">
        <v>38</v>
      </c>
      <c r="B1993" s="27" t="s">
        <v>2824</v>
      </c>
      <c r="C1993" s="46" t="s">
        <v>5616</v>
      </c>
      <c r="D1993" s="41" t="str">
        <f ca="1">IFERROR(__xludf.DUMMYFUNCTION("IFERROR(ARRAYFORMULA(REGEXEXTRACT(C1993,""^(?:https?:\/\/)?(?:[^@\n]+@)?(?:www\.)?([^:\/\n]+)"")),"""")"),"sphinx-solution.com")</f>
        <v>sphinx-solution.com</v>
      </c>
      <c r="E1993" s="26" t="str">
        <f ca="1">IFERROR(__xludf.DUMMYFUNCTION("""COMPUTED_VALUE"""),"New")</f>
        <v>New</v>
      </c>
      <c r="F1993" s="72">
        <v>60</v>
      </c>
      <c r="G1993" s="72">
        <v>4598</v>
      </c>
      <c r="P1993" s="26"/>
    </row>
    <row r="1994" spans="1:16" ht="14.5">
      <c r="A1994" s="3" t="s">
        <v>38</v>
      </c>
      <c r="B1994" s="27" t="s">
        <v>2824</v>
      </c>
      <c r="C1994" s="46" t="s">
        <v>5617</v>
      </c>
      <c r="D1994" s="41" t="str">
        <f ca="1">IFERROR(__xludf.DUMMYFUNCTION("IFERROR(ARRAYFORMULA(REGEXEXTRACT(C1994,""^(?:https?:\/\/)?(?:[^@\n]+@)?(?:www\.)?([^:\/\n]+)"")),"""")"),"synder.com")</f>
        <v>synder.com</v>
      </c>
      <c r="E1994" s="26" t="str">
        <f ca="1">IFERROR(__xludf.DUMMYFUNCTION("""COMPUTED_VALUE"""),"New")</f>
        <v>New</v>
      </c>
      <c r="F1994" s="72">
        <v>74</v>
      </c>
      <c r="G1994" s="72">
        <v>24424</v>
      </c>
      <c r="P1994" s="26"/>
    </row>
    <row r="1995" spans="1:16" ht="14.5" hidden="1">
      <c r="A1995" s="3" t="s">
        <v>38</v>
      </c>
      <c r="B1995" s="27" t="s">
        <v>2824</v>
      </c>
      <c r="C1995" s="46" t="s">
        <v>5618</v>
      </c>
      <c r="D1995" s="41" t="str">
        <f ca="1">IFERROR(__xludf.DUMMYFUNCTION("IFERROR(ARRAYFORMULA(REGEXEXTRACT(C1995,""^(?:https?:\/\/)?(?:[^@\n]+@)?(?:www\.)?([^:\/\n]+)"")),"""")"),"friendlyfinance.com.au")</f>
        <v>friendlyfinance.com.au</v>
      </c>
      <c r="E1995" s="26" t="str">
        <f ca="1">IFERROR(__xludf.DUMMYFUNCTION("""COMPUTED_VALUE"""),"Already Exists")</f>
        <v>Already Exists</v>
      </c>
      <c r="F1995" s="72">
        <v>45</v>
      </c>
      <c r="G1995" s="72">
        <v>9028</v>
      </c>
      <c r="P1995" s="26"/>
    </row>
    <row r="1996" spans="1:16" ht="14.5">
      <c r="A1996" s="3" t="s">
        <v>38</v>
      </c>
      <c r="B1996" s="27" t="s">
        <v>2824</v>
      </c>
      <c r="C1996" s="46" t="s">
        <v>5619</v>
      </c>
      <c r="D1996" s="41" t="str">
        <f ca="1">IFERROR(__xludf.DUMMYFUNCTION("IFERROR(ARRAYFORMULA(REGEXEXTRACT(C1996,""^(?:https?:\/\/)?(?:[^@\n]+@)?(?:www\.)?([^:\/\n]+)"")),"""")"),"talked.com.au")</f>
        <v>talked.com.au</v>
      </c>
      <c r="E1996" s="26" t="str">
        <f ca="1">IFERROR(__xludf.DUMMYFUNCTION("""COMPUTED_VALUE"""),"New")</f>
        <v>New</v>
      </c>
      <c r="F1996" s="72">
        <v>37</v>
      </c>
      <c r="G1996" s="72">
        <v>67496</v>
      </c>
      <c r="P1996" s="26"/>
    </row>
    <row r="1997" spans="1:16" ht="14.5">
      <c r="A1997" s="3" t="s">
        <v>38</v>
      </c>
      <c r="B1997" s="27" t="s">
        <v>2824</v>
      </c>
      <c r="C1997" s="46" t="s">
        <v>5620</v>
      </c>
      <c r="D1997" s="41" t="str">
        <f ca="1">IFERROR(__xludf.DUMMYFUNCTION("IFERROR(ARRAYFORMULA(REGEXEXTRACT(C1997,""^(?:https?:\/\/)?(?:[^@\n]+@)?(?:www\.)?([^:\/\n]+)"")),"""")"),"annamoney.au")</f>
        <v>annamoney.au</v>
      </c>
      <c r="E1997" s="26" t="str">
        <f ca="1">IFERROR(__xludf.DUMMYFUNCTION("""COMPUTED_VALUE"""),"New")</f>
        <v>New</v>
      </c>
      <c r="F1997" s="72">
        <v>47</v>
      </c>
      <c r="G1997" s="72">
        <v>4081</v>
      </c>
      <c r="P1997" s="26"/>
    </row>
    <row r="1998" spans="1:16" ht="14.5">
      <c r="A1998" s="3" t="s">
        <v>38</v>
      </c>
      <c r="B1998" s="27" t="s">
        <v>2824</v>
      </c>
      <c r="C1998" s="46" t="s">
        <v>5621</v>
      </c>
      <c r="D1998" s="41" t="str">
        <f ca="1">IFERROR(__xludf.DUMMYFUNCTION("IFERROR(ARRAYFORMULA(REGEXEXTRACT(C1998,""^(?:https?:\/\/)?(?:[^@\n]+@)?(?:www\.)?([^:\/\n]+)"")),"""")"),"sequencecommerce.com")</f>
        <v>sequencecommerce.com</v>
      </c>
      <c r="E1998" s="26" t="str">
        <f ca="1">IFERROR(__xludf.DUMMYFUNCTION("""COMPUTED_VALUE"""),"New")</f>
        <v>New</v>
      </c>
      <c r="F1998" s="72">
        <v>34</v>
      </c>
      <c r="G1998" s="72">
        <v>3900</v>
      </c>
      <c r="P1998" s="26"/>
    </row>
    <row r="1999" spans="1:16" ht="14.5">
      <c r="A1999" s="3" t="s">
        <v>38</v>
      </c>
      <c r="B1999" s="27" t="s">
        <v>2824</v>
      </c>
      <c r="C1999" s="46" t="s">
        <v>5622</v>
      </c>
      <c r="D1999" s="41" t="str">
        <f ca="1">IFERROR(__xludf.DUMMYFUNCTION("IFERROR(ARRAYFORMULA(REGEXEXTRACT(C1999,""^(?:https?:\/\/)?(?:[^@\n]+@)?(?:www\.)?([^:\/\n]+)"")),"""")"),"newoldstamp.com")</f>
        <v>newoldstamp.com</v>
      </c>
      <c r="E1999" s="26" t="str">
        <f ca="1">IFERROR(__xludf.DUMMYFUNCTION("""COMPUTED_VALUE"""),"New")</f>
        <v>New</v>
      </c>
      <c r="F1999" s="72">
        <v>74</v>
      </c>
      <c r="G1999" s="72">
        <v>19654</v>
      </c>
      <c r="P1999" s="26"/>
    </row>
    <row r="2000" spans="1:16" ht="14.5">
      <c r="A2000" s="3" t="s">
        <v>38</v>
      </c>
      <c r="B2000" s="27" t="s">
        <v>2824</v>
      </c>
      <c r="C2000" s="46" t="s">
        <v>5623</v>
      </c>
      <c r="D2000" s="41" t="str">
        <f ca="1">IFERROR(__xludf.DUMMYFUNCTION("IFERROR(ARRAYFORMULA(REGEXEXTRACT(C2000,""^(?:https?:\/\/)?(?:[^@\n]+@)?(?:www\.)?([^:\/\n]+)"")),"""")"),"hiddenbrains.com")</f>
        <v>hiddenbrains.com</v>
      </c>
      <c r="E2000" s="26" t="str">
        <f ca="1">IFERROR(__xludf.DUMMYFUNCTION("""COMPUTED_VALUE"""),"New")</f>
        <v>New</v>
      </c>
      <c r="F2000" s="72">
        <v>67</v>
      </c>
      <c r="G2000" s="72">
        <v>2620</v>
      </c>
      <c r="P2000" s="26"/>
    </row>
    <row r="2001" spans="1:28" ht="14.5">
      <c r="A2001" s="3" t="s">
        <v>38</v>
      </c>
      <c r="B2001" s="27" t="s">
        <v>2824</v>
      </c>
      <c r="C2001" s="46" t="s">
        <v>5624</v>
      </c>
      <c r="D2001" s="41" t="str">
        <f ca="1">IFERROR(__xludf.DUMMYFUNCTION("IFERROR(ARRAYFORMULA(REGEXEXTRACT(C2001,""^(?:https?:\/\/)?(?:[^@\n]+@)?(?:www\.)?([^:\/\n]+)"")),"""")"),"citrusbug.com")</f>
        <v>citrusbug.com</v>
      </c>
      <c r="E2001" s="26" t="str">
        <f ca="1">IFERROR(__xludf.DUMMYFUNCTION("""COMPUTED_VALUE"""),"New")</f>
        <v>New</v>
      </c>
      <c r="F2001" s="72">
        <v>65</v>
      </c>
      <c r="G2001" s="72">
        <v>3236</v>
      </c>
      <c r="P2001" s="26"/>
    </row>
    <row r="2002" spans="1:28" ht="14.5">
      <c r="A2002" s="3" t="s">
        <v>38</v>
      </c>
      <c r="B2002" s="27" t="s">
        <v>2824</v>
      </c>
      <c r="C2002" s="46" t="s">
        <v>5625</v>
      </c>
      <c r="D2002" s="41" t="str">
        <f ca="1">IFERROR(__xludf.DUMMYFUNCTION("IFERROR(ARRAYFORMULA(REGEXEXTRACT(C2002,""^(?:https?:\/\/)?(?:[^@\n]+@)?(?:www\.)?([^:\/\n]+)"")),"""")"),"index.dev")</f>
        <v>index.dev</v>
      </c>
      <c r="E2002" s="26" t="str">
        <f ca="1">IFERROR(__xludf.DUMMYFUNCTION("""COMPUTED_VALUE"""),"New")</f>
        <v>New</v>
      </c>
      <c r="F2002" s="72">
        <v>66</v>
      </c>
      <c r="G2002" s="72">
        <v>25868</v>
      </c>
      <c r="P2002" s="26"/>
    </row>
    <row r="2003" spans="1:28" ht="14.5">
      <c r="A2003" s="3" t="s">
        <v>38</v>
      </c>
      <c r="B2003" s="27" t="s">
        <v>2824</v>
      </c>
      <c r="C2003" s="46" t="s">
        <v>5626</v>
      </c>
      <c r="D2003" s="41" t="str">
        <f ca="1">IFERROR(__xludf.DUMMYFUNCTION("IFERROR(ARRAYFORMULA(REGEXEXTRACT(C2003,""^(?:https?:\/\/)?(?:[^@\n]+@)?(?:www\.)?([^:\/\n]+)"")),"""")"),"trueprofit.io")</f>
        <v>trueprofit.io</v>
      </c>
      <c r="E2003" s="26" t="str">
        <f ca="1">IFERROR(__xludf.DUMMYFUNCTION("""COMPUTED_VALUE"""),"New")</f>
        <v>New</v>
      </c>
      <c r="F2003" s="72">
        <v>56</v>
      </c>
      <c r="G2003" s="72">
        <v>7790</v>
      </c>
      <c r="P2003" s="26"/>
    </row>
    <row r="2004" spans="1:28" ht="14.5">
      <c r="A2004" s="3" t="s">
        <v>38</v>
      </c>
      <c r="B2004" s="27" t="s">
        <v>2824</v>
      </c>
      <c r="C2004" s="46" t="s">
        <v>5627</v>
      </c>
      <c r="D2004" s="41" t="str">
        <f ca="1">IFERROR(__xludf.DUMMYFUNCTION("IFERROR(ARRAYFORMULA(REGEXEXTRACT(C2004,""^(?:https?:\/\/)?(?:[^@\n]+@)?(?:www\.)?([^:\/\n]+)"")),"""")"),"uiverse.io")</f>
        <v>uiverse.io</v>
      </c>
      <c r="E2004" s="26" t="str">
        <f ca="1">IFERROR(__xludf.DUMMYFUNCTION("""COMPUTED_VALUE"""),"New")</f>
        <v>New</v>
      </c>
      <c r="F2004" s="72">
        <v>68</v>
      </c>
      <c r="G2004" s="72">
        <v>35570</v>
      </c>
      <c r="P2004" s="26"/>
    </row>
    <row r="2005" spans="1:28" ht="14.5">
      <c r="A2005" s="58" t="s">
        <v>38</v>
      </c>
      <c r="B2005" s="62" t="s">
        <v>2824</v>
      </c>
      <c r="C2005" s="80" t="s">
        <v>5628</v>
      </c>
      <c r="D2005" s="60" t="str">
        <f ca="1">IFERROR(__xludf.DUMMYFUNCTION("IFERROR(ARRAYFORMULA(REGEXEXTRACT(C2005,""^(?:https?:\/\/)?(?:[^@\n]+@)?(?:www\.)?([^:\/\n]+)"")),"""")"),"bleumag.com")</f>
        <v>bleumag.com</v>
      </c>
      <c r="E2005" s="61" t="str">
        <f ca="1">IFERROR(__xludf.DUMMYFUNCTION("""COMPUTED_VALUE"""),"New")</f>
        <v>New</v>
      </c>
      <c r="F2005" s="81">
        <v>47</v>
      </c>
      <c r="G2005" s="81">
        <v>43292</v>
      </c>
      <c r="H2005" s="61"/>
      <c r="I2005" s="61"/>
      <c r="J2005" s="62" t="s">
        <v>5629</v>
      </c>
      <c r="K2005" s="62" t="s">
        <v>3772</v>
      </c>
      <c r="L2005" s="62"/>
      <c r="M2005" s="62" t="s">
        <v>3715</v>
      </c>
      <c r="N2005" s="63">
        <v>46048</v>
      </c>
      <c r="O2005" s="63">
        <v>46069</v>
      </c>
      <c r="P2005" s="61"/>
      <c r="Q2005" s="61"/>
      <c r="R2005" s="61"/>
      <c r="S2005" s="61"/>
      <c r="T2005" s="61"/>
      <c r="U2005" s="61"/>
      <c r="V2005" s="61"/>
      <c r="W2005" s="61"/>
      <c r="X2005" s="61"/>
      <c r="Y2005" s="61"/>
      <c r="Z2005" s="61"/>
      <c r="AA2005" s="61"/>
      <c r="AB2005" s="61"/>
    </row>
    <row r="2006" spans="1:28" ht="14.5">
      <c r="A2006" s="3" t="s">
        <v>38</v>
      </c>
      <c r="B2006" s="27" t="s">
        <v>2824</v>
      </c>
      <c r="C2006" s="46" t="s">
        <v>5630</v>
      </c>
      <c r="D2006" s="41" t="str">
        <f ca="1">IFERROR(__xludf.DUMMYFUNCTION("IFERROR(ARRAYFORMULA(REGEXEXTRACT(C2006,""^(?:https?:\/\/)?(?:[^@\n]+@)?(?:www\.)?([^:\/\n]+)"")),"""")"),"moneylion.com")</f>
        <v>moneylion.com</v>
      </c>
      <c r="E2006" s="26" t="str">
        <f ca="1">IFERROR(__xludf.DUMMYFUNCTION("""COMPUTED_VALUE"""),"New")</f>
        <v>New</v>
      </c>
      <c r="F2006" s="72">
        <v>70</v>
      </c>
      <c r="G2006" s="72">
        <v>225491</v>
      </c>
      <c r="P2006" s="26"/>
    </row>
    <row r="2007" spans="1:28" ht="14.5">
      <c r="A2007" s="3" t="s">
        <v>38</v>
      </c>
      <c r="B2007" s="27" t="s">
        <v>2824</v>
      </c>
      <c r="C2007" s="46" t="s">
        <v>5631</v>
      </c>
      <c r="D2007" s="41" t="str">
        <f ca="1">IFERROR(__xludf.DUMMYFUNCTION("IFERROR(ARRAYFORMULA(REGEXEXTRACT(C2007,""^(?:https?:\/\/)?(?:[^@\n]+@)?(?:www\.)?([^:\/\n]+)"")),"""")"),"lawgaze.com")</f>
        <v>lawgaze.com</v>
      </c>
      <c r="E2007" s="26" t="str">
        <f ca="1">IFERROR(__xludf.DUMMYFUNCTION("""COMPUTED_VALUE"""),"New")</f>
        <v>New</v>
      </c>
      <c r="F2007" s="72">
        <v>51</v>
      </c>
      <c r="G2007" s="72">
        <v>1127</v>
      </c>
      <c r="P2007" s="26"/>
    </row>
    <row r="2008" spans="1:28" ht="14.5">
      <c r="A2008" s="3" t="s">
        <v>38</v>
      </c>
      <c r="B2008" s="27" t="s">
        <v>2824</v>
      </c>
      <c r="C2008" s="46" t="s">
        <v>5632</v>
      </c>
      <c r="D2008" s="41" t="str">
        <f ca="1">IFERROR(__xludf.DUMMYFUNCTION("IFERROR(ARRAYFORMULA(REGEXEXTRACT(C2008,""^(?:https?:\/\/)?(?:[^@\n]+@)?(?:www\.)?([^:\/\n]+)"")),"""")"),"elasticemail.com")</f>
        <v>elasticemail.com</v>
      </c>
      <c r="E2008" s="26" t="str">
        <f ca="1">IFERROR(__xludf.DUMMYFUNCTION("""COMPUTED_VALUE"""),"New")</f>
        <v>New</v>
      </c>
      <c r="F2008" s="72">
        <v>77</v>
      </c>
      <c r="G2008" s="72">
        <v>7765</v>
      </c>
      <c r="P2008" s="26"/>
    </row>
    <row r="2009" spans="1:28" ht="14.5">
      <c r="A2009" s="3" t="s">
        <v>38</v>
      </c>
      <c r="B2009" s="27" t="s">
        <v>2824</v>
      </c>
      <c r="C2009" s="46" t="s">
        <v>5633</v>
      </c>
      <c r="D2009" s="41" t="str">
        <f ca="1">IFERROR(__xludf.DUMMYFUNCTION("IFERROR(ARRAYFORMULA(REGEXEXTRACT(C2009,""^(?:https?:\/\/)?(?:[^@\n]+@)?(?:www\.)?([^:\/\n]+)"")),"""")"),"tradersdna.com")</f>
        <v>tradersdna.com</v>
      </c>
      <c r="E2009" s="26" t="str">
        <f ca="1">IFERROR(__xludf.DUMMYFUNCTION("""COMPUTED_VALUE"""),"New")</f>
        <v>New</v>
      </c>
      <c r="F2009" s="72">
        <v>31</v>
      </c>
      <c r="G2009" s="72">
        <v>2122</v>
      </c>
      <c r="P2009" s="26"/>
    </row>
    <row r="2010" spans="1:28" ht="14.5">
      <c r="A2010" s="3" t="s">
        <v>38</v>
      </c>
      <c r="B2010" s="27" t="s">
        <v>2824</v>
      </c>
      <c r="C2010" s="46" t="s">
        <v>5634</v>
      </c>
      <c r="D2010" s="41" t="str">
        <f ca="1">IFERROR(__xludf.DUMMYFUNCTION("IFERROR(ARRAYFORMULA(REGEXEXTRACT(C2010,""^(?:https?:\/\/)?(?:[^@\n]+@)?(?:www\.)?([^:\/\n]+)"")),"""")"),"zazz.io")</f>
        <v>zazz.io</v>
      </c>
      <c r="E2010" s="26" t="str">
        <f ca="1">IFERROR(__xludf.DUMMYFUNCTION("""COMPUTED_VALUE"""),"New")</f>
        <v>New</v>
      </c>
      <c r="F2010" s="72">
        <v>64</v>
      </c>
      <c r="G2010" s="72">
        <v>29218</v>
      </c>
      <c r="P2010" s="26"/>
    </row>
    <row r="2011" spans="1:28" ht="14.5">
      <c r="A2011" s="3" t="s">
        <v>38</v>
      </c>
      <c r="B2011" s="27" t="s">
        <v>2824</v>
      </c>
      <c r="C2011" s="46" t="s">
        <v>5635</v>
      </c>
      <c r="D2011" s="41" t="str">
        <f ca="1">IFERROR(__xludf.DUMMYFUNCTION("IFERROR(ARRAYFORMULA(REGEXEXTRACT(C2011,""^(?:https?:\/\/)?(?:[^@\n]+@)?(?:www\.)?([^:\/\n]+)"")),"""")"),"mysignature.io")</f>
        <v>mysignature.io</v>
      </c>
      <c r="E2011" s="26" t="str">
        <f ca="1">IFERROR(__xludf.DUMMYFUNCTION("""COMPUTED_VALUE"""),"New")</f>
        <v>New</v>
      </c>
      <c r="F2011" s="72">
        <v>74</v>
      </c>
      <c r="G2011" s="72">
        <v>106078</v>
      </c>
      <c r="P2011" s="26"/>
    </row>
    <row r="2012" spans="1:28" ht="14.5">
      <c r="A2012" s="3" t="s">
        <v>38</v>
      </c>
      <c r="B2012" s="27" t="s">
        <v>2824</v>
      </c>
      <c r="C2012" s="46" t="s">
        <v>5636</v>
      </c>
      <c r="D2012" s="41" t="str">
        <f ca="1">IFERROR(__xludf.DUMMYFUNCTION("IFERROR(ARRAYFORMULA(REGEXEXTRACT(C2012,""^(?:https?:\/\/)?(?:[^@\n]+@)?(?:www\.)?([^:\/\n]+)"")),"""")"),"botscrew.com")</f>
        <v>botscrew.com</v>
      </c>
      <c r="E2012" s="26" t="str">
        <f ca="1">IFERROR(__xludf.DUMMYFUNCTION("""COMPUTED_VALUE"""),"New")</f>
        <v>New</v>
      </c>
      <c r="F2012" s="72">
        <v>60</v>
      </c>
      <c r="G2012" s="72">
        <v>3261</v>
      </c>
      <c r="P2012" s="26"/>
    </row>
    <row r="2013" spans="1:28" ht="14.5">
      <c r="A2013" s="3" t="s">
        <v>38</v>
      </c>
      <c r="B2013" s="27" t="s">
        <v>2824</v>
      </c>
      <c r="C2013" s="46" t="s">
        <v>5637</v>
      </c>
      <c r="D2013" s="41" t="str">
        <f ca="1">IFERROR(__xludf.DUMMYFUNCTION("IFERROR(ARRAYFORMULA(REGEXEXTRACT(C2013,""^(?:https?:\/\/)?(?:[^@\n]+@)?(?:www\.)?([^:\/\n]+)"")),"""")"),"slideshare.net")</f>
        <v>slideshare.net</v>
      </c>
      <c r="E2013" s="26" t="str">
        <f ca="1">IFERROR(__xludf.DUMMYFUNCTION("""COMPUTED_VALUE"""),"New")</f>
        <v>New</v>
      </c>
      <c r="F2013" s="72">
        <v>92</v>
      </c>
      <c r="G2013" s="72">
        <v>13127901</v>
      </c>
      <c r="P2013" s="26"/>
    </row>
    <row r="2014" spans="1:28" ht="14.5" hidden="1">
      <c r="A2014" s="3" t="s">
        <v>38</v>
      </c>
      <c r="B2014" s="27" t="s">
        <v>2824</v>
      </c>
      <c r="C2014" s="46" t="s">
        <v>5638</v>
      </c>
      <c r="D2014" s="41" t="str">
        <f ca="1">IFERROR(__xludf.DUMMYFUNCTION("IFERROR(ARRAYFORMULA(REGEXEXTRACT(C2014,""^(?:https?:\/\/)?(?:[^@\n]+@)?(?:www\.)?([^:\/\n]+)"")),"""")"),"landlordstudio.com")</f>
        <v>landlordstudio.com</v>
      </c>
      <c r="E2014" s="26" t="str">
        <f ca="1">IFERROR(__xludf.DUMMYFUNCTION("""COMPUTED_VALUE"""),"Already Exists")</f>
        <v>Already Exists</v>
      </c>
      <c r="F2014" s="72">
        <v>65</v>
      </c>
      <c r="G2014" s="72">
        <v>76156</v>
      </c>
      <c r="P2014" s="26"/>
    </row>
    <row r="2015" spans="1:28" ht="14.5">
      <c r="A2015" s="3" t="s">
        <v>38</v>
      </c>
      <c r="B2015" s="27" t="s">
        <v>2824</v>
      </c>
      <c r="C2015" s="46" t="s">
        <v>5639</v>
      </c>
      <c r="D2015" s="41" t="str">
        <f ca="1">IFERROR(__xludf.DUMMYFUNCTION("IFERROR(ARRAYFORMULA(REGEXEXTRACT(C2015,""^(?:https?:\/\/)?(?:[^@\n]+@)?(?:www\.)?([^:\/\n]+)"")),"""")"),"blog.designcrowd.com")</f>
        <v>blog.designcrowd.com</v>
      </c>
      <c r="E2015" s="26" t="str">
        <f ca="1">IFERROR(__xludf.DUMMYFUNCTION("""COMPUTED_VALUE"""),"New")</f>
        <v>New</v>
      </c>
      <c r="F2015" s="72">
        <v>77</v>
      </c>
      <c r="G2015" s="72">
        <v>130013</v>
      </c>
      <c r="P2015" s="26"/>
    </row>
    <row r="2016" spans="1:28" ht="14.5">
      <c r="A2016" s="3" t="s">
        <v>38</v>
      </c>
      <c r="B2016" s="27" t="s">
        <v>2824</v>
      </c>
      <c r="C2016" s="46" t="s">
        <v>5640</v>
      </c>
      <c r="D2016" s="41" t="str">
        <f ca="1">IFERROR(__xludf.DUMMYFUNCTION("IFERROR(ARRAYFORMULA(REGEXEXTRACT(C2016,""^(?:https?:\/\/)?(?:[^@\n]+@)?(?:www\.)?([^:\/\n]+)"")),"""")"),"idstrong.com")</f>
        <v>idstrong.com</v>
      </c>
      <c r="E2016" s="26" t="str">
        <f ca="1">IFERROR(__xludf.DUMMYFUNCTION("""COMPUTED_VALUE"""),"New")</f>
        <v>New</v>
      </c>
      <c r="F2016" s="72">
        <v>64</v>
      </c>
      <c r="G2016" s="72">
        <v>15330</v>
      </c>
      <c r="P2016" s="26"/>
    </row>
    <row r="2017" spans="1:16" ht="14.5">
      <c r="A2017" s="3" t="s">
        <v>38</v>
      </c>
      <c r="B2017" s="27" t="s">
        <v>2824</v>
      </c>
      <c r="C2017" s="46" t="s">
        <v>5641</v>
      </c>
      <c r="D2017" s="41" t="str">
        <f ca="1">IFERROR(__xludf.DUMMYFUNCTION("IFERROR(ARRAYFORMULA(REGEXEXTRACT(C2017,""^(?:https?:\/\/)?(?:[^@\n]+@)?(?:www\.)?([^:\/\n]+)"")),"""")"),"crowjack.com")</f>
        <v>crowjack.com</v>
      </c>
      <c r="E2017" s="26" t="str">
        <f ca="1">IFERROR(__xludf.DUMMYFUNCTION("""COMPUTED_VALUE"""),"New")</f>
        <v>New</v>
      </c>
      <c r="F2017" s="72">
        <v>45</v>
      </c>
      <c r="G2017" s="72">
        <v>2493</v>
      </c>
      <c r="P2017" s="26"/>
    </row>
    <row r="2018" spans="1:16" ht="14.5">
      <c r="A2018" s="3" t="s">
        <v>38</v>
      </c>
      <c r="B2018" s="27" t="s">
        <v>2824</v>
      </c>
      <c r="C2018" s="46" t="s">
        <v>5642</v>
      </c>
      <c r="D2018" s="41" t="str">
        <f ca="1">IFERROR(__xludf.DUMMYFUNCTION("IFERROR(ARRAYFORMULA(REGEXEXTRACT(C2018,""^(?:https?:\/\/)?(?:[^@\n]+@)?(?:www\.)?([^:\/\n]+)"")),"""")"),"designworklife.com")</f>
        <v>designworklife.com</v>
      </c>
      <c r="E2018" s="26" t="str">
        <f ca="1">IFERROR(__xludf.DUMMYFUNCTION("""COMPUTED_VALUE"""),"New")</f>
        <v>New</v>
      </c>
      <c r="F2018" s="72">
        <v>54</v>
      </c>
      <c r="G2018" s="72">
        <v>55492</v>
      </c>
      <c r="P2018" s="26"/>
    </row>
    <row r="2019" spans="1:16" ht="14.5">
      <c r="A2019" s="3" t="s">
        <v>38</v>
      </c>
      <c r="B2019" s="27" t="s">
        <v>2824</v>
      </c>
      <c r="C2019" s="49" t="s">
        <v>5643</v>
      </c>
      <c r="D2019" s="41" t="str">
        <f ca="1">IFERROR(__xludf.DUMMYFUNCTION("IFERROR(ARRAYFORMULA(REGEXEXTRACT(C2019,""^(?:https?:\/\/)?(?:[^@\n]+@)?(?:www\.)?([^:\/\n]+)"")),"""")"),"money6x.com")</f>
        <v>money6x.com</v>
      </c>
      <c r="E2019" s="26" t="str">
        <f ca="1">IFERROR(__xludf.DUMMYFUNCTION("""COMPUTED_VALUE"""),"New")</f>
        <v>New</v>
      </c>
      <c r="F2019" s="72">
        <v>52</v>
      </c>
      <c r="G2019" s="72">
        <v>22027</v>
      </c>
      <c r="J2019" s="27" t="s">
        <v>5644</v>
      </c>
      <c r="K2019" s="27" t="s">
        <v>3756</v>
      </c>
      <c r="L2019" s="112"/>
      <c r="M2019" s="27" t="s">
        <v>3715</v>
      </c>
      <c r="N2019" s="48">
        <v>46048</v>
      </c>
      <c r="O2019" s="48">
        <v>46069</v>
      </c>
      <c r="P2019" s="26"/>
    </row>
    <row r="2020" spans="1:16" ht="14.5">
      <c r="A2020" s="3" t="s">
        <v>38</v>
      </c>
      <c r="B2020" s="27" t="s">
        <v>2824</v>
      </c>
      <c r="C2020" s="46" t="s">
        <v>5645</v>
      </c>
      <c r="D2020" s="41" t="str">
        <f ca="1">IFERROR(__xludf.DUMMYFUNCTION("IFERROR(ARRAYFORMULA(REGEXEXTRACT(C2020,""^(?:https?:\/\/)?(?:[^@\n]+@)?(?:www\.)?([^:\/\n]+)"")),"""")"),"makersrow.com")</f>
        <v>makersrow.com</v>
      </c>
      <c r="E2020" s="26" t="str">
        <f ca="1">IFERROR(__xludf.DUMMYFUNCTION("""COMPUTED_VALUE"""),"New")</f>
        <v>New</v>
      </c>
      <c r="F2020" s="72">
        <v>68</v>
      </c>
      <c r="G2020" s="72">
        <v>20196</v>
      </c>
      <c r="P2020" s="26"/>
    </row>
    <row r="2021" spans="1:16" ht="14.5">
      <c r="A2021" s="3" t="s">
        <v>38</v>
      </c>
      <c r="B2021" s="27" t="s">
        <v>2824</v>
      </c>
      <c r="C2021" s="46" t="s">
        <v>5646</v>
      </c>
      <c r="D2021" s="41" t="str">
        <f ca="1">IFERROR(__xludf.DUMMYFUNCTION("IFERROR(ARRAYFORMULA(REGEXEXTRACT(C2021,""^(?:https?:\/\/)?(?:[^@\n]+@)?(?:www\.)?([^:\/\n]+)"")),"""")"),"blog.replug.io")</f>
        <v>blog.replug.io</v>
      </c>
      <c r="E2021" s="26" t="str">
        <f ca="1">IFERROR(__xludf.DUMMYFUNCTION("""COMPUTED_VALUE"""),"New")</f>
        <v>New</v>
      </c>
      <c r="F2021" s="72">
        <v>72</v>
      </c>
      <c r="G2021" s="72">
        <v>97617</v>
      </c>
      <c r="P2021" s="26"/>
    </row>
    <row r="2022" spans="1:16" ht="14.5" hidden="1">
      <c r="A2022" s="3" t="s">
        <v>38</v>
      </c>
      <c r="B2022" s="27" t="s">
        <v>2824</v>
      </c>
      <c r="C2022" s="46" t="s">
        <v>5647</v>
      </c>
      <c r="D2022" s="41" t="str">
        <f ca="1">IFERROR(__xludf.DUMMYFUNCTION("IFERROR(ARRAYFORMULA(REGEXEXTRACT(C2022,""^(?:https?:\/\/)?(?:[^@\n]+@)?(?:www\.)?([^:\/\n]+)"")),"""")"),"gethppy.com")</f>
        <v>gethppy.com</v>
      </c>
      <c r="E2022" s="26" t="str">
        <f ca="1">IFERROR(__xludf.DUMMYFUNCTION("""COMPUTED_VALUE"""),"Already Exists")</f>
        <v>Already Exists</v>
      </c>
      <c r="F2022" s="72">
        <v>64</v>
      </c>
      <c r="G2022" s="72">
        <v>1121</v>
      </c>
      <c r="P2022" s="26"/>
    </row>
    <row r="2023" spans="1:16" ht="14.5">
      <c r="A2023" s="3" t="s">
        <v>38</v>
      </c>
      <c r="B2023" s="27" t="s">
        <v>2824</v>
      </c>
      <c r="C2023" s="46" t="s">
        <v>5648</v>
      </c>
      <c r="D2023" s="41" t="str">
        <f ca="1">IFERROR(__xludf.DUMMYFUNCTION("IFERROR(ARRAYFORMULA(REGEXEXTRACT(C2023,""^(?:https?:\/\/)?(?:[^@\n]+@)?(?:www\.)?([^:\/\n]+)"")),"""")"),"awealthofcommonsense.com")</f>
        <v>awealthofcommonsense.com</v>
      </c>
      <c r="E2023" s="26" t="str">
        <f ca="1">IFERROR(__xludf.DUMMYFUNCTION("""COMPUTED_VALUE"""),"New")</f>
        <v>New</v>
      </c>
      <c r="F2023" s="72">
        <v>71</v>
      </c>
      <c r="G2023" s="72">
        <v>22147</v>
      </c>
      <c r="P2023" s="26"/>
    </row>
    <row r="2024" spans="1:16" ht="14.5">
      <c r="A2024" s="3" t="s">
        <v>38</v>
      </c>
      <c r="B2024" s="27" t="s">
        <v>2824</v>
      </c>
      <c r="C2024" s="46" t="s">
        <v>5649</v>
      </c>
      <c r="D2024" s="41" t="str">
        <f ca="1">IFERROR(__xludf.DUMMYFUNCTION("IFERROR(ARRAYFORMULA(REGEXEXTRACT(C2024,""^(?:https?:\/\/)?(?:[^@\n]+@)?(?:www\.)?([^:\/\n]+)"")),"""")"),"telnyx.com")</f>
        <v>telnyx.com</v>
      </c>
      <c r="E2024" s="26" t="str">
        <f ca="1">IFERROR(__xludf.DUMMYFUNCTION("""COMPUTED_VALUE"""),"New")</f>
        <v>New</v>
      </c>
      <c r="F2024" s="72">
        <v>73</v>
      </c>
      <c r="G2024" s="72">
        <v>42657</v>
      </c>
      <c r="P2024" s="26"/>
    </row>
    <row r="2025" spans="1:16" ht="14.5">
      <c r="A2025" s="3" t="s">
        <v>38</v>
      </c>
      <c r="B2025" s="27" t="s">
        <v>2824</v>
      </c>
      <c r="C2025" s="46" t="s">
        <v>5650</v>
      </c>
      <c r="D2025" s="41" t="str">
        <f ca="1">IFERROR(__xludf.DUMMYFUNCTION("IFERROR(ARRAYFORMULA(REGEXEXTRACT(C2025,""^(?:https?:\/\/)?(?:[^@\n]+@)?(?:www\.)?([^:\/\n]+)"")),"""")"),"epsilontheory.com")</f>
        <v>epsilontheory.com</v>
      </c>
      <c r="E2025" s="26" t="str">
        <f ca="1">IFERROR(__xludf.DUMMYFUNCTION("""COMPUTED_VALUE"""),"New")</f>
        <v>New</v>
      </c>
      <c r="F2025" s="72">
        <v>55</v>
      </c>
      <c r="G2025" s="72">
        <v>1027</v>
      </c>
      <c r="P2025" s="26"/>
    </row>
    <row r="2026" spans="1:16" ht="14.5">
      <c r="A2026" s="3" t="s">
        <v>38</v>
      </c>
      <c r="B2026" s="27" t="s">
        <v>2824</v>
      </c>
      <c r="C2026" s="46" t="s">
        <v>5651</v>
      </c>
      <c r="D2026" s="41" t="str">
        <f ca="1">IFERROR(__xludf.DUMMYFUNCTION("IFERROR(ARRAYFORMULA(REGEXEXTRACT(C2026,""^(?:https?:\/\/)?(?:[^@\n]+@)?(?:www\.)?([^:\/\n]+)"")),"""")"),"flocksocial.com")</f>
        <v>flocksocial.com</v>
      </c>
      <c r="E2026" s="26" t="str">
        <f ca="1">IFERROR(__xludf.DUMMYFUNCTION("""COMPUTED_VALUE"""),"New")</f>
        <v>New</v>
      </c>
      <c r="F2026" s="72">
        <v>38</v>
      </c>
      <c r="G2026" s="72">
        <v>11685</v>
      </c>
      <c r="P2026" s="26"/>
    </row>
    <row r="2027" spans="1:16" ht="14.5">
      <c r="A2027" s="3" t="s">
        <v>38</v>
      </c>
      <c r="B2027" s="27" t="s">
        <v>2824</v>
      </c>
      <c r="C2027" s="46" t="s">
        <v>5652</v>
      </c>
      <c r="D2027" s="41" t="str">
        <f ca="1">IFERROR(__xludf.DUMMYFUNCTION("IFERROR(ARRAYFORMULA(REGEXEXTRACT(C2027,""^(?:https?:\/\/)?(?:[^@\n]+@)?(?:www\.)?([^:\/\n]+)"")),"""")"),"creolestudios.com")</f>
        <v>creolestudios.com</v>
      </c>
      <c r="E2027" s="26" t="str">
        <f ca="1">IFERROR(__xludf.DUMMYFUNCTION("""COMPUTED_VALUE"""),"New")</f>
        <v>New</v>
      </c>
      <c r="F2027" s="72">
        <v>62</v>
      </c>
      <c r="G2027" s="72">
        <v>9807</v>
      </c>
      <c r="P2027" s="26"/>
    </row>
    <row r="2028" spans="1:16" ht="14.5">
      <c r="A2028" s="3" t="s">
        <v>38</v>
      </c>
      <c r="B2028" s="27" t="s">
        <v>2824</v>
      </c>
      <c r="C2028" s="49" t="s">
        <v>5653</v>
      </c>
      <c r="D2028" s="41" t="str">
        <f ca="1">IFERROR(__xludf.DUMMYFUNCTION("IFERROR(ARRAYFORMULA(REGEXEXTRACT(C2028,""^(?:https?:\/\/)?(?:[^@\n]+@)?(?:www\.)?([^:\/\n]+)"")),"""")"),"whatstorage.co.uk")</f>
        <v>whatstorage.co.uk</v>
      </c>
      <c r="E2028" s="26" t="str">
        <f ca="1">IFERROR(__xludf.DUMMYFUNCTION("""COMPUTED_VALUE"""),"New")</f>
        <v>New</v>
      </c>
      <c r="F2028" s="72">
        <v>39</v>
      </c>
      <c r="G2028" s="72">
        <v>4543</v>
      </c>
      <c r="J2028" s="27" t="s">
        <v>5654</v>
      </c>
      <c r="K2028" s="27" t="s">
        <v>4092</v>
      </c>
      <c r="L2028" s="112"/>
      <c r="M2028" s="27" t="s">
        <v>3715</v>
      </c>
      <c r="N2028" s="48">
        <v>46048</v>
      </c>
      <c r="O2028" s="48">
        <v>46069</v>
      </c>
      <c r="P2028" s="26"/>
    </row>
    <row r="2029" spans="1:16" ht="14.5">
      <c r="A2029" s="3" t="s">
        <v>38</v>
      </c>
      <c r="B2029" s="27" t="s">
        <v>2824</v>
      </c>
      <c r="C2029" s="46" t="s">
        <v>5655</v>
      </c>
      <c r="D2029" s="41" t="str">
        <f ca="1">IFERROR(__xludf.DUMMYFUNCTION("IFERROR(ARRAYFORMULA(REGEXEXTRACT(C2029,""^(?:https?:\/\/)?(?:[^@\n]+@)?(?:www\.)?([^:\/\n]+)"")),"""")"),"abilities.com")</f>
        <v>abilities.com</v>
      </c>
      <c r="E2029" s="26" t="str">
        <f ca="1">IFERROR(__xludf.DUMMYFUNCTION("""COMPUTED_VALUE"""),"New")</f>
        <v>New</v>
      </c>
      <c r="F2029" s="72">
        <v>65</v>
      </c>
      <c r="G2029" s="72">
        <v>1879</v>
      </c>
      <c r="P2029" s="26"/>
    </row>
    <row r="2030" spans="1:16" ht="14.5">
      <c r="A2030" s="3" t="s">
        <v>38</v>
      </c>
      <c r="B2030" s="27" t="s">
        <v>2824</v>
      </c>
      <c r="C2030" s="46" t="s">
        <v>5656</v>
      </c>
      <c r="D2030" s="41" t="str">
        <f ca="1">IFERROR(__xludf.DUMMYFUNCTION("IFERROR(ARRAYFORMULA(REGEXEXTRACT(C2030,""^(?:https?:\/\/)?(?:[^@\n]+@)?(?:www\.)?([^:\/\n]+)"")),"""")"),"niftypm.com")</f>
        <v>niftypm.com</v>
      </c>
      <c r="E2030" s="26" t="str">
        <f ca="1">IFERROR(__xludf.DUMMYFUNCTION("""COMPUTED_VALUE"""),"New")</f>
        <v>New</v>
      </c>
      <c r="F2030" s="72">
        <v>76</v>
      </c>
      <c r="G2030" s="72">
        <v>22500</v>
      </c>
      <c r="P2030" s="26"/>
    </row>
    <row r="2031" spans="1:16" ht="14.5">
      <c r="A2031" s="3" t="s">
        <v>38</v>
      </c>
      <c r="B2031" s="27" t="s">
        <v>2824</v>
      </c>
      <c r="C2031" s="46" t="s">
        <v>5657</v>
      </c>
      <c r="D2031" s="41" t="str">
        <f ca="1">IFERROR(__xludf.DUMMYFUNCTION("IFERROR(ARRAYFORMULA(REGEXEXTRACT(C2031,""^(?:https?:\/\/)?(?:[^@\n]+@)?(?:www\.)?([^:\/\n]+)"")),"""")"),"nimbleappgenie.com")</f>
        <v>nimbleappgenie.com</v>
      </c>
      <c r="E2031" s="26" t="str">
        <f ca="1">IFERROR(__xludf.DUMMYFUNCTION("""COMPUTED_VALUE"""),"New")</f>
        <v>New</v>
      </c>
      <c r="F2031" s="72">
        <v>64</v>
      </c>
      <c r="G2031" s="72">
        <v>1973</v>
      </c>
      <c r="P2031" s="26"/>
    </row>
    <row r="2032" spans="1:16" ht="14.5">
      <c r="A2032" s="3" t="s">
        <v>38</v>
      </c>
      <c r="B2032" s="27" t="s">
        <v>2824</v>
      </c>
      <c r="C2032" s="46" t="s">
        <v>5658</v>
      </c>
      <c r="D2032" s="41" t="str">
        <f ca="1">IFERROR(__xludf.DUMMYFUNCTION("IFERROR(ARRAYFORMULA(REGEXEXTRACT(C2032,""^(?:https?:\/\/)?(?:[^@\n]+@)?(?:www\.)?([^:\/\n]+)"")),"""")"),"projectyin.com")</f>
        <v>projectyin.com</v>
      </c>
      <c r="E2032" s="26" t="str">
        <f ca="1">IFERROR(__xludf.DUMMYFUNCTION("""COMPUTED_VALUE"""),"New")</f>
        <v>New</v>
      </c>
      <c r="F2032" s="72">
        <v>52</v>
      </c>
      <c r="G2032" s="72">
        <v>4754</v>
      </c>
      <c r="P2032" s="26"/>
    </row>
    <row r="2033" spans="1:16" ht="14.5">
      <c r="A2033" s="3" t="s">
        <v>38</v>
      </c>
      <c r="B2033" s="27" t="s">
        <v>2824</v>
      </c>
      <c r="C2033" s="46" t="s">
        <v>5659</v>
      </c>
      <c r="D2033" s="41" t="str">
        <f ca="1">IFERROR(__xludf.DUMMYFUNCTION("IFERROR(ARRAYFORMULA(REGEXEXTRACT(C2033,""^(?:https?:\/\/)?(?:[^@\n]+@)?(?:www\.)?([^:\/\n]+)"")),"""")"),"uniqode.com")</f>
        <v>uniqode.com</v>
      </c>
      <c r="E2033" s="26" t="str">
        <f ca="1">IFERROR(__xludf.DUMMYFUNCTION("""COMPUTED_VALUE"""),"New")</f>
        <v>New</v>
      </c>
      <c r="F2033" s="72">
        <v>81</v>
      </c>
      <c r="G2033" s="72">
        <v>35173</v>
      </c>
      <c r="P2033" s="26"/>
    </row>
    <row r="2034" spans="1:16" ht="14.5">
      <c r="A2034" s="3" t="s">
        <v>38</v>
      </c>
      <c r="B2034" s="27" t="s">
        <v>2824</v>
      </c>
      <c r="C2034" s="46" t="s">
        <v>5660</v>
      </c>
      <c r="D2034" s="41" t="str">
        <f ca="1">IFERROR(__xludf.DUMMYFUNCTION("IFERROR(ARRAYFORMULA(REGEXEXTRACT(C2034,""^(?:https?:\/\/)?(?:[^@\n]+@)?(?:www\.)?([^:\/\n]+)"")),"""")"),"amzprep.com")</f>
        <v>amzprep.com</v>
      </c>
      <c r="E2034" s="26" t="str">
        <f ca="1">IFERROR(__xludf.DUMMYFUNCTION("""COMPUTED_VALUE"""),"New")</f>
        <v>New</v>
      </c>
      <c r="F2034" s="72">
        <v>60</v>
      </c>
      <c r="G2034" s="72">
        <v>23615</v>
      </c>
      <c r="P2034" s="26"/>
    </row>
    <row r="2035" spans="1:16" ht="14.5" hidden="1">
      <c r="A2035" s="3" t="s">
        <v>38</v>
      </c>
      <c r="B2035" s="27" t="s">
        <v>2824</v>
      </c>
      <c r="C2035" s="47" t="s">
        <v>5661</v>
      </c>
      <c r="D2035" s="41" t="str">
        <f ca="1">IFERROR(__xludf.DUMMYFUNCTION("IFERROR(ARRAYFORMULA(REGEXEXTRACT(C2035,""^(?:https?:\/\/)?(?:[^@\n]+@)?(?:www\.)?([^:\/\n]+)"")),"""")"),"nomadichustle.com")</f>
        <v>nomadichustle.com</v>
      </c>
      <c r="E2035" s="26" t="str">
        <f ca="1">IFERROR(__xludf.DUMMYFUNCTION("""COMPUTED_VALUE"""),"Already Exists")</f>
        <v>Already Exists</v>
      </c>
      <c r="F2035" s="72">
        <v>56</v>
      </c>
      <c r="G2035" s="72">
        <v>1115</v>
      </c>
      <c r="J2035" s="27" t="s">
        <v>4074</v>
      </c>
      <c r="K2035" s="27" t="s">
        <v>3756</v>
      </c>
      <c r="L2035" s="112"/>
      <c r="M2035" s="27" t="s">
        <v>3715</v>
      </c>
      <c r="N2035" s="48">
        <v>46048</v>
      </c>
      <c r="P2035" s="27" t="s">
        <v>3201</v>
      </c>
    </row>
    <row r="2036" spans="1:16" ht="14.5">
      <c r="A2036" s="3" t="s">
        <v>38</v>
      </c>
      <c r="B2036" s="27" t="s">
        <v>2824</v>
      </c>
      <c r="C2036" s="46" t="s">
        <v>5662</v>
      </c>
      <c r="D2036" s="41" t="str">
        <f ca="1">IFERROR(__xludf.DUMMYFUNCTION("IFERROR(ARRAYFORMULA(REGEXEXTRACT(C2036,""^(?:https?:\/\/)?(?:[^@\n]+@)?(?:www\.)?([^:\/\n]+)"")),"""")"),"mgt-commerce.com")</f>
        <v>mgt-commerce.com</v>
      </c>
      <c r="E2036" s="26" t="str">
        <f ca="1">IFERROR(__xludf.DUMMYFUNCTION("""COMPUTED_VALUE"""),"New")</f>
        <v>New</v>
      </c>
      <c r="F2036" s="72">
        <v>72</v>
      </c>
      <c r="G2036" s="72">
        <v>43846</v>
      </c>
      <c r="P2036" s="26"/>
    </row>
    <row r="2037" spans="1:16" ht="14.5">
      <c r="A2037" s="3" t="s">
        <v>38</v>
      </c>
      <c r="B2037" s="27" t="s">
        <v>2824</v>
      </c>
      <c r="C2037" s="46" t="s">
        <v>5663</v>
      </c>
      <c r="D2037" s="41" t="str">
        <f ca="1">IFERROR(__xludf.DUMMYFUNCTION("IFERROR(ARRAYFORMULA(REGEXEXTRACT(C2037,""^(?:https?:\/\/)?(?:[^@\n]+@)?(?:www\.)?([^:\/\n]+)"")),"""")"),"pixteller.com")</f>
        <v>pixteller.com</v>
      </c>
      <c r="E2037" s="26" t="str">
        <f ca="1">IFERROR(__xludf.DUMMYFUNCTION("""COMPUTED_VALUE"""),"New")</f>
        <v>New</v>
      </c>
      <c r="F2037" s="72">
        <v>56</v>
      </c>
      <c r="G2037" s="72">
        <v>10976</v>
      </c>
      <c r="P2037" s="26"/>
    </row>
    <row r="2038" spans="1:16" ht="14.5">
      <c r="A2038" s="3" t="s">
        <v>38</v>
      </c>
      <c r="B2038" s="27" t="s">
        <v>2824</v>
      </c>
      <c r="C2038" s="46" t="s">
        <v>5664</v>
      </c>
      <c r="D2038" s="41" t="str">
        <f ca="1">IFERROR(__xludf.DUMMYFUNCTION("IFERROR(ARRAYFORMULA(REGEXEXTRACT(C2038,""^(?:https?:\/\/)?(?:[^@\n]+@)?(?:www\.)?([^:\/\n]+)"")),"""")"),"billingsgazette.com")</f>
        <v>billingsgazette.com</v>
      </c>
      <c r="E2038" s="26" t="str">
        <f ca="1">IFERROR(__xludf.DUMMYFUNCTION("""COMPUTED_VALUE"""),"New")</f>
        <v>New</v>
      </c>
      <c r="F2038" s="72">
        <v>76</v>
      </c>
      <c r="G2038" s="72">
        <v>74835</v>
      </c>
      <c r="P2038" s="26"/>
    </row>
    <row r="2039" spans="1:16" ht="14.5">
      <c r="A2039" s="3" t="s">
        <v>38</v>
      </c>
      <c r="B2039" s="27" t="s">
        <v>2824</v>
      </c>
      <c r="C2039" s="46" t="s">
        <v>5665</v>
      </c>
      <c r="D2039" s="41" t="str">
        <f ca="1">IFERROR(__xludf.DUMMYFUNCTION("IFERROR(ARRAYFORMULA(REGEXEXTRACT(C2039,""^(?:https?:\/\/)?(?:[^@\n]+@)?(?:www\.)?([^:\/\n]+)"")),"""")"),"bombshellbybleu.com")</f>
        <v>bombshellbybleu.com</v>
      </c>
      <c r="E2039" s="26" t="str">
        <f ca="1">IFERROR(__xludf.DUMMYFUNCTION("""COMPUTED_VALUE"""),"New")</f>
        <v>New</v>
      </c>
      <c r="F2039" s="72">
        <v>31</v>
      </c>
      <c r="G2039" s="72">
        <v>8796</v>
      </c>
      <c r="P2039" s="26"/>
    </row>
    <row r="2040" spans="1:16" ht="14.5">
      <c r="A2040" s="3" t="s">
        <v>38</v>
      </c>
      <c r="B2040" s="27" t="s">
        <v>2824</v>
      </c>
      <c r="C2040" s="46" t="s">
        <v>5666</v>
      </c>
      <c r="D2040" s="41" t="str">
        <f ca="1">IFERROR(__xludf.DUMMYFUNCTION("IFERROR(ARRAYFORMULA(REGEXEXTRACT(C2040,""^(?:https?:\/\/)?(?:[^@\n]+@)?(?:www\.)?([^:\/\n]+)"")),"""")"),"gretasjunkyard.com")</f>
        <v>gretasjunkyard.com</v>
      </c>
      <c r="E2040" s="26" t="str">
        <f ca="1">IFERROR(__xludf.DUMMYFUNCTION("""COMPUTED_VALUE"""),"New")</f>
        <v>New</v>
      </c>
      <c r="F2040" s="72">
        <v>23</v>
      </c>
      <c r="G2040" s="72">
        <v>1186</v>
      </c>
      <c r="P2040" s="26"/>
    </row>
    <row r="2041" spans="1:16" ht="14.5">
      <c r="A2041" s="3" t="s">
        <v>38</v>
      </c>
      <c r="B2041" s="27" t="s">
        <v>2824</v>
      </c>
      <c r="C2041" s="46" t="s">
        <v>5667</v>
      </c>
      <c r="D2041" s="41" t="str">
        <f ca="1">IFERROR(__xludf.DUMMYFUNCTION("IFERROR(ARRAYFORMULA(REGEXEXTRACT(C2041,""^(?:https?:\/\/)?(?:[^@\n]+@)?(?:www\.)?([^:\/\n]+)"")),"""")"),"graphically.io")</f>
        <v>graphically.io</v>
      </c>
      <c r="E2041" s="26" t="str">
        <f ca="1">IFERROR(__xludf.DUMMYFUNCTION("""COMPUTED_VALUE"""),"New")</f>
        <v>New</v>
      </c>
      <c r="F2041" s="72">
        <v>65</v>
      </c>
      <c r="G2041" s="72">
        <v>1971</v>
      </c>
      <c r="P2041" s="26"/>
    </row>
    <row r="2042" spans="1:16" ht="14.5">
      <c r="A2042" s="3" t="s">
        <v>38</v>
      </c>
      <c r="B2042" s="27" t="s">
        <v>2824</v>
      </c>
      <c r="C2042" s="46" t="s">
        <v>5668</v>
      </c>
      <c r="D2042" s="41" t="str">
        <f ca="1">IFERROR(__xludf.DUMMYFUNCTION("IFERROR(ARRAYFORMULA(REGEXEXTRACT(C2042,""^(?:https?:\/\/)?(?:[^@\n]+@)?(?:www\.)?([^:\/\n]+)"")),"""")"),"fitnessmentors.com")</f>
        <v>fitnessmentors.com</v>
      </c>
      <c r="E2042" s="26" t="str">
        <f ca="1">IFERROR(__xludf.DUMMYFUNCTION("""COMPUTED_VALUE"""),"New")</f>
        <v>New</v>
      </c>
      <c r="F2042" s="72">
        <v>46</v>
      </c>
      <c r="G2042" s="72">
        <v>8949</v>
      </c>
      <c r="P2042" s="26"/>
    </row>
    <row r="2043" spans="1:16" ht="14.5">
      <c r="A2043" s="3" t="s">
        <v>38</v>
      </c>
      <c r="B2043" s="27" t="s">
        <v>2824</v>
      </c>
      <c r="C2043" s="46" t="s">
        <v>5669</v>
      </c>
      <c r="D2043" s="41" t="str">
        <f ca="1">IFERROR(__xludf.DUMMYFUNCTION("IFERROR(ARRAYFORMULA(REGEXEXTRACT(C2043,""^(?:https?:\/\/)?(?:[^@\n]+@)?(?:www\.)?([^:\/\n]+)"")),"""")"),"fastsoftwares.com")</f>
        <v>fastsoftwares.com</v>
      </c>
      <c r="E2043" s="26" t="str">
        <f ca="1">IFERROR(__xludf.DUMMYFUNCTION("""COMPUTED_VALUE"""),"New")</f>
        <v>New</v>
      </c>
      <c r="F2043" s="72">
        <v>32</v>
      </c>
      <c r="G2043" s="72">
        <v>1697</v>
      </c>
      <c r="P2043" s="26"/>
    </row>
    <row r="2044" spans="1:16" ht="14.5">
      <c r="A2044" s="3" t="s">
        <v>38</v>
      </c>
      <c r="B2044" s="27" t="s">
        <v>2824</v>
      </c>
      <c r="C2044" s="46" t="s">
        <v>5670</v>
      </c>
      <c r="D2044" s="41" t="str">
        <f ca="1">IFERROR(__xludf.DUMMYFUNCTION("IFERROR(ARRAYFORMULA(REGEXEXTRACT(C2044,""^(?:https?:\/\/)?(?:[^@\n]+@)?(?:www\.)?([^:\/\n]+)"")),"""")"),"brightmoney.co")</f>
        <v>brightmoney.co</v>
      </c>
      <c r="E2044" s="26" t="str">
        <f ca="1">IFERROR(__xludf.DUMMYFUNCTION("""COMPUTED_VALUE"""),"New")</f>
        <v>New</v>
      </c>
      <c r="F2044" s="72">
        <v>37</v>
      </c>
      <c r="G2044" s="72">
        <v>11778</v>
      </c>
      <c r="P2044" s="26"/>
    </row>
    <row r="2045" spans="1:16" ht="14.5">
      <c r="A2045" s="3" t="s">
        <v>38</v>
      </c>
      <c r="B2045" s="27" t="s">
        <v>2824</v>
      </c>
      <c r="C2045" s="46" t="s">
        <v>5671</v>
      </c>
      <c r="D2045" s="41" t="str">
        <f ca="1">IFERROR(__xludf.DUMMYFUNCTION("IFERROR(ARRAYFORMULA(REGEXEXTRACT(C2045,""^(?:https?:\/\/)?(?:[^@\n]+@)?(?:www\.)?([^:\/\n]+)"")),"""")"),"actionsprout.com")</f>
        <v>actionsprout.com</v>
      </c>
      <c r="E2045" s="26" t="str">
        <f ca="1">IFERROR(__xludf.DUMMYFUNCTION("""COMPUTED_VALUE"""),"New")</f>
        <v>New</v>
      </c>
      <c r="F2045" s="72">
        <v>46</v>
      </c>
      <c r="G2045" s="72">
        <v>1841</v>
      </c>
      <c r="P2045" s="26"/>
    </row>
    <row r="2046" spans="1:16" ht="14.5">
      <c r="A2046" s="3" t="s">
        <v>38</v>
      </c>
      <c r="B2046" s="27" t="s">
        <v>2824</v>
      </c>
      <c r="C2046" s="46" t="s">
        <v>5672</v>
      </c>
      <c r="D2046" s="41" t="str">
        <f ca="1">IFERROR(__xludf.DUMMYFUNCTION("IFERROR(ARRAYFORMULA(REGEXEXTRACT(C2046,""^(?:https?:\/\/)?(?:[^@\n]+@)?(?:www\.)?([^:\/\n]+)"")),"""")"),"menutiger.com")</f>
        <v>menutiger.com</v>
      </c>
      <c r="E2046" s="26" t="str">
        <f ca="1">IFERROR(__xludf.DUMMYFUNCTION("""COMPUTED_VALUE"""),"New")</f>
        <v>New</v>
      </c>
      <c r="F2046" s="72">
        <v>61</v>
      </c>
      <c r="G2046" s="72">
        <v>22564</v>
      </c>
      <c r="P2046" s="26"/>
    </row>
    <row r="2047" spans="1:16" ht="14.5">
      <c r="A2047" s="3" t="s">
        <v>38</v>
      </c>
      <c r="B2047" s="27" t="s">
        <v>2824</v>
      </c>
      <c r="C2047" s="46" t="s">
        <v>5673</v>
      </c>
      <c r="D2047" s="41" t="str">
        <f ca="1">IFERROR(__xludf.DUMMYFUNCTION("IFERROR(ARRAYFORMULA(REGEXEXTRACT(C2047,""^(?:https?:\/\/)?(?:[^@\n]+@)?(?:www\.)?([^:\/\n]+)"")),"""")"),"betterproposals.io")</f>
        <v>betterproposals.io</v>
      </c>
      <c r="E2047" s="26" t="str">
        <f ca="1">IFERROR(__xludf.DUMMYFUNCTION("""COMPUTED_VALUE"""),"New")</f>
        <v>New</v>
      </c>
      <c r="F2047" s="72">
        <v>74</v>
      </c>
      <c r="G2047" s="72">
        <v>24975</v>
      </c>
      <c r="P2047" s="26"/>
    </row>
    <row r="2048" spans="1:16" ht="14.5">
      <c r="A2048" s="3" t="s">
        <v>38</v>
      </c>
      <c r="B2048" s="27" t="s">
        <v>2824</v>
      </c>
      <c r="C2048" s="46" t="s">
        <v>5674</v>
      </c>
      <c r="D2048" s="41" t="str">
        <f ca="1">IFERROR(__xludf.DUMMYFUNCTION("IFERROR(ARRAYFORMULA(REGEXEXTRACT(C2048,""^(?:https?:\/\/)?(?:[^@\n]+@)?(?:www\.)?([^:\/\n]+)"")),"""")"),"parkingmadeeasy.com.au")</f>
        <v>parkingmadeeasy.com.au</v>
      </c>
      <c r="E2048" s="26" t="str">
        <f ca="1">IFERROR(__xludf.DUMMYFUNCTION("""COMPUTED_VALUE"""),"New")</f>
        <v>New</v>
      </c>
      <c r="F2048" s="72">
        <v>42</v>
      </c>
      <c r="G2048" s="72">
        <v>1645</v>
      </c>
      <c r="P2048" s="26"/>
    </row>
    <row r="2049" spans="1:16" ht="14.5">
      <c r="A2049" s="3" t="s">
        <v>38</v>
      </c>
      <c r="B2049" s="27" t="s">
        <v>2824</v>
      </c>
      <c r="C2049" s="46" t="s">
        <v>5675</v>
      </c>
      <c r="D2049" s="41" t="str">
        <f ca="1">IFERROR(__xludf.DUMMYFUNCTION("IFERROR(ARRAYFORMULA(REGEXEXTRACT(C2049,""^(?:https?:\/\/)?(?:[^@\n]+@)?(?:www\.)?([^:\/\n]+)"")),"""")"),"targetbay.com")</f>
        <v>targetbay.com</v>
      </c>
      <c r="E2049" s="26" t="str">
        <f ca="1">IFERROR(__xludf.DUMMYFUNCTION("""COMPUTED_VALUE"""),"New")</f>
        <v>New</v>
      </c>
      <c r="F2049" s="72">
        <v>71</v>
      </c>
      <c r="G2049" s="72">
        <v>1856</v>
      </c>
      <c r="P2049" s="26"/>
    </row>
    <row r="2050" spans="1:16" ht="14.5">
      <c r="A2050" s="3" t="s">
        <v>38</v>
      </c>
      <c r="B2050" s="27" t="s">
        <v>2824</v>
      </c>
      <c r="C2050" s="46" t="s">
        <v>5676</v>
      </c>
      <c r="D2050" s="41" t="str">
        <f ca="1">IFERROR(__xludf.DUMMYFUNCTION("IFERROR(ARRAYFORMULA(REGEXEXTRACT(C2050,""^(?:https?:\/\/)?(?:[^@\n]+@)?(?:www\.)?([^:\/\n]+)"")),"""")"),"edit.sundayriley.com")</f>
        <v>edit.sundayriley.com</v>
      </c>
      <c r="E2050" s="26" t="str">
        <f ca="1">IFERROR(__xludf.DUMMYFUNCTION("""COMPUTED_VALUE"""),"New")</f>
        <v>New</v>
      </c>
      <c r="F2050" s="72">
        <v>70</v>
      </c>
      <c r="G2050" s="72">
        <v>53884</v>
      </c>
      <c r="P2050" s="26"/>
    </row>
    <row r="2051" spans="1:16" ht="14.5">
      <c r="A2051" s="3" t="s">
        <v>38</v>
      </c>
      <c r="B2051" s="27" t="s">
        <v>2824</v>
      </c>
      <c r="C2051" s="46" t="s">
        <v>5677</v>
      </c>
      <c r="D2051" s="41" t="str">
        <f ca="1">IFERROR(__xludf.DUMMYFUNCTION("IFERROR(ARRAYFORMULA(REGEXEXTRACT(C2051,""^(?:https?:\/\/)?(?:[^@\n]+@)?(?:www\.)?([^:\/\n]+)"")),"""")"),"uteach.io")</f>
        <v>uteach.io</v>
      </c>
      <c r="E2051" s="26" t="str">
        <f ca="1">IFERROR(__xludf.DUMMYFUNCTION("""COMPUTED_VALUE"""),"New")</f>
        <v>New</v>
      </c>
      <c r="F2051" s="72">
        <v>71</v>
      </c>
      <c r="G2051" s="72">
        <v>9348</v>
      </c>
      <c r="P2051" s="26"/>
    </row>
    <row r="2052" spans="1:16" ht="14.5">
      <c r="A2052" s="3" t="s">
        <v>38</v>
      </c>
      <c r="B2052" s="27" t="s">
        <v>2824</v>
      </c>
      <c r="C2052" s="46" t="s">
        <v>5678</v>
      </c>
      <c r="D2052" s="41" t="str">
        <f ca="1">IFERROR(__xludf.DUMMYFUNCTION("IFERROR(ARRAYFORMULA(REGEXEXTRACT(C2052,""^(?:https?:\/\/)?(?:[^@\n]+@)?(?:www\.)?([^:\/\n]+)"")),"""")"),"stacker.com")</f>
        <v>stacker.com</v>
      </c>
      <c r="E2052" s="26" t="str">
        <f ca="1">IFERROR(__xludf.DUMMYFUNCTION("""COMPUTED_VALUE"""),"New")</f>
        <v>New</v>
      </c>
      <c r="F2052" s="72">
        <v>76</v>
      </c>
      <c r="G2052" s="72">
        <v>48175</v>
      </c>
      <c r="P2052" s="26"/>
    </row>
    <row r="2053" spans="1:16" ht="14.5">
      <c r="A2053" s="3" t="s">
        <v>38</v>
      </c>
      <c r="B2053" s="27" t="s">
        <v>2824</v>
      </c>
      <c r="C2053" s="46" t="s">
        <v>5679</v>
      </c>
      <c r="D2053" s="41" t="str">
        <f ca="1">IFERROR(__xludf.DUMMYFUNCTION("IFERROR(ARRAYFORMULA(REGEXEXTRACT(C2053,""^(?:https?:\/\/)?(?:[^@\n]+@)?(?:www\.)?([^:\/\n]+)"")),"""")"),"superside.com")</f>
        <v>superside.com</v>
      </c>
      <c r="E2053" s="26" t="str">
        <f ca="1">IFERROR(__xludf.DUMMYFUNCTION("""COMPUTED_VALUE"""),"New")</f>
        <v>New</v>
      </c>
      <c r="F2053" s="72">
        <v>78</v>
      </c>
      <c r="G2053" s="72">
        <v>137089</v>
      </c>
      <c r="P2053" s="26"/>
    </row>
    <row r="2054" spans="1:16" ht="14.5">
      <c r="A2054" s="3" t="s">
        <v>38</v>
      </c>
      <c r="B2054" s="27" t="s">
        <v>2824</v>
      </c>
      <c r="C2054" s="46" t="s">
        <v>5680</v>
      </c>
      <c r="D2054" s="41" t="str">
        <f ca="1">IFERROR(__xludf.DUMMYFUNCTION("IFERROR(ARRAYFORMULA(REGEXEXTRACT(C2054,""^(?:https?:\/\/)?(?:[^@\n]+@)?(?:www\.)?([^:\/\n]+)"")),"""")"),"upmetrics.co")</f>
        <v>upmetrics.co</v>
      </c>
      <c r="E2054" s="26" t="str">
        <f ca="1">IFERROR(__xludf.DUMMYFUNCTION("""COMPUTED_VALUE"""),"New")</f>
        <v>New</v>
      </c>
      <c r="F2054" s="72">
        <v>74</v>
      </c>
      <c r="G2054" s="72">
        <v>21132</v>
      </c>
      <c r="P2054" s="26"/>
    </row>
    <row r="2055" spans="1:16" ht="14.5">
      <c r="A2055" s="3" t="s">
        <v>38</v>
      </c>
      <c r="B2055" s="27" t="s">
        <v>2824</v>
      </c>
      <c r="C2055" s="46" t="s">
        <v>5681</v>
      </c>
      <c r="D2055" s="41" t="str">
        <f ca="1">IFERROR(__xludf.DUMMYFUNCTION("IFERROR(ARRAYFORMULA(REGEXEXTRACT(C2055,""^(?:https?:\/\/)?(?:[^@\n]+@)?(?:www\.)?([^:\/\n]+)"")),"""")"),"qrcode-tiger.com")</f>
        <v>qrcode-tiger.com</v>
      </c>
      <c r="E2055" s="26" t="str">
        <f ca="1">IFERROR(__xludf.DUMMYFUNCTION("""COMPUTED_VALUE"""),"New")</f>
        <v>New</v>
      </c>
      <c r="F2055" s="72">
        <v>75</v>
      </c>
      <c r="G2055" s="72">
        <v>73533</v>
      </c>
      <c r="P2055" s="26"/>
    </row>
    <row r="2056" spans="1:16" ht="14.5">
      <c r="A2056" s="3" t="s">
        <v>38</v>
      </c>
      <c r="B2056" s="27" t="s">
        <v>2824</v>
      </c>
      <c r="C2056" s="46" t="s">
        <v>5682</v>
      </c>
      <c r="D2056" s="41" t="str">
        <f ca="1">IFERROR(__xludf.DUMMYFUNCTION("IFERROR(ARRAYFORMULA(REGEXEXTRACT(C2056,""^(?:https?:\/\/)?(?:[^@\n]+@)?(?:www\.)?([^:\/\n]+)"")),"""")"),"leaders-in-law.com")</f>
        <v>leaders-in-law.com</v>
      </c>
      <c r="E2056" s="26" t="str">
        <f ca="1">IFERROR(__xludf.DUMMYFUNCTION("""COMPUTED_VALUE"""),"New")</f>
        <v>New</v>
      </c>
      <c r="F2056" s="72">
        <v>48</v>
      </c>
      <c r="G2056" s="72">
        <v>12258</v>
      </c>
      <c r="P2056" s="26"/>
    </row>
    <row r="2057" spans="1:16" ht="14.5">
      <c r="A2057" s="3" t="s">
        <v>38</v>
      </c>
      <c r="B2057" s="27" t="s">
        <v>2824</v>
      </c>
      <c r="C2057" s="46" t="s">
        <v>5683</v>
      </c>
      <c r="D2057" s="41" t="str">
        <f ca="1">IFERROR(__xludf.DUMMYFUNCTION("IFERROR(ARRAYFORMULA(REGEXEXTRACT(C2057,""^(?:https?:\/\/)?(?:[^@\n]+@)?(?:www\.)?([^:\/\n]+)"")),"""")"),"postgrid.co.uk")</f>
        <v>postgrid.co.uk</v>
      </c>
      <c r="E2057" s="26" t="str">
        <f ca="1">IFERROR(__xludf.DUMMYFUNCTION("""COMPUTED_VALUE"""),"New")</f>
        <v>New</v>
      </c>
      <c r="F2057" s="72">
        <v>45</v>
      </c>
      <c r="G2057" s="72">
        <v>1523</v>
      </c>
      <c r="P2057" s="26"/>
    </row>
    <row r="2058" spans="1:16" ht="14.5">
      <c r="A2058" s="3" t="s">
        <v>38</v>
      </c>
      <c r="B2058" s="27" t="s">
        <v>2824</v>
      </c>
      <c r="C2058" s="46" t="s">
        <v>5684</v>
      </c>
      <c r="D2058" s="41" t="str">
        <f ca="1">IFERROR(__xludf.DUMMYFUNCTION("IFERROR(ARRAYFORMULA(REGEXEXTRACT(C2058,""^(?:https?:\/\/)?(?:[^@\n]+@)?(?:www\.)?([^:\/\n]+)"")),"""")"),"careerlaunch.unlv.edu")</f>
        <v>careerlaunch.unlv.edu</v>
      </c>
      <c r="E2058" s="26" t="str">
        <f ca="1">IFERROR(__xludf.DUMMYFUNCTION("""COMPUTED_VALUE"""),"New")</f>
        <v>New</v>
      </c>
      <c r="F2058" s="72">
        <v>82</v>
      </c>
      <c r="G2058" s="72">
        <v>174670</v>
      </c>
      <c r="P2058" s="26"/>
    </row>
    <row r="2059" spans="1:16" ht="14.5">
      <c r="A2059" s="3" t="s">
        <v>38</v>
      </c>
      <c r="B2059" s="27" t="s">
        <v>2824</v>
      </c>
      <c r="C2059" s="46" t="s">
        <v>5685</v>
      </c>
      <c r="D2059" s="41" t="str">
        <f ca="1">IFERROR(__xludf.DUMMYFUNCTION("IFERROR(ARRAYFORMULA(REGEXEXTRACT(C2059,""^(?:https?:\/\/)?(?:[^@\n]+@)?(?:www\.)?([^:\/\n]+)"")),"""")"),"blog.powr.io")</f>
        <v>blog.powr.io</v>
      </c>
      <c r="E2059" s="26" t="str">
        <f ca="1">IFERROR(__xludf.DUMMYFUNCTION("""COMPUTED_VALUE"""),"New")</f>
        <v>New</v>
      </c>
      <c r="F2059" s="72">
        <v>89</v>
      </c>
      <c r="G2059" s="72">
        <v>16998</v>
      </c>
      <c r="P2059" s="26"/>
    </row>
    <row r="2060" spans="1:16" ht="14.5">
      <c r="A2060" s="3" t="s">
        <v>38</v>
      </c>
      <c r="B2060" s="27" t="s">
        <v>2824</v>
      </c>
      <c r="C2060" s="46" t="s">
        <v>5686</v>
      </c>
      <c r="D2060" s="41" t="str">
        <f ca="1">IFERROR(__xludf.DUMMYFUNCTION("IFERROR(ARRAYFORMULA(REGEXEXTRACT(C2060,""^(?:https?:\/\/)?(?:[^@\n]+@)?(?:www\.)?([^:\/\n]+)"")),"""")"),"surveysparrow.com")</f>
        <v>surveysparrow.com</v>
      </c>
      <c r="E2060" s="26" t="str">
        <f ca="1">IFERROR(__xludf.DUMMYFUNCTION("""COMPUTED_VALUE"""),"New")</f>
        <v>New</v>
      </c>
      <c r="F2060" s="72">
        <v>81</v>
      </c>
      <c r="G2060" s="72">
        <v>89978</v>
      </c>
      <c r="P2060" s="26"/>
    </row>
    <row r="2061" spans="1:16" ht="14.5">
      <c r="A2061" s="3" t="s">
        <v>38</v>
      </c>
      <c r="B2061" s="27" t="s">
        <v>2824</v>
      </c>
      <c r="C2061" s="46" t="s">
        <v>5687</v>
      </c>
      <c r="D2061" s="41" t="str">
        <f ca="1">IFERROR(__xludf.DUMMYFUNCTION("IFERROR(ARRAYFORMULA(REGEXEXTRACT(C2061,""^(?:https?:\/\/)?(?:[^@\n]+@)?(?:www\.)?([^:\/\n]+)"")),"""")"),"tapni.com")</f>
        <v>tapni.com</v>
      </c>
      <c r="E2061" s="26" t="str">
        <f ca="1">IFERROR(__xludf.DUMMYFUNCTION("""COMPUTED_VALUE"""),"New")</f>
        <v>New</v>
      </c>
      <c r="F2061" s="72">
        <v>70</v>
      </c>
      <c r="G2061" s="72">
        <v>4912</v>
      </c>
      <c r="P2061" s="26"/>
    </row>
    <row r="2062" spans="1:16" ht="14.5">
      <c r="A2062" s="3" t="s">
        <v>38</v>
      </c>
      <c r="B2062" s="27" t="s">
        <v>2824</v>
      </c>
      <c r="C2062" s="46" t="s">
        <v>5688</v>
      </c>
      <c r="D2062" s="41" t="str">
        <f ca="1">IFERROR(__xludf.DUMMYFUNCTION("IFERROR(ARRAYFORMULA(REGEXEXTRACT(C2062,""^(?:https?:\/\/)?(?:[^@\n]+@)?(?:www\.)?([^:\/\n]+)"")),"""")"),"designveloper.com")</f>
        <v>designveloper.com</v>
      </c>
      <c r="E2062" s="26" t="str">
        <f ca="1">IFERROR(__xludf.DUMMYFUNCTION("""COMPUTED_VALUE"""),"New")</f>
        <v>New</v>
      </c>
      <c r="F2062" s="72">
        <v>53</v>
      </c>
      <c r="G2062" s="72">
        <v>9142</v>
      </c>
      <c r="P2062" s="26"/>
    </row>
    <row r="2063" spans="1:16" ht="14.5">
      <c r="A2063" s="3" t="s">
        <v>38</v>
      </c>
      <c r="B2063" s="27" t="s">
        <v>2824</v>
      </c>
      <c r="C2063" s="46" t="s">
        <v>5689</v>
      </c>
      <c r="D2063" s="41" t="str">
        <f ca="1">IFERROR(__xludf.DUMMYFUNCTION("IFERROR(ARRAYFORMULA(REGEXEXTRACT(C2063,""^(?:https?:\/\/)?(?:[^@\n]+@)?(?:www\.)?([^:\/\n]+)"")),"""")"),"ecosmob.com")</f>
        <v>ecosmob.com</v>
      </c>
      <c r="E2063" s="26" t="str">
        <f ca="1">IFERROR(__xludf.DUMMYFUNCTION("""COMPUTED_VALUE"""),"New")</f>
        <v>New</v>
      </c>
      <c r="F2063" s="72">
        <v>56</v>
      </c>
      <c r="G2063" s="72">
        <v>2773</v>
      </c>
      <c r="P2063" s="26"/>
    </row>
    <row r="2064" spans="1:16" ht="14.5">
      <c r="A2064" s="3" t="s">
        <v>38</v>
      </c>
      <c r="B2064" s="27" t="s">
        <v>2824</v>
      </c>
      <c r="C2064" s="46" t="s">
        <v>5690</v>
      </c>
      <c r="D2064" s="41" t="str">
        <f ca="1">IFERROR(__xludf.DUMMYFUNCTION("IFERROR(ARRAYFORMULA(REGEXEXTRACT(C2064,""^(?:https?:\/\/)?(?:[^@\n]+@)?(?:www\.)?([^:\/\n]+)"")),"""")"),"classe365.com")</f>
        <v>classe365.com</v>
      </c>
      <c r="E2064" s="26" t="str">
        <f ca="1">IFERROR(__xludf.DUMMYFUNCTION("""COMPUTED_VALUE"""),"New")</f>
        <v>New</v>
      </c>
      <c r="F2064" s="72">
        <v>64</v>
      </c>
      <c r="G2064" s="72">
        <v>3303</v>
      </c>
      <c r="P2064" s="26"/>
    </row>
    <row r="2065" spans="1:16" ht="14.5">
      <c r="A2065" s="3" t="s">
        <v>38</v>
      </c>
      <c r="B2065" s="27" t="s">
        <v>2824</v>
      </c>
      <c r="C2065" s="46" t="s">
        <v>5691</v>
      </c>
      <c r="D2065" s="41" t="str">
        <f ca="1">IFERROR(__xludf.DUMMYFUNCTION("IFERROR(ARRAYFORMULA(REGEXEXTRACT(C2065,""^(?:https?:\/\/)?(?:[^@\n]+@)?(?:www\.)?([^:\/\n]+)"")),"""")"),"pantagraph.com")</f>
        <v>pantagraph.com</v>
      </c>
      <c r="E2065" s="26" t="str">
        <f ca="1">IFERROR(__xludf.DUMMYFUNCTION("""COMPUTED_VALUE"""),"New")</f>
        <v>New</v>
      </c>
      <c r="F2065" s="72">
        <v>71</v>
      </c>
      <c r="G2065" s="72">
        <v>14109</v>
      </c>
      <c r="P2065" s="26"/>
    </row>
    <row r="2066" spans="1:16" ht="14.5" hidden="1">
      <c r="A2066" s="3" t="s">
        <v>38</v>
      </c>
      <c r="B2066" s="27" t="s">
        <v>2824</v>
      </c>
      <c r="C2066" s="47" t="s">
        <v>5692</v>
      </c>
      <c r="D2066" s="41" t="str">
        <f ca="1">IFERROR(__xludf.DUMMYFUNCTION("IFERROR(ARRAYFORMULA(REGEXEXTRACT(C2066,""^(?:https?:\/\/)?(?:[^@\n]+@)?(?:www\.)?([^:\/\n]+)"")),"""")"),"valiantceo.com")</f>
        <v>valiantceo.com</v>
      </c>
      <c r="E2066" s="26" t="str">
        <f ca="1">IFERROR(__xludf.DUMMYFUNCTION("""COMPUTED_VALUE"""),"Already Exists")</f>
        <v>Already Exists</v>
      </c>
      <c r="F2066" s="72">
        <v>70</v>
      </c>
      <c r="G2066" s="72">
        <v>3241</v>
      </c>
      <c r="I2066" s="27" t="s">
        <v>5693</v>
      </c>
      <c r="J2066" s="27" t="s">
        <v>5694</v>
      </c>
      <c r="K2066" s="27" t="s">
        <v>3772</v>
      </c>
      <c r="L2066" s="112"/>
      <c r="M2066" s="27" t="s">
        <v>3715</v>
      </c>
      <c r="N2066" s="48">
        <v>46048</v>
      </c>
      <c r="P2066" s="27" t="s">
        <v>3201</v>
      </c>
    </row>
    <row r="2067" spans="1:16" ht="14.5">
      <c r="A2067" s="3" t="s">
        <v>38</v>
      </c>
      <c r="B2067" s="27" t="s">
        <v>2824</v>
      </c>
      <c r="C2067" s="46" t="s">
        <v>5695</v>
      </c>
      <c r="D2067" s="41" t="str">
        <f ca="1">IFERROR(__xludf.DUMMYFUNCTION("IFERROR(ARRAYFORMULA(REGEXEXTRACT(C2067,""^(?:https?:\/\/)?(?:[^@\n]+@)?(?:www\.)?([^:\/\n]+)"")),"""")"),"convin.ai")</f>
        <v>convin.ai</v>
      </c>
      <c r="E2067" s="26" t="str">
        <f ca="1">IFERROR(__xludf.DUMMYFUNCTION("""COMPUTED_VALUE"""),"New")</f>
        <v>New</v>
      </c>
      <c r="F2067" s="72">
        <v>70</v>
      </c>
      <c r="G2067" s="72">
        <v>17744</v>
      </c>
      <c r="P2067" s="26"/>
    </row>
    <row r="2068" spans="1:16" ht="14.5">
      <c r="A2068" s="3" t="s">
        <v>38</v>
      </c>
      <c r="B2068" s="27" t="s">
        <v>2824</v>
      </c>
      <c r="C2068" s="46" t="s">
        <v>5696</v>
      </c>
      <c r="D2068" s="41" t="str">
        <f ca="1">IFERROR(__xludf.DUMMYFUNCTION("IFERROR(ARRAYFORMULA(REGEXEXTRACT(C2068,""^(?:https?:\/\/)?(?:[^@\n]+@)?(?:www\.)?([^:\/\n]+)"")),"""")"),"beckershospitalreview.com")</f>
        <v>beckershospitalreview.com</v>
      </c>
      <c r="E2068" s="26" t="str">
        <f ca="1">IFERROR(__xludf.DUMMYFUNCTION("""COMPUTED_VALUE"""),"New")</f>
        <v>New</v>
      </c>
      <c r="F2068" s="72">
        <v>84</v>
      </c>
      <c r="G2068" s="72">
        <v>24463</v>
      </c>
      <c r="P2068" s="26"/>
    </row>
    <row r="2069" spans="1:16" ht="14.5" hidden="1">
      <c r="A2069" s="3" t="s">
        <v>38</v>
      </c>
      <c r="B2069" s="27" t="s">
        <v>2824</v>
      </c>
      <c r="C2069" s="46" t="s">
        <v>5697</v>
      </c>
      <c r="D2069" s="41" t="str">
        <f ca="1">IFERROR(__xludf.DUMMYFUNCTION("IFERROR(ARRAYFORMULA(REGEXEXTRACT(C2069,""^(?:https?:\/\/)?(?:[^@\n]+@)?(?:www\.)?([^:\/\n]+)"")),"""")"),"cm-alliance.com")</f>
        <v>cm-alliance.com</v>
      </c>
      <c r="E2069" s="26" t="str">
        <f ca="1">IFERROR(__xludf.DUMMYFUNCTION("""COMPUTED_VALUE"""),"Already Exists")</f>
        <v>Already Exists</v>
      </c>
      <c r="F2069" s="72">
        <v>69</v>
      </c>
      <c r="G2069" s="72">
        <v>9622</v>
      </c>
      <c r="P2069" s="26"/>
    </row>
    <row r="2070" spans="1:16" ht="14.5">
      <c r="A2070" s="3" t="s">
        <v>38</v>
      </c>
      <c r="B2070" s="27" t="s">
        <v>2824</v>
      </c>
      <c r="C2070" s="46" t="s">
        <v>5698</v>
      </c>
      <c r="D2070" s="41" t="str">
        <f ca="1">IFERROR(__xludf.DUMMYFUNCTION("IFERROR(ARRAYFORMULA(REGEXEXTRACT(C2070,""^(?:https?:\/\/)?(?:[^@\n]+@)?(?:www\.)?([^:\/\n]+)"")),"""")"),"blog.designcrowd.fr")</f>
        <v>blog.designcrowd.fr</v>
      </c>
      <c r="E2070" s="26" t="str">
        <f ca="1">IFERROR(__xludf.DUMMYFUNCTION("""COMPUTED_VALUE"""),"New")</f>
        <v>New</v>
      </c>
      <c r="F2070" s="72">
        <v>28</v>
      </c>
      <c r="G2070" s="72">
        <v>5022</v>
      </c>
      <c r="P2070" s="26"/>
    </row>
    <row r="2071" spans="1:16" ht="14.5">
      <c r="A2071" s="3" t="s">
        <v>38</v>
      </c>
      <c r="B2071" s="27" t="s">
        <v>2824</v>
      </c>
      <c r="C2071" s="49" t="s">
        <v>5699</v>
      </c>
      <c r="D2071" s="41" t="str">
        <f ca="1">IFERROR(__xludf.DUMMYFUNCTION("IFERROR(ARRAYFORMULA(REGEXEXTRACT(C2071,""^(?:https?:\/\/)?(?:[^@\n]+@)?(?:www\.)?([^:\/\n]+)"")),"""")"),"cheapism.com")</f>
        <v>cheapism.com</v>
      </c>
      <c r="E2071" s="26" t="str">
        <f ca="1">IFERROR(__xludf.DUMMYFUNCTION("""COMPUTED_VALUE"""),"New")</f>
        <v>New</v>
      </c>
      <c r="F2071" s="72">
        <v>71</v>
      </c>
      <c r="G2071" s="72">
        <v>153941</v>
      </c>
      <c r="J2071" s="27" t="s">
        <v>5104</v>
      </c>
      <c r="K2071" s="27" t="s">
        <v>3756</v>
      </c>
      <c r="L2071" s="112"/>
      <c r="M2071" s="27" t="s">
        <v>3715</v>
      </c>
      <c r="N2071" s="48">
        <v>46048</v>
      </c>
      <c r="O2071" s="48">
        <v>46069</v>
      </c>
      <c r="P2071" s="26"/>
    </row>
    <row r="2072" spans="1:16" ht="14.5" hidden="1">
      <c r="A2072" s="3" t="s">
        <v>38</v>
      </c>
      <c r="B2072" s="27" t="s">
        <v>2824</v>
      </c>
      <c r="C2072" s="46" t="s">
        <v>5700</v>
      </c>
      <c r="D2072" s="41" t="str">
        <f ca="1">IFERROR(__xludf.DUMMYFUNCTION("IFERROR(ARRAYFORMULA(REGEXEXTRACT(C2072,""^(?:https?:\/\/)?(?:[^@\n]+@)?(?:www\.)?([^:\/\n]+)"")),"""")"),"southfloridareporter.com")</f>
        <v>southfloridareporter.com</v>
      </c>
      <c r="E2072" s="26" t="str">
        <f ca="1">IFERROR(__xludf.DUMMYFUNCTION("""COMPUTED_VALUE"""),"Already Exists")</f>
        <v>Already Exists</v>
      </c>
      <c r="F2072" s="72">
        <v>71</v>
      </c>
      <c r="G2072" s="72">
        <v>1390</v>
      </c>
      <c r="P2072" s="26"/>
    </row>
    <row r="2073" spans="1:16" ht="14.5">
      <c r="A2073" s="3" t="s">
        <v>38</v>
      </c>
      <c r="B2073" s="27" t="s">
        <v>2824</v>
      </c>
      <c r="C2073" s="46" t="s">
        <v>5701</v>
      </c>
      <c r="D2073" s="41" t="str">
        <f ca="1">IFERROR(__xludf.DUMMYFUNCTION("IFERROR(ARRAYFORMULA(REGEXEXTRACT(C2073,""^(?:https?:\/\/)?(?:[^@\n]+@)?(?:www\.)?([^:\/\n]+)"")),"""")"),"keyt.com")</f>
        <v>keyt.com</v>
      </c>
      <c r="E2073" s="26" t="str">
        <f ca="1">IFERROR(__xludf.DUMMYFUNCTION("""COMPUTED_VALUE"""),"New")</f>
        <v>New</v>
      </c>
      <c r="F2073" s="72">
        <v>73</v>
      </c>
      <c r="G2073" s="72">
        <v>33721</v>
      </c>
      <c r="P2073" s="26"/>
    </row>
    <row r="2074" spans="1:16" ht="14.5">
      <c r="A2074" s="3" t="s">
        <v>38</v>
      </c>
      <c r="B2074" s="27" t="s">
        <v>2824</v>
      </c>
      <c r="C2074" s="46" t="s">
        <v>5702</v>
      </c>
      <c r="D2074" s="41" t="str">
        <f ca="1">IFERROR(__xludf.DUMMYFUNCTION("IFERROR(ARRAYFORMULA(REGEXEXTRACT(C2074,""^(?:https?:\/\/)?(?:[^@\n]+@)?(?:www\.)?([^:\/\n]+)"")),"""")"),"bea-adventurous.com")</f>
        <v>bea-adventurous.com</v>
      </c>
      <c r="E2074" s="26" t="str">
        <f ca="1">IFERROR(__xludf.DUMMYFUNCTION("""COMPUTED_VALUE"""),"New")</f>
        <v>New</v>
      </c>
      <c r="F2074" s="72">
        <v>29</v>
      </c>
      <c r="G2074" s="72">
        <v>44204</v>
      </c>
      <c r="P2074" s="26"/>
    </row>
    <row r="2075" spans="1:16" ht="14.5">
      <c r="A2075" s="3" t="s">
        <v>38</v>
      </c>
      <c r="B2075" s="27" t="s">
        <v>2824</v>
      </c>
      <c r="C2075" s="46" t="s">
        <v>5703</v>
      </c>
      <c r="D2075" s="41" t="str">
        <f ca="1">IFERROR(__xludf.DUMMYFUNCTION("IFERROR(ARRAYFORMULA(REGEXEXTRACT(C2075,""^(?:https?:\/\/)?(?:[^@\n]+@)?(?:www\.)?([^:\/\n]+)"")),"""")"),"stonewallinstitute.com")</f>
        <v>stonewallinstitute.com</v>
      </c>
      <c r="E2075" s="26" t="str">
        <f ca="1">IFERROR(__xludf.DUMMYFUNCTION("""COMPUTED_VALUE"""),"New")</f>
        <v>New</v>
      </c>
      <c r="F2075" s="72">
        <v>35</v>
      </c>
      <c r="G2075" s="72">
        <v>1799</v>
      </c>
      <c r="P2075" s="26"/>
    </row>
    <row r="2076" spans="1:16" ht="14.5">
      <c r="A2076" s="3" t="s">
        <v>38</v>
      </c>
      <c r="B2076" s="27" t="s">
        <v>2824</v>
      </c>
      <c r="C2076" s="46" t="s">
        <v>5704</v>
      </c>
      <c r="D2076" s="41" t="str">
        <f ca="1">IFERROR(__xludf.DUMMYFUNCTION("IFERROR(ARRAYFORMULA(REGEXEXTRACT(C2076,""^(?:https?:\/\/)?(?:[^@\n]+@)?(?:www\.)?([^:\/\n]+)"")),"""")"),"careerservices.ecpi.edu")</f>
        <v>careerservices.ecpi.edu</v>
      </c>
      <c r="E2076" s="26" t="str">
        <f ca="1">IFERROR(__xludf.DUMMYFUNCTION("""COMPUTED_VALUE"""),"New")</f>
        <v>New</v>
      </c>
      <c r="F2076" s="72">
        <v>64</v>
      </c>
      <c r="G2076" s="72">
        <v>65913</v>
      </c>
      <c r="P2076" s="26"/>
    </row>
    <row r="2077" spans="1:16" ht="14.5">
      <c r="A2077" s="3" t="s">
        <v>38</v>
      </c>
      <c r="B2077" s="27" t="s">
        <v>2824</v>
      </c>
      <c r="C2077" s="46" t="s">
        <v>5705</v>
      </c>
      <c r="D2077" s="41" t="str">
        <f ca="1">IFERROR(__xludf.DUMMYFUNCTION("IFERROR(ARRAYFORMULA(REGEXEXTRACT(C2077,""^(?:https?:\/\/)?(?:[^@\n]+@)?(?:www\.)?([^:\/\n]+)"")),"""")"),"cs-cart.com")</f>
        <v>cs-cart.com</v>
      </c>
      <c r="E2077" s="26" t="str">
        <f ca="1">IFERROR(__xludf.DUMMYFUNCTION("""COMPUTED_VALUE"""),"New")</f>
        <v>New</v>
      </c>
      <c r="F2077" s="72">
        <v>81</v>
      </c>
      <c r="G2077" s="72">
        <v>11430</v>
      </c>
      <c r="P2077" s="26"/>
    </row>
    <row r="2078" spans="1:16" ht="14.5">
      <c r="A2078" s="3" t="s">
        <v>38</v>
      </c>
      <c r="B2078" s="27" t="s">
        <v>2824</v>
      </c>
      <c r="C2078" s="46" t="s">
        <v>5706</v>
      </c>
      <c r="D2078" s="41" t="str">
        <f ca="1">IFERROR(__xludf.DUMMYFUNCTION("IFERROR(ARRAYFORMULA(REGEXEXTRACT(C2078,""^(?:https?:\/\/)?(?:[^@\n]+@)?(?:www\.)?([^:\/\n]+)"")),"""")"),"ghthanks.com")</f>
        <v>ghthanks.com</v>
      </c>
      <c r="E2078" s="26" t="str">
        <f ca="1">IFERROR(__xludf.DUMMYFUNCTION("""COMPUTED_VALUE"""),"New")</f>
        <v>New</v>
      </c>
      <c r="F2078" s="72">
        <v>54</v>
      </c>
      <c r="G2078" s="72">
        <v>2400</v>
      </c>
      <c r="P2078" s="26"/>
    </row>
    <row r="2079" spans="1:16" ht="14.5">
      <c r="A2079" s="3" t="s">
        <v>38</v>
      </c>
      <c r="B2079" s="27" t="s">
        <v>2824</v>
      </c>
      <c r="C2079" s="46" t="s">
        <v>5707</v>
      </c>
      <c r="D2079" s="41" t="str">
        <f ca="1">IFERROR(__xludf.DUMMYFUNCTION("IFERROR(ARRAYFORMULA(REGEXEXTRACT(C2079,""^(?:https?:\/\/)?(?:[^@\n]+@)?(?:www\.)?([^:\/\n]+)"")),"""")"),"zenesys.com")</f>
        <v>zenesys.com</v>
      </c>
      <c r="E2079" s="26" t="str">
        <f ca="1">IFERROR(__xludf.DUMMYFUNCTION("""COMPUTED_VALUE"""),"New")</f>
        <v>New</v>
      </c>
      <c r="F2079" s="72">
        <v>54</v>
      </c>
      <c r="G2079" s="72">
        <v>1426</v>
      </c>
      <c r="P2079" s="26"/>
    </row>
    <row r="2080" spans="1:16" ht="14.5">
      <c r="A2080" s="3" t="s">
        <v>38</v>
      </c>
      <c r="B2080" s="27" t="s">
        <v>2824</v>
      </c>
      <c r="C2080" s="46" t="s">
        <v>5708</v>
      </c>
      <c r="D2080" s="41" t="str">
        <f ca="1">IFERROR(__xludf.DUMMYFUNCTION("IFERROR(ARRAYFORMULA(REGEXEXTRACT(C2080,""^(?:https?:\/\/)?(?:[^@\n]+@)?(?:www\.)?([^:\/\n]+)"")),"""")"),"bustle.com")</f>
        <v>bustle.com</v>
      </c>
      <c r="E2080" s="26" t="str">
        <f ca="1">IFERROR(__xludf.DUMMYFUNCTION("""COMPUTED_VALUE"""),"New")</f>
        <v>New</v>
      </c>
      <c r="F2080" s="72">
        <v>88</v>
      </c>
      <c r="G2080" s="72">
        <v>300247</v>
      </c>
      <c r="P2080" s="26"/>
    </row>
    <row r="2081" spans="1:16" ht="14.5">
      <c r="A2081" s="3" t="s">
        <v>38</v>
      </c>
      <c r="B2081" s="27" t="s">
        <v>2824</v>
      </c>
      <c r="C2081" s="46" t="s">
        <v>5709</v>
      </c>
      <c r="D2081" s="41" t="str">
        <f ca="1">IFERROR(__xludf.DUMMYFUNCTION("IFERROR(ARRAYFORMULA(REGEXEXTRACT(C2081,""^(?:https?:\/\/)?(?:[^@\n]+@)?(?:www\.)?([^:\/\n]+)"")),"""")"),"so.gay")</f>
        <v>so.gay</v>
      </c>
      <c r="E2081" s="26" t="str">
        <f ca="1">IFERROR(__xludf.DUMMYFUNCTION("""COMPUTED_VALUE"""),"New")</f>
        <v>New</v>
      </c>
      <c r="F2081" s="72">
        <v>37</v>
      </c>
      <c r="G2081" s="72">
        <v>4768</v>
      </c>
      <c r="P2081" s="26"/>
    </row>
    <row r="2082" spans="1:16" ht="14.5">
      <c r="A2082" s="3" t="s">
        <v>38</v>
      </c>
      <c r="B2082" s="27" t="s">
        <v>2824</v>
      </c>
      <c r="C2082" s="46" t="s">
        <v>5710</v>
      </c>
      <c r="D2082" s="41" t="str">
        <f ca="1">IFERROR(__xludf.DUMMYFUNCTION("IFERROR(ARRAYFORMULA(REGEXEXTRACT(C2082,""^(?:https?:\/\/)?(?:[^@\n]+@)?(?:www\.)?([^:\/\n]+)"")),"""")"),"solidgigs.com")</f>
        <v>solidgigs.com</v>
      </c>
      <c r="E2082" s="26" t="str">
        <f ca="1">IFERROR(__xludf.DUMMYFUNCTION("""COMPUTED_VALUE"""),"New")</f>
        <v>New</v>
      </c>
      <c r="F2082" s="72">
        <v>61</v>
      </c>
      <c r="G2082" s="72">
        <v>6351</v>
      </c>
      <c r="P2082" s="26"/>
    </row>
    <row r="2083" spans="1:16" ht="14.5">
      <c r="A2083" s="3" t="s">
        <v>38</v>
      </c>
      <c r="B2083" s="27" t="s">
        <v>2824</v>
      </c>
      <c r="C2083" s="46" t="s">
        <v>5711</v>
      </c>
      <c r="D2083" s="41" t="str">
        <f ca="1">IFERROR(__xludf.DUMMYFUNCTION("IFERROR(ARRAYFORMULA(REGEXEXTRACT(C2083,""^(?:https?:\/\/)?(?:[^@\n]+@)?(?:www\.)?([^:\/\n]+)"")),"""")"),"joywallet.com")</f>
        <v>joywallet.com</v>
      </c>
      <c r="E2083" s="26" t="str">
        <f ca="1">IFERROR(__xludf.DUMMYFUNCTION("""COMPUTED_VALUE"""),"New")</f>
        <v>New</v>
      </c>
      <c r="F2083" s="72">
        <v>71</v>
      </c>
      <c r="G2083" s="72">
        <v>1148</v>
      </c>
      <c r="P2083" s="26"/>
    </row>
    <row r="2084" spans="1:16" ht="14.5" hidden="1">
      <c r="A2084" s="3" t="s">
        <v>38</v>
      </c>
      <c r="B2084" s="27" t="s">
        <v>2824</v>
      </c>
      <c r="C2084" s="46" t="s">
        <v>5712</v>
      </c>
      <c r="D2084" s="41" t="str">
        <f ca="1">IFERROR(__xludf.DUMMYFUNCTION("IFERROR(ARRAYFORMULA(REGEXEXTRACT(C2084,""^(?:https?:\/\/)?(?:[^@\n]+@)?(?:www\.)?([^:\/\n]+)"")),"""")"),"neufutur.com")</f>
        <v>neufutur.com</v>
      </c>
      <c r="E2084" s="26" t="str">
        <f ca="1">IFERROR(__xludf.DUMMYFUNCTION("""COMPUTED_VALUE"""),"Already Exists")</f>
        <v>Already Exists</v>
      </c>
      <c r="F2084" s="72">
        <v>54</v>
      </c>
      <c r="G2084" s="72">
        <v>8466</v>
      </c>
      <c r="P2084" s="26"/>
    </row>
    <row r="2085" spans="1:16" ht="14.5">
      <c r="A2085" s="3" t="s">
        <v>38</v>
      </c>
      <c r="B2085" s="27" t="s">
        <v>2824</v>
      </c>
      <c r="C2085" s="46" t="s">
        <v>5713</v>
      </c>
      <c r="D2085" s="41" t="str">
        <f ca="1">IFERROR(__xludf.DUMMYFUNCTION("IFERROR(ARRAYFORMULA(REGEXEXTRACT(C2085,""^(?:https?:\/\/)?(?:[^@\n]+@)?(?:www\.)?([^:\/\n]+)"")),"""")"),"geotargetly.com")</f>
        <v>geotargetly.com</v>
      </c>
      <c r="E2085" s="26" t="str">
        <f ca="1">IFERROR(__xludf.DUMMYFUNCTION("""COMPUTED_VALUE"""),"New")</f>
        <v>New</v>
      </c>
      <c r="F2085" s="72">
        <v>70</v>
      </c>
      <c r="G2085" s="72">
        <v>8411</v>
      </c>
      <c r="P2085" s="26"/>
    </row>
    <row r="2086" spans="1:16" ht="14.5">
      <c r="A2086" s="3" t="s">
        <v>38</v>
      </c>
      <c r="B2086" s="27" t="s">
        <v>2824</v>
      </c>
      <c r="C2086" s="46" t="s">
        <v>5714</v>
      </c>
      <c r="D2086" s="41" t="str">
        <f ca="1">IFERROR(__xludf.DUMMYFUNCTION("IFERROR(ARRAYFORMULA(REGEXEXTRACT(C2086,""^(?:https?:\/\/)?(?:[^@\n]+@)?(?:www\.)?([^:\/\n]+)"")),"""")"),"careers.wgu.edu")</f>
        <v>careers.wgu.edu</v>
      </c>
      <c r="E2086" s="26" t="str">
        <f ca="1">IFERROR(__xludf.DUMMYFUNCTION("""COMPUTED_VALUE"""),"New")</f>
        <v>New</v>
      </c>
      <c r="F2086" s="72">
        <v>80</v>
      </c>
      <c r="G2086" s="72">
        <v>1617589</v>
      </c>
      <c r="P2086" s="26"/>
    </row>
    <row r="2087" spans="1:16" ht="14.5">
      <c r="A2087" s="3" t="s">
        <v>38</v>
      </c>
      <c r="B2087" s="27" t="s">
        <v>2824</v>
      </c>
      <c r="C2087" s="46" t="s">
        <v>5715</v>
      </c>
      <c r="D2087" s="41" t="str">
        <f ca="1">IFERROR(__xludf.DUMMYFUNCTION("IFERROR(ARRAYFORMULA(REGEXEXTRACT(C2087,""^(?:https?:\/\/)?(?:[^@\n]+@)?(?:www\.)?([^:\/\n]+)"")),"""")"),"onlineu.com")</f>
        <v>onlineu.com</v>
      </c>
      <c r="E2087" s="26" t="str">
        <f ca="1">IFERROR(__xludf.DUMMYFUNCTION("""COMPUTED_VALUE"""),"New")</f>
        <v>New</v>
      </c>
      <c r="F2087" s="72">
        <v>59</v>
      </c>
      <c r="G2087" s="72">
        <v>35933</v>
      </c>
      <c r="P2087" s="26"/>
    </row>
    <row r="2088" spans="1:16" ht="14.5">
      <c r="A2088" s="3" t="s">
        <v>38</v>
      </c>
      <c r="B2088" s="27" t="s">
        <v>2824</v>
      </c>
      <c r="C2088" s="46" t="s">
        <v>5716</v>
      </c>
      <c r="D2088" s="41" t="str">
        <f ca="1">IFERROR(__xludf.DUMMYFUNCTION("IFERROR(ARRAYFORMULA(REGEXEXTRACT(C2088,""^(?:https?:\/\/)?(?:[^@\n]+@)?(?:www\.)?([^:\/\n]+)"")),"""")"),"missoulian.com")</f>
        <v>missoulian.com</v>
      </c>
      <c r="E2088" s="26" t="str">
        <f ca="1">IFERROR(__xludf.DUMMYFUNCTION("""COMPUTED_VALUE"""),"New")</f>
        <v>New</v>
      </c>
      <c r="F2088" s="72">
        <v>76</v>
      </c>
      <c r="G2088" s="72">
        <v>14252</v>
      </c>
      <c r="P2088" s="26"/>
    </row>
    <row r="2089" spans="1:16" ht="14.5">
      <c r="A2089" s="3" t="s">
        <v>38</v>
      </c>
      <c r="B2089" s="27" t="s">
        <v>2824</v>
      </c>
      <c r="C2089" s="46" t="s">
        <v>5717</v>
      </c>
      <c r="D2089" s="41" t="str">
        <f ca="1">IFERROR(__xludf.DUMMYFUNCTION("IFERROR(ARRAYFORMULA(REGEXEXTRACT(C2089,""^(?:https?:\/\/)?(?:[^@\n]+@)?(?:www\.)?([^:\/\n]+)"")),"""")"),"sportsmedicineweekly.com")</f>
        <v>sportsmedicineweekly.com</v>
      </c>
      <c r="E2089" s="26" t="str">
        <f ca="1">IFERROR(__xludf.DUMMYFUNCTION("""COMPUTED_VALUE"""),"New")</f>
        <v>New</v>
      </c>
      <c r="F2089" s="72">
        <v>42</v>
      </c>
      <c r="G2089" s="72">
        <v>1128</v>
      </c>
      <c r="P2089" s="26"/>
    </row>
    <row r="2090" spans="1:16" ht="14.5">
      <c r="A2090" s="3" t="s">
        <v>38</v>
      </c>
      <c r="B2090" s="27" t="s">
        <v>2824</v>
      </c>
      <c r="C2090" s="46" t="s">
        <v>5718</v>
      </c>
      <c r="D2090" s="41" t="str">
        <f ca="1">IFERROR(__xludf.DUMMYFUNCTION("IFERROR(ARRAYFORMULA(REGEXEXTRACT(C2090,""^(?:https?:\/\/)?(?:[^@\n]+@)?(?:www\.)?([^:\/\n]+)"")),"""")"),"aiscreen.io")</f>
        <v>aiscreen.io</v>
      </c>
      <c r="E2090" s="26" t="str">
        <f ca="1">IFERROR(__xludf.DUMMYFUNCTION("""COMPUTED_VALUE"""),"New")</f>
        <v>New</v>
      </c>
      <c r="F2090" s="72">
        <v>67</v>
      </c>
      <c r="G2090" s="72">
        <v>5710</v>
      </c>
      <c r="P2090" s="26"/>
    </row>
    <row r="2091" spans="1:16" ht="14.5">
      <c r="A2091" s="3" t="s">
        <v>38</v>
      </c>
      <c r="B2091" s="27" t="s">
        <v>2824</v>
      </c>
      <c r="C2091" s="46" t="s">
        <v>5719</v>
      </c>
      <c r="D2091" s="41" t="str">
        <f ca="1">IFERROR(__xludf.DUMMYFUNCTION("IFERROR(ARRAYFORMULA(REGEXEXTRACT(C2091,""^(?:https?:\/\/)?(?:[^@\n]+@)?(?:www\.)?([^:\/\n]+)"")),"""")"),"growthfolks.io")</f>
        <v>growthfolks.io</v>
      </c>
      <c r="E2091" s="26" t="str">
        <f ca="1">IFERROR(__xludf.DUMMYFUNCTION("""COMPUTED_VALUE"""),"New")</f>
        <v>New</v>
      </c>
      <c r="F2091" s="72">
        <v>61</v>
      </c>
      <c r="G2091" s="72">
        <v>6686</v>
      </c>
      <c r="P2091" s="26"/>
    </row>
    <row r="2092" spans="1:16" ht="14.5">
      <c r="A2092" s="3" t="s">
        <v>38</v>
      </c>
      <c r="B2092" s="27" t="s">
        <v>2824</v>
      </c>
      <c r="C2092" s="49" t="s">
        <v>5720</v>
      </c>
      <c r="D2092" s="41" t="str">
        <f ca="1">IFERROR(__xludf.DUMMYFUNCTION("IFERROR(ARRAYFORMULA(REGEXEXTRACT(C2092,""^(?:https?:\/\/)?(?:[^@\n]+@)?(?:www\.)?([^:\/\n]+)"")),"""")"),"sweeten.com")</f>
        <v>sweeten.com</v>
      </c>
      <c r="E2092" s="26" t="str">
        <f ca="1">IFERROR(__xludf.DUMMYFUNCTION("""COMPUTED_VALUE"""),"New")</f>
        <v>New</v>
      </c>
      <c r="F2092" s="72">
        <v>65</v>
      </c>
      <c r="G2092" s="72">
        <v>38063</v>
      </c>
      <c r="J2092" s="27" t="s">
        <v>5721</v>
      </c>
      <c r="K2092" s="27" t="s">
        <v>3839</v>
      </c>
      <c r="L2092" s="112"/>
      <c r="M2092" s="27" t="s">
        <v>3715</v>
      </c>
      <c r="N2092" s="48">
        <v>46048</v>
      </c>
      <c r="O2092" s="48">
        <v>46069</v>
      </c>
      <c r="P2092" s="26"/>
    </row>
    <row r="2093" spans="1:16" ht="14.5" hidden="1">
      <c r="A2093" s="3" t="s">
        <v>38</v>
      </c>
      <c r="B2093" s="27" t="s">
        <v>2824</v>
      </c>
      <c r="C2093" s="46" t="s">
        <v>5722</v>
      </c>
      <c r="D2093" s="41" t="str">
        <f ca="1">IFERROR(__xludf.DUMMYFUNCTION("IFERROR(ARRAYFORMULA(REGEXEXTRACT(C2093,""^(?:https?:\/\/)?(?:[^@\n]+@)?(?:www\.)?([^:\/\n]+)"")),"""")"),"jenaroundtheworld.com")</f>
        <v>jenaroundtheworld.com</v>
      </c>
      <c r="E2093" s="26" t="str">
        <f ca="1">IFERROR(__xludf.DUMMYFUNCTION("""COMPUTED_VALUE"""),"Already Exists")</f>
        <v>Already Exists</v>
      </c>
      <c r="F2093" s="72">
        <v>47</v>
      </c>
      <c r="G2093" s="72">
        <v>34340</v>
      </c>
      <c r="P2093" s="26"/>
    </row>
    <row r="2094" spans="1:16" ht="14.5">
      <c r="A2094" s="3" t="s">
        <v>38</v>
      </c>
      <c r="B2094" s="27" t="s">
        <v>2824</v>
      </c>
      <c r="C2094" s="46" t="s">
        <v>5723</v>
      </c>
      <c r="D2094" s="41" t="str">
        <f ca="1">IFERROR(__xludf.DUMMYFUNCTION("IFERROR(ARRAYFORMULA(REGEXEXTRACT(C2094,""^(?:https?:\/\/)?(?:[^@\n]+@)?(?:www\.)?([^:\/\n]+)"")),"""")"),"octopusintelligence.com")</f>
        <v>octopusintelligence.com</v>
      </c>
      <c r="E2094" s="26" t="str">
        <f ca="1">IFERROR(__xludf.DUMMYFUNCTION("""COMPUTED_VALUE"""),"New")</f>
        <v>New</v>
      </c>
      <c r="F2094" s="72">
        <v>71</v>
      </c>
      <c r="G2094" s="72">
        <v>1676</v>
      </c>
      <c r="P2094" s="26"/>
    </row>
    <row r="2095" spans="1:16" ht="14.5">
      <c r="A2095" s="3" t="s">
        <v>38</v>
      </c>
      <c r="B2095" s="27" t="s">
        <v>2824</v>
      </c>
      <c r="C2095" s="46" t="s">
        <v>5724</v>
      </c>
      <c r="D2095" s="41" t="str">
        <f ca="1">IFERROR(__xludf.DUMMYFUNCTION("IFERROR(ARRAYFORMULA(REGEXEXTRACT(C2095,""^(?:https?:\/\/)?(?:[^@\n]+@)?(?:www\.)?([^:\/\n]+)"")),"""")"),"logomakerr.ai")</f>
        <v>logomakerr.ai</v>
      </c>
      <c r="E2095" s="26" t="str">
        <f ca="1">IFERROR(__xludf.DUMMYFUNCTION("""COMPUTED_VALUE"""),"New")</f>
        <v>New</v>
      </c>
      <c r="F2095" s="72">
        <v>58</v>
      </c>
      <c r="G2095" s="72">
        <v>75897</v>
      </c>
      <c r="P2095" s="26"/>
    </row>
    <row r="2096" spans="1:16" ht="14.5" hidden="1">
      <c r="A2096" s="3" t="s">
        <v>38</v>
      </c>
      <c r="B2096" s="27" t="s">
        <v>2824</v>
      </c>
      <c r="C2096" s="46" t="s">
        <v>5725</v>
      </c>
      <c r="D2096" s="41" t="str">
        <f ca="1">IFERROR(__xludf.DUMMYFUNCTION("IFERROR(ARRAYFORMULA(REGEXEXTRACT(C2096,""^(?:https?:\/\/)?(?:[^@\n]+@)?(?:www\.)?([^:\/\n]+)"")),"""")"),"usattorneys.com")</f>
        <v>usattorneys.com</v>
      </c>
      <c r="E2096" s="26" t="str">
        <f ca="1">IFERROR(__xludf.DUMMYFUNCTION("""COMPUTED_VALUE"""),"Already Exists")</f>
        <v>Already Exists</v>
      </c>
      <c r="F2096" s="72">
        <v>81</v>
      </c>
      <c r="G2096" s="72">
        <v>46294</v>
      </c>
      <c r="P2096" s="26"/>
    </row>
    <row r="2097" spans="1:16" ht="14.5">
      <c r="A2097" s="3" t="s">
        <v>38</v>
      </c>
      <c r="B2097" s="27" t="s">
        <v>2824</v>
      </c>
      <c r="C2097" s="46" t="s">
        <v>5726</v>
      </c>
      <c r="D2097" s="41" t="str">
        <f ca="1">IFERROR(__xludf.DUMMYFUNCTION("IFERROR(ARRAYFORMULA(REGEXEXTRACT(C2097,""^(?:https?:\/\/)?(?:[^@\n]+@)?(?:www\.)?([^:\/\n]+)"")),"""")"),"sevenatoms.com")</f>
        <v>sevenatoms.com</v>
      </c>
      <c r="E2097" s="26" t="str">
        <f ca="1">IFERROR(__xludf.DUMMYFUNCTION("""COMPUTED_VALUE"""),"New")</f>
        <v>New</v>
      </c>
      <c r="F2097" s="72">
        <v>65</v>
      </c>
      <c r="G2097" s="72">
        <v>11921</v>
      </c>
      <c r="P2097" s="26"/>
    </row>
    <row r="2098" spans="1:16" ht="14.5">
      <c r="A2098" s="3" t="s">
        <v>38</v>
      </c>
      <c r="B2098" s="27" t="s">
        <v>2824</v>
      </c>
      <c r="C2098" s="46" t="s">
        <v>5727</v>
      </c>
      <c r="D2098" s="41" t="str">
        <f ca="1">IFERROR(__xludf.DUMMYFUNCTION("IFERROR(ARRAYFORMULA(REGEXEXTRACT(C2098,""^(?:https?:\/\/)?(?:[^@\n]+@)?(?:www\.)?([^:\/\n]+)"")),"""")"),"inevent.com")</f>
        <v>inevent.com</v>
      </c>
      <c r="E2098" s="26" t="str">
        <f ca="1">IFERROR(__xludf.DUMMYFUNCTION("""COMPUTED_VALUE"""),"New")</f>
        <v>New</v>
      </c>
      <c r="F2098" s="72">
        <v>72</v>
      </c>
      <c r="G2098" s="72">
        <v>8266</v>
      </c>
      <c r="P2098" s="26"/>
    </row>
    <row r="2099" spans="1:16" ht="14.5">
      <c r="A2099" s="3" t="s">
        <v>38</v>
      </c>
      <c r="B2099" s="27" t="s">
        <v>2824</v>
      </c>
      <c r="C2099" s="46" t="s">
        <v>5728</v>
      </c>
      <c r="D2099" s="41" t="str">
        <f ca="1">IFERROR(__xludf.DUMMYFUNCTION("IFERROR(ARRAYFORMULA(REGEXEXTRACT(C2099,""^(?:https?:\/\/)?(?:[^@\n]+@)?(?:www\.)?([^:\/\n]+)"")),"""")"),"destify.com")</f>
        <v>destify.com</v>
      </c>
      <c r="E2099" s="26" t="str">
        <f ca="1">IFERROR(__xludf.DUMMYFUNCTION("""COMPUTED_VALUE"""),"New")</f>
        <v>New</v>
      </c>
      <c r="F2099" s="72">
        <v>49</v>
      </c>
      <c r="G2099" s="72">
        <v>45771</v>
      </c>
      <c r="P2099" s="26"/>
    </row>
    <row r="2100" spans="1:16" ht="14.5">
      <c r="A2100" s="3" t="s">
        <v>38</v>
      </c>
      <c r="B2100" s="27" t="s">
        <v>2824</v>
      </c>
      <c r="C2100" s="46" t="s">
        <v>5729</v>
      </c>
      <c r="D2100" s="41" t="str">
        <f ca="1">IFERROR(__xludf.DUMMYFUNCTION("IFERROR(ARRAYFORMULA(REGEXEXTRACT(C2100,""^(?:https?:\/\/)?(?:[^@\n]+@)?(?:www\.)?([^:\/\n]+)"")),"""")"),"madison.com")</f>
        <v>madison.com</v>
      </c>
      <c r="E2100" s="26" t="str">
        <f ca="1">IFERROR(__xludf.DUMMYFUNCTION("""COMPUTED_VALUE"""),"New")</f>
        <v>New</v>
      </c>
      <c r="F2100" s="72">
        <v>80</v>
      </c>
      <c r="G2100" s="72">
        <v>49140</v>
      </c>
      <c r="P2100" s="26"/>
    </row>
    <row r="2101" spans="1:16" ht="14.5">
      <c r="A2101" s="3" t="s">
        <v>38</v>
      </c>
      <c r="B2101" s="27" t="s">
        <v>2824</v>
      </c>
      <c r="C2101" s="46" t="s">
        <v>5730</v>
      </c>
      <c r="D2101" s="41" t="str">
        <f ca="1">IFERROR(__xludf.DUMMYFUNCTION("IFERROR(ARRAYFORMULA(REGEXEXTRACT(C2101,""^(?:https?:\/\/)?(?:[^@\n]+@)?(?:www\.)?([^:\/\n]+)"")),"""")"),"sellbery.com")</f>
        <v>sellbery.com</v>
      </c>
      <c r="E2101" s="26" t="str">
        <f ca="1">IFERROR(__xludf.DUMMYFUNCTION("""COMPUTED_VALUE"""),"New")</f>
        <v>New</v>
      </c>
      <c r="F2101" s="72">
        <v>56</v>
      </c>
      <c r="G2101" s="72">
        <v>2075</v>
      </c>
      <c r="P2101" s="26"/>
    </row>
    <row r="2102" spans="1:16" ht="14.5">
      <c r="A2102" s="3" t="s">
        <v>38</v>
      </c>
      <c r="B2102" s="27" t="s">
        <v>2824</v>
      </c>
      <c r="C2102" s="46" t="s">
        <v>5731</v>
      </c>
      <c r="D2102" s="41" t="str">
        <f ca="1">IFERROR(__xludf.DUMMYFUNCTION("IFERROR(ARRAYFORMULA(REGEXEXTRACT(C2102,""^(?:https?:\/\/)?(?:[^@\n]+@)?(?:www\.)?([^:\/\n]+)"")),"""")"),"brightonsavoy.com.au")</f>
        <v>brightonsavoy.com.au</v>
      </c>
      <c r="E2102" s="26" t="str">
        <f ca="1">IFERROR(__xludf.DUMMYFUNCTION("""COMPUTED_VALUE"""),"New")</f>
        <v>New</v>
      </c>
      <c r="F2102" s="72">
        <v>41</v>
      </c>
      <c r="G2102" s="72">
        <v>1994</v>
      </c>
      <c r="P2102" s="26"/>
    </row>
    <row r="2103" spans="1:16" ht="14.5">
      <c r="A2103" s="3" t="s">
        <v>38</v>
      </c>
      <c r="B2103" s="27" t="s">
        <v>2824</v>
      </c>
      <c r="C2103" s="46" t="s">
        <v>5732</v>
      </c>
      <c r="D2103" s="41" t="str">
        <f ca="1">IFERROR(__xludf.DUMMYFUNCTION("IFERROR(ARRAYFORMULA(REGEXEXTRACT(C2103,""^(?:https?:\/\/)?(?:[^@\n]+@)?(?:www\.)?([^:\/\n]+)"")),"""")"),"helpsquad.com")</f>
        <v>helpsquad.com</v>
      </c>
      <c r="E2103" s="26" t="str">
        <f ca="1">IFERROR(__xludf.DUMMYFUNCTION("""COMPUTED_VALUE"""),"New")</f>
        <v>New</v>
      </c>
      <c r="F2103" s="72">
        <v>61</v>
      </c>
      <c r="G2103" s="72">
        <v>6517</v>
      </c>
      <c r="P2103" s="26"/>
    </row>
    <row r="2104" spans="1:16" ht="14.5" hidden="1">
      <c r="A2104" s="3" t="s">
        <v>38</v>
      </c>
      <c r="B2104" s="27" t="s">
        <v>2824</v>
      </c>
      <c r="C2104" s="46" t="s">
        <v>5733</v>
      </c>
      <c r="D2104" s="41" t="str">
        <f ca="1">IFERROR(__xludf.DUMMYFUNCTION("IFERROR(ARRAYFORMULA(REGEXEXTRACT(C2104,""^(?:https?:\/\/)?(?:[^@\n]+@)?(?:www\.)?([^:\/\n]+)"")),"""")"),"soho.com.au")</f>
        <v>soho.com.au</v>
      </c>
      <c r="E2104" s="26" t="str">
        <f ca="1">IFERROR(__xludf.DUMMYFUNCTION("""COMPUTED_VALUE"""),"Already Exists")</f>
        <v>Already Exists</v>
      </c>
      <c r="F2104" s="72">
        <v>53</v>
      </c>
      <c r="G2104" s="72">
        <v>4620</v>
      </c>
      <c r="P2104" s="26"/>
    </row>
    <row r="2105" spans="1:16" ht="14.5">
      <c r="A2105" s="3" t="s">
        <v>38</v>
      </c>
      <c r="B2105" s="27" t="s">
        <v>2824</v>
      </c>
      <c r="C2105" s="46" t="s">
        <v>5734</v>
      </c>
      <c r="D2105" s="41" t="str">
        <f ca="1">IFERROR(__xludf.DUMMYFUNCTION("IFERROR(ARRAYFORMULA(REGEXEXTRACT(C2105,""^(?:https?:\/\/)?(?:[^@\n]+@)?(?:www\.)?([^:\/\n]+)"")),"""")"),"upjourney.com")</f>
        <v>upjourney.com</v>
      </c>
      <c r="E2105" s="26" t="str">
        <f ca="1">IFERROR(__xludf.DUMMYFUNCTION("""COMPUTED_VALUE"""),"New")</f>
        <v>New</v>
      </c>
      <c r="F2105" s="72">
        <v>71</v>
      </c>
      <c r="G2105" s="72">
        <v>1363</v>
      </c>
      <c r="P2105" s="26"/>
    </row>
    <row r="2106" spans="1:16" ht="14.5">
      <c r="A2106" s="3" t="s">
        <v>38</v>
      </c>
      <c r="B2106" s="27" t="s">
        <v>2824</v>
      </c>
      <c r="C2106" s="46" t="s">
        <v>5735</v>
      </c>
      <c r="D2106" s="41" t="str">
        <f ca="1">IFERROR(__xludf.DUMMYFUNCTION("IFERROR(ARRAYFORMULA(REGEXEXTRACT(C2106,""^(?:https?:\/\/)?(?:[^@\n]+@)?(?:www\.)?([^:\/\n]+)"")),"""")"),"venturz.co")</f>
        <v>venturz.co</v>
      </c>
      <c r="E2106" s="26" t="str">
        <f ca="1">IFERROR(__xludf.DUMMYFUNCTION("""COMPUTED_VALUE"""),"New")</f>
        <v>New</v>
      </c>
      <c r="F2106" s="72">
        <v>73</v>
      </c>
      <c r="G2106" s="72">
        <v>16515</v>
      </c>
      <c r="P2106" s="26"/>
    </row>
    <row r="2107" spans="1:16" ht="14.5">
      <c r="A2107" s="3" t="s">
        <v>38</v>
      </c>
      <c r="B2107" s="27" t="s">
        <v>2824</v>
      </c>
      <c r="C2107" s="46" t="s">
        <v>5736</v>
      </c>
      <c r="D2107" s="41" t="str">
        <f ca="1">IFERROR(__xludf.DUMMYFUNCTION("IFERROR(ARRAYFORMULA(REGEXEXTRACT(C2107,""^(?:https?:\/\/)?(?:[^@\n]+@)?(?:www\.)?([^:\/\n]+)"")),"""")"),"jonathonspire.com")</f>
        <v>jonathonspire.com</v>
      </c>
      <c r="E2107" s="26" t="str">
        <f ca="1">IFERROR(__xludf.DUMMYFUNCTION("""COMPUTED_VALUE"""),"New")</f>
        <v>New</v>
      </c>
      <c r="F2107" s="72">
        <v>44</v>
      </c>
      <c r="G2107" s="72">
        <v>6135</v>
      </c>
      <c r="P2107" s="26"/>
    </row>
    <row r="2108" spans="1:16" ht="14.5">
      <c r="A2108" s="3" t="s">
        <v>38</v>
      </c>
      <c r="B2108" s="27" t="s">
        <v>2824</v>
      </c>
      <c r="C2108" s="46" t="s">
        <v>5737</v>
      </c>
      <c r="D2108" s="41" t="str">
        <f ca="1">IFERROR(__xludf.DUMMYFUNCTION("IFERROR(ARRAYFORMULA(REGEXEXTRACT(C2108,""^(?:https?:\/\/)?(?:[^@\n]+@)?(?:www\.)?([^:\/\n]+)"")),"""")"),"mcdowellnews.com")</f>
        <v>mcdowellnews.com</v>
      </c>
      <c r="E2108" s="26" t="str">
        <f ca="1">IFERROR(__xludf.DUMMYFUNCTION("""COMPUTED_VALUE"""),"New")</f>
        <v>New</v>
      </c>
      <c r="F2108" s="72">
        <v>52</v>
      </c>
      <c r="G2108" s="72">
        <v>2531</v>
      </c>
      <c r="P2108" s="26"/>
    </row>
    <row r="2109" spans="1:16" ht="14.5">
      <c r="A2109" s="3" t="s">
        <v>38</v>
      </c>
      <c r="B2109" s="27" t="s">
        <v>2824</v>
      </c>
      <c r="C2109" s="46" t="s">
        <v>5738</v>
      </c>
      <c r="D2109" s="41" t="str">
        <f ca="1">IFERROR(__xludf.DUMMYFUNCTION("IFERROR(ARRAYFORMULA(REGEXEXTRACT(C2109,""^(?:https?:\/\/)?(?:[^@\n]+@)?(?:www\.)?([^:\/\n]+)"")),"""")"),"virtuallatinos.com")</f>
        <v>virtuallatinos.com</v>
      </c>
      <c r="E2109" s="26" t="str">
        <f ca="1">IFERROR(__xludf.DUMMYFUNCTION("""COMPUTED_VALUE"""),"New")</f>
        <v>New</v>
      </c>
      <c r="F2109" s="72">
        <v>61</v>
      </c>
      <c r="G2109" s="72">
        <v>23005</v>
      </c>
      <c r="P2109" s="26"/>
    </row>
    <row r="2110" spans="1:16" ht="14.5">
      <c r="A2110" s="3" t="s">
        <v>38</v>
      </c>
      <c r="B2110" s="27" t="s">
        <v>2824</v>
      </c>
      <c r="C2110" s="46" t="s">
        <v>5739</v>
      </c>
      <c r="D2110" s="41" t="str">
        <f ca="1">IFERROR(__xludf.DUMMYFUNCTION("IFERROR(ARRAYFORMULA(REGEXEXTRACT(C2110,""^(?:https?:\/\/)?(?:[^@\n]+@)?(?:www\.)?([^:\/\n]+)"")),"""")"),"unicornplatform.com")</f>
        <v>unicornplatform.com</v>
      </c>
      <c r="E2110" s="26" t="str">
        <f ca="1">IFERROR(__xludf.DUMMYFUNCTION("""COMPUTED_VALUE"""),"New")</f>
        <v>New</v>
      </c>
      <c r="F2110" s="72">
        <v>77</v>
      </c>
      <c r="G2110" s="72">
        <v>2284</v>
      </c>
      <c r="P2110" s="26"/>
    </row>
    <row r="2111" spans="1:16" ht="14.5">
      <c r="A2111" s="3" t="s">
        <v>38</v>
      </c>
      <c r="B2111" s="27" t="s">
        <v>2824</v>
      </c>
      <c r="C2111" s="46" t="s">
        <v>5740</v>
      </c>
      <c r="D2111" s="41" t="str">
        <f ca="1">IFERROR(__xludf.DUMMYFUNCTION("IFERROR(ARRAYFORMULA(REGEXEXTRACT(C2111,""^(?:https?:\/\/)?(?:[^@\n]+@)?(?:www\.)?([^:\/\n]+)"")),"""")"),"career.calvin.edu")</f>
        <v>career.calvin.edu</v>
      </c>
      <c r="E2111" s="26" t="str">
        <f ca="1">IFERROR(__xludf.DUMMYFUNCTION("""COMPUTED_VALUE"""),"New")</f>
        <v>New</v>
      </c>
      <c r="F2111" s="72">
        <v>76</v>
      </c>
      <c r="G2111" s="72">
        <v>36683</v>
      </c>
      <c r="P2111" s="26"/>
    </row>
    <row r="2112" spans="1:16" ht="14.5">
      <c r="A2112" s="3" t="s">
        <v>38</v>
      </c>
      <c r="B2112" s="27" t="s">
        <v>2824</v>
      </c>
      <c r="C2112" s="46" t="s">
        <v>5741</v>
      </c>
      <c r="D2112" s="41" t="str">
        <f ca="1">IFERROR(__xludf.DUMMYFUNCTION("IFERROR(ARRAYFORMULA(REGEXEXTRACT(C2112,""^(?:https?:\/\/)?(?:[^@\n]+@)?(?:www\.)?([^:\/\n]+)"")),"""")"),"countingtoten.co.uk")</f>
        <v>countingtoten.co.uk</v>
      </c>
      <c r="E2112" s="26" t="str">
        <f ca="1">IFERROR(__xludf.DUMMYFUNCTION("""COMPUTED_VALUE"""),"New")</f>
        <v>New</v>
      </c>
      <c r="F2112" s="72">
        <v>27</v>
      </c>
      <c r="G2112" s="72">
        <v>3238</v>
      </c>
      <c r="P2112" s="26"/>
    </row>
    <row r="2113" spans="1:16" ht="14.5">
      <c r="A2113" s="3" t="s">
        <v>38</v>
      </c>
      <c r="B2113" s="27" t="s">
        <v>2824</v>
      </c>
      <c r="C2113" s="46" t="s">
        <v>5742</v>
      </c>
      <c r="D2113" s="41" t="str">
        <f ca="1">IFERROR(__xludf.DUMMYFUNCTION("IFERROR(ARRAYFORMULA(REGEXEXTRACT(C2113,""^(?:https?:\/\/)?(?:[^@\n]+@)?(?:www\.)?([^:\/\n]+)"")),"""")"),"aitechfy.com")</f>
        <v>aitechfy.com</v>
      </c>
      <c r="E2113" s="26" t="str">
        <f ca="1">IFERROR(__xludf.DUMMYFUNCTION("""COMPUTED_VALUE"""),"New")</f>
        <v>New</v>
      </c>
      <c r="F2113" s="72">
        <v>55</v>
      </c>
      <c r="G2113" s="72">
        <v>5618</v>
      </c>
      <c r="P2113" s="26"/>
    </row>
    <row r="2114" spans="1:16" ht="14.5">
      <c r="A2114" s="3" t="s">
        <v>38</v>
      </c>
      <c r="B2114" s="27" t="s">
        <v>2824</v>
      </c>
      <c r="C2114" s="49" t="s">
        <v>5743</v>
      </c>
      <c r="D2114" s="41" t="str">
        <f ca="1">IFERROR(__xludf.DUMMYFUNCTION("IFERROR(ARRAYFORMULA(REGEXEXTRACT(C2114,""^(?:https?:\/\/)?(?:[^@\n]+@)?(?:www\.)?([^:\/\n]+)"")),"""")"),"side-line.com")</f>
        <v>side-line.com</v>
      </c>
      <c r="E2114" s="26" t="str">
        <f ca="1">IFERROR(__xludf.DUMMYFUNCTION("""COMPUTED_VALUE"""),"New")</f>
        <v>New</v>
      </c>
      <c r="F2114" s="72">
        <v>59</v>
      </c>
      <c r="G2114" s="72">
        <v>3914</v>
      </c>
      <c r="H2114" s="27" t="s">
        <v>5744</v>
      </c>
      <c r="I2114" s="27" t="s">
        <v>5745</v>
      </c>
      <c r="J2114" s="27" t="s">
        <v>5746</v>
      </c>
      <c r="K2114" s="27" t="s">
        <v>3772</v>
      </c>
      <c r="L2114" s="112"/>
      <c r="M2114" s="27" t="s">
        <v>3715</v>
      </c>
      <c r="N2114" s="48">
        <v>46048</v>
      </c>
      <c r="O2114" s="48">
        <v>46069</v>
      </c>
      <c r="P2114" s="26"/>
    </row>
    <row r="2115" spans="1:16" ht="14.5">
      <c r="A2115" s="3" t="s">
        <v>38</v>
      </c>
      <c r="B2115" s="27" t="s">
        <v>2824</v>
      </c>
      <c r="C2115" s="46" t="s">
        <v>5747</v>
      </c>
      <c r="D2115" s="41" t="str">
        <f ca="1">IFERROR(__xludf.DUMMYFUNCTION("IFERROR(ARRAYFORMULA(REGEXEXTRACT(C2115,""^(?:https?:\/\/)?(?:[^@\n]+@)?(?:www\.)?([^:\/\n]+)"")),"""")"),"inventorysource.com")</f>
        <v>inventorysource.com</v>
      </c>
      <c r="E2115" s="26" t="str">
        <f ca="1">IFERROR(__xludf.DUMMYFUNCTION("""COMPUTED_VALUE"""),"New")</f>
        <v>New</v>
      </c>
      <c r="F2115" s="72">
        <v>69</v>
      </c>
      <c r="G2115" s="72">
        <v>11377</v>
      </c>
      <c r="P2115" s="26"/>
    </row>
    <row r="2116" spans="1:16" ht="14.5">
      <c r="A2116" s="3" t="s">
        <v>38</v>
      </c>
      <c r="B2116" s="27" t="s">
        <v>2824</v>
      </c>
      <c r="C2116" s="46" t="s">
        <v>5748</v>
      </c>
      <c r="D2116" s="41" t="str">
        <f ca="1">IFERROR(__xludf.DUMMYFUNCTION("IFERROR(ARRAYFORMULA(REGEXEXTRACT(C2116,""^(?:https?:\/\/)?(?:[^@\n]+@)?(?:www\.)?([^:\/\n]+)"")),"""")"),"yulys.com")</f>
        <v>yulys.com</v>
      </c>
      <c r="E2116" s="26" t="str">
        <f ca="1">IFERROR(__xludf.DUMMYFUNCTION("""COMPUTED_VALUE"""),"New")</f>
        <v>New</v>
      </c>
      <c r="F2116" s="72">
        <v>35</v>
      </c>
      <c r="G2116" s="72">
        <v>4440</v>
      </c>
      <c r="P2116" s="26"/>
    </row>
    <row r="2117" spans="1:16" ht="14.5">
      <c r="A2117" s="3" t="s">
        <v>38</v>
      </c>
      <c r="B2117" s="27" t="s">
        <v>2824</v>
      </c>
      <c r="C2117" s="46" t="s">
        <v>5749</v>
      </c>
      <c r="D2117" s="41" t="str">
        <f ca="1">IFERROR(__xludf.DUMMYFUNCTION("IFERROR(ARRAYFORMULA(REGEXEXTRACT(C2117,""^(?:https?:\/\/)?(?:[^@\n]+@)?(?:www\.)?([^:\/\n]+)"")),"""")"),"blog.designcrowd.com.au")</f>
        <v>blog.designcrowd.com.au</v>
      </c>
      <c r="E2117" s="26" t="str">
        <f ca="1">IFERROR(__xludf.DUMMYFUNCTION("""COMPUTED_VALUE"""),"New")</f>
        <v>New</v>
      </c>
      <c r="F2117" s="72">
        <v>33</v>
      </c>
      <c r="G2117" s="72">
        <v>2163</v>
      </c>
      <c r="P2117" s="26"/>
    </row>
    <row r="2118" spans="1:16" ht="14.5">
      <c r="A2118" s="3" t="s">
        <v>38</v>
      </c>
      <c r="B2118" s="27" t="s">
        <v>2824</v>
      </c>
      <c r="C2118" s="46" t="s">
        <v>5750</v>
      </c>
      <c r="D2118" s="41" t="str">
        <f ca="1">IFERROR(__xludf.DUMMYFUNCTION("IFERROR(ARRAYFORMULA(REGEXEXTRACT(C2118,""^(?:https?:\/\/)?(?:[^@\n]+@)?(?:www\.)?([^:\/\n]+)"")),"""")"),"forsomethingmore.com")</f>
        <v>forsomethingmore.com</v>
      </c>
      <c r="E2118" s="26" t="str">
        <f ca="1">IFERROR(__xludf.DUMMYFUNCTION("""COMPUTED_VALUE"""),"New")</f>
        <v>New</v>
      </c>
      <c r="F2118" s="72">
        <v>33</v>
      </c>
      <c r="G2118" s="72">
        <v>1817</v>
      </c>
      <c r="P2118" s="26"/>
    </row>
    <row r="2119" spans="1:16" ht="14.5">
      <c r="A2119" s="3" t="s">
        <v>38</v>
      </c>
      <c r="B2119" s="27" t="s">
        <v>2824</v>
      </c>
      <c r="C2119" s="46" t="s">
        <v>5751</v>
      </c>
      <c r="D2119" s="41" t="str">
        <f ca="1">IFERROR(__xludf.DUMMYFUNCTION("IFERROR(ARRAYFORMULA(REGEXEXTRACT(C2119,""^(?:https?:\/\/)?(?:[^@\n]+@)?(?:www\.)?([^:\/\n]+)"")),"""")"),"atozentherapies.com")</f>
        <v>atozentherapies.com</v>
      </c>
      <c r="E2119" s="26" t="str">
        <f ca="1">IFERROR(__xludf.DUMMYFUNCTION("""COMPUTED_VALUE"""),"New")</f>
        <v>New</v>
      </c>
      <c r="F2119" s="72">
        <v>46</v>
      </c>
      <c r="G2119" s="72">
        <v>9347</v>
      </c>
      <c r="P2119" s="26"/>
    </row>
    <row r="2120" spans="1:16" ht="14.5">
      <c r="A2120" s="3" t="s">
        <v>38</v>
      </c>
      <c r="B2120" s="27" t="s">
        <v>2824</v>
      </c>
      <c r="C2120" s="46" t="s">
        <v>5752</v>
      </c>
      <c r="D2120" s="41" t="str">
        <f ca="1">IFERROR(__xludf.DUMMYFUNCTION("IFERROR(ARRAYFORMULA(REGEXEXTRACT(C2120,""^(?:https?:\/\/)?(?:[^@\n]+@)?(?:www\.)?([^:\/\n]+)"")),"""")"),"alidrop.co")</f>
        <v>alidrop.co</v>
      </c>
      <c r="E2120" s="26" t="str">
        <f ca="1">IFERROR(__xludf.DUMMYFUNCTION("""COMPUTED_VALUE"""),"New")</f>
        <v>New</v>
      </c>
      <c r="F2120" s="72">
        <v>67</v>
      </c>
      <c r="G2120" s="72">
        <v>25572</v>
      </c>
      <c r="P2120" s="26"/>
    </row>
    <row r="2121" spans="1:16" ht="14.5">
      <c r="A2121" s="3" t="s">
        <v>38</v>
      </c>
      <c r="B2121" s="27" t="s">
        <v>2824</v>
      </c>
      <c r="C2121" s="46" t="s">
        <v>5753</v>
      </c>
      <c r="D2121" s="41" t="str">
        <f ca="1">IFERROR(__xludf.DUMMYFUNCTION("IFERROR(ARRAYFORMULA(REGEXEXTRACT(C2121,""^(?:https?:\/\/)?(?:[^@\n]+@)?(?:www\.)?([^:\/\n]+)"")),"""")"),"spotifknowledge.com")</f>
        <v>spotifknowledge.com</v>
      </c>
      <c r="E2121" s="26" t="str">
        <f ca="1">IFERROR(__xludf.DUMMYFUNCTION("""COMPUTED_VALUE"""),"New")</f>
        <v>New</v>
      </c>
      <c r="F2121" s="72">
        <v>25</v>
      </c>
      <c r="G2121" s="72">
        <v>4933</v>
      </c>
      <c r="P2121" s="26"/>
    </row>
    <row r="2122" spans="1:16" ht="14.5">
      <c r="A2122" s="3" t="s">
        <v>38</v>
      </c>
      <c r="B2122" s="27" t="s">
        <v>2824</v>
      </c>
      <c r="C2122" s="46" t="s">
        <v>5754</v>
      </c>
      <c r="D2122" s="41" t="str">
        <f ca="1">IFERROR(__xludf.DUMMYFUNCTION("IFERROR(ARRAYFORMULA(REGEXEXTRACT(C2122,""^(?:https?:\/\/)?(?:[^@\n]+@)?(?:www\.)?([^:\/\n]+)"")),"""")"),"business.tutsplus.com")</f>
        <v>business.tutsplus.com</v>
      </c>
      <c r="E2122" s="26" t="str">
        <f ca="1">IFERROR(__xludf.DUMMYFUNCTION("""COMPUTED_VALUE"""),"New")</f>
        <v>New</v>
      </c>
      <c r="F2122" s="72">
        <v>91</v>
      </c>
      <c r="G2122" s="72">
        <v>133241</v>
      </c>
      <c r="P2122" s="26"/>
    </row>
    <row r="2123" spans="1:16" ht="14.5" hidden="1">
      <c r="A2123" s="3" t="s">
        <v>38</v>
      </c>
      <c r="B2123" s="27" t="s">
        <v>2824</v>
      </c>
      <c r="C2123" s="46" t="s">
        <v>5755</v>
      </c>
      <c r="D2123" s="41" t="str">
        <f ca="1">IFERROR(__xludf.DUMMYFUNCTION("IFERROR(ARRAYFORMULA(REGEXEXTRACT(C2123,""^(?:https?:\/\/)?(?:[^@\n]+@)?(?:www\.)?([^:\/\n]+)"")),"""")"),"travellingweasels.com")</f>
        <v>travellingweasels.com</v>
      </c>
      <c r="E2123" s="26" t="str">
        <f ca="1">IFERROR(__xludf.DUMMYFUNCTION("""COMPUTED_VALUE"""),"Already Exists")</f>
        <v>Already Exists</v>
      </c>
      <c r="F2123" s="72">
        <v>34</v>
      </c>
      <c r="G2123" s="72">
        <v>2291</v>
      </c>
      <c r="P2123" s="26"/>
    </row>
    <row r="2124" spans="1:16" ht="14.5">
      <c r="A2124" s="3" t="s">
        <v>38</v>
      </c>
      <c r="B2124" s="27" t="s">
        <v>2824</v>
      </c>
      <c r="C2124" s="46" t="s">
        <v>5756</v>
      </c>
      <c r="D2124" s="41" t="str">
        <f ca="1">IFERROR(__xludf.DUMMYFUNCTION("IFERROR(ARRAYFORMULA(REGEXEXTRACT(C2124,""^(?:https?:\/\/)?(?:[^@\n]+@)?(?:www\.)?([^:\/\n]+)"")),"""")"),"aaronai.my.canva.site")</f>
        <v>aaronai.my.canva.site</v>
      </c>
      <c r="E2124" s="26" t="str">
        <f ca="1">IFERROR(__xludf.DUMMYFUNCTION("""COMPUTED_VALUE"""),"New")</f>
        <v>New</v>
      </c>
      <c r="F2124" s="72">
        <v>91</v>
      </c>
      <c r="G2124" s="72">
        <v>159880</v>
      </c>
      <c r="P2124" s="26"/>
    </row>
    <row r="2125" spans="1:16" ht="14.5">
      <c r="A2125" s="3" t="s">
        <v>38</v>
      </c>
      <c r="B2125" s="27" t="s">
        <v>2824</v>
      </c>
      <c r="C2125" s="46" t="s">
        <v>5757</v>
      </c>
      <c r="D2125" s="41" t="str">
        <f ca="1">IFERROR(__xludf.DUMMYFUNCTION("IFERROR(ARRAYFORMULA(REGEXEXTRACT(C2125,""^(?:https?:\/\/)?(?:[^@\n]+@)?(?:www\.)?([^:\/\n]+)"")),"""")"),"thinkcomputers.org")</f>
        <v>thinkcomputers.org</v>
      </c>
      <c r="E2125" s="26" t="str">
        <f ca="1">IFERROR(__xludf.DUMMYFUNCTION("""COMPUTED_VALUE"""),"New")</f>
        <v>New</v>
      </c>
      <c r="F2125" s="72">
        <v>55</v>
      </c>
      <c r="G2125" s="72">
        <v>4755</v>
      </c>
      <c r="P2125" s="26"/>
    </row>
    <row r="2126" spans="1:16" ht="14.5" hidden="1">
      <c r="A2126" s="3" t="s">
        <v>38</v>
      </c>
      <c r="B2126" s="27" t="s">
        <v>2824</v>
      </c>
      <c r="C2126" s="46" t="s">
        <v>5758</v>
      </c>
      <c r="D2126" s="41" t="str">
        <f ca="1">IFERROR(__xludf.DUMMYFUNCTION("IFERROR(ARRAYFORMULA(REGEXEXTRACT(C2126,""^(?:https?:\/\/)?(?:[^@\n]+@)?(?:www\.)?([^:\/\n]+)"")),"""")"),"needingadvice.co.uk")</f>
        <v>needingadvice.co.uk</v>
      </c>
      <c r="E2126" s="26" t="str">
        <f ca="1">IFERROR(__xludf.DUMMYFUNCTION("""COMPUTED_VALUE"""),"Already Exists")</f>
        <v>Already Exists</v>
      </c>
      <c r="F2126" s="72">
        <v>28</v>
      </c>
      <c r="G2126" s="72">
        <v>1105</v>
      </c>
      <c r="P2126" s="26"/>
    </row>
    <row r="2127" spans="1:16" ht="14.5">
      <c r="A2127" s="3" t="s">
        <v>38</v>
      </c>
      <c r="B2127" s="27" t="s">
        <v>2824</v>
      </c>
      <c r="C2127" s="46" t="s">
        <v>5759</v>
      </c>
      <c r="D2127" s="41" t="str">
        <f ca="1">IFERROR(__xludf.DUMMYFUNCTION("IFERROR(ARRAYFORMULA(REGEXEXTRACT(C2127,""^(?:https?:\/\/)?(?:[^@\n]+@)?(?:www\.)?([^:\/\n]+)"")),"""")"),"makemoneywithoutajob.com")</f>
        <v>makemoneywithoutajob.com</v>
      </c>
      <c r="E2127" s="26" t="str">
        <f ca="1">IFERROR(__xludf.DUMMYFUNCTION("""COMPUTED_VALUE"""),"New")</f>
        <v>New</v>
      </c>
      <c r="F2127" s="72">
        <v>35</v>
      </c>
      <c r="G2127" s="72">
        <v>2092</v>
      </c>
      <c r="P2127" s="26"/>
    </row>
    <row r="2128" spans="1:16" ht="14.5">
      <c r="A2128" s="3" t="s">
        <v>38</v>
      </c>
      <c r="B2128" s="27" t="s">
        <v>2824</v>
      </c>
      <c r="C2128" s="46" t="s">
        <v>5760</v>
      </c>
      <c r="D2128" s="41" t="str">
        <f ca="1">IFERROR(__xludf.DUMMYFUNCTION("IFERROR(ARRAYFORMULA(REGEXEXTRACT(C2128,""^(?:https?:\/\/)?(?:[^@\n]+@)?(?:www\.)?([^:\/\n]+)"")),"""")"),"girlboss.com")</f>
        <v>girlboss.com</v>
      </c>
      <c r="E2128" s="26" t="str">
        <f ca="1">IFERROR(__xludf.DUMMYFUNCTION("""COMPUTED_VALUE"""),"New")</f>
        <v>New</v>
      </c>
      <c r="F2128" s="72">
        <v>73</v>
      </c>
      <c r="G2128" s="72">
        <v>10062</v>
      </c>
      <c r="P2128" s="26"/>
    </row>
    <row r="2129" spans="1:16" ht="14.5">
      <c r="A2129" s="3" t="s">
        <v>38</v>
      </c>
      <c r="B2129" s="27" t="s">
        <v>2824</v>
      </c>
      <c r="C2129" s="46" t="s">
        <v>5761</v>
      </c>
      <c r="D2129" s="41" t="str">
        <f ca="1">IFERROR(__xludf.DUMMYFUNCTION("IFERROR(ARRAYFORMULA(REGEXEXTRACT(C2129,""^(?:https?:\/\/)?(?:[^@\n]+@)?(?:www\.)?([^:\/\n]+)"")),"""")"),"theeducationmagazine.com")</f>
        <v>theeducationmagazine.com</v>
      </c>
      <c r="E2129" s="26" t="str">
        <f ca="1">IFERROR(__xludf.DUMMYFUNCTION("""COMPUTED_VALUE"""),"New")</f>
        <v>New</v>
      </c>
      <c r="F2129" s="72">
        <v>42</v>
      </c>
      <c r="G2129" s="72">
        <v>1470</v>
      </c>
      <c r="P2129" s="26"/>
    </row>
    <row r="2130" spans="1:16" ht="14.5" hidden="1">
      <c r="A2130" s="3" t="s">
        <v>38</v>
      </c>
      <c r="B2130" s="27" t="s">
        <v>2824</v>
      </c>
      <c r="C2130" s="46" t="s">
        <v>5762</v>
      </c>
      <c r="D2130" s="41" t="str">
        <f ca="1">IFERROR(__xludf.DUMMYFUNCTION("IFERROR(ARRAYFORMULA(REGEXEXTRACT(C2130,""^(?:https?:\/\/)?(?:[^@\n]+@)?(?:www\.)?([^:\/\n]+)"")),"""")"),"cantorinjurylaw.com")</f>
        <v>cantorinjurylaw.com</v>
      </c>
      <c r="E2130" s="26" t="str">
        <f ca="1">IFERROR(__xludf.DUMMYFUNCTION("""COMPUTED_VALUE"""),"Already Exists")</f>
        <v>Already Exists</v>
      </c>
      <c r="F2130" s="72">
        <v>29</v>
      </c>
      <c r="G2130" s="72">
        <v>4177</v>
      </c>
      <c r="P2130" s="26"/>
    </row>
    <row r="2131" spans="1:16" ht="14.5">
      <c r="A2131" s="3" t="s">
        <v>38</v>
      </c>
      <c r="B2131" s="27" t="s">
        <v>2824</v>
      </c>
      <c r="C2131" s="46" t="s">
        <v>5763</v>
      </c>
      <c r="D2131" s="41" t="str">
        <f ca="1">IFERROR(__xludf.DUMMYFUNCTION("IFERROR(ARRAYFORMULA(REGEXEXTRACT(C2131,""^(?:https?:\/\/)?(?:[^@\n]+@)?(?:www\.)?([^:\/\n]+)"")),"""")"),"agicent.com")</f>
        <v>agicent.com</v>
      </c>
      <c r="E2131" s="26" t="str">
        <f ca="1">IFERROR(__xludf.DUMMYFUNCTION("""COMPUTED_VALUE"""),"New")</f>
        <v>New</v>
      </c>
      <c r="F2131" s="72">
        <v>54</v>
      </c>
      <c r="G2131" s="72">
        <v>5158</v>
      </c>
      <c r="P2131" s="26"/>
    </row>
    <row r="2132" spans="1:16" ht="14.5">
      <c r="A2132" s="3" t="s">
        <v>38</v>
      </c>
      <c r="B2132" s="27" t="s">
        <v>2824</v>
      </c>
      <c r="C2132" s="49" t="s">
        <v>5764</v>
      </c>
      <c r="D2132" s="41" t="str">
        <f ca="1">IFERROR(__xludf.DUMMYFUNCTION("IFERROR(ARRAYFORMULA(REGEXEXTRACT(C2132,""^(?:https?:\/\/)?(?:[^@\n]+@)?(?:www\.)?([^:\/\n]+)"")),"""")"),"thedailymeal.com")</f>
        <v>thedailymeal.com</v>
      </c>
      <c r="E2132" s="26" t="str">
        <f ca="1">IFERROR(__xludf.DUMMYFUNCTION("""COMPUTED_VALUE"""),"New")</f>
        <v>New</v>
      </c>
      <c r="F2132" s="72">
        <v>79</v>
      </c>
      <c r="G2132" s="72">
        <v>235638</v>
      </c>
      <c r="J2132" s="27" t="s">
        <v>5765</v>
      </c>
      <c r="K2132" s="27" t="s">
        <v>3756</v>
      </c>
      <c r="L2132" s="112"/>
      <c r="M2132" s="27" t="s">
        <v>3715</v>
      </c>
      <c r="N2132" s="48">
        <v>46048</v>
      </c>
      <c r="O2132" s="48">
        <v>46069</v>
      </c>
      <c r="P2132" s="26"/>
    </row>
    <row r="2133" spans="1:16" ht="14.5">
      <c r="A2133" s="3" t="s">
        <v>38</v>
      </c>
      <c r="B2133" s="27" t="s">
        <v>2824</v>
      </c>
      <c r="C2133" s="46" t="s">
        <v>5766</v>
      </c>
      <c r="D2133" s="41" t="str">
        <f ca="1">IFERROR(__xludf.DUMMYFUNCTION("IFERROR(ARRAYFORMULA(REGEXEXTRACT(C2133,""^(?:https?:\/\/)?(?:[^@\n]+@)?(?:www\.)?([^:\/\n]+)"")),"""")"),"blog.loopcv.pro")</f>
        <v>blog.loopcv.pro</v>
      </c>
      <c r="E2133" s="26" t="str">
        <f ca="1">IFERROR(__xludf.DUMMYFUNCTION("""COMPUTED_VALUE"""),"New")</f>
        <v>New</v>
      </c>
      <c r="F2133" s="72">
        <v>61</v>
      </c>
      <c r="G2133" s="72">
        <v>24088</v>
      </c>
      <c r="P2133" s="26"/>
    </row>
    <row r="2134" spans="1:16" ht="14.5">
      <c r="A2134" s="3" t="s">
        <v>38</v>
      </c>
      <c r="B2134" s="27" t="s">
        <v>2824</v>
      </c>
      <c r="C2134" s="46" t="s">
        <v>5767</v>
      </c>
      <c r="D2134" s="41" t="str">
        <f ca="1">IFERROR(__xludf.DUMMYFUNCTION("IFERROR(ARRAYFORMULA(REGEXEXTRACT(C2134,""^(?:https?:\/\/)?(?:[^@\n]+@)?(?:www\.)?([^:\/\n]+)"")),"""")"),"sfexaminer.com")</f>
        <v>sfexaminer.com</v>
      </c>
      <c r="E2134" s="26" t="str">
        <f ca="1">IFERROR(__xludf.DUMMYFUNCTION("""COMPUTED_VALUE"""),"New")</f>
        <v>New</v>
      </c>
      <c r="F2134" s="72">
        <v>79</v>
      </c>
      <c r="G2134" s="72">
        <v>26004</v>
      </c>
      <c r="P2134" s="26"/>
    </row>
    <row r="2135" spans="1:16" ht="14.5">
      <c r="A2135" s="3" t="s">
        <v>38</v>
      </c>
      <c r="B2135" s="27" t="s">
        <v>2824</v>
      </c>
      <c r="C2135" s="46" t="s">
        <v>5768</v>
      </c>
      <c r="D2135" s="41" t="str">
        <f ca="1">IFERROR(__xludf.DUMMYFUNCTION("IFERROR(ARRAYFORMULA(REGEXEXTRACT(C2135,""^(?:https?:\/\/)?(?:[^@\n]+@)?(?:www\.)?([^:\/\n]+)"")),"""")"),"ripenapps.com")</f>
        <v>ripenapps.com</v>
      </c>
      <c r="E2135" s="26" t="str">
        <f ca="1">IFERROR(__xludf.DUMMYFUNCTION("""COMPUTED_VALUE"""),"New")</f>
        <v>New</v>
      </c>
      <c r="F2135" s="72">
        <v>54</v>
      </c>
      <c r="G2135" s="72">
        <v>4117</v>
      </c>
      <c r="P2135" s="26"/>
    </row>
    <row r="2136" spans="1:16" ht="14.5">
      <c r="A2136" s="3" t="s">
        <v>38</v>
      </c>
      <c r="B2136" s="27" t="s">
        <v>2824</v>
      </c>
      <c r="C2136" s="46" t="s">
        <v>5769</v>
      </c>
      <c r="D2136" s="41" t="str">
        <f ca="1">IFERROR(__xludf.DUMMYFUNCTION("IFERROR(ARRAYFORMULA(REGEXEXTRACT(C2136,""^(?:https?:\/\/)?(?:[^@\n]+@)?(?:www\.)?([^:\/\n]+)"")),"""")"),"blog.solsticebenefits.com")</f>
        <v>blog.solsticebenefits.com</v>
      </c>
      <c r="E2136" s="26" t="str">
        <f ca="1">IFERROR(__xludf.DUMMYFUNCTION("""COMPUTED_VALUE"""),"New")</f>
        <v>New</v>
      </c>
      <c r="F2136" s="72">
        <v>48</v>
      </c>
      <c r="G2136" s="72">
        <v>3704</v>
      </c>
      <c r="P2136" s="26"/>
    </row>
    <row r="2137" spans="1:16" ht="14.5">
      <c r="A2137" s="3" t="s">
        <v>38</v>
      </c>
      <c r="B2137" s="27" t="s">
        <v>2824</v>
      </c>
      <c r="C2137" s="46" t="s">
        <v>5770</v>
      </c>
      <c r="D2137" s="41" t="str">
        <f ca="1">IFERROR(__xludf.DUMMYFUNCTION("IFERROR(ARRAYFORMULA(REGEXEXTRACT(C2137,""^(?:https?:\/\/)?(?:[^@\n]+@)?(?:www\.)?([^:\/\n]+)"")),"""")"),"cisin.com")</f>
        <v>cisin.com</v>
      </c>
      <c r="E2137" s="26" t="str">
        <f ca="1">IFERROR(__xludf.DUMMYFUNCTION("""COMPUTED_VALUE"""),"New")</f>
        <v>New</v>
      </c>
      <c r="F2137" s="72">
        <v>72</v>
      </c>
      <c r="G2137" s="72">
        <v>5799</v>
      </c>
      <c r="P2137" s="26"/>
    </row>
    <row r="2138" spans="1:16" ht="14.5">
      <c r="A2138" s="3" t="s">
        <v>38</v>
      </c>
      <c r="B2138" s="27" t="s">
        <v>2824</v>
      </c>
      <c r="C2138" s="46" t="s">
        <v>5771</v>
      </c>
      <c r="D2138" s="41" t="str">
        <f ca="1">IFERROR(__xludf.DUMMYFUNCTION("IFERROR(ARRAYFORMULA(REGEXEXTRACT(C2138,""^(?:https?:\/\/)?(?:[^@\n]+@)?(?:www\.)?([^:\/\n]+)"")),"""")"),"wpfastestcache.com")</f>
        <v>wpfastestcache.com</v>
      </c>
      <c r="E2138" s="26" t="str">
        <f ca="1">IFERROR(__xludf.DUMMYFUNCTION("""COMPUTED_VALUE"""),"New")</f>
        <v>New</v>
      </c>
      <c r="F2138" s="72">
        <v>74</v>
      </c>
      <c r="G2138" s="72">
        <v>2919</v>
      </c>
      <c r="P2138" s="26"/>
    </row>
    <row r="2139" spans="1:16" ht="14.5">
      <c r="A2139" s="3" t="s">
        <v>38</v>
      </c>
      <c r="B2139" s="27" t="s">
        <v>2824</v>
      </c>
      <c r="C2139" s="46" t="s">
        <v>5772</v>
      </c>
      <c r="D2139" s="41" t="str">
        <f ca="1">IFERROR(__xludf.DUMMYFUNCTION("IFERROR(ARRAYFORMULA(REGEXEXTRACT(C2139,""^(?:https?:\/\/)?(?:[^@\n]+@)?(?:www\.)?([^:\/\n]+)"")),"""")"),"memtime.com")</f>
        <v>memtime.com</v>
      </c>
      <c r="E2139" s="26" t="str">
        <f ca="1">IFERROR(__xludf.DUMMYFUNCTION("""COMPUTED_VALUE"""),"New")</f>
        <v>New</v>
      </c>
      <c r="F2139" s="72">
        <v>56</v>
      </c>
      <c r="G2139" s="72">
        <v>9495</v>
      </c>
      <c r="P2139" s="26"/>
    </row>
    <row r="2140" spans="1:16" ht="14.5">
      <c r="A2140" s="3" t="s">
        <v>38</v>
      </c>
      <c r="B2140" s="27" t="s">
        <v>2824</v>
      </c>
      <c r="C2140" s="46" t="s">
        <v>5773</v>
      </c>
      <c r="D2140" s="41" t="str">
        <f ca="1">IFERROR(__xludf.DUMMYFUNCTION("IFERROR(ARRAYFORMULA(REGEXEXTRACT(C2140,""^(?:https?:\/\/)?(?:[^@\n]+@)?(?:www\.)?([^:\/\n]+)"")),"""")"),"uncovercounseling.com")</f>
        <v>uncovercounseling.com</v>
      </c>
      <c r="E2140" s="26" t="str">
        <f ca="1">IFERROR(__xludf.DUMMYFUNCTION("""COMPUTED_VALUE"""),"New")</f>
        <v>New</v>
      </c>
      <c r="F2140" s="72">
        <v>45</v>
      </c>
      <c r="G2140" s="72">
        <v>12596</v>
      </c>
      <c r="P2140" s="26"/>
    </row>
    <row r="2141" spans="1:16" ht="14.5">
      <c r="A2141" s="3" t="s">
        <v>38</v>
      </c>
      <c r="B2141" s="27" t="s">
        <v>2824</v>
      </c>
      <c r="C2141" s="46" t="s">
        <v>5774</v>
      </c>
      <c r="D2141" s="41" t="str">
        <f ca="1">IFERROR(__xludf.DUMMYFUNCTION("IFERROR(ARRAYFORMULA(REGEXEXTRACT(C2141,""^(?:https?:\/\/)?(?:[^@\n]+@)?(?:www\.)?([^:\/\n]+)"")),"""")"),"markovate.com")</f>
        <v>markovate.com</v>
      </c>
      <c r="E2141" s="26" t="str">
        <f ca="1">IFERROR(__xludf.DUMMYFUNCTION("""COMPUTED_VALUE"""),"New")</f>
        <v>New</v>
      </c>
      <c r="F2141" s="72">
        <v>52</v>
      </c>
      <c r="G2141" s="72">
        <v>1938</v>
      </c>
      <c r="P2141" s="26"/>
    </row>
    <row r="2142" spans="1:16" ht="14.5">
      <c r="A2142" s="3" t="s">
        <v>38</v>
      </c>
      <c r="B2142" s="27" t="s">
        <v>2824</v>
      </c>
      <c r="C2142" s="46" t="s">
        <v>5775</v>
      </c>
      <c r="D2142" s="41" t="str">
        <f ca="1">IFERROR(__xludf.DUMMYFUNCTION("IFERROR(ARRAYFORMULA(REGEXEXTRACT(C2142,""^(?:https?:\/\/)?(?:[^@\n]+@)?(?:www\.)?([^:\/\n]+)"")),"""")"),"timedoctor.com")</f>
        <v>timedoctor.com</v>
      </c>
      <c r="E2142" s="26" t="str">
        <f ca="1">IFERROR(__xludf.DUMMYFUNCTION("""COMPUTED_VALUE"""),"New")</f>
        <v>New</v>
      </c>
      <c r="F2142" s="72">
        <v>79</v>
      </c>
      <c r="G2142" s="72">
        <v>76007</v>
      </c>
      <c r="P2142" s="26"/>
    </row>
    <row r="2143" spans="1:16" ht="14.5">
      <c r="A2143" s="3" t="s">
        <v>38</v>
      </c>
      <c r="B2143" s="27" t="s">
        <v>2824</v>
      </c>
      <c r="C2143" s="46" t="s">
        <v>5776</v>
      </c>
      <c r="D2143" s="41" t="str">
        <f ca="1">IFERROR(__xludf.DUMMYFUNCTION("IFERROR(ARRAYFORMULA(REGEXEXTRACT(C2143,""^(?:https?:\/\/)?(?:[^@\n]+@)?(?:www\.)?([^:\/\n]+)"")),"""")"),"zoviz.com")</f>
        <v>zoviz.com</v>
      </c>
      <c r="E2143" s="26" t="str">
        <f ca="1">IFERROR(__xludf.DUMMYFUNCTION("""COMPUTED_VALUE"""),"New")</f>
        <v>New</v>
      </c>
      <c r="F2143" s="72">
        <v>62</v>
      </c>
      <c r="G2143" s="72">
        <v>105260</v>
      </c>
      <c r="P2143" s="26"/>
    </row>
    <row r="2144" spans="1:16" ht="14.5">
      <c r="A2144" s="3" t="s">
        <v>38</v>
      </c>
      <c r="B2144" s="27" t="s">
        <v>2824</v>
      </c>
      <c r="C2144" s="46" t="s">
        <v>5777</v>
      </c>
      <c r="D2144" s="41" t="str">
        <f ca="1">IFERROR(__xludf.DUMMYFUNCTION("IFERROR(ARRAYFORMULA(REGEXEXTRACT(C2144,""^(?:https?:\/\/)?(?:[^@\n]+@)?(?:www\.)?([^:\/\n]+)"")),"""")"),"blog.designcrowd.de")</f>
        <v>blog.designcrowd.de</v>
      </c>
      <c r="E2144" s="26" t="str">
        <f ca="1">IFERROR(__xludf.DUMMYFUNCTION("""COMPUTED_VALUE"""),"New")</f>
        <v>New</v>
      </c>
      <c r="F2144" s="72">
        <v>23</v>
      </c>
      <c r="G2144" s="72">
        <v>6095</v>
      </c>
      <c r="P2144" s="26"/>
    </row>
    <row r="2145" spans="1:16" ht="14.5" hidden="1">
      <c r="A2145" s="3" t="s">
        <v>38</v>
      </c>
      <c r="B2145" s="27" t="s">
        <v>2824</v>
      </c>
      <c r="C2145" s="46" t="s">
        <v>5778</v>
      </c>
      <c r="D2145" s="41" t="str">
        <f ca="1">IFERROR(__xludf.DUMMYFUNCTION("IFERROR(ARRAYFORMULA(REGEXEXTRACT(C2145,""^(?:https?:\/\/)?(?:[^@\n]+@)?(?:www\.)?([^:\/\n]+)"")),"""")"),"siliconvalleytime.com")</f>
        <v>siliconvalleytime.com</v>
      </c>
      <c r="E2145" s="26" t="str">
        <f ca="1">IFERROR(__xludf.DUMMYFUNCTION("""COMPUTED_VALUE"""),"Already Exists")</f>
        <v>Already Exists</v>
      </c>
      <c r="F2145" s="72">
        <v>38</v>
      </c>
      <c r="G2145" s="72">
        <v>6584</v>
      </c>
      <c r="P2145" s="26"/>
    </row>
    <row r="2146" spans="1:16" ht="14.5">
      <c r="A2146" s="3" t="s">
        <v>38</v>
      </c>
      <c r="B2146" s="27" t="s">
        <v>2824</v>
      </c>
      <c r="C2146" s="46" t="s">
        <v>5779</v>
      </c>
      <c r="D2146" s="41" t="str">
        <f ca="1">IFERROR(__xludf.DUMMYFUNCTION("IFERROR(ARRAYFORMULA(REGEXEXTRACT(C2146,""^(?:https?:\/\/)?(?:[^@\n]+@)?(?:www\.)?([^:\/\n]+)"")),"""")"),"paystubhero.com")</f>
        <v>paystubhero.com</v>
      </c>
      <c r="E2146" s="26" t="str">
        <f ca="1">IFERROR(__xludf.DUMMYFUNCTION("""COMPUTED_VALUE"""),"New")</f>
        <v>New</v>
      </c>
      <c r="F2146" s="72">
        <v>57</v>
      </c>
      <c r="G2146" s="72">
        <v>4773</v>
      </c>
      <c r="P2146" s="26"/>
    </row>
    <row r="2147" spans="1:16" ht="14.5">
      <c r="A2147" s="3" t="s">
        <v>38</v>
      </c>
      <c r="B2147" s="27" t="s">
        <v>2824</v>
      </c>
      <c r="C2147" s="46" t="s">
        <v>5780</v>
      </c>
      <c r="D2147" s="41" t="str">
        <f ca="1">IFERROR(__xludf.DUMMYFUNCTION("IFERROR(ARRAYFORMULA(REGEXEXTRACT(C2147,""^(?:https?:\/\/)?(?:[^@\n]+@)?(?:www\.)?([^:\/\n]+)"")),"""")"),"deskflex.com")</f>
        <v>deskflex.com</v>
      </c>
      <c r="E2147" s="26" t="str">
        <f ca="1">IFERROR(__xludf.DUMMYFUNCTION("""COMPUTED_VALUE"""),"New")</f>
        <v>New</v>
      </c>
      <c r="F2147" s="72">
        <v>49</v>
      </c>
      <c r="G2147" s="72">
        <v>2064</v>
      </c>
      <c r="P2147" s="26"/>
    </row>
    <row r="2148" spans="1:16" ht="14.5">
      <c r="A2148" s="3" t="s">
        <v>38</v>
      </c>
      <c r="B2148" s="27" t="s">
        <v>2824</v>
      </c>
      <c r="C2148" s="46" t="s">
        <v>5781</v>
      </c>
      <c r="D2148" s="41" t="str">
        <f ca="1">IFERROR(__xludf.DUMMYFUNCTION("IFERROR(ARRAYFORMULA(REGEXEXTRACT(C2148,""^(?:https?:\/\/)?(?:[^@\n]+@)?(?:www\.)?([^:\/\n]+)"")),"""")"),"contactsplus.com")</f>
        <v>contactsplus.com</v>
      </c>
      <c r="E2148" s="26" t="str">
        <f ca="1">IFERROR(__xludf.DUMMYFUNCTION("""COMPUTED_VALUE"""),"New")</f>
        <v>New</v>
      </c>
      <c r="F2148" s="72">
        <v>51</v>
      </c>
      <c r="G2148" s="72">
        <v>3364</v>
      </c>
      <c r="P2148" s="26"/>
    </row>
    <row r="2149" spans="1:16" ht="14.5">
      <c r="A2149" s="3" t="s">
        <v>38</v>
      </c>
      <c r="B2149" s="27" t="s">
        <v>2824</v>
      </c>
      <c r="C2149" s="46" t="s">
        <v>5782</v>
      </c>
      <c r="D2149" s="41" t="str">
        <f ca="1">IFERROR(__xludf.DUMMYFUNCTION("IFERROR(ARRAYFORMULA(REGEXEXTRACT(C2149,""^(?:https?:\/\/)?(?:[^@\n]+@)?(?:www\.)?([^:\/\n]+)"")),"""")"),"spdload.com")</f>
        <v>spdload.com</v>
      </c>
      <c r="E2149" s="26" t="str">
        <f ca="1">IFERROR(__xludf.DUMMYFUNCTION("""COMPUTED_VALUE"""),"New")</f>
        <v>New</v>
      </c>
      <c r="F2149" s="72">
        <v>74</v>
      </c>
      <c r="G2149" s="72">
        <v>3534</v>
      </c>
      <c r="P2149" s="26"/>
    </row>
    <row r="2150" spans="1:16" ht="14.5">
      <c r="A2150" s="3" t="s">
        <v>38</v>
      </c>
      <c r="B2150" s="27" t="s">
        <v>2824</v>
      </c>
      <c r="C2150" s="46" t="s">
        <v>5783</v>
      </c>
      <c r="D2150" s="41" t="str">
        <f ca="1">IFERROR(__xludf.DUMMYFUNCTION("IFERROR(ARRAYFORMULA(REGEXEXTRACT(C2150,""^(?:https?:\/\/)?(?:[^@\n]+@)?(?:www\.)?([^:\/\n]+)"")),"""")"),"tucson.com")</f>
        <v>tucson.com</v>
      </c>
      <c r="E2150" s="26" t="str">
        <f ca="1">IFERROR(__xludf.DUMMYFUNCTION("""COMPUTED_VALUE"""),"New")</f>
        <v>New</v>
      </c>
      <c r="F2150" s="72">
        <v>80</v>
      </c>
      <c r="G2150" s="72">
        <v>83975</v>
      </c>
      <c r="P2150" s="26"/>
    </row>
    <row r="2151" spans="1:16" ht="14.5">
      <c r="A2151" s="3" t="s">
        <v>38</v>
      </c>
      <c r="B2151" s="27" t="s">
        <v>2824</v>
      </c>
      <c r="C2151" s="46" t="s">
        <v>5784</v>
      </c>
      <c r="D2151" s="41" t="str">
        <f ca="1">IFERROR(__xludf.DUMMYFUNCTION("IFERROR(ARRAYFORMULA(REGEXEXTRACT(C2151,""^(?:https?:\/\/)?(?:[^@\n]+@)?(?:www\.)?([^:\/\n]+)"")),"""")"),"rollo.com")</f>
        <v>rollo.com</v>
      </c>
      <c r="E2151" s="26" t="str">
        <f ca="1">IFERROR(__xludf.DUMMYFUNCTION("""COMPUTED_VALUE"""),"New")</f>
        <v>New</v>
      </c>
      <c r="F2151" s="72">
        <v>61</v>
      </c>
      <c r="G2151" s="72">
        <v>20305</v>
      </c>
      <c r="P2151" s="26"/>
    </row>
    <row r="2152" spans="1:16" ht="14.5">
      <c r="A2152" s="3" t="s">
        <v>38</v>
      </c>
      <c r="B2152" s="27" t="s">
        <v>2824</v>
      </c>
      <c r="C2152" s="46" t="s">
        <v>5785</v>
      </c>
      <c r="D2152" s="41" t="str">
        <f ca="1">IFERROR(__xludf.DUMMYFUNCTION("IFERROR(ARRAYFORMULA(REGEXEXTRACT(C2152,""^(?:https?:\/\/)?(?:[^@\n]+@)?(?:www\.)?([^:\/\n]+)"")),"""")"),"reviewgrower.com")</f>
        <v>reviewgrower.com</v>
      </c>
      <c r="E2152" s="26" t="str">
        <f ca="1">IFERROR(__xludf.DUMMYFUNCTION("""COMPUTED_VALUE"""),"New")</f>
        <v>New</v>
      </c>
      <c r="F2152" s="72">
        <v>68</v>
      </c>
      <c r="G2152" s="72">
        <v>1286</v>
      </c>
      <c r="P2152" s="26"/>
    </row>
    <row r="2153" spans="1:16" ht="14.5">
      <c r="A2153" s="3" t="s">
        <v>38</v>
      </c>
      <c r="B2153" s="27" t="s">
        <v>2824</v>
      </c>
      <c r="C2153" s="46" t="s">
        <v>5786</v>
      </c>
      <c r="D2153" s="41" t="str">
        <f ca="1">IFERROR(__xludf.DUMMYFUNCTION("IFERROR(ARRAYFORMULA(REGEXEXTRACT(C2153,""^(?:https?:\/\/)?(?:[^@\n]+@)?(?:www\.)?([^:\/\n]+)"")),"""")"),"compassitc.com")</f>
        <v>compassitc.com</v>
      </c>
      <c r="E2153" s="26" t="str">
        <f ca="1">IFERROR(__xludf.DUMMYFUNCTION("""COMPUTED_VALUE"""),"New")</f>
        <v>New</v>
      </c>
      <c r="F2153" s="72">
        <v>56</v>
      </c>
      <c r="G2153" s="72">
        <v>4337</v>
      </c>
      <c r="P2153" s="26"/>
    </row>
    <row r="2154" spans="1:16" ht="14.5" hidden="1">
      <c r="A2154" s="3" t="s">
        <v>38</v>
      </c>
      <c r="B2154" s="27" t="s">
        <v>2824</v>
      </c>
      <c r="C2154" s="46" t="s">
        <v>5787</v>
      </c>
      <c r="D2154" s="41" t="str">
        <f ca="1">IFERROR(__xludf.DUMMYFUNCTION("IFERROR(ARRAYFORMULA(REGEXEXTRACT(C2154,""^(?:https?:\/\/)?(?:[^@\n]+@)?(?:www\.)?([^:\/\n]+)"")),"""")"),"readunwritten.com")</f>
        <v>readunwritten.com</v>
      </c>
      <c r="E2154" s="26" t="str">
        <f ca="1">IFERROR(__xludf.DUMMYFUNCTION("""COMPUTED_VALUE"""),"Already Exists")</f>
        <v>Already Exists</v>
      </c>
      <c r="F2154" s="72">
        <v>41</v>
      </c>
      <c r="G2154" s="72">
        <v>1354</v>
      </c>
      <c r="P2154" s="26"/>
    </row>
    <row r="2155" spans="1:16" ht="14.5">
      <c r="A2155" s="3" t="s">
        <v>38</v>
      </c>
      <c r="B2155" s="27" t="s">
        <v>2824</v>
      </c>
      <c r="C2155" s="46" t="s">
        <v>5788</v>
      </c>
      <c r="D2155" s="41" t="str">
        <f ca="1">IFERROR(__xludf.DUMMYFUNCTION("IFERROR(ARRAYFORMULA(REGEXEXTRACT(C2155,""^(?:https?:\/\/)?(?:[^@\n]+@)?(?:www\.)?([^:\/\n]+)"")),"""")"),"izooto.com")</f>
        <v>izooto.com</v>
      </c>
      <c r="E2155" s="26" t="str">
        <f ca="1">IFERROR(__xludf.DUMMYFUNCTION("""COMPUTED_VALUE"""),"New")</f>
        <v>New</v>
      </c>
      <c r="F2155" s="72">
        <v>66</v>
      </c>
      <c r="G2155" s="72">
        <v>2407</v>
      </c>
      <c r="P2155" s="26"/>
    </row>
    <row r="2156" spans="1:16" ht="14.5">
      <c r="A2156" s="3" t="s">
        <v>38</v>
      </c>
      <c r="B2156" s="27" t="s">
        <v>2824</v>
      </c>
      <c r="C2156" s="49" t="s">
        <v>5789</v>
      </c>
      <c r="D2156" s="41" t="str">
        <f ca="1">IFERROR(__xludf.DUMMYFUNCTION("IFERROR(ARRAYFORMULA(REGEXEXTRACT(C2156,""^(?:https?:\/\/)?(?:[^@\n]+@)?(?:www\.)?([^:\/\n]+)"")),"""")"),"ghasterpaintinginc.com")</f>
        <v>ghasterpaintinginc.com</v>
      </c>
      <c r="E2156" s="26" t="str">
        <f ca="1">IFERROR(__xludf.DUMMYFUNCTION("""COMPUTED_VALUE"""),"New")</f>
        <v>New</v>
      </c>
      <c r="F2156" s="72">
        <v>26</v>
      </c>
      <c r="G2156" s="72">
        <v>1452</v>
      </c>
      <c r="J2156" s="27" t="s">
        <v>5790</v>
      </c>
      <c r="K2156" s="27" t="s">
        <v>3844</v>
      </c>
      <c r="L2156" s="112"/>
      <c r="M2156" s="27" t="s">
        <v>3715</v>
      </c>
      <c r="N2156" s="48">
        <v>46048</v>
      </c>
      <c r="O2156" s="48">
        <v>46069</v>
      </c>
      <c r="P2156" s="26"/>
    </row>
    <row r="2157" spans="1:16" ht="14.5">
      <c r="A2157" s="3" t="s">
        <v>38</v>
      </c>
      <c r="B2157" s="27" t="s">
        <v>2824</v>
      </c>
      <c r="C2157" s="46" t="s">
        <v>5791</v>
      </c>
      <c r="D2157" s="41" t="str">
        <f ca="1">IFERROR(__xludf.DUMMYFUNCTION("IFERROR(ARRAYFORMULA(REGEXEXTRACT(C2157,""^(?:https?:\/\/)?(?:[^@\n]+@)?(?:www\.)?([^:\/\n]+)"")),"""")"),"derektime.com")</f>
        <v>derektime.com</v>
      </c>
      <c r="E2157" s="26" t="str">
        <f ca="1">IFERROR(__xludf.DUMMYFUNCTION("""COMPUTED_VALUE"""),"New")</f>
        <v>New</v>
      </c>
      <c r="F2157" s="72">
        <v>61</v>
      </c>
      <c r="G2157" s="72">
        <v>1827</v>
      </c>
      <c r="P2157" s="26"/>
    </row>
    <row r="2158" spans="1:16" ht="14.5">
      <c r="A2158" s="3" t="s">
        <v>38</v>
      </c>
      <c r="B2158" s="27" t="s">
        <v>2824</v>
      </c>
      <c r="C2158" s="46" t="s">
        <v>5792</v>
      </c>
      <c r="D2158" s="41" t="str">
        <f ca="1">IFERROR(__xludf.DUMMYFUNCTION("IFERROR(ARRAYFORMULA(REGEXEXTRACT(C2158,""^(?:https?:\/\/)?(?:[^@\n]+@)?(?:www\.)?([^:\/\n]+)"")),"""")"),"theartofcharm.com")</f>
        <v>theartofcharm.com</v>
      </c>
      <c r="E2158" s="26" t="str">
        <f ca="1">IFERROR(__xludf.DUMMYFUNCTION("""COMPUTED_VALUE"""),"New")</f>
        <v>New</v>
      </c>
      <c r="F2158" s="72">
        <v>64</v>
      </c>
      <c r="G2158" s="72">
        <v>5725</v>
      </c>
      <c r="P2158" s="26"/>
    </row>
    <row r="2159" spans="1:16" ht="14.5">
      <c r="A2159" s="3" t="s">
        <v>38</v>
      </c>
      <c r="B2159" s="27" t="s">
        <v>2824</v>
      </c>
      <c r="C2159" s="46" t="s">
        <v>5793</v>
      </c>
      <c r="D2159" s="41" t="str">
        <f ca="1">IFERROR(__xludf.DUMMYFUNCTION("IFERROR(ARRAYFORMULA(REGEXEXTRACT(C2159,""^(?:https?:\/\/)?(?:[^@\n]+@)?(?:www\.)?([^:\/\n]+)"")),"""")"),"elements.envato.com")</f>
        <v>elements.envato.com</v>
      </c>
      <c r="E2159" s="26" t="str">
        <f ca="1">IFERROR(__xludf.DUMMYFUNCTION("""COMPUTED_VALUE"""),"New")</f>
        <v>New</v>
      </c>
      <c r="F2159" s="72">
        <v>93</v>
      </c>
      <c r="G2159" s="72">
        <v>3892008</v>
      </c>
      <c r="P2159" s="26"/>
    </row>
    <row r="2160" spans="1:16" ht="14.5">
      <c r="A2160" s="3" t="s">
        <v>38</v>
      </c>
      <c r="B2160" s="27" t="s">
        <v>2824</v>
      </c>
      <c r="C2160" s="46" t="s">
        <v>5794</v>
      </c>
      <c r="D2160" s="41" t="str">
        <f ca="1">IFERROR(__xludf.DUMMYFUNCTION("IFERROR(ARRAYFORMULA(REGEXEXTRACT(C2160,""^(?:https?:\/\/)?(?:[^@\n]+@)?(?:www\.)?([^:\/\n]+)"")),"""")"),"widebaykids.com.au")</f>
        <v>widebaykids.com.au</v>
      </c>
      <c r="E2160" s="26" t="str">
        <f ca="1">IFERROR(__xludf.DUMMYFUNCTION("""COMPUTED_VALUE"""),"New")</f>
        <v>New</v>
      </c>
      <c r="F2160" s="72">
        <v>24</v>
      </c>
      <c r="G2160" s="72">
        <v>2987</v>
      </c>
      <c r="P2160" s="26"/>
    </row>
    <row r="2161" spans="1:16" ht="14.5">
      <c r="A2161" s="3" t="s">
        <v>38</v>
      </c>
      <c r="B2161" s="27" t="s">
        <v>2824</v>
      </c>
      <c r="C2161" s="46" t="s">
        <v>5795</v>
      </c>
      <c r="D2161" s="41" t="str">
        <f ca="1">IFERROR(__xludf.DUMMYFUNCTION("IFERROR(ARRAYFORMULA(REGEXEXTRACT(C2161,""^(?:https?:\/\/)?(?:[^@\n]+@)?(?:www\.)?([^:\/\n]+)"")),"""")"),"tivazo.com")</f>
        <v>tivazo.com</v>
      </c>
      <c r="E2161" s="26" t="str">
        <f ca="1">IFERROR(__xludf.DUMMYFUNCTION("""COMPUTED_VALUE"""),"New")</f>
        <v>New</v>
      </c>
      <c r="F2161" s="72">
        <v>64</v>
      </c>
      <c r="G2161" s="72">
        <v>16131</v>
      </c>
      <c r="P2161" s="26"/>
    </row>
    <row r="2162" spans="1:16" ht="14.5">
      <c r="A2162" s="3" t="s">
        <v>38</v>
      </c>
      <c r="B2162" s="27" t="s">
        <v>2824</v>
      </c>
      <c r="C2162" s="46" t="s">
        <v>5796</v>
      </c>
      <c r="D2162" s="41" t="str">
        <f ca="1">IFERROR(__xludf.DUMMYFUNCTION("IFERROR(ARRAYFORMULA(REGEXEXTRACT(C2162,""^(?:https?:\/\/)?(?:[^@\n]+@)?(?:www\.)?([^:\/\n]+)"")),"""")"),"curator.io")</f>
        <v>curator.io</v>
      </c>
      <c r="E2162" s="26" t="str">
        <f ca="1">IFERROR(__xludf.DUMMYFUNCTION("""COMPUTED_VALUE"""),"New")</f>
        <v>New</v>
      </c>
      <c r="F2162" s="72">
        <v>88</v>
      </c>
      <c r="G2162" s="72">
        <v>9046</v>
      </c>
      <c r="P2162" s="26"/>
    </row>
    <row r="2163" spans="1:16" ht="14.5">
      <c r="A2163" s="3" t="s">
        <v>38</v>
      </c>
      <c r="B2163" s="27" t="s">
        <v>2824</v>
      </c>
      <c r="C2163" s="49" t="s">
        <v>5797</v>
      </c>
      <c r="D2163" s="41" t="str">
        <f ca="1">IFERROR(__xludf.DUMMYFUNCTION("IFERROR(ARRAYFORMULA(REGEXEXTRACT(C2163,""^(?:https?:\/\/)?(?:[^@\n]+@)?(?:www\.)?([^:\/\n]+)"")),"""")"),"fratantoniluxuryestates.com")</f>
        <v>fratantoniluxuryestates.com</v>
      </c>
      <c r="E2163" s="26" t="str">
        <f ca="1">IFERROR(__xludf.DUMMYFUNCTION("""COMPUTED_VALUE"""),"New")</f>
        <v>New</v>
      </c>
      <c r="F2163" s="72">
        <v>22</v>
      </c>
      <c r="G2163" s="72">
        <v>1037</v>
      </c>
      <c r="J2163" s="27" t="s">
        <v>5798</v>
      </c>
      <c r="K2163" s="27" t="s">
        <v>5359</v>
      </c>
      <c r="L2163" s="112"/>
      <c r="M2163" s="27" t="s">
        <v>3715</v>
      </c>
      <c r="N2163" s="48">
        <v>46048</v>
      </c>
      <c r="O2163" s="48">
        <v>46069</v>
      </c>
      <c r="P2163" s="26"/>
    </row>
    <row r="2164" spans="1:16" ht="14.5">
      <c r="A2164" s="3" t="s">
        <v>38</v>
      </c>
      <c r="B2164" s="27" t="s">
        <v>2824</v>
      </c>
      <c r="C2164" s="46" t="s">
        <v>5799</v>
      </c>
      <c r="D2164" s="41" t="str">
        <f ca="1">IFERROR(__xludf.DUMMYFUNCTION("IFERROR(ARRAYFORMULA(REGEXEXTRACT(C2164,""^(?:https?:\/\/)?(?:[^@\n]+@)?(?:www\.)?([^:\/\n]+)"")),"""")"),"flair.hr")</f>
        <v>flair.hr</v>
      </c>
      <c r="E2164" s="26" t="str">
        <f ca="1">IFERROR(__xludf.DUMMYFUNCTION("""COMPUTED_VALUE"""),"New")</f>
        <v>New</v>
      </c>
      <c r="F2164" s="72">
        <v>72</v>
      </c>
      <c r="G2164" s="72">
        <v>11268</v>
      </c>
      <c r="P2164" s="26"/>
    </row>
    <row r="2165" spans="1:16" ht="14.5">
      <c r="A2165" s="3" t="s">
        <v>38</v>
      </c>
      <c r="B2165" s="27" t="s">
        <v>2824</v>
      </c>
      <c r="C2165" s="46" t="s">
        <v>5800</v>
      </c>
      <c r="D2165" s="41" t="str">
        <f ca="1">IFERROR(__xludf.DUMMYFUNCTION("IFERROR(ARRAYFORMULA(REGEXEXTRACT(C2165,""^(?:https?:\/\/)?(?:[^@\n]+@)?(?:www\.)?([^:\/\n]+)"")),"""")"),"dialerhq.com")</f>
        <v>dialerhq.com</v>
      </c>
      <c r="E2165" s="26" t="str">
        <f ca="1">IFERROR(__xludf.DUMMYFUNCTION("""COMPUTED_VALUE"""),"New")</f>
        <v>New</v>
      </c>
      <c r="F2165" s="72">
        <v>43</v>
      </c>
      <c r="G2165" s="72">
        <v>2045</v>
      </c>
      <c r="P2165" s="26"/>
    </row>
    <row r="2166" spans="1:16" ht="14.5">
      <c r="A2166" s="3" t="s">
        <v>38</v>
      </c>
      <c r="B2166" s="27" t="s">
        <v>2824</v>
      </c>
      <c r="C2166" s="46" t="s">
        <v>5801</v>
      </c>
      <c r="D2166" s="41" t="str">
        <f ca="1">IFERROR(__xludf.DUMMYFUNCTION("IFERROR(ARRAYFORMULA(REGEXEXTRACT(C2166,""^(?:https?:\/\/)?(?:[^@\n]+@)?(?:www\.)?([^:\/\n]+)"")),"""")"),"blog2.roomiapp.com")</f>
        <v>blog2.roomiapp.com</v>
      </c>
      <c r="E2166" s="26" t="str">
        <f ca="1">IFERROR(__xludf.DUMMYFUNCTION("""COMPUTED_VALUE"""),"New")</f>
        <v>New</v>
      </c>
      <c r="F2166" s="72">
        <v>51</v>
      </c>
      <c r="G2166" s="72">
        <v>18581</v>
      </c>
      <c r="P2166" s="26"/>
    </row>
    <row r="2167" spans="1:16" ht="14.5">
      <c r="A2167" s="3" t="s">
        <v>38</v>
      </c>
      <c r="B2167" s="27" t="s">
        <v>2824</v>
      </c>
      <c r="C2167" s="46" t="s">
        <v>5802</v>
      </c>
      <c r="D2167" s="41" t="str">
        <f ca="1">IFERROR(__xludf.DUMMYFUNCTION("IFERROR(ARRAYFORMULA(REGEXEXTRACT(C2167,""^(?:https?:\/\/)?(?:[^@\n]+@)?(?:www\.)?([^:\/\n]+)"")),"""")"),"laptoptestguide.com")</f>
        <v>laptoptestguide.com</v>
      </c>
      <c r="E2167" s="26" t="str">
        <f ca="1">IFERROR(__xludf.DUMMYFUNCTION("""COMPUTED_VALUE"""),"New")</f>
        <v>New</v>
      </c>
      <c r="F2167" s="72">
        <v>53</v>
      </c>
      <c r="G2167" s="72">
        <v>3629</v>
      </c>
      <c r="P2167" s="26"/>
    </row>
    <row r="2168" spans="1:16" ht="14.5">
      <c r="A2168" s="3" t="s">
        <v>38</v>
      </c>
      <c r="B2168" s="27" t="s">
        <v>2824</v>
      </c>
      <c r="C2168" s="46" t="s">
        <v>5803</v>
      </c>
      <c r="D2168" s="41" t="str">
        <f ca="1">IFERROR(__xludf.DUMMYFUNCTION("IFERROR(ARRAYFORMULA(REGEXEXTRACT(C2168,""^(?:https?:\/\/)?(?:[^@\n]+@)?(?:www\.)?([^:\/\n]+)"")),"""")"),"psychreg.org")</f>
        <v>psychreg.org</v>
      </c>
      <c r="E2168" s="26" t="str">
        <f ca="1">IFERROR(__xludf.DUMMYFUNCTION("""COMPUTED_VALUE"""),"New")</f>
        <v>New</v>
      </c>
      <c r="F2168" s="72">
        <v>73</v>
      </c>
      <c r="G2168" s="72">
        <v>1804</v>
      </c>
      <c r="P2168" s="26"/>
    </row>
    <row r="2169" spans="1:16" ht="14.5" hidden="1">
      <c r="A2169" s="3" t="s">
        <v>38</v>
      </c>
      <c r="B2169" s="27" t="s">
        <v>2824</v>
      </c>
      <c r="C2169" s="46" t="s">
        <v>5804</v>
      </c>
      <c r="D2169" s="41" t="str">
        <f ca="1">IFERROR(__xludf.DUMMYFUNCTION("IFERROR(ARRAYFORMULA(REGEXEXTRACT(C2169,""^(?:https?:\/\/)?(?:[^@\n]+@)?(?:www\.)?([^:\/\n]+)"")),"""")"),"bbntimes.com")</f>
        <v>bbntimes.com</v>
      </c>
      <c r="E2169" s="26" t="str">
        <f ca="1">IFERROR(__xludf.DUMMYFUNCTION("""COMPUTED_VALUE"""),"Already Exists")</f>
        <v>Already Exists</v>
      </c>
      <c r="F2169" s="72">
        <v>72</v>
      </c>
      <c r="G2169" s="72">
        <v>130061</v>
      </c>
      <c r="P2169" s="26"/>
    </row>
    <row r="2170" spans="1:16" ht="14.5" hidden="1">
      <c r="A2170" s="3" t="s">
        <v>38</v>
      </c>
      <c r="B2170" s="27" t="s">
        <v>2824</v>
      </c>
      <c r="C2170" s="47" t="s">
        <v>5805</v>
      </c>
      <c r="D2170" s="41" t="str">
        <f ca="1">IFERROR(__xludf.DUMMYFUNCTION("IFERROR(ARRAYFORMULA(REGEXEXTRACT(C2170,""^(?:https?:\/\/)?(?:[^@\n]+@)?(?:www\.)?([^:\/\n]+)"")),"""")"),"honestmum.com")</f>
        <v>honestmum.com</v>
      </c>
      <c r="E2170" s="26" t="str">
        <f ca="1">IFERROR(__xludf.DUMMYFUNCTION("""COMPUTED_VALUE"""),"Already Exists")</f>
        <v>Already Exists</v>
      </c>
      <c r="F2170" s="72">
        <v>54</v>
      </c>
      <c r="G2170" s="72">
        <v>3017</v>
      </c>
      <c r="H2170" s="27" t="s">
        <v>5806</v>
      </c>
      <c r="I2170" s="27" t="s">
        <v>5807</v>
      </c>
      <c r="K2170" s="27" t="s">
        <v>3756</v>
      </c>
      <c r="L2170" s="112"/>
      <c r="M2170" s="27" t="s">
        <v>3715</v>
      </c>
      <c r="N2170" s="48">
        <v>46048</v>
      </c>
      <c r="P2170" s="27" t="s">
        <v>3201</v>
      </c>
    </row>
    <row r="2171" spans="1:16" ht="14.5">
      <c r="A2171" s="3" t="s">
        <v>38</v>
      </c>
      <c r="B2171" s="27" t="s">
        <v>2824</v>
      </c>
      <c r="C2171" s="46" t="s">
        <v>5808</v>
      </c>
      <c r="D2171" s="41" t="str">
        <f ca="1">IFERROR(__xludf.DUMMYFUNCTION("IFERROR(ARRAYFORMULA(REGEXEXTRACT(C2171,""^(?:https?:\/\/)?(?:[^@\n]+@)?(?:www\.)?([^:\/\n]+)"")),"""")"),"villagevoice.com")</f>
        <v>villagevoice.com</v>
      </c>
      <c r="E2171" s="26" t="str">
        <f ca="1">IFERROR(__xludf.DUMMYFUNCTION("""COMPUTED_VALUE"""),"New")</f>
        <v>New</v>
      </c>
      <c r="F2171" s="72">
        <v>82</v>
      </c>
      <c r="G2171" s="72">
        <v>96805</v>
      </c>
      <c r="P2171" s="26"/>
    </row>
    <row r="2172" spans="1:16" ht="14.5">
      <c r="A2172" s="3" t="s">
        <v>38</v>
      </c>
      <c r="B2172" s="27" t="s">
        <v>2824</v>
      </c>
      <c r="C2172" s="46" t="s">
        <v>5809</v>
      </c>
      <c r="D2172" s="41" t="str">
        <f ca="1">IFERROR(__xludf.DUMMYFUNCTION("IFERROR(ARRAYFORMULA(REGEXEXTRACT(C2172,""^(?:https?:\/\/)?(?:[^@\n]+@)?(?:www\.)?([^:\/\n]+)"")),"""")"),"upvio.com")</f>
        <v>upvio.com</v>
      </c>
      <c r="E2172" s="26" t="str">
        <f ca="1">IFERROR(__xludf.DUMMYFUNCTION("""COMPUTED_VALUE"""),"New")</f>
        <v>New</v>
      </c>
      <c r="F2172" s="72">
        <v>51</v>
      </c>
      <c r="G2172" s="72">
        <v>1819</v>
      </c>
      <c r="P2172" s="26"/>
    </row>
    <row r="2173" spans="1:16" ht="14.5">
      <c r="A2173" s="3" t="s">
        <v>38</v>
      </c>
      <c r="B2173" s="27" t="s">
        <v>2824</v>
      </c>
      <c r="C2173" s="46" t="s">
        <v>5810</v>
      </c>
      <c r="D2173" s="41" t="str">
        <f ca="1">IFERROR(__xludf.DUMMYFUNCTION("IFERROR(ARRAYFORMULA(REGEXEXTRACT(C2173,""^(?:https?:\/\/)?(?:[^@\n]+@)?(?:www\.)?([^:\/\n]+)"")),"""")"),"luxafor.com")</f>
        <v>luxafor.com</v>
      </c>
      <c r="E2173" s="26" t="str">
        <f ca="1">IFERROR(__xludf.DUMMYFUNCTION("""COMPUTED_VALUE"""),"New")</f>
        <v>New</v>
      </c>
      <c r="F2173" s="72">
        <v>56</v>
      </c>
      <c r="G2173" s="72">
        <v>10442</v>
      </c>
      <c r="P2173" s="26"/>
    </row>
    <row r="2174" spans="1:16" ht="14.5">
      <c r="A2174" s="3" t="s">
        <v>38</v>
      </c>
      <c r="B2174" s="27" t="s">
        <v>2824</v>
      </c>
      <c r="C2174" s="46" t="s">
        <v>5811</v>
      </c>
      <c r="D2174" s="41" t="str">
        <f ca="1">IFERROR(__xludf.DUMMYFUNCTION("IFERROR(ARRAYFORMULA(REGEXEXTRACT(C2174,""^(?:https?:\/\/)?(?:[^@\n]+@)?(?:www\.)?([^:\/\n]+)"")),"""")"),"careerdevelopment.acu.edu")</f>
        <v>careerdevelopment.acu.edu</v>
      </c>
      <c r="E2174" s="26" t="str">
        <f ca="1">IFERROR(__xludf.DUMMYFUNCTION("""COMPUTED_VALUE"""),"New")</f>
        <v>New</v>
      </c>
      <c r="F2174" s="72">
        <v>73</v>
      </c>
      <c r="G2174" s="72">
        <v>57700</v>
      </c>
      <c r="P2174" s="26"/>
    </row>
    <row r="2175" spans="1:16" ht="14.5">
      <c r="A2175" s="3" t="s">
        <v>38</v>
      </c>
      <c r="B2175" s="27" t="s">
        <v>2824</v>
      </c>
      <c r="C2175" s="46" t="s">
        <v>5812</v>
      </c>
      <c r="D2175" s="41" t="str">
        <f ca="1">IFERROR(__xludf.DUMMYFUNCTION("IFERROR(ARRAYFORMULA(REGEXEXTRACT(C2175,""^(?:https?:\/\/)?(?:[^@\n]+@)?(?:www\.)?([^:\/\n]+)"")),"""")"),"cuttingedgepr.com")</f>
        <v>cuttingedgepr.com</v>
      </c>
      <c r="E2175" s="26" t="str">
        <f ca="1">IFERROR(__xludf.DUMMYFUNCTION("""COMPUTED_VALUE"""),"New")</f>
        <v>New</v>
      </c>
      <c r="F2175" s="72">
        <v>53</v>
      </c>
      <c r="G2175" s="72">
        <v>2028</v>
      </c>
      <c r="P2175" s="26"/>
    </row>
    <row r="2176" spans="1:16" ht="14.5" hidden="1">
      <c r="A2176" s="3" t="s">
        <v>38</v>
      </c>
      <c r="B2176" s="27" t="s">
        <v>2824</v>
      </c>
      <c r="C2176" s="46" t="s">
        <v>5813</v>
      </c>
      <c r="D2176" s="41" t="str">
        <f ca="1">IFERROR(__xludf.DUMMYFUNCTION("IFERROR(ARRAYFORMULA(REGEXEXTRACT(C2176,""^(?:https?:\/\/)?(?:[^@\n]+@)?(?:www\.)?([^:\/\n]+)"")),"""")"),"mippin.com")</f>
        <v>mippin.com</v>
      </c>
      <c r="E2176" s="26" t="str">
        <f ca="1">IFERROR(__xludf.DUMMYFUNCTION("""COMPUTED_VALUE"""),"Already Exists")</f>
        <v>Already Exists</v>
      </c>
      <c r="F2176" s="72">
        <v>44</v>
      </c>
      <c r="G2176" s="72">
        <v>1265</v>
      </c>
      <c r="P2176" s="26"/>
    </row>
    <row r="2177" spans="1:16" ht="14.5">
      <c r="A2177" s="3" t="s">
        <v>38</v>
      </c>
      <c r="B2177" s="27" t="s">
        <v>2824</v>
      </c>
      <c r="C2177" s="49" t="s">
        <v>5814</v>
      </c>
      <c r="D2177" s="41" t="str">
        <f ca="1">IFERROR(__xludf.DUMMYFUNCTION("IFERROR(ARRAYFORMULA(REGEXEXTRACT(C2177,""^(?:https?:\/\/)?(?:[^@\n]+@)?(?:www\.)?([^:\/\n]+)"")),"""")"),"theindependent.com")</f>
        <v>theindependent.com</v>
      </c>
      <c r="E2177" s="26" t="str">
        <f ca="1">IFERROR(__xludf.DUMMYFUNCTION("""COMPUTED_VALUE"""),"New")</f>
        <v>New</v>
      </c>
      <c r="F2177" s="72">
        <v>67</v>
      </c>
      <c r="G2177" s="72">
        <v>11474</v>
      </c>
      <c r="H2177" s="27" t="s">
        <v>5815</v>
      </c>
      <c r="I2177" s="27" t="s">
        <v>5816</v>
      </c>
      <c r="J2177" s="27" t="s">
        <v>5817</v>
      </c>
      <c r="K2177" s="27" t="s">
        <v>3772</v>
      </c>
      <c r="L2177" s="112"/>
      <c r="M2177" s="27" t="s">
        <v>3715</v>
      </c>
      <c r="N2177" s="48">
        <v>46048</v>
      </c>
      <c r="O2177" s="48">
        <v>46069</v>
      </c>
      <c r="P2177" s="26"/>
    </row>
    <row r="2178" spans="1:16" ht="14.5">
      <c r="A2178" s="3" t="s">
        <v>38</v>
      </c>
      <c r="B2178" s="27" t="s">
        <v>2824</v>
      </c>
      <c r="C2178" s="46" t="s">
        <v>5818</v>
      </c>
      <c r="D2178" s="41" t="str">
        <f ca="1">IFERROR(__xludf.DUMMYFUNCTION("IFERROR(ARRAYFORMULA(REGEXEXTRACT(C2178,""^(?:https?:\/\/)?(?:[^@\n]+@)?(?:www\.)?([^:\/\n]+)"")),"""")"),"revoyant.com")</f>
        <v>revoyant.com</v>
      </c>
      <c r="E2178" s="26" t="str">
        <f ca="1">IFERROR(__xludf.DUMMYFUNCTION("""COMPUTED_VALUE"""),"New")</f>
        <v>New</v>
      </c>
      <c r="F2178" s="72">
        <v>47</v>
      </c>
      <c r="G2178" s="72">
        <v>1883</v>
      </c>
      <c r="P2178" s="26"/>
    </row>
    <row r="2179" spans="1:16" ht="14.5">
      <c r="A2179" s="3" t="s">
        <v>38</v>
      </c>
      <c r="B2179" s="27" t="s">
        <v>2824</v>
      </c>
      <c r="C2179" s="46" t="s">
        <v>5819</v>
      </c>
      <c r="D2179" s="41" t="str">
        <f ca="1">IFERROR(__xludf.DUMMYFUNCTION("IFERROR(ARRAYFORMULA(REGEXEXTRACT(C2179,""^(?:https?:\/\/)?(?:[^@\n]+@)?(?:www\.)?([^:\/\n]+)"")),"""")"),"tourdaufuskie.com")</f>
        <v>tourdaufuskie.com</v>
      </c>
      <c r="E2179" s="26" t="str">
        <f ca="1">IFERROR(__xludf.DUMMYFUNCTION("""COMPUTED_VALUE"""),"New")</f>
        <v>New</v>
      </c>
      <c r="F2179" s="72">
        <v>24</v>
      </c>
      <c r="G2179" s="72">
        <v>1562</v>
      </c>
      <c r="P2179" s="26"/>
    </row>
    <row r="2180" spans="1:16" ht="14.5">
      <c r="A2180" s="3" t="s">
        <v>38</v>
      </c>
      <c r="B2180" s="27" t="s">
        <v>2824</v>
      </c>
      <c r="C2180" s="46" t="s">
        <v>5820</v>
      </c>
      <c r="D2180" s="41" t="str">
        <f ca="1">IFERROR(__xludf.DUMMYFUNCTION("IFERROR(ARRAYFORMULA(REGEXEXTRACT(C2180,""^(?:https?:\/\/)?(?:[^@\n]+@)?(?:www\.)?([^:\/\n]+)"")),"""")"),"parade.com")</f>
        <v>parade.com</v>
      </c>
      <c r="E2180" s="26" t="str">
        <f ca="1">IFERROR(__xludf.DUMMYFUNCTION("""COMPUTED_VALUE"""),"New")</f>
        <v>New</v>
      </c>
      <c r="F2180" s="72">
        <v>85</v>
      </c>
      <c r="G2180" s="72">
        <v>8906273</v>
      </c>
      <c r="P2180" s="26"/>
    </row>
    <row r="2181" spans="1:16" ht="14.5">
      <c r="A2181" s="3" t="s">
        <v>38</v>
      </c>
      <c r="B2181" s="27" t="s">
        <v>2824</v>
      </c>
      <c r="C2181" s="46" t="s">
        <v>5821</v>
      </c>
      <c r="D2181" s="41" t="str">
        <f ca="1">IFERROR(__xludf.DUMMYFUNCTION("IFERROR(ARRAYFORMULA(REGEXEXTRACT(C2181,""^(?:https?:\/\/)?(?:[^@\n]+@)?(?:www\.)?([^:\/\n]+)"")),"""")"),"joinotto.com")</f>
        <v>joinotto.com</v>
      </c>
      <c r="E2181" s="26" t="str">
        <f ca="1">IFERROR(__xludf.DUMMYFUNCTION("""COMPUTED_VALUE"""),"New")</f>
        <v>New</v>
      </c>
      <c r="F2181" s="72">
        <v>46</v>
      </c>
      <c r="G2181" s="72">
        <v>26091</v>
      </c>
      <c r="P2181" s="26"/>
    </row>
    <row r="2182" spans="1:16" ht="14.5">
      <c r="A2182" s="3" t="s">
        <v>38</v>
      </c>
      <c r="B2182" s="27" t="s">
        <v>2824</v>
      </c>
      <c r="C2182" s="49" t="s">
        <v>5822</v>
      </c>
      <c r="D2182" s="41" t="str">
        <f ca="1">IFERROR(__xludf.DUMMYFUNCTION("IFERROR(ARRAYFORMULA(REGEXEXTRACT(C2182,""^(?:https?:\/\/)?(?:[^@\n]+@)?(?:www\.)?([^:\/\n]+)"")),"""")"),"invoiceberry.com")</f>
        <v>invoiceberry.com</v>
      </c>
      <c r="E2182" s="26" t="str">
        <f ca="1">IFERROR(__xludf.DUMMYFUNCTION("""COMPUTED_VALUE"""),"New")</f>
        <v>New</v>
      </c>
      <c r="F2182" s="72">
        <v>71</v>
      </c>
      <c r="G2182" s="72">
        <v>4053</v>
      </c>
      <c r="H2182" s="31"/>
      <c r="I2182" s="31"/>
      <c r="J2182" s="27" t="s">
        <v>5823</v>
      </c>
      <c r="K2182" s="27" t="s">
        <v>5824</v>
      </c>
      <c r="L2182" s="112"/>
      <c r="M2182" s="27" t="s">
        <v>3715</v>
      </c>
      <c r="N2182" s="48">
        <v>46048</v>
      </c>
      <c r="O2182" s="48">
        <v>46070</v>
      </c>
      <c r="P2182" s="26"/>
    </row>
    <row r="2183" spans="1:16" ht="14.5">
      <c r="A2183" s="3" t="s">
        <v>38</v>
      </c>
      <c r="B2183" s="27" t="s">
        <v>2824</v>
      </c>
      <c r="C2183" s="46" t="s">
        <v>5825</v>
      </c>
      <c r="D2183" s="41" t="str">
        <f ca="1">IFERROR(__xludf.DUMMYFUNCTION("IFERROR(ARRAYFORMULA(REGEXEXTRACT(C2183,""^(?:https?:\/\/)?(?:[^@\n]+@)?(?:www\.)?([^:\/\n]+)"")),"""")"),"theyesgirls.com")</f>
        <v>theyesgirls.com</v>
      </c>
      <c r="E2183" s="26" t="str">
        <f ca="1">IFERROR(__xludf.DUMMYFUNCTION("""COMPUTED_VALUE"""),"New")</f>
        <v>New</v>
      </c>
      <c r="F2183" s="72">
        <v>48</v>
      </c>
      <c r="G2183" s="72">
        <v>1569</v>
      </c>
      <c r="P2183" s="26"/>
    </row>
    <row r="2184" spans="1:16" ht="14.5" hidden="1">
      <c r="A2184" s="3" t="s">
        <v>38</v>
      </c>
      <c r="B2184" s="27" t="s">
        <v>2824</v>
      </c>
      <c r="C2184" s="46" t="s">
        <v>5826</v>
      </c>
      <c r="D2184" s="41" t="str">
        <f ca="1">IFERROR(__xludf.DUMMYFUNCTION("IFERROR(ARRAYFORMULA(REGEXEXTRACT(C2184,""^(?:https?:\/\/)?(?:[^@\n]+@)?(?:www\.)?([^:\/\n]+)"")),"""")"),"advisoryexcellence.com")</f>
        <v>advisoryexcellence.com</v>
      </c>
      <c r="E2184" s="26" t="str">
        <f ca="1">IFERROR(__xludf.DUMMYFUNCTION("""COMPUTED_VALUE"""),"Already Exists")</f>
        <v>Already Exists</v>
      </c>
      <c r="F2184" s="72">
        <v>53</v>
      </c>
      <c r="G2184" s="72">
        <v>1098</v>
      </c>
      <c r="P2184" s="26"/>
    </row>
    <row r="2185" spans="1:16" ht="14.5">
      <c r="A2185" s="3" t="s">
        <v>38</v>
      </c>
      <c r="B2185" s="27" t="s">
        <v>2824</v>
      </c>
      <c r="C2185" s="46" t="s">
        <v>5827</v>
      </c>
      <c r="D2185" s="41" t="str">
        <f ca="1">IFERROR(__xludf.DUMMYFUNCTION("IFERROR(ARRAYFORMULA(REGEXEXTRACT(C2185,""^(?:https?:\/\/)?(?:[^@\n]+@)?(?:www\.)?([^:\/\n]+)"")),"""")"),"investorsking.com")</f>
        <v>investorsking.com</v>
      </c>
      <c r="E2185" s="26" t="str">
        <f ca="1">IFERROR(__xludf.DUMMYFUNCTION("""COMPUTED_VALUE"""),"New")</f>
        <v>New</v>
      </c>
      <c r="F2185" s="72">
        <v>37</v>
      </c>
      <c r="G2185" s="72">
        <v>6903</v>
      </c>
      <c r="P2185" s="26"/>
    </row>
    <row r="2186" spans="1:16" ht="14.5">
      <c r="A2186" s="3" t="s">
        <v>38</v>
      </c>
      <c r="B2186" s="27" t="s">
        <v>2824</v>
      </c>
      <c r="C2186" s="46" t="s">
        <v>5828</v>
      </c>
      <c r="D2186" s="41" t="str">
        <f ca="1">IFERROR(__xludf.DUMMYFUNCTION("IFERROR(ARRAYFORMULA(REGEXEXTRACT(C2186,""^(?:https?:\/\/)?(?:[^@\n]+@)?(?:www\.)?([^:\/\n]+)"")),"""")"),"algoscale.com")</f>
        <v>algoscale.com</v>
      </c>
      <c r="E2186" s="26" t="str">
        <f ca="1">IFERROR(__xludf.DUMMYFUNCTION("""COMPUTED_VALUE"""),"New")</f>
        <v>New</v>
      </c>
      <c r="F2186" s="72">
        <v>48</v>
      </c>
      <c r="G2186" s="72">
        <v>14057</v>
      </c>
      <c r="P2186" s="26"/>
    </row>
    <row r="2187" spans="1:16" ht="14.5">
      <c r="A2187" s="3" t="s">
        <v>38</v>
      </c>
      <c r="B2187" s="27" t="s">
        <v>2824</v>
      </c>
      <c r="C2187" s="46" t="s">
        <v>5829</v>
      </c>
      <c r="D2187" s="41" t="str">
        <f ca="1">IFERROR(__xludf.DUMMYFUNCTION("IFERROR(ARRAYFORMULA(REGEXEXTRACT(C2187,""^(?:https?:\/\/)?(?:[^@\n]+@)?(?:www\.)?([^:\/\n]+)"")),"""")"),"bacancytechnology.com")</f>
        <v>bacancytechnology.com</v>
      </c>
      <c r="E2187" s="26" t="str">
        <f ca="1">IFERROR(__xludf.DUMMYFUNCTION("""COMPUTED_VALUE"""),"New")</f>
        <v>New</v>
      </c>
      <c r="F2187" s="72">
        <v>63</v>
      </c>
      <c r="G2187" s="72">
        <v>45532</v>
      </c>
      <c r="P2187" s="26"/>
    </row>
    <row r="2188" spans="1:16" ht="14.5">
      <c r="A2188" s="3" t="s">
        <v>38</v>
      </c>
      <c r="B2188" s="27" t="s">
        <v>2824</v>
      </c>
      <c r="C2188" s="46" t="s">
        <v>5830</v>
      </c>
      <c r="D2188" s="41" t="str">
        <f ca="1">IFERROR(__xludf.DUMMYFUNCTION("IFERROR(ARRAYFORMULA(REGEXEXTRACT(C2188,""^(?:https?:\/\/)?(?:[^@\n]+@)?(?:www\.)?([^:\/\n]+)"")),"""")"),"bostoninstituteofanalytics.org")</f>
        <v>bostoninstituteofanalytics.org</v>
      </c>
      <c r="E2188" s="26" t="str">
        <f ca="1">IFERROR(__xludf.DUMMYFUNCTION("""COMPUTED_VALUE"""),"New")</f>
        <v>New</v>
      </c>
      <c r="F2188" s="72">
        <v>61</v>
      </c>
      <c r="G2188" s="72">
        <v>41322</v>
      </c>
      <c r="P2188" s="26"/>
    </row>
    <row r="2189" spans="1:16" ht="14.5" hidden="1">
      <c r="A2189" s="3" t="s">
        <v>38</v>
      </c>
      <c r="B2189" s="27" t="s">
        <v>2824</v>
      </c>
      <c r="C2189" s="46" t="s">
        <v>5831</v>
      </c>
      <c r="D2189" s="41" t="str">
        <f ca="1">IFERROR(__xludf.DUMMYFUNCTION("IFERROR(ARRAYFORMULA(REGEXEXTRACT(C2189,""^(?:https?:\/\/)?(?:[^@\n]+@)?(?:www\.)?([^:\/\n]+)"")),"""")"),"magetop.com")</f>
        <v>magetop.com</v>
      </c>
      <c r="E2189" s="26" t="str">
        <f ca="1">IFERROR(__xludf.DUMMYFUNCTION("""COMPUTED_VALUE"""),"Already Exists")</f>
        <v>Already Exists</v>
      </c>
      <c r="F2189" s="72">
        <v>41</v>
      </c>
      <c r="G2189" s="72">
        <v>1302</v>
      </c>
      <c r="P2189" s="26"/>
    </row>
    <row r="2190" spans="1:16" ht="14.5">
      <c r="A2190" s="3" t="s">
        <v>38</v>
      </c>
      <c r="B2190" s="27" t="s">
        <v>2824</v>
      </c>
      <c r="C2190" s="46" t="s">
        <v>5832</v>
      </c>
      <c r="D2190" s="41" t="str">
        <f ca="1">IFERROR(__xludf.DUMMYFUNCTION("IFERROR(ARRAYFORMULA(REGEXEXTRACT(C2190,""^(?:https?:\/\/)?(?:[^@\n]+@)?(?:www\.)?([^:\/\n]+)"")),"""")"),"socialworktoday.com")</f>
        <v>socialworktoday.com</v>
      </c>
      <c r="E2190" s="26" t="str">
        <f ca="1">IFERROR(__xludf.DUMMYFUNCTION("""COMPUTED_VALUE"""),"New")</f>
        <v>New</v>
      </c>
      <c r="F2190" s="72">
        <v>69</v>
      </c>
      <c r="G2190" s="72">
        <v>1821</v>
      </c>
      <c r="P2190" s="26"/>
    </row>
    <row r="2191" spans="1:16" ht="14.5">
      <c r="A2191" s="3" t="s">
        <v>38</v>
      </c>
      <c r="B2191" s="27" t="s">
        <v>2824</v>
      </c>
      <c r="C2191" s="46" t="s">
        <v>5833</v>
      </c>
      <c r="D2191" s="41" t="str">
        <f ca="1">IFERROR(__xludf.DUMMYFUNCTION("IFERROR(ARRAYFORMULA(REGEXEXTRACT(C2191,""^(?:https?:\/\/)?(?:[^@\n]+@)?(?:www\.)?([^:\/\n]+)"")),"""")"),"capobythesea.com")</f>
        <v>capobythesea.com</v>
      </c>
      <c r="E2191" s="26" t="str">
        <f ca="1">IFERROR(__xludf.DUMMYFUNCTION("""COMPUTED_VALUE"""),"New")</f>
        <v>New</v>
      </c>
      <c r="F2191" s="72">
        <v>26</v>
      </c>
      <c r="G2191" s="72">
        <v>1872</v>
      </c>
      <c r="P2191" s="26"/>
    </row>
    <row r="2192" spans="1:16" ht="14.5">
      <c r="A2192" s="3" t="s">
        <v>38</v>
      </c>
      <c r="B2192" s="27" t="s">
        <v>2824</v>
      </c>
      <c r="C2192" s="46" t="s">
        <v>5834</v>
      </c>
      <c r="D2192" s="41" t="str">
        <f ca="1">IFERROR(__xludf.DUMMYFUNCTION("IFERROR(ARRAYFORMULA(REGEXEXTRACT(C2192,""^(?:https?:\/\/)?(?:[^@\n]+@)?(?:www\.)?([^:\/\n]+)"")),"""")"),"kentuckycounselingcenter.com")</f>
        <v>kentuckycounselingcenter.com</v>
      </c>
      <c r="E2192" s="26" t="str">
        <f ca="1">IFERROR(__xludf.DUMMYFUNCTION("""COMPUTED_VALUE"""),"New")</f>
        <v>New</v>
      </c>
      <c r="F2192" s="72">
        <v>53</v>
      </c>
      <c r="G2192" s="72">
        <v>7532</v>
      </c>
      <c r="P2192" s="26"/>
    </row>
    <row r="2193" spans="1:16" ht="14.5" hidden="1">
      <c r="A2193" s="3" t="s">
        <v>38</v>
      </c>
      <c r="B2193" s="27" t="s">
        <v>2824</v>
      </c>
      <c r="C2193" s="47" t="s">
        <v>5835</v>
      </c>
      <c r="D2193" s="41" t="str">
        <f ca="1">IFERROR(__xludf.DUMMYFUNCTION("IFERROR(ARRAYFORMULA(REGEXEXTRACT(C2193,""^(?:https?:\/\/)?(?:[^@\n]+@)?(?:www\.)?([^:\/\n]+)"")),"""")"),"buggybuddys.com.au")</f>
        <v>buggybuddys.com.au</v>
      </c>
      <c r="E2193" s="26" t="str">
        <f ca="1">IFERROR(__xludf.DUMMYFUNCTION("""COMPUTED_VALUE"""),"Already Exists")</f>
        <v>Already Exists</v>
      </c>
      <c r="F2193" s="72">
        <v>45</v>
      </c>
      <c r="G2193" s="72">
        <v>51130</v>
      </c>
      <c r="J2193" s="27" t="s">
        <v>5836</v>
      </c>
      <c r="K2193" s="27" t="s">
        <v>5837</v>
      </c>
      <c r="L2193" s="112"/>
      <c r="M2193" s="27" t="s">
        <v>3117</v>
      </c>
      <c r="N2193" s="48">
        <v>46049</v>
      </c>
      <c r="P2193" s="27" t="s">
        <v>3201</v>
      </c>
    </row>
    <row r="2194" spans="1:16" ht="14.5">
      <c r="A2194" s="3" t="s">
        <v>38</v>
      </c>
      <c r="B2194" s="27" t="s">
        <v>2824</v>
      </c>
      <c r="C2194" s="46" t="s">
        <v>5838</v>
      </c>
      <c r="D2194" s="41" t="str">
        <f ca="1">IFERROR(__xludf.DUMMYFUNCTION("IFERROR(ARRAYFORMULA(REGEXEXTRACT(C2194,""^(?:https?:\/\/)?(?:[^@\n]+@)?(?:www\.)?([^:\/\n]+)"")),"""")"),"alore.io")</f>
        <v>alore.io</v>
      </c>
      <c r="E2194" s="26" t="str">
        <f ca="1">IFERROR(__xludf.DUMMYFUNCTION("""COMPUTED_VALUE"""),"New")</f>
        <v>New</v>
      </c>
      <c r="F2194" s="72">
        <v>51</v>
      </c>
      <c r="G2194" s="72">
        <v>6061</v>
      </c>
      <c r="P2194" s="26"/>
    </row>
    <row r="2195" spans="1:16" ht="14.5">
      <c r="A2195" s="3" t="s">
        <v>38</v>
      </c>
      <c r="B2195" s="27" t="s">
        <v>2824</v>
      </c>
      <c r="C2195" s="46" t="s">
        <v>5839</v>
      </c>
      <c r="D2195" s="41" t="str">
        <f ca="1">IFERROR(__xludf.DUMMYFUNCTION("IFERROR(ARRAYFORMULA(REGEXEXTRACT(C2195,""^(?:https?:\/\/)?(?:[^@\n]+@)?(?:www\.)?([^:\/\n]+)"")),"""")"),"profiletree.com")</f>
        <v>profiletree.com</v>
      </c>
      <c r="E2195" s="26" t="str">
        <f ca="1">IFERROR(__xludf.DUMMYFUNCTION("""COMPUTED_VALUE"""),"New")</f>
        <v>New</v>
      </c>
      <c r="F2195" s="72">
        <v>75</v>
      </c>
      <c r="G2195" s="72">
        <v>2886</v>
      </c>
      <c r="P2195" s="26"/>
    </row>
    <row r="2196" spans="1:16" ht="14.5">
      <c r="A2196" s="3" t="s">
        <v>38</v>
      </c>
      <c r="B2196" s="27" t="s">
        <v>2824</v>
      </c>
      <c r="C2196" s="49" t="s">
        <v>5840</v>
      </c>
      <c r="D2196" s="41" t="str">
        <f ca="1">IFERROR(__xludf.DUMMYFUNCTION("IFERROR(ARRAYFORMULA(REGEXEXTRACT(C2196,""^(?:https?:\/\/)?(?:[^@\n]+@)?(?:www\.)?([^:\/\n]+)"")),"""")"),"moveinconnect.com.au")</f>
        <v>moveinconnect.com.au</v>
      </c>
      <c r="E2196" s="26" t="str">
        <f ca="1">IFERROR(__xludf.DUMMYFUNCTION("""COMPUTED_VALUE"""),"New")</f>
        <v>New</v>
      </c>
      <c r="F2196" s="72">
        <v>27</v>
      </c>
      <c r="G2196" s="72">
        <v>8369</v>
      </c>
      <c r="J2196" s="38" t="s">
        <v>5841</v>
      </c>
      <c r="K2196" s="27" t="s">
        <v>4092</v>
      </c>
      <c r="L2196" s="112"/>
      <c r="M2196" s="27" t="s">
        <v>3117</v>
      </c>
      <c r="N2196" s="48">
        <v>46049</v>
      </c>
      <c r="P2196" s="26"/>
    </row>
    <row r="2197" spans="1:16" ht="14.5">
      <c r="A2197" s="3" t="s">
        <v>38</v>
      </c>
      <c r="B2197" s="27" t="s">
        <v>2824</v>
      </c>
      <c r="C2197" s="46" t="s">
        <v>5842</v>
      </c>
      <c r="D2197" s="41" t="str">
        <f ca="1">IFERROR(__xludf.DUMMYFUNCTION("IFERROR(ARRAYFORMULA(REGEXEXTRACT(C2197,""^(?:https?:\/\/)?(?:[^@\n]+@)?(?:www\.)?([^:\/\n]+)"")),"""")"),"getoutofdebt.org")</f>
        <v>getoutofdebt.org</v>
      </c>
      <c r="E2197" s="26" t="str">
        <f ca="1">IFERROR(__xludf.DUMMYFUNCTION("""COMPUTED_VALUE"""),"New")</f>
        <v>New</v>
      </c>
      <c r="F2197" s="72">
        <v>47</v>
      </c>
      <c r="G2197" s="72">
        <v>1020</v>
      </c>
      <c r="P2197" s="26"/>
    </row>
    <row r="2198" spans="1:16" ht="14.5" hidden="1">
      <c r="A2198" s="3" t="s">
        <v>38</v>
      </c>
      <c r="B2198" s="27" t="s">
        <v>2824</v>
      </c>
      <c r="C2198" s="46" t="s">
        <v>5843</v>
      </c>
      <c r="D2198" s="41" t="str">
        <f ca="1">IFERROR(__xludf.DUMMYFUNCTION("IFERROR(ARRAYFORMULA(REGEXEXTRACT(C2198,""^(?:https?:\/\/)?(?:[^@\n]+@)?(?:www\.)?([^:\/\n]+)"")),"""")"),"namasteui.com")</f>
        <v>namasteui.com</v>
      </c>
      <c r="E2198" s="26" t="str">
        <f ca="1">IFERROR(__xludf.DUMMYFUNCTION("""COMPUTED_VALUE"""),"Already Exists")</f>
        <v>Already Exists</v>
      </c>
      <c r="F2198" s="72">
        <v>31</v>
      </c>
      <c r="G2198" s="72">
        <v>9438</v>
      </c>
      <c r="P2198" s="26"/>
    </row>
    <row r="2199" spans="1:16" ht="14.5">
      <c r="A2199" s="3" t="s">
        <v>38</v>
      </c>
      <c r="B2199" s="27" t="s">
        <v>2824</v>
      </c>
      <c r="C2199" s="46" t="s">
        <v>5844</v>
      </c>
      <c r="D2199" s="41" t="str">
        <f ca="1">IFERROR(__xludf.DUMMYFUNCTION("IFERROR(ARRAYFORMULA(REGEXEXTRACT(C2199,""^(?:https?:\/\/)?(?:[^@\n]+@)?(?:www\.)?([^:\/\n]+)"")),"""")"),"bestcompany.com")</f>
        <v>bestcompany.com</v>
      </c>
      <c r="E2199" s="26" t="str">
        <f ca="1">IFERROR(__xludf.DUMMYFUNCTION("""COMPUTED_VALUE"""),"New")</f>
        <v>New</v>
      </c>
      <c r="F2199" s="72">
        <v>70</v>
      </c>
      <c r="G2199" s="72">
        <v>29737</v>
      </c>
      <c r="P2199" s="26"/>
    </row>
    <row r="2200" spans="1:16" ht="14.5">
      <c r="A2200" s="3" t="s">
        <v>38</v>
      </c>
      <c r="B2200" s="27" t="s">
        <v>2824</v>
      </c>
      <c r="C2200" s="46" t="s">
        <v>5845</v>
      </c>
      <c r="D2200" s="41" t="str">
        <f ca="1">IFERROR(__xludf.DUMMYFUNCTION("IFERROR(ARRAYFORMULA(REGEXEXTRACT(C2200,""^(?:https?:\/\/)?(?:[^@\n]+@)?(?:www\.)?([^:\/\n]+)"")),"""")"),"companionlink.com")</f>
        <v>companionlink.com</v>
      </c>
      <c r="E2200" s="26" t="str">
        <f ca="1">IFERROR(__xludf.DUMMYFUNCTION("""COMPUTED_VALUE"""),"New")</f>
        <v>New</v>
      </c>
      <c r="F2200" s="72">
        <v>64</v>
      </c>
      <c r="G2200" s="72">
        <v>6347</v>
      </c>
      <c r="P2200" s="26"/>
    </row>
    <row r="2201" spans="1:16" ht="14.5">
      <c r="A2201" s="3" t="s">
        <v>38</v>
      </c>
      <c r="B2201" s="27" t="s">
        <v>2824</v>
      </c>
      <c r="C2201" s="46" t="s">
        <v>5846</v>
      </c>
      <c r="D2201" s="41" t="str">
        <f ca="1">IFERROR(__xludf.DUMMYFUNCTION("IFERROR(ARRAYFORMULA(REGEXEXTRACT(C2201,""^(?:https?:\/\/)?(?:[^@\n]+@)?(?:www\.)?([^:\/\n]+)"")),"""")"),"giftlips.com")</f>
        <v>giftlips.com</v>
      </c>
      <c r="E2201" s="26" t="str">
        <f ca="1">IFERROR(__xludf.DUMMYFUNCTION("""COMPUTED_VALUE"""),"New")</f>
        <v>New</v>
      </c>
      <c r="F2201" s="72">
        <v>46</v>
      </c>
      <c r="G2201" s="72">
        <v>3643</v>
      </c>
      <c r="P2201" s="26"/>
    </row>
    <row r="2202" spans="1:16" ht="14.5">
      <c r="A2202" s="3" t="s">
        <v>38</v>
      </c>
      <c r="B2202" s="27" t="s">
        <v>2824</v>
      </c>
      <c r="C2202" s="49" t="s">
        <v>5847</v>
      </c>
      <c r="D2202" s="41" t="str">
        <f ca="1">IFERROR(__xludf.DUMMYFUNCTION("IFERROR(ARRAYFORMULA(REGEXEXTRACT(C2202,""^(?:https?:\/\/)?(?:[^@\n]+@)?(?:www\.)?([^:\/\n]+)"")),"""")"),"talkehr.com")</f>
        <v>talkehr.com</v>
      </c>
      <c r="E2202" s="26" t="str">
        <f ca="1">IFERROR(__xludf.DUMMYFUNCTION("""COMPUTED_VALUE"""),"New")</f>
        <v>New</v>
      </c>
      <c r="F2202" s="72">
        <v>33</v>
      </c>
      <c r="G2202" s="72">
        <v>8104</v>
      </c>
      <c r="J2202" s="27" t="s">
        <v>5848</v>
      </c>
      <c r="K2202" s="27" t="s">
        <v>5375</v>
      </c>
      <c r="L2202" s="112"/>
      <c r="M2202" s="27" t="s">
        <v>3117</v>
      </c>
      <c r="N2202" s="48">
        <v>46049</v>
      </c>
      <c r="P2202" s="26"/>
    </row>
    <row r="2203" spans="1:16" ht="14.5">
      <c r="A2203" s="3" t="s">
        <v>38</v>
      </c>
      <c r="B2203" s="27" t="s">
        <v>2824</v>
      </c>
      <c r="C2203" s="46" t="s">
        <v>5849</v>
      </c>
      <c r="D2203" s="41" t="str">
        <f ca="1">IFERROR(__xludf.DUMMYFUNCTION("IFERROR(ARRAYFORMULA(REGEXEXTRACT(C2203,""^(?:https?:\/\/)?(?:[^@\n]+@)?(?:www\.)?([^:\/\n]+)"")),"""")"),"hedgethink.com")</f>
        <v>hedgethink.com</v>
      </c>
      <c r="E2203" s="26" t="str">
        <f ca="1">IFERROR(__xludf.DUMMYFUNCTION("""COMPUTED_VALUE"""),"New")</f>
        <v>New</v>
      </c>
      <c r="F2203" s="72">
        <v>44</v>
      </c>
      <c r="G2203" s="72">
        <v>3261</v>
      </c>
      <c r="P2203" s="26"/>
    </row>
    <row r="2204" spans="1:16" ht="14.5">
      <c r="A2204" s="3" t="s">
        <v>38</v>
      </c>
      <c r="B2204" s="27" t="s">
        <v>2824</v>
      </c>
      <c r="C2204" s="46" t="s">
        <v>5850</v>
      </c>
      <c r="D2204" s="41" t="str">
        <f ca="1">IFERROR(__xludf.DUMMYFUNCTION("IFERROR(ARRAYFORMULA(REGEXEXTRACT(C2204,""^(?:https?:\/\/)?(?:[^@\n]+@)?(?:www\.)?([^:\/\n]+)"")),"""")"),"nickdalephotography.com")</f>
        <v>nickdalephotography.com</v>
      </c>
      <c r="E2204" s="26" t="str">
        <f ca="1">IFERROR(__xludf.DUMMYFUNCTION("""COMPUTED_VALUE"""),"New")</f>
        <v>New</v>
      </c>
      <c r="F2204" s="72">
        <v>26</v>
      </c>
      <c r="G2204" s="72">
        <v>12619</v>
      </c>
      <c r="P2204" s="26"/>
    </row>
    <row r="2205" spans="1:16" ht="14.5">
      <c r="A2205" s="3" t="s">
        <v>38</v>
      </c>
      <c r="B2205" s="27" t="s">
        <v>2824</v>
      </c>
      <c r="C2205" s="46" t="s">
        <v>5851</v>
      </c>
      <c r="D2205" s="41" t="str">
        <f ca="1">IFERROR(__xludf.DUMMYFUNCTION("IFERROR(ARRAYFORMULA(REGEXEXTRACT(C2205,""^(?:https?:\/\/)?(?:[^@\n]+@)?(?:www\.)?([^:\/\n]+)"")),"""")"),"uplyftcapital.com")</f>
        <v>uplyftcapital.com</v>
      </c>
      <c r="E2205" s="26" t="str">
        <f ca="1">IFERROR(__xludf.DUMMYFUNCTION("""COMPUTED_VALUE"""),"New")</f>
        <v>New</v>
      </c>
      <c r="F2205" s="72">
        <v>43</v>
      </c>
      <c r="G2205" s="72">
        <v>1026</v>
      </c>
      <c r="P2205" s="26"/>
    </row>
    <row r="2206" spans="1:16" ht="14.5">
      <c r="A2206" s="3" t="s">
        <v>38</v>
      </c>
      <c r="B2206" s="27" t="s">
        <v>2824</v>
      </c>
      <c r="C2206" s="46" t="s">
        <v>5852</v>
      </c>
      <c r="D2206" s="41" t="str">
        <f ca="1">IFERROR(__xludf.DUMMYFUNCTION("IFERROR(ARRAYFORMULA(REGEXEXTRACT(C2206,""^(?:https?:\/\/)?(?:[^@\n]+@)?(?:www\.)?([^:\/\n]+)"")),"""")"),"dothaneagle.com")</f>
        <v>dothaneagle.com</v>
      </c>
      <c r="E2206" s="26" t="str">
        <f ca="1">IFERROR(__xludf.DUMMYFUNCTION("""COMPUTED_VALUE"""),"New")</f>
        <v>New</v>
      </c>
      <c r="F2206" s="72">
        <v>68</v>
      </c>
      <c r="G2206" s="72">
        <v>5087</v>
      </c>
      <c r="P2206" s="26"/>
    </row>
    <row r="2207" spans="1:16" ht="14.5">
      <c r="A2207" s="3" t="s">
        <v>38</v>
      </c>
      <c r="B2207" s="27" t="s">
        <v>2824</v>
      </c>
      <c r="C2207" s="46" t="s">
        <v>5853</v>
      </c>
      <c r="D2207" s="41" t="str">
        <f ca="1">IFERROR(__xludf.DUMMYFUNCTION("IFERROR(ARRAYFORMULA(REGEXEXTRACT(C2207,""^(?:https?:\/\/)?(?:[^@\n]+@)?(?:www\.)?([^:\/\n]+)"")),"""")"),"filecamp.com")</f>
        <v>filecamp.com</v>
      </c>
      <c r="E2207" s="26" t="str">
        <f ca="1">IFERROR(__xludf.DUMMYFUNCTION("""COMPUTED_VALUE"""),"New")</f>
        <v>New</v>
      </c>
      <c r="F2207" s="72">
        <v>76</v>
      </c>
      <c r="G2207" s="72">
        <v>6428</v>
      </c>
      <c r="P2207" s="26"/>
    </row>
    <row r="2208" spans="1:16" ht="14.5" hidden="1">
      <c r="A2208" s="3" t="s">
        <v>38</v>
      </c>
      <c r="B2208" s="27" t="s">
        <v>2824</v>
      </c>
      <c r="C2208" s="49" t="s">
        <v>5854</v>
      </c>
      <c r="D2208" s="41" t="str">
        <f ca="1">IFERROR(__xludf.DUMMYFUNCTION("IFERROR(ARRAYFORMULA(REGEXEXTRACT(C2208,""^(?:https?:\/\/)?(?:[^@\n]+@)?(?:www\.)?([^:\/\n]+)"")),"""")"),"thecharmingbenchcompany.com")</f>
        <v>thecharmingbenchcompany.com</v>
      </c>
      <c r="E2208" s="26" t="str">
        <f ca="1">IFERROR(__xludf.DUMMYFUNCTION("""COMPUTED_VALUE"""),"Already Exists")</f>
        <v>Already Exists</v>
      </c>
      <c r="F2208" s="72">
        <v>46</v>
      </c>
      <c r="G2208" s="72">
        <v>5353</v>
      </c>
      <c r="J2208" s="27" t="s">
        <v>5855</v>
      </c>
      <c r="K2208" s="27" t="s">
        <v>4911</v>
      </c>
      <c r="L2208" s="112"/>
      <c r="M2208" s="27" t="s">
        <v>3117</v>
      </c>
      <c r="N2208" s="48">
        <v>46049</v>
      </c>
      <c r="P2208" s="26"/>
    </row>
    <row r="2209" spans="1:16" ht="14.5">
      <c r="A2209" s="3" t="s">
        <v>38</v>
      </c>
      <c r="B2209" s="27" t="s">
        <v>2824</v>
      </c>
      <c r="C2209" s="49" t="s">
        <v>5856</v>
      </c>
      <c r="D2209" s="41" t="str">
        <f ca="1">IFERROR(__xludf.DUMMYFUNCTION("IFERROR(ARRAYFORMULA(REGEXEXTRACT(C2209,""^(?:https?:\/\/)?(?:[^@\n]+@)?(?:www\.)?([^:\/\n]+)"")),"""")"),"fabfitfun.com")</f>
        <v>fabfitfun.com</v>
      </c>
      <c r="E2209" s="26" t="str">
        <f ca="1">IFERROR(__xludf.DUMMYFUNCTION("""COMPUTED_VALUE"""),"New")</f>
        <v>New</v>
      </c>
      <c r="F2209" s="72">
        <v>74</v>
      </c>
      <c r="G2209" s="72">
        <v>132586</v>
      </c>
      <c r="H2209" s="27" t="s">
        <v>3524</v>
      </c>
      <c r="I2209" s="27" t="s">
        <v>5857</v>
      </c>
      <c r="K2209" s="27" t="s">
        <v>3756</v>
      </c>
      <c r="L2209" s="112"/>
      <c r="M2209" s="27" t="s">
        <v>3117</v>
      </c>
      <c r="N2209" s="48">
        <v>46049</v>
      </c>
      <c r="O2209" s="70">
        <v>46090</v>
      </c>
      <c r="P2209" s="26"/>
    </row>
    <row r="2210" spans="1:16" ht="14.5">
      <c r="A2210" s="3" t="s">
        <v>38</v>
      </c>
      <c r="B2210" s="27" t="s">
        <v>2824</v>
      </c>
      <c r="C2210" s="49" t="s">
        <v>5858</v>
      </c>
      <c r="D2210" s="41" t="str">
        <f ca="1">IFERROR(__xludf.DUMMYFUNCTION("IFERROR(ARRAYFORMULA(REGEXEXTRACT(C2210,""^(?:https?:\/\/)?(?:[^@\n]+@)?(?:www\.)?([^:\/\n]+)"")),"""")"),"ktvz.com")</f>
        <v>ktvz.com</v>
      </c>
      <c r="E2210" s="26" t="str">
        <f ca="1">IFERROR(__xludf.DUMMYFUNCTION("""COMPUTED_VALUE"""),"New")</f>
        <v>New</v>
      </c>
      <c r="F2210" s="72">
        <v>74</v>
      </c>
      <c r="G2210" s="72">
        <v>41929</v>
      </c>
      <c r="H2210" s="27" t="s">
        <v>5859</v>
      </c>
      <c r="I2210" s="27" t="s">
        <v>5860</v>
      </c>
      <c r="K2210" s="27" t="s">
        <v>3772</v>
      </c>
      <c r="L2210" s="112"/>
      <c r="M2210" s="27" t="s">
        <v>3117</v>
      </c>
      <c r="N2210" s="48">
        <v>46049</v>
      </c>
      <c r="O2210" s="70">
        <v>46090</v>
      </c>
      <c r="P2210" s="26"/>
    </row>
    <row r="2211" spans="1:16" ht="14.5">
      <c r="A2211" s="3" t="s">
        <v>38</v>
      </c>
      <c r="B2211" s="27" t="s">
        <v>2824</v>
      </c>
      <c r="C2211" s="49" t="s">
        <v>5861</v>
      </c>
      <c r="D2211" s="41" t="str">
        <f ca="1">IFERROR(__xludf.DUMMYFUNCTION("IFERROR(ARRAYFORMULA(REGEXEXTRACT(C2211,""^(?:https?:\/\/)?(?:[^@\n]+@)?(?:www\.)?([^:\/\n]+)"")),"""")"),"kyma.com")</f>
        <v>kyma.com</v>
      </c>
      <c r="E2211" s="26" t="str">
        <f ca="1">IFERROR(__xludf.DUMMYFUNCTION("""COMPUTED_VALUE"""),"New")</f>
        <v>New</v>
      </c>
      <c r="F2211" s="72">
        <v>62</v>
      </c>
      <c r="G2211" s="72">
        <v>8165</v>
      </c>
      <c r="H2211" s="27" t="s">
        <v>5862</v>
      </c>
      <c r="I2211" s="27" t="s">
        <v>5863</v>
      </c>
      <c r="K2211" s="27" t="s">
        <v>3772</v>
      </c>
      <c r="L2211" s="112"/>
      <c r="M2211" s="27" t="s">
        <v>3117</v>
      </c>
      <c r="N2211" s="48">
        <v>46049</v>
      </c>
      <c r="O2211" s="70">
        <v>46090</v>
      </c>
      <c r="P2211" s="26"/>
    </row>
    <row r="2212" spans="1:16" ht="14.5">
      <c r="A2212" s="3" t="s">
        <v>38</v>
      </c>
      <c r="B2212" s="27" t="s">
        <v>2824</v>
      </c>
      <c r="C2212" s="49" t="s">
        <v>5864</v>
      </c>
      <c r="D2212" s="41" t="str">
        <f ca="1">IFERROR(__xludf.DUMMYFUNCTION("IFERROR(ARRAYFORMULA(REGEXEXTRACT(C2212,""^(?:https?:\/\/)?(?:[^@\n]+@)?(?:www\.)?([^:\/\n]+)"")),"""")"),"wealthandfinance.digital")</f>
        <v>wealthandfinance.digital</v>
      </c>
      <c r="E2212" s="26" t="str">
        <f ca="1">IFERROR(__xludf.DUMMYFUNCTION("""COMPUTED_VALUE"""),"New")</f>
        <v>New</v>
      </c>
      <c r="F2212" s="72">
        <v>67</v>
      </c>
      <c r="G2212" s="72">
        <v>1123</v>
      </c>
      <c r="J2212" s="27" t="s">
        <v>5865</v>
      </c>
      <c r="K2212" s="27" t="s">
        <v>3829</v>
      </c>
      <c r="L2212" s="112"/>
      <c r="M2212" s="27" t="s">
        <v>3117</v>
      </c>
      <c r="N2212" s="48">
        <v>46049</v>
      </c>
      <c r="O2212" s="70">
        <v>46090</v>
      </c>
      <c r="P2212" s="26"/>
    </row>
    <row r="2213" spans="1:16" ht="14.5">
      <c r="A2213" s="3" t="s">
        <v>38</v>
      </c>
      <c r="B2213" s="27" t="s">
        <v>2824</v>
      </c>
      <c r="C2213" s="46" t="s">
        <v>5866</v>
      </c>
      <c r="D2213" s="41" t="str">
        <f ca="1">IFERROR(__xludf.DUMMYFUNCTION("IFERROR(ARRAYFORMULA(REGEXEXTRACT(C2213,""^(?:https?:\/\/)?(?:[^@\n]+@)?(?:www\.)?([^:\/\n]+)"")),"""")"),"elevate.iit.edu")</f>
        <v>elevate.iit.edu</v>
      </c>
      <c r="E2213" s="26" t="str">
        <f ca="1">IFERROR(__xludf.DUMMYFUNCTION("""COMPUTED_VALUE"""),"New")</f>
        <v>New</v>
      </c>
      <c r="F2213" s="72">
        <v>81</v>
      </c>
      <c r="G2213" s="72">
        <v>71647</v>
      </c>
      <c r="P2213" s="26"/>
    </row>
    <row r="2214" spans="1:16" ht="14.5">
      <c r="A2214" s="3" t="s">
        <v>38</v>
      </c>
      <c r="B2214" s="27" t="s">
        <v>2824</v>
      </c>
      <c r="C2214" s="46" t="s">
        <v>5867</v>
      </c>
      <c r="D2214" s="41" t="str">
        <f ca="1">IFERROR(__xludf.DUMMYFUNCTION("IFERROR(ARRAYFORMULA(REGEXEXTRACT(C2214,""^(?:https?:\/\/)?(?:[^@\n]+@)?(?:www\.)?([^:\/\n]+)"")),"""")"),"womeninbalance.org")</f>
        <v>womeninbalance.org</v>
      </c>
      <c r="E2214" s="26" t="str">
        <f ca="1">IFERROR(__xludf.DUMMYFUNCTION("""COMPUTED_VALUE"""),"New")</f>
        <v>New</v>
      </c>
      <c r="F2214" s="72">
        <v>52</v>
      </c>
      <c r="G2214" s="72">
        <v>25657</v>
      </c>
      <c r="P2214" s="26"/>
    </row>
    <row r="2215" spans="1:16" ht="14.5" hidden="1">
      <c r="A2215" s="3" t="s">
        <v>38</v>
      </c>
      <c r="B2215" s="27" t="s">
        <v>2824</v>
      </c>
      <c r="C2215" s="46" t="s">
        <v>5868</v>
      </c>
      <c r="D2215" s="41" t="str">
        <f ca="1">IFERROR(__xludf.DUMMYFUNCTION("IFERROR(ARRAYFORMULA(REGEXEXTRACT(C2215,""^(?:https?:\/\/)?(?:[^@\n]+@)?(?:www\.)?([^:\/\n]+)"")),"""")"),"techysumo.com")</f>
        <v>techysumo.com</v>
      </c>
      <c r="E2215" s="26" t="str">
        <f ca="1">IFERROR(__xludf.DUMMYFUNCTION("""COMPUTED_VALUE"""),"Already Exists")</f>
        <v>Already Exists</v>
      </c>
      <c r="F2215" s="72">
        <v>40</v>
      </c>
      <c r="G2215" s="72">
        <v>39414</v>
      </c>
      <c r="P2215" s="26"/>
    </row>
    <row r="2216" spans="1:16" ht="14.5">
      <c r="A2216" s="3" t="s">
        <v>38</v>
      </c>
      <c r="B2216" s="27" t="s">
        <v>2824</v>
      </c>
      <c r="C2216" s="46" t="s">
        <v>5869</v>
      </c>
      <c r="D2216" s="41" t="str">
        <f ca="1">IFERROR(__xludf.DUMMYFUNCTION("IFERROR(ARRAYFORMULA(REGEXEXTRACT(C2216,""^(?:https?:\/\/)?(?:[^@\n]+@)?(?:www\.)?([^:\/\n]+)"")),"""")"),"saas-space.com")</f>
        <v>saas-space.com</v>
      </c>
      <c r="E2216" s="26" t="str">
        <f ca="1">IFERROR(__xludf.DUMMYFUNCTION("""COMPUTED_VALUE"""),"New")</f>
        <v>New</v>
      </c>
      <c r="F2216" s="72">
        <v>55</v>
      </c>
      <c r="G2216" s="72">
        <v>2152</v>
      </c>
      <c r="P2216" s="26"/>
    </row>
    <row r="2217" spans="1:16" ht="14.5">
      <c r="A2217" s="3" t="s">
        <v>38</v>
      </c>
      <c r="B2217" s="27" t="s">
        <v>2824</v>
      </c>
      <c r="C2217" s="46" t="s">
        <v>5870</v>
      </c>
      <c r="D2217" s="41" t="str">
        <f ca="1">IFERROR(__xludf.DUMMYFUNCTION("IFERROR(ARRAYFORMULA(REGEXEXTRACT(C2217,""^(?:https?:\/\/)?(?:[^@\n]+@)?(?:www\.)?([^:\/\n]+)"")),"""")"),"housecallpro.com")</f>
        <v>housecallpro.com</v>
      </c>
      <c r="E2217" s="26" t="str">
        <f ca="1">IFERROR(__xludf.DUMMYFUNCTION("""COMPUTED_VALUE"""),"New")</f>
        <v>New</v>
      </c>
      <c r="F2217" s="72">
        <v>88</v>
      </c>
      <c r="G2217" s="72">
        <v>147570</v>
      </c>
      <c r="P2217" s="26"/>
    </row>
    <row r="2218" spans="1:16" ht="14.5">
      <c r="A2218" s="3" t="s">
        <v>38</v>
      </c>
      <c r="B2218" s="27" t="s">
        <v>2824</v>
      </c>
      <c r="C2218" s="46" t="s">
        <v>5871</v>
      </c>
      <c r="D2218" s="41" t="str">
        <f ca="1">IFERROR(__xludf.DUMMYFUNCTION("IFERROR(ARRAYFORMULA(REGEXEXTRACT(C2218,""^(?:https?:\/\/)?(?:[^@\n]+@)?(?:www\.)?([^:\/\n]+)"")),"""")"),"lensa.com")</f>
        <v>lensa.com</v>
      </c>
      <c r="E2218" s="26" t="str">
        <f ca="1">IFERROR(__xludf.DUMMYFUNCTION("""COMPUTED_VALUE"""),"New")</f>
        <v>New</v>
      </c>
      <c r="F2218" s="72">
        <v>72</v>
      </c>
      <c r="G2218" s="72">
        <v>28860</v>
      </c>
      <c r="P2218" s="26"/>
    </row>
    <row r="2219" spans="1:16" ht="14.5">
      <c r="A2219" s="3" t="s">
        <v>38</v>
      </c>
      <c r="B2219" s="27" t="s">
        <v>2824</v>
      </c>
      <c r="C2219" s="46" t="s">
        <v>5872</v>
      </c>
      <c r="D2219" s="41" t="str">
        <f ca="1">IFERROR(__xludf.DUMMYFUNCTION("IFERROR(ARRAYFORMULA(REGEXEXTRACT(C2219,""^(?:https?:\/\/)?(?:[^@\n]+@)?(?:www\.)?([^:\/\n]+)"")),"""")"),"hevodata.com")</f>
        <v>hevodata.com</v>
      </c>
      <c r="E2219" s="26" t="str">
        <f ca="1">IFERROR(__xludf.DUMMYFUNCTION("""COMPUTED_VALUE"""),"New")</f>
        <v>New</v>
      </c>
      <c r="F2219" s="72">
        <v>76</v>
      </c>
      <c r="G2219" s="72">
        <v>66467</v>
      </c>
      <c r="P2219" s="26"/>
    </row>
    <row r="2220" spans="1:16" ht="14.5">
      <c r="A2220" s="3" t="s">
        <v>38</v>
      </c>
      <c r="B2220" s="27" t="s">
        <v>2824</v>
      </c>
      <c r="C2220" s="46" t="s">
        <v>5873</v>
      </c>
      <c r="D2220" s="41" t="str">
        <f ca="1">IFERROR(__xludf.DUMMYFUNCTION("IFERROR(ARRAYFORMULA(REGEXEXTRACT(C2220,""^(?:https?:\/\/)?(?:[^@\n]+@)?(?:www\.)?([^:\/\n]+)"")),"""")"),"itsupplychain.com")</f>
        <v>itsupplychain.com</v>
      </c>
      <c r="E2220" s="26" t="str">
        <f ca="1">IFERROR(__xludf.DUMMYFUNCTION("""COMPUTED_VALUE"""),"New")</f>
        <v>New</v>
      </c>
      <c r="F2220" s="72">
        <v>62</v>
      </c>
      <c r="G2220" s="72">
        <v>12149</v>
      </c>
      <c r="P2220" s="26"/>
    </row>
    <row r="2221" spans="1:16" ht="14.5">
      <c r="A2221" s="3" t="s">
        <v>38</v>
      </c>
      <c r="B2221" s="27" t="s">
        <v>2824</v>
      </c>
      <c r="C2221" s="46" t="s">
        <v>5874</v>
      </c>
      <c r="D2221" s="41" t="str">
        <f ca="1">IFERROR(__xludf.DUMMYFUNCTION("IFERROR(ARRAYFORMULA(REGEXEXTRACT(C2221,""^(?:https?:\/\/)?(?:[^@\n]+@)?(?:www\.)?([^:\/\n]+)"")),"""")"),"techwyse.com")</f>
        <v>techwyse.com</v>
      </c>
      <c r="E2221" s="26" t="str">
        <f ca="1">IFERROR(__xludf.DUMMYFUNCTION("""COMPUTED_VALUE"""),"New")</f>
        <v>New</v>
      </c>
      <c r="F2221" s="72">
        <v>71</v>
      </c>
      <c r="G2221" s="72">
        <v>9642</v>
      </c>
      <c r="P2221" s="26"/>
    </row>
    <row r="2222" spans="1:16" ht="14.5">
      <c r="A2222" s="3" t="s">
        <v>38</v>
      </c>
      <c r="B2222" s="27" t="s">
        <v>2824</v>
      </c>
      <c r="C2222" s="46" t="s">
        <v>5875</v>
      </c>
      <c r="D2222" s="41" t="str">
        <f ca="1">IFERROR(__xludf.DUMMYFUNCTION("IFERROR(ARRAYFORMULA(REGEXEXTRACT(C2222,""^(?:https?:\/\/)?(?:[^@\n]+@)?(?:www\.)?([^:\/\n]+)"")),"""")"),"depositfix.com")</f>
        <v>depositfix.com</v>
      </c>
      <c r="E2222" s="26" t="str">
        <f ca="1">IFERROR(__xludf.DUMMYFUNCTION("""COMPUTED_VALUE"""),"New")</f>
        <v>New</v>
      </c>
      <c r="F2222" s="72">
        <v>60</v>
      </c>
      <c r="G2222" s="72">
        <v>6975</v>
      </c>
      <c r="P2222" s="26"/>
    </row>
    <row r="2223" spans="1:16" ht="14.5">
      <c r="A2223" s="3" t="s">
        <v>38</v>
      </c>
      <c r="B2223" s="27" t="s">
        <v>2824</v>
      </c>
      <c r="C2223" s="46" t="s">
        <v>5876</v>
      </c>
      <c r="D2223" s="41" t="str">
        <f ca="1">IFERROR(__xludf.DUMMYFUNCTION("IFERROR(ARRAYFORMULA(REGEXEXTRACT(C2223,""^(?:https?:\/\/)?(?:[^@\n]+@)?(?:www\.)?([^:\/\n]+)"")),"""")"),"ncjustice.org")</f>
        <v>ncjustice.org</v>
      </c>
      <c r="E2223" s="26" t="str">
        <f ca="1">IFERROR(__xludf.DUMMYFUNCTION("""COMPUTED_VALUE"""),"New")</f>
        <v>New</v>
      </c>
      <c r="F2223" s="72">
        <v>64</v>
      </c>
      <c r="G2223" s="72">
        <v>4469</v>
      </c>
      <c r="P2223" s="26"/>
    </row>
    <row r="2224" spans="1:16" ht="14.5">
      <c r="A2224" s="3" t="s">
        <v>38</v>
      </c>
      <c r="B2224" s="27" t="s">
        <v>2824</v>
      </c>
      <c r="C2224" s="46" t="s">
        <v>5877</v>
      </c>
      <c r="D2224" s="41" t="str">
        <f ca="1">IFERROR(__xludf.DUMMYFUNCTION("IFERROR(ARRAYFORMULA(REGEXEXTRACT(C2224,""^(?:https?:\/\/)?(?:[^@\n]+@)?(?:www\.)?([^:\/\n]+)"")),"""")"),"kidsonthecoast.com.au")</f>
        <v>kidsonthecoast.com.au</v>
      </c>
      <c r="E2224" s="26" t="str">
        <f ca="1">IFERROR(__xludf.DUMMYFUNCTION("""COMPUTED_VALUE"""),"New")</f>
        <v>New</v>
      </c>
      <c r="F2224" s="72">
        <v>36</v>
      </c>
      <c r="G2224" s="72">
        <v>8031</v>
      </c>
      <c r="P2224" s="26"/>
    </row>
    <row r="2225" spans="1:16" ht="14.5" hidden="1">
      <c r="A2225" s="3" t="s">
        <v>38</v>
      </c>
      <c r="B2225" s="27" t="s">
        <v>2824</v>
      </c>
      <c r="C2225" s="46" t="s">
        <v>5878</v>
      </c>
      <c r="D2225" s="41" t="str">
        <f ca="1">IFERROR(__xludf.DUMMYFUNCTION("IFERROR(ARRAYFORMULA(REGEXEXTRACT(C2225,""^(?:https?:\/\/)?(?:[^@\n]+@)?(?:www\.)?([^:\/\n]+)"")),"""")"),"polkadotpassport.com")</f>
        <v>polkadotpassport.com</v>
      </c>
      <c r="E2225" s="26" t="str">
        <f ca="1">IFERROR(__xludf.DUMMYFUNCTION("""COMPUTED_VALUE"""),"Already Exists")</f>
        <v>Already Exists</v>
      </c>
      <c r="F2225" s="72">
        <v>38</v>
      </c>
      <c r="G2225" s="72">
        <v>5431</v>
      </c>
      <c r="P2225" s="26"/>
    </row>
    <row r="2226" spans="1:16" ht="14.5" hidden="1">
      <c r="A2226" s="3" t="s">
        <v>38</v>
      </c>
      <c r="B2226" s="27" t="s">
        <v>2824</v>
      </c>
      <c r="C2226" s="46" t="s">
        <v>5879</v>
      </c>
      <c r="D2226" s="41" t="str">
        <f ca="1">IFERROR(__xludf.DUMMYFUNCTION("IFERROR(ARRAYFORMULA(REGEXEXTRACT(C2226,""^(?:https?:\/\/)?(?:[^@\n]+@)?(?:www\.)?([^:\/\n]+)"")),"""")"),"theworldonmynecklace.com")</f>
        <v>theworldonmynecklace.com</v>
      </c>
      <c r="E2226" s="26" t="str">
        <f ca="1">IFERROR(__xludf.DUMMYFUNCTION("""COMPUTED_VALUE"""),"Already Exists")</f>
        <v>Already Exists</v>
      </c>
      <c r="F2226" s="72">
        <v>32</v>
      </c>
      <c r="G2226" s="72">
        <v>20018</v>
      </c>
      <c r="P2226" s="26"/>
    </row>
    <row r="2227" spans="1:16" ht="14.5">
      <c r="A2227" s="3" t="s">
        <v>38</v>
      </c>
      <c r="B2227" s="27" t="s">
        <v>2824</v>
      </c>
      <c r="C2227" s="46" t="s">
        <v>5880</v>
      </c>
      <c r="D2227" s="41" t="str">
        <f ca="1">IFERROR(__xludf.DUMMYFUNCTION("IFERROR(ARRAYFORMULA(REGEXEXTRACT(C2227,""^(?:https?:\/\/)?(?:[^@\n]+@)?(?:www\.)?([^:\/\n]+)"")),"""")"),"strategydriven.com")</f>
        <v>strategydriven.com</v>
      </c>
      <c r="E2227" s="26" t="str">
        <f ca="1">IFERROR(__xludf.DUMMYFUNCTION("""COMPUTED_VALUE"""),"New")</f>
        <v>New</v>
      </c>
      <c r="F2227" s="72">
        <v>44</v>
      </c>
      <c r="G2227" s="72">
        <v>1048</v>
      </c>
      <c r="P2227" s="26"/>
    </row>
    <row r="2228" spans="1:16" ht="14.5">
      <c r="A2228" s="3" t="s">
        <v>38</v>
      </c>
      <c r="B2228" s="27" t="s">
        <v>2824</v>
      </c>
      <c r="C2228" s="46" t="s">
        <v>5881</v>
      </c>
      <c r="D2228" s="41" t="str">
        <f ca="1">IFERROR(__xludf.DUMMYFUNCTION("IFERROR(ARRAYFORMULA(REGEXEXTRACT(C2228,""^(?:https?:\/\/)?(?:[^@\n]+@)?(?:www\.)?([^:\/\n]+)"")),"""")"),"opportunitydesk.org")</f>
        <v>opportunitydesk.org</v>
      </c>
      <c r="E2228" s="26" t="str">
        <f ca="1">IFERROR(__xludf.DUMMYFUNCTION("""COMPUTED_VALUE"""),"New")</f>
        <v>New</v>
      </c>
      <c r="F2228" s="72">
        <v>58</v>
      </c>
      <c r="G2228" s="72">
        <v>2185</v>
      </c>
      <c r="P2228" s="26"/>
    </row>
    <row r="2229" spans="1:16" ht="14.5">
      <c r="A2229" s="3" t="s">
        <v>38</v>
      </c>
      <c r="B2229" s="27" t="s">
        <v>2824</v>
      </c>
      <c r="C2229" s="46" t="s">
        <v>5882</v>
      </c>
      <c r="D2229" s="41" t="str">
        <f ca="1">IFERROR(__xludf.DUMMYFUNCTION("IFERROR(ARRAYFORMULA(REGEXEXTRACT(C2229,""^(?:https?:\/\/)?(?:[^@\n]+@)?(?:www\.)?([^:\/\n]+)"")),"""")"),"recruitcrm.io")</f>
        <v>recruitcrm.io</v>
      </c>
      <c r="E2229" s="26" t="str">
        <f ca="1">IFERROR(__xludf.DUMMYFUNCTION("""COMPUTED_VALUE"""),"New")</f>
        <v>New</v>
      </c>
      <c r="F2229" s="72">
        <v>80</v>
      </c>
      <c r="G2229" s="72">
        <v>30214</v>
      </c>
      <c r="P2229" s="26"/>
    </row>
    <row r="2230" spans="1:16" ht="14.5">
      <c r="A2230" s="3" t="s">
        <v>38</v>
      </c>
      <c r="B2230" s="27" t="s">
        <v>2824</v>
      </c>
      <c r="C2230" s="46" t="s">
        <v>5883</v>
      </c>
      <c r="D2230" s="41" t="str">
        <f ca="1">IFERROR(__xludf.DUMMYFUNCTION("IFERROR(ARRAYFORMULA(REGEXEXTRACT(C2230,""^(?:https?:\/\/)?(?:[^@\n]+@)?(?:www\.)?([^:\/\n]+)"")),"""")"),"the-entourage.com")</f>
        <v>the-entourage.com</v>
      </c>
      <c r="E2230" s="26" t="str">
        <f ca="1">IFERROR(__xludf.DUMMYFUNCTION("""COMPUTED_VALUE"""),"New")</f>
        <v>New</v>
      </c>
      <c r="F2230" s="72">
        <v>48</v>
      </c>
      <c r="G2230" s="72">
        <v>2372</v>
      </c>
      <c r="P2230" s="26"/>
    </row>
    <row r="2231" spans="1:16" ht="14.5">
      <c r="A2231" s="3" t="s">
        <v>38</v>
      </c>
      <c r="B2231" s="27" t="s">
        <v>2824</v>
      </c>
      <c r="C2231" s="46" t="s">
        <v>5884</v>
      </c>
      <c r="D2231" s="41" t="str">
        <f ca="1">IFERROR(__xludf.DUMMYFUNCTION("IFERROR(ARRAYFORMULA(REGEXEXTRACT(C2231,""^(?:https?:\/\/)?(?:[^@\n]+@)?(?:www\.)?([^:\/\n]+)"")),"""")"),"responsiblepetbreeders.com.au")</f>
        <v>responsiblepetbreeders.com.au</v>
      </c>
      <c r="E2231" s="26" t="str">
        <f ca="1">IFERROR(__xludf.DUMMYFUNCTION("""COMPUTED_VALUE"""),"New")</f>
        <v>New</v>
      </c>
      <c r="F2231" s="72">
        <v>56</v>
      </c>
      <c r="G2231" s="72">
        <v>8145</v>
      </c>
      <c r="P2231" s="26"/>
    </row>
    <row r="2232" spans="1:16" ht="14.5">
      <c r="A2232" s="3" t="s">
        <v>38</v>
      </c>
      <c r="B2232" s="27" t="s">
        <v>2824</v>
      </c>
      <c r="C2232" s="46" t="s">
        <v>5885</v>
      </c>
      <c r="D2232" s="41" t="str">
        <f ca="1">IFERROR(__xludf.DUMMYFUNCTION("IFERROR(ARRAYFORMULA(REGEXEXTRACT(C2232,""^(?:https?:\/\/)?(?:[^@\n]+@)?(?:www\.)?([^:\/\n]+)"")),"""")"),"legendsofamerica.com")</f>
        <v>legendsofamerica.com</v>
      </c>
      <c r="E2232" s="26" t="str">
        <f ca="1">IFERROR(__xludf.DUMMYFUNCTION("""COMPUTED_VALUE"""),"New")</f>
        <v>New</v>
      </c>
      <c r="F2232" s="72">
        <v>73</v>
      </c>
      <c r="G2232" s="72">
        <v>33648</v>
      </c>
      <c r="P2232" s="26"/>
    </row>
    <row r="2233" spans="1:16" ht="14.5" hidden="1">
      <c r="A2233" s="3" t="s">
        <v>38</v>
      </c>
      <c r="B2233" s="27" t="s">
        <v>2824</v>
      </c>
      <c r="C2233" s="46" t="s">
        <v>5886</v>
      </c>
      <c r="D2233" s="41" t="str">
        <f ca="1">IFERROR(__xludf.DUMMYFUNCTION("IFERROR(ARRAYFORMULA(REGEXEXTRACT(C2233,""^(?:https?:\/\/)?(?:[^@\n]+@)?(?:www\.)?([^:\/\n]+)"")),"""")"),"lifegag.com")</f>
        <v>lifegag.com</v>
      </c>
      <c r="E2233" s="26" t="str">
        <f ca="1">IFERROR(__xludf.DUMMYFUNCTION("""COMPUTED_VALUE"""),"Already Exists")</f>
        <v>Already Exists</v>
      </c>
      <c r="F2233" s="72">
        <v>36</v>
      </c>
      <c r="G2233" s="72">
        <v>1276</v>
      </c>
      <c r="P2233" s="26"/>
    </row>
    <row r="2234" spans="1:16" ht="14.5">
      <c r="A2234" s="3" t="s">
        <v>38</v>
      </c>
      <c r="B2234" s="27" t="s">
        <v>2824</v>
      </c>
      <c r="C2234" s="46" t="s">
        <v>5887</v>
      </c>
      <c r="D2234" s="41" t="str">
        <f ca="1">IFERROR(__xludf.DUMMYFUNCTION("IFERROR(ARRAYFORMULA(REGEXEXTRACT(C2234,""^(?:https?:\/\/)?(?:[^@\n]+@)?(?:www\.)?([^:\/\n]+)"")),"""")"),"safesearchkids.com")</f>
        <v>safesearchkids.com</v>
      </c>
      <c r="E2234" s="26" t="str">
        <f ca="1">IFERROR(__xludf.DUMMYFUNCTION("""COMPUTED_VALUE"""),"New")</f>
        <v>New</v>
      </c>
      <c r="F2234" s="72">
        <v>70</v>
      </c>
      <c r="G2234" s="72">
        <v>11786</v>
      </c>
      <c r="P2234" s="26"/>
    </row>
    <row r="2235" spans="1:16" ht="14.5">
      <c r="A2235" s="3" t="s">
        <v>38</v>
      </c>
      <c r="B2235" s="27" t="s">
        <v>2824</v>
      </c>
      <c r="C2235" s="46" t="s">
        <v>5888</v>
      </c>
      <c r="D2235" s="41" t="str">
        <f ca="1">IFERROR(__xludf.DUMMYFUNCTION("IFERROR(ARRAYFORMULA(REGEXEXTRACT(C2235,""^(?:https?:\/\/)?(?:[^@\n]+@)?(?:www\.)?([^:\/\n]+)"")),"""")"),"blog.designcrowd.es")</f>
        <v>blog.designcrowd.es</v>
      </c>
      <c r="E2235" s="26" t="str">
        <f ca="1">IFERROR(__xludf.DUMMYFUNCTION("""COMPUTED_VALUE"""),"New")</f>
        <v>New</v>
      </c>
      <c r="F2235" s="72">
        <v>23</v>
      </c>
      <c r="G2235" s="72">
        <v>7673</v>
      </c>
      <c r="P2235" s="26"/>
    </row>
    <row r="2236" spans="1:16" ht="14.5">
      <c r="A2236" s="3" t="s">
        <v>38</v>
      </c>
      <c r="B2236" s="27" t="s">
        <v>2824</v>
      </c>
      <c r="C2236" s="46" t="s">
        <v>5889</v>
      </c>
      <c r="D2236" s="41" t="str">
        <f ca="1">IFERROR(__xludf.DUMMYFUNCTION("IFERROR(ARRAYFORMULA(REGEXEXTRACT(C2236,""^(?:https?:\/\/)?(?:[^@\n]+@)?(?:www\.)?([^:\/\n]+)"")),"""")"),"filtergrade.com")</f>
        <v>filtergrade.com</v>
      </c>
      <c r="E2236" s="26" t="str">
        <f ca="1">IFERROR(__xludf.DUMMYFUNCTION("""COMPUTED_VALUE"""),"New")</f>
        <v>New</v>
      </c>
      <c r="F2236" s="72">
        <v>67</v>
      </c>
      <c r="G2236" s="72">
        <v>13378</v>
      </c>
      <c r="P2236" s="26"/>
    </row>
    <row r="2237" spans="1:16" ht="14.5">
      <c r="A2237" s="3" t="s">
        <v>38</v>
      </c>
      <c r="B2237" s="27" t="s">
        <v>2824</v>
      </c>
      <c r="C2237" s="46" t="s">
        <v>5890</v>
      </c>
      <c r="D2237" s="41" t="str">
        <f ca="1">IFERROR(__xludf.DUMMYFUNCTION("IFERROR(ARRAYFORMULA(REGEXEXTRACT(C2237,""^(?:https?:\/\/)?(?:[^@\n]+@)?(?:www\.)?([^:\/\n]+)"")),"""")"),"themanual.com")</f>
        <v>themanual.com</v>
      </c>
      <c r="E2237" s="26" t="str">
        <f ca="1">IFERROR(__xludf.DUMMYFUNCTION("""COMPUTED_VALUE"""),"New")</f>
        <v>New</v>
      </c>
      <c r="F2237" s="72">
        <v>77</v>
      </c>
      <c r="G2237" s="72">
        <v>39909</v>
      </c>
      <c r="P2237" s="26"/>
    </row>
    <row r="2238" spans="1:16" ht="14.5">
      <c r="A2238" s="3" t="s">
        <v>38</v>
      </c>
      <c r="B2238" s="27" t="s">
        <v>2824</v>
      </c>
      <c r="C2238" s="46" t="s">
        <v>5891</v>
      </c>
      <c r="D2238" s="41" t="str">
        <f ca="1">IFERROR(__xludf.DUMMYFUNCTION("IFERROR(ARRAYFORMULA(REGEXEXTRACT(C2238,""^(?:https?:\/\/)?(?:[^@\n]+@)?(?:www\.)?([^:\/\n]+)"")),"""")"),"easternsuburbsmums.com.au")</f>
        <v>easternsuburbsmums.com.au</v>
      </c>
      <c r="E2238" s="26" t="str">
        <f ca="1">IFERROR(__xludf.DUMMYFUNCTION("""COMPUTED_VALUE"""),"New")</f>
        <v>New</v>
      </c>
      <c r="F2238" s="72">
        <v>43</v>
      </c>
      <c r="G2238" s="72">
        <v>1778</v>
      </c>
      <c r="P2238" s="26"/>
    </row>
    <row r="2239" spans="1:16" ht="14.5">
      <c r="A2239" s="3" t="s">
        <v>38</v>
      </c>
      <c r="B2239" s="27" t="s">
        <v>2824</v>
      </c>
      <c r="C2239" s="46" t="s">
        <v>5892</v>
      </c>
      <c r="D2239" s="41" t="str">
        <f ca="1">IFERROR(__xludf.DUMMYFUNCTION("IFERROR(ARRAYFORMULA(REGEXEXTRACT(C2239,""^(?:https?:\/\/)?(?:[^@\n]+@)?(?:www\.)?([^:\/\n]+)"")),"""")"),"hollywoodlife.com")</f>
        <v>hollywoodlife.com</v>
      </c>
      <c r="E2239" s="26" t="str">
        <f ca="1">IFERROR(__xludf.DUMMYFUNCTION("""COMPUTED_VALUE"""),"New")</f>
        <v>New</v>
      </c>
      <c r="F2239" s="72">
        <v>78</v>
      </c>
      <c r="G2239" s="72">
        <v>283931</v>
      </c>
      <c r="P2239" s="26"/>
    </row>
    <row r="2240" spans="1:16" ht="14.5">
      <c r="A2240" s="3" t="s">
        <v>38</v>
      </c>
      <c r="B2240" s="27" t="s">
        <v>2824</v>
      </c>
      <c r="C2240" s="46" t="s">
        <v>5893</v>
      </c>
      <c r="D2240" s="41" t="str">
        <f ca="1">IFERROR(__xludf.DUMMYFUNCTION("IFERROR(ARRAYFORMULA(REGEXEXTRACT(C2240,""^(?:https?:\/\/)?(?:[^@\n]+@)?(?:www\.)?([^:\/\n]+)"")),"""")"),"classicinformatics.com")</f>
        <v>classicinformatics.com</v>
      </c>
      <c r="E2240" s="26" t="str">
        <f ca="1">IFERROR(__xludf.DUMMYFUNCTION("""COMPUTED_VALUE"""),"New")</f>
        <v>New</v>
      </c>
      <c r="F2240" s="72">
        <v>66</v>
      </c>
      <c r="G2240" s="72">
        <v>3375</v>
      </c>
      <c r="P2240" s="26"/>
    </row>
    <row r="2241" spans="1:16" ht="14.5">
      <c r="A2241" s="3" t="s">
        <v>38</v>
      </c>
      <c r="B2241" s="27" t="s">
        <v>2824</v>
      </c>
      <c r="C2241" s="46" t="s">
        <v>5894</v>
      </c>
      <c r="D2241" s="41" t="str">
        <f ca="1">IFERROR(__xludf.DUMMYFUNCTION("IFERROR(ARRAYFORMULA(REGEXEXTRACT(C2241,""^(?:https?:\/\/)?(?:[^@\n]+@)?(?:www\.)?([^:\/\n]+)"")),"""")"),"bestforbride.com")</f>
        <v>bestforbride.com</v>
      </c>
      <c r="E2241" s="26" t="str">
        <f ca="1">IFERROR(__xludf.DUMMYFUNCTION("""COMPUTED_VALUE"""),"New")</f>
        <v>New</v>
      </c>
      <c r="F2241" s="72">
        <v>55</v>
      </c>
      <c r="G2241" s="72">
        <v>3183</v>
      </c>
      <c r="P2241" s="26"/>
    </row>
    <row r="2242" spans="1:16" ht="14.5">
      <c r="A2242" s="3" t="s">
        <v>38</v>
      </c>
      <c r="B2242" s="27" t="s">
        <v>2824</v>
      </c>
      <c r="C2242" s="46" t="s">
        <v>5895</v>
      </c>
      <c r="D2242" s="41" t="str">
        <f ca="1">IFERROR(__xludf.DUMMYFUNCTION("IFERROR(ARRAYFORMULA(REGEXEXTRACT(C2242,""^(?:https?:\/\/)?(?:[^@\n]+@)?(?:www\.)?([^:\/\n]+)"")),"""")"),"instawp.com")</f>
        <v>instawp.com</v>
      </c>
      <c r="E2242" s="26" t="str">
        <f ca="1">IFERROR(__xludf.DUMMYFUNCTION("""COMPUTED_VALUE"""),"New")</f>
        <v>New</v>
      </c>
      <c r="F2242" s="72">
        <v>78</v>
      </c>
      <c r="G2242" s="72">
        <v>7516</v>
      </c>
      <c r="P2242" s="26"/>
    </row>
    <row r="2243" spans="1:16" ht="14.5">
      <c r="A2243" s="3" t="s">
        <v>38</v>
      </c>
      <c r="B2243" s="27" t="s">
        <v>2824</v>
      </c>
      <c r="C2243" s="46" t="s">
        <v>5896</v>
      </c>
      <c r="D2243" s="41" t="str">
        <f ca="1">IFERROR(__xludf.DUMMYFUNCTION("IFERROR(ARRAYFORMULA(REGEXEXTRACT(C2243,""^(?:https?:\/\/)?(?:[^@\n]+@)?(?:www\.)?([^:\/\n]+)"")),"""")"),"hurak.com")</f>
        <v>hurak.com</v>
      </c>
      <c r="E2243" s="26" t="str">
        <f ca="1">IFERROR(__xludf.DUMMYFUNCTION("""COMPUTED_VALUE"""),"New")</f>
        <v>New</v>
      </c>
      <c r="F2243" s="72">
        <v>48</v>
      </c>
      <c r="G2243" s="72">
        <v>27609</v>
      </c>
      <c r="P2243" s="26"/>
    </row>
    <row r="2244" spans="1:16" ht="14.5">
      <c r="A2244" s="3" t="s">
        <v>38</v>
      </c>
      <c r="B2244" s="27" t="s">
        <v>2824</v>
      </c>
      <c r="C2244" s="46" t="s">
        <v>5897</v>
      </c>
      <c r="D2244" s="41" t="str">
        <f ca="1">IFERROR(__xludf.DUMMYFUNCTION("IFERROR(ARRAYFORMULA(REGEXEXTRACT(C2244,""^(?:https?:\/\/)?(?:[^@\n]+@)?(?:www\.)?([^:\/\n]+)"")),"""")"),"careers.bridgew.edu")</f>
        <v>careers.bridgew.edu</v>
      </c>
      <c r="E2244" s="26" t="str">
        <f ca="1">IFERROR(__xludf.DUMMYFUNCTION("""COMPUTED_VALUE"""),"New")</f>
        <v>New</v>
      </c>
      <c r="F2244" s="72">
        <v>74</v>
      </c>
      <c r="G2244" s="72">
        <v>34068</v>
      </c>
      <c r="P2244" s="26"/>
    </row>
    <row r="2245" spans="1:16" ht="14.5">
      <c r="A2245" s="3" t="s">
        <v>38</v>
      </c>
      <c r="B2245" s="27" t="s">
        <v>2824</v>
      </c>
      <c r="C2245" s="46" t="s">
        <v>5898</v>
      </c>
      <c r="D2245" s="41" t="str">
        <f ca="1">IFERROR(__xludf.DUMMYFUNCTION("IFERROR(ARRAYFORMULA(REGEXEXTRACT(C2245,""^(?:https?:\/\/)?(?:[^@\n]+@)?(?:www\.)?([^:\/\n]+)"")),"""")"),"herald-review.com")</f>
        <v>herald-review.com</v>
      </c>
      <c r="E2245" s="26" t="str">
        <f ca="1">IFERROR(__xludf.DUMMYFUNCTION("""COMPUTED_VALUE"""),"New")</f>
        <v>New</v>
      </c>
      <c r="F2245" s="72">
        <v>70</v>
      </c>
      <c r="G2245" s="72">
        <v>11209</v>
      </c>
      <c r="P2245" s="26"/>
    </row>
    <row r="2246" spans="1:16" ht="14.5">
      <c r="A2246" s="3" t="s">
        <v>38</v>
      </c>
      <c r="B2246" s="27" t="s">
        <v>2824</v>
      </c>
      <c r="C2246" s="46" t="s">
        <v>5899</v>
      </c>
      <c r="D2246" s="41" t="str">
        <f ca="1">IFERROR(__xludf.DUMMYFUNCTION("IFERROR(ARRAYFORMULA(REGEXEXTRACT(C2246,""^(?:https?:\/\/)?(?:[^@\n]+@)?(?:www\.)?([^:\/\n]+)"")),"""")"),"phonexa.com")</f>
        <v>phonexa.com</v>
      </c>
      <c r="E2246" s="26" t="str">
        <f ca="1">IFERROR(__xludf.DUMMYFUNCTION("""COMPUTED_VALUE"""),"New")</f>
        <v>New</v>
      </c>
      <c r="F2246" s="72">
        <v>75</v>
      </c>
      <c r="G2246" s="72">
        <v>7137</v>
      </c>
      <c r="P2246" s="26"/>
    </row>
    <row r="2247" spans="1:16" ht="14.5">
      <c r="A2247" s="3" t="s">
        <v>38</v>
      </c>
      <c r="B2247" s="27" t="s">
        <v>2824</v>
      </c>
      <c r="C2247" s="46" t="s">
        <v>5900</v>
      </c>
      <c r="D2247" s="41" t="str">
        <f ca="1">IFERROR(__xludf.DUMMYFUNCTION("IFERROR(ARRAYFORMULA(REGEXEXTRACT(C2247,""^(?:https?:\/\/)?(?:[^@\n]+@)?(?:www\.)?([^:\/\n]+)"")),"""")"),"trangotech.com")</f>
        <v>trangotech.com</v>
      </c>
      <c r="E2247" s="26" t="str">
        <f ca="1">IFERROR(__xludf.DUMMYFUNCTION("""COMPUTED_VALUE"""),"New")</f>
        <v>New</v>
      </c>
      <c r="F2247" s="72">
        <v>63</v>
      </c>
      <c r="G2247" s="72">
        <v>12063</v>
      </c>
      <c r="P2247" s="26"/>
    </row>
    <row r="2248" spans="1:16" ht="14.5">
      <c r="A2248" s="3" t="s">
        <v>38</v>
      </c>
      <c r="B2248" s="27" t="s">
        <v>2824</v>
      </c>
      <c r="C2248" s="46" t="s">
        <v>5901</v>
      </c>
      <c r="D2248" s="41" t="str">
        <f ca="1">IFERROR(__xludf.DUMMYFUNCTION("IFERROR(ARRAYFORMULA(REGEXEXTRACT(C2248,""^(?:https?:\/\/)?(?:[^@\n]+@)?(?:www\.)?([^:\/\n]+)"")),"""")"),"jploft.com")</f>
        <v>jploft.com</v>
      </c>
      <c r="E2248" s="26" t="str">
        <f ca="1">IFERROR(__xludf.DUMMYFUNCTION("""COMPUTED_VALUE"""),"New")</f>
        <v>New</v>
      </c>
      <c r="F2248" s="72">
        <v>57</v>
      </c>
      <c r="G2248" s="72">
        <v>6917</v>
      </c>
      <c r="P2248" s="26"/>
    </row>
    <row r="2249" spans="1:16" ht="14.5">
      <c r="A2249" s="3" t="s">
        <v>38</v>
      </c>
      <c r="B2249" s="27" t="s">
        <v>2824</v>
      </c>
      <c r="C2249" s="46" t="s">
        <v>5902</v>
      </c>
      <c r="D2249" s="41" t="str">
        <f ca="1">IFERROR(__xludf.DUMMYFUNCTION("IFERROR(ARRAYFORMULA(REGEXEXTRACT(C2249,""^(?:https?:\/\/)?(?:[^@\n]+@)?(?:www\.)?([^:\/\n]+)"")),"""")"),"mycreditsummit.com")</f>
        <v>mycreditsummit.com</v>
      </c>
      <c r="E2249" s="26" t="str">
        <f ca="1">IFERROR(__xludf.DUMMYFUNCTION("""COMPUTED_VALUE"""),"New")</f>
        <v>New</v>
      </c>
      <c r="F2249" s="72">
        <v>70</v>
      </c>
      <c r="G2249" s="72">
        <v>2763</v>
      </c>
      <c r="P2249" s="26"/>
    </row>
    <row r="2250" spans="1:16" ht="14.5">
      <c r="A2250" s="3" t="s">
        <v>38</v>
      </c>
      <c r="B2250" s="27" t="s">
        <v>2824</v>
      </c>
      <c r="C2250" s="46" t="s">
        <v>5903</v>
      </c>
      <c r="D2250" s="41" t="str">
        <f ca="1">IFERROR(__xludf.DUMMYFUNCTION("IFERROR(ARRAYFORMULA(REGEXEXTRACT(C2250,""^(?:https?:\/\/)?(?:[^@\n]+@)?(?:www\.)?([^:\/\n]+)"")),"""")"),"softcircles.com")</f>
        <v>softcircles.com</v>
      </c>
      <c r="E2250" s="26" t="str">
        <f ca="1">IFERROR(__xludf.DUMMYFUNCTION("""COMPUTED_VALUE"""),"New")</f>
        <v>New</v>
      </c>
      <c r="F2250" s="72">
        <v>47</v>
      </c>
      <c r="G2250" s="72">
        <v>11139</v>
      </c>
      <c r="P2250" s="26"/>
    </row>
    <row r="2251" spans="1:16" ht="14.5">
      <c r="A2251" s="3" t="s">
        <v>38</v>
      </c>
      <c r="B2251" s="27" t="s">
        <v>2824</v>
      </c>
      <c r="C2251" s="46" t="s">
        <v>5904</v>
      </c>
      <c r="D2251" s="41" t="str">
        <f ca="1">IFERROR(__xludf.DUMMYFUNCTION("IFERROR(ARRAYFORMULA(REGEXEXTRACT(C2251,""^(?:https?:\/\/)?(?:[^@\n]+@)?(?:www\.)?([^:\/\n]+)"")),"""")"),"beatricedailysun.com")</f>
        <v>beatricedailysun.com</v>
      </c>
      <c r="E2251" s="26" t="str">
        <f ca="1">IFERROR(__xludf.DUMMYFUNCTION("""COMPUTED_VALUE"""),"New")</f>
        <v>New</v>
      </c>
      <c r="F2251" s="72">
        <v>53</v>
      </c>
      <c r="G2251" s="72">
        <v>3216</v>
      </c>
      <c r="P2251" s="26"/>
    </row>
    <row r="2252" spans="1:16" ht="14.5">
      <c r="A2252" s="3" t="s">
        <v>38</v>
      </c>
      <c r="B2252" s="27" t="s">
        <v>2824</v>
      </c>
      <c r="C2252" s="46" t="s">
        <v>5905</v>
      </c>
      <c r="D2252" s="41" t="str">
        <f ca="1">IFERROR(__xludf.DUMMYFUNCTION("IFERROR(ARRAYFORMULA(REGEXEXTRACT(C2252,""^(?:https?:\/\/)?(?:[^@\n]+@)?(?:www\.)?([^:\/\n]+)"")),"""")"),"powerdmarc.com")</f>
        <v>powerdmarc.com</v>
      </c>
      <c r="E2252" s="26" t="str">
        <f ca="1">IFERROR(__xludf.DUMMYFUNCTION("""COMPUTED_VALUE"""),"New")</f>
        <v>New</v>
      </c>
      <c r="F2252" s="72">
        <v>78</v>
      </c>
      <c r="G2252" s="72">
        <v>58644</v>
      </c>
      <c r="P2252" s="26"/>
    </row>
    <row r="2253" spans="1:16" ht="14.5">
      <c r="A2253" s="3" t="s">
        <v>38</v>
      </c>
      <c r="B2253" s="27" t="s">
        <v>2824</v>
      </c>
      <c r="C2253" s="46" t="s">
        <v>5906</v>
      </c>
      <c r="D2253" s="41" t="str">
        <f ca="1">IFERROR(__xludf.DUMMYFUNCTION("IFERROR(ARRAYFORMULA(REGEXEXTRACT(C2253,""^(?:https?:\/\/)?(?:[^@\n]+@)?(?:www\.)?([^:\/\n]+)"")),"""")"),"vbout.com")</f>
        <v>vbout.com</v>
      </c>
      <c r="E2253" s="26" t="str">
        <f ca="1">IFERROR(__xludf.DUMMYFUNCTION("""COMPUTED_VALUE"""),"New")</f>
        <v>New</v>
      </c>
      <c r="F2253" s="72">
        <v>70</v>
      </c>
      <c r="G2253" s="72">
        <v>1397</v>
      </c>
      <c r="P2253" s="26"/>
    </row>
    <row r="2254" spans="1:16" ht="14.5" hidden="1">
      <c r="A2254" s="3" t="s">
        <v>38</v>
      </c>
      <c r="B2254" s="27" t="s">
        <v>2824</v>
      </c>
      <c r="C2254" s="46" t="s">
        <v>5907</v>
      </c>
      <c r="D2254" s="41" t="str">
        <f ca="1">IFERROR(__xludf.DUMMYFUNCTION("IFERROR(ARRAYFORMULA(REGEXEXTRACT(C2254,""^(?:https?:\/\/)?(?:[^@\n]+@)?(?:www\.)?([^:\/\n]+)"")),"""")"),"momooze.com")</f>
        <v>momooze.com</v>
      </c>
      <c r="E2254" s="26" t="str">
        <f ca="1">IFERROR(__xludf.DUMMYFUNCTION("""COMPUTED_VALUE"""),"Already Exists")</f>
        <v>Already Exists</v>
      </c>
      <c r="F2254" s="72">
        <v>49</v>
      </c>
      <c r="G2254" s="72">
        <v>2008</v>
      </c>
      <c r="P2254" s="26"/>
    </row>
    <row r="2255" spans="1:16" ht="14.5">
      <c r="A2255" s="3" t="s">
        <v>38</v>
      </c>
      <c r="B2255" s="27" t="s">
        <v>2824</v>
      </c>
      <c r="C2255" s="46" t="s">
        <v>5908</v>
      </c>
      <c r="D2255" s="41" t="str">
        <f ca="1">IFERROR(__xludf.DUMMYFUNCTION("IFERROR(ARRAYFORMULA(REGEXEXTRACT(C2255,""^(?:https?:\/\/)?(?:[^@\n]+@)?(?:www\.)?([^:\/\n]+)"")),"""")"),"curadebt.com")</f>
        <v>curadebt.com</v>
      </c>
      <c r="E2255" s="26" t="str">
        <f ca="1">IFERROR(__xludf.DUMMYFUNCTION("""COMPUTED_VALUE"""),"New")</f>
        <v>New</v>
      </c>
      <c r="F2255" s="72">
        <v>59</v>
      </c>
      <c r="G2255" s="72">
        <v>7468</v>
      </c>
      <c r="P2255" s="26"/>
    </row>
    <row r="2256" spans="1:16" ht="14.5">
      <c r="A2256" s="3" t="s">
        <v>38</v>
      </c>
      <c r="B2256" s="27" t="s">
        <v>2824</v>
      </c>
      <c r="C2256" s="46" t="s">
        <v>5909</v>
      </c>
      <c r="D2256" s="41" t="str">
        <f ca="1">IFERROR(__xludf.DUMMYFUNCTION("IFERROR(ARRAYFORMULA(REGEXEXTRACT(C2256,""^(?:https?:\/\/)?(?:[^@\n]+@)?(?:www\.)?([^:\/\n]+)"")),"""")"),"claimsbible.com")</f>
        <v>claimsbible.com</v>
      </c>
      <c r="E2256" s="26" t="str">
        <f ca="1">IFERROR(__xludf.DUMMYFUNCTION("""COMPUTED_VALUE"""),"New")</f>
        <v>New</v>
      </c>
      <c r="F2256" s="72">
        <v>28</v>
      </c>
      <c r="G2256" s="72">
        <v>3193</v>
      </c>
      <c r="P2256" s="26"/>
    </row>
    <row r="2257" spans="1:16" ht="14.5">
      <c r="A2257" s="3" t="s">
        <v>38</v>
      </c>
      <c r="B2257" s="27" t="s">
        <v>2824</v>
      </c>
      <c r="C2257" s="49" t="s">
        <v>5910</v>
      </c>
      <c r="D2257" s="41" t="str">
        <f ca="1">IFERROR(__xludf.DUMMYFUNCTION("IFERROR(ARRAYFORMULA(REGEXEXTRACT(C2257,""^(?:https?:\/\/)?(?:[^@\n]+@)?(?:www\.)?([^:\/\n]+)"")),"""")"),"businesscomputingworld.co.uk")</f>
        <v>businesscomputingworld.co.uk</v>
      </c>
      <c r="E2257" s="26" t="str">
        <f ca="1">IFERROR(__xludf.DUMMYFUNCTION("""COMPUTED_VALUE"""),"Already Exists")</f>
        <v>Already Exists</v>
      </c>
      <c r="F2257" s="72">
        <v>61</v>
      </c>
      <c r="G2257" s="72">
        <v>2188</v>
      </c>
      <c r="J2257" s="27" t="s">
        <v>5911</v>
      </c>
      <c r="K2257" s="27" t="s">
        <v>3756</v>
      </c>
      <c r="L2257" s="112"/>
      <c r="M2257" s="27" t="s">
        <v>3117</v>
      </c>
      <c r="N2257" s="48">
        <v>46049</v>
      </c>
      <c r="O2257" s="70">
        <v>46090</v>
      </c>
      <c r="P2257" s="26"/>
    </row>
    <row r="2258" spans="1:16" ht="14.5">
      <c r="A2258" s="3" t="s">
        <v>38</v>
      </c>
      <c r="B2258" s="27" t="s">
        <v>2824</v>
      </c>
      <c r="C2258" s="46" t="s">
        <v>5912</v>
      </c>
      <c r="D2258" s="41" t="str">
        <f ca="1">IFERROR(__xludf.DUMMYFUNCTION("IFERROR(ARRAYFORMULA(REGEXEXTRACT(C2258,""^(?:https?:\/\/)?(?:[^@\n]+@)?(?:www\.)?([^:\/\n]+)"")),"""")"),"knowmax.ai")</f>
        <v>knowmax.ai</v>
      </c>
      <c r="E2258" s="26" t="str">
        <f ca="1">IFERROR(__xludf.DUMMYFUNCTION("""COMPUTED_VALUE"""),"New")</f>
        <v>New</v>
      </c>
      <c r="F2258" s="72">
        <v>67</v>
      </c>
      <c r="G2258" s="72">
        <v>17842</v>
      </c>
      <c r="P2258" s="26"/>
    </row>
    <row r="2259" spans="1:16" ht="14.5">
      <c r="A2259" s="3" t="s">
        <v>38</v>
      </c>
      <c r="B2259" s="27" t="s">
        <v>2824</v>
      </c>
      <c r="C2259" s="46" t="s">
        <v>5913</v>
      </c>
      <c r="D2259" s="41" t="str">
        <f ca="1">IFERROR(__xludf.DUMMYFUNCTION("IFERROR(ARRAYFORMULA(REGEXEXTRACT(C2259,""^(?:https?:\/\/)?(?:[^@\n]+@)?(?:www\.)?([^:\/\n]+)"")),"""")"),"accuweather.com")</f>
        <v>accuweather.com</v>
      </c>
      <c r="E2259" s="26" t="str">
        <f ca="1">IFERROR(__xludf.DUMMYFUNCTION("""COMPUTED_VALUE"""),"New")</f>
        <v>New</v>
      </c>
      <c r="F2259" s="72">
        <v>90</v>
      </c>
      <c r="G2259" s="72">
        <v>75343184</v>
      </c>
      <c r="P2259" s="26"/>
    </row>
    <row r="2260" spans="1:16" ht="14.5">
      <c r="A2260" s="3" t="s">
        <v>38</v>
      </c>
      <c r="B2260" s="27" t="s">
        <v>2824</v>
      </c>
      <c r="C2260" s="46" t="s">
        <v>5914</v>
      </c>
      <c r="D2260" s="41" t="str">
        <f ca="1">IFERROR(__xludf.DUMMYFUNCTION("IFERROR(ARRAYFORMULA(REGEXEXTRACT(C2260,""^(?:https?:\/\/)?(?:[^@\n]+@)?(?:www\.)?([^:\/\n]+)"")),"""")"),"solosuit-staging.herokuapp.com")</f>
        <v>solosuit-staging.herokuapp.com</v>
      </c>
      <c r="E2260" s="26" t="str">
        <f ca="1">IFERROR(__xludf.DUMMYFUNCTION("""COMPUTED_VALUE"""),"New")</f>
        <v>New</v>
      </c>
      <c r="F2260" s="72">
        <v>91</v>
      </c>
      <c r="G2260" s="72">
        <v>524406</v>
      </c>
      <c r="P2260" s="26"/>
    </row>
    <row r="2261" spans="1:16" ht="14.5">
      <c r="A2261" s="3" t="s">
        <v>38</v>
      </c>
      <c r="B2261" s="27" t="s">
        <v>2824</v>
      </c>
      <c r="C2261" s="46" t="s">
        <v>5915</v>
      </c>
      <c r="D2261" s="41" t="str">
        <f ca="1">IFERROR(__xludf.DUMMYFUNCTION("IFERROR(ARRAYFORMULA(REGEXEXTRACT(C2261,""^(?:https?:\/\/)?(?:[^@\n]+@)?(?:www\.)?([^:\/\n]+)"")),"""")"),"tdn.com")</f>
        <v>tdn.com</v>
      </c>
      <c r="E2261" s="26" t="str">
        <f ca="1">IFERROR(__xludf.DUMMYFUNCTION("""COMPUTED_VALUE"""),"New")</f>
        <v>New</v>
      </c>
      <c r="F2261" s="72">
        <v>70</v>
      </c>
      <c r="G2261" s="72">
        <v>4290</v>
      </c>
      <c r="P2261" s="26"/>
    </row>
    <row r="2262" spans="1:16" ht="14.5">
      <c r="A2262" s="3" t="s">
        <v>38</v>
      </c>
      <c r="B2262" s="27" t="s">
        <v>2824</v>
      </c>
      <c r="C2262" s="46" t="s">
        <v>5916</v>
      </c>
      <c r="D2262" s="41" t="str">
        <f ca="1">IFERROR(__xludf.DUMMYFUNCTION("IFERROR(ARRAYFORMULA(REGEXEXTRACT(C2262,""^(?:https?:\/\/)?(?:[^@\n]+@)?(?:www\.)?([^:\/\n]+)"")),"""")"),"fenced.ai")</f>
        <v>fenced.ai</v>
      </c>
      <c r="E2262" s="26" t="str">
        <f ca="1">IFERROR(__xludf.DUMMYFUNCTION("""COMPUTED_VALUE"""),"New")</f>
        <v>New</v>
      </c>
      <c r="F2262" s="72">
        <v>44</v>
      </c>
      <c r="G2262" s="72">
        <v>16222</v>
      </c>
      <c r="P2262" s="26"/>
    </row>
    <row r="2263" spans="1:16" ht="14.5">
      <c r="A2263" s="3" t="s">
        <v>38</v>
      </c>
      <c r="B2263" s="27" t="s">
        <v>2824</v>
      </c>
      <c r="C2263" s="46" t="s">
        <v>5917</v>
      </c>
      <c r="D2263" s="41" t="str">
        <f ca="1">IFERROR(__xludf.DUMMYFUNCTION("IFERROR(ARRAYFORMULA(REGEXEXTRACT(C2263,""^(?:https?:\/\/)?(?:[^@\n]+@)?(?:www\.)?([^:\/\n]+)"")),"""")"),"timelines.ai")</f>
        <v>timelines.ai</v>
      </c>
      <c r="E2263" s="26" t="str">
        <f ca="1">IFERROR(__xludf.DUMMYFUNCTION("""COMPUTED_VALUE"""),"New")</f>
        <v>New</v>
      </c>
      <c r="F2263" s="72">
        <v>69</v>
      </c>
      <c r="G2263" s="72">
        <v>26224</v>
      </c>
      <c r="P2263" s="26"/>
    </row>
    <row r="2264" spans="1:16" ht="14.5">
      <c r="A2264" s="3" t="s">
        <v>38</v>
      </c>
      <c r="B2264" s="27" t="s">
        <v>2824</v>
      </c>
      <c r="C2264" s="46" t="s">
        <v>5918</v>
      </c>
      <c r="D2264" s="41" t="str">
        <f ca="1">IFERROR(__xludf.DUMMYFUNCTION("IFERROR(ARRAYFORMULA(REGEXEXTRACT(C2264,""^(?:https?:\/\/)?(?:[^@\n]+@)?(?:www\.)?([^:\/\n]+)"")),"""")"),"hiringpeople.co.uk")</f>
        <v>hiringpeople.co.uk</v>
      </c>
      <c r="E2264" s="26" t="str">
        <f ca="1">IFERROR(__xludf.DUMMYFUNCTION("""COMPUTED_VALUE"""),"New")</f>
        <v>New</v>
      </c>
      <c r="F2264" s="72">
        <v>40</v>
      </c>
      <c r="G2264" s="72">
        <v>9628</v>
      </c>
      <c r="P2264" s="26"/>
    </row>
    <row r="2265" spans="1:16" ht="14.5" hidden="1">
      <c r="A2265" s="3" t="s">
        <v>38</v>
      </c>
      <c r="B2265" s="27" t="s">
        <v>2824</v>
      </c>
      <c r="C2265" s="46" t="s">
        <v>5919</v>
      </c>
      <c r="D2265" s="41" t="str">
        <f ca="1">IFERROR(__xludf.DUMMYFUNCTION("IFERROR(ARRAYFORMULA(REGEXEXTRACT(C2265,""^(?:https?:\/\/)?(?:[^@\n]+@)?(?:www\.)?([^:\/\n]+)"")),"""")"),"insiderpaper.com")</f>
        <v>insiderpaper.com</v>
      </c>
      <c r="E2265" s="26" t="str">
        <f ca="1">IFERROR(__xludf.DUMMYFUNCTION("""COMPUTED_VALUE"""),"Already Exists")</f>
        <v>Already Exists</v>
      </c>
      <c r="F2265" s="72">
        <v>53</v>
      </c>
      <c r="G2265" s="72">
        <v>1385</v>
      </c>
      <c r="P2265" s="26"/>
    </row>
    <row r="2266" spans="1:16" ht="14.5">
      <c r="A2266" s="3" t="s">
        <v>38</v>
      </c>
      <c r="B2266" s="27" t="s">
        <v>2824</v>
      </c>
      <c r="C2266" s="46" t="s">
        <v>5920</v>
      </c>
      <c r="D2266" s="41" t="str">
        <f ca="1">IFERROR(__xludf.DUMMYFUNCTION("IFERROR(ARRAYFORMULA(REGEXEXTRACT(C2266,""^(?:https?:\/\/)?(?:[^@\n]+@)?(?:www\.)?([^:\/\n]+)"")),"""")"),"columbustelegram.com")</f>
        <v>columbustelegram.com</v>
      </c>
      <c r="E2266" s="26" t="str">
        <f ca="1">IFERROR(__xludf.DUMMYFUNCTION("""COMPUTED_VALUE"""),"New")</f>
        <v>New</v>
      </c>
      <c r="F2266" s="72">
        <v>58</v>
      </c>
      <c r="G2266" s="72">
        <v>5713</v>
      </c>
      <c r="P2266" s="26"/>
    </row>
    <row r="2267" spans="1:16" ht="14.5">
      <c r="A2267" s="3" t="s">
        <v>38</v>
      </c>
      <c r="B2267" s="27" t="s">
        <v>2824</v>
      </c>
      <c r="C2267" s="46" t="s">
        <v>5921</v>
      </c>
      <c r="D2267" s="41" t="str">
        <f ca="1">IFERROR(__xludf.DUMMYFUNCTION("IFERROR(ARRAYFORMULA(REGEXEXTRACT(C2267,""^(?:https?:\/\/)?(?:[^@\n]+@)?(?:www\.)?([^:\/\n]+)"")),"""")"),"brainvire.com")</f>
        <v>brainvire.com</v>
      </c>
      <c r="E2267" s="26" t="str">
        <f ca="1">IFERROR(__xludf.DUMMYFUNCTION("""COMPUTED_VALUE"""),"New")</f>
        <v>New</v>
      </c>
      <c r="F2267" s="72">
        <v>72</v>
      </c>
      <c r="G2267" s="72">
        <v>10286</v>
      </c>
      <c r="P2267" s="26"/>
    </row>
    <row r="2268" spans="1:16" ht="14.5" hidden="1">
      <c r="A2268" s="3" t="s">
        <v>38</v>
      </c>
      <c r="B2268" s="27" t="s">
        <v>2824</v>
      </c>
      <c r="C2268" s="46" t="s">
        <v>5922</v>
      </c>
      <c r="D2268" s="41" t="str">
        <f ca="1">IFERROR(__xludf.DUMMYFUNCTION("IFERROR(ARRAYFORMULA(REGEXEXTRACT(C2268,""^(?:https?:\/\/)?(?:[^@\n]+@)?(?:www\.)?([^:\/\n]+)"")),"""")"),"archeyes.com")</f>
        <v>archeyes.com</v>
      </c>
      <c r="E2268" s="26" t="str">
        <f ca="1">IFERROR(__xludf.DUMMYFUNCTION("""COMPUTED_VALUE"""),"Already Exists")</f>
        <v>Already Exists</v>
      </c>
      <c r="F2268" s="72">
        <v>56</v>
      </c>
      <c r="G2268" s="72">
        <v>15195</v>
      </c>
      <c r="P2268" s="26"/>
    </row>
    <row r="2269" spans="1:16" ht="14.5">
      <c r="A2269" s="3" t="s">
        <v>38</v>
      </c>
      <c r="B2269" s="27" t="s">
        <v>2824</v>
      </c>
      <c r="C2269" s="46" t="s">
        <v>5923</v>
      </c>
      <c r="D2269" s="41" t="str">
        <f ca="1">IFERROR(__xludf.DUMMYFUNCTION("IFERROR(ARRAYFORMULA(REGEXEXTRACT(C2269,""^(?:https?:\/\/)?(?:[^@\n]+@)?(?:www\.)?([^:\/\n]+)"")),"""")"),"careeredge.scarletknights.com")</f>
        <v>careeredge.scarletknights.com</v>
      </c>
      <c r="E2269" s="26" t="str">
        <f ca="1">IFERROR(__xludf.DUMMYFUNCTION("""COMPUTED_VALUE"""),"New")</f>
        <v>New</v>
      </c>
      <c r="F2269" s="72">
        <v>66</v>
      </c>
      <c r="G2269" s="72">
        <v>195236</v>
      </c>
      <c r="P2269" s="26"/>
    </row>
    <row r="2270" spans="1:16" ht="14.5">
      <c r="A2270" s="3" t="s">
        <v>38</v>
      </c>
      <c r="B2270" s="27" t="s">
        <v>2824</v>
      </c>
      <c r="C2270" s="46" t="s">
        <v>5924</v>
      </c>
      <c r="D2270" s="41" t="str">
        <f ca="1">IFERROR(__xludf.DUMMYFUNCTION("IFERROR(ARRAYFORMULA(REGEXEXTRACT(C2270,""^(?:https?:\/\/)?(?:[^@\n]+@)?(?:www\.)?([^:\/\n]+)"")),"""")"),"arcsite.com")</f>
        <v>arcsite.com</v>
      </c>
      <c r="E2270" s="26" t="str">
        <f ca="1">IFERROR(__xludf.DUMMYFUNCTION("""COMPUTED_VALUE"""),"New")</f>
        <v>New</v>
      </c>
      <c r="F2270" s="72">
        <v>49</v>
      </c>
      <c r="G2270" s="72">
        <v>17033</v>
      </c>
      <c r="P2270" s="26"/>
    </row>
    <row r="2271" spans="1:16" ht="14.5">
      <c r="A2271" s="3" t="s">
        <v>38</v>
      </c>
      <c r="B2271" s="27" t="s">
        <v>2824</v>
      </c>
      <c r="C2271" s="46" t="s">
        <v>5925</v>
      </c>
      <c r="D2271" s="41" t="str">
        <f ca="1">IFERROR(__xludf.DUMMYFUNCTION("IFERROR(ARRAYFORMULA(REGEXEXTRACT(C2271,""^(?:https?:\/\/)?(?:[^@\n]+@)?(?:www\.)?([^:\/\n]+)"")),"""")"),"sms-magic.com")</f>
        <v>sms-magic.com</v>
      </c>
      <c r="E2271" s="26" t="str">
        <f ca="1">IFERROR(__xludf.DUMMYFUNCTION("""COMPUTED_VALUE"""),"New")</f>
        <v>New</v>
      </c>
      <c r="F2271" s="72">
        <v>51</v>
      </c>
      <c r="G2271" s="72">
        <v>2745</v>
      </c>
      <c r="P2271" s="26"/>
    </row>
    <row r="2272" spans="1:16" ht="14.5">
      <c r="A2272" s="3" t="s">
        <v>38</v>
      </c>
      <c r="B2272" s="27" t="s">
        <v>2824</v>
      </c>
      <c r="C2272" s="46" t="s">
        <v>5926</v>
      </c>
      <c r="D2272" s="41" t="str">
        <f ca="1">IFERROR(__xludf.DUMMYFUNCTION("IFERROR(ARRAYFORMULA(REGEXEXTRACT(C2272,""^(?:https?:\/\/)?(?:[^@\n]+@)?(?:www\.)?([^:\/\n]+)"")),"""")"),"antelope-wolf-fph9.squarespace.com")</f>
        <v>antelope-wolf-fph9.squarespace.com</v>
      </c>
      <c r="E2272" s="26" t="str">
        <f ca="1">IFERROR(__xludf.DUMMYFUNCTION("""COMPUTED_VALUE"""),"New")</f>
        <v>New</v>
      </c>
      <c r="F2272" s="72">
        <v>95</v>
      </c>
      <c r="G2272" s="72">
        <v>3752534</v>
      </c>
      <c r="P2272" s="26"/>
    </row>
    <row r="2273" spans="1:16" ht="14.5">
      <c r="A2273" s="3" t="s">
        <v>38</v>
      </c>
      <c r="B2273" s="27" t="s">
        <v>2824</v>
      </c>
      <c r="C2273" s="46" t="s">
        <v>5927</v>
      </c>
      <c r="D2273" s="41" t="str">
        <f ca="1">IFERROR(__xludf.DUMMYFUNCTION("IFERROR(ARRAYFORMULA(REGEXEXTRACT(C2273,""^(?:https?:\/\/)?(?:[^@\n]+@)?(?:www\.)?([^:\/\n]+)"")),"""")"),"newsadvance.com")</f>
        <v>newsadvance.com</v>
      </c>
      <c r="E2273" s="26" t="str">
        <f ca="1">IFERROR(__xludf.DUMMYFUNCTION("""COMPUTED_VALUE"""),"New")</f>
        <v>New</v>
      </c>
      <c r="F2273" s="72">
        <v>72</v>
      </c>
      <c r="G2273" s="72">
        <v>9269</v>
      </c>
      <c r="P2273" s="26"/>
    </row>
    <row r="2274" spans="1:16" ht="14.5" hidden="1">
      <c r="A2274" s="3" t="s">
        <v>38</v>
      </c>
      <c r="B2274" s="27" t="s">
        <v>2824</v>
      </c>
      <c r="C2274" s="46" t="s">
        <v>5928</v>
      </c>
      <c r="D2274" s="41" t="str">
        <f ca="1">IFERROR(__xludf.DUMMYFUNCTION("IFERROR(ARRAYFORMULA(REGEXEXTRACT(C2274,""^(?:https?:\/\/)?(?:[^@\n]+@)?(?:www\.)?([^:\/\n]+)"")),"""")"),"canarianweekly.com")</f>
        <v>canarianweekly.com</v>
      </c>
      <c r="E2274" s="26" t="str">
        <f ca="1">IFERROR(__xludf.DUMMYFUNCTION("""COMPUTED_VALUE"""),"Already Exists")</f>
        <v>Already Exists</v>
      </c>
      <c r="F2274" s="72">
        <v>54</v>
      </c>
      <c r="G2274" s="72">
        <v>12629</v>
      </c>
      <c r="P2274" s="26"/>
    </row>
    <row r="2275" spans="1:16" ht="14.5">
      <c r="A2275" s="3" t="s">
        <v>38</v>
      </c>
      <c r="B2275" s="27" t="s">
        <v>2824</v>
      </c>
      <c r="C2275" s="46" t="s">
        <v>5929</v>
      </c>
      <c r="D2275" s="41" t="str">
        <f ca="1">IFERROR(__xludf.DUMMYFUNCTION("IFERROR(ARRAYFORMULA(REGEXEXTRACT(C2275,""^(?:https?:\/\/)?(?:[^@\n]+@)?(?:www\.)?([^:\/\n]+)"")),"""")"),"othership.com")</f>
        <v>othership.com</v>
      </c>
      <c r="E2275" s="26" t="str">
        <f ca="1">IFERROR(__xludf.DUMMYFUNCTION("""COMPUTED_VALUE"""),"New")</f>
        <v>New</v>
      </c>
      <c r="F2275" s="72">
        <v>52</v>
      </c>
      <c r="G2275" s="72">
        <v>4764</v>
      </c>
      <c r="P2275" s="26"/>
    </row>
    <row r="2276" spans="1:16" ht="14.5">
      <c r="A2276" s="3" t="s">
        <v>38</v>
      </c>
      <c r="B2276" s="27" t="s">
        <v>2824</v>
      </c>
      <c r="C2276" s="46" t="s">
        <v>5930</v>
      </c>
      <c r="D2276" s="41" t="str">
        <f ca="1">IFERROR(__xludf.DUMMYFUNCTION("IFERROR(ARRAYFORMULA(REGEXEXTRACT(C2276,""^(?:https?:\/\/)?(?:[^@\n]+@)?(?:www\.)?([^:\/\n]+)"")),"""")"),"graduatecoach.co.uk")</f>
        <v>graduatecoach.co.uk</v>
      </c>
      <c r="E2276" s="26" t="str">
        <f ca="1">IFERROR(__xludf.DUMMYFUNCTION("""COMPUTED_VALUE"""),"New")</f>
        <v>New</v>
      </c>
      <c r="F2276" s="72">
        <v>31</v>
      </c>
      <c r="G2276" s="72">
        <v>1291</v>
      </c>
      <c r="P2276" s="26"/>
    </row>
    <row r="2277" spans="1:16" ht="14.5">
      <c r="A2277" s="3" t="s">
        <v>38</v>
      </c>
      <c r="B2277" s="27" t="s">
        <v>2824</v>
      </c>
      <c r="C2277" s="46" t="s">
        <v>5931</v>
      </c>
      <c r="D2277" s="41" t="str">
        <f ca="1">IFERROR(__xludf.DUMMYFUNCTION("IFERROR(ARRAYFORMULA(REGEXEXTRACT(C2277,""^(?:https?:\/\/)?(?:[^@\n]+@)?(?:www\.)?([^:\/\n]+)"")),"""")"),"wealthylike.com")</f>
        <v>wealthylike.com</v>
      </c>
      <c r="E2277" s="26" t="str">
        <f ca="1">IFERROR(__xludf.DUMMYFUNCTION("""COMPUTED_VALUE"""),"New")</f>
        <v>New</v>
      </c>
      <c r="F2277" s="72">
        <v>59</v>
      </c>
      <c r="G2277" s="72">
        <v>6198</v>
      </c>
      <c r="P2277" s="26"/>
    </row>
    <row r="2278" spans="1:16" ht="14.5">
      <c r="A2278" s="3" t="s">
        <v>38</v>
      </c>
      <c r="B2278" s="27" t="s">
        <v>2824</v>
      </c>
      <c r="C2278" s="46" t="s">
        <v>5932</v>
      </c>
      <c r="D2278" s="41" t="str">
        <f ca="1">IFERROR(__xludf.DUMMYFUNCTION("IFERROR(ARRAYFORMULA(REGEXEXTRACT(C2278,""^(?:https?:\/\/)?(?:[^@\n]+@)?(?:www\.)?([^:\/\n]+)"")),"""")"),"blog.housesitmatch.com")</f>
        <v>blog.housesitmatch.com</v>
      </c>
      <c r="E2278" s="26" t="str">
        <f ca="1">IFERROR(__xludf.DUMMYFUNCTION("""COMPUTED_VALUE"""),"New")</f>
        <v>New</v>
      </c>
      <c r="F2278" s="72">
        <v>45</v>
      </c>
      <c r="G2278" s="72">
        <v>2449</v>
      </c>
      <c r="P2278" s="26"/>
    </row>
    <row r="2279" spans="1:16" ht="14.5">
      <c r="A2279" s="3" t="s">
        <v>38</v>
      </c>
      <c r="B2279" s="27" t="s">
        <v>2824</v>
      </c>
      <c r="C2279" s="46" t="s">
        <v>5933</v>
      </c>
      <c r="D2279" s="41" t="str">
        <f ca="1">IFERROR(__xludf.DUMMYFUNCTION("IFERROR(ARRAYFORMULA(REGEXEXTRACT(C2279,""^(?:https?:\/\/)?(?:[^@\n]+@)?(?:www\.)?([^:\/\n]+)"")),"""")"),"roanoke.com")</f>
        <v>roanoke.com</v>
      </c>
      <c r="E2279" s="26" t="str">
        <f ca="1">IFERROR(__xludf.DUMMYFUNCTION("""COMPUTED_VALUE"""),"New")</f>
        <v>New</v>
      </c>
      <c r="F2279" s="72">
        <v>76</v>
      </c>
      <c r="G2279" s="72">
        <v>18392</v>
      </c>
      <c r="P2279" s="26"/>
    </row>
    <row r="2280" spans="1:16" ht="14.5">
      <c r="A2280" s="3" t="s">
        <v>38</v>
      </c>
      <c r="B2280" s="27" t="s">
        <v>2824</v>
      </c>
      <c r="C2280" s="46" t="s">
        <v>5934</v>
      </c>
      <c r="D2280" s="41" t="str">
        <f ca="1">IFERROR(__xludf.DUMMYFUNCTION("IFERROR(ARRAYFORMULA(REGEXEXTRACT(C2280,""^(?:https?:\/\/)?(?:[^@\n]+@)?(?:www\.)?([^:\/\n]+)"")),"""")"),"ultahost.com")</f>
        <v>ultahost.com</v>
      </c>
      <c r="E2280" s="26" t="str">
        <f ca="1">IFERROR(__xludf.DUMMYFUNCTION("""COMPUTED_VALUE"""),"New")</f>
        <v>New</v>
      </c>
      <c r="F2280" s="72">
        <v>78</v>
      </c>
      <c r="G2280" s="72">
        <v>25121</v>
      </c>
      <c r="P2280" s="26"/>
    </row>
    <row r="2281" spans="1:16" ht="14.5">
      <c r="A2281" s="3" t="s">
        <v>38</v>
      </c>
      <c r="B2281" s="27" t="s">
        <v>2824</v>
      </c>
      <c r="C2281" s="46" t="s">
        <v>5935</v>
      </c>
      <c r="D2281" s="41" t="str">
        <f ca="1">IFERROR(__xludf.DUMMYFUNCTION("IFERROR(ARRAYFORMULA(REGEXEXTRACT(C2281,""^(?:https?:\/\/)?(?:[^@\n]+@)?(?:www\.)?([^:\/\n]+)"")),"""")"),"theitbase.com")</f>
        <v>theitbase.com</v>
      </c>
      <c r="E2281" s="26" t="str">
        <f ca="1">IFERROR(__xludf.DUMMYFUNCTION("""COMPUTED_VALUE"""),"New")</f>
        <v>New</v>
      </c>
      <c r="F2281" s="72">
        <v>41</v>
      </c>
      <c r="G2281" s="72">
        <v>21001</v>
      </c>
      <c r="P2281" s="26"/>
    </row>
    <row r="2282" spans="1:16" ht="14.5">
      <c r="A2282" s="3" t="s">
        <v>38</v>
      </c>
      <c r="B2282" s="27" t="s">
        <v>2824</v>
      </c>
      <c r="C2282" s="46" t="s">
        <v>5936</v>
      </c>
      <c r="D2282" s="41" t="str">
        <f ca="1">IFERROR(__xludf.DUMMYFUNCTION("IFERROR(ARRAYFORMULA(REGEXEXTRACT(C2282,""^(?:https?:\/\/)?(?:[^@\n]+@)?(?:www\.)?([^:\/\n]+)"")),"""")"),"truework.com")</f>
        <v>truework.com</v>
      </c>
      <c r="E2282" s="26" t="str">
        <f ca="1">IFERROR(__xludf.DUMMYFUNCTION("""COMPUTED_VALUE"""),"New")</f>
        <v>New</v>
      </c>
      <c r="F2282" s="72">
        <v>64</v>
      </c>
      <c r="G2282" s="72">
        <v>18713</v>
      </c>
      <c r="P2282" s="26"/>
    </row>
    <row r="2283" spans="1:16" ht="14.5">
      <c r="A2283" s="3" t="s">
        <v>38</v>
      </c>
      <c r="B2283" s="27" t="s">
        <v>2824</v>
      </c>
      <c r="C2283" s="46" t="s">
        <v>5937</v>
      </c>
      <c r="D2283" s="41" t="str">
        <f ca="1">IFERROR(__xludf.DUMMYFUNCTION("IFERROR(ARRAYFORMULA(REGEXEXTRACT(C2283,""^(?:https?:\/\/)?(?:[^@\n]+@)?(?:www\.)?([^:\/\n]+)"")),"""")"),"creditstrong.com")</f>
        <v>creditstrong.com</v>
      </c>
      <c r="E2283" s="26" t="str">
        <f ca="1">IFERROR(__xludf.DUMMYFUNCTION("""COMPUTED_VALUE"""),"New")</f>
        <v>New</v>
      </c>
      <c r="F2283" s="72">
        <v>57</v>
      </c>
      <c r="G2283" s="72">
        <v>52066</v>
      </c>
      <c r="P2283" s="26"/>
    </row>
    <row r="2284" spans="1:16" ht="14.5" hidden="1">
      <c r="A2284" s="3" t="s">
        <v>38</v>
      </c>
      <c r="B2284" s="27" t="s">
        <v>2824</v>
      </c>
      <c r="C2284" s="46" t="s">
        <v>5938</v>
      </c>
      <c r="D2284" s="41" t="str">
        <f ca="1">IFERROR(__xludf.DUMMYFUNCTION("IFERROR(ARRAYFORMULA(REGEXEXTRACT(C2284,""^(?:https?:\/\/)?(?:[^@\n]+@)?(?:www\.)?([^:\/\n]+)"")),"""")"),"smartmoneymatch.com")</f>
        <v>smartmoneymatch.com</v>
      </c>
      <c r="E2284" s="26" t="str">
        <f ca="1">IFERROR(__xludf.DUMMYFUNCTION("""COMPUTED_VALUE"""),"Already Exists")</f>
        <v>Already Exists</v>
      </c>
      <c r="F2284" s="72">
        <v>60</v>
      </c>
      <c r="G2284" s="72">
        <v>1850</v>
      </c>
      <c r="P2284" s="26"/>
    </row>
    <row r="2285" spans="1:16" ht="14.5">
      <c r="A2285" s="3" t="s">
        <v>38</v>
      </c>
      <c r="B2285" s="27" t="s">
        <v>2824</v>
      </c>
      <c r="C2285" s="46" t="s">
        <v>5939</v>
      </c>
      <c r="D2285" s="41" t="str">
        <f ca="1">IFERROR(__xludf.DUMMYFUNCTION("IFERROR(ARRAYFORMULA(REGEXEXTRACT(C2285,""^(?:https?:\/\/)?(?:[^@\n]+@)?(?:www\.)?([^:\/\n]+)"")),"""")"),"themortgagereports.com")</f>
        <v>themortgagereports.com</v>
      </c>
      <c r="E2285" s="26" t="str">
        <f ca="1">IFERROR(__xludf.DUMMYFUNCTION("""COMPUTED_VALUE"""),"New")</f>
        <v>New</v>
      </c>
      <c r="F2285" s="72">
        <v>76</v>
      </c>
      <c r="G2285" s="72">
        <v>149755</v>
      </c>
      <c r="P2285" s="26"/>
    </row>
    <row r="2286" spans="1:16" ht="14.5">
      <c r="A2286" s="3" t="s">
        <v>38</v>
      </c>
      <c r="B2286" s="27" t="s">
        <v>2824</v>
      </c>
      <c r="C2286" s="46" t="s">
        <v>5940</v>
      </c>
      <c r="D2286" s="41" t="str">
        <f ca="1">IFERROR(__xludf.DUMMYFUNCTION("IFERROR(ARRAYFORMULA(REGEXEXTRACT(C2286,""^(?:https?:\/\/)?(?:[^@\n]+@)?(?:www\.)?([^:\/\n]+)"")),"""")"),"digitaltrends.com")</f>
        <v>digitaltrends.com</v>
      </c>
      <c r="E2286" s="26" t="str">
        <f ca="1">IFERROR(__xludf.DUMMYFUNCTION("""COMPUTED_VALUE"""),"New")</f>
        <v>New</v>
      </c>
      <c r="F2286" s="72">
        <v>89</v>
      </c>
      <c r="G2286" s="72">
        <v>285459</v>
      </c>
      <c r="P2286" s="26"/>
    </row>
    <row r="2287" spans="1:16" ht="14.5">
      <c r="A2287" s="3" t="s">
        <v>38</v>
      </c>
      <c r="B2287" s="27" t="s">
        <v>2824</v>
      </c>
      <c r="C2287" s="46" t="s">
        <v>5941</v>
      </c>
      <c r="D2287" s="41" t="str">
        <f ca="1">IFERROR(__xludf.DUMMYFUNCTION("IFERROR(ARRAYFORMULA(REGEXEXTRACT(C2287,""^(?:https?:\/\/)?(?:[^@\n]+@)?(?:www\.)?([^:\/\n]+)"")),"""")"),"localnews8.com")</f>
        <v>localnews8.com</v>
      </c>
      <c r="E2287" s="26" t="str">
        <f ca="1">IFERROR(__xludf.DUMMYFUNCTION("""COMPUTED_VALUE"""),"New")</f>
        <v>New</v>
      </c>
      <c r="F2287" s="72">
        <v>71</v>
      </c>
      <c r="G2287" s="72">
        <v>13591</v>
      </c>
      <c r="P2287" s="26"/>
    </row>
    <row r="2288" spans="1:16" ht="14.5">
      <c r="A2288" s="3" t="s">
        <v>38</v>
      </c>
      <c r="B2288" s="27" t="s">
        <v>2824</v>
      </c>
      <c r="C2288" s="46" t="s">
        <v>5942</v>
      </c>
      <c r="D2288" s="41" t="str">
        <f ca="1">IFERROR(__xludf.DUMMYFUNCTION("IFERROR(ARRAYFORMULA(REGEXEXTRACT(C2288,""^(?:https?:\/\/)?(?:[^@\n]+@)?(?:www\.)?([^:\/\n]+)"")),"""")"),"predis.ai")</f>
        <v>predis.ai</v>
      </c>
      <c r="E2288" s="26" t="str">
        <f ca="1">IFERROR(__xludf.DUMMYFUNCTION("""COMPUTED_VALUE"""),"New")</f>
        <v>New</v>
      </c>
      <c r="F2288" s="72">
        <v>76</v>
      </c>
      <c r="G2288" s="72">
        <v>102170</v>
      </c>
      <c r="P2288" s="26"/>
    </row>
    <row r="2289" spans="1:16" ht="14.5" hidden="1">
      <c r="A2289" s="3" t="s">
        <v>38</v>
      </c>
      <c r="B2289" s="27" t="s">
        <v>2824</v>
      </c>
      <c r="C2289" s="47" t="s">
        <v>5943</v>
      </c>
      <c r="D2289" s="41" t="str">
        <f ca="1">IFERROR(__xludf.DUMMYFUNCTION("IFERROR(ARRAYFORMULA(REGEXEXTRACT(C2289,""^(?:https?:\/\/)?(?:[^@\n]+@)?(?:www\.)?([^:\/\n]+)"")),"""")"),"mumsoftheshire.com.au")</f>
        <v>mumsoftheshire.com.au</v>
      </c>
      <c r="E2289" s="26" t="str">
        <f ca="1">IFERROR(__xludf.DUMMYFUNCTION("""COMPUTED_VALUE"""),"Already Exists")</f>
        <v>Already Exists</v>
      </c>
      <c r="F2289" s="72">
        <v>24</v>
      </c>
      <c r="G2289" s="72">
        <v>2069</v>
      </c>
      <c r="H2289" s="27" t="s">
        <v>5944</v>
      </c>
      <c r="I2289" s="27" t="s">
        <v>5945</v>
      </c>
      <c r="J2289" s="27" t="s">
        <v>5946</v>
      </c>
      <c r="K2289" s="27" t="s">
        <v>3756</v>
      </c>
      <c r="L2289" s="112"/>
      <c r="M2289" s="27" t="s">
        <v>3117</v>
      </c>
      <c r="N2289" s="48">
        <v>46049</v>
      </c>
      <c r="P2289" s="27" t="s">
        <v>3201</v>
      </c>
    </row>
    <row r="2290" spans="1:16" ht="14.5">
      <c r="A2290" s="3" t="s">
        <v>38</v>
      </c>
      <c r="B2290" s="27" t="s">
        <v>2824</v>
      </c>
      <c r="C2290" s="46" t="s">
        <v>5947</v>
      </c>
      <c r="D2290" s="41" t="str">
        <f ca="1">IFERROR(__xludf.DUMMYFUNCTION("IFERROR(ARRAYFORMULA(REGEXEXTRACT(C2290,""^(?:https?:\/\/)?(?:[^@\n]+@)?(?:www\.)?([^:\/\n]+)"")),"""")"),"codiant.com")</f>
        <v>codiant.com</v>
      </c>
      <c r="E2290" s="26" t="str">
        <f ca="1">IFERROR(__xludf.DUMMYFUNCTION("""COMPUTED_VALUE"""),"New")</f>
        <v>New</v>
      </c>
      <c r="F2290" s="72">
        <v>49</v>
      </c>
      <c r="G2290" s="72">
        <v>1749</v>
      </c>
      <c r="P2290" s="26"/>
    </row>
    <row r="2291" spans="1:16" ht="14.5">
      <c r="A2291" s="3" t="s">
        <v>38</v>
      </c>
      <c r="B2291" s="27" t="s">
        <v>2824</v>
      </c>
      <c r="C2291" s="46" t="s">
        <v>5948</v>
      </c>
      <c r="D2291" s="41" t="str">
        <f ca="1">IFERROR(__xludf.DUMMYFUNCTION("IFERROR(ARRAYFORMULA(REGEXEXTRACT(C2291,""^(?:https?:\/\/)?(?:[^@\n]+@)?(?:www\.)?([^:\/\n]+)"")),"""")"),"krdo.com")</f>
        <v>krdo.com</v>
      </c>
      <c r="E2291" s="26" t="str">
        <f ca="1">IFERROR(__xludf.DUMMYFUNCTION("""COMPUTED_VALUE"""),"New")</f>
        <v>New</v>
      </c>
      <c r="F2291" s="72">
        <v>72</v>
      </c>
      <c r="G2291" s="72">
        <v>51353</v>
      </c>
      <c r="P2291" s="26"/>
    </row>
    <row r="2292" spans="1:16" ht="14.5" hidden="1">
      <c r="A2292" s="3" t="s">
        <v>38</v>
      </c>
      <c r="B2292" s="27" t="s">
        <v>2824</v>
      </c>
      <c r="C2292" s="46" t="s">
        <v>5949</v>
      </c>
      <c r="D2292" s="41" t="str">
        <f ca="1">IFERROR(__xludf.DUMMYFUNCTION("IFERROR(ARRAYFORMULA(REGEXEXTRACT(C2292,""^(?:https?:\/\/)?(?:[^@\n]+@)?(?:www\.)?([^:\/\n]+)"")),"""")"),"k6agency.com")</f>
        <v>k6agency.com</v>
      </c>
      <c r="E2292" s="26" t="str">
        <f ca="1">IFERROR(__xludf.DUMMYFUNCTION("""COMPUTED_VALUE"""),"Already Exists")</f>
        <v>Already Exists</v>
      </c>
      <c r="F2292" s="72">
        <v>62</v>
      </c>
      <c r="G2292" s="72">
        <v>1945</v>
      </c>
      <c r="P2292" s="26"/>
    </row>
    <row r="2293" spans="1:16" ht="14.5">
      <c r="A2293" s="3" t="s">
        <v>38</v>
      </c>
      <c r="B2293" s="27" t="s">
        <v>2824</v>
      </c>
      <c r="C2293" s="46" t="s">
        <v>5950</v>
      </c>
      <c r="D2293" s="41" t="str">
        <f ca="1">IFERROR(__xludf.DUMMYFUNCTION("IFERROR(ARRAYFORMULA(REGEXEXTRACT(C2293,""^(?:https?:\/\/)?(?:[^@\n]+@)?(?:www\.)?([^:\/\n]+)"")),"""")"),"ravallirepublic.com")</f>
        <v>ravallirepublic.com</v>
      </c>
      <c r="E2293" s="26" t="str">
        <f ca="1">IFERROR(__xludf.DUMMYFUNCTION("""COMPUTED_VALUE"""),"New")</f>
        <v>New</v>
      </c>
      <c r="F2293" s="72">
        <v>65</v>
      </c>
      <c r="G2293" s="72">
        <v>1529</v>
      </c>
      <c r="P2293" s="26"/>
    </row>
    <row r="2294" spans="1:16" ht="14.5">
      <c r="A2294" s="3" t="s">
        <v>38</v>
      </c>
      <c r="B2294" s="27" t="s">
        <v>2824</v>
      </c>
      <c r="C2294" s="46" t="s">
        <v>5951</v>
      </c>
      <c r="D2294" s="41" t="str">
        <f ca="1">IFERROR(__xludf.DUMMYFUNCTION("IFERROR(ARRAYFORMULA(REGEXEXTRACT(C2294,""^(?:https?:\/\/)?(?:[^@\n]+@)?(?:www\.)?([^:\/\n]+)"")),"""")"),"gazettetimes.com")</f>
        <v>gazettetimes.com</v>
      </c>
      <c r="E2294" s="26" t="str">
        <f ca="1">IFERROR(__xludf.DUMMYFUNCTION("""COMPUTED_VALUE"""),"New")</f>
        <v>New</v>
      </c>
      <c r="F2294" s="72">
        <v>69</v>
      </c>
      <c r="G2294" s="72">
        <v>3939</v>
      </c>
      <c r="P2294" s="26"/>
    </row>
    <row r="2295" spans="1:16" ht="14.5">
      <c r="A2295" s="3" t="s">
        <v>38</v>
      </c>
      <c r="B2295" s="27" t="s">
        <v>2824</v>
      </c>
      <c r="C2295" s="46" t="s">
        <v>5952</v>
      </c>
      <c r="D2295" s="41" t="str">
        <f ca="1">IFERROR(__xludf.DUMMYFUNCTION("IFERROR(ARRAYFORMULA(REGEXEXTRACT(C2295,""^(?:https?:\/\/)?(?:[^@\n]+@)?(?:www\.)?([^:\/\n]+)"")),"""")"),"journalnow.com")</f>
        <v>journalnow.com</v>
      </c>
      <c r="E2295" s="26" t="str">
        <f ca="1">IFERROR(__xludf.DUMMYFUNCTION("""COMPUTED_VALUE"""),"New")</f>
        <v>New</v>
      </c>
      <c r="F2295" s="72">
        <v>76</v>
      </c>
      <c r="G2295" s="72">
        <v>28728</v>
      </c>
      <c r="P2295" s="26"/>
    </row>
    <row r="2296" spans="1:16" ht="14.5">
      <c r="A2296" s="3" t="s">
        <v>38</v>
      </c>
      <c r="B2296" s="27" t="s">
        <v>2824</v>
      </c>
      <c r="C2296" s="46" t="s">
        <v>5953</v>
      </c>
      <c r="D2296" s="41" t="str">
        <f ca="1">IFERROR(__xludf.DUMMYFUNCTION("IFERROR(ARRAYFORMULA(REGEXEXTRACT(C2296,""^(?:https?:\/\/)?(?:[^@\n]+@)?(?:www\.)?([^:\/\n]+)"")),"""")"),"jobstars.com")</f>
        <v>jobstars.com</v>
      </c>
      <c r="E2296" s="26" t="str">
        <f ca="1">IFERROR(__xludf.DUMMYFUNCTION("""COMPUTED_VALUE"""),"New")</f>
        <v>New</v>
      </c>
      <c r="F2296" s="72">
        <v>45</v>
      </c>
      <c r="G2296" s="72">
        <v>6040</v>
      </c>
      <c r="P2296" s="26"/>
    </row>
    <row r="2297" spans="1:16" ht="14.5">
      <c r="A2297" s="3" t="s">
        <v>38</v>
      </c>
      <c r="B2297" s="27" t="s">
        <v>2824</v>
      </c>
      <c r="C2297" s="46" t="s">
        <v>5954</v>
      </c>
      <c r="D2297" s="41" t="str">
        <f ca="1">IFERROR(__xludf.DUMMYFUNCTION("IFERROR(ARRAYFORMULA(REGEXEXTRACT(C2297,""^(?:https?:\/\/)?(?:[^@\n]+@)?(?:www\.)?([^:\/\n]+)"")),"""")"),"theglobalhues.com")</f>
        <v>theglobalhues.com</v>
      </c>
      <c r="E2297" s="26" t="str">
        <f ca="1">IFERROR(__xludf.DUMMYFUNCTION("""COMPUTED_VALUE"""),"New")</f>
        <v>New</v>
      </c>
      <c r="F2297" s="72">
        <v>53</v>
      </c>
      <c r="G2297" s="72">
        <v>3457</v>
      </c>
      <c r="P2297" s="26"/>
    </row>
    <row r="2298" spans="1:16" ht="14.5" hidden="1">
      <c r="A2298" s="3" t="s">
        <v>38</v>
      </c>
      <c r="B2298" s="27" t="s">
        <v>2824</v>
      </c>
      <c r="C2298" s="46" t="s">
        <v>5955</v>
      </c>
      <c r="D2298" s="41" t="str">
        <f ca="1">IFERROR(__xludf.DUMMYFUNCTION("IFERROR(ARRAYFORMULA(REGEXEXTRACT(C2298,""^(?:https?:\/\/)?(?:[^@\n]+@)?(?:www\.)?([^:\/\n]+)"")),"""")"),"intelligenthq.com")</f>
        <v>intelligenthq.com</v>
      </c>
      <c r="E2298" s="26" t="str">
        <f ca="1">IFERROR(__xludf.DUMMYFUNCTION("""COMPUTED_VALUE"""),"Already Exists")</f>
        <v>Already Exists</v>
      </c>
      <c r="F2298" s="72">
        <v>72</v>
      </c>
      <c r="G2298" s="72">
        <v>3183</v>
      </c>
      <c r="P2298" s="26"/>
    </row>
    <row r="2299" spans="1:16" ht="14.5" hidden="1">
      <c r="A2299" s="3" t="s">
        <v>38</v>
      </c>
      <c r="B2299" s="27" t="s">
        <v>2824</v>
      </c>
      <c r="C2299" s="46" t="s">
        <v>5956</v>
      </c>
      <c r="D2299" s="41" t="str">
        <f ca="1">IFERROR(__xludf.DUMMYFUNCTION("IFERROR(ARRAYFORMULA(REGEXEXTRACT(C2299,""^(?:https?:\/\/)?(?:[^@\n]+@)?(?:www\.)?([^:\/\n]+)"")),"""")"),"smallbusinesscoach.org")</f>
        <v>smallbusinesscoach.org</v>
      </c>
      <c r="E2299" s="26" t="str">
        <f ca="1">IFERROR(__xludf.DUMMYFUNCTION("""COMPUTED_VALUE"""),"Already Exists")</f>
        <v>Already Exists</v>
      </c>
      <c r="F2299" s="72">
        <v>56</v>
      </c>
      <c r="G2299" s="72">
        <v>5198</v>
      </c>
      <c r="P2299" s="26"/>
    </row>
    <row r="2300" spans="1:16" ht="14.5">
      <c r="A2300" s="3" t="s">
        <v>38</v>
      </c>
      <c r="B2300" s="27" t="s">
        <v>2824</v>
      </c>
      <c r="C2300" s="46" t="s">
        <v>5957</v>
      </c>
      <c r="D2300" s="41" t="str">
        <f ca="1">IFERROR(__xludf.DUMMYFUNCTION("IFERROR(ARRAYFORMULA(REGEXEXTRACT(C2300,""^(?:https?:\/\/)?(?:[^@\n]+@)?(?:www\.)?([^:\/\n]+)"")),"""")"),"possolutions.com.au")</f>
        <v>possolutions.com.au</v>
      </c>
      <c r="E2300" s="26" t="str">
        <f ca="1">IFERROR(__xludf.DUMMYFUNCTION("""COMPUTED_VALUE"""),"New")</f>
        <v>New</v>
      </c>
      <c r="F2300" s="72">
        <v>41</v>
      </c>
      <c r="G2300" s="72">
        <v>1740</v>
      </c>
      <c r="P2300" s="26"/>
    </row>
    <row r="2301" spans="1:16" ht="14.5">
      <c r="A2301" s="3" t="s">
        <v>38</v>
      </c>
      <c r="B2301" s="27" t="s">
        <v>2824</v>
      </c>
      <c r="C2301" s="49" t="s">
        <v>5958</v>
      </c>
      <c r="D2301" s="41" t="str">
        <f ca="1">IFERROR(__xludf.DUMMYFUNCTION("IFERROR(ARRAYFORMULA(REGEXEXTRACT(C2301,""^(?:https?:\/\/)?(?:[^@\n]+@)?(?:www\.)?([^:\/\n]+)"")),"""")"),"siouxcityjournal.com")</f>
        <v>siouxcityjournal.com</v>
      </c>
      <c r="E2301" s="26" t="str">
        <f ca="1">IFERROR(__xludf.DUMMYFUNCTION("""COMPUTED_VALUE"""),"New")</f>
        <v>New</v>
      </c>
      <c r="F2301" s="72">
        <v>72</v>
      </c>
      <c r="G2301" s="72">
        <v>8420</v>
      </c>
      <c r="H2301" s="27" t="s">
        <v>5959</v>
      </c>
      <c r="I2301" s="27" t="s">
        <v>5960</v>
      </c>
      <c r="J2301" s="27" t="s">
        <v>5961</v>
      </c>
      <c r="K2301" s="27" t="s">
        <v>3772</v>
      </c>
      <c r="L2301" s="112"/>
      <c r="M2301" s="27" t="s">
        <v>3117</v>
      </c>
      <c r="N2301" s="48">
        <v>46049</v>
      </c>
      <c r="O2301" s="70">
        <v>46090</v>
      </c>
      <c r="P2301" s="26"/>
    </row>
    <row r="2302" spans="1:16" ht="14.5">
      <c r="A2302" s="3" t="s">
        <v>38</v>
      </c>
      <c r="B2302" s="27" t="s">
        <v>2824</v>
      </c>
      <c r="C2302" s="46" t="s">
        <v>5962</v>
      </c>
      <c r="D2302" s="41" t="str">
        <f ca="1">IFERROR(__xludf.DUMMYFUNCTION("IFERROR(ARRAYFORMULA(REGEXEXTRACT(C2302,""^(?:https?:\/\/)?(?:[^@\n]+@)?(?:www\.)?([^:\/\n]+)"")),"""")"),"getmarlee.com")</f>
        <v>getmarlee.com</v>
      </c>
      <c r="E2302" s="26" t="str">
        <f ca="1">IFERROR(__xludf.DUMMYFUNCTION("""COMPUTED_VALUE"""),"New")</f>
        <v>New</v>
      </c>
      <c r="F2302" s="72">
        <v>72</v>
      </c>
      <c r="G2302" s="72">
        <v>22576</v>
      </c>
      <c r="P2302" s="26"/>
    </row>
    <row r="2303" spans="1:16" ht="14.5">
      <c r="A2303" s="3" t="s">
        <v>38</v>
      </c>
      <c r="B2303" s="27" t="s">
        <v>2824</v>
      </c>
      <c r="C2303" s="46" t="s">
        <v>5963</v>
      </c>
      <c r="D2303" s="41" t="str">
        <f ca="1">IFERROR(__xludf.DUMMYFUNCTION("IFERROR(ARRAYFORMULA(REGEXEXTRACT(C2303,""^(?:https?:\/\/)?(?:[^@\n]+@)?(?:www\.)?([^:\/\n]+)"")),"""")"),"poe.com")</f>
        <v>poe.com</v>
      </c>
      <c r="E2303" s="26" t="str">
        <f ca="1">IFERROR(__xludf.DUMMYFUNCTION("""COMPUTED_VALUE"""),"New")</f>
        <v>New</v>
      </c>
      <c r="F2303" s="72">
        <v>80</v>
      </c>
      <c r="G2303" s="72">
        <v>3574888</v>
      </c>
      <c r="P2303" s="26"/>
    </row>
    <row r="2304" spans="1:16" ht="14.5" hidden="1">
      <c r="A2304" s="3" t="s">
        <v>38</v>
      </c>
      <c r="B2304" s="27" t="s">
        <v>2824</v>
      </c>
      <c r="C2304" s="46" t="s">
        <v>5964</v>
      </c>
      <c r="D2304" s="41" t="str">
        <f ca="1">IFERROR(__xludf.DUMMYFUNCTION("IFERROR(ARRAYFORMULA(REGEXEXTRACT(C2304,""^(?:https?:\/\/)?(?:[^@\n]+@)?(?:www\.)?([^:\/\n]+)"")),"""")"),"realtytimes.com")</f>
        <v>realtytimes.com</v>
      </c>
      <c r="E2304" s="26" t="str">
        <f ca="1">IFERROR(__xludf.DUMMYFUNCTION("""COMPUTED_VALUE"""),"Already Exists")</f>
        <v>Already Exists</v>
      </c>
      <c r="F2304" s="72">
        <v>75</v>
      </c>
      <c r="G2304" s="72">
        <v>1816</v>
      </c>
      <c r="P2304" s="26"/>
    </row>
    <row r="2305" spans="1:16" ht="14.5">
      <c r="A2305" s="3" t="s">
        <v>38</v>
      </c>
      <c r="B2305" s="27" t="s">
        <v>2824</v>
      </c>
      <c r="C2305" s="46" t="s">
        <v>5965</v>
      </c>
      <c r="D2305" s="41" t="str">
        <f ca="1">IFERROR(__xludf.DUMMYFUNCTION("IFERROR(ARRAYFORMULA(REGEXEXTRACT(C2305,""^(?:https?:\/\/)?(?:[^@\n]+@)?(?:www\.)?([^:\/\n]+)"")),"""")"),"jg-tc.com")</f>
        <v>jg-tc.com</v>
      </c>
      <c r="E2305" s="26" t="str">
        <f ca="1">IFERROR(__xludf.DUMMYFUNCTION("""COMPUTED_VALUE"""),"New")</f>
        <v>New</v>
      </c>
      <c r="F2305" s="72">
        <v>52</v>
      </c>
      <c r="G2305" s="72">
        <v>3624</v>
      </c>
      <c r="P2305" s="26"/>
    </row>
    <row r="2306" spans="1:16" ht="14.5">
      <c r="A2306" s="3" t="s">
        <v>38</v>
      </c>
      <c r="B2306" s="27" t="s">
        <v>2824</v>
      </c>
      <c r="C2306" s="46" t="s">
        <v>5966</v>
      </c>
      <c r="D2306" s="41" t="str">
        <f ca="1">IFERROR(__xludf.DUMMYFUNCTION("IFERROR(ARRAYFORMULA(REGEXEXTRACT(C2306,""^(?:https?:\/\/)?(?:[^@\n]+@)?(?:www\.)?([^:\/\n]+)"")),"""")"),"fool.com")</f>
        <v>fool.com</v>
      </c>
      <c r="E2306" s="26" t="str">
        <f ca="1">IFERROR(__xludf.DUMMYFUNCTION("""COMPUTED_VALUE"""),"New")</f>
        <v>New</v>
      </c>
      <c r="F2306" s="72">
        <v>89</v>
      </c>
      <c r="G2306" s="72">
        <v>8113840</v>
      </c>
      <c r="P2306" s="26"/>
    </row>
    <row r="2307" spans="1:16" ht="14.5">
      <c r="A2307" s="3" t="s">
        <v>38</v>
      </c>
      <c r="B2307" s="27" t="s">
        <v>2824</v>
      </c>
      <c r="C2307" s="46" t="s">
        <v>5967</v>
      </c>
      <c r="D2307" s="41" t="str">
        <f ca="1">IFERROR(__xludf.DUMMYFUNCTION("IFERROR(ARRAYFORMULA(REGEXEXTRACT(C2307,""^(?:https?:\/\/)?(?:[^@\n]+@)?(?:www\.)?([^:\/\n]+)"")),"""")"),"riproar.com")</f>
        <v>riproar.com</v>
      </c>
      <c r="E2307" s="26" t="str">
        <f ca="1">IFERROR(__xludf.DUMMYFUNCTION("""COMPUTED_VALUE"""),"New")</f>
        <v>New</v>
      </c>
      <c r="F2307" s="72">
        <v>72</v>
      </c>
      <c r="G2307" s="72">
        <v>31168</v>
      </c>
      <c r="P2307" s="26"/>
    </row>
    <row r="2308" spans="1:16" ht="14.5">
      <c r="A2308" s="3" t="s">
        <v>38</v>
      </c>
      <c r="B2308" s="27" t="s">
        <v>2824</v>
      </c>
      <c r="C2308" s="46" t="s">
        <v>5968</v>
      </c>
      <c r="D2308" s="41" t="str">
        <f ca="1">IFERROR(__xludf.DUMMYFUNCTION("IFERROR(ARRAYFORMULA(REGEXEXTRACT(C2308,""^(?:https?:\/\/)?(?:[^@\n]+@)?(?:www\.)?([^:\/\n]+)"")),"""")"),"ssojet.com")</f>
        <v>ssojet.com</v>
      </c>
      <c r="E2308" s="26" t="str">
        <f ca="1">IFERROR(__xludf.DUMMYFUNCTION("""COMPUTED_VALUE"""),"New")</f>
        <v>New</v>
      </c>
      <c r="F2308" s="72">
        <v>48</v>
      </c>
      <c r="G2308" s="72">
        <v>1634</v>
      </c>
      <c r="P2308" s="26"/>
    </row>
    <row r="2309" spans="1:16" ht="14.5">
      <c r="A2309" s="3" t="s">
        <v>38</v>
      </c>
      <c r="B2309" s="27" t="s">
        <v>2824</v>
      </c>
      <c r="C2309" s="46" t="s">
        <v>5969</v>
      </c>
      <c r="D2309" s="41" t="str">
        <f ca="1">IFERROR(__xludf.DUMMYFUNCTION("IFERROR(ARRAYFORMULA(REGEXEXTRACT(C2309,""^(?:https?:\/\/)?(?:[^@\n]+@)?(?:www\.)?([^:\/\n]+)"")),"""")"),"journalstar.com")</f>
        <v>journalstar.com</v>
      </c>
      <c r="E2309" s="26" t="str">
        <f ca="1">IFERROR(__xludf.DUMMYFUNCTION("""COMPUTED_VALUE"""),"New")</f>
        <v>New</v>
      </c>
      <c r="F2309" s="72">
        <v>77</v>
      </c>
      <c r="G2309" s="72">
        <v>30114</v>
      </c>
      <c r="P2309" s="26"/>
    </row>
    <row r="2310" spans="1:16" ht="14.5" hidden="1">
      <c r="A2310" s="3" t="s">
        <v>38</v>
      </c>
      <c r="B2310" s="27" t="s">
        <v>2824</v>
      </c>
      <c r="C2310" s="46" t="s">
        <v>5970</v>
      </c>
      <c r="D2310" s="41" t="str">
        <f ca="1">IFERROR(__xludf.DUMMYFUNCTION("IFERROR(ARRAYFORMULA(REGEXEXTRACT(C2310,""^(?:https?:\/\/)?(?:[^@\n]+@)?(?:www\.)?([^:\/\n]+)"")),"""")"),"houseofcoco.net")</f>
        <v>houseofcoco.net</v>
      </c>
      <c r="E2310" s="26" t="str">
        <f ca="1">IFERROR(__xludf.DUMMYFUNCTION("""COMPUTED_VALUE"""),"Already Exists")</f>
        <v>Already Exists</v>
      </c>
      <c r="F2310" s="72">
        <v>64</v>
      </c>
      <c r="G2310" s="72">
        <v>3774</v>
      </c>
      <c r="P2310" s="26"/>
    </row>
    <row r="2311" spans="1:16" ht="14.5">
      <c r="A2311" s="3" t="s">
        <v>38</v>
      </c>
      <c r="B2311" s="27" t="s">
        <v>2824</v>
      </c>
      <c r="C2311" s="46" t="s">
        <v>5971</v>
      </c>
      <c r="D2311" s="41" t="str">
        <f ca="1">IFERROR(__xludf.DUMMYFUNCTION("IFERROR(ARRAYFORMULA(REGEXEXTRACT(C2311,""^(?:https?:\/\/)?(?:[^@\n]+@)?(?:www\.)?([^:\/\n]+)"")),"""")"),"tribuneonlineng.com")</f>
        <v>tribuneonlineng.com</v>
      </c>
      <c r="E2311" s="26" t="str">
        <f ca="1">IFERROR(__xludf.DUMMYFUNCTION("""COMPUTED_VALUE"""),"New")</f>
        <v>New</v>
      </c>
      <c r="F2311" s="72">
        <v>75</v>
      </c>
      <c r="G2311" s="72">
        <v>120680</v>
      </c>
      <c r="P2311" s="26"/>
    </row>
    <row r="2312" spans="1:16" ht="14.5">
      <c r="A2312" s="3" t="s">
        <v>38</v>
      </c>
      <c r="B2312" s="27" t="s">
        <v>2824</v>
      </c>
      <c r="C2312" s="46" t="s">
        <v>5972</v>
      </c>
      <c r="D2312" s="41" t="str">
        <f ca="1">IFERROR(__xludf.DUMMYFUNCTION("IFERROR(ARRAYFORMULA(REGEXEXTRACT(C2312,""^(?:https?:\/\/)?(?:[^@\n]+@)?(?:www\.)?([^:\/\n]+)"")),"""")"),"en.as.com")</f>
        <v>en.as.com</v>
      </c>
      <c r="E2312" s="26" t="str">
        <f ca="1">IFERROR(__xludf.DUMMYFUNCTION("""COMPUTED_VALUE"""),"New")</f>
        <v>New</v>
      </c>
      <c r="F2312" s="72">
        <v>85</v>
      </c>
      <c r="G2312" s="72">
        <v>21206162</v>
      </c>
      <c r="P2312" s="26"/>
    </row>
    <row r="2313" spans="1:16" ht="14.5" hidden="1">
      <c r="A2313" s="3" t="s">
        <v>38</v>
      </c>
      <c r="B2313" s="27" t="s">
        <v>2824</v>
      </c>
      <c r="C2313" s="46" t="s">
        <v>5973</v>
      </c>
      <c r="D2313" s="41" t="str">
        <f ca="1">IFERROR(__xludf.DUMMYFUNCTION("IFERROR(ARRAYFORMULA(REGEXEXTRACT(C2313,""^(?:https?:\/\/)?(?:[^@\n]+@)?(?:www\.)?([^:\/\n]+)"")),"""")"),"thebossmagazine.com")</f>
        <v>thebossmagazine.com</v>
      </c>
      <c r="E2313" s="26" t="str">
        <f ca="1">IFERROR(__xludf.DUMMYFUNCTION("""COMPUTED_VALUE"""),"Already Exists")</f>
        <v>Already Exists</v>
      </c>
      <c r="F2313" s="72">
        <v>73</v>
      </c>
      <c r="G2313" s="72">
        <v>2628</v>
      </c>
      <c r="P2313" s="26"/>
    </row>
    <row r="2314" spans="1:16" ht="14.5">
      <c r="A2314" s="3" t="s">
        <v>38</v>
      </c>
      <c r="B2314" s="27" t="s">
        <v>2824</v>
      </c>
      <c r="C2314" s="46" t="s">
        <v>5974</v>
      </c>
      <c r="D2314" s="41" t="str">
        <f ca="1">IFERROR(__xludf.DUMMYFUNCTION("IFERROR(ARRAYFORMULA(REGEXEXTRACT(C2314,""^(?:https?:\/\/)?(?:[^@\n]+@)?(?:www\.)?([^:\/\n]+)"")),"""")"),"elkodaily.com")</f>
        <v>elkodaily.com</v>
      </c>
      <c r="E2314" s="26" t="str">
        <f ca="1">IFERROR(__xludf.DUMMYFUNCTION("""COMPUTED_VALUE"""),"New")</f>
        <v>New</v>
      </c>
      <c r="F2314" s="72">
        <v>62</v>
      </c>
      <c r="G2314" s="72">
        <v>6073</v>
      </c>
      <c r="P2314" s="26"/>
    </row>
    <row r="2315" spans="1:16" ht="14.5" hidden="1">
      <c r="A2315" s="3" t="s">
        <v>38</v>
      </c>
      <c r="B2315" s="27" t="s">
        <v>2824</v>
      </c>
      <c r="C2315" s="46" t="s">
        <v>5975</v>
      </c>
      <c r="D2315" s="41" t="str">
        <f ca="1">IFERROR(__xludf.DUMMYFUNCTION("IFERROR(ARRAYFORMULA(REGEXEXTRACT(C2315,""^(?:https?:\/\/)?(?:[^@\n]+@)?(?:www\.)?([^:\/\n]+)"")),"""")"),"press.farm")</f>
        <v>press.farm</v>
      </c>
      <c r="E2315" s="26" t="str">
        <f ca="1">IFERROR(__xludf.DUMMYFUNCTION("""COMPUTED_VALUE"""),"Already Exists")</f>
        <v>Already Exists</v>
      </c>
      <c r="F2315" s="72">
        <v>76</v>
      </c>
      <c r="G2315" s="72">
        <v>2069</v>
      </c>
      <c r="P2315" s="26"/>
    </row>
    <row r="2316" spans="1:16" ht="14.5" hidden="1">
      <c r="A2316" s="3" t="s">
        <v>38</v>
      </c>
      <c r="B2316" s="27" t="s">
        <v>2824</v>
      </c>
      <c r="C2316" s="46" t="s">
        <v>5976</v>
      </c>
      <c r="D2316" s="41" t="str">
        <f ca="1">IFERROR(__xludf.DUMMYFUNCTION("IFERROR(ARRAYFORMULA(REGEXEXTRACT(C2316,""^(?:https?:\/\/)?(?:[^@\n]+@)?(?:www\.)?([^:\/\n]+)"")),"""")"),"hrfuture.net")</f>
        <v>hrfuture.net</v>
      </c>
      <c r="E2316" s="26" t="str">
        <f ca="1">IFERROR(__xludf.DUMMYFUNCTION("""COMPUTED_VALUE"""),"Already Exists")</f>
        <v>Already Exists</v>
      </c>
      <c r="F2316" s="72">
        <v>64</v>
      </c>
      <c r="G2316" s="72">
        <v>2660</v>
      </c>
      <c r="P2316" s="26"/>
    </row>
    <row r="2317" spans="1:16" ht="14.5" hidden="1">
      <c r="A2317" s="3" t="s">
        <v>38</v>
      </c>
      <c r="B2317" s="27" t="s">
        <v>2824</v>
      </c>
      <c r="C2317" s="46" t="s">
        <v>5977</v>
      </c>
      <c r="D2317" s="41" t="str">
        <f ca="1">IFERROR(__xludf.DUMMYFUNCTION("IFERROR(ARRAYFORMULA(REGEXEXTRACT(C2317,""^(?:https?:\/\/)?(?:[^@\n]+@)?(?:www\.)?([^:\/\n]+)"")),"""")"),"calbizjournal.com")</f>
        <v>calbizjournal.com</v>
      </c>
      <c r="E2317" s="26" t="str">
        <f ca="1">IFERROR(__xludf.DUMMYFUNCTION("""COMPUTED_VALUE"""),"Already Exists")</f>
        <v>Already Exists</v>
      </c>
      <c r="F2317" s="72">
        <v>71</v>
      </c>
      <c r="G2317" s="72">
        <v>1231</v>
      </c>
      <c r="P2317" s="26"/>
    </row>
    <row r="2318" spans="1:16" ht="14.5">
      <c r="A2318" s="3" t="s">
        <v>38</v>
      </c>
      <c r="B2318" s="27" t="s">
        <v>2824</v>
      </c>
      <c r="C2318" s="46" t="s">
        <v>5978</v>
      </c>
      <c r="D2318" s="41" t="str">
        <f ca="1">IFERROR(__xludf.DUMMYFUNCTION("IFERROR(ARRAYFORMULA(REGEXEXTRACT(C2318,""^(?:https?:\/\/)?(?:[^@\n]+@)?(?:www\.)?([^:\/\n]+)"")),"""")"),"signalscv.com")</f>
        <v>signalscv.com</v>
      </c>
      <c r="E2318" s="26" t="str">
        <f ca="1">IFERROR(__xludf.DUMMYFUNCTION("""COMPUTED_VALUE"""),"New")</f>
        <v>New</v>
      </c>
      <c r="F2318" s="72">
        <v>73</v>
      </c>
      <c r="G2318" s="72">
        <v>16347</v>
      </c>
      <c r="P2318" s="26"/>
    </row>
    <row r="2319" spans="1:16" ht="14.5">
      <c r="A2319" s="3" t="s">
        <v>38</v>
      </c>
      <c r="B2319" s="27" t="s">
        <v>2824</v>
      </c>
      <c r="C2319" s="46" t="s">
        <v>5979</v>
      </c>
      <c r="D2319" s="41" t="str">
        <f ca="1">IFERROR(__xludf.DUMMYFUNCTION("IFERROR(ARRAYFORMULA(REGEXEXTRACT(C2319,""^(?:https?:\/\/)?(?:[^@\n]+@)?(?:www\.)?([^:\/\n]+)"")),"""")"),"nonpareilonline.com")</f>
        <v>nonpareilonline.com</v>
      </c>
      <c r="E2319" s="26" t="str">
        <f ca="1">IFERROR(__xludf.DUMMYFUNCTION("""COMPUTED_VALUE"""),"New")</f>
        <v>New</v>
      </c>
      <c r="F2319" s="72">
        <v>59</v>
      </c>
      <c r="G2319" s="72">
        <v>3539</v>
      </c>
      <c r="P2319" s="26"/>
    </row>
    <row r="2320" spans="1:16" ht="14.5" hidden="1">
      <c r="A2320" s="3" t="s">
        <v>38</v>
      </c>
      <c r="B2320" s="27" t="s">
        <v>2824</v>
      </c>
      <c r="C2320" s="46" t="s">
        <v>5980</v>
      </c>
      <c r="D2320" s="41" t="str">
        <f ca="1">IFERROR(__xludf.DUMMYFUNCTION("IFERROR(ARRAYFORMULA(REGEXEXTRACT(C2320,""^(?:https?:\/\/)?(?:[^@\n]+@)?(?:www\.)?([^:\/\n]+)"")),"""")"),"credit.com")</f>
        <v>credit.com</v>
      </c>
      <c r="E2320" s="26" t="str">
        <f ca="1">IFERROR(__xludf.DUMMYFUNCTION("""COMPUTED_VALUE"""),"Already Exists")</f>
        <v>Already Exists</v>
      </c>
      <c r="F2320" s="72">
        <v>76</v>
      </c>
      <c r="G2320" s="72">
        <v>40088</v>
      </c>
      <c r="P2320" s="26"/>
    </row>
    <row r="2321" spans="1:16" ht="14.5" hidden="1">
      <c r="A2321" s="3" t="s">
        <v>38</v>
      </c>
      <c r="B2321" s="27" t="s">
        <v>2824</v>
      </c>
      <c r="C2321" s="46" t="s">
        <v>5981</v>
      </c>
      <c r="D2321" s="41" t="str">
        <f ca="1">IFERROR(__xludf.DUMMYFUNCTION("IFERROR(ARRAYFORMULA(REGEXEXTRACT(C2321,""^(?:https?:\/\/)?(?:[^@\n]+@)?(?:www\.)?([^:\/\n]+)"")),"""")"),"iuemag.com")</f>
        <v>iuemag.com</v>
      </c>
      <c r="E2321" s="26" t="str">
        <f ca="1">IFERROR(__xludf.DUMMYFUNCTION("""COMPUTED_VALUE"""),"Already Exists")</f>
        <v>Already Exists</v>
      </c>
      <c r="F2321" s="72">
        <v>43</v>
      </c>
      <c r="G2321" s="72">
        <v>1692</v>
      </c>
      <c r="P2321" s="26"/>
    </row>
    <row r="2322" spans="1:16" ht="14.5">
      <c r="A2322" s="3" t="s">
        <v>38</v>
      </c>
      <c r="B2322" s="27" t="s">
        <v>2824</v>
      </c>
      <c r="C2322" s="46" t="s">
        <v>5982</v>
      </c>
      <c r="D2322" s="41" t="str">
        <f ca="1">IFERROR(__xludf.DUMMYFUNCTION("IFERROR(ARRAYFORMULA(REGEXEXTRACT(C2322,""^(?:https?:\/\/)?(?:[^@\n]+@)?(?:www\.)?([^:\/\n]+)"")),"""")"),"businessinitiative.org")</f>
        <v>businessinitiative.org</v>
      </c>
      <c r="E2322" s="26" t="str">
        <f ca="1">IFERROR(__xludf.DUMMYFUNCTION("""COMPUTED_VALUE"""),"New")</f>
        <v>New</v>
      </c>
      <c r="F2322" s="72">
        <v>49</v>
      </c>
      <c r="G2322" s="72">
        <v>6359</v>
      </c>
      <c r="P2322" s="26"/>
    </row>
    <row r="2323" spans="1:16" ht="14.5">
      <c r="A2323" s="3" t="s">
        <v>38</v>
      </c>
      <c r="B2323" s="27" t="s">
        <v>2824</v>
      </c>
      <c r="C2323" s="46" t="s">
        <v>5983</v>
      </c>
      <c r="D2323" s="41" t="str">
        <f ca="1">IFERROR(__xludf.DUMMYFUNCTION("IFERROR(ARRAYFORMULA(REGEXEXTRACT(C2323,""^(?:https?:\/\/)?(?:[^@\n]+@)?(?:www\.)?([^:\/\n]+)"")),"""")"),"mynewsgh.com")</f>
        <v>mynewsgh.com</v>
      </c>
      <c r="E2323" s="26" t="str">
        <f ca="1">IFERROR(__xludf.DUMMYFUNCTION("""COMPUTED_VALUE"""),"New")</f>
        <v>New</v>
      </c>
      <c r="F2323" s="72">
        <v>52</v>
      </c>
      <c r="G2323" s="72">
        <v>3696</v>
      </c>
      <c r="P2323" s="26"/>
    </row>
    <row r="2324" spans="1:16" ht="14.5">
      <c r="A2324" s="3" t="s">
        <v>38</v>
      </c>
      <c r="B2324" s="27" t="s">
        <v>2824</v>
      </c>
      <c r="C2324" s="46" t="s">
        <v>5984</v>
      </c>
      <c r="D2324" s="41" t="str">
        <f ca="1">IFERROR(__xludf.DUMMYFUNCTION("IFERROR(ARRAYFORMULA(REGEXEXTRACT(C2324,""^(?:https?:\/\/)?(?:[^@\n]+@)?(?:www\.)?([^:\/\n]+)"")),"""")"),"career.uconn.edu")</f>
        <v>career.uconn.edu</v>
      </c>
      <c r="E2324" s="26" t="str">
        <f ca="1">IFERROR(__xludf.DUMMYFUNCTION("""COMPUTED_VALUE"""),"New")</f>
        <v>New</v>
      </c>
      <c r="F2324" s="72">
        <v>86</v>
      </c>
      <c r="G2324" s="72">
        <v>579565</v>
      </c>
      <c r="P2324" s="26"/>
    </row>
    <row r="2325" spans="1:16" ht="14.5">
      <c r="A2325" s="3" t="s">
        <v>38</v>
      </c>
      <c r="B2325" s="27" t="s">
        <v>2824</v>
      </c>
      <c r="C2325" s="46" t="s">
        <v>5985</v>
      </c>
      <c r="D2325" s="41" t="str">
        <f ca="1">IFERROR(__xludf.DUMMYFUNCTION("IFERROR(ARRAYFORMULA(REGEXEXTRACT(C2325,""^(?:https?:\/\/)?(?:[^@\n]+@)?(?:www\.)?([^:\/\n]+)"")),"""")"),"punjabnewsexpress.com")</f>
        <v>punjabnewsexpress.com</v>
      </c>
      <c r="E2325" s="26" t="str">
        <f ca="1">IFERROR(__xludf.DUMMYFUNCTION("""COMPUTED_VALUE"""),"New")</f>
        <v>New</v>
      </c>
      <c r="F2325" s="72">
        <v>53</v>
      </c>
      <c r="G2325" s="72">
        <v>28161</v>
      </c>
      <c r="P2325" s="26"/>
    </row>
    <row r="2326" spans="1:16" ht="14.5">
      <c r="A2326" s="3" t="s">
        <v>38</v>
      </c>
      <c r="B2326" s="27" t="s">
        <v>2824</v>
      </c>
      <c r="C2326" s="46" t="s">
        <v>5986</v>
      </c>
      <c r="D2326" s="41" t="str">
        <f ca="1">IFERROR(__xludf.DUMMYFUNCTION("IFERROR(ARRAYFORMULA(REGEXEXTRACT(C2326,""^(?:https?:\/\/)?(?:[^@\n]+@)?(?:www\.)?([^:\/\n]+)"")),"""")"),"smartreach.io")</f>
        <v>smartreach.io</v>
      </c>
      <c r="E2326" s="26" t="str">
        <f ca="1">IFERROR(__xludf.DUMMYFUNCTION("""COMPUTED_VALUE"""),"New")</f>
        <v>New</v>
      </c>
      <c r="F2326" s="72">
        <v>73</v>
      </c>
      <c r="G2326" s="72">
        <v>5191</v>
      </c>
      <c r="P2326" s="26"/>
    </row>
    <row r="2327" spans="1:16" ht="14.5">
      <c r="A2327" s="3" t="s">
        <v>38</v>
      </c>
      <c r="B2327" s="27" t="s">
        <v>2824</v>
      </c>
      <c r="C2327" s="46" t="s">
        <v>5987</v>
      </c>
      <c r="D2327" s="41" t="str">
        <f ca="1">IFERROR(__xludf.DUMMYFUNCTION("IFERROR(ARRAYFORMULA(REGEXEXTRACT(C2327,""^(?:https?:\/\/)?(?:[^@\n]+@)?(?:www\.)?([^:\/\n]+)"")),"""")"),"cloudcontactai.com")</f>
        <v>cloudcontactai.com</v>
      </c>
      <c r="E2327" s="26" t="str">
        <f ca="1">IFERROR(__xludf.DUMMYFUNCTION("""COMPUTED_VALUE"""),"New")</f>
        <v>New</v>
      </c>
      <c r="F2327" s="72">
        <v>39</v>
      </c>
      <c r="G2327" s="72">
        <v>3781</v>
      </c>
      <c r="P2327" s="26"/>
    </row>
    <row r="2328" spans="1:16" ht="14.5">
      <c r="A2328" s="3" t="s">
        <v>38</v>
      </c>
      <c r="B2328" s="27" t="s">
        <v>2824</v>
      </c>
      <c r="C2328" s="46" t="s">
        <v>5988</v>
      </c>
      <c r="D2328" s="41" t="str">
        <f ca="1">IFERROR(__xludf.DUMMYFUNCTION("IFERROR(ARRAYFORMULA(REGEXEXTRACT(C2328,""^(?:https?:\/\/)?(?:[^@\n]+@)?(?:www\.)?([^:\/\n]+)"")),"""")"),"blog.curemd.com")</f>
        <v>blog.curemd.com</v>
      </c>
      <c r="E2328" s="26" t="str">
        <f ca="1">IFERROR(__xludf.DUMMYFUNCTION("""COMPUTED_VALUE"""),"New")</f>
        <v>New</v>
      </c>
      <c r="F2328" s="72">
        <v>70</v>
      </c>
      <c r="G2328" s="72">
        <v>42617</v>
      </c>
      <c r="P2328" s="26"/>
    </row>
    <row r="2329" spans="1:16" ht="14.5">
      <c r="A2329" s="3" t="s">
        <v>38</v>
      </c>
      <c r="B2329" s="27" t="s">
        <v>2824</v>
      </c>
      <c r="C2329" s="46" t="s">
        <v>5989</v>
      </c>
      <c r="D2329" s="41" t="str">
        <f ca="1">IFERROR(__xludf.DUMMYFUNCTION("IFERROR(ARRAYFORMULA(REGEXEXTRACT(C2329,""^(?:https?:\/\/)?(?:[^@\n]+@)?(?:www\.)?([^:\/\n]+)"")),"""")"),"careers.augustana.edu")</f>
        <v>careers.augustana.edu</v>
      </c>
      <c r="E2329" s="26" t="str">
        <f ca="1">IFERROR(__xludf.DUMMYFUNCTION("""COMPUTED_VALUE"""),"New")</f>
        <v>New</v>
      </c>
      <c r="F2329" s="72">
        <v>72</v>
      </c>
      <c r="G2329" s="72">
        <v>15756</v>
      </c>
      <c r="P2329" s="26"/>
    </row>
    <row r="2330" spans="1:16" ht="14.5" hidden="1">
      <c r="A2330" s="3" t="s">
        <v>38</v>
      </c>
      <c r="B2330" s="27" t="s">
        <v>2824</v>
      </c>
      <c r="C2330" s="46" t="s">
        <v>5990</v>
      </c>
      <c r="D2330" s="41" t="str">
        <f ca="1">IFERROR(__xludf.DUMMYFUNCTION("IFERROR(ARRAYFORMULA(REGEXEXTRACT(C2330,""^(?:https?:\/\/)?(?:[^@\n]+@)?(?:www\.)?([^:\/\n]+)"")),"""")"),"expertlawfirm.com")</f>
        <v>expertlawfirm.com</v>
      </c>
      <c r="E2330" s="26" t="str">
        <f ca="1">IFERROR(__xludf.DUMMYFUNCTION("""COMPUTED_VALUE"""),"Already Exists")</f>
        <v>Already Exists</v>
      </c>
      <c r="F2330" s="72">
        <v>27</v>
      </c>
      <c r="G2330" s="72">
        <v>3108</v>
      </c>
      <c r="P2330" s="26"/>
    </row>
    <row r="2331" spans="1:16" ht="14.5">
      <c r="A2331" s="3" t="s">
        <v>38</v>
      </c>
      <c r="B2331" s="27" t="s">
        <v>2824</v>
      </c>
      <c r="C2331" s="46" t="s">
        <v>5991</v>
      </c>
      <c r="D2331" s="41" t="str">
        <f ca="1">IFERROR(__xludf.DUMMYFUNCTION("IFERROR(ARRAYFORMULA(REGEXEXTRACT(C2331,""^(?:https?:\/\/)?(?:[^@\n]+@)?(?:www\.)?([^:\/\n]+)"")),"""")"),"theinvestorspodcast.com")</f>
        <v>theinvestorspodcast.com</v>
      </c>
      <c r="E2331" s="26" t="str">
        <f ca="1">IFERROR(__xludf.DUMMYFUNCTION("""COMPUTED_VALUE"""),"New")</f>
        <v>New</v>
      </c>
      <c r="F2331" s="72">
        <v>71</v>
      </c>
      <c r="G2331" s="72">
        <v>15932</v>
      </c>
      <c r="P2331" s="26"/>
    </row>
    <row r="2332" spans="1:16" ht="14.5">
      <c r="A2332" s="3" t="s">
        <v>38</v>
      </c>
      <c r="B2332" s="27" t="s">
        <v>2824</v>
      </c>
      <c r="C2332" s="49" t="s">
        <v>5992</v>
      </c>
      <c r="D2332" s="41" t="str">
        <f ca="1">IFERROR(__xludf.DUMMYFUNCTION("IFERROR(ARRAYFORMULA(REGEXEXTRACT(C2332,""^(?:https?:\/\/)?(?:[^@\n]+@)?(?:www\.)?([^:\/\n]+)"")),"""")"),"stylecurator.com.au")</f>
        <v>stylecurator.com.au</v>
      </c>
      <c r="E2332" s="26" t="str">
        <f ca="1">IFERROR(__xludf.DUMMYFUNCTION("""COMPUTED_VALUE"""),"New")</f>
        <v>New</v>
      </c>
      <c r="F2332" s="72">
        <v>57</v>
      </c>
      <c r="G2332" s="72">
        <v>8924</v>
      </c>
      <c r="H2332" s="27" t="s">
        <v>5993</v>
      </c>
      <c r="I2332" s="27" t="s">
        <v>5994</v>
      </c>
      <c r="J2332" s="27" t="s">
        <v>5995</v>
      </c>
      <c r="K2332" s="27" t="s">
        <v>3839</v>
      </c>
      <c r="L2332" s="112"/>
      <c r="M2332" s="27" t="s">
        <v>3117</v>
      </c>
      <c r="N2332" s="48">
        <v>46049</v>
      </c>
      <c r="O2332" s="48">
        <v>46083</v>
      </c>
      <c r="P2332" s="26"/>
    </row>
    <row r="2333" spans="1:16" ht="14.5">
      <c r="A2333" s="3" t="s">
        <v>38</v>
      </c>
      <c r="B2333" s="27" t="s">
        <v>2824</v>
      </c>
      <c r="C2333" s="46" t="s">
        <v>5996</v>
      </c>
      <c r="D2333" s="41" t="str">
        <f ca="1">IFERROR(__xludf.DUMMYFUNCTION("IFERROR(ARRAYFORMULA(REGEXEXTRACT(C2333,""^(?:https?:\/\/)?(?:[^@\n]+@)?(?:www\.)?([^:\/\n]+)"")),"""")"),"rexsdeli.com")</f>
        <v>rexsdeli.com</v>
      </c>
      <c r="E2333" s="26" t="str">
        <f ca="1">IFERROR(__xludf.DUMMYFUNCTION("""COMPUTED_VALUE"""),"New")</f>
        <v>New</v>
      </c>
      <c r="F2333" s="72">
        <v>23</v>
      </c>
      <c r="G2333" s="72">
        <v>5805</v>
      </c>
      <c r="P2333" s="26"/>
    </row>
    <row r="2334" spans="1:16" ht="14.5">
      <c r="A2334" s="3" t="s">
        <v>38</v>
      </c>
      <c r="B2334" s="27" t="s">
        <v>2824</v>
      </c>
      <c r="C2334" s="46" t="s">
        <v>5997</v>
      </c>
      <c r="D2334" s="41" t="str">
        <f ca="1">IFERROR(__xludf.DUMMYFUNCTION("IFERROR(ARRAYFORMULA(REGEXEXTRACT(C2334,""^(?:https?:\/\/)?(?:[^@\n]+@)?(?:www\.)?([^:\/\n]+)"")),"""")"),"referralcandy.com")</f>
        <v>referralcandy.com</v>
      </c>
      <c r="E2334" s="26" t="str">
        <f ca="1">IFERROR(__xludf.DUMMYFUNCTION("""COMPUTED_VALUE"""),"New")</f>
        <v>New</v>
      </c>
      <c r="F2334" s="72">
        <v>83</v>
      </c>
      <c r="G2334" s="72">
        <v>18675</v>
      </c>
      <c r="P2334" s="26"/>
    </row>
    <row r="2335" spans="1:16" ht="14.5" hidden="1">
      <c r="A2335" s="3" t="s">
        <v>38</v>
      </c>
      <c r="B2335" s="27" t="s">
        <v>2824</v>
      </c>
      <c r="C2335" s="46" t="s">
        <v>5998</v>
      </c>
      <c r="D2335" s="41" t="str">
        <f ca="1">IFERROR(__xludf.DUMMYFUNCTION("IFERROR(ARRAYFORMULA(REGEXEXTRACT(C2335,""^(?:https?:\/\/)?(?:[^@\n]+@)?(?:www\.)?([^:\/\n]+)"")),"""")"),"harlemworldmagazine.com")</f>
        <v>harlemworldmagazine.com</v>
      </c>
      <c r="E2335" s="26" t="str">
        <f ca="1">IFERROR(__xludf.DUMMYFUNCTION("""COMPUTED_VALUE"""),"Already Exists")</f>
        <v>Already Exists</v>
      </c>
      <c r="F2335" s="72">
        <v>71</v>
      </c>
      <c r="G2335" s="72">
        <v>5695</v>
      </c>
      <c r="P2335" s="26"/>
    </row>
    <row r="2336" spans="1:16" ht="14.5">
      <c r="A2336" s="3" t="s">
        <v>38</v>
      </c>
      <c r="B2336" s="27" t="s">
        <v>2824</v>
      </c>
      <c r="C2336" s="46" t="s">
        <v>5999</v>
      </c>
      <c r="D2336" s="41" t="str">
        <f ca="1">IFERROR(__xludf.DUMMYFUNCTION("IFERROR(ARRAYFORMULA(REGEXEXTRACT(C2336,""^(?:https?:\/\/)?(?:[^@\n]+@)?(?:www\.)?([^:\/\n]+)"")),"""")"),"pigmancareers.uky.edu")</f>
        <v>pigmancareers.uky.edu</v>
      </c>
      <c r="E2336" s="26" t="str">
        <f ca="1">IFERROR(__xludf.DUMMYFUNCTION("""COMPUTED_VALUE"""),"New")</f>
        <v>New</v>
      </c>
      <c r="F2336" s="72">
        <v>87</v>
      </c>
      <c r="G2336" s="72">
        <v>563436</v>
      </c>
      <c r="P2336" s="26"/>
    </row>
    <row r="2337" spans="1:16" ht="14.5" hidden="1">
      <c r="A2337" s="3" t="s">
        <v>38</v>
      </c>
      <c r="B2337" s="27" t="s">
        <v>2824</v>
      </c>
      <c r="C2337" s="46" t="s">
        <v>6000</v>
      </c>
      <c r="D2337" s="41" t="str">
        <f ca="1">IFERROR(__xludf.DUMMYFUNCTION("IFERROR(ARRAYFORMULA(REGEXEXTRACT(C2337,""^(?:https?:\/\/)?(?:[^@\n]+@)?(?:www\.)?([^:\/\n]+)"")),"""")"),"build-review.com")</f>
        <v>build-review.com</v>
      </c>
      <c r="E2337" s="26" t="str">
        <f ca="1">IFERROR(__xludf.DUMMYFUNCTION("""COMPUTED_VALUE"""),"Already Exists")</f>
        <v>Already Exists</v>
      </c>
      <c r="F2337" s="72">
        <v>74</v>
      </c>
      <c r="G2337" s="72">
        <v>2200</v>
      </c>
      <c r="P2337" s="26"/>
    </row>
    <row r="2338" spans="1:16" ht="14.5">
      <c r="A2338" s="3" t="s">
        <v>38</v>
      </c>
      <c r="B2338" s="27" t="s">
        <v>2824</v>
      </c>
      <c r="C2338" s="46" t="s">
        <v>6001</v>
      </c>
      <c r="D2338" s="41" t="str">
        <f ca="1">IFERROR(__xludf.DUMMYFUNCTION("IFERROR(ARRAYFORMULA(REGEXEXTRACT(C2338,""^(?:https?:\/\/)?(?:[^@\n]+@)?(?:www\.)?([^:\/\n]+)"")),"""")"),"state-journal.com")</f>
        <v>state-journal.com</v>
      </c>
      <c r="E2338" s="26" t="str">
        <f ca="1">IFERROR(__xludf.DUMMYFUNCTION("""COMPUTED_VALUE"""),"New")</f>
        <v>New</v>
      </c>
      <c r="F2338" s="72">
        <v>63</v>
      </c>
      <c r="G2338" s="72">
        <v>5646</v>
      </c>
      <c r="P2338" s="26"/>
    </row>
    <row r="2339" spans="1:16" ht="14.5">
      <c r="A2339" s="3" t="s">
        <v>38</v>
      </c>
      <c r="B2339" s="27" t="s">
        <v>2824</v>
      </c>
      <c r="C2339" s="46" t="s">
        <v>6002</v>
      </c>
      <c r="D2339" s="41" t="str">
        <f ca="1">IFERROR(__xludf.DUMMYFUNCTION("IFERROR(ARRAYFORMULA(REGEXEXTRACT(C2339,""^(?:https?:\/\/)?(?:[^@\n]+@)?(?:www\.)?([^:\/\n]+)"")),"""")"),"filmink.com.au")</f>
        <v>filmink.com.au</v>
      </c>
      <c r="E2339" s="26" t="str">
        <f ca="1">IFERROR(__xludf.DUMMYFUNCTION("""COMPUTED_VALUE"""),"New")</f>
        <v>New</v>
      </c>
      <c r="F2339" s="72">
        <v>72</v>
      </c>
      <c r="G2339" s="72">
        <v>11502</v>
      </c>
      <c r="P2339" s="26"/>
    </row>
    <row r="2340" spans="1:16" ht="14.5" hidden="1">
      <c r="A2340" s="3" t="s">
        <v>38</v>
      </c>
      <c r="B2340" s="27" t="s">
        <v>2824</v>
      </c>
      <c r="C2340" s="46" t="s">
        <v>6003</v>
      </c>
      <c r="D2340" s="41" t="str">
        <f ca="1">IFERROR(__xludf.DUMMYFUNCTION("IFERROR(ARRAYFORMULA(REGEXEXTRACT(C2340,""^(?:https?:\/\/)?(?:[^@\n]+@)?(?:www\.)?([^:\/\n]+)"")),"""")"),"contentbase.com")</f>
        <v>contentbase.com</v>
      </c>
      <c r="E2340" s="26" t="str">
        <f ca="1">IFERROR(__xludf.DUMMYFUNCTION("""COMPUTED_VALUE"""),"Already Exists")</f>
        <v>Already Exists</v>
      </c>
      <c r="F2340" s="72">
        <v>43</v>
      </c>
      <c r="G2340" s="72">
        <v>1085</v>
      </c>
      <c r="P2340" s="26"/>
    </row>
    <row r="2341" spans="1:16" ht="14.5" hidden="1">
      <c r="A2341" s="3" t="s">
        <v>38</v>
      </c>
      <c r="B2341" s="27" t="s">
        <v>2824</v>
      </c>
      <c r="C2341" s="46" t="s">
        <v>6004</v>
      </c>
      <c r="D2341" s="41" t="str">
        <f ca="1">IFERROR(__xludf.DUMMYFUNCTION("IFERROR(ARRAYFORMULA(REGEXEXTRACT(C2341,""^(?:https?:\/\/)?(?:[^@\n]+@)?(?:www\.)?([^:\/\n]+)"")),"""")"),"agirlworthsaving.net")</f>
        <v>agirlworthsaving.net</v>
      </c>
      <c r="E2341" s="26" t="str">
        <f ca="1">IFERROR(__xludf.DUMMYFUNCTION("""COMPUTED_VALUE"""),"Already Exists")</f>
        <v>Already Exists</v>
      </c>
      <c r="F2341" s="72">
        <v>48</v>
      </c>
      <c r="G2341" s="72">
        <v>1427</v>
      </c>
      <c r="P2341" s="26"/>
    </row>
    <row r="2342" spans="1:16" ht="14.5">
      <c r="A2342" s="3" t="s">
        <v>38</v>
      </c>
      <c r="B2342" s="27" t="s">
        <v>2824</v>
      </c>
      <c r="C2342" s="46" t="s">
        <v>6005</v>
      </c>
      <c r="D2342" s="41" t="str">
        <f ca="1">IFERROR(__xludf.DUMMYFUNCTION("IFERROR(ARRAYFORMULA(REGEXEXTRACT(C2342,""^(?:https?:\/\/)?(?:[^@\n]+@)?(?:www\.)?([^:\/\n]+)"")),"""")"),"moneygeek.com")</f>
        <v>moneygeek.com</v>
      </c>
      <c r="E2342" s="26" t="str">
        <f ca="1">IFERROR(__xludf.DUMMYFUNCTION("""COMPUTED_VALUE"""),"New")</f>
        <v>New</v>
      </c>
      <c r="F2342" s="72">
        <v>77</v>
      </c>
      <c r="G2342" s="72">
        <v>153931</v>
      </c>
      <c r="P2342" s="26"/>
    </row>
    <row r="2343" spans="1:16" ht="14.5">
      <c r="A2343" s="3" t="s">
        <v>38</v>
      </c>
      <c r="B2343" s="27" t="s">
        <v>2824</v>
      </c>
      <c r="C2343" s="46" t="s">
        <v>6006</v>
      </c>
      <c r="D2343" s="41" t="str">
        <f ca="1">IFERROR(__xludf.DUMMYFUNCTION("IFERROR(ARRAYFORMULA(REGEXEXTRACT(C2343,""^(?:https?:\/\/)?(?:[^@\n]+@)?(?:www\.)?([^:\/\n]+)"")),"""")"),"isrgrajan.com")</f>
        <v>isrgrajan.com</v>
      </c>
      <c r="E2343" s="26" t="str">
        <f ca="1">IFERROR(__xludf.DUMMYFUNCTION("""COMPUTED_VALUE"""),"New")</f>
        <v>New</v>
      </c>
      <c r="F2343" s="72">
        <v>27</v>
      </c>
      <c r="G2343" s="72">
        <v>1186</v>
      </c>
      <c r="P2343" s="26"/>
    </row>
    <row r="2344" spans="1:16" ht="14.5">
      <c r="A2344" s="3" t="s">
        <v>38</v>
      </c>
      <c r="B2344" s="27" t="s">
        <v>2824</v>
      </c>
      <c r="C2344" s="46" t="s">
        <v>6007</v>
      </c>
      <c r="D2344" s="41" t="str">
        <f ca="1">IFERROR(__xludf.DUMMYFUNCTION("IFERROR(ARRAYFORMULA(REGEXEXTRACT(C2344,""^(?:https?:\/\/)?(?:[^@\n]+@)?(?:www\.)?([^:\/\n]+)"")),"""")"),"career.online.ou.edu")</f>
        <v>career.online.ou.edu</v>
      </c>
      <c r="E2344" s="26" t="str">
        <f ca="1">IFERROR(__xludf.DUMMYFUNCTION("""COMPUTED_VALUE"""),"New")</f>
        <v>New</v>
      </c>
      <c r="F2344" s="72">
        <v>83</v>
      </c>
      <c r="G2344" s="72">
        <v>202124</v>
      </c>
      <c r="P2344" s="26"/>
    </row>
    <row r="2345" spans="1:16" ht="14.5">
      <c r="A2345" s="3" t="s">
        <v>38</v>
      </c>
      <c r="B2345" s="27" t="s">
        <v>2824</v>
      </c>
      <c r="C2345" s="46" t="s">
        <v>6008</v>
      </c>
      <c r="D2345" s="41" t="str">
        <f ca="1">IFERROR(__xludf.DUMMYFUNCTION("IFERROR(ARRAYFORMULA(REGEXEXTRACT(C2345,""^(?:https?:\/\/)?(?:[^@\n]+@)?(?:www\.)?([^:\/\n]+)"")),"""")"),"vteams.com")</f>
        <v>vteams.com</v>
      </c>
      <c r="E2345" s="26" t="str">
        <f ca="1">IFERROR(__xludf.DUMMYFUNCTION("""COMPUTED_VALUE"""),"New")</f>
        <v>New</v>
      </c>
      <c r="F2345" s="72">
        <v>45</v>
      </c>
      <c r="G2345" s="72">
        <v>1559</v>
      </c>
      <c r="P2345" s="26"/>
    </row>
    <row r="2346" spans="1:16" ht="14.5">
      <c r="A2346" s="3" t="s">
        <v>38</v>
      </c>
      <c r="B2346" s="27" t="s">
        <v>2824</v>
      </c>
      <c r="C2346" s="49" t="s">
        <v>6009</v>
      </c>
      <c r="D2346" s="41" t="str">
        <f ca="1">IFERROR(__xludf.DUMMYFUNCTION("IFERROR(ARRAYFORMULA(REGEXEXTRACT(C2346,""^(?:https?:\/\/)?(?:[^@\n]+@)?(?:www\.)?([^:\/\n]+)"")),"""")"),"t2conline.com")</f>
        <v>t2conline.com</v>
      </c>
      <c r="E2346" s="26" t="str">
        <f ca="1">IFERROR(__xludf.DUMMYFUNCTION("""COMPUTED_VALUE"""),"New")</f>
        <v>New</v>
      </c>
      <c r="F2346" s="72">
        <v>72</v>
      </c>
      <c r="G2346" s="72">
        <v>3398</v>
      </c>
      <c r="H2346" s="27" t="s">
        <v>6010</v>
      </c>
      <c r="I2346" s="27" t="s">
        <v>6011</v>
      </c>
      <c r="J2346" s="27" t="s">
        <v>6012</v>
      </c>
      <c r="K2346" s="27" t="s">
        <v>3772</v>
      </c>
      <c r="L2346" s="112"/>
      <c r="M2346" s="27" t="s">
        <v>3117</v>
      </c>
      <c r="N2346" s="48">
        <v>46049</v>
      </c>
      <c r="P2346" s="26"/>
    </row>
    <row r="2347" spans="1:16" ht="14.5">
      <c r="A2347" s="3" t="s">
        <v>38</v>
      </c>
      <c r="B2347" s="27" t="s">
        <v>2824</v>
      </c>
      <c r="C2347" s="46" t="s">
        <v>6013</v>
      </c>
      <c r="D2347" s="41" t="str">
        <f ca="1">IFERROR(__xludf.DUMMYFUNCTION("IFERROR(ARRAYFORMULA(REGEXEXTRACT(C2347,""^(?:https?:\/\/)?(?:[^@\n]+@)?(?:www\.)?([^:\/\n]+)"")),"""")"),"jobma.com")</f>
        <v>jobma.com</v>
      </c>
      <c r="E2347" s="26" t="str">
        <f ca="1">IFERROR(__xludf.DUMMYFUNCTION("""COMPUTED_VALUE"""),"New")</f>
        <v>New</v>
      </c>
      <c r="F2347" s="72">
        <v>69</v>
      </c>
      <c r="G2347" s="72">
        <v>2299</v>
      </c>
      <c r="P2347" s="26"/>
    </row>
    <row r="2348" spans="1:16" ht="14.5" hidden="1">
      <c r="A2348" s="3" t="s">
        <v>38</v>
      </c>
      <c r="B2348" s="27" t="s">
        <v>2824</v>
      </c>
      <c r="C2348" s="47" t="s">
        <v>6014</v>
      </c>
      <c r="D2348" s="41" t="str">
        <f ca="1">IFERROR(__xludf.DUMMYFUNCTION("IFERROR(ARRAYFORMULA(REGEXEXTRACT(C2348,""^(?:https?:\/\/)?(?:[^@\n]+@)?(?:www\.)?([^:\/\n]+)"")),"""")"),"cocobutterblog.co.uk")</f>
        <v>cocobutterblog.co.uk</v>
      </c>
      <c r="E2348" s="26" t="str">
        <f ca="1">IFERROR(__xludf.DUMMYFUNCTION("""COMPUTED_VALUE"""),"Already Exists")</f>
        <v>Already Exists</v>
      </c>
      <c r="F2348" s="72">
        <v>29</v>
      </c>
      <c r="G2348" s="72">
        <v>3214</v>
      </c>
      <c r="H2348" s="27" t="s">
        <v>6015</v>
      </c>
      <c r="I2348" s="27" t="s">
        <v>6016</v>
      </c>
      <c r="J2348" s="27" t="s">
        <v>6017</v>
      </c>
      <c r="K2348" s="27" t="s">
        <v>3798</v>
      </c>
      <c r="L2348" s="112"/>
      <c r="M2348" s="27" t="s">
        <v>3117</v>
      </c>
      <c r="N2348" s="48">
        <v>46049</v>
      </c>
      <c r="P2348" s="27" t="s">
        <v>3201</v>
      </c>
    </row>
    <row r="2349" spans="1:16" ht="14.5">
      <c r="A2349" s="3" t="s">
        <v>38</v>
      </c>
      <c r="B2349" s="27" t="s">
        <v>2824</v>
      </c>
      <c r="C2349" s="46" t="s">
        <v>6018</v>
      </c>
      <c r="D2349" s="41" t="str">
        <f ca="1">IFERROR(__xludf.DUMMYFUNCTION("IFERROR(ARRAYFORMULA(REGEXEXTRACT(C2349,""^(?:https?:\/\/)?(?:[^@\n]+@)?(?:www\.)?([^:\/\n]+)"")),"""")"),"careerhub.ufl.edu")</f>
        <v>careerhub.ufl.edu</v>
      </c>
      <c r="E2349" s="26" t="str">
        <f ca="1">IFERROR(__xludf.DUMMYFUNCTION("""COMPUTED_VALUE"""),"New")</f>
        <v>New</v>
      </c>
      <c r="F2349" s="72">
        <v>90</v>
      </c>
      <c r="G2349" s="72">
        <v>3741418</v>
      </c>
      <c r="P2349" s="26"/>
    </row>
    <row r="2350" spans="1:16" ht="14.5">
      <c r="A2350" s="3" t="s">
        <v>38</v>
      </c>
      <c r="B2350" s="27" t="s">
        <v>2824</v>
      </c>
      <c r="C2350" s="46" t="s">
        <v>6019</v>
      </c>
      <c r="D2350" s="41" t="str">
        <f ca="1">IFERROR(__xludf.DUMMYFUNCTION("IFERROR(ARRAYFORMULA(REGEXEXTRACT(C2350,""^(?:https?:\/\/)?(?:[^@\n]+@)?(?:www\.)?([^:\/\n]+)"")),"""")"),"appscrip.com")</f>
        <v>appscrip.com</v>
      </c>
      <c r="E2350" s="26" t="str">
        <f ca="1">IFERROR(__xludf.DUMMYFUNCTION("""COMPUTED_VALUE"""),"New")</f>
        <v>New</v>
      </c>
      <c r="F2350" s="72">
        <v>54</v>
      </c>
      <c r="G2350" s="72">
        <v>2632</v>
      </c>
      <c r="P2350" s="26"/>
    </row>
    <row r="2351" spans="1:16" ht="14.5">
      <c r="A2351" s="3" t="s">
        <v>38</v>
      </c>
      <c r="B2351" s="27" t="s">
        <v>2824</v>
      </c>
      <c r="C2351" s="46" t="s">
        <v>6020</v>
      </c>
      <c r="D2351" s="41" t="str">
        <f ca="1">IFERROR(__xludf.DUMMYFUNCTION("IFERROR(ARRAYFORMULA(REGEXEXTRACT(C2351,""^(?:https?:\/\/)?(?:[^@\n]+@)?(?:www\.)?([^:\/\n]+)"")),"""")"),"career.austincc.edu")</f>
        <v>career.austincc.edu</v>
      </c>
      <c r="E2351" s="26" t="str">
        <f ca="1">IFERROR(__xludf.DUMMYFUNCTION("""COMPUTED_VALUE"""),"New")</f>
        <v>New</v>
      </c>
      <c r="F2351" s="72">
        <v>74</v>
      </c>
      <c r="G2351" s="72">
        <v>212633</v>
      </c>
      <c r="P2351" s="26"/>
    </row>
    <row r="2352" spans="1:16" ht="14.5">
      <c r="A2352" s="3" t="s">
        <v>38</v>
      </c>
      <c r="B2352" s="27" t="s">
        <v>2824</v>
      </c>
      <c r="C2352" s="46" t="s">
        <v>6021</v>
      </c>
      <c r="D2352" s="41" t="str">
        <f ca="1">IFERROR(__xludf.DUMMYFUNCTION("IFERROR(ARRAYFORMULA(REGEXEXTRACT(C2352,""^(?:https?:\/\/)?(?:[^@\n]+@)?(?:www\.)?([^:\/\n]+)"")),"""")"),"lawlegalhub.com")</f>
        <v>lawlegalhub.com</v>
      </c>
      <c r="E2352" s="26" t="str">
        <f ca="1">IFERROR(__xludf.DUMMYFUNCTION("""COMPUTED_VALUE"""),"New")</f>
        <v>New</v>
      </c>
      <c r="F2352" s="72">
        <v>52</v>
      </c>
      <c r="G2352" s="72">
        <v>1258</v>
      </c>
      <c r="P2352" s="26"/>
    </row>
    <row r="2353" spans="1:16" ht="14.5">
      <c r="A2353" s="3" t="s">
        <v>38</v>
      </c>
      <c r="B2353" s="27" t="s">
        <v>2824</v>
      </c>
      <c r="C2353" s="46" t="s">
        <v>6022</v>
      </c>
      <c r="D2353" s="41" t="str">
        <f ca="1">IFERROR(__xludf.DUMMYFUNCTION("IFERROR(ARRAYFORMULA(REGEXEXTRACT(C2353,""^(?:https?:\/\/)?(?:[^@\n]+@)?(?:www\.)?([^:\/\n]+)"")),"""")"),"tfipost.com")</f>
        <v>tfipost.com</v>
      </c>
      <c r="E2353" s="26" t="str">
        <f ca="1">IFERROR(__xludf.DUMMYFUNCTION("""COMPUTED_VALUE"""),"New")</f>
        <v>New</v>
      </c>
      <c r="F2353" s="72">
        <v>48</v>
      </c>
      <c r="G2353" s="72">
        <v>7584</v>
      </c>
      <c r="P2353" s="26"/>
    </row>
    <row r="2354" spans="1:16" ht="14.5" hidden="1">
      <c r="A2354" s="3" t="s">
        <v>38</v>
      </c>
      <c r="B2354" s="27" t="s">
        <v>2824</v>
      </c>
      <c r="C2354" s="46" t="s">
        <v>6023</v>
      </c>
      <c r="D2354" s="41" t="str">
        <f ca="1">IFERROR(__xludf.DUMMYFUNCTION("IFERROR(ARRAYFORMULA(REGEXEXTRACT(C2354,""^(?:https?:\/\/)?(?:[^@\n]+@)?(?:www\.)?([^:\/\n]+)"")),"""")"),"frayedpassport.com")</f>
        <v>frayedpassport.com</v>
      </c>
      <c r="E2354" s="26" t="str">
        <f ca="1">IFERROR(__xludf.DUMMYFUNCTION("""COMPUTED_VALUE"""),"Already Exists")</f>
        <v>Already Exists</v>
      </c>
      <c r="F2354" s="72">
        <v>28</v>
      </c>
      <c r="G2354" s="72">
        <v>1996</v>
      </c>
      <c r="P2354" s="26"/>
    </row>
    <row r="2355" spans="1:16" ht="14.5" hidden="1">
      <c r="A2355" s="3" t="s">
        <v>38</v>
      </c>
      <c r="B2355" s="27" t="s">
        <v>2824</v>
      </c>
      <c r="C2355" s="46" t="s">
        <v>6024</v>
      </c>
      <c r="D2355" s="41" t="str">
        <f ca="1">IFERROR(__xludf.DUMMYFUNCTION("IFERROR(ARRAYFORMULA(REGEXEXTRACT(C2355,""^(?:https?:\/\/)?(?:[^@\n]+@)?(?:www\.)?([^:\/\n]+)"")),"""")"),"nomadisbeautiful.com")</f>
        <v>nomadisbeautiful.com</v>
      </c>
      <c r="E2355" s="26" t="str">
        <f ca="1">IFERROR(__xludf.DUMMYFUNCTION("""COMPUTED_VALUE"""),"Already Exists")</f>
        <v>Already Exists</v>
      </c>
      <c r="F2355" s="72">
        <v>35</v>
      </c>
      <c r="G2355" s="72">
        <v>1415</v>
      </c>
      <c r="P2355" s="26"/>
    </row>
    <row r="2356" spans="1:16" ht="14.5">
      <c r="A2356" s="3" t="s">
        <v>38</v>
      </c>
      <c r="B2356" s="27" t="s">
        <v>2824</v>
      </c>
      <c r="C2356" s="46" t="s">
        <v>6025</v>
      </c>
      <c r="D2356" s="41" t="str">
        <f ca="1">IFERROR(__xludf.DUMMYFUNCTION("IFERROR(ARRAYFORMULA(REGEXEXTRACT(C2356,""^(?:https?:\/\/)?(?:[^@\n]+@)?(?:www\.)?([^:\/\n]+)"")),"""")"),"kahawatungu.com")</f>
        <v>kahawatungu.com</v>
      </c>
      <c r="E2356" s="26" t="str">
        <f ca="1">IFERROR(__xludf.DUMMYFUNCTION("""COMPUTED_VALUE"""),"New")</f>
        <v>New</v>
      </c>
      <c r="F2356" s="72">
        <v>48</v>
      </c>
      <c r="G2356" s="72">
        <v>4940</v>
      </c>
      <c r="P2356" s="26"/>
    </row>
    <row r="2357" spans="1:16" ht="14.5">
      <c r="A2357" s="3" t="s">
        <v>38</v>
      </c>
      <c r="B2357" s="27" t="s">
        <v>2824</v>
      </c>
      <c r="C2357" s="46" t="s">
        <v>6026</v>
      </c>
      <c r="D2357" s="41" t="str">
        <f ca="1">IFERROR(__xludf.DUMMYFUNCTION("IFERROR(ARRAYFORMULA(REGEXEXTRACT(C2357,""^(?:https?:\/\/)?(?:[^@\n]+@)?(?:www\.)?([^:\/\n]+)"")),"""")"),"globalgurus.org")</f>
        <v>globalgurus.org</v>
      </c>
      <c r="E2357" s="26" t="str">
        <f ca="1">IFERROR(__xludf.DUMMYFUNCTION("""COMPUTED_VALUE"""),"New")</f>
        <v>New</v>
      </c>
      <c r="F2357" s="72">
        <v>61</v>
      </c>
      <c r="G2357" s="72">
        <v>3812</v>
      </c>
      <c r="P2357" s="26"/>
    </row>
    <row r="2358" spans="1:16" ht="14.5">
      <c r="A2358" s="3" t="s">
        <v>38</v>
      </c>
      <c r="B2358" s="27" t="s">
        <v>2824</v>
      </c>
      <c r="C2358" s="46" t="s">
        <v>6027</v>
      </c>
      <c r="D2358" s="41" t="str">
        <f ca="1">IFERROR(__xludf.DUMMYFUNCTION("IFERROR(ARRAYFORMULA(REGEXEXTRACT(C2358,""^(?:https?:\/\/)?(?:[^@\n]+@)?(?:www\.)?([^:\/\n]+)"")),"""")"),"successfulblackparenting.com")</f>
        <v>successfulblackparenting.com</v>
      </c>
      <c r="E2358" s="26" t="str">
        <f ca="1">IFERROR(__xludf.DUMMYFUNCTION("""COMPUTED_VALUE"""),"New")</f>
        <v>New</v>
      </c>
      <c r="F2358" s="72">
        <v>39</v>
      </c>
      <c r="G2358" s="72">
        <v>7671</v>
      </c>
      <c r="P2358" s="26"/>
    </row>
    <row r="2359" spans="1:16" ht="14.5">
      <c r="A2359" s="3" t="s">
        <v>38</v>
      </c>
      <c r="B2359" s="27" t="s">
        <v>2824</v>
      </c>
      <c r="C2359" s="46" t="s">
        <v>6028</v>
      </c>
      <c r="D2359" s="41" t="str">
        <f ca="1">IFERROR(__xludf.DUMMYFUNCTION("IFERROR(ARRAYFORMULA(REGEXEXTRACT(C2359,""^(?:https?:\/\/)?(?:[^@\n]+@)?(?:www\.)?([^:\/\n]+)"")),"""")"),"sanantonioreport.org")</f>
        <v>sanantonioreport.org</v>
      </c>
      <c r="E2359" s="26" t="str">
        <f ca="1">IFERROR(__xludf.DUMMYFUNCTION("""COMPUTED_VALUE"""),"New")</f>
        <v>New</v>
      </c>
      <c r="F2359" s="72">
        <v>74</v>
      </c>
      <c r="G2359" s="72">
        <v>17519</v>
      </c>
      <c r="P2359" s="26"/>
    </row>
    <row r="2360" spans="1:16" ht="14.5" hidden="1">
      <c r="A2360" s="3" t="s">
        <v>38</v>
      </c>
      <c r="B2360" s="27" t="s">
        <v>2824</v>
      </c>
      <c r="C2360" s="46" t="s">
        <v>6029</v>
      </c>
      <c r="D2360" s="41" t="str">
        <f ca="1">IFERROR(__xludf.DUMMYFUNCTION("IFERROR(ARRAYFORMULA(REGEXEXTRACT(C2360,""^(?:https?:\/\/)?(?:[^@\n]+@)?(?:www\.)?([^:\/\n]+)"")),"""")"),"s3da-design.com")</f>
        <v>s3da-design.com</v>
      </c>
      <c r="E2360" s="26" t="str">
        <f ca="1">IFERROR(__xludf.DUMMYFUNCTION("""COMPUTED_VALUE"""),"Already Exists")</f>
        <v>Already Exists</v>
      </c>
      <c r="F2360" s="72">
        <v>40</v>
      </c>
      <c r="G2360" s="72">
        <v>1621</v>
      </c>
      <c r="P2360" s="26"/>
    </row>
    <row r="2361" spans="1:16" ht="14.5">
      <c r="A2361" s="3" t="s">
        <v>38</v>
      </c>
      <c r="B2361" s="27" t="s">
        <v>2824</v>
      </c>
      <c r="C2361" s="46" t="s">
        <v>6030</v>
      </c>
      <c r="D2361" s="41" t="str">
        <f ca="1">IFERROR(__xludf.DUMMYFUNCTION("IFERROR(ARRAYFORMULA(REGEXEXTRACT(C2361,""^(?:https?:\/\/)?(?:[^@\n]+@)?(?:www\.)?([^:\/\n]+)"")),"""")"),"genial-event-305177.framer.app")</f>
        <v>genial-event-305177.framer.app</v>
      </c>
      <c r="E2361" s="26" t="str">
        <f ca="1">IFERROR(__xludf.DUMMYFUNCTION("""COMPUTED_VALUE"""),"New")</f>
        <v>New</v>
      </c>
      <c r="F2361" s="72">
        <v>81</v>
      </c>
      <c r="G2361" s="72">
        <v>3932</v>
      </c>
      <c r="P2361" s="26"/>
    </row>
    <row r="2362" spans="1:16" ht="14.5">
      <c r="A2362" s="3" t="s">
        <v>38</v>
      </c>
      <c r="B2362" s="27" t="s">
        <v>2824</v>
      </c>
      <c r="C2362" s="46" t="s">
        <v>6031</v>
      </c>
      <c r="D2362" s="41" t="str">
        <f ca="1">IFERROR(__xludf.DUMMYFUNCTION("IFERROR(ARRAYFORMULA(REGEXEXTRACT(C2362,""^(?:https?:\/\/)?(?:[^@\n]+@)?(?:www\.)?([^:\/\n]+)"")),"""")"),"careers.augsburg.edu")</f>
        <v>careers.augsburg.edu</v>
      </c>
      <c r="E2362" s="26" t="str">
        <f ca="1">IFERROR(__xludf.DUMMYFUNCTION("""COMPUTED_VALUE"""),"New")</f>
        <v>New</v>
      </c>
      <c r="F2362" s="72">
        <v>73</v>
      </c>
      <c r="G2362" s="72">
        <v>21825</v>
      </c>
      <c r="P2362" s="26"/>
    </row>
    <row r="2363" spans="1:16" ht="14.5" hidden="1">
      <c r="A2363" s="3" t="s">
        <v>38</v>
      </c>
      <c r="B2363" s="27" t="s">
        <v>2824</v>
      </c>
      <c r="C2363" s="46" t="s">
        <v>6032</v>
      </c>
      <c r="D2363" s="41" t="str">
        <f ca="1">IFERROR(__xludf.DUMMYFUNCTION("IFERROR(ARRAYFORMULA(REGEXEXTRACT(C2363,""^(?:https?:\/\/)?(?:[^@\n]+@)?(?:www\.)?([^:\/\n]+)"")),"""")"),"talesofbelle.com")</f>
        <v>talesofbelle.com</v>
      </c>
      <c r="E2363" s="26" t="str">
        <f ca="1">IFERROR(__xludf.DUMMYFUNCTION("""COMPUTED_VALUE"""),"Already Exists")</f>
        <v>Already Exists</v>
      </c>
      <c r="F2363" s="72">
        <v>25</v>
      </c>
      <c r="G2363" s="72">
        <v>2681</v>
      </c>
      <c r="P2363" s="26"/>
    </row>
    <row r="2364" spans="1:16" ht="14.5">
      <c r="A2364" s="3" t="s">
        <v>38</v>
      </c>
      <c r="B2364" s="27" t="s">
        <v>2824</v>
      </c>
      <c r="C2364" s="46" t="s">
        <v>6033</v>
      </c>
      <c r="D2364" s="41" t="str">
        <f ca="1">IFERROR(__xludf.DUMMYFUNCTION("IFERROR(ARRAYFORMULA(REGEXEXTRACT(C2364,""^(?:https?:\/\/)?(?:[^@\n]+@)?(?:www\.)?([^:\/\n]+)"")),"""")"),"laprogressive.com")</f>
        <v>laprogressive.com</v>
      </c>
      <c r="E2364" s="26" t="str">
        <f ca="1">IFERROR(__xludf.DUMMYFUNCTION("""COMPUTED_VALUE"""),"New")</f>
        <v>New</v>
      </c>
      <c r="F2364" s="72">
        <v>71</v>
      </c>
      <c r="G2364" s="72">
        <v>4234</v>
      </c>
      <c r="P2364" s="26"/>
    </row>
    <row r="2365" spans="1:16" ht="14.5">
      <c r="A2365" s="3" t="s">
        <v>38</v>
      </c>
      <c r="B2365" s="27" t="s">
        <v>2824</v>
      </c>
      <c r="C2365" s="46" t="s">
        <v>6034</v>
      </c>
      <c r="D2365" s="41" t="str">
        <f ca="1">IFERROR(__xludf.DUMMYFUNCTION("IFERROR(ARRAYFORMULA(REGEXEXTRACT(C2365,""^(?:https?:\/\/)?(?:[^@\n]+@)?(?:www\.)?([^:\/\n]+)"")),"""")"),"businessandpower.com")</f>
        <v>businessandpower.com</v>
      </c>
      <c r="E2365" s="26" t="str">
        <f ca="1">IFERROR(__xludf.DUMMYFUNCTION("""COMPUTED_VALUE"""),"New")</f>
        <v>New</v>
      </c>
      <c r="F2365" s="72">
        <v>66</v>
      </c>
      <c r="G2365" s="72">
        <v>1477</v>
      </c>
      <c r="P2365" s="26"/>
    </row>
    <row r="2366" spans="1:16" ht="14.5" hidden="1">
      <c r="A2366" s="3" t="s">
        <v>38</v>
      </c>
      <c r="B2366" s="27" t="s">
        <v>2824</v>
      </c>
      <c r="C2366" s="46" t="s">
        <v>6035</v>
      </c>
      <c r="D2366" s="41" t="str">
        <f ca="1">IFERROR(__xludf.DUMMYFUNCTION("IFERROR(ARRAYFORMULA(REGEXEXTRACT(C2366,""^(?:https?:\/\/)?(?:[^@\n]+@)?(?:www\.)?([^:\/\n]+)"")),"""")"),"ocnjdaily.com")</f>
        <v>ocnjdaily.com</v>
      </c>
      <c r="E2366" s="26" t="str">
        <f ca="1">IFERROR(__xludf.DUMMYFUNCTION("""COMPUTED_VALUE"""),"Already Exists")</f>
        <v>Already Exists</v>
      </c>
      <c r="F2366" s="72">
        <v>67</v>
      </c>
      <c r="G2366" s="72">
        <v>6223</v>
      </c>
      <c r="P2366" s="26"/>
    </row>
    <row r="2367" spans="1:16" ht="14.5">
      <c r="A2367" s="3" t="s">
        <v>38</v>
      </c>
      <c r="B2367" s="27" t="s">
        <v>2824</v>
      </c>
      <c r="C2367" s="46" t="s">
        <v>6036</v>
      </c>
      <c r="D2367" s="41" t="str">
        <f ca="1">IFERROR(__xludf.DUMMYFUNCTION("IFERROR(ARRAYFORMULA(REGEXEXTRACT(C2367,""^(?:https?:\/\/)?(?:[^@\n]+@)?(?:www\.)?([^:\/\n]+)"")),"""")"),"careerdesignstudio.buffalo.edu")</f>
        <v>careerdesignstudio.buffalo.edu</v>
      </c>
      <c r="E2367" s="26" t="str">
        <f ca="1">IFERROR(__xludf.DUMMYFUNCTION("""COMPUTED_VALUE"""),"New")</f>
        <v>New</v>
      </c>
      <c r="F2367" s="72">
        <v>85</v>
      </c>
      <c r="G2367" s="72">
        <v>373795</v>
      </c>
      <c r="P2367" s="26"/>
    </row>
    <row r="2368" spans="1:16" ht="14.5">
      <c r="A2368" s="3" t="s">
        <v>38</v>
      </c>
      <c r="B2368" s="27" t="s">
        <v>2824</v>
      </c>
      <c r="C2368" s="46" t="s">
        <v>6037</v>
      </c>
      <c r="D2368" s="41" t="str">
        <f ca="1">IFERROR(__xludf.DUMMYFUNCTION("IFERROR(ARRAYFORMULA(REGEXEXTRACT(C2368,""^(?:https?:\/\/)?(?:[^@\n]+@)?(?:www\.)?([^:\/\n]+)"")),"""")"),"starherald.com")</f>
        <v>starherald.com</v>
      </c>
      <c r="E2368" s="26" t="str">
        <f ca="1">IFERROR(__xludf.DUMMYFUNCTION("""COMPUTED_VALUE"""),"New")</f>
        <v>New</v>
      </c>
      <c r="F2368" s="72">
        <v>65</v>
      </c>
      <c r="G2368" s="72">
        <v>4120</v>
      </c>
      <c r="P2368" s="26"/>
    </row>
    <row r="2369" spans="1:16" ht="14.5" hidden="1">
      <c r="A2369" s="3" t="s">
        <v>38</v>
      </c>
      <c r="B2369" s="27" t="s">
        <v>2824</v>
      </c>
      <c r="C2369" s="46" t="s">
        <v>6038</v>
      </c>
      <c r="D2369" s="41" t="str">
        <f ca="1">IFERROR(__xludf.DUMMYFUNCTION("IFERROR(ARRAYFORMULA(REGEXEXTRACT(C2369,""^(?:https?:\/\/)?(?:[^@\n]+@)?(?:www\.)?([^:\/\n]+)"")),"""")"),"mytunbridgewells.com")</f>
        <v>mytunbridgewells.com</v>
      </c>
      <c r="E2369" s="26" t="str">
        <f ca="1">IFERROR(__xludf.DUMMYFUNCTION("""COMPUTED_VALUE"""),"Already Exists")</f>
        <v>Already Exists</v>
      </c>
      <c r="F2369" s="72">
        <v>38</v>
      </c>
      <c r="G2369" s="72">
        <v>4233</v>
      </c>
      <c r="P2369" s="26"/>
    </row>
    <row r="2370" spans="1:16" ht="14.5" hidden="1">
      <c r="A2370" s="3" t="s">
        <v>38</v>
      </c>
      <c r="B2370" s="27" t="s">
        <v>2824</v>
      </c>
      <c r="C2370" s="46" t="s">
        <v>6039</v>
      </c>
      <c r="D2370" s="41" t="str">
        <f ca="1">IFERROR(__xludf.DUMMYFUNCTION("IFERROR(ARRAYFORMULA(REGEXEXTRACT(C2370,""^(?:https?:\/\/)?(?:[^@\n]+@)?(?:www\.)?([^:\/\n]+)"")),"""")"),"londondaily.news")</f>
        <v>londondaily.news</v>
      </c>
      <c r="E2370" s="26" t="str">
        <f ca="1">IFERROR(__xludf.DUMMYFUNCTION("""COMPUTED_VALUE"""),"Already Exists")</f>
        <v>Already Exists</v>
      </c>
      <c r="F2370" s="72">
        <v>73</v>
      </c>
      <c r="G2370" s="72">
        <v>5809</v>
      </c>
      <c r="P2370" s="26"/>
    </row>
    <row r="2371" spans="1:16" ht="14.5">
      <c r="A2371" s="3" t="s">
        <v>38</v>
      </c>
      <c r="B2371" s="27" t="s">
        <v>2824</v>
      </c>
      <c r="C2371" s="46" t="s">
        <v>6040</v>
      </c>
      <c r="D2371" s="41" t="str">
        <f ca="1">IFERROR(__xludf.DUMMYFUNCTION("IFERROR(ARRAYFORMULA(REGEXEXTRACT(C2371,""^(?:https?:\/\/)?(?:[^@\n]+@)?(?:www\.)?([^:\/\n]+)"")),"""")"),"datarecovee.com")</f>
        <v>datarecovee.com</v>
      </c>
      <c r="E2371" s="26" t="str">
        <f ca="1">IFERROR(__xludf.DUMMYFUNCTION("""COMPUTED_VALUE"""),"New")</f>
        <v>New</v>
      </c>
      <c r="F2371" s="72">
        <v>43</v>
      </c>
      <c r="G2371" s="72">
        <v>9166</v>
      </c>
      <c r="P2371" s="26"/>
    </row>
    <row r="2372" spans="1:16" ht="14.5">
      <c r="A2372" s="3" t="s">
        <v>38</v>
      </c>
      <c r="B2372" s="27" t="s">
        <v>2824</v>
      </c>
      <c r="C2372" s="46" t="s">
        <v>6041</v>
      </c>
      <c r="D2372" s="41" t="str">
        <f ca="1">IFERROR(__xludf.DUMMYFUNCTION("IFERROR(ARRAYFORMULA(REGEXEXTRACT(C2372,""^(?:https?:\/\/)?(?:[^@\n]+@)?(?:www\.)?([^:\/\n]+)"")),"""")"),"share.snipd.com")</f>
        <v>share.snipd.com</v>
      </c>
      <c r="E2372" s="26" t="str">
        <f ca="1">IFERROR(__xludf.DUMMYFUNCTION("""COMPUTED_VALUE"""),"New")</f>
        <v>New</v>
      </c>
      <c r="F2372" s="72">
        <v>57</v>
      </c>
      <c r="G2372" s="72">
        <v>2360</v>
      </c>
      <c r="P2372" s="26"/>
    </row>
    <row r="2373" spans="1:16" ht="14.5">
      <c r="A2373" s="3" t="s">
        <v>38</v>
      </c>
      <c r="B2373" s="27" t="s">
        <v>2824</v>
      </c>
      <c r="C2373" s="46" t="s">
        <v>6042</v>
      </c>
      <c r="D2373" s="41" t="str">
        <f ca="1">IFERROR(__xludf.DUMMYFUNCTION("IFERROR(ARRAYFORMULA(REGEXEXTRACT(C2373,""^(?:https?:\/\/)?(?:[^@\n]+@)?(?:www\.)?([^:\/\n]+)"")),"""")"),"davidicke.com")</f>
        <v>davidicke.com</v>
      </c>
      <c r="E2373" s="26" t="str">
        <f ca="1">IFERROR(__xludf.DUMMYFUNCTION("""COMPUTED_VALUE"""),"New")</f>
        <v>New</v>
      </c>
      <c r="F2373" s="72">
        <v>64</v>
      </c>
      <c r="G2373" s="72">
        <v>2825</v>
      </c>
      <c r="P2373" s="26"/>
    </row>
    <row r="2374" spans="1:16" ht="14.5">
      <c r="A2374" s="3" t="s">
        <v>38</v>
      </c>
      <c r="B2374" s="27" t="s">
        <v>2824</v>
      </c>
      <c r="C2374" s="46" t="s">
        <v>6043</v>
      </c>
      <c r="D2374" s="41" t="str">
        <f ca="1">IFERROR(__xludf.DUMMYFUNCTION("IFERROR(ARRAYFORMULA(REGEXEXTRACT(C2374,""^(?:https?:\/\/)?(?:[^@\n]+@)?(?:www\.)?([^:\/\n]+)"")),"""")"),"happeo.com")</f>
        <v>happeo.com</v>
      </c>
      <c r="E2374" s="26" t="str">
        <f ca="1">IFERROR(__xludf.DUMMYFUNCTION("""COMPUTED_VALUE"""),"New")</f>
        <v>New</v>
      </c>
      <c r="F2374" s="72">
        <v>64</v>
      </c>
      <c r="G2374" s="72">
        <v>13812</v>
      </c>
      <c r="P2374" s="26"/>
    </row>
    <row r="2375" spans="1:16" ht="14.5">
      <c r="A2375" s="3" t="s">
        <v>38</v>
      </c>
      <c r="B2375" s="27" t="s">
        <v>2824</v>
      </c>
      <c r="C2375" s="46" t="s">
        <v>6044</v>
      </c>
      <c r="D2375" s="41" t="str">
        <f ca="1">IFERROR(__xludf.DUMMYFUNCTION("IFERROR(ARRAYFORMULA(REGEXEXTRACT(C2375,""^(?:https?:\/\/)?(?:[^@\n]+@)?(?:www\.)?([^:\/\n]+)"")),"""")"),"2amagazine.com")</f>
        <v>2amagazine.com</v>
      </c>
      <c r="E2375" s="26" t="str">
        <f ca="1">IFERROR(__xludf.DUMMYFUNCTION("""COMPUTED_VALUE"""),"New")</f>
        <v>New</v>
      </c>
      <c r="F2375" s="72">
        <v>52</v>
      </c>
      <c r="G2375" s="72">
        <v>4123</v>
      </c>
      <c r="P2375" s="26"/>
    </row>
    <row r="2376" spans="1:16" ht="14.5" hidden="1">
      <c r="A2376" s="3" t="s">
        <v>38</v>
      </c>
      <c r="B2376" s="27" t="s">
        <v>2824</v>
      </c>
      <c r="C2376" s="46" t="s">
        <v>6045</v>
      </c>
      <c r="D2376" s="41" t="str">
        <f ca="1">IFERROR(__xludf.DUMMYFUNCTION("IFERROR(ARRAYFORMULA(REGEXEXTRACT(C2376,""^(?:https?:\/\/)?(?:[^@\n]+@)?(?:www\.)?([^:\/\n]+)"")),"""")"),"bullocksbuzz.com")</f>
        <v>bullocksbuzz.com</v>
      </c>
      <c r="E2376" s="26" t="str">
        <f ca="1">IFERROR(__xludf.DUMMYFUNCTION("""COMPUTED_VALUE"""),"Already Exists")</f>
        <v>Already Exists</v>
      </c>
      <c r="F2376" s="72">
        <v>36</v>
      </c>
      <c r="G2376" s="72">
        <v>1221</v>
      </c>
      <c r="P2376" s="26"/>
    </row>
    <row r="2377" spans="1:16" ht="14.5">
      <c r="A2377" s="3" t="s">
        <v>38</v>
      </c>
      <c r="B2377" s="27" t="s">
        <v>2824</v>
      </c>
      <c r="C2377" s="46" t="s">
        <v>6046</v>
      </c>
      <c r="D2377" s="41" t="str">
        <f ca="1">IFERROR(__xludf.DUMMYFUNCTION("IFERROR(ARRAYFORMULA(REGEXEXTRACT(C2377,""^(?:https?:\/\/)?(?:[^@\n]+@)?(?:www\.)?([^:\/\n]+)"")),"""")"),"info.memorialplanning.com")</f>
        <v>info.memorialplanning.com</v>
      </c>
      <c r="E2377" s="26" t="str">
        <f ca="1">IFERROR(__xludf.DUMMYFUNCTION("""COMPUTED_VALUE"""),"New")</f>
        <v>New</v>
      </c>
      <c r="F2377" s="72">
        <v>51</v>
      </c>
      <c r="G2377" s="72">
        <v>54054</v>
      </c>
      <c r="P2377" s="26"/>
    </row>
    <row r="2378" spans="1:16" ht="14.5" hidden="1">
      <c r="A2378" s="3" t="s">
        <v>38</v>
      </c>
      <c r="B2378" s="27" t="s">
        <v>2824</v>
      </c>
      <c r="C2378" s="46" t="s">
        <v>6047</v>
      </c>
      <c r="D2378" s="41" t="str">
        <f ca="1">IFERROR(__xludf.DUMMYFUNCTION("IFERROR(ARRAYFORMULA(REGEXEXTRACT(C2378,""^(?:https?:\/\/)?(?:[^@\n]+@)?(?:www\.)?([^:\/\n]+)"")),"""")"),"whatkatysaid.com")</f>
        <v>whatkatysaid.com</v>
      </c>
      <c r="E2378" s="26" t="str">
        <f ca="1">IFERROR(__xludf.DUMMYFUNCTION("""COMPUTED_VALUE"""),"Already Exists")</f>
        <v>Already Exists</v>
      </c>
      <c r="F2378" s="72">
        <v>31</v>
      </c>
      <c r="G2378" s="72">
        <v>4142</v>
      </c>
      <c r="P2378" s="26"/>
    </row>
    <row r="2379" spans="1:16" ht="14.5">
      <c r="A2379" s="3" t="s">
        <v>38</v>
      </c>
      <c r="B2379" s="27" t="s">
        <v>2824</v>
      </c>
      <c r="C2379" s="49" t="s">
        <v>6048</v>
      </c>
      <c r="D2379" s="41" t="str">
        <f ca="1">IFERROR(__xludf.DUMMYFUNCTION("IFERROR(ARRAYFORMULA(REGEXEXTRACT(C2379,""^(?:https?:\/\/)?(?:[^@\n]+@)?(?:www\.)?([^:\/\n]+)"")),"""")"),"neighborhoodloans.com")</f>
        <v>neighborhoodloans.com</v>
      </c>
      <c r="E2379" s="26" t="str">
        <f ca="1">IFERROR(__xludf.DUMMYFUNCTION("""COMPUTED_VALUE"""),"New")</f>
        <v>New</v>
      </c>
      <c r="F2379" s="72">
        <v>51</v>
      </c>
      <c r="G2379" s="72">
        <v>1986</v>
      </c>
      <c r="H2379" s="27" t="s">
        <v>6049</v>
      </c>
      <c r="I2379" s="27" t="s">
        <v>6050</v>
      </c>
      <c r="K2379" s="27" t="s">
        <v>6051</v>
      </c>
      <c r="L2379" s="112"/>
      <c r="M2379" s="27" t="s">
        <v>3117</v>
      </c>
      <c r="N2379" s="48">
        <v>46049</v>
      </c>
      <c r="O2379" s="48">
        <v>46083</v>
      </c>
      <c r="P2379" s="26"/>
    </row>
    <row r="2380" spans="1:16" ht="14.5" hidden="1">
      <c r="A2380" s="3" t="s">
        <v>38</v>
      </c>
      <c r="B2380" s="27" t="s">
        <v>2824</v>
      </c>
      <c r="C2380" s="46" t="s">
        <v>6052</v>
      </c>
      <c r="D2380" s="41" t="str">
        <f ca="1">IFERROR(__xludf.DUMMYFUNCTION("IFERROR(ARRAYFORMULA(REGEXEXTRACT(C2380,""^(?:https?:\/\/)?(?:[^@\n]+@)?(?:www\.)?([^:\/\n]+)"")),"""")"),"lifestylebyps.com")</f>
        <v>lifestylebyps.com</v>
      </c>
      <c r="E2380" s="26" t="str">
        <f ca="1">IFERROR(__xludf.DUMMYFUNCTION("""COMPUTED_VALUE"""),"Already Exists")</f>
        <v>Already Exists</v>
      </c>
      <c r="F2380" s="72">
        <v>53</v>
      </c>
      <c r="G2380" s="72">
        <v>2129</v>
      </c>
      <c r="P2380" s="26"/>
    </row>
    <row r="2381" spans="1:16" ht="14.5">
      <c r="A2381" s="3" t="s">
        <v>38</v>
      </c>
      <c r="B2381" s="27" t="s">
        <v>2824</v>
      </c>
      <c r="C2381" s="46" t="s">
        <v>6053</v>
      </c>
      <c r="D2381" s="41" t="str">
        <f ca="1">IFERROR(__xludf.DUMMYFUNCTION("IFERROR(ARRAYFORMULA(REGEXEXTRACT(C2381,""^(?:https?:\/\/)?(?:[^@\n]+@)?(?:www\.)?([^:\/\n]+)"")),"""")"),"noupe.com")</f>
        <v>noupe.com</v>
      </c>
      <c r="E2381" s="26" t="str">
        <f ca="1">IFERROR(__xludf.DUMMYFUNCTION("""COMPUTED_VALUE"""),"New")</f>
        <v>New</v>
      </c>
      <c r="F2381" s="72">
        <v>75</v>
      </c>
      <c r="G2381" s="72">
        <v>1700</v>
      </c>
      <c r="P2381" s="26"/>
    </row>
    <row r="2382" spans="1:16" ht="14.5">
      <c r="A2382" s="3" t="s">
        <v>38</v>
      </c>
      <c r="B2382" s="27" t="s">
        <v>2824</v>
      </c>
      <c r="C2382" s="46" t="s">
        <v>6054</v>
      </c>
      <c r="D2382" s="41" t="str">
        <f ca="1">IFERROR(__xludf.DUMMYFUNCTION("IFERROR(ARRAYFORMULA(REGEXEXTRACT(C2382,""^(?:https?:\/\/)?(?:[^@\n]+@)?(?:www\.)?([^:\/\n]+)"")),"""")"),"menswearstyle.co.uk")</f>
        <v>menswearstyle.co.uk</v>
      </c>
      <c r="E2382" s="26" t="str">
        <f ca="1">IFERROR(__xludf.DUMMYFUNCTION("""COMPUTED_VALUE"""),"New")</f>
        <v>New</v>
      </c>
      <c r="F2382" s="72">
        <v>52</v>
      </c>
      <c r="G2382" s="72">
        <v>2937</v>
      </c>
      <c r="P2382" s="26"/>
    </row>
    <row r="2383" spans="1:16" ht="14.5">
      <c r="A2383" s="3" t="s">
        <v>38</v>
      </c>
      <c r="B2383" s="27" t="s">
        <v>2824</v>
      </c>
      <c r="C2383" s="46" t="s">
        <v>6055</v>
      </c>
      <c r="D2383" s="41" t="str">
        <f ca="1">IFERROR(__xludf.DUMMYFUNCTION("IFERROR(ARRAYFORMULA(REGEXEXTRACT(C2383,""^(?:https?:\/\/)?(?:[^@\n]+@)?(?:www\.)?([^:\/\n]+)"")),"""")"),"eventflare.io")</f>
        <v>eventflare.io</v>
      </c>
      <c r="E2383" s="26" t="str">
        <f ca="1">IFERROR(__xludf.DUMMYFUNCTION("""COMPUTED_VALUE"""),"New")</f>
        <v>New</v>
      </c>
      <c r="F2383" s="72">
        <v>72</v>
      </c>
      <c r="G2383" s="72">
        <v>10229</v>
      </c>
      <c r="P2383" s="26"/>
    </row>
    <row r="2384" spans="1:16" ht="14.5" hidden="1">
      <c r="A2384" s="3" t="s">
        <v>38</v>
      </c>
      <c r="B2384" s="27" t="s">
        <v>2824</v>
      </c>
      <c r="C2384" s="46" t="s">
        <v>6056</v>
      </c>
      <c r="D2384" s="41" t="str">
        <f ca="1">IFERROR(__xludf.DUMMYFUNCTION("IFERROR(ARRAYFORMULA(REGEXEXTRACT(C2384,""^(?:https?:\/\/)?(?:[^@\n]+@)?(?:www\.)?([^:\/\n]+)"")),"""")"),"breakingac.com")</f>
        <v>breakingac.com</v>
      </c>
      <c r="E2384" s="26" t="str">
        <f ca="1">IFERROR(__xludf.DUMMYFUNCTION("""COMPUTED_VALUE"""),"Already Exists")</f>
        <v>Already Exists</v>
      </c>
      <c r="F2384" s="72">
        <v>53</v>
      </c>
      <c r="G2384" s="72">
        <v>9630</v>
      </c>
      <c r="P2384" s="26"/>
    </row>
    <row r="2385" spans="1:16" ht="14.5" hidden="1">
      <c r="A2385" s="3" t="s">
        <v>38</v>
      </c>
      <c r="B2385" s="27" t="s">
        <v>2824</v>
      </c>
      <c r="C2385" s="46" t="s">
        <v>6057</v>
      </c>
      <c r="D2385" s="41" t="str">
        <f ca="1">IFERROR(__xludf.DUMMYFUNCTION("IFERROR(ARRAYFORMULA(REGEXEXTRACT(C2385,""^(?:https?:\/\/)?(?:[^@\n]+@)?(?:www\.)?([^:\/\n]+)"")),"""")"),"lyliarose.com")</f>
        <v>lyliarose.com</v>
      </c>
      <c r="E2385" s="26" t="str">
        <f ca="1">IFERROR(__xludf.DUMMYFUNCTION("""COMPUTED_VALUE"""),"Already Exists")</f>
        <v>Already Exists</v>
      </c>
      <c r="F2385" s="72">
        <v>61</v>
      </c>
      <c r="G2385" s="72">
        <v>1780</v>
      </c>
      <c r="P2385" s="26"/>
    </row>
    <row r="2386" spans="1:16" ht="14.5">
      <c r="A2386" s="3" t="s">
        <v>38</v>
      </c>
      <c r="B2386" s="27" t="s">
        <v>2824</v>
      </c>
      <c r="C2386" s="46" t="s">
        <v>6058</v>
      </c>
      <c r="D2386" s="41" t="str">
        <f ca="1">IFERROR(__xludf.DUMMYFUNCTION("IFERROR(ARRAYFORMULA(REGEXEXTRACT(C2386,""^(?:https?:\/\/)?(?:[^@\n]+@)?(?:www\.)?([^:\/\n]+)"")),"""")"),"accountingbyte.com")</f>
        <v>accountingbyte.com</v>
      </c>
      <c r="E2386" s="26" t="str">
        <f ca="1">IFERROR(__xludf.DUMMYFUNCTION("""COMPUTED_VALUE"""),"New")</f>
        <v>New</v>
      </c>
      <c r="F2386" s="72">
        <v>34</v>
      </c>
      <c r="G2386" s="72">
        <v>15281</v>
      </c>
      <c r="P2386" s="26"/>
    </row>
    <row r="2387" spans="1:16" ht="14.5">
      <c r="A2387" s="3" t="s">
        <v>38</v>
      </c>
      <c r="B2387" s="27" t="s">
        <v>2824</v>
      </c>
      <c r="C2387" s="49" t="s">
        <v>6059</v>
      </c>
      <c r="D2387" s="41" t="str">
        <f ca="1">IFERROR(__xludf.DUMMYFUNCTION("IFERROR(ARRAYFORMULA(REGEXEXTRACT(C2387,""^(?:https?:\/\/)?(?:[^@\n]+@)?(?:www\.)?([^:\/\n]+)"")),"""")"),"orangecoast.com")</f>
        <v>orangecoast.com</v>
      </c>
      <c r="E2387" s="26" t="str">
        <f ca="1">IFERROR(__xludf.DUMMYFUNCTION("""COMPUTED_VALUE"""),"New")</f>
        <v>New</v>
      </c>
      <c r="F2387" s="72">
        <v>68</v>
      </c>
      <c r="G2387" s="72">
        <v>5232</v>
      </c>
      <c r="J2387" s="27" t="s">
        <v>6060</v>
      </c>
      <c r="K2387" s="27" t="s">
        <v>3772</v>
      </c>
      <c r="L2387" s="112"/>
      <c r="M2387" s="27" t="s">
        <v>3117</v>
      </c>
      <c r="N2387" s="48">
        <v>46049</v>
      </c>
      <c r="O2387" s="48">
        <v>46083</v>
      </c>
      <c r="P2387" s="26"/>
    </row>
    <row r="2388" spans="1:16" ht="14.5" hidden="1">
      <c r="A2388" s="3" t="s">
        <v>38</v>
      </c>
      <c r="B2388" s="27" t="s">
        <v>2824</v>
      </c>
      <c r="C2388" s="46" t="s">
        <v>6061</v>
      </c>
      <c r="D2388" s="41" t="str">
        <f ca="1">IFERROR(__xludf.DUMMYFUNCTION("IFERROR(ARRAYFORMULA(REGEXEXTRACT(C2388,""^(?:https?:\/\/)?(?:[^@\n]+@)?(?:www\.)?([^:\/\n]+)"")),"""")"),"culturaldaily.com")</f>
        <v>culturaldaily.com</v>
      </c>
      <c r="E2388" s="26" t="str">
        <f ca="1">IFERROR(__xludf.DUMMYFUNCTION("""COMPUTED_VALUE"""),"Already Exists")</f>
        <v>Already Exists</v>
      </c>
      <c r="F2388" s="72">
        <v>59</v>
      </c>
      <c r="G2388" s="72">
        <v>2020</v>
      </c>
      <c r="P2388" s="26"/>
    </row>
    <row r="2389" spans="1:16" ht="14.5" hidden="1">
      <c r="A2389" s="3" t="s">
        <v>38</v>
      </c>
      <c r="B2389" s="27" t="s">
        <v>2824</v>
      </c>
      <c r="C2389" s="46" t="s">
        <v>6062</v>
      </c>
      <c r="D2389" s="41" t="str">
        <f ca="1">IFERROR(__xludf.DUMMYFUNCTION("IFERROR(ARRAYFORMULA(REGEXEXTRACT(C2389,""^(?:https?:\/\/)?(?:[^@\n]+@)?(?:www\.)?([^:\/\n]+)"")),"""")"),"99techpost.com")</f>
        <v>99techpost.com</v>
      </c>
      <c r="E2389" s="26" t="str">
        <f ca="1">IFERROR(__xludf.DUMMYFUNCTION("""COMPUTED_VALUE"""),"Already Exists")</f>
        <v>Already Exists</v>
      </c>
      <c r="F2389" s="72">
        <v>43</v>
      </c>
      <c r="G2389" s="72">
        <v>34182</v>
      </c>
      <c r="P2389" s="26"/>
    </row>
    <row r="2390" spans="1:16" ht="14.5">
      <c r="A2390" s="3" t="s">
        <v>38</v>
      </c>
      <c r="B2390" s="27" t="s">
        <v>2824</v>
      </c>
      <c r="C2390" s="49" t="s">
        <v>6063</v>
      </c>
      <c r="D2390" s="41" t="str">
        <f ca="1">IFERROR(__xludf.DUMMYFUNCTION("IFERROR(ARRAYFORMULA(REGEXEXTRACT(C2390,""^(?:https?:\/\/)?(?:[^@\n]+@)?(?:www\.)?([^:\/\n]+)"")),"""")"),"netnewsledger.com")</f>
        <v>netnewsledger.com</v>
      </c>
      <c r="E2390" s="26" t="str">
        <f ca="1">IFERROR(__xludf.DUMMYFUNCTION("""COMPUTED_VALUE"""),"New")</f>
        <v>New</v>
      </c>
      <c r="F2390" s="72">
        <v>68</v>
      </c>
      <c r="G2390" s="72">
        <v>5590</v>
      </c>
      <c r="H2390" s="27" t="s">
        <v>3145</v>
      </c>
      <c r="I2390" s="27" t="s">
        <v>6064</v>
      </c>
      <c r="J2390" s="27" t="s">
        <v>6065</v>
      </c>
      <c r="K2390" s="27" t="s">
        <v>3772</v>
      </c>
      <c r="L2390" s="112"/>
      <c r="M2390" s="27" t="s">
        <v>3715</v>
      </c>
      <c r="N2390" s="48">
        <v>46049</v>
      </c>
      <c r="O2390" s="48">
        <v>46070</v>
      </c>
      <c r="P2390" s="26"/>
    </row>
    <row r="2391" spans="1:16" ht="14.5">
      <c r="A2391" s="3" t="s">
        <v>38</v>
      </c>
      <c r="B2391" s="27" t="s">
        <v>2824</v>
      </c>
      <c r="C2391" s="46" t="s">
        <v>6066</v>
      </c>
      <c r="D2391" s="41" t="str">
        <f ca="1">IFERROR(__xludf.DUMMYFUNCTION("IFERROR(ARRAYFORMULA(REGEXEXTRACT(C2391,""^(?:https?:\/\/)?(?:[^@\n]+@)?(?:www\.)?([^:\/\n]+)"")),"""")"),"v2cloud.com")</f>
        <v>v2cloud.com</v>
      </c>
      <c r="E2391" s="26" t="str">
        <f ca="1">IFERROR(__xludf.DUMMYFUNCTION("""COMPUTED_VALUE"""),"New")</f>
        <v>New</v>
      </c>
      <c r="F2391" s="72">
        <v>68</v>
      </c>
      <c r="G2391" s="72">
        <v>41995</v>
      </c>
      <c r="P2391" s="26"/>
    </row>
    <row r="2392" spans="1:16" ht="14.5">
      <c r="A2392" s="3" t="s">
        <v>38</v>
      </c>
      <c r="B2392" s="27" t="s">
        <v>2824</v>
      </c>
      <c r="C2392" s="46" t="s">
        <v>6067</v>
      </c>
      <c r="D2392" s="41" t="str">
        <f ca="1">IFERROR(__xludf.DUMMYFUNCTION("IFERROR(ARRAYFORMULA(REGEXEXTRACT(C2392,""^(?:https?:\/\/)?(?:[^@\n]+@)?(?:www\.)?([^:\/\n]+)"")),"""")"),"morganton.com")</f>
        <v>morganton.com</v>
      </c>
      <c r="E2392" s="26" t="str">
        <f ca="1">IFERROR(__xludf.DUMMYFUNCTION("""COMPUTED_VALUE"""),"New")</f>
        <v>New</v>
      </c>
      <c r="F2392" s="72">
        <v>61</v>
      </c>
      <c r="G2392" s="72">
        <v>114738</v>
      </c>
      <c r="P2392" s="26"/>
    </row>
    <row r="2393" spans="1:16" ht="14.5">
      <c r="A2393" s="3" t="s">
        <v>38</v>
      </c>
      <c r="B2393" s="27" t="s">
        <v>2824</v>
      </c>
      <c r="C2393" s="46" t="s">
        <v>6068</v>
      </c>
      <c r="D2393" s="41" t="str">
        <f ca="1">IFERROR(__xludf.DUMMYFUNCTION("IFERROR(ARRAYFORMULA(REGEXEXTRACT(C2393,""^(?:https?:\/\/)?(?:[^@\n]+@)?(?:www\.)?([^:\/\n]+)"")),"""")"),"starexponent.com")</f>
        <v>starexponent.com</v>
      </c>
      <c r="E2393" s="26" t="str">
        <f ca="1">IFERROR(__xludf.DUMMYFUNCTION("""COMPUTED_VALUE"""),"New")</f>
        <v>New</v>
      </c>
      <c r="F2393" s="72">
        <v>58</v>
      </c>
      <c r="G2393" s="72">
        <v>1374</v>
      </c>
      <c r="P2393" s="26"/>
    </row>
    <row r="2394" spans="1:16" ht="14.5">
      <c r="A2394" s="3" t="s">
        <v>38</v>
      </c>
      <c r="B2394" s="27" t="s">
        <v>2824</v>
      </c>
      <c r="C2394" s="46" t="s">
        <v>6069</v>
      </c>
      <c r="D2394" s="41" t="str">
        <f ca="1">IFERROR(__xludf.DUMMYFUNCTION("IFERROR(ARRAYFORMULA(REGEXEXTRACT(C2394,""^(?:https?:\/\/)?(?:[^@\n]+@)?(?:www\.)?([^:\/\n]+)"")),"""")"),"tomedes.com")</f>
        <v>tomedes.com</v>
      </c>
      <c r="E2394" s="26" t="str">
        <f ca="1">IFERROR(__xludf.DUMMYFUNCTION("""COMPUTED_VALUE"""),"New")</f>
        <v>New</v>
      </c>
      <c r="F2394" s="72">
        <v>71</v>
      </c>
      <c r="G2394" s="72">
        <v>94081</v>
      </c>
      <c r="P2394" s="26"/>
    </row>
    <row r="2395" spans="1:16" ht="14.5">
      <c r="A2395" s="3" t="s">
        <v>38</v>
      </c>
      <c r="B2395" s="27" t="s">
        <v>2824</v>
      </c>
      <c r="C2395" s="46" t="s">
        <v>6070</v>
      </c>
      <c r="D2395" s="41" t="str">
        <f ca="1">IFERROR(__xludf.DUMMYFUNCTION("IFERROR(ARRAYFORMULA(REGEXEXTRACT(C2395,""^(?:https?:\/\/)?(?:[^@\n]+@)?(?:www\.)?([^:\/\n]+)"")),"""")"),"forums.justuseapp.com")</f>
        <v>forums.justuseapp.com</v>
      </c>
      <c r="E2395" s="26" t="str">
        <f ca="1">IFERROR(__xludf.DUMMYFUNCTION("""COMPUTED_VALUE"""),"New")</f>
        <v>New</v>
      </c>
      <c r="F2395" s="72">
        <v>43</v>
      </c>
      <c r="G2395" s="72">
        <v>4217</v>
      </c>
      <c r="P2395" s="26"/>
    </row>
    <row r="2396" spans="1:16" ht="14.5" hidden="1">
      <c r="A2396" s="3" t="s">
        <v>38</v>
      </c>
      <c r="B2396" s="27" t="s">
        <v>2824</v>
      </c>
      <c r="C2396" s="46" t="s">
        <v>6071</v>
      </c>
      <c r="D2396" s="41" t="str">
        <f ca="1">IFERROR(__xludf.DUMMYFUNCTION("IFERROR(ARRAYFORMULA(REGEXEXTRACT(C2396,""^(?:https?:\/\/)?(?:[^@\n]+@)?(?:www\.)?([^:\/\n]+)"")),"""")"),"cience.com")</f>
        <v>cience.com</v>
      </c>
      <c r="E2396" s="26" t="str">
        <f ca="1">IFERROR(__xludf.DUMMYFUNCTION("""COMPUTED_VALUE"""),"Already Exists")</f>
        <v>Already Exists</v>
      </c>
      <c r="F2396" s="72">
        <v>74</v>
      </c>
      <c r="G2396" s="72">
        <v>2747</v>
      </c>
      <c r="P2396" s="26"/>
    </row>
    <row r="2397" spans="1:16" ht="14.5" hidden="1">
      <c r="A2397" s="3" t="s">
        <v>38</v>
      </c>
      <c r="B2397" s="27" t="s">
        <v>2824</v>
      </c>
      <c r="C2397" s="46" t="s">
        <v>6072</v>
      </c>
      <c r="D2397" s="41" t="str">
        <f ca="1">IFERROR(__xludf.DUMMYFUNCTION("IFERROR(ARRAYFORMULA(REGEXEXTRACT(C2397,""^(?:https?:\/\/)?(?:[^@\n]+@)?(?:www\.)?([^:\/\n]+)"")),"""")"),"inkl.com")</f>
        <v>inkl.com</v>
      </c>
      <c r="E2397" s="26" t="str">
        <f ca="1">IFERROR(__xludf.DUMMYFUNCTION("""COMPUTED_VALUE"""),"Already Exists")</f>
        <v>Already Exists</v>
      </c>
      <c r="F2397" s="72">
        <v>71</v>
      </c>
      <c r="G2397" s="72">
        <v>522461</v>
      </c>
      <c r="P2397" s="26"/>
    </row>
    <row r="2398" spans="1:16" ht="14.5">
      <c r="A2398" s="3" t="s">
        <v>38</v>
      </c>
      <c r="B2398" s="27" t="s">
        <v>2824</v>
      </c>
      <c r="C2398" s="46" t="s">
        <v>6073</v>
      </c>
      <c r="D2398" s="41" t="str">
        <f ca="1">IFERROR(__xludf.DUMMYFUNCTION("IFERROR(ARRAYFORMULA(REGEXEXTRACT(C2398,""^(?:https?:\/\/)?(?:[^@\n]+@)?(?:www\.)?([^:\/\n]+)"")),"""")"),"researchsnipers.com")</f>
        <v>researchsnipers.com</v>
      </c>
      <c r="E2398" s="26" t="str">
        <f ca="1">IFERROR(__xludf.DUMMYFUNCTION("""COMPUTED_VALUE"""),"New")</f>
        <v>New</v>
      </c>
      <c r="F2398" s="72">
        <v>50</v>
      </c>
      <c r="G2398" s="72">
        <v>2978</v>
      </c>
      <c r="P2398" s="26"/>
    </row>
    <row r="2399" spans="1:16" ht="14.5" hidden="1">
      <c r="A2399" s="3" t="s">
        <v>38</v>
      </c>
      <c r="B2399" s="27" t="s">
        <v>2824</v>
      </c>
      <c r="C2399" s="46" t="s">
        <v>6074</v>
      </c>
      <c r="D2399" s="41" t="str">
        <f ca="1">IFERROR(__xludf.DUMMYFUNCTION("IFERROR(ARRAYFORMULA(REGEXEXTRACT(C2399,""^(?:https?:\/\/)?(?:[^@\n]+@)?(?:www\.)?([^:\/\n]+)"")),"""")"),"geeksaroundglobe.com")</f>
        <v>geeksaroundglobe.com</v>
      </c>
      <c r="E2399" s="26" t="str">
        <f ca="1">IFERROR(__xludf.DUMMYFUNCTION("""COMPUTED_VALUE"""),"Already Exists")</f>
        <v>Already Exists</v>
      </c>
      <c r="F2399" s="72">
        <v>63</v>
      </c>
      <c r="G2399" s="72">
        <v>2173</v>
      </c>
      <c r="P2399" s="26"/>
    </row>
    <row r="2400" spans="1:16" ht="14.5">
      <c r="A2400" s="3" t="s">
        <v>38</v>
      </c>
      <c r="B2400" s="27" t="s">
        <v>2824</v>
      </c>
      <c r="C2400" s="46" t="s">
        <v>6075</v>
      </c>
      <c r="D2400" s="41" t="str">
        <f ca="1">IFERROR(__xludf.DUMMYFUNCTION("IFERROR(ARRAYFORMULA(REGEXEXTRACT(C2400,""^(?:https?:\/\/)?(?:[^@\n]+@)?(?:www\.)?([^:\/\n]+)"")),"""")"),"chippewa.com")</f>
        <v>chippewa.com</v>
      </c>
      <c r="E2400" s="26" t="str">
        <f ca="1">IFERROR(__xludf.DUMMYFUNCTION("""COMPUTED_VALUE"""),"New")</f>
        <v>New</v>
      </c>
      <c r="F2400" s="72">
        <v>60</v>
      </c>
      <c r="G2400" s="72">
        <v>3705</v>
      </c>
      <c r="P2400" s="26"/>
    </row>
    <row r="2401" spans="1:16" ht="14.5">
      <c r="A2401" s="3" t="s">
        <v>38</v>
      </c>
      <c r="B2401" s="27" t="s">
        <v>2824</v>
      </c>
      <c r="C2401" s="46" t="s">
        <v>6076</v>
      </c>
      <c r="D2401" s="41" t="str">
        <f ca="1">IFERROR(__xludf.DUMMYFUNCTION("IFERROR(ARRAYFORMULA(REGEXEXTRACT(C2401,""^(?:https?:\/\/)?(?:[^@\n]+@)?(?:www\.)?([^:\/\n]+)"")),"""")"),"citiesabc.com")</f>
        <v>citiesabc.com</v>
      </c>
      <c r="E2401" s="26" t="str">
        <f ca="1">IFERROR(__xludf.DUMMYFUNCTION("""COMPUTED_VALUE"""),"New")</f>
        <v>New</v>
      </c>
      <c r="F2401" s="72">
        <v>71</v>
      </c>
      <c r="G2401" s="72">
        <v>3814</v>
      </c>
      <c r="P2401" s="26"/>
    </row>
    <row r="2402" spans="1:16" ht="14.5" hidden="1">
      <c r="A2402" s="3" t="s">
        <v>38</v>
      </c>
      <c r="B2402" s="27" t="s">
        <v>2824</v>
      </c>
      <c r="C2402" s="46" t="s">
        <v>6077</v>
      </c>
      <c r="D2402" s="41" t="str">
        <f ca="1">IFERROR(__xludf.DUMMYFUNCTION("IFERROR(ARRAYFORMULA(REGEXEXTRACT(C2402,""^(?:https?:\/\/)?(?:[^@\n]+@)?(?:www\.)?([^:\/\n]+)"")),"""")"),"trans4mind.com")</f>
        <v>trans4mind.com</v>
      </c>
      <c r="E2402" s="26" t="str">
        <f ca="1">IFERROR(__xludf.DUMMYFUNCTION("""COMPUTED_VALUE"""),"Already Exists")</f>
        <v>Already Exists</v>
      </c>
      <c r="F2402" s="72">
        <v>70</v>
      </c>
      <c r="G2402" s="72">
        <v>7377</v>
      </c>
      <c r="P2402" s="26"/>
    </row>
    <row r="2403" spans="1:16" ht="14.5" hidden="1">
      <c r="A2403" s="3" t="s">
        <v>38</v>
      </c>
      <c r="B2403" s="27" t="s">
        <v>2824</v>
      </c>
      <c r="C2403" s="46" t="s">
        <v>6078</v>
      </c>
      <c r="D2403" s="41" t="str">
        <f ca="1">IFERROR(__xludf.DUMMYFUNCTION("IFERROR(ARRAYFORMULA(REGEXEXTRACT(C2403,""^(?:https?:\/\/)?(?:[^@\n]+@)?(?:www\.)?([^:\/\n]+)"")),"""")"),"rachelbustin.com")</f>
        <v>rachelbustin.com</v>
      </c>
      <c r="E2403" s="26" t="str">
        <f ca="1">IFERROR(__xludf.DUMMYFUNCTION("""COMPUTED_VALUE"""),"Already Exists")</f>
        <v>Already Exists</v>
      </c>
      <c r="F2403" s="72">
        <v>36</v>
      </c>
      <c r="G2403" s="72">
        <v>3539</v>
      </c>
      <c r="P2403" s="26"/>
    </row>
    <row r="2404" spans="1:16" ht="14.5">
      <c r="A2404" s="3" t="s">
        <v>38</v>
      </c>
      <c r="B2404" s="27" t="s">
        <v>2824</v>
      </c>
      <c r="C2404" s="46" t="s">
        <v>6079</v>
      </c>
      <c r="D2404" s="41" t="str">
        <f ca="1">IFERROR(__xludf.DUMMYFUNCTION("IFERROR(ARRAYFORMULA(REGEXEXTRACT(C2404,""^(?:https?:\/\/)?(?:[^@\n]+@)?(?:www\.)?([^:\/\n]+)"")),"""")"),"theeagle.com")</f>
        <v>theeagle.com</v>
      </c>
      <c r="E2404" s="26" t="str">
        <f ca="1">IFERROR(__xludf.DUMMYFUNCTION("""COMPUTED_VALUE"""),"New")</f>
        <v>New</v>
      </c>
      <c r="F2404" s="72">
        <v>71</v>
      </c>
      <c r="G2404" s="72">
        <v>8591</v>
      </c>
      <c r="P2404" s="26"/>
    </row>
    <row r="2405" spans="1:16" ht="14.5">
      <c r="A2405" s="3" t="s">
        <v>38</v>
      </c>
      <c r="B2405" s="27" t="s">
        <v>2824</v>
      </c>
      <c r="C2405" s="46" t="s">
        <v>6080</v>
      </c>
      <c r="D2405" s="41" t="str">
        <f ca="1">IFERROR(__xludf.DUMMYFUNCTION("IFERROR(ARRAYFORMULA(REGEXEXTRACT(C2405,""^(?:https?:\/\/)?(?:[^@\n]+@)?(?:www\.)?([^:\/\n]+)"")),"""")"),"loanforyours.firebaseapp.com")</f>
        <v>loanforyours.firebaseapp.com</v>
      </c>
      <c r="E2405" s="26" t="str">
        <f ca="1">IFERROR(__xludf.DUMMYFUNCTION("""COMPUTED_VALUE"""),"New")</f>
        <v>New</v>
      </c>
      <c r="F2405" s="72">
        <v>87</v>
      </c>
      <c r="G2405" s="72">
        <v>54098</v>
      </c>
      <c r="P2405" s="26"/>
    </row>
    <row r="2406" spans="1:16" ht="14.5">
      <c r="A2406" s="3" t="s">
        <v>38</v>
      </c>
      <c r="B2406" s="27" t="s">
        <v>2824</v>
      </c>
      <c r="C2406" s="46" t="s">
        <v>6081</v>
      </c>
      <c r="D2406" s="41" t="str">
        <f ca="1">IFERROR(__xludf.DUMMYFUNCTION("IFERROR(ARRAYFORMULA(REGEXEXTRACT(C2406,""^(?:https?:\/\/)?(?:[^@\n]+@)?(?:www\.)?([^:\/\n]+)"")),"""")"),"weje.io")</f>
        <v>weje.io</v>
      </c>
      <c r="E2406" s="26" t="str">
        <f ca="1">IFERROR(__xludf.DUMMYFUNCTION("""COMPUTED_VALUE"""),"New")</f>
        <v>New</v>
      </c>
      <c r="F2406" s="72">
        <v>50</v>
      </c>
      <c r="G2406" s="72">
        <v>5191</v>
      </c>
      <c r="P2406" s="26"/>
    </row>
    <row r="2407" spans="1:16" ht="14.5">
      <c r="A2407" s="3" t="s">
        <v>38</v>
      </c>
      <c r="B2407" s="27" t="s">
        <v>2824</v>
      </c>
      <c r="C2407" s="46" t="s">
        <v>6082</v>
      </c>
      <c r="D2407" s="41" t="str">
        <f ca="1">IFERROR(__xludf.DUMMYFUNCTION("IFERROR(ARRAYFORMULA(REGEXEXTRACT(C2407,""^(?:https?:\/\/)?(?:[^@\n]+@)?(?:www\.)?([^:\/\n]+)"")),"""")"),"csr.cs.uml.edu")</f>
        <v>csr.cs.uml.edu</v>
      </c>
      <c r="E2407" s="26" t="str">
        <f ca="1">IFERROR(__xludf.DUMMYFUNCTION("""COMPUTED_VALUE"""),"New")</f>
        <v>New</v>
      </c>
      <c r="F2407" s="72">
        <v>79</v>
      </c>
      <c r="G2407" s="72">
        <v>88734</v>
      </c>
      <c r="P2407" s="26"/>
    </row>
    <row r="2408" spans="1:16" ht="14.5" hidden="1">
      <c r="A2408" s="3" t="s">
        <v>38</v>
      </c>
      <c r="B2408" s="27" t="s">
        <v>2824</v>
      </c>
      <c r="C2408" s="46" t="s">
        <v>6083</v>
      </c>
      <c r="D2408" s="41" t="str">
        <f ca="1">IFERROR(__xludf.DUMMYFUNCTION("IFERROR(ARRAYFORMULA(REGEXEXTRACT(C2408,""^(?:https?:\/\/)?(?:[^@\n]+@)?(?:www\.)?([^:\/\n]+)"")),"""")"),"deliveredsocial.com")</f>
        <v>deliveredsocial.com</v>
      </c>
      <c r="E2408" s="26" t="str">
        <f ca="1">IFERROR(__xludf.DUMMYFUNCTION("""COMPUTED_VALUE"""),"Already Exists")</f>
        <v>Already Exists</v>
      </c>
      <c r="F2408" s="72">
        <v>72</v>
      </c>
      <c r="G2408" s="72">
        <v>34679</v>
      </c>
      <c r="P2408" s="26"/>
    </row>
    <row r="2409" spans="1:16" ht="14.5">
      <c r="A2409" s="3" t="s">
        <v>38</v>
      </c>
      <c r="B2409" s="27" t="s">
        <v>2824</v>
      </c>
      <c r="C2409" s="46" t="s">
        <v>6084</v>
      </c>
      <c r="D2409" s="41" t="str">
        <f ca="1">IFERROR(__xludf.DUMMYFUNCTION("IFERROR(ARRAYFORMULA(REGEXEXTRACT(C2409,""^(?:https?:\/\/)?(?:[^@\n]+@)?(?:www\.)?([^:\/\n]+)"")),"""")"),"amnews.com")</f>
        <v>amnews.com</v>
      </c>
      <c r="E2409" s="26" t="str">
        <f ca="1">IFERROR(__xludf.DUMMYFUNCTION("""COMPUTED_VALUE"""),"New")</f>
        <v>New</v>
      </c>
      <c r="F2409" s="72">
        <v>56</v>
      </c>
      <c r="G2409" s="72">
        <v>1089</v>
      </c>
      <c r="P2409" s="26"/>
    </row>
    <row r="2410" spans="1:16" ht="14.5">
      <c r="A2410" s="3" t="s">
        <v>38</v>
      </c>
      <c r="B2410" s="27" t="s">
        <v>2824</v>
      </c>
      <c r="C2410" s="46" t="s">
        <v>6085</v>
      </c>
      <c r="D2410" s="41" t="str">
        <f ca="1">IFERROR(__xludf.DUMMYFUNCTION("IFERROR(ARRAYFORMULA(REGEXEXTRACT(C2410,""^(?:https?:\/\/)?(?:[^@\n]+@)?(?:www\.)?([^:\/\n]+)"")),"""")"),"citationbuilderpro.com")</f>
        <v>citationbuilderpro.com</v>
      </c>
      <c r="E2410" s="26" t="str">
        <f ca="1">IFERROR(__xludf.DUMMYFUNCTION("""COMPUTED_VALUE"""),"New")</f>
        <v>New</v>
      </c>
      <c r="F2410" s="72">
        <v>37</v>
      </c>
      <c r="G2410" s="72">
        <v>2353</v>
      </c>
      <c r="P2410" s="26"/>
    </row>
    <row r="2411" spans="1:16" ht="14.5">
      <c r="A2411" s="3" t="s">
        <v>38</v>
      </c>
      <c r="B2411" s="27" t="s">
        <v>2824</v>
      </c>
      <c r="C2411" s="46" t="s">
        <v>6086</v>
      </c>
      <c r="D2411" s="41" t="str">
        <f ca="1">IFERROR(__xludf.DUMMYFUNCTION("IFERROR(ARRAYFORMULA(REGEXEXTRACT(C2411,""^(?:https?:\/\/)?(?:[^@\n]+@)?(?:www\.)?([^:\/\n]+)"")),"""")"),"codeless.io")</f>
        <v>codeless.io</v>
      </c>
      <c r="E2411" s="26" t="str">
        <f ca="1">IFERROR(__xludf.DUMMYFUNCTION("""COMPUTED_VALUE"""),"New")</f>
        <v>New</v>
      </c>
      <c r="F2411" s="72">
        <v>71</v>
      </c>
      <c r="G2411" s="72">
        <v>3896</v>
      </c>
      <c r="P2411" s="26"/>
    </row>
    <row r="2412" spans="1:16" ht="14.5">
      <c r="A2412" s="3" t="s">
        <v>38</v>
      </c>
      <c r="B2412" s="27" t="s">
        <v>2824</v>
      </c>
      <c r="C2412" s="46" t="s">
        <v>6087</v>
      </c>
      <c r="D2412" s="41" t="str">
        <f ca="1">IFERROR(__xludf.DUMMYFUNCTION("IFERROR(ARRAYFORMULA(REGEXEXTRACT(C2412,""^(?:https?:\/\/)?(?:[^@\n]+@)?(?:www\.)?([^:\/\n]+)"")),"""")"),"careers.newark.rutgers.edu")</f>
        <v>careers.newark.rutgers.edu</v>
      </c>
      <c r="E2412" s="26" t="str">
        <f ca="1">IFERROR(__xludf.DUMMYFUNCTION("""COMPUTED_VALUE"""),"New")</f>
        <v>New</v>
      </c>
      <c r="F2412" s="72">
        <v>90</v>
      </c>
      <c r="G2412" s="72">
        <v>1008815</v>
      </c>
      <c r="P2412" s="26"/>
    </row>
    <row r="2413" spans="1:16" ht="14.5">
      <c r="A2413" s="3" t="s">
        <v>38</v>
      </c>
      <c r="B2413" s="27" t="s">
        <v>2824</v>
      </c>
      <c r="C2413" s="46" t="s">
        <v>6088</v>
      </c>
      <c r="D2413" s="41" t="str">
        <f ca="1">IFERROR(__xludf.DUMMYFUNCTION("IFERROR(ARRAYFORMULA(REGEXEXTRACT(C2413,""^(?:https?:\/\/)?(?:[^@\n]+@)?(?:www\.)?([^:\/\n]+)"")),"""")"),"womansday.com")</f>
        <v>womansday.com</v>
      </c>
      <c r="E2413" s="26" t="str">
        <f ca="1">IFERROR(__xludf.DUMMYFUNCTION("""COMPUTED_VALUE"""),"New")</f>
        <v>New</v>
      </c>
      <c r="F2413" s="72">
        <v>79</v>
      </c>
      <c r="G2413" s="72">
        <v>232686</v>
      </c>
      <c r="P2413" s="26"/>
    </row>
    <row r="2414" spans="1:16" ht="14.5">
      <c r="A2414" s="3" t="s">
        <v>38</v>
      </c>
      <c r="B2414" s="27" t="s">
        <v>2824</v>
      </c>
      <c r="C2414" s="46" t="s">
        <v>6089</v>
      </c>
      <c r="D2414" s="41" t="str">
        <f ca="1">IFERROR(__xludf.DUMMYFUNCTION("IFERROR(ARRAYFORMULA(REGEXEXTRACT(C2414,""^(?:https?:\/\/)?(?:[^@\n]+@)?(?:www\.)?([^:\/\n]+)"")),"""")"),"mywowhealth.com")</f>
        <v>mywowhealth.com</v>
      </c>
      <c r="E2414" s="26" t="str">
        <f ca="1">IFERROR(__xludf.DUMMYFUNCTION("""COMPUTED_VALUE"""),"New")</f>
        <v>New</v>
      </c>
      <c r="F2414" s="72">
        <v>31</v>
      </c>
      <c r="G2414" s="72">
        <v>2376</v>
      </c>
      <c r="P2414" s="26"/>
    </row>
    <row r="2415" spans="1:16" ht="14.5">
      <c r="A2415" s="3" t="s">
        <v>38</v>
      </c>
      <c r="B2415" s="27" t="s">
        <v>2824</v>
      </c>
      <c r="C2415" s="46" t="s">
        <v>6090</v>
      </c>
      <c r="D2415" s="41" t="str">
        <f ca="1">IFERROR(__xludf.DUMMYFUNCTION("IFERROR(ARRAYFORMULA(REGEXEXTRACT(C2415,""^(?:https?:\/\/)?(?:[^@\n]+@)?(?:www\.)?([^:\/\n]+)"")),"""")"),"techstaunch.com")</f>
        <v>techstaunch.com</v>
      </c>
      <c r="E2415" s="26" t="str">
        <f ca="1">IFERROR(__xludf.DUMMYFUNCTION("""COMPUTED_VALUE"""),"New")</f>
        <v>New</v>
      </c>
      <c r="F2415" s="72">
        <v>31</v>
      </c>
      <c r="G2415" s="72">
        <v>1248</v>
      </c>
      <c r="P2415" s="26"/>
    </row>
    <row r="2416" spans="1:16" ht="14.5" hidden="1">
      <c r="A2416" s="3" t="s">
        <v>38</v>
      </c>
      <c r="B2416" s="27" t="s">
        <v>2824</v>
      </c>
      <c r="C2416" s="46" t="s">
        <v>6091</v>
      </c>
      <c r="D2416" s="41" t="str">
        <f ca="1">IFERROR(__xludf.DUMMYFUNCTION("IFERROR(ARRAYFORMULA(REGEXEXTRACT(C2416,""^(?:https?:\/\/)?(?:[^@\n]+@)?(?:www\.)?([^:\/\n]+)"")),"""")"),"paylinedata.com")</f>
        <v>paylinedata.com</v>
      </c>
      <c r="E2416" s="26" t="str">
        <f ca="1">IFERROR(__xludf.DUMMYFUNCTION("""COMPUTED_VALUE"""),"Already Exists")</f>
        <v>Already Exists</v>
      </c>
      <c r="F2416" s="72">
        <v>55</v>
      </c>
      <c r="G2416" s="72">
        <v>2610</v>
      </c>
      <c r="P2416" s="26"/>
    </row>
    <row r="2417" spans="1:16" ht="14.5">
      <c r="A2417" s="3" t="s">
        <v>38</v>
      </c>
      <c r="B2417" s="27" t="s">
        <v>2824</v>
      </c>
      <c r="C2417" s="46" t="s">
        <v>6092</v>
      </c>
      <c r="D2417" s="41" t="str">
        <f ca="1">IFERROR(__xludf.DUMMYFUNCTION("IFERROR(ARRAYFORMULA(REGEXEXTRACT(C2417,""^(?:https?:\/\/)?(?:[^@\n]+@)?(?:www\.)?([^:\/\n]+)"")),"""")"),"dailyprogress.com")</f>
        <v>dailyprogress.com</v>
      </c>
      <c r="E2417" s="26" t="str">
        <f ca="1">IFERROR(__xludf.DUMMYFUNCTION("""COMPUTED_VALUE"""),"New")</f>
        <v>New</v>
      </c>
      <c r="F2417" s="72">
        <v>75</v>
      </c>
      <c r="G2417" s="72">
        <v>16000</v>
      </c>
      <c r="P2417" s="26"/>
    </row>
    <row r="2418" spans="1:16" ht="14.5">
      <c r="A2418" s="3" t="s">
        <v>38</v>
      </c>
      <c r="B2418" s="27" t="s">
        <v>2824</v>
      </c>
      <c r="C2418" s="46" t="s">
        <v>6093</v>
      </c>
      <c r="D2418" s="41" t="str">
        <f ca="1">IFERROR(__xludf.DUMMYFUNCTION("IFERROR(ARRAYFORMULA(REGEXEXTRACT(C2418,""^(?:https?:\/\/)?(?:[^@\n]+@)?(?:www\.)?([^:\/\n]+)"")),"""")"),"hse-network.com")</f>
        <v>hse-network.com</v>
      </c>
      <c r="E2418" s="26" t="str">
        <f ca="1">IFERROR(__xludf.DUMMYFUNCTION("""COMPUTED_VALUE"""),"New")</f>
        <v>New</v>
      </c>
      <c r="F2418" s="72">
        <v>47</v>
      </c>
      <c r="G2418" s="72">
        <v>10714</v>
      </c>
      <c r="P2418" s="26"/>
    </row>
    <row r="2419" spans="1:16" ht="14.5">
      <c r="A2419" s="3" t="s">
        <v>38</v>
      </c>
      <c r="B2419" s="27" t="s">
        <v>2824</v>
      </c>
      <c r="C2419" s="46" t="s">
        <v>6094</v>
      </c>
      <c r="D2419" s="41" t="str">
        <f ca="1">IFERROR(__xludf.DUMMYFUNCTION("IFERROR(ARRAYFORMULA(REGEXEXTRACT(C2419,""^(?:https?:\/\/)?(?:[^@\n]+@)?(?:www\.)?([^:\/\n]+)"")),"""")"),"mitechnews.com")</f>
        <v>mitechnews.com</v>
      </c>
      <c r="E2419" s="26" t="str">
        <f ca="1">IFERROR(__xludf.DUMMYFUNCTION("""COMPUTED_VALUE"""),"New")</f>
        <v>New</v>
      </c>
      <c r="F2419" s="72">
        <v>54</v>
      </c>
      <c r="G2419" s="72">
        <v>14608</v>
      </c>
      <c r="P2419" s="26"/>
    </row>
    <row r="2420" spans="1:16" ht="14.5">
      <c r="A2420" s="3" t="s">
        <v>38</v>
      </c>
      <c r="B2420" s="27" t="s">
        <v>2824</v>
      </c>
      <c r="C2420" s="46" t="s">
        <v>6095</v>
      </c>
      <c r="D2420" s="41" t="str">
        <f ca="1">IFERROR(__xludf.DUMMYFUNCTION("IFERROR(ARRAYFORMULA(REGEXEXTRACT(C2420,""^(?:https?:\/\/)?(?:[^@\n]+@)?(?:www\.)?([^:\/\n]+)"")),"""")"),"content.unionplus.org")</f>
        <v>content.unionplus.org</v>
      </c>
      <c r="E2420" s="26" t="str">
        <f ca="1">IFERROR(__xludf.DUMMYFUNCTION("""COMPUTED_VALUE"""),"New")</f>
        <v>New</v>
      </c>
      <c r="F2420" s="72">
        <v>73</v>
      </c>
      <c r="G2420" s="72">
        <v>17674</v>
      </c>
      <c r="P2420" s="26"/>
    </row>
    <row r="2421" spans="1:16" ht="14.5">
      <c r="A2421" s="3" t="s">
        <v>38</v>
      </c>
      <c r="B2421" s="27" t="s">
        <v>2824</v>
      </c>
      <c r="C2421" s="46" t="s">
        <v>6096</v>
      </c>
      <c r="D2421" s="41" t="str">
        <f ca="1">IFERROR(__xludf.DUMMYFUNCTION("IFERROR(ARRAYFORMULA(REGEXEXTRACT(C2421,""^(?:https?:\/\/)?(?:[^@\n]+@)?(?:www\.)?([^:\/\n]+)"")),"""")"),"globalbankingandfinance.com")</f>
        <v>globalbankingandfinance.com</v>
      </c>
      <c r="E2421" s="26" t="str">
        <f ca="1">IFERROR(__xludf.DUMMYFUNCTION("""COMPUTED_VALUE"""),"New")</f>
        <v>New</v>
      </c>
      <c r="F2421" s="72">
        <v>77</v>
      </c>
      <c r="G2421" s="72">
        <v>13911</v>
      </c>
      <c r="P2421" s="26"/>
    </row>
    <row r="2422" spans="1:16" ht="14.5" hidden="1">
      <c r="A2422" s="3" t="s">
        <v>38</v>
      </c>
      <c r="B2422" s="27" t="s">
        <v>2824</v>
      </c>
      <c r="C2422" s="46" t="s">
        <v>6097</v>
      </c>
      <c r="D2422" s="41" t="str">
        <f ca="1">IFERROR(__xludf.DUMMYFUNCTION("IFERROR(ARRAYFORMULA(REGEXEXTRACT(C2422,""^(?:https?:\/\/)?(?:[^@\n]+@)?(?:www\.)?([^:\/\n]+)"")),"""")"),"fingerlakes1.com")</f>
        <v>fingerlakes1.com</v>
      </c>
      <c r="E2422" s="26" t="str">
        <f ca="1">IFERROR(__xludf.DUMMYFUNCTION("""COMPUTED_VALUE"""),"Already Exists")</f>
        <v>Already Exists</v>
      </c>
      <c r="F2422" s="72">
        <v>73</v>
      </c>
      <c r="G2422" s="72">
        <v>39853</v>
      </c>
      <c r="P2422" s="26"/>
    </row>
    <row r="2423" spans="1:16" ht="14.5" hidden="1">
      <c r="A2423" s="3" t="s">
        <v>38</v>
      </c>
      <c r="B2423" s="27" t="s">
        <v>2824</v>
      </c>
      <c r="C2423" s="46" t="s">
        <v>6098</v>
      </c>
      <c r="D2423" s="41" t="str">
        <f ca="1">IFERROR(__xludf.DUMMYFUNCTION("IFERROR(ARRAYFORMULA(REGEXEXTRACT(C2423,""^(?:https?:\/\/)?(?:[^@\n]+@)?(?:www\.)?([^:\/\n]+)"")),"""")"),"getassist.net")</f>
        <v>getassist.net</v>
      </c>
      <c r="E2423" s="26" t="str">
        <f ca="1">IFERROR(__xludf.DUMMYFUNCTION("""COMPUTED_VALUE"""),"Already Exists")</f>
        <v>Already Exists</v>
      </c>
      <c r="F2423" s="72">
        <v>51</v>
      </c>
      <c r="G2423" s="72">
        <v>157663</v>
      </c>
      <c r="P2423" s="26"/>
    </row>
    <row r="2424" spans="1:16" ht="14.5">
      <c r="A2424" s="3" t="s">
        <v>38</v>
      </c>
      <c r="B2424" s="27" t="s">
        <v>2824</v>
      </c>
      <c r="C2424" s="46" t="s">
        <v>6099</v>
      </c>
      <c r="D2424" s="41" t="str">
        <f ca="1">IFERROR(__xludf.DUMMYFUNCTION("IFERROR(ARRAYFORMULA(REGEXEXTRACT(C2424,""^(?:https?:\/\/)?(?:[^@\n]+@)?(?:www\.)?([^:\/\n]+)"")),"""")"),"greensboro.com")</f>
        <v>greensboro.com</v>
      </c>
      <c r="E2424" s="26" t="str">
        <f ca="1">IFERROR(__xludf.DUMMYFUNCTION("""COMPUTED_VALUE"""),"New")</f>
        <v>New</v>
      </c>
      <c r="F2424" s="72">
        <v>74</v>
      </c>
      <c r="G2424" s="72">
        <v>27606</v>
      </c>
      <c r="P2424" s="26"/>
    </row>
    <row r="2425" spans="1:16" ht="14.5">
      <c r="A2425" s="3" t="s">
        <v>38</v>
      </c>
      <c r="B2425" s="27" t="s">
        <v>2824</v>
      </c>
      <c r="C2425" s="46" t="s">
        <v>6100</v>
      </c>
      <c r="D2425" s="41" t="str">
        <f ca="1">IFERROR(__xludf.DUMMYFUNCTION("IFERROR(ARRAYFORMULA(REGEXEXTRACT(C2425,""^(?:https?:\/\/)?(?:[^@\n]+@)?(?:www\.)?([^:\/\n]+)"")),"""")"),"antiguanewsroom.com")</f>
        <v>antiguanewsroom.com</v>
      </c>
      <c r="E2425" s="26" t="str">
        <f ca="1">IFERROR(__xludf.DUMMYFUNCTION("""COMPUTED_VALUE"""),"New")</f>
        <v>New</v>
      </c>
      <c r="F2425" s="72">
        <v>51</v>
      </c>
      <c r="G2425" s="72">
        <v>7863</v>
      </c>
      <c r="P2425" s="26"/>
    </row>
    <row r="2426" spans="1:16" ht="14.5">
      <c r="A2426" s="3" t="s">
        <v>38</v>
      </c>
      <c r="B2426" s="27" t="s">
        <v>2824</v>
      </c>
      <c r="C2426" s="46" t="s">
        <v>6101</v>
      </c>
      <c r="D2426" s="41" t="str">
        <f ca="1">IFERROR(__xludf.DUMMYFUNCTION("IFERROR(ARRAYFORMULA(REGEXEXTRACT(C2426,""^(?:https?:\/\/)?(?:[^@\n]+@)?(?:www\.)?([^:\/\n]+)"")),"""")"),"thecoachspace.com")</f>
        <v>thecoachspace.com</v>
      </c>
      <c r="E2426" s="26" t="str">
        <f ca="1">IFERROR(__xludf.DUMMYFUNCTION("""COMPUTED_VALUE"""),"New")</f>
        <v>New</v>
      </c>
      <c r="F2426" s="72">
        <v>37</v>
      </c>
      <c r="G2426" s="72">
        <v>1977</v>
      </c>
      <c r="P2426" s="26"/>
    </row>
    <row r="2427" spans="1:16" ht="14.5">
      <c r="A2427" s="3" t="s">
        <v>38</v>
      </c>
      <c r="B2427" s="27" t="s">
        <v>2824</v>
      </c>
      <c r="C2427" s="46" t="s">
        <v>6102</v>
      </c>
      <c r="D2427" s="41" t="str">
        <f ca="1">IFERROR(__xludf.DUMMYFUNCTION("IFERROR(ARRAYFORMULA(REGEXEXTRACT(C2427,""^(?:https?:\/\/)?(?:[^@\n]+@)?(?:www\.)?([^:\/\n]+)"")),"""")"),"kenoshanews.com")</f>
        <v>kenoshanews.com</v>
      </c>
      <c r="E2427" s="26" t="str">
        <f ca="1">IFERROR(__xludf.DUMMYFUNCTION("""COMPUTED_VALUE"""),"New")</f>
        <v>New</v>
      </c>
      <c r="F2427" s="72">
        <v>71</v>
      </c>
      <c r="G2427" s="72">
        <v>10614</v>
      </c>
      <c r="P2427" s="26"/>
    </row>
    <row r="2428" spans="1:16" ht="14.5" hidden="1">
      <c r="A2428" s="3" t="s">
        <v>38</v>
      </c>
      <c r="B2428" s="27" t="s">
        <v>2824</v>
      </c>
      <c r="C2428" s="47" t="s">
        <v>6103</v>
      </c>
      <c r="D2428" s="41" t="str">
        <f ca="1">IFERROR(__xludf.DUMMYFUNCTION("IFERROR(ARRAYFORMULA(REGEXEXTRACT(C2428,""^(?:https?:\/\/)?(?:[^@\n]+@)?(?:www\.)?([^:\/\n]+)"")),"""")"),"thecostaricanews.com")</f>
        <v>thecostaricanews.com</v>
      </c>
      <c r="E2428" s="26" t="str">
        <f ca="1">IFERROR(__xludf.DUMMYFUNCTION("""COMPUTED_VALUE"""),"Already Exists")</f>
        <v>Already Exists</v>
      </c>
      <c r="F2428" s="72">
        <v>59</v>
      </c>
      <c r="G2428" s="72">
        <v>1497</v>
      </c>
      <c r="I2428" s="27" t="s">
        <v>6104</v>
      </c>
      <c r="J2428" s="27" t="s">
        <v>6105</v>
      </c>
      <c r="K2428" s="27" t="s">
        <v>3756</v>
      </c>
      <c r="L2428" s="112"/>
      <c r="M2428" s="27" t="s">
        <v>3715</v>
      </c>
      <c r="N2428" s="48">
        <v>46050</v>
      </c>
      <c r="P2428" s="27" t="s">
        <v>3201</v>
      </c>
    </row>
    <row r="2429" spans="1:16" ht="14.5" hidden="1">
      <c r="A2429" s="3" t="s">
        <v>38</v>
      </c>
      <c r="B2429" s="27" t="s">
        <v>2824</v>
      </c>
      <c r="C2429" s="46" t="s">
        <v>6106</v>
      </c>
      <c r="D2429" s="41" t="str">
        <f ca="1">IFERROR(__xludf.DUMMYFUNCTION("IFERROR(ARRAYFORMULA(REGEXEXTRACT(C2429,""^(?:https?:\/\/)?(?:[^@\n]+@)?(?:www\.)?([^:\/\n]+)"")),"""")"),"luxurylifestyle.com")</f>
        <v>luxurylifestyle.com</v>
      </c>
      <c r="E2429" s="26" t="str">
        <f ca="1">IFERROR(__xludf.DUMMYFUNCTION("""COMPUTED_VALUE"""),"Already Exists")</f>
        <v>Already Exists</v>
      </c>
      <c r="F2429" s="72">
        <v>48</v>
      </c>
      <c r="G2429" s="72">
        <v>1843</v>
      </c>
      <c r="P2429" s="26"/>
    </row>
    <row r="2430" spans="1:16" ht="14.5">
      <c r="A2430" s="3" t="s">
        <v>38</v>
      </c>
      <c r="B2430" s="27" t="s">
        <v>2824</v>
      </c>
      <c r="C2430" s="46" t="s">
        <v>6107</v>
      </c>
      <c r="D2430" s="41" t="str">
        <f ca="1">IFERROR(__xludf.DUMMYFUNCTION("IFERROR(ARRAYFORMULA(REGEXEXTRACT(C2430,""^(?:https?:\/\/)?(?:[^@\n]+@)?(?:www\.)?([^:\/\n]+)"")),"""")"),"webpronews.com")</f>
        <v>webpronews.com</v>
      </c>
      <c r="E2430" s="26" t="str">
        <f ca="1">IFERROR(__xludf.DUMMYFUNCTION("""COMPUTED_VALUE"""),"New")</f>
        <v>New</v>
      </c>
      <c r="F2430" s="72">
        <v>78</v>
      </c>
      <c r="G2430" s="72">
        <v>166574</v>
      </c>
      <c r="P2430" s="26"/>
    </row>
    <row r="2431" spans="1:16" ht="14.5" hidden="1">
      <c r="A2431" s="3" t="s">
        <v>38</v>
      </c>
      <c r="B2431" s="27" t="s">
        <v>2824</v>
      </c>
      <c r="C2431" s="46" t="s">
        <v>6108</v>
      </c>
      <c r="D2431" s="41" t="str">
        <f ca="1">IFERROR(__xludf.DUMMYFUNCTION("IFERROR(ARRAYFORMULA(REGEXEXTRACT(C2431,""^(?:https?:\/\/)?(?:[^@\n]+@)?(?:www\.)?([^:\/\n]+)"")),"""")"),"urbansplatter.com")</f>
        <v>urbansplatter.com</v>
      </c>
      <c r="E2431" s="26" t="str">
        <f ca="1">IFERROR(__xludf.DUMMYFUNCTION("""COMPUTED_VALUE"""),"Already Exists")</f>
        <v>Already Exists</v>
      </c>
      <c r="F2431" s="72">
        <v>63</v>
      </c>
      <c r="G2431" s="72">
        <v>25849</v>
      </c>
      <c r="P2431" s="26"/>
    </row>
    <row r="2432" spans="1:16" ht="14.5" hidden="1">
      <c r="A2432" s="3" t="s">
        <v>38</v>
      </c>
      <c r="B2432" s="27" t="s">
        <v>2824</v>
      </c>
      <c r="C2432" s="46" t="s">
        <v>6109</v>
      </c>
      <c r="D2432" s="41" t="str">
        <f ca="1">IFERROR(__xludf.DUMMYFUNCTION("IFERROR(ARRAYFORMULA(REGEXEXTRACT(C2432,""^(?:https?:\/\/)?(?:[^@\n]+@)?(?:www\.)?([^:\/\n]+)"")),"""")"),"captainbobcat.com")</f>
        <v>captainbobcat.com</v>
      </c>
      <c r="E2432" s="26" t="str">
        <f ca="1">IFERROR(__xludf.DUMMYFUNCTION("""COMPUTED_VALUE"""),"Already Exists")</f>
        <v>Already Exists</v>
      </c>
      <c r="F2432" s="72">
        <v>36</v>
      </c>
      <c r="G2432" s="72">
        <v>1923</v>
      </c>
      <c r="P2432" s="26"/>
    </row>
    <row r="2433" spans="1:16" ht="14.5">
      <c r="A2433" s="3" t="s">
        <v>38</v>
      </c>
      <c r="B2433" s="27" t="s">
        <v>2824</v>
      </c>
      <c r="C2433" s="46" t="s">
        <v>6110</v>
      </c>
      <c r="D2433" s="41" t="str">
        <f ca="1">IFERROR(__xludf.DUMMYFUNCTION("IFERROR(ARRAYFORMULA(REGEXEXTRACT(C2433,""^(?:https?:\/\/)?(?:[^@\n]+@)?(?:www\.)?([^:\/\n]+)"")),"""")"),"fileproinfo.com")</f>
        <v>fileproinfo.com</v>
      </c>
      <c r="E2433" s="26" t="str">
        <f ca="1">IFERROR(__xludf.DUMMYFUNCTION("""COMPUTED_VALUE"""),"New")</f>
        <v>New</v>
      </c>
      <c r="F2433" s="72">
        <v>73</v>
      </c>
      <c r="G2433" s="72">
        <v>1435</v>
      </c>
      <c r="P2433" s="26"/>
    </row>
    <row r="2434" spans="1:16" ht="14.5">
      <c r="A2434" s="3" t="s">
        <v>38</v>
      </c>
      <c r="B2434" s="27" t="s">
        <v>2824</v>
      </c>
      <c r="C2434" s="46" t="s">
        <v>6111</v>
      </c>
      <c r="D2434" s="41" t="str">
        <f ca="1">IFERROR(__xludf.DUMMYFUNCTION("IFERROR(ARRAYFORMULA(REGEXEXTRACT(C2434,""^(?:https?:\/\/)?(?:[^@\n]+@)?(?:www\.)?([^:\/\n]+)"")),"""")"),"indiapost.com")</f>
        <v>indiapost.com</v>
      </c>
      <c r="E2434" s="26" t="str">
        <f ca="1">IFERROR(__xludf.DUMMYFUNCTION("""COMPUTED_VALUE"""),"New")</f>
        <v>New</v>
      </c>
      <c r="F2434" s="72">
        <v>52</v>
      </c>
      <c r="G2434" s="72">
        <v>1242</v>
      </c>
      <c r="P2434" s="26"/>
    </row>
    <row r="2435" spans="1:16" ht="14.5">
      <c r="A2435" s="3" t="s">
        <v>38</v>
      </c>
      <c r="B2435" s="27" t="s">
        <v>2824</v>
      </c>
      <c r="C2435" s="46" t="s">
        <v>6112</v>
      </c>
      <c r="D2435" s="41" t="str">
        <f ca="1">IFERROR(__xludf.DUMMYFUNCTION("IFERROR(ARRAYFORMULA(REGEXEXTRACT(C2435,""^(?:https?:\/\/)?(?:[^@\n]+@)?(?:www\.)?([^:\/\n]+)"")),"""")"),"cambridgeassessment.britanico.cl")</f>
        <v>cambridgeassessment.britanico.cl</v>
      </c>
      <c r="E2435" s="26" t="str">
        <f ca="1">IFERROR(__xludf.DUMMYFUNCTION("""COMPUTED_VALUE"""),"New")</f>
        <v>New</v>
      </c>
      <c r="F2435" s="72">
        <v>24</v>
      </c>
      <c r="G2435" s="72">
        <v>4179</v>
      </c>
      <c r="P2435" s="26"/>
    </row>
    <row r="2436" spans="1:16" ht="14.5" hidden="1">
      <c r="A2436" s="3" t="s">
        <v>38</v>
      </c>
      <c r="B2436" s="27" t="s">
        <v>2824</v>
      </c>
      <c r="C2436" s="46" t="s">
        <v>6113</v>
      </c>
      <c r="D2436" s="41" t="str">
        <f ca="1">IFERROR(__xludf.DUMMYFUNCTION("IFERROR(ARRAYFORMULA(REGEXEXTRACT(C2436,""^(?:https?:\/\/)?(?:[^@\n]+@)?(?:www\.)?([^:\/\n]+)"")),"""")"),"financialpanther.com")</f>
        <v>financialpanther.com</v>
      </c>
      <c r="E2436" s="26" t="str">
        <f ca="1">IFERROR(__xludf.DUMMYFUNCTION("""COMPUTED_VALUE"""),"Already Exists")</f>
        <v>Already Exists</v>
      </c>
      <c r="F2436" s="72">
        <v>36</v>
      </c>
      <c r="G2436" s="72">
        <v>6056</v>
      </c>
      <c r="P2436" s="26"/>
    </row>
    <row r="2437" spans="1:16" ht="14.5">
      <c r="A2437" s="3" t="s">
        <v>38</v>
      </c>
      <c r="B2437" s="27" t="s">
        <v>2824</v>
      </c>
      <c r="C2437" s="46" t="s">
        <v>6114</v>
      </c>
      <c r="D2437" s="41" t="str">
        <f ca="1">IFERROR(__xludf.DUMMYFUNCTION("IFERROR(ARRAYFORMULA(REGEXEXTRACT(C2437,""^(?:https?:\/\/)?(?:[^@\n]+@)?(?:www\.)?([^:\/\n]+)"")),"""")"),"nameswhisper.com")</f>
        <v>nameswhisper.com</v>
      </c>
      <c r="E2437" s="26" t="str">
        <f ca="1">IFERROR(__xludf.DUMMYFUNCTION("""COMPUTED_VALUE"""),"New")</f>
        <v>New</v>
      </c>
      <c r="F2437" s="72">
        <v>31</v>
      </c>
      <c r="G2437" s="72">
        <v>1587</v>
      </c>
      <c r="P2437" s="26"/>
    </row>
    <row r="2438" spans="1:16" ht="14.5">
      <c r="A2438" s="3" t="s">
        <v>38</v>
      </c>
      <c r="B2438" s="27" t="s">
        <v>2824</v>
      </c>
      <c r="C2438" s="46" t="s">
        <v>6115</v>
      </c>
      <c r="D2438" s="41" t="str">
        <f ca="1">IFERROR(__xludf.DUMMYFUNCTION("IFERROR(ARRAYFORMULA(REGEXEXTRACT(C2438,""^(?:https?:\/\/)?(?:[^@\n]+@)?(?:www\.)?([^:\/\n]+)"")),"""")"),"careercenter.wofford.edu")</f>
        <v>careercenter.wofford.edu</v>
      </c>
      <c r="E2438" s="26" t="str">
        <f ca="1">IFERROR(__xludf.DUMMYFUNCTION("""COMPUTED_VALUE"""),"New")</f>
        <v>New</v>
      </c>
      <c r="F2438" s="72">
        <v>70</v>
      </c>
      <c r="G2438" s="72">
        <v>7902</v>
      </c>
      <c r="P2438" s="26"/>
    </row>
    <row r="2439" spans="1:16" ht="14.5">
      <c r="A2439" s="3" t="s">
        <v>38</v>
      </c>
      <c r="B2439" s="27" t="s">
        <v>2824</v>
      </c>
      <c r="C2439" s="46" t="s">
        <v>6116</v>
      </c>
      <c r="D2439" s="41" t="str">
        <f ca="1">IFERROR(__xludf.DUMMYFUNCTION("IFERROR(ARRAYFORMULA(REGEXEXTRACT(C2439,""^(?:https?:\/\/)?(?:[^@\n]+@)?(?:www\.)?([^:\/\n]+)"")),"""")"),"fremonttribune.com")</f>
        <v>fremonttribune.com</v>
      </c>
      <c r="E2439" s="26" t="str">
        <f ca="1">IFERROR(__xludf.DUMMYFUNCTION("""COMPUTED_VALUE"""),"New")</f>
        <v>New</v>
      </c>
      <c r="F2439" s="72">
        <v>59</v>
      </c>
      <c r="G2439" s="72">
        <v>3107</v>
      </c>
      <c r="P2439" s="26"/>
    </row>
    <row r="2440" spans="1:16" ht="14.5" hidden="1">
      <c r="A2440" s="3" t="s">
        <v>38</v>
      </c>
      <c r="B2440" s="27" t="s">
        <v>2824</v>
      </c>
      <c r="C2440" s="46" t="s">
        <v>6117</v>
      </c>
      <c r="D2440" s="41" t="str">
        <f ca="1">IFERROR(__xludf.DUMMYFUNCTION("IFERROR(ARRAYFORMULA(REGEXEXTRACT(C2440,""^(?:https?:\/\/)?(?:[^@\n]+@)?(?:www\.)?([^:\/\n]+)"")),"""")"),"mklibrary.com")</f>
        <v>mklibrary.com</v>
      </c>
      <c r="E2440" s="26" t="str">
        <f ca="1">IFERROR(__xludf.DUMMYFUNCTION("""COMPUTED_VALUE"""),"Already Exists")</f>
        <v>Already Exists</v>
      </c>
      <c r="F2440" s="72">
        <v>72</v>
      </c>
      <c r="G2440" s="72">
        <v>2078</v>
      </c>
      <c r="P2440" s="26"/>
    </row>
    <row r="2441" spans="1:16" ht="14.5" hidden="1">
      <c r="A2441" s="3" t="s">
        <v>38</v>
      </c>
      <c r="B2441" s="27" t="s">
        <v>2824</v>
      </c>
      <c r="C2441" s="46" t="s">
        <v>6118</v>
      </c>
      <c r="D2441" s="41" t="str">
        <f ca="1">IFERROR(__xludf.DUMMYFUNCTION("IFERROR(ARRAYFORMULA(REGEXEXTRACT(C2441,""^(?:https?:\/\/)?(?:[^@\n]+@)?(?:www\.)?([^:\/\n]+)"")),"""")"),"mostlyblogging.com")</f>
        <v>mostlyblogging.com</v>
      </c>
      <c r="E2441" s="26" t="str">
        <f ca="1">IFERROR(__xludf.DUMMYFUNCTION("""COMPUTED_VALUE"""),"Already Exists")</f>
        <v>Already Exists</v>
      </c>
      <c r="F2441" s="72">
        <v>76</v>
      </c>
      <c r="G2441" s="72">
        <v>110141</v>
      </c>
      <c r="P2441" s="26"/>
    </row>
    <row r="2442" spans="1:16" ht="14.5" hidden="1">
      <c r="A2442" s="3" t="s">
        <v>38</v>
      </c>
      <c r="B2442" s="27" t="s">
        <v>2824</v>
      </c>
      <c r="C2442" s="49" t="s">
        <v>6119</v>
      </c>
      <c r="D2442" s="41" t="str">
        <f ca="1">IFERROR(__xludf.DUMMYFUNCTION("IFERROR(ARRAYFORMULA(REGEXEXTRACT(C2442,""^(?:https?:\/\/)?(?:[^@\n]+@)?(?:www\.)?([^:\/\n]+)"")),"""")"),"readability.com")</f>
        <v>readability.com</v>
      </c>
      <c r="E2442" s="26" t="str">
        <f ca="1">IFERROR(__xludf.DUMMYFUNCTION("""COMPUTED_VALUE"""),"New")</f>
        <v>New</v>
      </c>
      <c r="F2442" s="72">
        <v>71</v>
      </c>
      <c r="G2442" s="72">
        <v>2702</v>
      </c>
      <c r="J2442" s="27" t="s">
        <v>6120</v>
      </c>
      <c r="K2442" s="27" t="s">
        <v>3756</v>
      </c>
      <c r="L2442" s="112"/>
      <c r="M2442" s="27" t="s">
        <v>3715</v>
      </c>
      <c r="N2442" s="48">
        <v>46050</v>
      </c>
      <c r="P2442" s="26"/>
    </row>
    <row r="2443" spans="1:16" ht="14.5">
      <c r="A2443" s="3" t="s">
        <v>38</v>
      </c>
      <c r="B2443" s="27" t="s">
        <v>2824</v>
      </c>
      <c r="C2443" s="46" t="s">
        <v>6121</v>
      </c>
      <c r="D2443" s="41" t="str">
        <f ca="1">IFERROR(__xludf.DUMMYFUNCTION("IFERROR(ARRAYFORMULA(REGEXEXTRACT(C2443,""^(?:https?:\/\/)?(?:[^@\n]+@)?(?:www\.)?([^:\/\n]+)"")),"""")"),"careerservices.smumn.edu")</f>
        <v>careerservices.smumn.edu</v>
      </c>
      <c r="E2443" s="26" t="str">
        <f ca="1">IFERROR(__xludf.DUMMYFUNCTION("""COMPUTED_VALUE"""),"New")</f>
        <v>New</v>
      </c>
      <c r="F2443" s="72">
        <v>69</v>
      </c>
      <c r="G2443" s="72">
        <v>30733</v>
      </c>
      <c r="P2443" s="26"/>
    </row>
    <row r="2444" spans="1:16" ht="14.5" hidden="1">
      <c r="A2444" s="3" t="s">
        <v>38</v>
      </c>
      <c r="B2444" s="27" t="s">
        <v>2824</v>
      </c>
      <c r="C2444" s="46" t="s">
        <v>6122</v>
      </c>
      <c r="D2444" s="41" t="str">
        <f ca="1">IFERROR(__xludf.DUMMYFUNCTION("IFERROR(ARRAYFORMULA(REGEXEXTRACT(C2444,""^(?:https?:\/\/)?(?:[^@\n]+@)?(?:www\.)?([^:\/\n]+)"")),"""")"),"genniferrose.com")</f>
        <v>genniferrose.com</v>
      </c>
      <c r="E2444" s="26" t="str">
        <f ca="1">IFERROR(__xludf.DUMMYFUNCTION("""COMPUTED_VALUE"""),"Already Exists")</f>
        <v>Already Exists</v>
      </c>
      <c r="F2444" s="72">
        <v>28</v>
      </c>
      <c r="G2444" s="72">
        <v>11991</v>
      </c>
      <c r="P2444" s="26"/>
    </row>
    <row r="2445" spans="1:16" ht="14.5">
      <c r="A2445" s="3" t="s">
        <v>38</v>
      </c>
      <c r="B2445" s="27" t="s">
        <v>2824</v>
      </c>
      <c r="C2445" s="46" t="s">
        <v>6123</v>
      </c>
      <c r="D2445" s="41" t="str">
        <f ca="1">IFERROR(__xludf.DUMMYFUNCTION("IFERROR(ARRAYFORMULA(REGEXEXTRACT(C2445,""^(?:https?:\/\/)?(?:[^@\n]+@)?(?:www\.)?([^:\/\n]+)"")),"""")"),"cnycentral.com")</f>
        <v>cnycentral.com</v>
      </c>
      <c r="E2445" s="26" t="str">
        <f ca="1">IFERROR(__xludf.DUMMYFUNCTION("""COMPUTED_VALUE"""),"New")</f>
        <v>New</v>
      </c>
      <c r="F2445" s="72">
        <v>72</v>
      </c>
      <c r="G2445" s="72">
        <v>105889</v>
      </c>
      <c r="P2445" s="26"/>
    </row>
    <row r="2446" spans="1:16" ht="14.5">
      <c r="A2446" s="3" t="s">
        <v>38</v>
      </c>
      <c r="B2446" s="27" t="s">
        <v>2824</v>
      </c>
      <c r="C2446" s="46" t="s">
        <v>6124</v>
      </c>
      <c r="D2446" s="41" t="str">
        <f ca="1">IFERROR(__xludf.DUMMYFUNCTION("IFERROR(ARRAYFORMULA(REGEXEXTRACT(C2446,""^(?:https?:\/\/)?(?:[^@\n]+@)?(?:www\.)?([^:\/\n]+)"")),"""")"),"newsvirginian.com")</f>
        <v>newsvirginian.com</v>
      </c>
      <c r="E2446" s="26" t="str">
        <f ca="1">IFERROR(__xludf.DUMMYFUNCTION("""COMPUTED_VALUE"""),"New")</f>
        <v>New</v>
      </c>
      <c r="F2446" s="72">
        <v>43</v>
      </c>
      <c r="G2446" s="72">
        <v>5670</v>
      </c>
      <c r="P2446" s="26"/>
    </row>
    <row r="2447" spans="1:16" ht="14.5">
      <c r="A2447" s="3" t="s">
        <v>38</v>
      </c>
      <c r="B2447" s="27" t="s">
        <v>2824</v>
      </c>
      <c r="C2447" s="46" t="s">
        <v>6125</v>
      </c>
      <c r="D2447" s="41" t="str">
        <f ca="1">IFERROR(__xludf.DUMMYFUNCTION("IFERROR(ARRAYFORMULA(REGEXEXTRACT(C2447,""^(?:https?:\/\/)?(?:[^@\n]+@)?(?:www\.)?([^:\/\n]+)"")),"""")"),"careerservices.fgcu.edu")</f>
        <v>careerservices.fgcu.edu</v>
      </c>
      <c r="E2447" s="26" t="str">
        <f ca="1">IFERROR(__xludf.DUMMYFUNCTION("""COMPUTED_VALUE"""),"New")</f>
        <v>New</v>
      </c>
      <c r="F2447" s="72">
        <v>74</v>
      </c>
      <c r="G2447" s="72">
        <v>86910</v>
      </c>
      <c r="P2447" s="26"/>
    </row>
    <row r="2448" spans="1:16" ht="14.5" hidden="1">
      <c r="A2448" s="3" t="s">
        <v>38</v>
      </c>
      <c r="B2448" s="27" t="s">
        <v>2824</v>
      </c>
      <c r="C2448" s="46" t="s">
        <v>6126</v>
      </c>
      <c r="D2448" s="41" t="str">
        <f ca="1">IFERROR(__xludf.DUMMYFUNCTION("IFERROR(ARRAYFORMULA(REGEXEXTRACT(C2448,""^(?:https?:\/\/)?(?:[^@\n]+@)?(?:www\.)?([^:\/\n]+)"")),"""")"),"dwellect.com")</f>
        <v>dwellect.com</v>
      </c>
      <c r="E2448" s="26" t="str">
        <f ca="1">IFERROR(__xludf.DUMMYFUNCTION("""COMPUTED_VALUE"""),"Already Exists")</f>
        <v>Already Exists</v>
      </c>
      <c r="F2448" s="72">
        <v>51</v>
      </c>
      <c r="G2448" s="72">
        <v>1066</v>
      </c>
      <c r="P2448" s="26"/>
    </row>
    <row r="2449" spans="1:16" ht="14.5">
      <c r="A2449" s="3" t="s">
        <v>38</v>
      </c>
      <c r="B2449" s="27" t="s">
        <v>2824</v>
      </c>
      <c r="C2449" s="46" t="s">
        <v>6127</v>
      </c>
      <c r="D2449" s="41" t="str">
        <f ca="1">IFERROR(__xludf.DUMMYFUNCTION("IFERROR(ARRAYFORMULA(REGEXEXTRACT(C2449,""^(?:https?:\/\/)?(?:[^@\n]+@)?(?:www\.)?([^:\/\n]+)"")),"""")"),"cyberpanel.net")</f>
        <v>cyberpanel.net</v>
      </c>
      <c r="E2449" s="26" t="str">
        <f ca="1">IFERROR(__xludf.DUMMYFUNCTION("""COMPUTED_VALUE"""),"New")</f>
        <v>New</v>
      </c>
      <c r="F2449" s="72">
        <v>87</v>
      </c>
      <c r="G2449" s="72">
        <v>48369</v>
      </c>
      <c r="P2449" s="26"/>
    </row>
    <row r="2450" spans="1:16" ht="14.5">
      <c r="A2450" s="3" t="s">
        <v>38</v>
      </c>
      <c r="B2450" s="27" t="s">
        <v>2824</v>
      </c>
      <c r="C2450" s="46" t="s">
        <v>6128</v>
      </c>
      <c r="D2450" s="41" t="str">
        <f ca="1">IFERROR(__xludf.DUMMYFUNCTION("IFERROR(ARRAYFORMULA(REGEXEXTRACT(C2450,""^(?:https?:\/\/)?(?:[^@\n]+@)?(?:www\.)?([^:\/\n]+)"")),"""")"),"authory.com")</f>
        <v>authory.com</v>
      </c>
      <c r="E2450" s="26" t="str">
        <f ca="1">IFERROR(__xludf.DUMMYFUNCTION("""COMPUTED_VALUE"""),"New")</f>
        <v>New</v>
      </c>
      <c r="F2450" s="72">
        <v>76</v>
      </c>
      <c r="G2450" s="72">
        <v>5493</v>
      </c>
      <c r="P2450" s="26"/>
    </row>
    <row r="2451" spans="1:16" ht="14.5">
      <c r="A2451" s="3" t="s">
        <v>38</v>
      </c>
      <c r="B2451" s="27" t="s">
        <v>2824</v>
      </c>
      <c r="C2451" s="46" t="s">
        <v>6129</v>
      </c>
      <c r="D2451" s="41" t="str">
        <f ca="1">IFERROR(__xludf.DUMMYFUNCTION("IFERROR(ARRAYFORMULA(REGEXEXTRACT(C2451,""^(?:https?:\/\/)?(?:[^@\n]+@)?(?:www\.)?([^:\/\n]+)"")),"""")"),"huntr.co")</f>
        <v>huntr.co</v>
      </c>
      <c r="E2451" s="26" t="str">
        <f ca="1">IFERROR(__xludf.DUMMYFUNCTION("""COMPUTED_VALUE"""),"New")</f>
        <v>New</v>
      </c>
      <c r="F2451" s="72">
        <v>70</v>
      </c>
      <c r="G2451" s="72">
        <v>169525</v>
      </c>
      <c r="P2451" s="26"/>
    </row>
    <row r="2452" spans="1:16" ht="14.5">
      <c r="A2452" s="3" t="s">
        <v>38</v>
      </c>
      <c r="B2452" s="27" t="s">
        <v>2824</v>
      </c>
      <c r="C2452" s="46" t="s">
        <v>6130</v>
      </c>
      <c r="D2452" s="41" t="str">
        <f ca="1">IFERROR(__xludf.DUMMYFUNCTION("IFERROR(ARRAYFORMULA(REGEXEXTRACT(C2452,""^(?:https?:\/\/)?(?:[^@\n]+@)?(?:www\.)?([^:\/\n]+)"")),"""")"),"globalcareers.brandeis.edu")</f>
        <v>globalcareers.brandeis.edu</v>
      </c>
      <c r="E2452" s="26" t="str">
        <f ca="1">IFERROR(__xludf.DUMMYFUNCTION("""COMPUTED_VALUE"""),"New")</f>
        <v>New</v>
      </c>
      <c r="F2452" s="72">
        <v>82</v>
      </c>
      <c r="G2452" s="72">
        <v>189262</v>
      </c>
      <c r="P2452" s="26"/>
    </row>
    <row r="2453" spans="1:16" ht="14.5">
      <c r="A2453" s="3" t="s">
        <v>38</v>
      </c>
      <c r="B2453" s="27" t="s">
        <v>2824</v>
      </c>
      <c r="C2453" s="46" t="s">
        <v>6131</v>
      </c>
      <c r="D2453" s="41" t="str">
        <f ca="1">IFERROR(__xludf.DUMMYFUNCTION("IFERROR(ARRAYFORMULA(REGEXEXTRACT(C2453,""^(?:https?:\/\/)?(?:[^@\n]+@)?(?:www\.)?([^:\/\n]+)"")),"""")"),"bizprospex.com")</f>
        <v>bizprospex.com</v>
      </c>
      <c r="E2453" s="26" t="str">
        <f ca="1">IFERROR(__xludf.DUMMYFUNCTION("""COMPUTED_VALUE"""),"New")</f>
        <v>New</v>
      </c>
      <c r="F2453" s="72">
        <v>59</v>
      </c>
      <c r="G2453" s="72">
        <v>2513</v>
      </c>
      <c r="P2453" s="26"/>
    </row>
    <row r="2454" spans="1:16" ht="14.5">
      <c r="A2454" s="3" t="s">
        <v>38</v>
      </c>
      <c r="B2454" s="27" t="s">
        <v>2824</v>
      </c>
      <c r="C2454" s="46" t="s">
        <v>6132</v>
      </c>
      <c r="D2454" s="41" t="str">
        <f ca="1">IFERROR(__xludf.DUMMYFUNCTION("IFERROR(ARRAYFORMULA(REGEXEXTRACT(C2454,""^(?:https?:\/\/)?(?:[^@\n]+@)?(?:www\.)?([^:\/\n]+)"")),"""")"),"cocofax.com")</f>
        <v>cocofax.com</v>
      </c>
      <c r="E2454" s="26" t="str">
        <f ca="1">IFERROR(__xludf.DUMMYFUNCTION("""COMPUTED_VALUE"""),"New")</f>
        <v>New</v>
      </c>
      <c r="F2454" s="72">
        <v>48</v>
      </c>
      <c r="G2454" s="72">
        <v>6797</v>
      </c>
      <c r="P2454" s="26"/>
    </row>
    <row r="2455" spans="1:16" ht="14.5">
      <c r="A2455" s="3" t="s">
        <v>38</v>
      </c>
      <c r="B2455" s="27" t="s">
        <v>2824</v>
      </c>
      <c r="C2455" s="46" t="s">
        <v>6133</v>
      </c>
      <c r="D2455" s="41" t="str">
        <f ca="1">IFERROR(__xludf.DUMMYFUNCTION("IFERROR(ARRAYFORMULA(REGEXEXTRACT(C2455,""^(?:https?:\/\/)?(?:[^@\n]+@)?(?:www\.)?([^:\/\n]+)"")),"""")"),"northeast.newschannelnebraska.com")</f>
        <v>northeast.newschannelnebraska.com</v>
      </c>
      <c r="E2455" s="26" t="str">
        <f ca="1">IFERROR(__xludf.DUMMYFUNCTION("""COMPUTED_VALUE"""),"New")</f>
        <v>New</v>
      </c>
      <c r="F2455" s="72">
        <v>76</v>
      </c>
      <c r="G2455" s="72">
        <v>13479</v>
      </c>
      <c r="P2455" s="26"/>
    </row>
    <row r="2456" spans="1:16" ht="14.5" hidden="1">
      <c r="A2456" s="3" t="s">
        <v>38</v>
      </c>
      <c r="B2456" s="27" t="s">
        <v>2824</v>
      </c>
      <c r="C2456" s="46" t="s">
        <v>6134</v>
      </c>
      <c r="D2456" s="41" t="str">
        <f ca="1">IFERROR(__xludf.DUMMYFUNCTION("IFERROR(ARRAYFORMULA(REGEXEXTRACT(C2456,""^(?:https?:\/\/)?(?:[^@\n]+@)?(?:www\.)?([^:\/\n]+)"")),"""")"),"thecinnamonhollow.com")</f>
        <v>thecinnamonhollow.com</v>
      </c>
      <c r="E2456" s="26" t="str">
        <f ca="1">IFERROR(__xludf.DUMMYFUNCTION("""COMPUTED_VALUE"""),"Already Exists")</f>
        <v>Already Exists</v>
      </c>
      <c r="F2456" s="72">
        <v>38</v>
      </c>
      <c r="G2456" s="72">
        <v>1006</v>
      </c>
      <c r="P2456" s="26"/>
    </row>
    <row r="2457" spans="1:16" ht="14.5" hidden="1">
      <c r="A2457" s="3" t="s">
        <v>38</v>
      </c>
      <c r="B2457" s="27" t="s">
        <v>2824</v>
      </c>
      <c r="C2457" s="47" t="s">
        <v>6135</v>
      </c>
      <c r="D2457" s="41" t="str">
        <f ca="1">IFERROR(__xludf.DUMMYFUNCTION("IFERROR(ARRAYFORMULA(REGEXEXTRACT(C2457,""^(?:https?:\/\/)?(?:[^@\n]+@)?(?:www\.)?([^:\/\n]+)"")),"""")"),"csptimes.com")</f>
        <v>csptimes.com</v>
      </c>
      <c r="E2457" s="26" t="str">
        <f ca="1">IFERROR(__xludf.DUMMYFUNCTION("""COMPUTED_VALUE"""),"Already Exists")</f>
        <v>Already Exists</v>
      </c>
      <c r="F2457" s="72">
        <v>38</v>
      </c>
      <c r="G2457" s="72">
        <v>16085</v>
      </c>
      <c r="J2457" s="27" t="s">
        <v>6136</v>
      </c>
      <c r="K2457" s="27" t="s">
        <v>3756</v>
      </c>
      <c r="L2457" s="112"/>
      <c r="M2457" s="27" t="s">
        <v>3715</v>
      </c>
      <c r="N2457" s="48">
        <v>46050</v>
      </c>
      <c r="P2457" s="27" t="s">
        <v>3201</v>
      </c>
    </row>
    <row r="2458" spans="1:16" ht="14.5">
      <c r="A2458" s="3" t="s">
        <v>38</v>
      </c>
      <c r="B2458" s="27" t="s">
        <v>2824</v>
      </c>
      <c r="C2458" s="46" t="s">
        <v>6137</v>
      </c>
      <c r="D2458" s="41" t="str">
        <f ca="1">IFERROR(__xludf.DUMMYFUNCTION("IFERROR(ARRAYFORMULA(REGEXEXTRACT(C2458,""^(?:https?:\/\/)?(?:[^@\n]+@)?(?:www\.)?([^:\/\n]+)"")),"""")"),"talesfromasouthernmom.com")</f>
        <v>talesfromasouthernmom.com</v>
      </c>
      <c r="E2458" s="26" t="str">
        <f ca="1">IFERROR(__xludf.DUMMYFUNCTION("""COMPUTED_VALUE"""),"New")</f>
        <v>New</v>
      </c>
      <c r="F2458" s="72">
        <v>37</v>
      </c>
      <c r="G2458" s="72">
        <v>7916</v>
      </c>
      <c r="P2458" s="26"/>
    </row>
    <row r="2459" spans="1:16" ht="14.5">
      <c r="A2459" s="3" t="s">
        <v>38</v>
      </c>
      <c r="B2459" s="27" t="s">
        <v>2824</v>
      </c>
      <c r="C2459" s="49" t="s">
        <v>6138</v>
      </c>
      <c r="D2459" s="41" t="str">
        <f ca="1">IFERROR(__xludf.DUMMYFUNCTION("IFERROR(ARRAYFORMULA(REGEXEXTRACT(C2459,""^(?:https?:\/\/)?(?:[^@\n]+@)?(?:www\.)?([^:\/\n]+)"")),"""")"),"moneytalksnews.com")</f>
        <v>moneytalksnews.com</v>
      </c>
      <c r="E2459" s="26" t="str">
        <f ca="1">IFERROR(__xludf.DUMMYFUNCTION("""COMPUTED_VALUE"""),"New")</f>
        <v>New</v>
      </c>
      <c r="F2459" s="72">
        <v>74</v>
      </c>
      <c r="G2459" s="72">
        <v>23359</v>
      </c>
      <c r="H2459" s="27" t="s">
        <v>6139</v>
      </c>
      <c r="I2459" s="27" t="s">
        <v>6140</v>
      </c>
      <c r="J2459" s="27" t="s">
        <v>6141</v>
      </c>
      <c r="K2459" s="27" t="s">
        <v>3772</v>
      </c>
      <c r="L2459" s="112"/>
      <c r="M2459" s="27" t="s">
        <v>3715</v>
      </c>
      <c r="N2459" s="48">
        <v>46050</v>
      </c>
      <c r="O2459" s="48">
        <v>46070</v>
      </c>
      <c r="P2459" s="26"/>
    </row>
    <row r="2460" spans="1:16" ht="14.5">
      <c r="A2460" s="3" t="s">
        <v>38</v>
      </c>
      <c r="B2460" s="27" t="s">
        <v>2824</v>
      </c>
      <c r="C2460" s="46" t="s">
        <v>6142</v>
      </c>
      <c r="D2460" s="41" t="str">
        <f ca="1">IFERROR(__xludf.DUMMYFUNCTION("IFERROR(ARRAYFORMULA(REGEXEXTRACT(C2460,""^(?:https?:\/\/)?(?:[^@\n]+@)?(?:www\.)?([^:\/\n]+)"")),"""")"),"moneycrashers.com")</f>
        <v>moneycrashers.com</v>
      </c>
      <c r="E2460" s="26" t="str">
        <f ca="1">IFERROR(__xludf.DUMMYFUNCTION("""COMPUTED_VALUE"""),"New")</f>
        <v>New</v>
      </c>
      <c r="F2460" s="72">
        <v>79</v>
      </c>
      <c r="G2460" s="72">
        <v>7285</v>
      </c>
      <c r="P2460" s="26"/>
    </row>
    <row r="2461" spans="1:16" ht="14.5">
      <c r="A2461" s="3" t="s">
        <v>38</v>
      </c>
      <c r="B2461" s="27" t="s">
        <v>2824</v>
      </c>
      <c r="C2461" s="46" t="s">
        <v>6143</v>
      </c>
      <c r="D2461" s="41" t="str">
        <f ca="1">IFERROR(__xludf.DUMMYFUNCTION("IFERROR(ARRAYFORMULA(REGEXEXTRACT(C2461,""^(?:https?:\/\/)?(?:[^@\n]+@)?(?:www\.)?([^:\/\n]+)"")),"""")"),"iconnect.isenberg.umass.edu")</f>
        <v>iconnect.isenberg.umass.edu</v>
      </c>
      <c r="E2461" s="26" t="str">
        <f ca="1">IFERROR(__xludf.DUMMYFUNCTION("""COMPUTED_VALUE"""),"New")</f>
        <v>New</v>
      </c>
      <c r="F2461" s="72">
        <v>88</v>
      </c>
      <c r="G2461" s="72">
        <v>234746</v>
      </c>
      <c r="P2461" s="26"/>
    </row>
    <row r="2462" spans="1:16" ht="14.5">
      <c r="A2462" s="3" t="s">
        <v>38</v>
      </c>
      <c r="B2462" s="27" t="s">
        <v>2824</v>
      </c>
      <c r="C2462" s="46" t="s">
        <v>6144</v>
      </c>
      <c r="D2462" s="41" t="str">
        <f ca="1">IFERROR(__xludf.DUMMYFUNCTION("IFERROR(ARRAYFORMULA(REGEXEXTRACT(C2462,""^(?:https?:\/\/)?(?:[^@\n]+@)?(?:www\.)?([^:\/\n]+)"")),"""")"),"markopolo.ai")</f>
        <v>markopolo.ai</v>
      </c>
      <c r="E2462" s="26" t="str">
        <f ca="1">IFERROR(__xludf.DUMMYFUNCTION("""COMPUTED_VALUE"""),"New")</f>
        <v>New</v>
      </c>
      <c r="F2462" s="72">
        <v>54</v>
      </c>
      <c r="G2462" s="72">
        <v>5144</v>
      </c>
      <c r="P2462" s="26"/>
    </row>
    <row r="2463" spans="1:16" ht="14.5">
      <c r="A2463" s="3" t="s">
        <v>38</v>
      </c>
      <c r="B2463" s="27" t="s">
        <v>2824</v>
      </c>
      <c r="C2463" s="46" t="s">
        <v>6145</v>
      </c>
      <c r="D2463" s="41" t="str">
        <f ca="1">IFERROR(__xludf.DUMMYFUNCTION("IFERROR(ARRAYFORMULA(REGEXEXTRACT(C2463,""^(?:https?:\/\/)?(?:[^@\n]+@)?(?:www\.)?([^:\/\n]+)"")),"""")"),"blog.scalefusion.com")</f>
        <v>blog.scalefusion.com</v>
      </c>
      <c r="E2463" s="26" t="str">
        <f ca="1">IFERROR(__xludf.DUMMYFUNCTION("""COMPUTED_VALUE"""),"New")</f>
        <v>New</v>
      </c>
      <c r="F2463" s="72">
        <v>74</v>
      </c>
      <c r="G2463" s="72">
        <v>78639</v>
      </c>
      <c r="P2463" s="26"/>
    </row>
    <row r="2464" spans="1:16" ht="14.5">
      <c r="A2464" s="3" t="s">
        <v>38</v>
      </c>
      <c r="B2464" s="27" t="s">
        <v>2824</v>
      </c>
      <c r="C2464" s="46" t="s">
        <v>6146</v>
      </c>
      <c r="D2464" s="41" t="str">
        <f ca="1">IFERROR(__xludf.DUMMYFUNCTION("IFERROR(ARRAYFORMULA(REGEXEXTRACT(C2464,""^(?:https?:\/\/)?(?:[^@\n]+@)?(?:www\.)?([^:\/\n]+)"")),"""")"),"myoutdoors.co.uk")</f>
        <v>myoutdoors.co.uk</v>
      </c>
      <c r="E2464" s="26" t="str">
        <f ca="1">IFERROR(__xludf.DUMMYFUNCTION("""COMPUTED_VALUE"""),"New")</f>
        <v>New</v>
      </c>
      <c r="F2464" s="72">
        <v>30</v>
      </c>
      <c r="G2464" s="72">
        <v>2052</v>
      </c>
      <c r="P2464" s="26"/>
    </row>
    <row r="2465" spans="1:16" ht="14.5">
      <c r="A2465" s="3" t="s">
        <v>38</v>
      </c>
      <c r="B2465" s="27" t="s">
        <v>2824</v>
      </c>
      <c r="C2465" s="49" t="s">
        <v>6147</v>
      </c>
      <c r="D2465" s="41" t="str">
        <f ca="1">IFERROR(__xludf.DUMMYFUNCTION("IFERROR(ARRAYFORMULA(REGEXEXTRACT(C2465,""^(?:https?:\/\/)?(?:[^@\n]+@)?(?:www\.)?([^:\/\n]+)"")),"""")"),"oddculture.com")</f>
        <v>oddculture.com</v>
      </c>
      <c r="E2465" s="26" t="str">
        <f ca="1">IFERROR(__xludf.DUMMYFUNCTION("""COMPUTED_VALUE"""),"New")</f>
        <v>New</v>
      </c>
      <c r="F2465" s="72">
        <v>35</v>
      </c>
      <c r="G2465" s="72">
        <v>1919</v>
      </c>
      <c r="J2465" s="38" t="s">
        <v>6148</v>
      </c>
      <c r="K2465" s="27" t="s">
        <v>3756</v>
      </c>
      <c r="L2465" s="112"/>
      <c r="M2465" s="27" t="s">
        <v>3715</v>
      </c>
      <c r="N2465" s="48">
        <v>46050</v>
      </c>
      <c r="P2465" s="26"/>
    </row>
    <row r="2466" spans="1:16" ht="14.5" hidden="1">
      <c r="A2466" s="3" t="s">
        <v>38</v>
      </c>
      <c r="B2466" s="27" t="s">
        <v>2824</v>
      </c>
      <c r="C2466" s="47" t="s">
        <v>6149</v>
      </c>
      <c r="D2466" s="41" t="str">
        <f ca="1">IFERROR(__xludf.DUMMYFUNCTION("IFERROR(ARRAYFORMULA(REGEXEXTRACT(C2466,""^(?:https?:\/\/)?(?:[^@\n]+@)?(?:www\.)?([^:\/\n]+)"")),"""")"),"speakrj.com")</f>
        <v>speakrj.com</v>
      </c>
      <c r="E2466" s="26" t="str">
        <f ca="1">IFERROR(__xludf.DUMMYFUNCTION("""COMPUTED_VALUE"""),"Already Exists")</f>
        <v>Already Exists</v>
      </c>
      <c r="F2466" s="72">
        <v>66</v>
      </c>
      <c r="G2466" s="72">
        <v>11987</v>
      </c>
      <c r="J2466" s="27" t="s">
        <v>6150</v>
      </c>
      <c r="K2466" s="27" t="s">
        <v>3756</v>
      </c>
      <c r="L2466" s="112"/>
      <c r="M2466" s="27" t="s">
        <v>3715</v>
      </c>
      <c r="N2466" s="48">
        <v>46050</v>
      </c>
      <c r="P2466" s="27" t="s">
        <v>3201</v>
      </c>
    </row>
    <row r="2467" spans="1:16" ht="14.5">
      <c r="A2467" s="3" t="s">
        <v>38</v>
      </c>
      <c r="B2467" s="27" t="s">
        <v>2824</v>
      </c>
      <c r="C2467" s="46" t="s">
        <v>6151</v>
      </c>
      <c r="D2467" s="41" t="str">
        <f ca="1">IFERROR(__xludf.DUMMYFUNCTION("IFERROR(ARRAYFORMULA(REGEXEXTRACT(C2467,""^(?:https?:\/\/)?(?:[^@\n]+@)?(?:www\.)?([^:\/\n]+)"")),"""")"),"ourgreenhouse.com")</f>
        <v>ourgreenhouse.com</v>
      </c>
      <c r="E2467" s="26" t="str">
        <f ca="1">IFERROR(__xludf.DUMMYFUNCTION("""COMPUTED_VALUE"""),"New")</f>
        <v>New</v>
      </c>
      <c r="F2467" s="72">
        <v>31</v>
      </c>
      <c r="G2467" s="72">
        <v>4918</v>
      </c>
      <c r="P2467" s="26"/>
    </row>
    <row r="2468" spans="1:16" ht="14.5">
      <c r="A2468" s="3" t="s">
        <v>38</v>
      </c>
      <c r="B2468" s="27" t="s">
        <v>2824</v>
      </c>
      <c r="C2468" s="46" t="s">
        <v>6152</v>
      </c>
      <c r="D2468" s="41" t="str">
        <f ca="1">IFERROR(__xludf.DUMMYFUNCTION("IFERROR(ARRAYFORMULA(REGEXEXTRACT(C2468,""^(?:https?:\/\/)?(?:[^@\n]+@)?(?:www\.)?([^:\/\n]+)"")),"""")"),"10news.com")</f>
        <v>10news.com</v>
      </c>
      <c r="E2468" s="26" t="str">
        <f ca="1">IFERROR(__xludf.DUMMYFUNCTION("""COMPUTED_VALUE"""),"New")</f>
        <v>New</v>
      </c>
      <c r="F2468" s="72">
        <v>78</v>
      </c>
      <c r="G2468" s="72">
        <v>148396</v>
      </c>
      <c r="P2468" s="26"/>
    </row>
    <row r="2469" spans="1:16" ht="14.5">
      <c r="A2469" s="3" t="s">
        <v>38</v>
      </c>
      <c r="B2469" s="27" t="s">
        <v>2824</v>
      </c>
      <c r="C2469" s="46" t="s">
        <v>6153</v>
      </c>
      <c r="D2469" s="41" t="str">
        <f ca="1">IFERROR(__xludf.DUMMYFUNCTION("IFERROR(ARRAYFORMULA(REGEXEXTRACT(C2469,""^(?:https?:\/\/)?(?:[^@\n]+@)?(?:www\.)?([^:\/\n]+)"")),"""")"),"cdo.som.yale.edu")</f>
        <v>cdo.som.yale.edu</v>
      </c>
      <c r="E2469" s="26" t="str">
        <f ca="1">IFERROR(__xludf.DUMMYFUNCTION("""COMPUTED_VALUE"""),"New")</f>
        <v>New</v>
      </c>
      <c r="F2469" s="72">
        <v>91</v>
      </c>
      <c r="G2469" s="72">
        <v>3838671</v>
      </c>
      <c r="P2469" s="26"/>
    </row>
    <row r="2470" spans="1:16" ht="14.5">
      <c r="A2470" s="3" t="s">
        <v>38</v>
      </c>
      <c r="B2470" s="27" t="s">
        <v>2824</v>
      </c>
      <c r="C2470" s="49" t="s">
        <v>6154</v>
      </c>
      <c r="D2470" s="41" t="str">
        <f ca="1">IFERROR(__xludf.DUMMYFUNCTION("IFERROR(ARRAYFORMULA(REGEXEXTRACT(C2470,""^(?:https?:\/\/)?(?:[^@\n]+@)?(?:www\.)?([^:\/\n]+)"")),"""")"),"lamag.com")</f>
        <v>lamag.com</v>
      </c>
      <c r="E2470" s="26" t="str">
        <f ca="1">IFERROR(__xludf.DUMMYFUNCTION("""COMPUTED_VALUE"""),"New")</f>
        <v>New</v>
      </c>
      <c r="F2470" s="72">
        <v>80</v>
      </c>
      <c r="G2470" s="72">
        <v>133160</v>
      </c>
      <c r="I2470" s="27" t="s">
        <v>6155</v>
      </c>
      <c r="J2470" s="27" t="s">
        <v>6156</v>
      </c>
      <c r="K2470" s="27" t="s">
        <v>3772</v>
      </c>
      <c r="L2470" s="112"/>
      <c r="M2470" s="27" t="s">
        <v>3715</v>
      </c>
      <c r="N2470" s="48">
        <v>46050</v>
      </c>
      <c r="O2470" s="48">
        <v>46070</v>
      </c>
      <c r="P2470" s="26"/>
    </row>
    <row r="2471" spans="1:16" ht="14.5">
      <c r="A2471" s="3" t="s">
        <v>38</v>
      </c>
      <c r="B2471" s="27" t="s">
        <v>2824</v>
      </c>
      <c r="C2471" s="46" t="s">
        <v>6157</v>
      </c>
      <c r="D2471" s="41" t="str">
        <f ca="1">IFERROR(__xludf.DUMMYFUNCTION("IFERROR(ARRAYFORMULA(REGEXEXTRACT(C2471,""^(?:https?:\/\/)?(?:[^@\n]+@)?(?:www\.)?([^:\/\n]+)"")),"""")"),"statesville.com")</f>
        <v>statesville.com</v>
      </c>
      <c r="E2471" s="26" t="str">
        <f ca="1">IFERROR(__xludf.DUMMYFUNCTION("""COMPUTED_VALUE"""),"New")</f>
        <v>New</v>
      </c>
      <c r="F2471" s="72">
        <v>57</v>
      </c>
      <c r="G2471" s="72">
        <v>5382</v>
      </c>
      <c r="P2471" s="26"/>
    </row>
    <row r="2472" spans="1:16" ht="14.5">
      <c r="A2472" s="3" t="s">
        <v>38</v>
      </c>
      <c r="B2472" s="27" t="s">
        <v>2824</v>
      </c>
      <c r="C2472" s="46" t="s">
        <v>6158</v>
      </c>
      <c r="D2472" s="41" t="str">
        <f ca="1">IFERROR(__xludf.DUMMYFUNCTION("IFERROR(ARRAYFORMULA(REGEXEXTRACT(C2472,""^(?:https?:\/\/)?(?:[^@\n]+@)?(?:www\.)?([^:\/\n]+)"")),"""")"),"wcfcourier.com")</f>
        <v>wcfcourier.com</v>
      </c>
      <c r="E2472" s="26" t="str">
        <f ca="1">IFERROR(__xludf.DUMMYFUNCTION("""COMPUTED_VALUE"""),"New")</f>
        <v>New</v>
      </c>
      <c r="F2472" s="72">
        <v>72</v>
      </c>
      <c r="G2472" s="72">
        <v>13890</v>
      </c>
      <c r="P2472" s="26"/>
    </row>
    <row r="2473" spans="1:16" ht="14.5">
      <c r="A2473" s="3" t="s">
        <v>38</v>
      </c>
      <c r="B2473" s="27" t="s">
        <v>2824</v>
      </c>
      <c r="C2473" s="46" t="s">
        <v>6159</v>
      </c>
      <c r="D2473" s="41" t="str">
        <f ca="1">IFERROR(__xludf.DUMMYFUNCTION("IFERROR(ARRAYFORMULA(REGEXEXTRACT(C2473,""^(?:https?:\/\/)?(?:[^@\n]+@)?(?:www\.)?([^:\/\n]+)"")),"""")"),"apiture.com")</f>
        <v>apiture.com</v>
      </c>
      <c r="E2473" s="26" t="str">
        <f ca="1">IFERROR(__xludf.DUMMYFUNCTION("""COMPUTED_VALUE"""),"New")</f>
        <v>New</v>
      </c>
      <c r="F2473" s="72">
        <v>64</v>
      </c>
      <c r="G2473" s="72">
        <v>1592</v>
      </c>
      <c r="P2473" s="26"/>
    </row>
    <row r="2474" spans="1:16" ht="14.5">
      <c r="A2474" s="3" t="s">
        <v>38</v>
      </c>
      <c r="B2474" s="27" t="s">
        <v>2824</v>
      </c>
      <c r="C2474" s="46" t="s">
        <v>6160</v>
      </c>
      <c r="D2474" s="41" t="str">
        <f ca="1">IFERROR(__xludf.DUMMYFUNCTION("IFERROR(ARRAYFORMULA(REGEXEXTRACT(C2474,""^(?:https?:\/\/)?(?:[^@\n]+@)?(?:www\.)?([^:\/\n]+)"")),"""")"),"getoutpass.com")</f>
        <v>getoutpass.com</v>
      </c>
      <c r="E2474" s="26" t="str">
        <f ca="1">IFERROR(__xludf.DUMMYFUNCTION("""COMPUTED_VALUE"""),"New")</f>
        <v>New</v>
      </c>
      <c r="F2474" s="72">
        <v>40</v>
      </c>
      <c r="G2474" s="72">
        <v>6315</v>
      </c>
      <c r="P2474" s="26"/>
    </row>
    <row r="2475" spans="1:16" ht="14.5">
      <c r="A2475" s="3" t="s">
        <v>38</v>
      </c>
      <c r="B2475" s="27" t="s">
        <v>2824</v>
      </c>
      <c r="C2475" s="46" t="s">
        <v>6161</v>
      </c>
      <c r="D2475" s="41" t="str">
        <f ca="1">IFERROR(__xludf.DUMMYFUNCTION("IFERROR(ARRAYFORMULA(REGEXEXTRACT(C2475,""^(?:https?:\/\/)?(?:[^@\n]+@)?(?:www\.)?([^:\/\n]+)"")),"""")"),"thetechoutlook.com")</f>
        <v>thetechoutlook.com</v>
      </c>
      <c r="E2475" s="26" t="str">
        <f ca="1">IFERROR(__xludf.DUMMYFUNCTION("""COMPUTED_VALUE"""),"New")</f>
        <v>New</v>
      </c>
      <c r="F2475" s="72">
        <v>57</v>
      </c>
      <c r="G2475" s="72">
        <v>7467</v>
      </c>
      <c r="P2475" s="26"/>
    </row>
    <row r="2476" spans="1:16" ht="14.5">
      <c r="A2476" s="3" t="s">
        <v>38</v>
      </c>
      <c r="B2476" s="27" t="s">
        <v>2824</v>
      </c>
      <c r="C2476" s="49" t="s">
        <v>6162</v>
      </c>
      <c r="D2476" s="41" t="str">
        <f ca="1">IFERROR(__xludf.DUMMYFUNCTION("IFERROR(ARRAYFORMULA(REGEXEXTRACT(C2476,""^(?:https?:\/\/)?(?:[^@\n]+@)?(?:www\.)?([^:\/\n]+)"")),"""")"),"citizentribune.com")</f>
        <v>citizentribune.com</v>
      </c>
      <c r="E2476" s="26" t="str">
        <f ca="1">IFERROR(__xludf.DUMMYFUNCTION("""COMPUTED_VALUE"""),"New")</f>
        <v>New</v>
      </c>
      <c r="F2476" s="72">
        <v>58</v>
      </c>
      <c r="G2476" s="72">
        <v>11255</v>
      </c>
      <c r="J2476" s="27" t="s">
        <v>6163</v>
      </c>
      <c r="K2476" s="27" t="s">
        <v>3772</v>
      </c>
      <c r="L2476" s="112"/>
      <c r="M2476" s="27" t="s">
        <v>3715</v>
      </c>
      <c r="N2476" s="48">
        <v>46050</v>
      </c>
      <c r="O2476" s="48">
        <v>46039</v>
      </c>
      <c r="P2476" s="26"/>
    </row>
    <row r="2477" spans="1:16" ht="14.5">
      <c r="A2477" s="3" t="s">
        <v>38</v>
      </c>
      <c r="B2477" s="27" t="s">
        <v>2824</v>
      </c>
      <c r="C2477" s="46" t="s">
        <v>6164</v>
      </c>
      <c r="D2477" s="41" t="str">
        <f ca="1">IFERROR(__xludf.DUMMYFUNCTION("IFERROR(ARRAYFORMULA(REGEXEXTRACT(C2477,""^(?:https?:\/\/)?(?:[^@\n]+@)?(?:www\.)?([^:\/\n]+)"")),"""")"),"wordstreetjournal.com")</f>
        <v>wordstreetjournal.com</v>
      </c>
      <c r="E2477" s="26" t="str">
        <f ca="1">IFERROR(__xludf.DUMMYFUNCTION("""COMPUTED_VALUE"""),"New")</f>
        <v>New</v>
      </c>
      <c r="F2477" s="72">
        <v>59</v>
      </c>
      <c r="G2477" s="72">
        <v>2672</v>
      </c>
      <c r="P2477" s="26"/>
    </row>
    <row r="2478" spans="1:16" ht="14.5">
      <c r="A2478" s="3" t="s">
        <v>38</v>
      </c>
      <c r="B2478" s="27" t="s">
        <v>2824</v>
      </c>
      <c r="C2478" s="49" t="s">
        <v>6165</v>
      </c>
      <c r="D2478" s="41" t="str">
        <f ca="1">IFERROR(__xludf.DUMMYFUNCTION("IFERROR(ARRAYFORMULA(REGEXEXTRACT(C2478,""^(?:https?:\/\/)?(?:[^@\n]+@)?(?:www\.)?([^:\/\n]+)"")),"""")"),"coursesforsuccess.com")</f>
        <v>coursesforsuccess.com</v>
      </c>
      <c r="E2478" s="26" t="str">
        <f ca="1">IFERROR(__xludf.DUMMYFUNCTION("""COMPUTED_VALUE"""),"New")</f>
        <v>New</v>
      </c>
      <c r="F2478" s="72">
        <v>58</v>
      </c>
      <c r="G2478" s="72">
        <v>1833</v>
      </c>
      <c r="J2478" s="27" t="s">
        <v>6166</v>
      </c>
      <c r="K2478" s="27" t="s">
        <v>3756</v>
      </c>
      <c r="L2478" s="112"/>
      <c r="M2478" s="27" t="s">
        <v>3715</v>
      </c>
      <c r="N2478" s="48">
        <v>46050</v>
      </c>
      <c r="O2478" s="48">
        <v>46070</v>
      </c>
      <c r="P2478" s="26"/>
    </row>
    <row r="2479" spans="1:16" ht="14.5">
      <c r="A2479" s="3" t="s">
        <v>38</v>
      </c>
      <c r="B2479" s="27" t="s">
        <v>2824</v>
      </c>
      <c r="C2479" s="46" t="s">
        <v>6167</v>
      </c>
      <c r="D2479" s="41" t="str">
        <f ca="1">IFERROR(__xludf.DUMMYFUNCTION("IFERROR(ARRAYFORMULA(REGEXEXTRACT(C2479,""^(?:https?:\/\/)?(?:[^@\n]+@)?(?:www\.)?([^:\/\n]+)"")),"""")"),"qconline.com")</f>
        <v>qconline.com</v>
      </c>
      <c r="E2479" s="26" t="str">
        <f ca="1">IFERROR(__xludf.DUMMYFUNCTION("""COMPUTED_VALUE"""),"New")</f>
        <v>New</v>
      </c>
      <c r="F2479" s="72">
        <v>66</v>
      </c>
      <c r="G2479" s="72">
        <v>10498</v>
      </c>
      <c r="P2479" s="26"/>
    </row>
    <row r="2480" spans="1:16" ht="14.5">
      <c r="A2480" s="3" t="s">
        <v>38</v>
      </c>
      <c r="B2480" s="27" t="s">
        <v>2824</v>
      </c>
      <c r="C2480" s="46" t="s">
        <v>6168</v>
      </c>
      <c r="D2480" s="41" t="str">
        <f ca="1">IFERROR(__xludf.DUMMYFUNCTION("IFERROR(ARRAYFORMULA(REGEXEXTRACT(C2480,""^(?:https?:\/\/)?(?:[^@\n]+@)?(?:www\.)?([^:\/\n]+)"")),"""")"),"brooklinecollege.edu")</f>
        <v>brooklinecollege.edu</v>
      </c>
      <c r="E2480" s="26" t="str">
        <f ca="1">IFERROR(__xludf.DUMMYFUNCTION("""COMPUTED_VALUE"""),"New")</f>
        <v>New</v>
      </c>
      <c r="F2480" s="72">
        <v>37</v>
      </c>
      <c r="G2480" s="72">
        <v>9612</v>
      </c>
      <c r="P2480" s="26"/>
    </row>
    <row r="2481" spans="1:16" ht="14.5" hidden="1">
      <c r="A2481" s="3" t="s">
        <v>38</v>
      </c>
      <c r="B2481" s="27" t="s">
        <v>2824</v>
      </c>
      <c r="C2481" s="46" t="s">
        <v>6169</v>
      </c>
      <c r="D2481" s="41" t="str">
        <f ca="1">IFERROR(__xludf.DUMMYFUNCTION("IFERROR(ARRAYFORMULA(REGEXEXTRACT(C2481,""^(?:https?:\/\/)?(?:[^@\n]+@)?(?:www\.)?([^:\/\n]+)"")),"""")"),"veloceinternational.com")</f>
        <v>veloceinternational.com</v>
      </c>
      <c r="E2481" s="26" t="str">
        <f ca="1">IFERROR(__xludf.DUMMYFUNCTION("""COMPUTED_VALUE"""),"Already Exists")</f>
        <v>Already Exists</v>
      </c>
      <c r="F2481" s="72">
        <v>40</v>
      </c>
      <c r="G2481" s="72">
        <v>1489</v>
      </c>
      <c r="P2481" s="26"/>
    </row>
    <row r="2482" spans="1:16" ht="14.5">
      <c r="A2482" s="3" t="s">
        <v>38</v>
      </c>
      <c r="B2482" s="27" t="s">
        <v>2824</v>
      </c>
      <c r="C2482" s="46" t="s">
        <v>6170</v>
      </c>
      <c r="D2482" s="41" t="str">
        <f ca="1">IFERROR(__xludf.DUMMYFUNCTION("IFERROR(ARRAYFORMULA(REGEXEXTRACT(C2482,""^(?:https?:\/\/)?(?:[^@\n]+@)?(?:www\.)?([^:\/\n]+)"")),"""")"),"ordersinseconds.com")</f>
        <v>ordersinseconds.com</v>
      </c>
      <c r="E2482" s="26" t="str">
        <f ca="1">IFERROR(__xludf.DUMMYFUNCTION("""COMPUTED_VALUE"""),"New")</f>
        <v>New</v>
      </c>
      <c r="F2482" s="72">
        <v>49</v>
      </c>
      <c r="G2482" s="72">
        <v>3493</v>
      </c>
      <c r="P2482" s="26"/>
    </row>
    <row r="2483" spans="1:16" ht="14.5" hidden="1">
      <c r="A2483" s="3" t="s">
        <v>38</v>
      </c>
      <c r="B2483" s="27" t="s">
        <v>2824</v>
      </c>
      <c r="C2483" s="46" t="s">
        <v>6171</v>
      </c>
      <c r="D2483" s="41" t="str">
        <f ca="1">IFERROR(__xludf.DUMMYFUNCTION("IFERROR(ARRAYFORMULA(REGEXEXTRACT(C2483,""^(?:https?:\/\/)?(?:[^@\n]+@)?(?:www\.)?([^:\/\n]+)"")),"""")"),"techgenyz.com")</f>
        <v>techgenyz.com</v>
      </c>
      <c r="E2483" s="26" t="str">
        <f ca="1">IFERROR(__xludf.DUMMYFUNCTION("""COMPUTED_VALUE"""),"Already Exists")</f>
        <v>Already Exists</v>
      </c>
      <c r="F2483" s="72">
        <v>55</v>
      </c>
      <c r="G2483" s="72">
        <v>22310</v>
      </c>
      <c r="P2483" s="26"/>
    </row>
    <row r="2484" spans="1:16" ht="14.5">
      <c r="A2484" s="3" t="s">
        <v>38</v>
      </c>
      <c r="B2484" s="27" t="s">
        <v>2824</v>
      </c>
      <c r="C2484" s="49" t="s">
        <v>6172</v>
      </c>
      <c r="D2484" s="41" t="str">
        <f ca="1">IFERROR(__xludf.DUMMYFUNCTION("IFERROR(ARRAYFORMULA(REGEXEXTRACT(C2484,""^(?:https?:\/\/)?(?:[^@\n]+@)?(?:www\.)?([^:\/\n]+)"")),"""")"),"workandmoney.com")</f>
        <v>workandmoney.com</v>
      </c>
      <c r="E2484" s="26" t="str">
        <f ca="1">IFERROR(__xludf.DUMMYFUNCTION("""COMPUTED_VALUE"""),"New")</f>
        <v>New</v>
      </c>
      <c r="F2484" s="72">
        <v>59</v>
      </c>
      <c r="G2484" s="72">
        <v>20156</v>
      </c>
      <c r="I2484" s="27" t="s">
        <v>6173</v>
      </c>
      <c r="J2484" s="38" t="s">
        <v>6174</v>
      </c>
      <c r="K2484" s="27" t="s">
        <v>3756</v>
      </c>
      <c r="L2484" s="112"/>
      <c r="M2484" s="27" t="s">
        <v>3715</v>
      </c>
      <c r="N2484" s="48">
        <v>46050</v>
      </c>
      <c r="P2484" s="26"/>
    </row>
    <row r="2485" spans="1:16" ht="14.5" hidden="1">
      <c r="A2485" s="3" t="s">
        <v>38</v>
      </c>
      <c r="B2485" s="27" t="s">
        <v>2824</v>
      </c>
      <c r="C2485" s="47" t="s">
        <v>6175</v>
      </c>
      <c r="D2485" s="41" t="str">
        <f ca="1">IFERROR(__xludf.DUMMYFUNCTION("IFERROR(ARRAYFORMULA(REGEXEXTRACT(C2485,""^(?:https?:\/\/)?(?:[^@\n]+@)?(?:www\.)?([^:\/\n]+)"")),"""")"),"quirkohub.com")</f>
        <v>quirkohub.com</v>
      </c>
      <c r="E2485" s="26" t="str">
        <f ca="1">IFERROR(__xludf.DUMMYFUNCTION("""COMPUTED_VALUE"""),"Already Exists")</f>
        <v>Already Exists</v>
      </c>
      <c r="F2485" s="72">
        <v>34</v>
      </c>
      <c r="G2485" s="72">
        <v>1242</v>
      </c>
      <c r="J2485" s="27" t="s">
        <v>6176</v>
      </c>
      <c r="K2485" s="27" t="s">
        <v>3756</v>
      </c>
      <c r="L2485" s="112"/>
      <c r="M2485" s="27" t="s">
        <v>3715</v>
      </c>
      <c r="N2485" s="48">
        <v>46050</v>
      </c>
      <c r="P2485" s="27" t="s">
        <v>3201</v>
      </c>
    </row>
    <row r="2486" spans="1:16" ht="14.5">
      <c r="A2486" s="3" t="s">
        <v>38</v>
      </c>
      <c r="B2486" s="27" t="s">
        <v>2824</v>
      </c>
      <c r="C2486" s="46" t="s">
        <v>6177</v>
      </c>
      <c r="D2486" s="41" t="str">
        <f ca="1">IFERROR(__xludf.DUMMYFUNCTION("IFERROR(ARRAYFORMULA(REGEXEXTRACT(C2486,""^(?:https?:\/\/)?(?:[^@\n]+@)?(?:www\.)?([^:\/\n]+)"")),"""")"),"accessibility.com")</f>
        <v>accessibility.com</v>
      </c>
      <c r="E2486" s="26" t="str">
        <f ca="1">IFERROR(__xludf.DUMMYFUNCTION("""COMPUTED_VALUE"""),"New")</f>
        <v>New</v>
      </c>
      <c r="F2486" s="72">
        <v>72</v>
      </c>
      <c r="G2486" s="72">
        <v>1856</v>
      </c>
      <c r="P2486" s="26"/>
    </row>
    <row r="2487" spans="1:16" ht="14.5" hidden="1">
      <c r="A2487" s="3" t="s">
        <v>38</v>
      </c>
      <c r="B2487" s="27" t="s">
        <v>2824</v>
      </c>
      <c r="C2487" s="46" t="s">
        <v>6178</v>
      </c>
      <c r="D2487" s="41" t="str">
        <f ca="1">IFERROR(__xludf.DUMMYFUNCTION("IFERROR(ARRAYFORMULA(REGEXEXTRACT(C2487,""^(?:https?:\/\/)?(?:[^@\n]+@)?(?:www\.)?([^:\/\n]+)"")),"""")"),"europeanbusinessreview.com")</f>
        <v>europeanbusinessreview.com</v>
      </c>
      <c r="E2487" s="26" t="str">
        <f ca="1">IFERROR(__xludf.DUMMYFUNCTION("""COMPUTED_VALUE"""),"Already Exists")</f>
        <v>Already Exists</v>
      </c>
      <c r="F2487" s="72">
        <v>75</v>
      </c>
      <c r="G2487" s="72">
        <v>4728</v>
      </c>
      <c r="P2487" s="26"/>
    </row>
    <row r="2488" spans="1:16" ht="14.5">
      <c r="A2488" s="3" t="s">
        <v>38</v>
      </c>
      <c r="B2488" s="27" t="s">
        <v>2824</v>
      </c>
      <c r="C2488" s="46" t="s">
        <v>6179</v>
      </c>
      <c r="D2488" s="41" t="str">
        <f ca="1">IFERROR(__xludf.DUMMYFUNCTION("IFERROR(ARRAYFORMULA(REGEXEXTRACT(C2488,""^(?:https?:\/\/)?(?:[^@\n]+@)?(?:www\.)?([^:\/\n]+)"")),"""")"),"hirewithnear.com")</f>
        <v>hirewithnear.com</v>
      </c>
      <c r="E2488" s="26" t="str">
        <f ca="1">IFERROR(__xludf.DUMMYFUNCTION("""COMPUTED_VALUE"""),"New")</f>
        <v>New</v>
      </c>
      <c r="F2488" s="72">
        <v>64</v>
      </c>
      <c r="G2488" s="72">
        <v>63315</v>
      </c>
      <c r="P2488" s="26"/>
    </row>
    <row r="2489" spans="1:16" ht="14.5">
      <c r="A2489" s="3" t="s">
        <v>38</v>
      </c>
      <c r="B2489" s="27" t="s">
        <v>2824</v>
      </c>
      <c r="C2489" s="46" t="s">
        <v>6180</v>
      </c>
      <c r="D2489" s="41" t="str">
        <f ca="1">IFERROR(__xludf.DUMMYFUNCTION("IFERROR(ARRAYFORMULA(REGEXEXTRACT(C2489,""^(?:https?:\/\/)?(?:[^@\n]+@)?(?:www\.)?([^:\/\n]+)"")),"""")"),"mycareer.lincolnu.edu")</f>
        <v>mycareer.lincolnu.edu</v>
      </c>
      <c r="E2489" s="26" t="str">
        <f ca="1">IFERROR(__xludf.DUMMYFUNCTION("""COMPUTED_VALUE"""),"New")</f>
        <v>New</v>
      </c>
      <c r="F2489" s="72">
        <v>61</v>
      </c>
      <c r="G2489" s="72">
        <v>7763</v>
      </c>
      <c r="P2489" s="26"/>
    </row>
    <row r="2490" spans="1:16" ht="14.5">
      <c r="A2490" s="3" t="s">
        <v>38</v>
      </c>
      <c r="B2490" s="27" t="s">
        <v>2824</v>
      </c>
      <c r="C2490" s="46" t="s">
        <v>6181</v>
      </c>
      <c r="D2490" s="41" t="str">
        <f ca="1">IFERROR(__xludf.DUMMYFUNCTION("IFERROR(ARRAYFORMULA(REGEXEXTRACT(C2490,""^(?:https?:\/\/)?(?:[^@\n]+@)?(?:www\.)?([^:\/\n]+)"")),"""")"),"onebasemedia.co.uk")</f>
        <v>onebasemedia.co.uk</v>
      </c>
      <c r="E2490" s="26" t="str">
        <f ca="1">IFERROR(__xludf.DUMMYFUNCTION("""COMPUTED_VALUE"""),"New")</f>
        <v>New</v>
      </c>
      <c r="F2490" s="72">
        <v>71</v>
      </c>
      <c r="G2490" s="72">
        <v>2172</v>
      </c>
      <c r="P2490" s="26"/>
    </row>
    <row r="2491" spans="1:16" ht="14.5">
      <c r="A2491" s="3" t="s">
        <v>38</v>
      </c>
      <c r="B2491" s="27" t="s">
        <v>2824</v>
      </c>
      <c r="C2491" s="46" t="s">
        <v>6182</v>
      </c>
      <c r="D2491" s="41" t="str">
        <f ca="1">IFERROR(__xludf.DUMMYFUNCTION("IFERROR(ARRAYFORMULA(REGEXEXTRACT(C2491,""^(?:https?:\/\/)?(?:[^@\n]+@)?(?:www\.)?([^:\/\n]+)"")),"""")"),"winonadailynews.com")</f>
        <v>winonadailynews.com</v>
      </c>
      <c r="E2491" s="26" t="str">
        <f ca="1">IFERROR(__xludf.DUMMYFUNCTION("""COMPUTED_VALUE"""),"New")</f>
        <v>New</v>
      </c>
      <c r="F2491" s="72">
        <v>62</v>
      </c>
      <c r="G2491" s="72">
        <v>1693</v>
      </c>
      <c r="P2491" s="26"/>
    </row>
    <row r="2492" spans="1:16" ht="14.5">
      <c r="A2492" s="3" t="s">
        <v>38</v>
      </c>
      <c r="B2492" s="27" t="s">
        <v>2824</v>
      </c>
      <c r="C2492" s="46" t="s">
        <v>6183</v>
      </c>
      <c r="D2492" s="41" t="str">
        <f ca="1">IFERROR(__xludf.DUMMYFUNCTION("IFERROR(ARRAYFORMULA(REGEXEXTRACT(C2492,""^(?:https?:\/\/)?(?:[^@\n]+@)?(?:www\.)?([^:\/\n]+)"")),"""")"),"techgropse.com")</f>
        <v>techgropse.com</v>
      </c>
      <c r="E2492" s="26" t="str">
        <f ca="1">IFERROR(__xludf.DUMMYFUNCTION("""COMPUTED_VALUE"""),"New")</f>
        <v>New</v>
      </c>
      <c r="F2492" s="72">
        <v>44</v>
      </c>
      <c r="G2492" s="72">
        <v>1712</v>
      </c>
      <c r="P2492" s="26"/>
    </row>
    <row r="2493" spans="1:16" ht="14.5">
      <c r="A2493" s="3" t="s">
        <v>38</v>
      </c>
      <c r="B2493" s="27" t="s">
        <v>2824</v>
      </c>
      <c r="C2493" s="49" t="s">
        <v>6184</v>
      </c>
      <c r="D2493" s="41" t="str">
        <f ca="1">IFERROR(__xludf.DUMMYFUNCTION("IFERROR(ARRAYFORMULA(REGEXEXTRACT(C2493,""^(?:https?:\/\/)?(?:[^@\n]+@)?(?:www\.)?([^:\/\n]+)"")),"""")"),"fwbusiness.com")</f>
        <v>fwbusiness.com</v>
      </c>
      <c r="E2493" s="26" t="str">
        <f ca="1">IFERROR(__xludf.DUMMYFUNCTION("""COMPUTED_VALUE"""),"New")</f>
        <v>New</v>
      </c>
      <c r="F2493" s="72">
        <v>54</v>
      </c>
      <c r="G2493" s="72">
        <v>10841</v>
      </c>
      <c r="H2493" s="27" t="s">
        <v>6185</v>
      </c>
      <c r="J2493" s="27" t="s">
        <v>6186</v>
      </c>
      <c r="K2493" s="27" t="s">
        <v>3772</v>
      </c>
      <c r="L2493" s="112"/>
      <c r="M2493" s="27" t="s">
        <v>3715</v>
      </c>
      <c r="N2493" s="48">
        <v>46050</v>
      </c>
      <c r="O2493" s="48">
        <v>46070</v>
      </c>
      <c r="P2493" s="26"/>
    </row>
    <row r="2494" spans="1:16" ht="14.5">
      <c r="A2494" s="3" t="s">
        <v>38</v>
      </c>
      <c r="B2494" s="27" t="s">
        <v>2824</v>
      </c>
      <c r="C2494" s="46" t="s">
        <v>6187</v>
      </c>
      <c r="D2494" s="41" t="str">
        <f ca="1">IFERROR(__xludf.DUMMYFUNCTION("IFERROR(ARRAYFORMULA(REGEXEXTRACT(C2494,""^(?:https?:\/\/)?(?:[^@\n]+@)?(?:www\.)?([^:\/\n]+)"")),"""")"),"vunela.com")</f>
        <v>vunela.com</v>
      </c>
      <c r="E2494" s="26" t="str">
        <f ca="1">IFERROR(__xludf.DUMMYFUNCTION("""COMPUTED_VALUE"""),"New")</f>
        <v>New</v>
      </c>
      <c r="F2494" s="72">
        <v>39</v>
      </c>
      <c r="G2494" s="72">
        <v>1062</v>
      </c>
      <c r="P2494" s="26"/>
    </row>
    <row r="2495" spans="1:16" ht="14.5">
      <c r="A2495" s="3" t="s">
        <v>38</v>
      </c>
      <c r="B2495" s="27" t="s">
        <v>2824</v>
      </c>
      <c r="C2495" s="46" t="s">
        <v>6188</v>
      </c>
      <c r="D2495" s="41" t="str">
        <f ca="1">IFERROR(__xludf.DUMMYFUNCTION("IFERROR(ARRAYFORMULA(REGEXEXTRACT(C2495,""^(?:https?:\/\/)?(?:[^@\n]+@)?(?:www\.)?([^:\/\n]+)"")),"""")"),"omaha.com")</f>
        <v>omaha.com</v>
      </c>
      <c r="E2495" s="26" t="str">
        <f ca="1">IFERROR(__xludf.DUMMYFUNCTION("""COMPUTED_VALUE"""),"New")</f>
        <v>New</v>
      </c>
      <c r="F2495" s="72">
        <v>80</v>
      </c>
      <c r="G2495" s="72">
        <v>55724</v>
      </c>
      <c r="P2495" s="26"/>
    </row>
    <row r="2496" spans="1:16" ht="14.5">
      <c r="A2496" s="3" t="s">
        <v>38</v>
      </c>
      <c r="B2496" s="27" t="s">
        <v>2824</v>
      </c>
      <c r="C2496" s="46" t="s">
        <v>6189</v>
      </c>
      <c r="D2496" s="41" t="str">
        <f ca="1">IFERROR(__xludf.DUMMYFUNCTION("IFERROR(ARRAYFORMULA(REGEXEXTRACT(C2496,""^(?:https?:\/\/)?(?:[^@\n]+@)?(?:www\.)?([^:\/\n]+)"")),"""")"),"bismarcktribune.com")</f>
        <v>bismarcktribune.com</v>
      </c>
      <c r="E2496" s="26" t="str">
        <f ca="1">IFERROR(__xludf.DUMMYFUNCTION("""COMPUTED_VALUE"""),"New")</f>
        <v>New</v>
      </c>
      <c r="F2496" s="72">
        <v>73</v>
      </c>
      <c r="G2496" s="72">
        <v>23513</v>
      </c>
      <c r="P2496" s="26"/>
    </row>
    <row r="2497" spans="1:16" ht="14.5">
      <c r="A2497" s="3" t="s">
        <v>38</v>
      </c>
      <c r="B2497" s="27" t="s">
        <v>2824</v>
      </c>
      <c r="C2497" s="46" t="s">
        <v>6190</v>
      </c>
      <c r="D2497" s="41" t="str">
        <f ca="1">IFERROR(__xludf.DUMMYFUNCTION("IFERROR(ARRAYFORMULA(REGEXEXTRACT(C2497,""^(?:https?:\/\/)?(?:[^@\n]+@)?(?:www\.)?([^:\/\n]+)"")),"""")"),"thetandd.com")</f>
        <v>thetandd.com</v>
      </c>
      <c r="E2497" s="26" t="str">
        <f ca="1">IFERROR(__xludf.DUMMYFUNCTION("""COMPUTED_VALUE"""),"New")</f>
        <v>New</v>
      </c>
      <c r="F2497" s="72">
        <v>67</v>
      </c>
      <c r="G2497" s="72">
        <v>7543</v>
      </c>
      <c r="P2497" s="26"/>
    </row>
    <row r="2498" spans="1:16" ht="14.5">
      <c r="A2498" s="3" t="s">
        <v>38</v>
      </c>
      <c r="B2498" s="27" t="s">
        <v>2824</v>
      </c>
      <c r="C2498" s="49" t="s">
        <v>6191</v>
      </c>
      <c r="D2498" s="41" t="str">
        <f ca="1">IFERROR(__xludf.DUMMYFUNCTION("IFERROR(ARRAYFORMULA(REGEXEXTRACT(C2498,""^(?:https?:\/\/)?(?:[^@\n]+@)?(?:www\.)?([^:\/\n]+)"")),"""")"),"gateway.lafayette.edu")</f>
        <v>gateway.lafayette.edu</v>
      </c>
      <c r="E2498" s="26" t="str">
        <f ca="1">IFERROR(__xludf.DUMMYFUNCTION("""COMPUTED_VALUE"""),"New")</f>
        <v>New</v>
      </c>
      <c r="F2498" s="72">
        <v>75</v>
      </c>
      <c r="G2498" s="72">
        <v>39049</v>
      </c>
      <c r="P2498" s="26"/>
    </row>
    <row r="2499" spans="1:16" ht="14.5">
      <c r="A2499" s="3" t="s">
        <v>38</v>
      </c>
      <c r="B2499" s="27" t="s">
        <v>2824</v>
      </c>
      <c r="C2499" s="49" t="s">
        <v>6192</v>
      </c>
      <c r="D2499" s="41" t="str">
        <f ca="1">IFERROR(__xludf.DUMMYFUNCTION("IFERROR(ARRAYFORMULA(REGEXEXTRACT(C2499,""^(?:https?:\/\/)?(?:[^@\n]+@)?(?:www\.)?([^:\/\n]+)"")),"""")"),"leavethekey.com")</f>
        <v>leavethekey.com</v>
      </c>
      <c r="E2499" s="26" t="str">
        <f ca="1">IFERROR(__xludf.DUMMYFUNCTION("""COMPUTED_VALUE"""),"New")</f>
        <v>New</v>
      </c>
      <c r="F2499" s="72">
        <v>38</v>
      </c>
      <c r="G2499" s="72">
        <v>3225</v>
      </c>
      <c r="H2499" s="27" t="s">
        <v>4210</v>
      </c>
      <c r="I2499" s="27" t="s">
        <v>6193</v>
      </c>
      <c r="J2499" s="27" t="s">
        <v>6194</v>
      </c>
      <c r="K2499" s="27" t="s">
        <v>5359</v>
      </c>
      <c r="L2499" s="112"/>
      <c r="M2499" s="27" t="s">
        <v>3715</v>
      </c>
      <c r="N2499" s="48">
        <v>46050</v>
      </c>
      <c r="O2499" s="48">
        <v>46070</v>
      </c>
      <c r="P2499" s="26"/>
    </row>
    <row r="2500" spans="1:16" ht="14.5">
      <c r="A2500" s="3" t="s">
        <v>38</v>
      </c>
      <c r="B2500" s="27" t="s">
        <v>2824</v>
      </c>
      <c r="C2500" s="49" t="s">
        <v>6195</v>
      </c>
      <c r="D2500" s="41" t="str">
        <f ca="1">IFERROR(__xludf.DUMMYFUNCTION("IFERROR(ARRAYFORMULA(REGEXEXTRACT(C2500,""^(?:https?:\/\/)?(?:[^@\n]+@)?(?:www\.)?([^:\/\n]+)"")),"""")"),"starlocalmedia.com")</f>
        <v>starlocalmedia.com</v>
      </c>
      <c r="E2500" s="26" t="str">
        <f ca="1">IFERROR(__xludf.DUMMYFUNCTION("""COMPUTED_VALUE"""),"New")</f>
        <v>New</v>
      </c>
      <c r="F2500" s="72">
        <v>70</v>
      </c>
      <c r="G2500" s="72">
        <v>4858</v>
      </c>
      <c r="H2500" s="27" t="s">
        <v>6196</v>
      </c>
      <c r="I2500" s="27" t="s">
        <v>6197</v>
      </c>
      <c r="J2500" s="27" t="s">
        <v>6198</v>
      </c>
      <c r="K2500" s="27" t="s">
        <v>3772</v>
      </c>
      <c r="L2500" s="112"/>
      <c r="M2500" s="27" t="s">
        <v>3715</v>
      </c>
      <c r="N2500" s="48">
        <v>46050</v>
      </c>
      <c r="O2500" s="48">
        <v>46070</v>
      </c>
      <c r="P2500" s="26"/>
    </row>
    <row r="2501" spans="1:16" ht="14.5" hidden="1">
      <c r="A2501" s="3" t="s">
        <v>38</v>
      </c>
      <c r="B2501" s="27" t="s">
        <v>2824</v>
      </c>
      <c r="C2501" s="47" t="s">
        <v>6199</v>
      </c>
      <c r="D2501" s="41" t="str">
        <f ca="1">IFERROR(__xludf.DUMMYFUNCTION("IFERROR(ARRAYFORMULA(REGEXEXTRACT(C2501,""^(?:https?:\/\/)?(?:[^@\n]+@)?(?:www\.)?([^:\/\n]+)"")),"""")"),"sosoactive.com")</f>
        <v>sosoactive.com</v>
      </c>
      <c r="E2501" s="26" t="str">
        <f ca="1">IFERROR(__xludf.DUMMYFUNCTION("""COMPUTED_VALUE"""),"Already Exists")</f>
        <v>Already Exists</v>
      </c>
      <c r="F2501" s="72">
        <v>62</v>
      </c>
      <c r="G2501" s="72">
        <v>140020</v>
      </c>
      <c r="J2501" s="27" t="s">
        <v>6200</v>
      </c>
      <c r="K2501" s="27" t="s">
        <v>3756</v>
      </c>
      <c r="L2501" s="112"/>
      <c r="M2501" s="27" t="s">
        <v>3715</v>
      </c>
      <c r="N2501" s="48">
        <v>46050</v>
      </c>
      <c r="P2501" s="27" t="s">
        <v>3201</v>
      </c>
    </row>
    <row r="2502" spans="1:16" ht="14.5">
      <c r="A2502" s="3" t="s">
        <v>38</v>
      </c>
      <c r="B2502" s="27" t="s">
        <v>2824</v>
      </c>
      <c r="C2502" s="46" t="s">
        <v>6201</v>
      </c>
      <c r="D2502" s="41" t="str">
        <f ca="1">IFERROR(__xludf.DUMMYFUNCTION("IFERROR(ARRAYFORMULA(REGEXEXTRACT(C2502,""^(?:https?:\/\/)?(?:[^@\n]+@)?(?:www\.)?([^:\/\n]+)"")),"""")"),"mooresvilletribune.com")</f>
        <v>mooresvilletribune.com</v>
      </c>
      <c r="E2502" s="26" t="str">
        <f ca="1">IFERROR(__xludf.DUMMYFUNCTION("""COMPUTED_VALUE"""),"New")</f>
        <v>New</v>
      </c>
      <c r="F2502" s="72">
        <v>50</v>
      </c>
      <c r="G2502" s="72">
        <v>1030</v>
      </c>
      <c r="P2502" s="26"/>
    </row>
    <row r="2503" spans="1:16" ht="14.5">
      <c r="A2503" s="3" t="s">
        <v>38</v>
      </c>
      <c r="B2503" s="27" t="s">
        <v>2824</v>
      </c>
      <c r="C2503" s="46" t="s">
        <v>6202</v>
      </c>
      <c r="D2503" s="41" t="str">
        <f ca="1">IFERROR(__xludf.DUMMYFUNCTION("IFERROR(ARRAYFORMULA(REGEXEXTRACT(C2503,""^(?:https?:\/\/)?(?:[^@\n]+@)?(?:www\.)?([^:\/\n]+)"")),"""")"),"fundz.net")</f>
        <v>fundz.net</v>
      </c>
      <c r="E2503" s="26" t="str">
        <f ca="1">IFERROR(__xludf.DUMMYFUNCTION("""COMPUTED_VALUE"""),"New")</f>
        <v>New</v>
      </c>
      <c r="F2503" s="72">
        <v>54</v>
      </c>
      <c r="G2503" s="72">
        <v>1638</v>
      </c>
      <c r="P2503" s="26"/>
    </row>
    <row r="2504" spans="1:16" ht="14.5">
      <c r="A2504" s="3" t="s">
        <v>38</v>
      </c>
      <c r="B2504" s="27" t="s">
        <v>2824</v>
      </c>
      <c r="C2504" s="46" t="s">
        <v>6203</v>
      </c>
      <c r="D2504" s="41" t="str">
        <f ca="1">IFERROR(__xludf.DUMMYFUNCTION("IFERROR(ARRAYFORMULA(REGEXEXTRACT(C2504,""^(?:https?:\/\/)?(?:[^@\n]+@)?(?:www\.)?([^:\/\n]+)"")),"""")"),"kearneyhub.com")</f>
        <v>kearneyhub.com</v>
      </c>
      <c r="E2504" s="26" t="str">
        <f ca="1">IFERROR(__xludf.DUMMYFUNCTION("""COMPUTED_VALUE"""),"New")</f>
        <v>New</v>
      </c>
      <c r="F2504" s="72">
        <v>62</v>
      </c>
      <c r="G2504" s="72">
        <v>5294</v>
      </c>
      <c r="P2504" s="26"/>
    </row>
    <row r="2505" spans="1:16" ht="14.5" hidden="1">
      <c r="A2505" s="3" t="s">
        <v>38</v>
      </c>
      <c r="B2505" s="27" t="s">
        <v>2824</v>
      </c>
      <c r="C2505" s="46" t="s">
        <v>6204</v>
      </c>
      <c r="D2505" s="41" t="str">
        <f ca="1">IFERROR(__xludf.DUMMYFUNCTION("IFERROR(ARRAYFORMULA(REGEXEXTRACT(C2505,""^(?:https?:\/\/)?(?:[^@\n]+@)?(?:www\.)?([^:\/\n]+)"")),"""")"),"pantheonuk.org")</f>
        <v>pantheonuk.org</v>
      </c>
      <c r="E2505" s="26" t="str">
        <f ca="1">IFERROR(__xludf.DUMMYFUNCTION("""COMPUTED_VALUE"""),"Already Exists")</f>
        <v>Already Exists</v>
      </c>
      <c r="F2505" s="72">
        <v>52</v>
      </c>
      <c r="G2505" s="72">
        <v>50417</v>
      </c>
      <c r="P2505" s="26"/>
    </row>
    <row r="2506" spans="1:16" ht="14.5">
      <c r="A2506" s="3" t="s">
        <v>38</v>
      </c>
      <c r="B2506" s="27" t="s">
        <v>2824</v>
      </c>
      <c r="C2506" s="46" t="s">
        <v>6205</v>
      </c>
      <c r="D2506" s="41" t="str">
        <f ca="1">IFERROR(__xludf.DUMMYFUNCTION("IFERROR(ARRAYFORMULA(REGEXEXTRACT(C2506,""^(?:https?:\/\/)?(?:[^@\n]+@)?(?:www\.)?([^:\/\n]+)"")),"""")"),"webzeto.com")</f>
        <v>webzeto.com</v>
      </c>
      <c r="E2506" s="26" t="str">
        <f ca="1">IFERROR(__xludf.DUMMYFUNCTION("""COMPUTED_VALUE"""),"New")</f>
        <v>New</v>
      </c>
      <c r="F2506" s="72">
        <v>46</v>
      </c>
      <c r="G2506" s="72">
        <v>1542</v>
      </c>
      <c r="P2506" s="26"/>
    </row>
    <row r="2507" spans="1:16" ht="14.5" hidden="1">
      <c r="A2507" s="3" t="s">
        <v>38</v>
      </c>
      <c r="B2507" s="27" t="s">
        <v>2824</v>
      </c>
      <c r="C2507" s="46" t="s">
        <v>6206</v>
      </c>
      <c r="D2507" s="41" t="str">
        <f ca="1">IFERROR(__xludf.DUMMYFUNCTION("IFERROR(ARRAYFORMULA(REGEXEXTRACT(C2507,""^(?:https?:\/\/)?(?:[^@\n]+@)?(?:www\.)?([^:\/\n]+)"")),"""")"),"friendlyturtle.com")</f>
        <v>friendlyturtle.com</v>
      </c>
      <c r="E2507" s="26" t="str">
        <f ca="1">IFERROR(__xludf.DUMMYFUNCTION("""COMPUTED_VALUE"""),"Already Exists")</f>
        <v>Already Exists</v>
      </c>
      <c r="F2507" s="72">
        <v>39</v>
      </c>
      <c r="G2507" s="72">
        <v>1553</v>
      </c>
      <c r="P2507" s="26"/>
    </row>
    <row r="2508" spans="1:16" ht="14.5">
      <c r="A2508" s="3" t="s">
        <v>38</v>
      </c>
      <c r="B2508" s="27" t="s">
        <v>2824</v>
      </c>
      <c r="C2508" s="46" t="s">
        <v>6207</v>
      </c>
      <c r="D2508" s="41" t="str">
        <f ca="1">IFERROR(__xludf.DUMMYFUNCTION("IFERROR(ARRAYFORMULA(REGEXEXTRACT(C2508,""^(?:https?:\/\/)?(?:[^@\n]+@)?(?:www\.)?([^:\/\n]+)"")),"""")"),"itexus.com")</f>
        <v>itexus.com</v>
      </c>
      <c r="E2508" s="26" t="str">
        <f ca="1">IFERROR(__xludf.DUMMYFUNCTION("""COMPUTED_VALUE"""),"New")</f>
        <v>New</v>
      </c>
      <c r="F2508" s="72">
        <v>61</v>
      </c>
      <c r="G2508" s="72">
        <v>9775</v>
      </c>
      <c r="P2508" s="26"/>
    </row>
    <row r="2509" spans="1:16" ht="14.5">
      <c r="A2509" s="3" t="s">
        <v>38</v>
      </c>
      <c r="B2509" s="27" t="s">
        <v>2824</v>
      </c>
      <c r="C2509" s="46" t="s">
        <v>6208</v>
      </c>
      <c r="D2509" s="41" t="str">
        <f ca="1">IFERROR(__xludf.DUMMYFUNCTION("IFERROR(ARRAYFORMULA(REGEXEXTRACT(C2509,""^(?:https?:\/\/)?(?:[^@\n]+@)?(?:www\.)?([^:\/\n]+)"")),"""")"),"monq.com")</f>
        <v>monq.com</v>
      </c>
      <c r="E2509" s="26" t="str">
        <f ca="1">IFERROR(__xludf.DUMMYFUNCTION("""COMPUTED_VALUE"""),"New")</f>
        <v>New</v>
      </c>
      <c r="F2509" s="72">
        <v>54</v>
      </c>
      <c r="G2509" s="72">
        <v>7086</v>
      </c>
      <c r="P2509" s="26"/>
    </row>
    <row r="2510" spans="1:16" ht="14.5">
      <c r="A2510" s="3" t="s">
        <v>38</v>
      </c>
      <c r="B2510" s="27" t="s">
        <v>2824</v>
      </c>
      <c r="C2510" s="46" t="s">
        <v>6209</v>
      </c>
      <c r="D2510" s="41" t="str">
        <f ca="1">IFERROR(__xludf.DUMMYFUNCTION("IFERROR(ARRAYFORMULA(REGEXEXTRACT(C2510,""^(?:https?:\/\/)?(?:[^@\n]+@)?(?:www\.)?([^:\/\n]+)"")),"""")"),"busyaussie.com")</f>
        <v>busyaussie.com</v>
      </c>
      <c r="E2510" s="26" t="str">
        <f ca="1">IFERROR(__xludf.DUMMYFUNCTION("""COMPUTED_VALUE"""),"New")</f>
        <v>New</v>
      </c>
      <c r="F2510" s="72">
        <v>28</v>
      </c>
      <c r="G2510" s="72">
        <v>1177</v>
      </c>
      <c r="P2510" s="26"/>
    </row>
    <row r="2511" spans="1:16" ht="14.5">
      <c r="A2511" s="3" t="s">
        <v>38</v>
      </c>
      <c r="B2511" s="27" t="s">
        <v>2824</v>
      </c>
      <c r="C2511" s="46" t="s">
        <v>6210</v>
      </c>
      <c r="D2511" s="41" t="str">
        <f ca="1">IFERROR(__xludf.DUMMYFUNCTION("IFERROR(ARRAYFORMULA(REGEXEXTRACT(C2511,""^(?:https?:\/\/)?(?:[^@\n]+@)?(?:www\.)?([^:\/\n]+)"")),"""")"),"blog.softprocorp.com")</f>
        <v>blog.softprocorp.com</v>
      </c>
      <c r="E2511" s="26" t="str">
        <f ca="1">IFERROR(__xludf.DUMMYFUNCTION("""COMPUTED_VALUE"""),"New")</f>
        <v>New</v>
      </c>
      <c r="F2511" s="72">
        <v>42</v>
      </c>
      <c r="G2511" s="72">
        <v>1022</v>
      </c>
      <c r="P2511" s="26"/>
    </row>
    <row r="2512" spans="1:16" ht="14.5">
      <c r="A2512" s="3" t="s">
        <v>38</v>
      </c>
      <c r="B2512" s="27" t="s">
        <v>2824</v>
      </c>
      <c r="C2512" s="46" t="s">
        <v>6211</v>
      </c>
      <c r="D2512" s="41" t="str">
        <f ca="1">IFERROR(__xludf.DUMMYFUNCTION("IFERROR(ARRAYFORMULA(REGEXEXTRACT(C2512,""^(?:https?:\/\/)?(?:[^@\n]+@)?(?:www\.)?([^:\/\n]+)"")),"""")"),"easyreadernews.com")</f>
        <v>easyreadernews.com</v>
      </c>
      <c r="E2512" s="26" t="str">
        <f ca="1">IFERROR(__xludf.DUMMYFUNCTION("""COMPUTED_VALUE"""),"New")</f>
        <v>New</v>
      </c>
      <c r="F2512" s="72">
        <v>70</v>
      </c>
      <c r="G2512" s="72">
        <v>5428</v>
      </c>
      <c r="P2512" s="26"/>
    </row>
    <row r="2513" spans="1:16" ht="14.5">
      <c r="A2513" s="3" t="s">
        <v>38</v>
      </c>
      <c r="B2513" s="27" t="s">
        <v>2824</v>
      </c>
      <c r="C2513" s="46" t="s">
        <v>6212</v>
      </c>
      <c r="D2513" s="41" t="str">
        <f ca="1">IFERROR(__xludf.DUMMYFUNCTION("IFERROR(ARRAYFORMULA(REGEXEXTRACT(C2513,""^(?:https?:\/\/)?(?:[^@\n]+@)?(?:www\.)?([^:\/\n]+)"")),"""")"),"tahlequahdailypress.com")</f>
        <v>tahlequahdailypress.com</v>
      </c>
      <c r="E2513" s="26" t="str">
        <f ca="1">IFERROR(__xludf.DUMMYFUNCTION("""COMPUTED_VALUE"""),"New")</f>
        <v>New</v>
      </c>
      <c r="F2513" s="72">
        <v>59</v>
      </c>
      <c r="G2513" s="72">
        <v>2386</v>
      </c>
      <c r="P2513" s="26"/>
    </row>
    <row r="2514" spans="1:16" ht="14.5">
      <c r="A2514" s="3" t="s">
        <v>38</v>
      </c>
      <c r="B2514" s="27" t="s">
        <v>2824</v>
      </c>
      <c r="C2514" s="46" t="s">
        <v>6213</v>
      </c>
      <c r="D2514" s="41" t="str">
        <f ca="1">IFERROR(__xludf.DUMMYFUNCTION("IFERROR(ARRAYFORMULA(REGEXEXTRACT(C2514,""^(?:https?:\/\/)?(?:[^@\n]+@)?(?:www\.)?([^:\/\n]+)"")),"""")"),"milople.com")</f>
        <v>milople.com</v>
      </c>
      <c r="E2514" s="26" t="str">
        <f ca="1">IFERROR(__xludf.DUMMYFUNCTION("""COMPUTED_VALUE"""),"New")</f>
        <v>New</v>
      </c>
      <c r="F2514" s="72">
        <v>54</v>
      </c>
      <c r="G2514" s="72">
        <v>1049</v>
      </c>
      <c r="P2514" s="26"/>
    </row>
    <row r="2515" spans="1:16" ht="14.5" hidden="1">
      <c r="A2515" s="3" t="s">
        <v>38</v>
      </c>
      <c r="B2515" s="27" t="s">
        <v>2824</v>
      </c>
      <c r="C2515" s="46" t="s">
        <v>6214</v>
      </c>
      <c r="D2515" s="41" t="str">
        <f ca="1">IFERROR(__xludf.DUMMYFUNCTION("IFERROR(ARRAYFORMULA(REGEXEXTRACT(C2515,""^(?:https?:\/\/)?(?:[^@\n]+@)?(?:www\.)?([^:\/\n]+)"")),"""")"),"nohoartsdistrict.com")</f>
        <v>nohoartsdistrict.com</v>
      </c>
      <c r="E2515" s="26" t="str">
        <f ca="1">IFERROR(__xludf.DUMMYFUNCTION("""COMPUTED_VALUE"""),"Already Exists")</f>
        <v>Already Exists</v>
      </c>
      <c r="F2515" s="72">
        <v>64</v>
      </c>
      <c r="G2515" s="72">
        <v>9023</v>
      </c>
      <c r="P2515" s="26"/>
    </row>
    <row r="2516" spans="1:16" ht="14.5" hidden="1">
      <c r="A2516" s="3" t="s">
        <v>38</v>
      </c>
      <c r="B2516" s="27" t="s">
        <v>2824</v>
      </c>
      <c r="C2516" s="46" t="s">
        <v>6215</v>
      </c>
      <c r="D2516" s="41" t="str">
        <f ca="1">IFERROR(__xludf.DUMMYFUNCTION("IFERROR(ARRAYFORMULA(REGEXEXTRACT(C2516,""^(?:https?:\/\/)?(?:[^@\n]+@)?(?:www\.)?([^:\/\n]+)"")),"""")"),"somiibo.com")</f>
        <v>somiibo.com</v>
      </c>
      <c r="E2516" s="26" t="str">
        <f ca="1">IFERROR(__xludf.DUMMYFUNCTION("""COMPUTED_VALUE"""),"Already Exists")</f>
        <v>Already Exists</v>
      </c>
      <c r="F2516" s="72">
        <v>38</v>
      </c>
      <c r="G2516" s="72">
        <v>1343</v>
      </c>
      <c r="P2516" s="26"/>
    </row>
    <row r="2517" spans="1:16" ht="14.5">
      <c r="A2517" s="3" t="s">
        <v>38</v>
      </c>
      <c r="B2517" s="27" t="s">
        <v>2824</v>
      </c>
      <c r="C2517" s="46" t="s">
        <v>6216</v>
      </c>
      <c r="D2517" s="41" t="str">
        <f ca="1">IFERROR(__xludf.DUMMYFUNCTION("IFERROR(ARRAYFORMULA(REGEXEXTRACT(C2517,""^(?:https?:\/\/)?(?:[^@\n]+@)?(?:www\.)?([^:\/\n]+)"")),"""")"),"caledonianrecord.com")</f>
        <v>caledonianrecord.com</v>
      </c>
      <c r="E2517" s="26" t="str">
        <f ca="1">IFERROR(__xludf.DUMMYFUNCTION("""COMPUTED_VALUE"""),"New")</f>
        <v>New</v>
      </c>
      <c r="F2517" s="72">
        <v>61</v>
      </c>
      <c r="G2517" s="72">
        <v>16420</v>
      </c>
      <c r="P2517" s="26"/>
    </row>
    <row r="2518" spans="1:16" ht="14.5">
      <c r="A2518" s="3" t="s">
        <v>38</v>
      </c>
      <c r="B2518" s="27" t="s">
        <v>2824</v>
      </c>
      <c r="C2518" s="46" t="s">
        <v>6217</v>
      </c>
      <c r="D2518" s="41" t="str">
        <f ca="1">IFERROR(__xludf.DUMMYFUNCTION("IFERROR(ARRAYFORMULA(REGEXEXTRACT(C2518,""^(?:https?:\/\/)?(?:[^@\n]+@)?(?:www\.)?([^:\/\n]+)"")),"""")"),"yuvaleizikblog.com")</f>
        <v>yuvaleizikblog.com</v>
      </c>
      <c r="E2518" s="26" t="str">
        <f ca="1">IFERROR(__xludf.DUMMYFUNCTION("""COMPUTED_VALUE"""),"New")</f>
        <v>New</v>
      </c>
      <c r="F2518" s="72">
        <v>26</v>
      </c>
      <c r="G2518" s="72">
        <v>1646</v>
      </c>
      <c r="P2518" s="26"/>
    </row>
    <row r="2519" spans="1:16" ht="14.5">
      <c r="A2519" s="3" t="s">
        <v>38</v>
      </c>
      <c r="B2519" s="27" t="s">
        <v>2824</v>
      </c>
      <c r="C2519" s="46" t="s">
        <v>6218</v>
      </c>
      <c r="D2519" s="41" t="str">
        <f ca="1">IFERROR(__xludf.DUMMYFUNCTION("IFERROR(ARRAYFORMULA(REGEXEXTRACT(C2519,""^(?:https?:\/\/)?(?:[^@\n]+@)?(?:www\.)?([^:\/\n]+)"")),"""")"),"godanriver.com")</f>
        <v>godanriver.com</v>
      </c>
      <c r="E2519" s="26" t="str">
        <f ca="1">IFERROR(__xludf.DUMMYFUNCTION("""COMPUTED_VALUE"""),"New")</f>
        <v>New</v>
      </c>
      <c r="F2519" s="72">
        <v>57</v>
      </c>
      <c r="G2519" s="72">
        <v>4952</v>
      </c>
      <c r="P2519" s="26"/>
    </row>
    <row r="2520" spans="1:16" ht="14.5">
      <c r="A2520" s="3" t="s">
        <v>38</v>
      </c>
      <c r="B2520" s="27" t="s">
        <v>2824</v>
      </c>
      <c r="C2520" s="46" t="s">
        <v>6219</v>
      </c>
      <c r="D2520" s="41" t="str">
        <f ca="1">IFERROR(__xludf.DUMMYFUNCTION("IFERROR(ARRAYFORMULA(REGEXEXTRACT(C2520,""^(?:https?:\/\/)?(?:[^@\n]+@)?(?:www\.)?([^:\/\n]+)"")),"""")"),"magicvalley.com")</f>
        <v>magicvalley.com</v>
      </c>
      <c r="E2520" s="26" t="str">
        <f ca="1">IFERROR(__xludf.DUMMYFUNCTION("""COMPUTED_VALUE"""),"New")</f>
        <v>New</v>
      </c>
      <c r="F2520" s="72">
        <v>70</v>
      </c>
      <c r="G2520" s="72">
        <v>8929</v>
      </c>
      <c r="P2520" s="26"/>
    </row>
    <row r="2521" spans="1:16" ht="14.5">
      <c r="A2521" s="3" t="s">
        <v>38</v>
      </c>
      <c r="B2521" s="27" t="s">
        <v>2824</v>
      </c>
      <c r="C2521" s="46" t="s">
        <v>6220</v>
      </c>
      <c r="D2521" s="41" t="str">
        <f ca="1">IFERROR(__xludf.DUMMYFUNCTION("IFERROR(ARRAYFORMULA(REGEXEXTRACT(C2521,""^(?:https?:\/\/)?(?:[^@\n]+@)?(?:www\.)?([^:\/\n]+)"")),"""")"),"tubetorial.com")</f>
        <v>tubetorial.com</v>
      </c>
      <c r="E2521" s="26" t="str">
        <f ca="1">IFERROR(__xludf.DUMMYFUNCTION("""COMPUTED_VALUE"""),"New")</f>
        <v>New</v>
      </c>
      <c r="F2521" s="72">
        <v>66</v>
      </c>
      <c r="G2521" s="72">
        <v>2483</v>
      </c>
      <c r="P2521" s="26"/>
    </row>
    <row r="2522" spans="1:16" ht="14.5">
      <c r="A2522" s="3" t="s">
        <v>38</v>
      </c>
      <c r="B2522" s="27" t="s">
        <v>2824</v>
      </c>
      <c r="C2522" s="46" t="s">
        <v>6221</v>
      </c>
      <c r="D2522" s="41" t="str">
        <f ca="1">IFERROR(__xludf.DUMMYFUNCTION("IFERROR(ARRAYFORMULA(REGEXEXTRACT(C2522,""^(?:https?:\/\/)?(?:[^@\n]+@)?(?:www\.)?([^:\/\n]+)"")),"""")"),"rezerv.co")</f>
        <v>rezerv.co</v>
      </c>
      <c r="E2522" s="26" t="str">
        <f ca="1">IFERROR(__xludf.DUMMYFUNCTION("""COMPUTED_VALUE"""),"New")</f>
        <v>New</v>
      </c>
      <c r="F2522" s="72">
        <v>73</v>
      </c>
      <c r="G2522" s="72">
        <v>9534</v>
      </c>
      <c r="P2522" s="26"/>
    </row>
    <row r="2523" spans="1:16" ht="14.5">
      <c r="A2523" s="3" t="s">
        <v>38</v>
      </c>
      <c r="B2523" s="27" t="s">
        <v>2824</v>
      </c>
      <c r="C2523" s="46" t="s">
        <v>6222</v>
      </c>
      <c r="D2523" s="41" t="str">
        <f ca="1">IFERROR(__xludf.DUMMYFUNCTION("IFERROR(ARRAYFORMULA(REGEXEXTRACT(C2523,""^(?:https?:\/\/)?(?:[^@\n]+@)?(?:www\.)?([^:\/\n]+)"")),"""")"),"nptelegraph.com")</f>
        <v>nptelegraph.com</v>
      </c>
      <c r="E2523" s="26" t="str">
        <f ca="1">IFERROR(__xludf.DUMMYFUNCTION("""COMPUTED_VALUE"""),"New")</f>
        <v>New</v>
      </c>
      <c r="F2523" s="72">
        <v>56</v>
      </c>
      <c r="G2523" s="72">
        <v>3297</v>
      </c>
      <c r="P2523" s="26"/>
    </row>
    <row r="2524" spans="1:16" ht="14.5" hidden="1">
      <c r="A2524" s="3" t="s">
        <v>38</v>
      </c>
      <c r="B2524" s="27" t="s">
        <v>2824</v>
      </c>
      <c r="C2524" s="49" t="s">
        <v>6223</v>
      </c>
      <c r="D2524" s="41" t="str">
        <f ca="1">IFERROR(__xludf.DUMMYFUNCTION("IFERROR(ARRAYFORMULA(REGEXEXTRACT(C2524,""^(?:https?:\/\/)?(?:[^@\n]+@)?(?:www\.)?([^:\/\n]+)"")),"""")"),"fiftyandfab.co.uk")</f>
        <v>fiftyandfab.co.uk</v>
      </c>
      <c r="E2524" s="26" t="str">
        <f ca="1">IFERROR(__xludf.DUMMYFUNCTION("""COMPUTED_VALUE"""),"Already Exists")</f>
        <v>Already Exists</v>
      </c>
      <c r="F2524" s="72">
        <v>29</v>
      </c>
      <c r="G2524" s="72">
        <v>3795</v>
      </c>
      <c r="J2524" s="27" t="s">
        <v>6224</v>
      </c>
      <c r="K2524" s="27" t="s">
        <v>3756</v>
      </c>
      <c r="L2524" s="112"/>
      <c r="M2524" s="27" t="s">
        <v>3715</v>
      </c>
      <c r="N2524" s="48">
        <v>46050</v>
      </c>
      <c r="O2524" s="48">
        <v>46070</v>
      </c>
      <c r="P2524" s="26"/>
    </row>
    <row r="2525" spans="1:16" ht="14.5">
      <c r="A2525" s="3" t="s">
        <v>38</v>
      </c>
      <c r="B2525" s="27" t="s">
        <v>2824</v>
      </c>
      <c r="C2525" s="46" t="s">
        <v>6225</v>
      </c>
      <c r="D2525" s="41" t="str">
        <f ca="1">IFERROR(__xludf.DUMMYFUNCTION("IFERROR(ARRAYFORMULA(REGEXEXTRACT(C2525,""^(?:https?:\/\/)?(?:[^@\n]+@)?(?:www\.)?([^:\/\n]+)"")),"""")"),"ranyy.com")</f>
        <v>ranyy.com</v>
      </c>
      <c r="E2525" s="26" t="str">
        <f ca="1">IFERROR(__xludf.DUMMYFUNCTION("""COMPUTED_VALUE"""),"New")</f>
        <v>New</v>
      </c>
      <c r="F2525" s="72">
        <v>35</v>
      </c>
      <c r="G2525" s="72">
        <v>10073</v>
      </c>
      <c r="P2525" s="26"/>
    </row>
    <row r="2526" spans="1:16" ht="14.5">
      <c r="A2526" s="3" t="s">
        <v>38</v>
      </c>
      <c r="B2526" s="27" t="s">
        <v>2824</v>
      </c>
      <c r="C2526" s="46" t="s">
        <v>6226</v>
      </c>
      <c r="D2526" s="41" t="str">
        <f ca="1">IFERROR(__xludf.DUMMYFUNCTION("IFERROR(ARRAYFORMULA(REGEXEXTRACT(C2526,""^(?:https?:\/\/)?(?:[^@\n]+@)?(?:www\.)?([^:\/\n]+)"")),"""")"),"spocket.co")</f>
        <v>spocket.co</v>
      </c>
      <c r="E2526" s="26" t="str">
        <f ca="1">IFERROR(__xludf.DUMMYFUNCTION("""COMPUTED_VALUE"""),"New")</f>
        <v>New</v>
      </c>
      <c r="F2526" s="72">
        <v>78</v>
      </c>
      <c r="G2526" s="72">
        <v>306606</v>
      </c>
      <c r="P2526" s="26"/>
    </row>
    <row r="2527" spans="1:16" ht="14.5">
      <c r="A2527" s="3" t="s">
        <v>38</v>
      </c>
      <c r="B2527" s="27" t="s">
        <v>2824</v>
      </c>
      <c r="C2527" s="46" t="s">
        <v>6227</v>
      </c>
      <c r="D2527" s="41" t="str">
        <f ca="1">IFERROR(__xludf.DUMMYFUNCTION("IFERROR(ARRAYFORMULA(REGEXEXTRACT(C2527,""^(?:https?:\/\/)?(?:[^@\n]+@)?(?:www\.)?([^:\/\n]+)"")),"""")"),"philomathnews.com")</f>
        <v>philomathnews.com</v>
      </c>
      <c r="E2527" s="26" t="str">
        <f ca="1">IFERROR(__xludf.DUMMYFUNCTION("""COMPUTED_VALUE"""),"New")</f>
        <v>New</v>
      </c>
      <c r="F2527" s="72">
        <v>41</v>
      </c>
      <c r="G2527" s="72">
        <v>5194</v>
      </c>
      <c r="P2527" s="26"/>
    </row>
    <row r="2528" spans="1:16" ht="14.5">
      <c r="A2528" s="3" t="s">
        <v>38</v>
      </c>
      <c r="B2528" s="27" t="s">
        <v>2824</v>
      </c>
      <c r="C2528" s="46" t="s">
        <v>6228</v>
      </c>
      <c r="D2528" s="41" t="str">
        <f ca="1">IFERROR(__xludf.DUMMYFUNCTION("IFERROR(ARRAYFORMULA(REGEXEXTRACT(C2528,""^(?:https?:\/\/)?(?:[^@\n]+@)?(?:www\.)?([^:\/\n]+)"")),"""")"),"democratherald.com")</f>
        <v>democratherald.com</v>
      </c>
      <c r="E2528" s="26" t="str">
        <f ca="1">IFERROR(__xludf.DUMMYFUNCTION("""COMPUTED_VALUE"""),"New")</f>
        <v>New</v>
      </c>
      <c r="F2528" s="72">
        <v>62</v>
      </c>
      <c r="G2528" s="72">
        <v>6533</v>
      </c>
      <c r="P2528" s="26"/>
    </row>
    <row r="2529" spans="1:16" ht="14.5">
      <c r="A2529" s="3" t="s">
        <v>38</v>
      </c>
      <c r="B2529" s="27" t="s">
        <v>2824</v>
      </c>
      <c r="C2529" s="46" t="s">
        <v>6229</v>
      </c>
      <c r="D2529" s="41" t="str">
        <f ca="1">IFERROR(__xludf.DUMMYFUNCTION("IFERROR(ARRAYFORMULA(REGEXEXTRACT(C2529,""^(?:https?:\/\/)?(?:[^@\n]+@)?(?:www\.)?([^:\/\n]+)"")),"""")"),"oanow.com")</f>
        <v>oanow.com</v>
      </c>
      <c r="E2529" s="26" t="str">
        <f ca="1">IFERROR(__xludf.DUMMYFUNCTION("""COMPUTED_VALUE"""),"New")</f>
        <v>New</v>
      </c>
      <c r="F2529" s="72">
        <v>62</v>
      </c>
      <c r="G2529" s="72">
        <v>5948</v>
      </c>
      <c r="P2529" s="26"/>
    </row>
    <row r="2530" spans="1:16" ht="14.5">
      <c r="A2530" s="3" t="s">
        <v>38</v>
      </c>
      <c r="B2530" s="27" t="s">
        <v>2824</v>
      </c>
      <c r="C2530" s="46" t="s">
        <v>6230</v>
      </c>
      <c r="D2530" s="41" t="str">
        <f ca="1">IFERROR(__xludf.DUMMYFUNCTION("IFERROR(ARRAYFORMULA(REGEXEXTRACT(C2530,""^(?:https?:\/\/)?(?:[^@\n]+@)?(?:www\.)?([^:\/\n]+)"")),"""")"),"showbizztoday.com")</f>
        <v>showbizztoday.com</v>
      </c>
      <c r="E2530" s="26" t="str">
        <f ca="1">IFERROR(__xludf.DUMMYFUNCTION("""COMPUTED_VALUE"""),"New")</f>
        <v>New</v>
      </c>
      <c r="F2530" s="72">
        <v>58</v>
      </c>
      <c r="G2530" s="72">
        <v>4856</v>
      </c>
      <c r="P2530" s="26"/>
    </row>
    <row r="2531" spans="1:16" ht="14.5">
      <c r="A2531" s="3" t="s">
        <v>38</v>
      </c>
      <c r="B2531" s="27" t="s">
        <v>2824</v>
      </c>
      <c r="C2531" s="46" t="s">
        <v>6231</v>
      </c>
      <c r="D2531" s="41" t="str">
        <f ca="1">IFERROR(__xludf.DUMMYFUNCTION("IFERROR(ARRAYFORMULA(REGEXEXTRACT(C2531,""^(?:https?:\/\/)?(?:[^@\n]+@)?(?:www\.)?([^:\/\n]+)"")),"""")"),"talkesport.com")</f>
        <v>talkesport.com</v>
      </c>
      <c r="E2531" s="26" t="str">
        <f ca="1">IFERROR(__xludf.DUMMYFUNCTION("""COMPUTED_VALUE"""),"New")</f>
        <v>New</v>
      </c>
      <c r="F2531" s="72">
        <v>49</v>
      </c>
      <c r="G2531" s="72">
        <v>64453</v>
      </c>
      <c r="P2531" s="26"/>
    </row>
    <row r="2532" spans="1:16" ht="14.5">
      <c r="A2532" s="3" t="s">
        <v>38</v>
      </c>
      <c r="B2532" s="27" t="s">
        <v>2824</v>
      </c>
      <c r="C2532" s="46" t="s">
        <v>6232</v>
      </c>
      <c r="D2532" s="41" t="str">
        <f ca="1">IFERROR(__xludf.DUMMYFUNCTION("IFERROR(ARRAYFORMULA(REGEXEXTRACT(C2532,""^(?:https?:\/\/)?(?:[^@\n]+@)?(?:www\.)?([^:\/\n]+)"")),"""")"),"swvatoday.com")</f>
        <v>swvatoday.com</v>
      </c>
      <c r="E2532" s="26" t="str">
        <f ca="1">IFERROR(__xludf.DUMMYFUNCTION("""COMPUTED_VALUE"""),"New")</f>
        <v>New</v>
      </c>
      <c r="F2532" s="72">
        <v>55</v>
      </c>
      <c r="G2532" s="72">
        <v>1933</v>
      </c>
      <c r="P2532" s="26"/>
    </row>
    <row r="2533" spans="1:16" ht="14.5">
      <c r="A2533" s="3" t="s">
        <v>38</v>
      </c>
      <c r="B2533" s="27" t="s">
        <v>2824</v>
      </c>
      <c r="C2533" s="46" t="s">
        <v>6233</v>
      </c>
      <c r="D2533" s="41" t="str">
        <f ca="1">IFERROR(__xludf.DUMMYFUNCTION("IFERROR(ARRAYFORMULA(REGEXEXTRACT(C2533,""^(?:https?:\/\/)?(?:[^@\n]+@)?(?:www\.)?([^:\/\n]+)"")),"""")"),"blog.flock.com")</f>
        <v>blog.flock.com</v>
      </c>
      <c r="E2533" s="26" t="str">
        <f ca="1">IFERROR(__xludf.DUMMYFUNCTION("""COMPUTED_VALUE"""),"New")</f>
        <v>New</v>
      </c>
      <c r="F2533" s="72">
        <v>77</v>
      </c>
      <c r="G2533" s="72">
        <v>18902</v>
      </c>
      <c r="P2533" s="26"/>
    </row>
    <row r="2534" spans="1:16" ht="14.5">
      <c r="A2534" s="3" t="s">
        <v>38</v>
      </c>
      <c r="B2534" s="27" t="s">
        <v>2824</v>
      </c>
      <c r="C2534" s="46" t="s">
        <v>6234</v>
      </c>
      <c r="D2534" s="41" t="str">
        <f ca="1">IFERROR(__xludf.DUMMYFUNCTION("IFERROR(ARRAYFORMULA(REGEXEXTRACT(C2534,""^(?:https?:\/\/)?(?:[^@\n]+@)?(?:www\.)?([^:\/\n]+)"")),"""")"),"businessfranchiseaustralia.com.au")</f>
        <v>businessfranchiseaustralia.com.au</v>
      </c>
      <c r="E2534" s="26" t="str">
        <f ca="1">IFERROR(__xludf.DUMMYFUNCTION("""COMPUTED_VALUE"""),"New")</f>
        <v>New</v>
      </c>
      <c r="F2534" s="72">
        <v>45</v>
      </c>
      <c r="G2534" s="72">
        <v>1220</v>
      </c>
      <c r="P2534" s="26"/>
    </row>
    <row r="2535" spans="1:16" ht="14.5">
      <c r="A2535" s="3" t="s">
        <v>38</v>
      </c>
      <c r="B2535" s="27" t="s">
        <v>2824</v>
      </c>
      <c r="C2535" s="46" t="s">
        <v>6235</v>
      </c>
      <c r="D2535" s="41" t="str">
        <f ca="1">IFERROR(__xludf.DUMMYFUNCTION("IFERROR(ARRAYFORMULA(REGEXEXTRACT(C2535,""^(?:https?:\/\/)?(?:[^@\n]+@)?(?:www\.)?([^:\/\n]+)"")),"""")"),"kioncentralcoast.com")</f>
        <v>kioncentralcoast.com</v>
      </c>
      <c r="E2535" s="26" t="str">
        <f ca="1">IFERROR(__xludf.DUMMYFUNCTION("""COMPUTED_VALUE"""),"New")</f>
        <v>New</v>
      </c>
      <c r="F2535" s="72">
        <v>58</v>
      </c>
      <c r="G2535" s="72">
        <v>7042</v>
      </c>
      <c r="P2535" s="26"/>
    </row>
    <row r="2536" spans="1:16" ht="14.5">
      <c r="A2536" s="3" t="s">
        <v>38</v>
      </c>
      <c r="B2536" s="27" t="s">
        <v>2824</v>
      </c>
      <c r="C2536" s="46" t="s">
        <v>6236</v>
      </c>
      <c r="D2536" s="41" t="str">
        <f ca="1">IFERROR(__xludf.DUMMYFUNCTION("IFERROR(ARRAYFORMULA(REGEXEXTRACT(C2536,""^(?:https?:\/\/)?(?:[^@\n]+@)?(?:www\.)?([^:\/\n]+)"")),"""")"),"dashclicks.com")</f>
        <v>dashclicks.com</v>
      </c>
      <c r="E2536" s="26" t="str">
        <f ca="1">IFERROR(__xludf.DUMMYFUNCTION("""COMPUTED_VALUE"""),"New")</f>
        <v>New</v>
      </c>
      <c r="F2536" s="72">
        <v>69</v>
      </c>
      <c r="G2536" s="72">
        <v>12115</v>
      </c>
      <c r="P2536" s="26"/>
    </row>
    <row r="2537" spans="1:16" ht="14.5">
      <c r="A2537" s="3" t="s">
        <v>38</v>
      </c>
      <c r="B2537" s="57" t="s">
        <v>2825</v>
      </c>
      <c r="C2537" s="46" t="s">
        <v>6237</v>
      </c>
      <c r="D2537" s="41" t="str">
        <f ca="1">IFERROR(__xludf.DUMMYFUNCTION("IFERROR(ARRAYFORMULA(REGEXEXTRACT(C2537,""^(?:https?:\/\/)?(?:[^@\n]+@)?(?:www\.)?([^:\/\n]+)"")),"""")"),"almostheaven.com")</f>
        <v>almostheaven.com</v>
      </c>
      <c r="E2537" s="26" t="str">
        <f ca="1">IFERROR(__xludf.DUMMYFUNCTION("""COMPUTED_VALUE"""),"New")</f>
        <v>New</v>
      </c>
      <c r="F2537" s="72">
        <v>44</v>
      </c>
      <c r="G2537" s="72">
        <v>88137</v>
      </c>
      <c r="P2537" s="26"/>
    </row>
    <row r="2538" spans="1:16" ht="14.5">
      <c r="A2538" s="3" t="s">
        <v>38</v>
      </c>
      <c r="B2538" s="12" t="s">
        <v>2825</v>
      </c>
      <c r="C2538" s="46" t="s">
        <v>6238</v>
      </c>
      <c r="D2538" s="41" t="str">
        <f ca="1">IFERROR(__xludf.DUMMYFUNCTION("IFERROR(ARRAYFORMULA(REGEXEXTRACT(C2538,""^(?:https?:\/\/)?(?:[^@\n]+@)?(?:www\.)?([^:\/\n]+)"")),"""")"),"harviagroup.com")</f>
        <v>harviagroup.com</v>
      </c>
      <c r="E2538" s="26" t="str">
        <f ca="1">IFERROR(__xludf.DUMMYFUNCTION("""COMPUTED_VALUE"""),"New")</f>
        <v>New</v>
      </c>
      <c r="F2538" s="72">
        <v>38</v>
      </c>
      <c r="G2538" s="72">
        <v>1592</v>
      </c>
      <c r="P2538" s="26"/>
    </row>
    <row r="2539" spans="1:16" ht="14.5">
      <c r="A2539" s="3" t="s">
        <v>38</v>
      </c>
      <c r="B2539" s="12" t="s">
        <v>2825</v>
      </c>
      <c r="C2539" s="46" t="s">
        <v>6239</v>
      </c>
      <c r="D2539" s="41" t="str">
        <f ca="1">IFERROR(__xludf.DUMMYFUNCTION("IFERROR(ARRAYFORMULA(REGEXEXTRACT(C2539,""^(?:https?:\/\/)?(?:[^@\n]+@)?(?:www\.)?([^:\/\n]+)"")),"""")"),"nytimes.com")</f>
        <v>nytimes.com</v>
      </c>
      <c r="E2539" s="26" t="str">
        <f ca="1">IFERROR(__xludf.DUMMYFUNCTION("""COMPUTED_VALUE"""),"New")</f>
        <v>New</v>
      </c>
      <c r="F2539" s="72">
        <v>94</v>
      </c>
      <c r="G2539" s="74">
        <v>169000000</v>
      </c>
      <c r="P2539" s="26"/>
    </row>
    <row r="2540" spans="1:16" ht="14.5">
      <c r="A2540" s="3" t="s">
        <v>38</v>
      </c>
      <c r="B2540" s="12" t="s">
        <v>2825</v>
      </c>
      <c r="C2540" s="46" t="s">
        <v>6240</v>
      </c>
      <c r="D2540" s="41" t="str">
        <f ca="1">IFERROR(__xludf.DUMMYFUNCTION("IFERROR(ARRAYFORMULA(REGEXEXTRACT(C2540,""^(?:https?:\/\/)?(?:[^@\n]+@)?(?:www\.)?([^:\/\n]+)"")),"""")"),"tapsbath.com")</f>
        <v>tapsbath.com</v>
      </c>
      <c r="E2540" s="26" t="str">
        <f ca="1">IFERROR(__xludf.DUMMYFUNCTION("""COMPUTED_VALUE"""),"New")</f>
        <v>New</v>
      </c>
      <c r="F2540" s="72">
        <v>31</v>
      </c>
      <c r="G2540" s="72">
        <v>1264</v>
      </c>
      <c r="P2540" s="26"/>
    </row>
    <row r="2541" spans="1:16" ht="14.5">
      <c r="A2541" s="3" t="s">
        <v>38</v>
      </c>
      <c r="B2541" s="12" t="s">
        <v>2825</v>
      </c>
      <c r="C2541" s="46" t="s">
        <v>6241</v>
      </c>
      <c r="D2541" s="41" t="str">
        <f ca="1">IFERROR(__xludf.DUMMYFUNCTION("IFERROR(ARRAYFORMULA(REGEXEXTRACT(C2541,""^(?:https?:\/\/)?(?:[^@\n]+@)?(?:www\.)?([^:\/\n]+)"")),"""")"),"riluxa.com")</f>
        <v>riluxa.com</v>
      </c>
      <c r="E2541" s="26" t="str">
        <f ca="1">IFERROR(__xludf.DUMMYFUNCTION("""COMPUTED_VALUE"""),"New")</f>
        <v>New</v>
      </c>
      <c r="F2541" s="72">
        <v>39</v>
      </c>
      <c r="G2541" s="72">
        <v>39219</v>
      </c>
      <c r="P2541" s="26"/>
    </row>
    <row r="2542" spans="1:16" ht="14.5">
      <c r="A2542" s="3" t="s">
        <v>38</v>
      </c>
      <c r="B2542" s="12" t="s">
        <v>2825</v>
      </c>
      <c r="C2542" s="46" t="s">
        <v>6242</v>
      </c>
      <c r="D2542" s="41" t="str">
        <f ca="1">IFERROR(__xludf.DUMMYFUNCTION("IFERROR(ARRAYFORMULA(REGEXEXTRACT(C2542,""^(?:https?:\/\/)?(?:[^@\n]+@)?(?:www\.)?([^:\/\n]+)"")),"""")"),"dezeen.com")</f>
        <v>dezeen.com</v>
      </c>
      <c r="E2542" s="26" t="str">
        <f ca="1">IFERROR(__xludf.DUMMYFUNCTION("""COMPUTED_VALUE"""),"New")</f>
        <v>New</v>
      </c>
      <c r="F2542" s="72">
        <v>88</v>
      </c>
      <c r="G2542" s="72">
        <v>308494</v>
      </c>
      <c r="P2542" s="26"/>
    </row>
    <row r="2543" spans="1:16" ht="14.5">
      <c r="A2543" s="3" t="s">
        <v>38</v>
      </c>
      <c r="B2543" s="12" t="s">
        <v>2825</v>
      </c>
      <c r="C2543" s="46" t="s">
        <v>6243</v>
      </c>
      <c r="D2543" s="41" t="str">
        <f ca="1">IFERROR(__xludf.DUMMYFUNCTION("IFERROR(ARRAYFORMULA(REGEXEXTRACT(C2543,""^(?:https?:\/\/)?(?:[^@\n]+@)?(?:www\.)?([^:\/\n]+)"")),"""")"),"georgemorlan.com")</f>
        <v>georgemorlan.com</v>
      </c>
      <c r="E2543" s="26" t="str">
        <f ca="1">IFERROR(__xludf.DUMMYFUNCTION("""COMPUTED_VALUE"""),"New")</f>
        <v>New</v>
      </c>
      <c r="F2543" s="72">
        <v>30</v>
      </c>
      <c r="G2543" s="72">
        <v>1304</v>
      </c>
      <c r="P2543" s="26"/>
    </row>
    <row r="2544" spans="1:16" ht="14.5">
      <c r="A2544" s="3" t="s">
        <v>38</v>
      </c>
      <c r="B2544" s="12" t="s">
        <v>2825</v>
      </c>
      <c r="C2544" s="46" t="s">
        <v>6244</v>
      </c>
      <c r="D2544" s="41" t="str">
        <f ca="1">IFERROR(__xludf.DUMMYFUNCTION("IFERROR(ARRAYFORMULA(REGEXEXTRACT(C2544,""^(?:https?:\/\/)?(?:[^@\n]+@)?(?:www\.)?([^:\/\n]+)"")),"""")"),"distributordatasolutions.com")</f>
        <v>distributordatasolutions.com</v>
      </c>
      <c r="E2544" s="26" t="str">
        <f ca="1">IFERROR(__xludf.DUMMYFUNCTION("""COMPUTED_VALUE"""),"New")</f>
        <v>New</v>
      </c>
      <c r="F2544" s="72">
        <v>62</v>
      </c>
      <c r="G2544" s="72">
        <v>13755</v>
      </c>
      <c r="P2544" s="26"/>
    </row>
    <row r="2545" spans="1:16" ht="14.5">
      <c r="A2545" s="3" t="s">
        <v>38</v>
      </c>
      <c r="B2545" s="12" t="s">
        <v>2825</v>
      </c>
      <c r="C2545" s="49" t="s">
        <v>6245</v>
      </c>
      <c r="D2545" s="41" t="str">
        <f ca="1">IFERROR(__xludf.DUMMYFUNCTION("IFERROR(ARRAYFORMULA(REGEXEXTRACT(C2545,""^(?:https?:\/\/)?(?:[^@\n]+@)?(?:www\.)?([^:\/\n]+)"")),"""")"),"showroom.coburns.com")</f>
        <v>showroom.coburns.com</v>
      </c>
      <c r="E2545" s="26" t="str">
        <f ca="1">IFERROR(__xludf.DUMMYFUNCTION("""COMPUTED_VALUE"""),"New")</f>
        <v>New</v>
      </c>
      <c r="F2545" s="72">
        <v>50</v>
      </c>
      <c r="G2545" s="72">
        <v>21255</v>
      </c>
      <c r="I2545" s="27" t="s">
        <v>6246</v>
      </c>
      <c r="K2545" s="27" t="s">
        <v>6247</v>
      </c>
      <c r="L2545" s="112"/>
      <c r="M2545" s="27" t="s">
        <v>3117</v>
      </c>
      <c r="N2545" s="48">
        <v>46050</v>
      </c>
      <c r="O2545" s="48">
        <v>46083</v>
      </c>
      <c r="P2545" s="26"/>
    </row>
    <row r="2546" spans="1:16" ht="14.5">
      <c r="A2546" s="3" t="s">
        <v>38</v>
      </c>
      <c r="B2546" s="12" t="s">
        <v>2825</v>
      </c>
      <c r="C2546" s="46" t="s">
        <v>6248</v>
      </c>
      <c r="D2546" s="41" t="str">
        <f ca="1">IFERROR(__xludf.DUMMYFUNCTION("IFERROR(ARRAYFORMULA(REGEXEXTRACT(C2546,""^(?:https?:\/\/)?(?:[^@\n]+@)?(?:www\.)?([^:\/\n]+)"")),"""")"),"twincities.com")</f>
        <v>twincities.com</v>
      </c>
      <c r="E2546" s="26" t="str">
        <f ca="1">IFERROR(__xludf.DUMMYFUNCTION("""COMPUTED_VALUE"""),"New")</f>
        <v>New</v>
      </c>
      <c r="F2546" s="72">
        <v>80</v>
      </c>
      <c r="G2546" s="72">
        <v>105713</v>
      </c>
      <c r="P2546" s="26"/>
    </row>
    <row r="2547" spans="1:16" ht="14.5">
      <c r="A2547" s="3" t="s">
        <v>38</v>
      </c>
      <c r="B2547" s="12" t="s">
        <v>2825</v>
      </c>
      <c r="C2547" s="46" t="s">
        <v>6249</v>
      </c>
      <c r="D2547" s="41" t="str">
        <f ca="1">IFERROR(__xludf.DUMMYFUNCTION("IFERROR(ARRAYFORMULA(REGEXEXTRACT(C2547,""^(?:https?:\/\/)?(?:[^@\n]+@)?(?:www\.)?([^:\/\n]+)"")),"""")"),"mensgear.net")</f>
        <v>mensgear.net</v>
      </c>
      <c r="E2547" s="26" t="str">
        <f ca="1">IFERROR(__xludf.DUMMYFUNCTION("""COMPUTED_VALUE"""),"New")</f>
        <v>New</v>
      </c>
      <c r="F2547" s="72">
        <v>62</v>
      </c>
      <c r="G2547" s="72">
        <v>2633</v>
      </c>
      <c r="P2547" s="26"/>
    </row>
    <row r="2548" spans="1:16" ht="14.5">
      <c r="A2548" s="3" t="s">
        <v>38</v>
      </c>
      <c r="B2548" s="12" t="s">
        <v>2825</v>
      </c>
      <c r="C2548" s="46" t="s">
        <v>6250</v>
      </c>
      <c r="D2548" s="41" t="str">
        <f ca="1">IFERROR(__xludf.DUMMYFUNCTION("IFERROR(ARRAYFORMULA(REGEXEXTRACT(C2548,""^(?:https?:\/\/)?(?:[^@\n]+@)?(?:www\.)?([^:\/\n]+)"")),"""")"),"convo-by-design.blubrry.net")</f>
        <v>convo-by-design.blubrry.net</v>
      </c>
      <c r="E2548" s="26" t="str">
        <f ca="1">IFERROR(__xludf.DUMMYFUNCTION("""COMPUTED_VALUE"""),"New")</f>
        <v>New</v>
      </c>
      <c r="F2548" s="72">
        <v>74</v>
      </c>
      <c r="G2548" s="72">
        <v>9012</v>
      </c>
      <c r="P2548" s="26"/>
    </row>
    <row r="2549" spans="1:16" ht="14.5" hidden="1">
      <c r="A2549" s="5"/>
      <c r="B2549" s="12" t="s">
        <v>2825</v>
      </c>
      <c r="C2549" s="46" t="s">
        <v>6251</v>
      </c>
      <c r="D2549" s="41" t="str">
        <f ca="1">IFERROR(__xludf.DUMMYFUNCTION("IFERROR(ARRAYFORMULA(REGEXEXTRACT(C2549,""^(?:https?:\/\/)?(?:[^@\n]+@)?(?:www\.)?([^:\/\n]+)"")),"""")"),"simpleshowing.com")</f>
        <v>simpleshowing.com</v>
      </c>
      <c r="E2549" s="26" t="str">
        <f ca="1">IFERROR(__xludf.DUMMYFUNCTION("""COMPUTED_VALUE"""),"Already Exists")</f>
        <v>Already Exists</v>
      </c>
      <c r="F2549" s="72">
        <v>49</v>
      </c>
      <c r="G2549" s="72">
        <v>2037</v>
      </c>
      <c r="P2549" s="26"/>
    </row>
    <row r="2550" spans="1:16" ht="14.5">
      <c r="A2550" s="3" t="s">
        <v>38</v>
      </c>
      <c r="B2550" s="12" t="s">
        <v>2825</v>
      </c>
      <c r="C2550" s="46" t="s">
        <v>6252</v>
      </c>
      <c r="D2550" s="41" t="str">
        <f ca="1">IFERROR(__xludf.DUMMYFUNCTION("IFERROR(ARRAYFORMULA(REGEXEXTRACT(C2550,""^(?:https?:\/\/)?(?:[^@\n]+@)?(?:www\.)?([^:\/\n]+)"")),"""")"),"3rings.designerpages.com")</f>
        <v>3rings.designerpages.com</v>
      </c>
      <c r="E2550" s="26" t="str">
        <f ca="1">IFERROR(__xludf.DUMMYFUNCTION("""COMPUTED_VALUE"""),"New")</f>
        <v>New</v>
      </c>
      <c r="F2550" s="72">
        <v>54</v>
      </c>
      <c r="G2550" s="72">
        <v>1645</v>
      </c>
      <c r="P2550" s="26"/>
    </row>
    <row r="2551" spans="1:16" ht="14.5">
      <c r="A2551" s="3" t="s">
        <v>38</v>
      </c>
      <c r="B2551" s="12" t="s">
        <v>2825</v>
      </c>
      <c r="C2551" s="49" t="s">
        <v>6253</v>
      </c>
      <c r="D2551" s="41" t="str">
        <f ca="1">IFERROR(__xludf.DUMMYFUNCTION("IFERROR(ARRAYFORMULA(REGEXEXTRACT(C2551,""^(?:https?:\/\/)?(?:[^@\n]+@)?(?:www\.)?([^:\/\n]+)"")),"""")"),"thecoastaloak.com")</f>
        <v>thecoastaloak.com</v>
      </c>
      <c r="E2551" s="26" t="str">
        <f ca="1">IFERROR(__xludf.DUMMYFUNCTION("""COMPUTED_VALUE"""),"New")</f>
        <v>New</v>
      </c>
      <c r="F2551" s="72">
        <v>28</v>
      </c>
      <c r="G2551" s="72">
        <v>2238</v>
      </c>
      <c r="H2551" s="27" t="s">
        <v>4312</v>
      </c>
      <c r="I2551" s="27" t="s">
        <v>6254</v>
      </c>
      <c r="K2551" s="27" t="s">
        <v>3756</v>
      </c>
      <c r="L2551" s="112"/>
      <c r="M2551" s="27" t="s">
        <v>3117</v>
      </c>
      <c r="N2551" s="48">
        <v>46050</v>
      </c>
      <c r="O2551" s="70">
        <v>46090</v>
      </c>
      <c r="P2551" s="26"/>
    </row>
    <row r="2552" spans="1:16" ht="14.5">
      <c r="A2552" s="3" t="s">
        <v>38</v>
      </c>
      <c r="B2552" s="12" t="s">
        <v>2825</v>
      </c>
      <c r="C2552" s="46" t="s">
        <v>6255</v>
      </c>
      <c r="D2552" s="41" t="str">
        <f ca="1">IFERROR(__xludf.DUMMYFUNCTION("IFERROR(ARRAYFORMULA(REGEXEXTRACT(C2552,""^(?:https?:\/\/)?(?:[^@\n]+@)?(?:www\.)?([^:\/\n]+)"")),"""")"),"clownfish-grapefruit-fclt.squarespace.com")</f>
        <v>clownfish-grapefruit-fclt.squarespace.com</v>
      </c>
      <c r="E2552" s="26" t="str">
        <f ca="1">IFERROR(__xludf.DUMMYFUNCTION("""COMPUTED_VALUE"""),"New")</f>
        <v>New</v>
      </c>
      <c r="F2552" s="72">
        <v>95</v>
      </c>
      <c r="G2552" s="72">
        <v>3752534</v>
      </c>
      <c r="P2552" s="26"/>
    </row>
    <row r="2553" spans="1:16" ht="14.5">
      <c r="A2553" s="3" t="s">
        <v>38</v>
      </c>
      <c r="B2553" s="12" t="s">
        <v>2825</v>
      </c>
      <c r="C2553" s="46" t="s">
        <v>6256</v>
      </c>
      <c r="D2553" s="41" t="str">
        <f ca="1">IFERROR(__xludf.DUMMYFUNCTION("IFERROR(ARRAYFORMULA(REGEXEXTRACT(C2553,""^(?:https?:\/\/)?(?:[^@\n]+@)?(?:www\.)?([^:\/\n]+)"")),"""")"),"gushorten47.angelfire.com")</f>
        <v>gushorten47.angelfire.com</v>
      </c>
      <c r="E2553" s="26" t="str">
        <f ca="1">IFERROR(__xludf.DUMMYFUNCTION("""COMPUTED_VALUE"""),"New")</f>
        <v>New</v>
      </c>
      <c r="F2553" s="72">
        <v>86</v>
      </c>
      <c r="G2553" s="72">
        <v>96655</v>
      </c>
      <c r="O2553" s="70"/>
      <c r="P2553" s="26"/>
    </row>
    <row r="2554" spans="1:16" ht="14.5">
      <c r="A2554" s="3" t="s">
        <v>38</v>
      </c>
      <c r="B2554" s="12" t="s">
        <v>2825</v>
      </c>
      <c r="C2554" s="49" t="s">
        <v>6257</v>
      </c>
      <c r="D2554" s="41" t="str">
        <f ca="1">IFERROR(__xludf.DUMMYFUNCTION("IFERROR(ARRAYFORMULA(REGEXEXTRACT(C2554,""^(?:https?:\/\/)?(?:[^@\n]+@)?(?:www\.)?([^:\/\n]+)"")),"""")"),"design-milk.com")</f>
        <v>design-milk.com</v>
      </c>
      <c r="E2554" s="26" t="str">
        <f ca="1">IFERROR(__xludf.DUMMYFUNCTION("""COMPUTED_VALUE"""),"New")</f>
        <v>New</v>
      </c>
      <c r="F2554" s="72">
        <v>80</v>
      </c>
      <c r="G2554" s="72">
        <v>9381</v>
      </c>
      <c r="J2554" s="27" t="s">
        <v>6258</v>
      </c>
      <c r="K2554" s="27" t="s">
        <v>6259</v>
      </c>
      <c r="L2554" s="112"/>
      <c r="M2554" s="27" t="s">
        <v>3117</v>
      </c>
      <c r="N2554" s="48">
        <v>46050</v>
      </c>
      <c r="O2554" s="70">
        <v>46091</v>
      </c>
      <c r="P2554" s="26"/>
    </row>
    <row r="2555" spans="1:16" ht="14.5">
      <c r="A2555" s="3" t="s">
        <v>38</v>
      </c>
      <c r="B2555" s="12" t="s">
        <v>2825</v>
      </c>
      <c r="C2555" s="46" t="s">
        <v>6260</v>
      </c>
      <c r="D2555" s="41" t="str">
        <f ca="1">IFERROR(__xludf.DUMMYFUNCTION("IFERROR(ARRAYFORMULA(REGEXEXTRACT(C2555,""^(?:https?:\/\/)?(?:[^@\n]+@)?(?:www\.)?([^:\/\n]+)"")),"""")"),"plumbingonline.ca")</f>
        <v>plumbingonline.ca</v>
      </c>
      <c r="E2555" s="26" t="str">
        <f ca="1">IFERROR(__xludf.DUMMYFUNCTION("""COMPUTED_VALUE"""),"New")</f>
        <v>New</v>
      </c>
      <c r="F2555" s="72">
        <v>33</v>
      </c>
      <c r="G2555" s="72">
        <v>1581</v>
      </c>
      <c r="P2555" s="26"/>
    </row>
    <row r="2556" spans="1:16" ht="14.5" hidden="1">
      <c r="A2556" s="5"/>
      <c r="B2556" s="12" t="s">
        <v>2825</v>
      </c>
      <c r="C2556" s="46" t="s">
        <v>6261</v>
      </c>
      <c r="D2556" s="41" t="str">
        <f ca="1">IFERROR(__xludf.DUMMYFUNCTION("IFERROR(ARRAYFORMULA(REGEXEXTRACT(C2556,""^(?:https?:\/\/)?(?:[^@\n]+@)?(?:www\.)?([^:\/\n]+)"")),"""")"),"homerocketrealty.com")</f>
        <v>homerocketrealty.com</v>
      </c>
      <c r="E2556" s="26" t="str">
        <f ca="1">IFERROR(__xludf.DUMMYFUNCTION("""COMPUTED_VALUE"""),"Already Exists")</f>
        <v>Already Exists</v>
      </c>
      <c r="F2556" s="72">
        <v>65</v>
      </c>
      <c r="G2556" s="72">
        <v>3198</v>
      </c>
      <c r="P2556" s="26"/>
    </row>
    <row r="2557" spans="1:16" ht="14.5">
      <c r="A2557" s="3" t="s">
        <v>38</v>
      </c>
      <c r="B2557" s="12" t="s">
        <v>2825</v>
      </c>
      <c r="C2557" s="46" t="s">
        <v>6262</v>
      </c>
      <c r="D2557" s="41" t="str">
        <f ca="1">IFERROR(__xludf.DUMMYFUNCTION("IFERROR(ARRAYFORMULA(REGEXEXTRACT(C2557,""^(?:https?:\/\/)?(?:[^@\n]+@)?(?:www\.)?([^:\/\n]+)"")),"""")"),"bartlegibson.com")</f>
        <v>bartlegibson.com</v>
      </c>
      <c r="E2557" s="26" t="str">
        <f ca="1">IFERROR(__xludf.DUMMYFUNCTION("""COMPUTED_VALUE"""),"New")</f>
        <v>New</v>
      </c>
      <c r="F2557" s="72">
        <v>38</v>
      </c>
      <c r="G2557" s="72">
        <v>3138</v>
      </c>
      <c r="P2557" s="26"/>
    </row>
    <row r="2558" spans="1:16" ht="14.5" hidden="1">
      <c r="A2558" s="5"/>
      <c r="B2558" s="12" t="s">
        <v>2825</v>
      </c>
      <c r="C2558" s="46" t="s">
        <v>6263</v>
      </c>
      <c r="D2558" s="41" t="str">
        <f ca="1">IFERROR(__xludf.DUMMYFUNCTION("IFERROR(ARRAYFORMULA(REGEXEXTRACT(C2558,""^(?:https?:\/\/)?(?:[^@\n]+@)?(?:www\.)?([^:\/\n]+)"")),"""")"),"extremehowto.com")</f>
        <v>extremehowto.com</v>
      </c>
      <c r="E2558" s="26" t="str">
        <f ca="1">IFERROR(__xludf.DUMMYFUNCTION("""COMPUTED_VALUE"""),"Already Exists")</f>
        <v>Already Exists</v>
      </c>
      <c r="F2558" s="72">
        <v>52</v>
      </c>
      <c r="G2558" s="72">
        <v>1901</v>
      </c>
      <c r="P2558" s="26"/>
    </row>
    <row r="2559" spans="1:16" ht="14.5" hidden="1">
      <c r="A2559" s="5"/>
      <c r="B2559" s="12" t="s">
        <v>2825</v>
      </c>
      <c r="C2559" s="46" t="s">
        <v>6264</v>
      </c>
      <c r="D2559" s="41" t="str">
        <f ca="1">IFERROR(__xludf.DUMMYFUNCTION("IFERROR(ARRAYFORMULA(REGEXEXTRACT(C2559,""^(?:https?:\/\/)?(?:[^@\n]+@)?(?:www\.)?([^:\/\n]+)"")),"""")"),"ahouseinthehills.com")</f>
        <v>ahouseinthehills.com</v>
      </c>
      <c r="E2559" s="26" t="str">
        <f ca="1">IFERROR(__xludf.DUMMYFUNCTION("""COMPUTED_VALUE"""),"Already Exists")</f>
        <v>Already Exists</v>
      </c>
      <c r="F2559" s="72">
        <v>58</v>
      </c>
      <c r="G2559" s="72">
        <v>5247</v>
      </c>
      <c r="P2559" s="26"/>
    </row>
    <row r="2560" spans="1:16" ht="14.5">
      <c r="A2560" s="3" t="s">
        <v>38</v>
      </c>
      <c r="B2560" s="12" t="s">
        <v>2825</v>
      </c>
      <c r="C2560" s="49" t="s">
        <v>6265</v>
      </c>
      <c r="D2560" s="41" t="str">
        <f ca="1">IFERROR(__xludf.DUMMYFUNCTION("IFERROR(ARRAYFORMULA(REGEXEXTRACT(C2560,""^(?:https?:\/\/)?(?:[^@\n]+@)?(?:www\.)?([^:\/\n]+)"")),"""")"),"spaandbeautytoday.com")</f>
        <v>spaandbeautytoday.com</v>
      </c>
      <c r="E2560" s="26" t="str">
        <f ca="1">IFERROR(__xludf.DUMMYFUNCTION("""COMPUTED_VALUE"""),"New")</f>
        <v>New</v>
      </c>
      <c r="F2560" s="72">
        <v>65</v>
      </c>
      <c r="G2560" s="72">
        <v>1220</v>
      </c>
      <c r="H2560" s="27" t="s">
        <v>6266</v>
      </c>
      <c r="I2560" s="27" t="s">
        <v>6267</v>
      </c>
      <c r="J2560" s="27" t="s">
        <v>6268</v>
      </c>
      <c r="K2560" s="27" t="s">
        <v>3756</v>
      </c>
      <c r="L2560" s="112"/>
      <c r="M2560" s="27" t="s">
        <v>3117</v>
      </c>
      <c r="N2560" s="48">
        <v>46050</v>
      </c>
      <c r="O2560" s="70">
        <v>46091</v>
      </c>
      <c r="P2560" s="26"/>
    </row>
    <row r="2561" spans="1:16" ht="14.5">
      <c r="A2561" s="3" t="s">
        <v>38</v>
      </c>
      <c r="B2561" s="12" t="s">
        <v>2825</v>
      </c>
      <c r="C2561" s="46" t="s">
        <v>6269</v>
      </c>
      <c r="D2561" s="41" t="str">
        <f ca="1">IFERROR(__xludf.DUMMYFUNCTION("IFERROR(ARRAYFORMULA(REGEXEXTRACT(C2561,""^(?:https?:\/\/)?(?:[^@\n]+@)?(?:www\.)?([^:\/\n]+)"")),"""")"),"blog.qualitybath.com")</f>
        <v>blog.qualitybath.com</v>
      </c>
      <c r="E2561" s="26" t="str">
        <f ca="1">IFERROR(__xludf.DUMMYFUNCTION("""COMPUTED_VALUE"""),"New")</f>
        <v>New</v>
      </c>
      <c r="F2561" s="72">
        <v>54</v>
      </c>
      <c r="G2561" s="72">
        <v>13141</v>
      </c>
      <c r="P2561" s="26"/>
    </row>
    <row r="2562" spans="1:16" ht="14.5">
      <c r="A2562" s="3" t="s">
        <v>38</v>
      </c>
      <c r="B2562" s="12" t="s">
        <v>2825</v>
      </c>
      <c r="C2562" s="46" t="s">
        <v>6270</v>
      </c>
      <c r="D2562" s="41" t="str">
        <f ca="1">IFERROR(__xludf.DUMMYFUNCTION("IFERROR(ARRAYFORMULA(REGEXEXTRACT(C2562,""^(?:https?:\/\/)?(?:[^@\n]+@)?(?:www\.)?([^:\/\n]+)"")),"""")"),"metropolismag.com")</f>
        <v>metropolismag.com</v>
      </c>
      <c r="E2562" s="26" t="str">
        <f ca="1">IFERROR(__xludf.DUMMYFUNCTION("""COMPUTED_VALUE"""),"New")</f>
        <v>New</v>
      </c>
      <c r="F2562" s="72">
        <v>78</v>
      </c>
      <c r="G2562" s="72">
        <v>9235</v>
      </c>
      <c r="P2562" s="26"/>
    </row>
    <row r="2563" spans="1:16" ht="14.5">
      <c r="A2563" s="3" t="s">
        <v>38</v>
      </c>
      <c r="B2563" s="12" t="s">
        <v>2825</v>
      </c>
      <c r="C2563" s="46" t="s">
        <v>6271</v>
      </c>
      <c r="D2563" s="41" t="str">
        <f ca="1">IFERROR(__xludf.DUMMYFUNCTION("IFERROR(ARRAYFORMULA(REGEXEXTRACT(C2563,""^(?:https?:\/\/)?(?:[^@\n]+@)?(?:www\.)?([^:\/\n]+)"")),"""")"),"elledecor.com")</f>
        <v>elledecor.com</v>
      </c>
      <c r="E2563" s="26" t="str">
        <f ca="1">IFERROR(__xludf.DUMMYFUNCTION("""COMPUTED_VALUE"""),"New")</f>
        <v>New</v>
      </c>
      <c r="F2563" s="72">
        <v>85</v>
      </c>
      <c r="G2563" s="72">
        <v>712149</v>
      </c>
      <c r="P2563" s="26"/>
    </row>
    <row r="2564" spans="1:16" ht="14.5">
      <c r="A2564" s="3" t="s">
        <v>38</v>
      </c>
      <c r="B2564" s="12" t="s">
        <v>2825</v>
      </c>
      <c r="C2564" s="49" t="s">
        <v>6272</v>
      </c>
      <c r="D2564" s="41" t="str">
        <f ca="1">IFERROR(__xludf.DUMMYFUNCTION("IFERROR(ARRAYFORMULA(REGEXEXTRACT(C2564,""^(?:https?:\/\/)?(?:[^@\n]+@)?(?:www\.)?([^:\/\n]+)"")),"""")"),"residentialdesignmagazine.com")</f>
        <v>residentialdesignmagazine.com</v>
      </c>
      <c r="E2564" s="26" t="str">
        <f ca="1">IFERROR(__xludf.DUMMYFUNCTION("""COMPUTED_VALUE"""),"New")</f>
        <v>New</v>
      </c>
      <c r="F2564" s="72">
        <v>54</v>
      </c>
      <c r="G2564" s="72">
        <v>1774</v>
      </c>
      <c r="H2564" s="27" t="s">
        <v>6273</v>
      </c>
      <c r="I2564" s="27" t="s">
        <v>6274</v>
      </c>
      <c r="J2564" s="27" t="s">
        <v>6275</v>
      </c>
      <c r="K2564" s="27" t="s">
        <v>6247</v>
      </c>
      <c r="L2564" s="112"/>
      <c r="M2564" s="27" t="s">
        <v>3117</v>
      </c>
      <c r="N2564" s="48">
        <v>46050</v>
      </c>
      <c r="O2564" s="70">
        <v>46091</v>
      </c>
      <c r="P2564" s="26"/>
    </row>
    <row r="2565" spans="1:16" ht="14.5">
      <c r="A2565" s="3" t="s">
        <v>38</v>
      </c>
      <c r="B2565" s="12" t="s">
        <v>2825</v>
      </c>
      <c r="C2565" s="46" t="s">
        <v>6276</v>
      </c>
      <c r="D2565" s="41" t="str">
        <f ca="1">IFERROR(__xludf.DUMMYFUNCTION("IFERROR(ARRAYFORMULA(REGEXEXTRACT(C2565,""^(?:https?:\/\/)?(?:[^@\n]+@)?(?:www\.)?([^:\/\n]+)"")),"""")"),"bestplumbing.ca")</f>
        <v>bestplumbing.ca</v>
      </c>
      <c r="E2565" s="26" t="str">
        <f ca="1">IFERROR(__xludf.DUMMYFUNCTION("""COMPUTED_VALUE"""),"New")</f>
        <v>New</v>
      </c>
      <c r="F2565" s="72">
        <v>26</v>
      </c>
      <c r="G2565" s="72">
        <v>2378</v>
      </c>
      <c r="P2565" s="26"/>
    </row>
    <row r="2566" spans="1:16" ht="14.5" hidden="1">
      <c r="A2566" s="5"/>
      <c r="B2566" s="12" t="s">
        <v>2825</v>
      </c>
      <c r="C2566" s="46" t="s">
        <v>6277</v>
      </c>
      <c r="D2566" s="41" t="str">
        <f ca="1">IFERROR(__xludf.DUMMYFUNCTION("IFERROR(ARRAYFORMULA(REGEXEXTRACT(C2566,""^(?:https?:\/\/)?(?:[^@\n]+@)?(?:www\.)?([^:\/\n]+)"")),"""")"),"michaelhelwiginteriors.com")</f>
        <v>michaelhelwiginteriors.com</v>
      </c>
      <c r="E2566" s="26" t="str">
        <f ca="1">IFERROR(__xludf.DUMMYFUNCTION("""COMPUTED_VALUE"""),"Already Exists")</f>
        <v>Already Exists</v>
      </c>
      <c r="F2566" s="72">
        <v>40</v>
      </c>
      <c r="G2566" s="72">
        <v>17554</v>
      </c>
      <c r="P2566" s="26"/>
    </row>
    <row r="2567" spans="1:16" ht="14.5">
      <c r="A2567" s="3" t="s">
        <v>38</v>
      </c>
      <c r="B2567" s="12" t="s">
        <v>2825</v>
      </c>
      <c r="C2567" s="46" t="s">
        <v>6278</v>
      </c>
      <c r="D2567" s="41" t="str">
        <f ca="1">IFERROR(__xludf.DUMMYFUNCTION("IFERROR(ARRAYFORMULA(REGEXEXTRACT(C2567,""^(?:https?:\/\/)?(?:[^@\n]+@)?(?:www\.)?([^:\/\n]+)"")),"""")"),"sheret.com")</f>
        <v>sheret.com</v>
      </c>
      <c r="E2567" s="26" t="str">
        <f ca="1">IFERROR(__xludf.DUMMYFUNCTION("""COMPUTED_VALUE"""),"New")</f>
        <v>New</v>
      </c>
      <c r="F2567" s="72">
        <v>43</v>
      </c>
      <c r="G2567" s="72">
        <v>37367</v>
      </c>
      <c r="P2567" s="26"/>
    </row>
    <row r="2568" spans="1:16" ht="14.5" hidden="1">
      <c r="A2568" s="5"/>
      <c r="B2568" s="12" t="s">
        <v>2825</v>
      </c>
      <c r="C2568" s="46" t="s">
        <v>6279</v>
      </c>
      <c r="D2568" s="41" t="str">
        <f ca="1">IFERROR(__xludf.DUMMYFUNCTION("IFERROR(ARRAYFORMULA(REGEXEXTRACT(C2568,""^(?:https?:\/\/)?(?:[^@\n]+@)?(?:www\.)?([^:\/\n]+)"")),"""")"),"s3da-design.com")</f>
        <v>s3da-design.com</v>
      </c>
      <c r="E2568" s="26" t="str">
        <f ca="1">IFERROR(__xludf.DUMMYFUNCTION("""COMPUTED_VALUE"""),"Already Exists")</f>
        <v>Already Exists</v>
      </c>
      <c r="F2568" s="72">
        <v>40</v>
      </c>
      <c r="G2568" s="72">
        <v>1621</v>
      </c>
      <c r="P2568" s="26"/>
    </row>
    <row r="2569" spans="1:16" ht="14.5">
      <c r="A2569" s="3" t="s">
        <v>38</v>
      </c>
      <c r="B2569" s="12" t="s">
        <v>2825</v>
      </c>
      <c r="C2569" s="49" t="s">
        <v>6280</v>
      </c>
      <c r="D2569" s="41" t="str">
        <f ca="1">IFERROR(__xludf.DUMMYFUNCTION("IFERROR(ARRAYFORMULA(REGEXEXTRACT(C2569,""^(?:https?:\/\/)?(?:[^@\n]+@)?(?:www\.)?([^:\/\n]+)"")),"""")"),"luxuryinteriors.org")</f>
        <v>luxuryinteriors.org</v>
      </c>
      <c r="E2569" s="26" t="str">
        <f ca="1">IFERROR(__xludf.DUMMYFUNCTION("""COMPUTED_VALUE"""),"New")</f>
        <v>New</v>
      </c>
      <c r="F2569" s="72">
        <v>56</v>
      </c>
      <c r="G2569" s="72">
        <v>2665</v>
      </c>
      <c r="J2569" s="38" t="s">
        <v>6281</v>
      </c>
      <c r="K2569" s="27" t="s">
        <v>6247</v>
      </c>
      <c r="L2569" s="112"/>
      <c r="M2569" s="27" t="s">
        <v>3117</v>
      </c>
      <c r="N2569" s="48">
        <v>46050</v>
      </c>
      <c r="P2569" s="26"/>
    </row>
    <row r="2570" spans="1:16" ht="14.5">
      <c r="A2570" s="3" t="s">
        <v>38</v>
      </c>
      <c r="B2570" s="12" t="s">
        <v>2825</v>
      </c>
      <c r="C2570" s="46" t="s">
        <v>6282</v>
      </c>
      <c r="D2570" s="41" t="str">
        <f ca="1">IFERROR(__xludf.DUMMYFUNCTION("IFERROR(ARRAYFORMULA(REGEXEXTRACT(C2570,""^(?:https?:\/\/)?(?:[^@\n]+@)?(?:www\.)?([^:\/\n]+)"")),"""")"),"collive.com")</f>
        <v>collive.com</v>
      </c>
      <c r="E2570" s="26" t="str">
        <f ca="1">IFERROR(__xludf.DUMMYFUNCTION("""COMPUTED_VALUE"""),"New")</f>
        <v>New</v>
      </c>
      <c r="F2570" s="72">
        <v>63</v>
      </c>
      <c r="G2570" s="72">
        <v>13183</v>
      </c>
      <c r="P2570" s="26"/>
    </row>
    <row r="2571" spans="1:16" ht="14.5">
      <c r="A2571" s="3" t="s">
        <v>38</v>
      </c>
      <c r="B2571" s="12" t="s">
        <v>2825</v>
      </c>
      <c r="C2571" s="49" t="s">
        <v>6283</v>
      </c>
      <c r="D2571" s="41" t="str">
        <f ca="1">IFERROR(__xludf.DUMMYFUNCTION("IFERROR(ARRAYFORMULA(REGEXEXTRACT(C2571,""^(?:https?:\/\/)?(?:[^@\n]+@)?(?:www\.)?([^:\/\n]+)"")),"""")"),"supplyht.com")</f>
        <v>supplyht.com</v>
      </c>
      <c r="E2571" s="26" t="str">
        <f ca="1">IFERROR(__xludf.DUMMYFUNCTION("""COMPUTED_VALUE"""),"New")</f>
        <v>New</v>
      </c>
      <c r="F2571" s="72">
        <v>64</v>
      </c>
      <c r="G2571" s="72">
        <v>1281</v>
      </c>
      <c r="H2571" s="27" t="s">
        <v>6284</v>
      </c>
      <c r="I2571" s="27" t="s">
        <v>6285</v>
      </c>
      <c r="J2571" s="27" t="s">
        <v>6286</v>
      </c>
      <c r="K2571" s="27" t="s">
        <v>3772</v>
      </c>
      <c r="L2571" s="112"/>
      <c r="M2571" s="27" t="s">
        <v>3117</v>
      </c>
      <c r="N2571" s="48">
        <v>46050</v>
      </c>
      <c r="O2571" s="70">
        <v>46091</v>
      </c>
      <c r="P2571" s="26"/>
    </row>
    <row r="2572" spans="1:16" ht="14.5" hidden="1">
      <c r="A2572" s="5"/>
      <c r="B2572" s="12" t="s">
        <v>2825</v>
      </c>
      <c r="C2572" s="46" t="s">
        <v>6287</v>
      </c>
      <c r="D2572" s="41" t="str">
        <f ca="1">IFERROR(__xludf.DUMMYFUNCTION("IFERROR(ARRAYFORMULA(REGEXEXTRACT(C2572,""^(?:https?:\/\/)?(?:[^@\n]+@)?(?:www\.)?([^:\/\n]+)"")),"""")"),"lorddecor.com")</f>
        <v>lorddecor.com</v>
      </c>
      <c r="E2572" s="26" t="str">
        <f ca="1">IFERROR(__xludf.DUMMYFUNCTION("""COMPUTED_VALUE"""),"Already Exists")</f>
        <v>Already Exists</v>
      </c>
      <c r="F2572" s="72">
        <v>59</v>
      </c>
      <c r="G2572" s="72">
        <v>4250</v>
      </c>
      <c r="P2572" s="26"/>
    </row>
    <row r="2573" spans="1:16" ht="14.5" hidden="1">
      <c r="A2573" s="5"/>
      <c r="B2573" s="12" t="s">
        <v>2825</v>
      </c>
      <c r="C2573" s="46" t="s">
        <v>6288</v>
      </c>
      <c r="D2573" s="41" t="str">
        <f ca="1">IFERROR(__xludf.DUMMYFUNCTION("IFERROR(ARRAYFORMULA(REGEXEXTRACT(C2573,""^(?:https?:\/\/)?(?:[^@\n]+@)?(?:www\.)?([^:\/\n]+)"")),"""")"),"tamaracamerablog.com")</f>
        <v>tamaracamerablog.com</v>
      </c>
      <c r="E2573" s="26" t="str">
        <f ca="1">IFERROR(__xludf.DUMMYFUNCTION("""COMPUTED_VALUE"""),"Already Exists")</f>
        <v>Already Exists</v>
      </c>
      <c r="F2573" s="72">
        <v>59</v>
      </c>
      <c r="G2573" s="72">
        <v>6891</v>
      </c>
      <c r="P2573" s="26"/>
    </row>
    <row r="2574" spans="1:16" ht="14.5">
      <c r="A2574" s="3" t="s">
        <v>38</v>
      </c>
      <c r="B2574" s="12" t="s">
        <v>2825</v>
      </c>
      <c r="C2574" s="49" t="s">
        <v>6289</v>
      </c>
      <c r="D2574" s="41" t="str">
        <f ca="1">IFERROR(__xludf.DUMMYFUNCTION("IFERROR(ARRAYFORMULA(REGEXEXTRACT(C2574,""^(?:https?:\/\/)?(?:[^@\n]+@)?(?:www\.)?([^:\/\n]+)"")),"""")"),"mymodernmet.com")</f>
        <v>mymodernmet.com</v>
      </c>
      <c r="E2574" s="26" t="str">
        <f ca="1">IFERROR(__xludf.DUMMYFUNCTION("""COMPUTED_VALUE"""),"New")</f>
        <v>New</v>
      </c>
      <c r="F2574" s="72">
        <v>81</v>
      </c>
      <c r="G2574" s="72">
        <v>83063</v>
      </c>
      <c r="J2574" s="27" t="s">
        <v>6290</v>
      </c>
      <c r="K2574" s="27" t="s">
        <v>3756</v>
      </c>
      <c r="L2574" s="112"/>
      <c r="M2574" s="27" t="s">
        <v>3117</v>
      </c>
      <c r="N2574" s="48">
        <v>46050</v>
      </c>
      <c r="P2574" s="26"/>
    </row>
    <row r="2575" spans="1:16" ht="14.5" hidden="1">
      <c r="A2575" s="5"/>
      <c r="B2575" s="12" t="s">
        <v>2825</v>
      </c>
      <c r="C2575" s="46" t="s">
        <v>6291</v>
      </c>
      <c r="D2575" s="41" t="str">
        <f ca="1">IFERROR(__xludf.DUMMYFUNCTION("IFERROR(ARRAYFORMULA(REGEXEXTRACT(C2575,""^(?:https?:\/\/)?(?:[^@\n]+@)?(?:www\.)?([^:\/\n]+)"")),"""")"),"skyryedesign.com")</f>
        <v>skyryedesign.com</v>
      </c>
      <c r="E2575" s="26" t="str">
        <f ca="1">IFERROR(__xludf.DUMMYFUNCTION("""COMPUTED_VALUE"""),"Already Exists")</f>
        <v>Already Exists</v>
      </c>
      <c r="F2575" s="72">
        <v>47</v>
      </c>
      <c r="G2575" s="72">
        <v>1224</v>
      </c>
      <c r="P2575" s="26"/>
    </row>
    <row r="2576" spans="1:16" ht="14.5">
      <c r="A2576" s="3" t="s">
        <v>38</v>
      </c>
      <c r="B2576" s="12" t="s">
        <v>2825</v>
      </c>
      <c r="C2576" s="46" t="s">
        <v>6292</v>
      </c>
      <c r="D2576" s="41" t="str">
        <f ca="1">IFERROR(__xludf.DUMMYFUNCTION("IFERROR(ARRAYFORMULA(REGEXEXTRACT(C2576,""^(?:https?:\/\/)?(?:[^@\n]+@)?(?:www\.)?([^:\/\n]+)"")),"""")"),"montecito-estate.com")</f>
        <v>montecito-estate.com</v>
      </c>
      <c r="E2576" s="26" t="str">
        <f ca="1">IFERROR(__xludf.DUMMYFUNCTION("""COMPUTED_VALUE"""),"New")</f>
        <v>New</v>
      </c>
      <c r="F2576" s="72">
        <v>53</v>
      </c>
      <c r="G2576" s="72">
        <v>1170</v>
      </c>
      <c r="P2576" s="26"/>
    </row>
    <row r="2577" spans="1:16" ht="14.5">
      <c r="A2577" s="3" t="s">
        <v>38</v>
      </c>
      <c r="B2577" s="12" t="s">
        <v>2825</v>
      </c>
      <c r="C2577" s="49" t="s">
        <v>6293</v>
      </c>
      <c r="D2577" s="41" t="str">
        <f ca="1">IFERROR(__xludf.DUMMYFUNCTION("IFERROR(ARRAYFORMULA(REGEXEXTRACT(C2577,""^(?:https?:\/\/)?(?:[^@\n]+@)?(?:www\.)?([^:\/\n]+)"")),"""")"),"saunaplace.com")</f>
        <v>saunaplace.com</v>
      </c>
      <c r="E2577" s="26" t="str">
        <f ca="1">IFERROR(__xludf.DUMMYFUNCTION("""COMPUTED_VALUE"""),"New")</f>
        <v>New</v>
      </c>
      <c r="F2577" s="72">
        <v>36</v>
      </c>
      <c r="G2577" s="72">
        <v>11376</v>
      </c>
      <c r="J2577" s="27" t="s">
        <v>6294</v>
      </c>
      <c r="K2577" s="27" t="s">
        <v>3839</v>
      </c>
      <c r="L2577" s="112"/>
      <c r="M2577" s="27" t="s">
        <v>3117</v>
      </c>
      <c r="N2577" s="48">
        <v>46050</v>
      </c>
      <c r="P2577" s="26"/>
    </row>
    <row r="2578" spans="1:16" ht="14.5">
      <c r="A2578" s="3" t="s">
        <v>38</v>
      </c>
      <c r="B2578" s="12" t="s">
        <v>2825</v>
      </c>
      <c r="C2578" s="46" t="s">
        <v>6295</v>
      </c>
      <c r="D2578" s="41" t="str">
        <f ca="1">IFERROR(__xludf.DUMMYFUNCTION("IFERROR(ARRAYFORMULA(REGEXEXTRACT(C2578,""^(?:https?:\/\/)?(?:[^@\n]+@)?(?:www\.)?([^:\/\n]+)"")),"""")"),"snyderdiamond.com")</f>
        <v>snyderdiamond.com</v>
      </c>
      <c r="E2578" s="26" t="str">
        <f ca="1">IFERROR(__xludf.DUMMYFUNCTION("""COMPUTED_VALUE"""),"New")</f>
        <v>New</v>
      </c>
      <c r="F2578" s="72">
        <v>57</v>
      </c>
      <c r="G2578" s="72">
        <v>2556</v>
      </c>
      <c r="P2578" s="26"/>
    </row>
    <row r="2579" spans="1:16" ht="14.5">
      <c r="A2579" s="3" t="s">
        <v>38</v>
      </c>
      <c r="B2579" s="12" t="s">
        <v>2825</v>
      </c>
      <c r="C2579" s="49" t="s">
        <v>6296</v>
      </c>
      <c r="D2579" s="41" t="str">
        <f ca="1">IFERROR(__xludf.DUMMYFUNCTION("IFERROR(ARRAYFORMULA(REGEXEXTRACT(C2579,""^(?:https?:\/\/)?(?:[^@\n]+@)?(?:www\.)?([^:\/\n]+)"")),"""")"),"alairhomes.com")</f>
        <v>alairhomes.com</v>
      </c>
      <c r="E2579" s="26" t="str">
        <f ca="1">IFERROR(__xludf.DUMMYFUNCTION("""COMPUTED_VALUE"""),"New")</f>
        <v>New</v>
      </c>
      <c r="F2579" s="72">
        <v>61</v>
      </c>
      <c r="G2579" s="72">
        <v>7086</v>
      </c>
      <c r="H2579" s="27" t="s">
        <v>6297</v>
      </c>
      <c r="I2579" s="27" t="s">
        <v>6298</v>
      </c>
      <c r="J2579" s="27" t="s">
        <v>6299</v>
      </c>
      <c r="K2579" s="27" t="s">
        <v>5359</v>
      </c>
      <c r="L2579" s="112"/>
      <c r="M2579" s="27" t="s">
        <v>3117</v>
      </c>
      <c r="N2579" s="48">
        <v>46051</v>
      </c>
      <c r="P2579" s="26"/>
    </row>
    <row r="2580" spans="1:16" ht="14.5">
      <c r="A2580" s="3" t="s">
        <v>38</v>
      </c>
      <c r="B2580" s="12" t="s">
        <v>2825</v>
      </c>
      <c r="C2580" s="49" t="s">
        <v>6300</v>
      </c>
      <c r="D2580" s="41" t="str">
        <f ca="1">IFERROR(__xludf.DUMMYFUNCTION("IFERROR(ARRAYFORMULA(REGEXEXTRACT(C2580,""^(?:https?:\/\/)?(?:[^@\n]+@)?(?:www\.)?([^:\/\n]+)"")),"""")"),"phcppros.com")</f>
        <v>phcppros.com</v>
      </c>
      <c r="E2580" s="26" t="str">
        <f ca="1">IFERROR(__xludf.DUMMYFUNCTION("""COMPUTED_VALUE"""),"New")</f>
        <v>New</v>
      </c>
      <c r="F2580" s="72">
        <v>68</v>
      </c>
      <c r="G2580" s="72">
        <v>2215</v>
      </c>
      <c r="H2580" s="27" t="s">
        <v>6301</v>
      </c>
      <c r="I2580" s="27" t="s">
        <v>6302</v>
      </c>
      <c r="J2580" s="27" t="s">
        <v>6303</v>
      </c>
      <c r="K2580" s="27" t="s">
        <v>3772</v>
      </c>
      <c r="L2580" s="112"/>
      <c r="M2580" s="27" t="s">
        <v>3117</v>
      </c>
      <c r="N2580" s="48">
        <v>46051</v>
      </c>
      <c r="P2580" s="26"/>
    </row>
    <row r="2581" spans="1:16" ht="14.5">
      <c r="A2581" s="3" t="s">
        <v>38</v>
      </c>
      <c r="B2581" s="12" t="s">
        <v>2825</v>
      </c>
      <c r="C2581" s="49" t="s">
        <v>6304</v>
      </c>
      <c r="D2581" s="41" t="str">
        <f ca="1">IFERROR(__xludf.DUMMYFUNCTION("IFERROR(ARRAYFORMULA(REGEXEXTRACT(C2581,""^(?:https?:\/\/)?(?:[^@\n]+@)?(?:www\.)?([^:\/\n]+)"")),"""")"),"steamsaunabath.com")</f>
        <v>steamsaunabath.com</v>
      </c>
      <c r="E2581" s="26" t="str">
        <f ca="1">IFERROR(__xludf.DUMMYFUNCTION("""COMPUTED_VALUE"""),"New")</f>
        <v>New</v>
      </c>
      <c r="F2581" s="72">
        <v>47</v>
      </c>
      <c r="G2581" s="72">
        <v>8399</v>
      </c>
      <c r="J2581" s="27" t="s">
        <v>6305</v>
      </c>
      <c r="K2581" s="27" t="s">
        <v>3839</v>
      </c>
      <c r="L2581" s="112"/>
      <c r="M2581" s="27" t="s">
        <v>3117</v>
      </c>
      <c r="N2581" s="48">
        <v>46051</v>
      </c>
      <c r="P2581" s="26"/>
    </row>
    <row r="2582" spans="1:16" ht="14.5">
      <c r="A2582" s="3" t="s">
        <v>38</v>
      </c>
      <c r="B2582" s="12" t="s">
        <v>2825</v>
      </c>
      <c r="C2582" s="46" t="s">
        <v>6306</v>
      </c>
      <c r="D2582" s="41" t="str">
        <f ca="1">IFERROR(__xludf.DUMMYFUNCTION("IFERROR(ARRAYFORMULA(REGEXEXTRACT(C2582,""^(?:https?:\/\/)?(?:[^@\n]+@)?(?:www\.)?([^:\/\n]+)"")),"""")"),"cm.hsvchamber.org")</f>
        <v>cm.hsvchamber.org</v>
      </c>
      <c r="E2582" s="26" t="str">
        <f ca="1">IFERROR(__xludf.DUMMYFUNCTION("""COMPUTED_VALUE"""),"New")</f>
        <v>New</v>
      </c>
      <c r="F2582" s="72">
        <v>62</v>
      </c>
      <c r="G2582" s="72">
        <v>6567</v>
      </c>
      <c r="P2582" s="26"/>
    </row>
    <row r="2583" spans="1:16" ht="14.5">
      <c r="A2583" s="3" t="s">
        <v>38</v>
      </c>
      <c r="B2583" s="12" t="s">
        <v>2825</v>
      </c>
      <c r="C2583" s="46" t="s">
        <v>6307</v>
      </c>
      <c r="D2583" s="41" t="str">
        <f ca="1">IFERROR(__xludf.DUMMYFUNCTION("IFERROR(ARRAYFORMULA(REGEXEXTRACT(C2583,""^(?:https?:\/\/)?(?:[^@\n]+@)?(?:www\.)?([^:\/\n]+)"")),"""")"),"hirsch.com")</f>
        <v>hirsch.com</v>
      </c>
      <c r="E2583" s="26" t="str">
        <f ca="1">IFERROR(__xludf.DUMMYFUNCTION("""COMPUTED_VALUE"""),"New")</f>
        <v>New</v>
      </c>
      <c r="F2583" s="72">
        <v>31</v>
      </c>
      <c r="G2583" s="72">
        <v>4302</v>
      </c>
      <c r="P2583" s="26"/>
    </row>
    <row r="2584" spans="1:16" ht="14.5" hidden="1">
      <c r="A2584" s="5"/>
      <c r="B2584" s="12" t="s">
        <v>2825</v>
      </c>
      <c r="C2584" s="46" t="s">
        <v>6308</v>
      </c>
      <c r="D2584" s="41" t="str">
        <f ca="1">IFERROR(__xludf.DUMMYFUNCTION("IFERROR(ARRAYFORMULA(REGEXEXTRACT(C2584,""^(?:https?:\/\/)?(?:[^@\n]+@)?(?:www\.)?([^:\/\n]+)"")),"""")"),"re-thinkingthefuture.com")</f>
        <v>re-thinkingthefuture.com</v>
      </c>
      <c r="E2584" s="26" t="str">
        <f ca="1">IFERROR(__xludf.DUMMYFUNCTION("""COMPUTED_VALUE"""),"Already Exists")</f>
        <v>Already Exists</v>
      </c>
      <c r="F2584" s="72">
        <v>75</v>
      </c>
      <c r="G2584" s="72">
        <v>154919</v>
      </c>
      <c r="P2584" s="26"/>
    </row>
    <row r="2585" spans="1:16" ht="14.5">
      <c r="A2585" s="3" t="s">
        <v>38</v>
      </c>
      <c r="B2585" s="12" t="s">
        <v>2825</v>
      </c>
      <c r="C2585" s="49" t="s">
        <v>6309</v>
      </c>
      <c r="D2585" s="41" t="str">
        <f ca="1">IFERROR(__xludf.DUMMYFUNCTION("IFERROR(ARRAYFORMULA(REGEXEXTRACT(C2585,""^(?:https?:\/\/)?(?:[^@\n]+@)?(?:www\.)?([^:\/\n]+)"")),"""")"),"onekindesign.com")</f>
        <v>onekindesign.com</v>
      </c>
      <c r="E2585" s="26" t="str">
        <f ca="1">IFERROR(__xludf.DUMMYFUNCTION("""COMPUTED_VALUE"""),"New")</f>
        <v>New</v>
      </c>
      <c r="F2585" s="72">
        <v>66</v>
      </c>
      <c r="G2585" s="72">
        <v>6544</v>
      </c>
      <c r="J2585" s="27" t="s">
        <v>6310</v>
      </c>
      <c r="K2585" s="27" t="s">
        <v>6247</v>
      </c>
      <c r="L2585" s="112"/>
      <c r="M2585" s="27" t="s">
        <v>3117</v>
      </c>
      <c r="N2585" s="48">
        <v>46051</v>
      </c>
      <c r="P2585" s="26"/>
    </row>
    <row r="2586" spans="1:16" ht="14.5">
      <c r="A2586" s="3" t="s">
        <v>38</v>
      </c>
      <c r="B2586" s="12" t="s">
        <v>2825</v>
      </c>
      <c r="C2586" s="49" t="s">
        <v>6311</v>
      </c>
      <c r="D2586" s="41" t="str">
        <f ca="1">IFERROR(__xludf.DUMMYFUNCTION("IFERROR(ARRAYFORMULA(REGEXEXTRACT(C2586,""^(?:https?:\/\/)?(?:[^@\n]+@)?(?:www\.)?([^:\/\n]+)"")),"""")"),"yankodesign.com")</f>
        <v>yankodesign.com</v>
      </c>
      <c r="E2586" s="26" t="str">
        <f ca="1">IFERROR(__xludf.DUMMYFUNCTION("""COMPUTED_VALUE"""),"New")</f>
        <v>New</v>
      </c>
      <c r="F2586" s="72">
        <v>78</v>
      </c>
      <c r="G2586" s="72">
        <v>18749</v>
      </c>
      <c r="H2586" s="27" t="s">
        <v>6312</v>
      </c>
      <c r="I2586" s="27" t="s">
        <v>6313</v>
      </c>
      <c r="J2586" s="27" t="s">
        <v>6314</v>
      </c>
      <c r="K2586" s="27" t="s">
        <v>3772</v>
      </c>
      <c r="L2586" s="112"/>
      <c r="M2586" s="27" t="s">
        <v>3117</v>
      </c>
      <c r="N2586" s="48">
        <v>46051</v>
      </c>
      <c r="P2586" s="26"/>
    </row>
    <row r="2587" spans="1:16" ht="14.5">
      <c r="A2587" s="3" t="s">
        <v>38</v>
      </c>
      <c r="B2587" s="12" t="s">
        <v>2825</v>
      </c>
      <c r="C2587" s="46" t="s">
        <v>6315</v>
      </c>
      <c r="D2587" s="41" t="str">
        <f ca="1">IFERROR(__xludf.DUMMYFUNCTION("IFERROR(ARRAYFORMULA(REGEXEXTRACT(C2587,""^(?:https?:\/\/)?(?:[^@\n]+@)?(?:www\.)?([^:\/\n]+)"")),"""")"),"apartmentguide.com")</f>
        <v>apartmentguide.com</v>
      </c>
      <c r="E2587" s="26" t="str">
        <f ca="1">IFERROR(__xludf.DUMMYFUNCTION("""COMPUTED_VALUE"""),"New")</f>
        <v>New</v>
      </c>
      <c r="F2587" s="72">
        <v>80</v>
      </c>
      <c r="G2587" s="72">
        <v>263929</v>
      </c>
      <c r="P2587" s="26"/>
    </row>
    <row r="2588" spans="1:16" ht="14.5" hidden="1">
      <c r="A2588" s="5"/>
      <c r="B2588" s="12" t="s">
        <v>2825</v>
      </c>
      <c r="C2588" s="46" t="s">
        <v>6316</v>
      </c>
      <c r="D2588" s="41" t="str">
        <f ca="1">IFERROR(__xludf.DUMMYFUNCTION("IFERROR(ARRAYFORMULA(REGEXEXTRACT(C2588,""^(?:https?:\/\/)?(?:[^@\n]+@)?(?:www\.)?([^:\/\n]+)"")),"""")"),"thecinnamonhollow.com")</f>
        <v>thecinnamonhollow.com</v>
      </c>
      <c r="E2588" s="26" t="str">
        <f ca="1">IFERROR(__xludf.DUMMYFUNCTION("""COMPUTED_VALUE"""),"Already Exists")</f>
        <v>Already Exists</v>
      </c>
      <c r="F2588" s="72">
        <v>38</v>
      </c>
      <c r="G2588" s="72">
        <v>1006</v>
      </c>
      <c r="P2588" s="26"/>
    </row>
    <row r="2589" spans="1:16" ht="14.5">
      <c r="A2589" s="3" t="s">
        <v>38</v>
      </c>
      <c r="B2589" s="12" t="s">
        <v>2825</v>
      </c>
      <c r="C2589" s="49" t="s">
        <v>6317</v>
      </c>
      <c r="D2589" s="41" t="str">
        <f ca="1">IFERROR(__xludf.DUMMYFUNCTION("IFERROR(ARRAYFORMULA(REGEXEXTRACT(C2589,""^(?:https?:\/\/)?(?:[^@\n]+@)?(?:www\.)?([^:\/\n]+)"")),"""")"),"accurateindustries.com")</f>
        <v>accurateindustries.com</v>
      </c>
      <c r="E2589" s="26" t="str">
        <f ca="1">IFERROR(__xludf.DUMMYFUNCTION("""COMPUTED_VALUE"""),"New")</f>
        <v>New</v>
      </c>
      <c r="F2589" s="72">
        <v>28</v>
      </c>
      <c r="G2589" s="72">
        <v>1928</v>
      </c>
      <c r="J2589" s="27" t="s">
        <v>6318</v>
      </c>
      <c r="M2589" s="27" t="s">
        <v>3117</v>
      </c>
      <c r="N2589" s="48">
        <v>46051</v>
      </c>
      <c r="P2589" s="26"/>
    </row>
    <row r="2590" spans="1:16" ht="14.5">
      <c r="A2590" s="3" t="s">
        <v>38</v>
      </c>
      <c r="B2590" s="12" t="s">
        <v>2825</v>
      </c>
      <c r="C2590" s="46" t="s">
        <v>6319</v>
      </c>
      <c r="D2590" s="41" t="str">
        <f ca="1">IFERROR(__xludf.DUMMYFUNCTION("IFERROR(ARRAYFORMULA(REGEXEXTRACT(C2590,""^(?:https?:\/\/)?(?:[^@\n]+@)?(?:www\.)?([^:\/\n]+)"")),"""")"),"splashes.com")</f>
        <v>splashes.com</v>
      </c>
      <c r="E2590" s="26" t="str">
        <f ca="1">IFERROR(__xludf.DUMMYFUNCTION("""COMPUTED_VALUE"""),"New")</f>
        <v>New</v>
      </c>
      <c r="F2590" s="72">
        <v>43</v>
      </c>
      <c r="G2590" s="72">
        <v>24423</v>
      </c>
      <c r="P2590" s="26"/>
    </row>
    <row r="2591" spans="1:16" ht="14.5" hidden="1">
      <c r="A2591" s="5"/>
      <c r="B2591" s="12" t="s">
        <v>2825</v>
      </c>
      <c r="C2591" s="46" t="s">
        <v>6320</v>
      </c>
      <c r="D2591" s="41" t="str">
        <f ca="1">IFERROR(__xludf.DUMMYFUNCTION("IFERROR(ARRAYFORMULA(REGEXEXTRACT(C2591,""^(?:https?:\/\/)?(?:[^@\n]+@)?(?:www\.)?([^:\/\n]+)"")),"""")"),"illustrarch.com")</f>
        <v>illustrarch.com</v>
      </c>
      <c r="E2591" s="26" t="str">
        <f ca="1">IFERROR(__xludf.DUMMYFUNCTION("""COMPUTED_VALUE"""),"Already Exists")</f>
        <v>Already Exists</v>
      </c>
      <c r="F2591" s="72">
        <v>57</v>
      </c>
      <c r="G2591" s="72">
        <v>1676</v>
      </c>
      <c r="P2591" s="26"/>
    </row>
    <row r="2592" spans="1:16" ht="14.5">
      <c r="A2592" s="3" t="s">
        <v>38</v>
      </c>
      <c r="B2592" s="12" t="s">
        <v>2825</v>
      </c>
      <c r="C2592" s="46" t="s">
        <v>6321</v>
      </c>
      <c r="D2592" s="41" t="str">
        <f ca="1">IFERROR(__xludf.DUMMYFUNCTION("IFERROR(ARRAYFORMULA(REGEXEXTRACT(C2592,""^(?:https?:\/\/)?(?:[^@\n]+@)?(?:www\.)?([^:\/\n]+)"")),"""")"),"around-the-house-pro-insider.captivate.fm")</f>
        <v>around-the-house-pro-insider.captivate.fm</v>
      </c>
      <c r="E2592" s="26" t="str">
        <f ca="1">IFERROR(__xludf.DUMMYFUNCTION("""COMPUTED_VALUE"""),"New")</f>
        <v>New</v>
      </c>
      <c r="F2592" s="72">
        <v>85</v>
      </c>
      <c r="G2592" s="72">
        <v>18161</v>
      </c>
      <c r="P2592" s="26"/>
    </row>
    <row r="2593" spans="1:16" ht="14.5">
      <c r="A2593" s="3" t="s">
        <v>38</v>
      </c>
      <c r="B2593" s="12" t="s">
        <v>2825</v>
      </c>
      <c r="C2593" s="46" t="s">
        <v>6322</v>
      </c>
      <c r="D2593" s="41" t="str">
        <f ca="1">IFERROR(__xludf.DUMMYFUNCTION("IFERROR(ARRAYFORMULA(REGEXEXTRACT(C2593,""^(?:https?:\/\/)?(?:[^@\n]+@)?(?:www\.)?([^:\/\n]+)"")),"""")"),"hospitalitytech.com")</f>
        <v>hospitalitytech.com</v>
      </c>
      <c r="E2593" s="26" t="str">
        <f ca="1">IFERROR(__xludf.DUMMYFUNCTION("""COMPUTED_VALUE"""),"New")</f>
        <v>New</v>
      </c>
      <c r="F2593" s="72">
        <v>77</v>
      </c>
      <c r="G2593" s="72">
        <v>3274</v>
      </c>
      <c r="P2593" s="26"/>
    </row>
    <row r="2594" spans="1:16" ht="14.5">
      <c r="A2594" s="3" t="s">
        <v>38</v>
      </c>
      <c r="B2594" s="12" t="s">
        <v>2825</v>
      </c>
      <c r="C2594" s="46" t="s">
        <v>6323</v>
      </c>
      <c r="D2594" s="41" t="str">
        <f ca="1">IFERROR(__xludf.DUMMYFUNCTION("IFERROR(ARRAYFORMULA(REGEXEXTRACT(C2594,""^(?:https?:\/\/)?(?:[^@\n]+@)?(?:www\.)?([^:\/\n]+)"")),"""")"),"hbsdealer.com")</f>
        <v>hbsdealer.com</v>
      </c>
      <c r="E2594" s="26" t="str">
        <f ca="1">IFERROR(__xludf.DUMMYFUNCTION("""COMPUTED_VALUE"""),"New")</f>
        <v>New</v>
      </c>
      <c r="F2594" s="72">
        <v>66</v>
      </c>
      <c r="G2594" s="72">
        <v>1344</v>
      </c>
      <c r="P2594" s="26"/>
    </row>
    <row r="2595" spans="1:16" ht="14.5" hidden="1">
      <c r="A2595" s="5"/>
      <c r="B2595" s="12" t="s">
        <v>2825</v>
      </c>
      <c r="C2595" s="46" t="s">
        <v>6324</v>
      </c>
      <c r="D2595" s="41" t="str">
        <f ca="1">IFERROR(__xludf.DUMMYFUNCTION("IFERROR(ARRAYFORMULA(REGEXEXTRACT(C2595,""^(?:https?:\/\/)?(?:[^@\n]+@)?(?:www\.)?([^:\/\n]+)"")),"""")"),"flyarchitecture.net")</f>
        <v>flyarchitecture.net</v>
      </c>
      <c r="E2595" s="26" t="str">
        <f ca="1">IFERROR(__xludf.DUMMYFUNCTION("""COMPUTED_VALUE"""),"Already Exists")</f>
        <v>Already Exists</v>
      </c>
      <c r="F2595" s="72">
        <v>52</v>
      </c>
      <c r="G2595" s="72">
        <v>4464</v>
      </c>
      <c r="P2595" s="26"/>
    </row>
    <row r="2596" spans="1:16" ht="14.5" hidden="1">
      <c r="A2596" s="5"/>
      <c r="B2596" s="12" t="s">
        <v>2825</v>
      </c>
      <c r="C2596" s="46" t="s">
        <v>6325</v>
      </c>
      <c r="D2596" s="41" t="str">
        <f ca="1">IFERROR(__xludf.DUMMYFUNCTION("IFERROR(ARRAYFORMULA(REGEXEXTRACT(C2596,""^(?:https?:\/\/)?(?:[^@\n]+@)?(?:www\.)?([^:\/\n]+)"")),"""")"),"urbansplatter.com")</f>
        <v>urbansplatter.com</v>
      </c>
      <c r="E2596" s="26" t="str">
        <f ca="1">IFERROR(__xludf.DUMMYFUNCTION("""COMPUTED_VALUE"""),"Already Exists")</f>
        <v>Already Exists</v>
      </c>
      <c r="F2596" s="72">
        <v>63</v>
      </c>
      <c r="G2596" s="72">
        <v>25849</v>
      </c>
      <c r="P2596" s="26"/>
    </row>
    <row r="2597" spans="1:16" ht="14.5">
      <c r="A2597" s="3" t="s">
        <v>38</v>
      </c>
      <c r="B2597" s="12" t="s">
        <v>2825</v>
      </c>
      <c r="C2597" s="46" t="s">
        <v>6326</v>
      </c>
      <c r="D2597" s="41" t="str">
        <f ca="1">IFERROR(__xludf.DUMMYFUNCTION("IFERROR(ARRAYFORMULA(REGEXEXTRACT(C2597,""^(?:https?:\/\/)?(?:[^@\n]+@)?(?:www\.)?([^:\/\n]+)"")),"""")"),"ytexas.com")</f>
        <v>ytexas.com</v>
      </c>
      <c r="E2597" s="26" t="str">
        <f ca="1">IFERROR(__xludf.DUMMYFUNCTION("""COMPUTED_VALUE"""),"New")</f>
        <v>New</v>
      </c>
      <c r="F2597" s="72">
        <v>36</v>
      </c>
      <c r="G2597" s="72">
        <v>1363</v>
      </c>
      <c r="P2597" s="26"/>
    </row>
    <row r="2598" spans="1:16" ht="14.5">
      <c r="A2598" s="3" t="s">
        <v>38</v>
      </c>
      <c r="B2598" s="12" t="s">
        <v>2825</v>
      </c>
      <c r="C2598" s="49" t="s">
        <v>6327</v>
      </c>
      <c r="D2598" s="41" t="str">
        <f ca="1">IFERROR(__xludf.DUMMYFUNCTION("IFERROR(ARRAYFORMULA(REGEXEXTRACT(C2598,""^(?:https?:\/\/)?(?:[^@\n]+@)?(?:www\.)?([^:\/\n]+)"")),"""")"),"hydrosystem.com")</f>
        <v>hydrosystem.com</v>
      </c>
      <c r="E2598" s="26" t="str">
        <f ca="1">IFERROR(__xludf.DUMMYFUNCTION("""COMPUTED_VALUE"""),"New")</f>
        <v>New</v>
      </c>
      <c r="F2598" s="72">
        <v>38</v>
      </c>
      <c r="G2598" s="72">
        <v>8474</v>
      </c>
      <c r="I2598" s="27" t="s">
        <v>6328</v>
      </c>
      <c r="J2598" s="27" t="s">
        <v>6329</v>
      </c>
      <c r="K2598" s="27" t="s">
        <v>6247</v>
      </c>
      <c r="L2598" s="112"/>
      <c r="M2598" s="27" t="s">
        <v>3117</v>
      </c>
      <c r="N2598" s="48">
        <v>46051</v>
      </c>
      <c r="P2598" s="26"/>
    </row>
    <row r="2599" spans="1:16" ht="14.5">
      <c r="A2599" s="3" t="s">
        <v>38</v>
      </c>
      <c r="B2599" s="12" t="s">
        <v>2825</v>
      </c>
      <c r="C2599" s="46" t="s">
        <v>6330</v>
      </c>
      <c r="D2599" s="41" t="str">
        <f ca="1">IFERROR(__xludf.DUMMYFUNCTION("IFERROR(ARRAYFORMULA(REGEXEXTRACT(C2599,""^(?:https?:\/\/)?(?:[^@\n]+@)?(?:www\.)?([^:\/\n]+)"")),"""")"),"innotechtoday.com")</f>
        <v>innotechtoday.com</v>
      </c>
      <c r="E2599" s="26" t="str">
        <f ca="1">IFERROR(__xludf.DUMMYFUNCTION("""COMPUTED_VALUE"""),"New")</f>
        <v>New</v>
      </c>
      <c r="F2599" s="72">
        <v>69</v>
      </c>
      <c r="G2599" s="72">
        <v>19879</v>
      </c>
      <c r="P2599" s="26"/>
    </row>
    <row r="2600" spans="1:16" ht="14.5">
      <c r="A2600" s="3" t="s">
        <v>38</v>
      </c>
      <c r="B2600" s="12" t="s">
        <v>2825</v>
      </c>
      <c r="C2600" s="49" t="s">
        <v>6331</v>
      </c>
      <c r="D2600" s="41" t="str">
        <f ca="1">IFERROR(__xludf.DUMMYFUNCTION("IFERROR(ARRAYFORMULA(REGEXEXTRACT(C2600,""^(?:https?:\/\/)?(?:[^@\n]+@)?(?:www\.)?([^:\/\n]+)"")),"""")"),"custombuilderonline.com")</f>
        <v>custombuilderonline.com</v>
      </c>
      <c r="E2600" s="26" t="str">
        <f ca="1">IFERROR(__xludf.DUMMYFUNCTION("""COMPUTED_VALUE"""),"New")</f>
        <v>New</v>
      </c>
      <c r="F2600" s="72">
        <v>49</v>
      </c>
      <c r="G2600" s="72">
        <v>1283</v>
      </c>
      <c r="H2600" s="27" t="s">
        <v>4385</v>
      </c>
      <c r="I2600" s="27" t="s">
        <v>4386</v>
      </c>
      <c r="J2600" s="27" t="s">
        <v>4387</v>
      </c>
      <c r="K2600" s="27" t="s">
        <v>3772</v>
      </c>
      <c r="L2600" s="112"/>
      <c r="M2600" s="27" t="s">
        <v>3117</v>
      </c>
      <c r="N2600" s="48">
        <v>46051</v>
      </c>
      <c r="P2600" s="26"/>
    </row>
    <row r="2601" spans="1:16" ht="14.5">
      <c r="A2601" s="3" t="s">
        <v>38</v>
      </c>
      <c r="B2601" s="12" t="s">
        <v>2825</v>
      </c>
      <c r="C2601" s="46" t="s">
        <v>6332</v>
      </c>
      <c r="D2601" s="41" t="str">
        <f ca="1">IFERROR(__xludf.DUMMYFUNCTION("IFERROR(ARRAYFORMULA(REGEXEXTRACT(C2601,""^(?:https?:\/\/)?(?:[^@\n]+@)?(?:www\.)?([^:\/\n]+)"")),"""")"),"vi.web-platforms-vi.nyti.nyt.net")</f>
        <v>vi.web-platforms-vi.nyti.nyt.net</v>
      </c>
      <c r="E2601" s="26" t="str">
        <f ca="1">IFERROR(__xludf.DUMMYFUNCTION("""COMPUTED_VALUE"""),"New")</f>
        <v>New</v>
      </c>
      <c r="F2601" s="72">
        <v>26</v>
      </c>
      <c r="G2601" s="72">
        <v>1443</v>
      </c>
      <c r="P2601" s="26"/>
    </row>
    <row r="2602" spans="1:16" ht="14.5">
      <c r="A2602" s="3" t="s">
        <v>38</v>
      </c>
      <c r="B2602" s="12" t="s">
        <v>2825</v>
      </c>
      <c r="C2602" s="49" t="s">
        <v>6333</v>
      </c>
      <c r="D2602" s="41" t="str">
        <f ca="1">IFERROR(__xludf.DUMMYFUNCTION("IFERROR(ARRAYFORMULA(REGEXEXTRACT(C2602,""^(?:https?:\/\/)?(?:[^@\n]+@)?(?:www\.)?([^:\/\n]+)"")),"""")"),"galeriemagazine.com")</f>
        <v>galeriemagazine.com</v>
      </c>
      <c r="E2602" s="26" t="str">
        <f ca="1">IFERROR(__xludf.DUMMYFUNCTION("""COMPUTED_VALUE"""),"New")</f>
        <v>New</v>
      </c>
      <c r="F2602" s="72">
        <v>76</v>
      </c>
      <c r="G2602" s="72">
        <v>12662</v>
      </c>
      <c r="H2602" s="27" t="s">
        <v>6334</v>
      </c>
      <c r="I2602" s="27" t="s">
        <v>6335</v>
      </c>
      <c r="J2602" s="27" t="s">
        <v>6336</v>
      </c>
      <c r="K2602" s="27" t="s">
        <v>3772</v>
      </c>
      <c r="L2602" s="112"/>
      <c r="M2602" s="27" t="s">
        <v>3117</v>
      </c>
      <c r="N2602" s="48">
        <v>46051</v>
      </c>
      <c r="P2602" s="26"/>
    </row>
    <row r="2603" spans="1:16" ht="14.5">
      <c r="A2603" s="3" t="s">
        <v>38</v>
      </c>
      <c r="B2603" s="12" t="s">
        <v>2825</v>
      </c>
      <c r="C2603" s="46" t="s">
        <v>6337</v>
      </c>
      <c r="D2603" s="41" t="str">
        <f ca="1">IFERROR(__xludf.DUMMYFUNCTION("IFERROR(ARRAYFORMULA(REGEXEXTRACT(C2603,""^(?:https?:\/\/)?(?:[^@\n]+@)?(?:www\.)?([^:\/\n]+)"")),"""")"),"women.com")</f>
        <v>women.com</v>
      </c>
      <c r="E2603" s="26" t="str">
        <f ca="1">IFERROR(__xludf.DUMMYFUNCTION("""COMPUTED_VALUE"""),"New")</f>
        <v>New</v>
      </c>
      <c r="F2603" s="72">
        <v>68</v>
      </c>
      <c r="G2603" s="72">
        <v>258917</v>
      </c>
      <c r="P2603" s="26"/>
    </row>
    <row r="2604" spans="1:16" ht="14.5">
      <c r="A2604" s="3" t="s">
        <v>38</v>
      </c>
      <c r="B2604" s="12" t="s">
        <v>2825</v>
      </c>
      <c r="C2604" s="46" t="s">
        <v>6338</v>
      </c>
      <c r="D2604" s="41" t="str">
        <f ca="1">IFERROR(__xludf.DUMMYFUNCTION("IFERROR(ARRAYFORMULA(REGEXEXTRACT(C2604,""^(?:https?:\/\/)?(?:[^@\n]+@)?(?:www\.)?([^:\/\n]+)"")),"""")"),"designfinder.asid.org")</f>
        <v>designfinder.asid.org</v>
      </c>
      <c r="E2604" s="26" t="str">
        <f ca="1">IFERROR(__xludf.DUMMYFUNCTION("""COMPUTED_VALUE"""),"New")</f>
        <v>New</v>
      </c>
      <c r="F2604" s="72">
        <v>78</v>
      </c>
      <c r="G2604" s="72">
        <v>10658</v>
      </c>
      <c r="P2604" s="26"/>
    </row>
    <row r="2605" spans="1:16" ht="14.5">
      <c r="A2605" s="3" t="s">
        <v>38</v>
      </c>
      <c r="B2605" s="12" t="s">
        <v>2825</v>
      </c>
      <c r="C2605" s="46" t="s">
        <v>6339</v>
      </c>
      <c r="D2605" s="41" t="str">
        <f ca="1">IFERROR(__xludf.DUMMYFUNCTION("IFERROR(ARRAYFORMULA(REGEXEXTRACT(C2605,""^(?:https?:\/\/)?(?:[^@\n]+@)?(?:www\.)?([^:\/\n]+)"")),"""")"),"architecturalrecord.com")</f>
        <v>architecturalrecord.com</v>
      </c>
      <c r="E2605" s="26" t="str">
        <f ca="1">IFERROR(__xludf.DUMMYFUNCTION("""COMPUTED_VALUE"""),"New")</f>
        <v>New</v>
      </c>
      <c r="F2605" s="72">
        <v>78</v>
      </c>
      <c r="G2605" s="72">
        <v>5370</v>
      </c>
      <c r="P2605" s="26"/>
    </row>
    <row r="2606" spans="1:16" ht="14.5">
      <c r="A2606" s="3" t="s">
        <v>38</v>
      </c>
      <c r="B2606" s="12" t="s">
        <v>2825</v>
      </c>
      <c r="C2606" s="46" t="s">
        <v>6340</v>
      </c>
      <c r="D2606" s="41" t="str">
        <f ca="1">IFERROR(__xludf.DUMMYFUNCTION("IFERROR(ARRAYFORMULA(REGEXEXTRACT(C2606,""^(?:https?:\/\/)?(?:[^@\n]+@)?(?:www\.)?([^:\/\n]+)"")),"""")"),"consolidatetimes.com")</f>
        <v>consolidatetimes.com</v>
      </c>
      <c r="E2606" s="26" t="str">
        <f ca="1">IFERROR(__xludf.DUMMYFUNCTION("""COMPUTED_VALUE"""),"New")</f>
        <v>New</v>
      </c>
      <c r="F2606" s="72">
        <v>53</v>
      </c>
      <c r="G2606" s="72">
        <v>1089</v>
      </c>
      <c r="P2606" s="26"/>
    </row>
    <row r="2607" spans="1:16" ht="14.5">
      <c r="A2607" s="3" t="s">
        <v>38</v>
      </c>
      <c r="B2607" s="12" t="s">
        <v>2825</v>
      </c>
      <c r="C2607" s="46" t="s">
        <v>6341</v>
      </c>
      <c r="D2607" s="41" t="str">
        <f ca="1">IFERROR(__xludf.DUMMYFUNCTION("IFERROR(ARRAYFORMULA(REGEXEXTRACT(C2607,""^(?:https?:\/\/)?(?:[^@\n]+@)?(?:www\.)?([^:\/\n]+)"")),"""")"),"californiahomedesign.com")</f>
        <v>californiahomedesign.com</v>
      </c>
      <c r="E2607" s="26" t="str">
        <f ca="1">IFERROR(__xludf.DUMMYFUNCTION("""COMPUTED_VALUE"""),"New")</f>
        <v>New</v>
      </c>
      <c r="F2607" s="72">
        <v>73</v>
      </c>
      <c r="G2607" s="72">
        <v>1763</v>
      </c>
      <c r="P2607" s="26"/>
    </row>
    <row r="2608" spans="1:16" ht="14.5">
      <c r="A2608" s="3" t="s">
        <v>38</v>
      </c>
      <c r="B2608" s="12" t="s">
        <v>2825</v>
      </c>
      <c r="C2608" s="46" t="s">
        <v>6342</v>
      </c>
      <c r="D2608" s="41" t="str">
        <f ca="1">IFERROR(__xludf.DUMMYFUNCTION("IFERROR(ARRAYFORMULA(REGEXEXTRACT(C2608,""^(?:https?:\/\/)?(?:[^@\n]+@)?(?:www\.)?([^:\/\n]+)"")),"""")"),"dnyuz.com")</f>
        <v>dnyuz.com</v>
      </c>
      <c r="E2608" s="26" t="str">
        <f ca="1">IFERROR(__xludf.DUMMYFUNCTION("""COMPUTED_VALUE"""),"New")</f>
        <v>New</v>
      </c>
      <c r="F2608" s="72">
        <v>66</v>
      </c>
      <c r="G2608" s="72">
        <v>1138</v>
      </c>
      <c r="P2608" s="26"/>
    </row>
    <row r="2609" spans="1:16" ht="14.5">
      <c r="A2609" s="3" t="s">
        <v>38</v>
      </c>
      <c r="B2609" s="12" t="s">
        <v>2825</v>
      </c>
      <c r="C2609" s="46" t="s">
        <v>6343</v>
      </c>
      <c r="D2609" s="41" t="str">
        <f ca="1">IFERROR(__xludf.DUMMYFUNCTION("IFERROR(ARRAYFORMULA(REGEXEXTRACT(C2609,""^(?:https?:\/\/)?(?:[^@\n]+@)?(?:www\.)?([^:\/\n]+)"")),"""")"),"getpodcast.com")</f>
        <v>getpodcast.com</v>
      </c>
      <c r="E2609" s="26" t="str">
        <f ca="1">IFERROR(__xludf.DUMMYFUNCTION("""COMPUTED_VALUE"""),"New")</f>
        <v>New</v>
      </c>
      <c r="F2609" s="72">
        <v>61</v>
      </c>
      <c r="G2609" s="72">
        <v>4491</v>
      </c>
      <c r="P2609" s="26"/>
    </row>
    <row r="2610" spans="1:16" ht="14.5">
      <c r="A2610" s="3" t="s">
        <v>38</v>
      </c>
      <c r="B2610" s="12" t="s">
        <v>2825</v>
      </c>
      <c r="C2610" s="46" t="s">
        <v>6344</v>
      </c>
      <c r="D2610" s="41" t="str">
        <f ca="1">IFERROR(__xludf.DUMMYFUNCTION("IFERROR(ARRAYFORMULA(REGEXEXTRACT(C2610,""^(?:https?:\/\/)?(?:[^@\n]+@)?(?:www\.)?([^:\/\n]+)"")),"""")"),"dev.robbreport.com.vn")</f>
        <v>dev.robbreport.com.vn</v>
      </c>
      <c r="E2610" s="26" t="str">
        <f ca="1">IFERROR(__xludf.DUMMYFUNCTION("""COMPUTED_VALUE"""),"New")</f>
        <v>New</v>
      </c>
      <c r="F2610" s="72">
        <v>38</v>
      </c>
      <c r="G2610" s="72">
        <v>1038</v>
      </c>
      <c r="P2610" s="26"/>
    </row>
    <row r="2611" spans="1:16" ht="14.5" hidden="1">
      <c r="A2611" s="5"/>
      <c r="B2611" s="12" t="s">
        <v>2825</v>
      </c>
      <c r="C2611" s="46" t="s">
        <v>6345</v>
      </c>
      <c r="D2611" s="41" t="str">
        <f ca="1">IFERROR(__xludf.DUMMYFUNCTION("IFERROR(ARRAYFORMULA(REGEXEXTRACT(C2611,""^(?:https?:\/\/)?(?:[^@\n]+@)?(?:www\.)?([^:\/\n]+)"")),"""")"),"inspiredhomes.uk.com")</f>
        <v>inspiredhomes.uk.com</v>
      </c>
      <c r="E2611" s="26" t="str">
        <f ca="1">IFERROR(__xludf.DUMMYFUNCTION("""COMPUTED_VALUE"""),"Already Exists")</f>
        <v>Already Exists</v>
      </c>
      <c r="F2611" s="72">
        <v>92</v>
      </c>
      <c r="G2611" s="72">
        <v>12568628</v>
      </c>
      <c r="P2611" s="26"/>
    </row>
    <row r="2612" spans="1:16" ht="14.5">
      <c r="A2612" s="3" t="s">
        <v>38</v>
      </c>
      <c r="B2612" s="12" t="s">
        <v>2825</v>
      </c>
      <c r="C2612" s="49" t="s">
        <v>6346</v>
      </c>
      <c r="D2612" s="41" t="str">
        <f ca="1">IFERROR(__xludf.DUMMYFUNCTION("IFERROR(ARRAYFORMULA(REGEXEXTRACT(C2612,""^(?:https?:\/\/)?(?:[^@\n]+@)?(?:www\.)?([^:\/\n]+)"")),"""")"),"qualifiedremodeler.com")</f>
        <v>qualifiedremodeler.com</v>
      </c>
      <c r="E2612" s="26" t="str">
        <f ca="1">IFERROR(__xludf.DUMMYFUNCTION("""COMPUTED_VALUE"""),"New")</f>
        <v>New</v>
      </c>
      <c r="F2612" s="72">
        <v>71</v>
      </c>
      <c r="G2612" s="72">
        <v>3860</v>
      </c>
      <c r="H2612" s="36" t="s">
        <v>4282</v>
      </c>
      <c r="I2612" s="27" t="s">
        <v>6347</v>
      </c>
      <c r="J2612" s="27" t="s">
        <v>6348</v>
      </c>
      <c r="K2612" s="27" t="s">
        <v>3772</v>
      </c>
      <c r="L2612" s="112"/>
      <c r="M2612" s="27" t="s">
        <v>3117</v>
      </c>
      <c r="N2612" s="48">
        <v>46051</v>
      </c>
      <c r="P2612" s="26"/>
    </row>
    <row r="2613" spans="1:16" ht="14.5">
      <c r="A2613" s="3" t="s">
        <v>38</v>
      </c>
      <c r="B2613" s="12" t="s">
        <v>2825</v>
      </c>
      <c r="C2613" s="46" t="s">
        <v>6349</v>
      </c>
      <c r="D2613" s="41" t="str">
        <f ca="1">IFERROR(__xludf.DUMMYFUNCTION("IFERROR(ARRAYFORMULA(REGEXEXTRACT(C2613,""^(?:https?:\/\/)?(?:[^@\n]+@)?(?:www\.)?([^:\/\n]+)"")),"""")"),"farrlawfirm.com")</f>
        <v>farrlawfirm.com</v>
      </c>
      <c r="E2613" s="26" t="str">
        <f ca="1">IFERROR(__xludf.DUMMYFUNCTION("""COMPUTED_VALUE"""),"New")</f>
        <v>New</v>
      </c>
      <c r="F2613" s="72">
        <v>35</v>
      </c>
      <c r="G2613" s="72">
        <v>1516</v>
      </c>
      <c r="P2613" s="26"/>
    </row>
    <row r="2614" spans="1:16" ht="14.5">
      <c r="A2614" s="3" t="s">
        <v>38</v>
      </c>
      <c r="B2614" s="12" t="s">
        <v>2825</v>
      </c>
      <c r="C2614" s="46" t="s">
        <v>6350</v>
      </c>
      <c r="D2614" s="41" t="str">
        <f ca="1">IFERROR(__xludf.DUMMYFUNCTION("IFERROR(ARRAYFORMULA(REGEXEXTRACT(C2614,""^(?:https?:\/\/)?(?:[^@\n]+@)?(?:www\.)?([^:\/\n]+)"")),"""")"),"pmmag.com")</f>
        <v>pmmag.com</v>
      </c>
      <c r="E2614" s="26" t="str">
        <f ca="1">IFERROR(__xludf.DUMMYFUNCTION("""COMPUTED_VALUE"""),"New")</f>
        <v>New</v>
      </c>
      <c r="F2614" s="72">
        <v>71</v>
      </c>
      <c r="G2614" s="72">
        <v>2566</v>
      </c>
      <c r="P2614" s="26"/>
    </row>
    <row r="2615" spans="1:16" ht="14.5">
      <c r="A2615" s="3" t="s">
        <v>38</v>
      </c>
      <c r="B2615" s="12" t="s">
        <v>2825</v>
      </c>
      <c r="C2615" s="46" t="s">
        <v>6351</v>
      </c>
      <c r="D2615" s="41" t="str">
        <f ca="1">IFERROR(__xludf.DUMMYFUNCTION("IFERROR(ARRAYFORMULA(REGEXEXTRACT(C2615,""^(?:https?:\/\/)?(?:[^@\n]+@)?(?:www\.)?([^:\/\n]+)"")),"""")"),"electronicdesign.com")</f>
        <v>electronicdesign.com</v>
      </c>
      <c r="E2615" s="26" t="str">
        <f ca="1">IFERROR(__xludf.DUMMYFUNCTION("""COMPUTED_VALUE"""),"New")</f>
        <v>New</v>
      </c>
      <c r="F2615" s="72">
        <v>76</v>
      </c>
      <c r="G2615" s="72">
        <v>5899</v>
      </c>
      <c r="P2615" s="26"/>
    </row>
    <row r="2616" spans="1:16" ht="14.5">
      <c r="A2616" s="3" t="s">
        <v>38</v>
      </c>
      <c r="B2616" s="12" t="s">
        <v>2825</v>
      </c>
      <c r="C2616" s="46" t="s">
        <v>6352</v>
      </c>
      <c r="D2616" s="41" t="str">
        <f ca="1">IFERROR(__xludf.DUMMYFUNCTION("IFERROR(ARRAYFORMULA(REGEXEXTRACT(C2616,""^(?:https?:\/\/)?(?:[^@\n]+@)?(?:www\.)?([^:\/\n]+)"")),"""")"),"hospitalitydesign.com")</f>
        <v>hospitalitydesign.com</v>
      </c>
      <c r="E2616" s="26" t="str">
        <f ca="1">IFERROR(__xludf.DUMMYFUNCTION("""COMPUTED_VALUE"""),"New")</f>
        <v>New</v>
      </c>
      <c r="F2616" s="72">
        <v>75</v>
      </c>
      <c r="G2616" s="72">
        <v>13895</v>
      </c>
      <c r="P2616" s="26"/>
    </row>
    <row r="2617" spans="1:16" ht="14.5">
      <c r="A2617" s="3" t="s">
        <v>38</v>
      </c>
      <c r="B2617" s="12" t="s">
        <v>2825</v>
      </c>
      <c r="C2617" s="49" t="s">
        <v>6353</v>
      </c>
      <c r="D2617" s="41" t="str">
        <f ca="1">IFERROR(__xludf.DUMMYFUNCTION("IFERROR(ARRAYFORMULA(REGEXEXTRACT(C2617,""^(?:https?:\/\/)?(?:[^@\n]+@)?(?:www\.)?([^:\/\n]+)"")),"""")"),"azuremagazine.com")</f>
        <v>azuremagazine.com</v>
      </c>
      <c r="E2617" s="26" t="str">
        <f ca="1">IFERROR(__xludf.DUMMYFUNCTION("""COMPUTED_VALUE"""),"New")</f>
        <v>New</v>
      </c>
      <c r="F2617" s="72">
        <v>74</v>
      </c>
      <c r="G2617" s="72">
        <v>6414</v>
      </c>
      <c r="I2617" s="27" t="s">
        <v>6354</v>
      </c>
      <c r="J2617" s="27" t="s">
        <v>6355</v>
      </c>
      <c r="K2617" s="27" t="s">
        <v>3772</v>
      </c>
      <c r="L2617" s="112"/>
      <c r="M2617" s="27" t="s">
        <v>3117</v>
      </c>
      <c r="N2617" s="48">
        <v>46051</v>
      </c>
      <c r="P2617" s="26"/>
    </row>
    <row r="2618" spans="1:16" ht="14.5">
      <c r="A2618" s="3" t="s">
        <v>38</v>
      </c>
      <c r="B2618" s="12" t="s">
        <v>2825</v>
      </c>
      <c r="C2618" s="49" t="s">
        <v>6356</v>
      </c>
      <c r="D2618" s="41" t="str">
        <f ca="1">IFERROR(__xludf.DUMMYFUNCTION("IFERROR(ARRAYFORMULA(REGEXEXTRACT(C2618,""^(?:https?:\/\/)?(?:[^@\n]+@)?(?:www\.)?([^:\/\n]+)"")),"""")"),"interiordesign.net")</f>
        <v>interiordesign.net</v>
      </c>
      <c r="E2618" s="26" t="str">
        <f ca="1">IFERROR(__xludf.DUMMYFUNCTION("""COMPUTED_VALUE"""),"New")</f>
        <v>New</v>
      </c>
      <c r="F2618" s="72">
        <v>80</v>
      </c>
      <c r="G2618" s="72">
        <v>92311</v>
      </c>
      <c r="H2618" s="27" t="s">
        <v>6357</v>
      </c>
      <c r="I2618" s="27" t="s">
        <v>6358</v>
      </c>
      <c r="J2618" s="27" t="s">
        <v>6359</v>
      </c>
      <c r="K2618" s="27" t="s">
        <v>3748</v>
      </c>
      <c r="L2618" s="112"/>
      <c r="M2618" s="27" t="s">
        <v>3117</v>
      </c>
      <c r="N2618" s="48">
        <v>46051</v>
      </c>
      <c r="P2618" s="26"/>
    </row>
    <row r="2619" spans="1:16" ht="14.5">
      <c r="A2619" s="3" t="s">
        <v>38</v>
      </c>
      <c r="B2619" s="12" t="s">
        <v>2825</v>
      </c>
      <c r="C2619" s="49" t="s">
        <v>6360</v>
      </c>
      <c r="D2619" s="41" t="str">
        <f ca="1">IFERROR(__xludf.DUMMYFUNCTION("IFERROR(ARRAYFORMULA(REGEXEXTRACT(C2619,""^(?:https?:\/\/)?(?:[^@\n]+@)?(?:www\.)?([^:\/\n]+)"")),"""")"),"miamirealestate.com")</f>
        <v>miamirealestate.com</v>
      </c>
      <c r="E2619" s="26" t="str">
        <f ca="1">IFERROR(__xludf.DUMMYFUNCTION("""COMPUTED_VALUE"""),"New")</f>
        <v>New</v>
      </c>
      <c r="F2619" s="72">
        <v>28</v>
      </c>
      <c r="G2619" s="72">
        <v>2120</v>
      </c>
      <c r="J2619" s="27" t="s">
        <v>6361</v>
      </c>
      <c r="K2619" s="27" t="s">
        <v>5359</v>
      </c>
      <c r="L2619" s="112"/>
      <c r="M2619" s="27" t="s">
        <v>3117</v>
      </c>
      <c r="N2619" s="48">
        <v>46051</v>
      </c>
      <c r="P2619" s="26"/>
    </row>
    <row r="2620" spans="1:16" ht="14.5">
      <c r="A2620" s="3" t="s">
        <v>38</v>
      </c>
      <c r="B2620" s="57" t="s">
        <v>2826</v>
      </c>
      <c r="C2620" s="49" t="s">
        <v>6362</v>
      </c>
      <c r="D2620" s="41" t="str">
        <f ca="1">IFERROR(__xludf.DUMMYFUNCTION("IFERROR(ARRAYFORMULA(REGEXEXTRACT(C2620,""^(?:https?:\/\/)?(?:[^@\n]+@)?(?:www\.)?([^:\/\n]+)"")),"""")"),"fabuwood.com")</f>
        <v>fabuwood.com</v>
      </c>
      <c r="E2620" s="26" t="str">
        <f ca="1">IFERROR(__xludf.DUMMYFUNCTION("""COMPUTED_VALUE"""),"New")</f>
        <v>New</v>
      </c>
      <c r="F2620" s="72">
        <v>72</v>
      </c>
      <c r="G2620" s="72">
        <v>52690</v>
      </c>
      <c r="H2620" s="27" t="s">
        <v>6363</v>
      </c>
      <c r="I2620" s="27" t="s">
        <v>6364</v>
      </c>
      <c r="J2620" s="27" t="s">
        <v>6365</v>
      </c>
      <c r="K2620" s="27" t="s">
        <v>3748</v>
      </c>
      <c r="L2620" s="112"/>
      <c r="M2620" s="27" t="s">
        <v>3117</v>
      </c>
      <c r="N2620" s="48">
        <v>46051</v>
      </c>
      <c r="P2620" s="26"/>
    </row>
    <row r="2621" spans="1:16" ht="14.5">
      <c r="A2621" s="3" t="s">
        <v>38</v>
      </c>
      <c r="B2621" s="12" t="s">
        <v>2826</v>
      </c>
      <c r="C2621" s="46" t="s">
        <v>6366</v>
      </c>
      <c r="D2621" s="41" t="str">
        <f ca="1">IFERROR(__xludf.DUMMYFUNCTION("IFERROR(ARRAYFORMULA(REGEXEXTRACT(C2621,""^(?:https?:\/\/)?(?:[^@\n]+@)?(?:www\.)?([^:\/\n]+)"")),"""")"),"piktochart.com")</f>
        <v>piktochart.com</v>
      </c>
      <c r="E2621" s="26" t="str">
        <f ca="1">IFERROR(__xludf.DUMMYFUNCTION("""COMPUTED_VALUE"""),"New")</f>
        <v>New</v>
      </c>
      <c r="F2621" s="72">
        <v>83</v>
      </c>
      <c r="G2621" s="72">
        <v>556499</v>
      </c>
      <c r="P2621" s="26"/>
    </row>
    <row r="2622" spans="1:16" ht="14.5">
      <c r="A2622" s="3" t="s">
        <v>38</v>
      </c>
      <c r="B2622" s="12" t="s">
        <v>2826</v>
      </c>
      <c r="C2622" s="46" t="s">
        <v>6367</v>
      </c>
      <c r="D2622" s="41" t="str">
        <f ca="1">IFERROR(__xludf.DUMMYFUNCTION("IFERROR(ARRAYFORMULA(REGEXEXTRACT(C2622,""^(?:https?:\/\/)?(?:[^@\n]+@)?(?:www\.)?([^:\/\n]+)"")),"""")"),"odinlake.com")</f>
        <v>odinlake.com</v>
      </c>
      <c r="E2622" s="26" t="str">
        <f ca="1">IFERROR(__xludf.DUMMYFUNCTION("""COMPUTED_VALUE"""),"New")</f>
        <v>New</v>
      </c>
      <c r="F2622" s="72">
        <v>47</v>
      </c>
      <c r="G2622" s="72">
        <v>2002</v>
      </c>
      <c r="P2622" s="26"/>
    </row>
    <row r="2623" spans="1:16" ht="14.5">
      <c r="A2623" s="3" t="s">
        <v>38</v>
      </c>
      <c r="B2623" s="12" t="s">
        <v>2826</v>
      </c>
      <c r="C2623" s="46" t="s">
        <v>6368</v>
      </c>
      <c r="D2623" s="41" t="str">
        <f ca="1">IFERROR(__xludf.DUMMYFUNCTION("IFERROR(ARRAYFORMULA(REGEXEXTRACT(C2623,""^(?:https?:\/\/)?(?:[^@\n]+@)?(?:www\.)?([^:\/\n]+)"")),"""")"),"twpinc.com")</f>
        <v>twpinc.com</v>
      </c>
      <c r="E2623" s="26" t="str">
        <f ca="1">IFERROR(__xludf.DUMMYFUNCTION("""COMPUTED_VALUE"""),"New")</f>
        <v>New</v>
      </c>
      <c r="F2623" s="72">
        <v>43</v>
      </c>
      <c r="G2623" s="72">
        <v>10025</v>
      </c>
      <c r="P2623" s="26"/>
    </row>
    <row r="2624" spans="1:16" ht="14.5">
      <c r="A2624" s="3" t="s">
        <v>38</v>
      </c>
      <c r="B2624" s="12" t="s">
        <v>2826</v>
      </c>
      <c r="C2624" s="46" t="s">
        <v>6369</v>
      </c>
      <c r="D2624" s="41" t="str">
        <f ca="1">IFERROR(__xludf.DUMMYFUNCTION("IFERROR(ARRAYFORMULA(REGEXEXTRACT(C2624,""^(?:https?:\/\/)?(?:[^@\n]+@)?(?:www\.)?([^:\/\n]+)"")),"""")"),"bromeliads.info")</f>
        <v>bromeliads.info</v>
      </c>
      <c r="E2624" s="26" t="str">
        <f ca="1">IFERROR(__xludf.DUMMYFUNCTION("""COMPUTED_VALUE"""),"New")</f>
        <v>New</v>
      </c>
      <c r="F2624" s="72">
        <v>32</v>
      </c>
      <c r="G2624" s="72">
        <v>2314</v>
      </c>
      <c r="P2624" s="26"/>
    </row>
    <row r="2625" spans="1:16" ht="14.5">
      <c r="A2625" s="3" t="s">
        <v>38</v>
      </c>
      <c r="B2625" s="12" t="s">
        <v>2826</v>
      </c>
      <c r="C2625" s="46" t="s">
        <v>6370</v>
      </c>
      <c r="D2625" s="41" t="str">
        <f ca="1">IFERROR(__xludf.DUMMYFUNCTION("IFERROR(ARRAYFORMULA(REGEXEXTRACT(C2625,""^(?:https?:\/\/)?(?:[^@\n]+@)?(?:www\.)?([^:\/\n]+)"")),"""")"),"jayscotts.com")</f>
        <v>jayscotts.com</v>
      </c>
      <c r="E2625" s="26" t="str">
        <f ca="1">IFERROR(__xludf.DUMMYFUNCTION("""COMPUTED_VALUE"""),"New")</f>
        <v>New</v>
      </c>
      <c r="F2625" s="72">
        <v>33</v>
      </c>
      <c r="G2625" s="72">
        <v>25078</v>
      </c>
      <c r="P2625" s="26"/>
    </row>
    <row r="2626" spans="1:16" ht="14.5">
      <c r="A2626" s="3" t="s">
        <v>38</v>
      </c>
      <c r="B2626" s="12" t="s">
        <v>2826</v>
      </c>
      <c r="C2626" s="46" t="s">
        <v>6371</v>
      </c>
      <c r="D2626" s="41" t="str">
        <f ca="1">IFERROR(__xludf.DUMMYFUNCTION("IFERROR(ARRAYFORMULA(REGEXEXTRACT(C2626,""^(?:https?:\/\/)?(?:[^@\n]+@)?(?:www\.)?([^:\/\n]+)"")),"""")"),"rakuten.com")</f>
        <v>rakuten.com</v>
      </c>
      <c r="E2626" s="26" t="str">
        <f ca="1">IFERROR(__xludf.DUMMYFUNCTION("""COMPUTED_VALUE"""),"New")</f>
        <v>New</v>
      </c>
      <c r="F2626" s="72">
        <v>87</v>
      </c>
      <c r="G2626" s="72">
        <v>2796582</v>
      </c>
      <c r="P2626" s="26"/>
    </row>
    <row r="2627" spans="1:16" ht="14.5">
      <c r="A2627" s="3" t="s">
        <v>38</v>
      </c>
      <c r="B2627" s="12" t="s">
        <v>2826</v>
      </c>
      <c r="C2627" s="46" t="s">
        <v>6372</v>
      </c>
      <c r="D2627" s="41" t="str">
        <f ca="1">IFERROR(__xludf.DUMMYFUNCTION("IFERROR(ARRAYFORMULA(REGEXEXTRACT(C2627,""^(?:https?:\/\/)?(?:[^@\n]+@)?(?:www\.)?([^:\/\n]+)"")),"""")"),"raisingteenstoday.com")</f>
        <v>raisingteenstoday.com</v>
      </c>
      <c r="E2627" s="26" t="str">
        <f ca="1">IFERROR(__xludf.DUMMYFUNCTION("""COMPUTED_VALUE"""),"New")</f>
        <v>New</v>
      </c>
      <c r="F2627" s="72">
        <v>46</v>
      </c>
      <c r="G2627" s="72">
        <v>8366</v>
      </c>
      <c r="P2627" s="26"/>
    </row>
    <row r="2628" spans="1:16" ht="14.5">
      <c r="A2628" s="3" t="s">
        <v>38</v>
      </c>
      <c r="B2628" s="12" t="s">
        <v>2826</v>
      </c>
      <c r="C2628" s="46" t="s">
        <v>6373</v>
      </c>
      <c r="D2628" s="41" t="str">
        <f ca="1">IFERROR(__xludf.DUMMYFUNCTION("IFERROR(ARRAYFORMULA(REGEXEXTRACT(C2628,""^(?:https?:\/\/)?(?:[^@\n]+@)?(?:www\.)?([^:\/\n]+)"")),"""")"),"promocodes.com")</f>
        <v>promocodes.com</v>
      </c>
      <c r="E2628" s="26" t="str">
        <f ca="1">IFERROR(__xludf.DUMMYFUNCTION("""COMPUTED_VALUE"""),"New")</f>
        <v>New</v>
      </c>
      <c r="F2628" s="72">
        <v>38</v>
      </c>
      <c r="G2628" s="72">
        <v>40282</v>
      </c>
      <c r="P2628" s="26"/>
    </row>
    <row r="2629" spans="1:16" ht="14.5">
      <c r="A2629" s="3" t="s">
        <v>38</v>
      </c>
      <c r="B2629" s="12" t="s">
        <v>2826</v>
      </c>
      <c r="C2629" s="46" t="s">
        <v>6374</v>
      </c>
      <c r="D2629" s="41" t="str">
        <f ca="1">IFERROR(__xludf.DUMMYFUNCTION("IFERROR(ARRAYFORMULA(REGEXEXTRACT(C2629,""^(?:https?:\/\/)?(?:[^@\n]+@)?(?:www\.)?([^:\/\n]+)"")),"""")"),"themarthablog.com")</f>
        <v>themarthablog.com</v>
      </c>
      <c r="E2629" s="26" t="str">
        <f ca="1">IFERROR(__xludf.DUMMYFUNCTION("""COMPUTED_VALUE"""),"New")</f>
        <v>New</v>
      </c>
      <c r="F2629" s="72">
        <v>71</v>
      </c>
      <c r="G2629" s="72">
        <v>88986</v>
      </c>
      <c r="P2629" s="26"/>
    </row>
    <row r="2630" spans="1:16" ht="14.5">
      <c r="A2630" s="3" t="s">
        <v>38</v>
      </c>
      <c r="B2630" s="12" t="s">
        <v>2826</v>
      </c>
      <c r="C2630" s="46" t="s">
        <v>6375</v>
      </c>
      <c r="D2630" s="41" t="str">
        <f ca="1">IFERROR(__xludf.DUMMYFUNCTION("IFERROR(ARRAYFORMULA(REGEXEXTRACT(C2630,""^(?:https?:\/\/)?(?:[^@\n]+@)?(?:www\.)?([^:\/\n]+)"")),"""")"),"goodshop.com")</f>
        <v>goodshop.com</v>
      </c>
      <c r="E2630" s="26" t="str">
        <f ca="1">IFERROR(__xludf.DUMMYFUNCTION("""COMPUTED_VALUE"""),"New")</f>
        <v>New</v>
      </c>
      <c r="F2630" s="72">
        <v>71</v>
      </c>
      <c r="G2630" s="72">
        <v>22849</v>
      </c>
      <c r="P2630" s="26"/>
    </row>
    <row r="2631" spans="1:16" ht="14.5">
      <c r="A2631" s="3" t="s">
        <v>38</v>
      </c>
      <c r="B2631" s="12" t="s">
        <v>2826</v>
      </c>
      <c r="C2631" s="46" t="s">
        <v>6376</v>
      </c>
      <c r="D2631" s="41" t="str">
        <f ca="1">IFERROR(__xludf.DUMMYFUNCTION("IFERROR(ARRAYFORMULA(REGEXEXTRACT(C2631,""^(?:https?:\/\/)?(?:[^@\n]+@)?(?:www\.)?([^:\/\n]+)"")),"""")"),"asla.org")</f>
        <v>asla.org</v>
      </c>
      <c r="E2631" s="26" t="str">
        <f ca="1">IFERROR(__xludf.DUMMYFUNCTION("""COMPUTED_VALUE"""),"New")</f>
        <v>New</v>
      </c>
      <c r="F2631" s="72">
        <v>79</v>
      </c>
      <c r="G2631" s="72">
        <v>15047</v>
      </c>
      <c r="P2631" s="26"/>
    </row>
    <row r="2632" spans="1:16" ht="14.5" hidden="1">
      <c r="A2632" s="5"/>
      <c r="B2632" s="12" t="s">
        <v>2826</v>
      </c>
      <c r="C2632" s="46" t="s">
        <v>6377</v>
      </c>
      <c r="D2632" s="41" t="str">
        <f ca="1">IFERROR(__xludf.DUMMYFUNCTION("IFERROR(ARRAYFORMULA(REGEXEXTRACT(C2632,""^(?:https?:\/\/)?(?:[^@\n]+@)?(?:www\.)?([^:\/\n]+)"")),"""")"),"thekitchn.com")</f>
        <v>thekitchn.com</v>
      </c>
      <c r="E2632" s="26" t="str">
        <f ca="1">IFERROR(__xludf.DUMMYFUNCTION("""COMPUTED_VALUE"""),"Already Exists")</f>
        <v>Already Exists</v>
      </c>
      <c r="F2632" s="72">
        <v>86</v>
      </c>
      <c r="G2632" s="72">
        <v>13786203</v>
      </c>
      <c r="P2632" s="26"/>
    </row>
    <row r="2633" spans="1:16" ht="14.5">
      <c r="A2633" s="3" t="s">
        <v>38</v>
      </c>
      <c r="B2633" s="12" t="s">
        <v>2826</v>
      </c>
      <c r="C2633" s="46" t="s">
        <v>6378</v>
      </c>
      <c r="D2633" s="41" t="str">
        <f ca="1">IFERROR(__xludf.DUMMYFUNCTION("IFERROR(ARRAYFORMULA(REGEXEXTRACT(C2633,""^(?:https?:\/\/)?(?:[^@\n]+@)?(?:www\.)?([^:\/\n]+)"")),"""")"),"nintendoworldreport.com")</f>
        <v>nintendoworldreport.com</v>
      </c>
      <c r="E2633" s="26" t="str">
        <f ca="1">IFERROR(__xludf.DUMMYFUNCTION("""COMPUTED_VALUE"""),"New")</f>
        <v>New</v>
      </c>
      <c r="F2633" s="72">
        <v>61</v>
      </c>
      <c r="G2633" s="72">
        <v>97150</v>
      </c>
      <c r="P2633" s="26"/>
    </row>
    <row r="2634" spans="1:16" ht="14.5">
      <c r="A2634" s="3" t="s">
        <v>38</v>
      </c>
      <c r="B2634" s="12" t="s">
        <v>2826</v>
      </c>
      <c r="C2634" s="46" t="s">
        <v>6379</v>
      </c>
      <c r="D2634" s="41" t="str">
        <f ca="1">IFERROR(__xludf.DUMMYFUNCTION("IFERROR(ARRAYFORMULA(REGEXEXTRACT(C2634,""^(?:https?:\/\/)?(?:[^@\n]+@)?(?:www\.)?([^:\/\n]+)"")),"""")"),"pinterest.es")</f>
        <v>pinterest.es</v>
      </c>
      <c r="E2634" s="26" t="str">
        <f ca="1">IFERROR(__xludf.DUMMYFUNCTION("""COMPUTED_VALUE"""),"New")</f>
        <v>New</v>
      </c>
      <c r="F2634" s="72">
        <v>69</v>
      </c>
      <c r="G2634" s="72">
        <v>96613</v>
      </c>
      <c r="P2634" s="26"/>
    </row>
    <row r="2635" spans="1:16" ht="14.5">
      <c r="A2635" s="3" t="s">
        <v>38</v>
      </c>
      <c r="B2635" s="12" t="s">
        <v>2826</v>
      </c>
      <c r="C2635" s="46" t="s">
        <v>6380</v>
      </c>
      <c r="D2635" s="41" t="str">
        <f ca="1">IFERROR(__xludf.DUMMYFUNCTION("IFERROR(ARRAYFORMULA(REGEXEXTRACT(C2635,""^(?:https?:\/\/)?(?:[^@\n]+@)?(?:www\.)?([^:\/\n]+)"")),"""")"),"pinterest.it")</f>
        <v>pinterest.it</v>
      </c>
      <c r="E2635" s="26" t="str">
        <f ca="1">IFERROR(__xludf.DUMMYFUNCTION("""COMPUTED_VALUE"""),"New")</f>
        <v>New</v>
      </c>
      <c r="F2635" s="72">
        <v>71</v>
      </c>
      <c r="G2635" s="72">
        <v>90488</v>
      </c>
      <c r="P2635" s="26"/>
    </row>
    <row r="2636" spans="1:16" ht="14.5">
      <c r="A2636" s="3" t="s">
        <v>38</v>
      </c>
      <c r="B2636" s="12" t="s">
        <v>2826</v>
      </c>
      <c r="C2636" s="46" t="s">
        <v>6381</v>
      </c>
      <c r="D2636" s="41" t="str">
        <f ca="1">IFERROR(__xludf.DUMMYFUNCTION("IFERROR(ARRAYFORMULA(REGEXEXTRACT(C2636,""^(?:https?:\/\/)?(?:[^@\n]+@)?(?:www\.)?([^:\/\n]+)"")),"""")"),"forums.loaches.com")</f>
        <v>forums.loaches.com</v>
      </c>
      <c r="E2636" s="26" t="str">
        <f ca="1">IFERROR(__xludf.DUMMYFUNCTION("""COMPUTED_VALUE"""),"New")</f>
        <v>New</v>
      </c>
      <c r="F2636" s="72">
        <v>41</v>
      </c>
      <c r="G2636" s="72">
        <v>2869</v>
      </c>
      <c r="P2636" s="26"/>
    </row>
    <row r="2637" spans="1:16" ht="14.5">
      <c r="A2637" s="3" t="s">
        <v>38</v>
      </c>
      <c r="B2637" s="12" t="s">
        <v>2826</v>
      </c>
      <c r="C2637" s="46" t="s">
        <v>6382</v>
      </c>
      <c r="D2637" s="41" t="str">
        <f ca="1">IFERROR(__xludf.DUMMYFUNCTION("IFERROR(ARRAYFORMULA(REGEXEXTRACT(C2637,""^(?:https?:\/\/)?(?:[^@\n]+@)?(?:www\.)?([^:\/\n]+)"")),"""")"),"therealladywaver.fortunecity.ws")</f>
        <v>therealladywaver.fortunecity.ws</v>
      </c>
      <c r="E2637" s="26" t="str">
        <f ca="1">IFERROR(__xludf.DUMMYFUNCTION("""COMPUTED_VALUE"""),"New")</f>
        <v>New</v>
      </c>
      <c r="F2637" s="72">
        <v>42</v>
      </c>
      <c r="G2637" s="72">
        <v>1852</v>
      </c>
      <c r="P2637" s="26"/>
    </row>
    <row r="2638" spans="1:16" ht="14.5">
      <c r="A2638" s="3" t="s">
        <v>38</v>
      </c>
      <c r="B2638" s="12" t="s">
        <v>2826</v>
      </c>
      <c r="C2638" s="46" t="s">
        <v>6383</v>
      </c>
      <c r="D2638" s="41" t="str">
        <f ca="1">IFERROR(__xludf.DUMMYFUNCTION("IFERROR(ARRAYFORMULA(REGEXEXTRACT(C2638,""^(?:https?:\/\/)?(?:[^@\n]+@)?(?:www\.)?([^:\/\n]+)"")),"""")"),"dealdrop.com")</f>
        <v>dealdrop.com</v>
      </c>
      <c r="E2638" s="26" t="str">
        <f ca="1">IFERROR(__xludf.DUMMYFUNCTION("""COMPUTED_VALUE"""),"New")</f>
        <v>New</v>
      </c>
      <c r="F2638" s="72">
        <v>60</v>
      </c>
      <c r="G2638" s="72">
        <v>16753</v>
      </c>
      <c r="P2638" s="26"/>
    </row>
    <row r="2639" spans="1:16" ht="14.5">
      <c r="A2639" s="3" t="s">
        <v>38</v>
      </c>
      <c r="B2639" s="12" t="s">
        <v>2826</v>
      </c>
      <c r="C2639" s="46" t="s">
        <v>6384</v>
      </c>
      <c r="D2639" s="41" t="str">
        <f ca="1">IFERROR(__xludf.DUMMYFUNCTION("IFERROR(ARRAYFORMULA(REGEXEXTRACT(C2639,""^(?:https?:\/\/)?(?:[^@\n]+@)?(?:www\.)?([^:\/\n]+)"")),"""")"),"alan-allison-88.firebaseapp.com")</f>
        <v>alan-allison-88.firebaseapp.com</v>
      </c>
      <c r="E2639" s="26" t="str">
        <f ca="1">IFERROR(__xludf.DUMMYFUNCTION("""COMPUTED_VALUE"""),"New")</f>
        <v>New</v>
      </c>
      <c r="F2639" s="72">
        <v>87</v>
      </c>
      <c r="G2639" s="72">
        <v>54098</v>
      </c>
      <c r="P2639" s="26"/>
    </row>
    <row r="2640" spans="1:16" ht="14.5">
      <c r="A2640" s="3" t="s">
        <v>38</v>
      </c>
      <c r="B2640" s="12" t="s">
        <v>2826</v>
      </c>
      <c r="C2640" s="46" t="s">
        <v>6385</v>
      </c>
      <c r="D2640" s="41" t="str">
        <f ca="1">IFERROR(__xludf.DUMMYFUNCTION("IFERROR(ARRAYFORMULA(REGEXEXTRACT(C2640,""^(?:https?:\/\/)?(?:[^@\n]+@)?(?:www\.)?([^:\/\n]+)"")),"""")"),"glam.com")</f>
        <v>glam.com</v>
      </c>
      <c r="E2640" s="26" t="str">
        <f ca="1">IFERROR(__xludf.DUMMYFUNCTION("""COMPUTED_VALUE"""),"New")</f>
        <v>New</v>
      </c>
      <c r="F2640" s="72">
        <v>72</v>
      </c>
      <c r="G2640" s="72">
        <v>108016</v>
      </c>
      <c r="P2640" s="26"/>
    </row>
    <row r="2641" spans="1:16" ht="14.5">
      <c r="A2641" s="3" t="s">
        <v>38</v>
      </c>
      <c r="B2641" s="12" t="s">
        <v>2826</v>
      </c>
      <c r="C2641" s="46" t="s">
        <v>6386</v>
      </c>
      <c r="D2641" s="41" t="str">
        <f ca="1">IFERROR(__xludf.DUMMYFUNCTION("IFERROR(ARRAYFORMULA(REGEXEXTRACT(C2641,""^(?:https?:\/\/)?(?:[^@\n]+@)?(?:www\.)?([^:\/\n]+)"")),"""")"),"coupons.nowtolove.com.au")</f>
        <v>coupons.nowtolove.com.au</v>
      </c>
      <c r="E2641" s="26" t="str">
        <f ca="1">IFERROR(__xludf.DUMMYFUNCTION("""COMPUTED_VALUE"""),"New")</f>
        <v>New</v>
      </c>
      <c r="F2641" s="72">
        <v>72</v>
      </c>
      <c r="G2641" s="72">
        <v>255673</v>
      </c>
      <c r="P2641" s="26"/>
    </row>
    <row r="2642" spans="1:16" ht="14.5">
      <c r="A2642" s="3" t="s">
        <v>38</v>
      </c>
      <c r="B2642" s="12" t="s">
        <v>2826</v>
      </c>
      <c r="C2642" s="46" t="s">
        <v>6387</v>
      </c>
      <c r="D2642" s="41" t="str">
        <f ca="1">IFERROR(__xludf.DUMMYFUNCTION("IFERROR(ARRAYFORMULA(REGEXEXTRACT(C2642,""^(?:https?:\/\/)?(?:[^@\n]+@)?(?:www\.)?([^:\/\n]+)"")),"""")"),"arillas.com")</f>
        <v>arillas.com</v>
      </c>
      <c r="E2642" s="26" t="str">
        <f ca="1">IFERROR(__xludf.DUMMYFUNCTION("""COMPUTED_VALUE"""),"New")</f>
        <v>New</v>
      </c>
      <c r="F2642" s="72">
        <v>34</v>
      </c>
      <c r="G2642" s="72">
        <v>1009</v>
      </c>
      <c r="P2642" s="26"/>
    </row>
    <row r="2643" spans="1:16" ht="14.5">
      <c r="A2643" s="3" t="s">
        <v>38</v>
      </c>
      <c r="B2643" s="12" t="s">
        <v>2826</v>
      </c>
      <c r="C2643" s="46" t="s">
        <v>6388</v>
      </c>
      <c r="D2643" s="41" t="str">
        <f ca="1">IFERROR(__xludf.DUMMYFUNCTION("IFERROR(ARRAYFORMULA(REGEXEXTRACT(C2643,""^(?:https?:\/\/)?(?:[^@\n]+@)?(?:www\.)?([^:\/\n]+)"")),"""")"),"flexoffers.com")</f>
        <v>flexoffers.com</v>
      </c>
      <c r="E2643" s="26" t="str">
        <f ca="1">IFERROR(__xludf.DUMMYFUNCTION("""COMPUTED_VALUE"""),"New")</f>
        <v>New</v>
      </c>
      <c r="F2643" s="72">
        <v>73</v>
      </c>
      <c r="G2643" s="72">
        <v>20527</v>
      </c>
      <c r="P2643" s="26"/>
    </row>
    <row r="2644" spans="1:16" ht="14.5">
      <c r="A2644" s="3" t="s">
        <v>38</v>
      </c>
      <c r="B2644" s="12" t="s">
        <v>2826</v>
      </c>
      <c r="C2644" s="46" t="s">
        <v>6389</v>
      </c>
      <c r="D2644" s="41" t="str">
        <f ca="1">IFERROR(__xludf.DUMMYFUNCTION("IFERROR(ARRAYFORMULA(REGEXEXTRACT(C2644,""^(?:https?:\/\/)?(?:[^@\n]+@)?(?:www\.)?([^:\/\n]+)"")),"""")"),"fbsp.ftu.edu.vn")</f>
        <v>fbsp.ftu.edu.vn</v>
      </c>
      <c r="E2644" s="26" t="str">
        <f ca="1">IFERROR(__xludf.DUMMYFUNCTION("""COMPUTED_VALUE"""),"New")</f>
        <v>New</v>
      </c>
      <c r="F2644" s="72">
        <v>66</v>
      </c>
      <c r="G2644" s="72">
        <v>60326</v>
      </c>
      <c r="P2644" s="26"/>
    </row>
    <row r="2645" spans="1:16" ht="14.5">
      <c r="A2645" s="3" t="s">
        <v>38</v>
      </c>
      <c r="B2645" s="12" t="s">
        <v>2826</v>
      </c>
      <c r="C2645" s="46" t="s">
        <v>6390</v>
      </c>
      <c r="D2645" s="41" t="str">
        <f ca="1">IFERROR(__xludf.DUMMYFUNCTION("IFERROR(ARRAYFORMULA(REGEXEXTRACT(C2645,""^(?:https?:\/\/)?(?:[^@\n]+@)?(?:www\.)?([^:\/\n]+)"")),"""")"),"shoppirate.com")</f>
        <v>shoppirate.com</v>
      </c>
      <c r="E2645" s="26" t="str">
        <f ca="1">IFERROR(__xludf.DUMMYFUNCTION("""COMPUTED_VALUE"""),"New")</f>
        <v>New</v>
      </c>
      <c r="F2645" s="72">
        <v>32</v>
      </c>
      <c r="G2645" s="72">
        <v>1273</v>
      </c>
      <c r="P2645" s="26"/>
    </row>
    <row r="2646" spans="1:16" ht="14.5">
      <c r="A2646" s="3" t="s">
        <v>38</v>
      </c>
      <c r="B2646" s="12" t="s">
        <v>2826</v>
      </c>
      <c r="C2646" s="46" t="s">
        <v>6391</v>
      </c>
      <c r="D2646" s="41" t="str">
        <f ca="1">IFERROR(__xludf.DUMMYFUNCTION("IFERROR(ARRAYFORMULA(REGEXEXTRACT(C2646,""^(?:https?:\/\/)?(?:[^@\n]+@)?(?:www\.)?([^:\/\n]+)"")),"""")"),"plantersetcetera.com")</f>
        <v>plantersetcetera.com</v>
      </c>
      <c r="E2646" s="26" t="str">
        <f ca="1">IFERROR(__xludf.DUMMYFUNCTION("""COMPUTED_VALUE"""),"New")</f>
        <v>New</v>
      </c>
      <c r="F2646" s="72">
        <v>21</v>
      </c>
      <c r="G2646" s="72">
        <v>5226</v>
      </c>
      <c r="P2646" s="26"/>
    </row>
    <row r="2647" spans="1:16" ht="14.5">
      <c r="A2647" s="3" t="s">
        <v>38</v>
      </c>
      <c r="B2647" s="12" t="s">
        <v>2826</v>
      </c>
      <c r="C2647" s="46" t="s">
        <v>6392</v>
      </c>
      <c r="D2647" s="41" t="str">
        <f ca="1">IFERROR(__xludf.DUMMYFUNCTION("IFERROR(ARRAYFORMULA(REGEXEXTRACT(C2647,""^(?:https?:\/\/)?(?:[^@\n]+@)?(?:www\.)?([^:\/\n]+)"")),"""")"),"olsonhomes.com")</f>
        <v>olsonhomes.com</v>
      </c>
      <c r="E2647" s="26" t="str">
        <f ca="1">IFERROR(__xludf.DUMMYFUNCTION("""COMPUTED_VALUE"""),"New")</f>
        <v>New</v>
      </c>
      <c r="F2647" s="72">
        <v>37</v>
      </c>
      <c r="G2647" s="72">
        <v>1237</v>
      </c>
      <c r="P2647" s="26"/>
    </row>
    <row r="2648" spans="1:16" ht="14.5">
      <c r="A2648" s="3" t="s">
        <v>38</v>
      </c>
      <c r="B2648" s="57" t="s">
        <v>2827</v>
      </c>
      <c r="C2648" s="46" t="s">
        <v>6393</v>
      </c>
      <c r="D2648" s="41" t="str">
        <f ca="1">IFERROR(__xludf.DUMMYFUNCTION("IFERROR(ARRAYFORMULA(REGEXEXTRACT(C2648,""^(?:https?:\/\/)?(?:[^@\n]+@)?(?:www\.)?([^:\/\n]+)"")),"""")"),"cityof.com")</f>
        <v>cityof.com</v>
      </c>
      <c r="E2648" s="26" t="str">
        <f ca="1">IFERROR(__xludf.DUMMYFUNCTION("""COMPUTED_VALUE"""),"New")</f>
        <v>New</v>
      </c>
      <c r="F2648" s="72">
        <v>69</v>
      </c>
      <c r="G2648" s="72">
        <v>2588</v>
      </c>
      <c r="P2648" s="26"/>
    </row>
    <row r="2649" spans="1:16" ht="14.5">
      <c r="A2649" s="3" t="s">
        <v>38</v>
      </c>
      <c r="B2649" s="12" t="s">
        <v>2827</v>
      </c>
      <c r="C2649" s="46" t="s">
        <v>6394</v>
      </c>
      <c r="D2649" s="41" t="str">
        <f ca="1">IFERROR(__xludf.DUMMYFUNCTION("IFERROR(ARRAYFORMULA(REGEXEXTRACT(C2649,""^(?:https?:\/\/)?(?:[^@\n]+@)?(?:www\.)?([^:\/\n]+)"")),"""")"),"kingfish.firebaseapp.com")</f>
        <v>kingfish.firebaseapp.com</v>
      </c>
      <c r="E2649" s="26" t="str">
        <f ca="1">IFERROR(__xludf.DUMMYFUNCTION("""COMPUTED_VALUE"""),"New")</f>
        <v>New</v>
      </c>
      <c r="F2649" s="72">
        <v>87</v>
      </c>
      <c r="G2649" s="72">
        <v>54098</v>
      </c>
      <c r="P2649" s="26"/>
    </row>
    <row r="2650" spans="1:16" ht="14.5">
      <c r="A2650" s="3" t="s">
        <v>38</v>
      </c>
      <c r="B2650" s="17" t="s">
        <v>2828</v>
      </c>
      <c r="C2650" s="46" t="s">
        <v>6395</v>
      </c>
      <c r="D2650" s="41" t="str">
        <f ca="1">IFERROR(__xludf.DUMMYFUNCTION("IFERROR(ARRAYFORMULA(REGEXEXTRACT(C2650,""^(?:https?:\/\/)?(?:[^@\n]+@)?(?:www\.)?([^:\/\n]+)"")),"""")"),"greenbrickpartners.com")</f>
        <v>greenbrickpartners.com</v>
      </c>
      <c r="E2650" s="26" t="str">
        <f ca="1">IFERROR(__xludf.DUMMYFUNCTION("""COMPUTED_VALUE"""),"New")</f>
        <v>New</v>
      </c>
      <c r="F2650" s="72">
        <v>35</v>
      </c>
      <c r="G2650" s="72">
        <v>1190</v>
      </c>
      <c r="P2650" s="26"/>
    </row>
    <row r="2651" spans="1:16" ht="14.5">
      <c r="A2651" s="3" t="s">
        <v>38</v>
      </c>
      <c r="B2651" s="12" t="s">
        <v>2828</v>
      </c>
      <c r="C2651" s="46" t="s">
        <v>6396</v>
      </c>
      <c r="D2651" s="41" t="str">
        <f ca="1">IFERROR(__xludf.DUMMYFUNCTION("IFERROR(ARRAYFORMULA(REGEXEXTRACT(C2651,""^(?:https?:\/\/)?(?:[^@\n]+@)?(?:www\.)?([^:\/\n]+)"")),"""")"),"stjude.org")</f>
        <v>stjude.org</v>
      </c>
      <c r="E2651" s="26" t="str">
        <f ca="1">IFERROR(__xludf.DUMMYFUNCTION("""COMPUTED_VALUE"""),"New")</f>
        <v>New</v>
      </c>
      <c r="F2651" s="72">
        <v>87</v>
      </c>
      <c r="G2651" s="72">
        <v>897915</v>
      </c>
      <c r="P2651" s="26"/>
    </row>
    <row r="2652" spans="1:16" ht="14.5">
      <c r="A2652" s="3" t="s">
        <v>38</v>
      </c>
      <c r="B2652" s="12" t="s">
        <v>2828</v>
      </c>
      <c r="C2652" s="49" t="s">
        <v>6397</v>
      </c>
      <c r="D2652" s="41" t="str">
        <f ca="1">IFERROR(__xludf.DUMMYFUNCTION("IFERROR(ARRAYFORMULA(REGEXEXTRACT(C2652,""^(?:https?:\/\/)?(?:[^@\n]+@)?(?:www\.)?([^:\/\n]+)"")),"""")"),"dreamhomestudio.com")</f>
        <v>dreamhomestudio.com</v>
      </c>
      <c r="E2652" s="26" t="str">
        <f ca="1">IFERROR(__xludf.DUMMYFUNCTION("""COMPUTED_VALUE"""),"New")</f>
        <v>New</v>
      </c>
      <c r="F2652" s="72">
        <v>23</v>
      </c>
      <c r="G2652" s="72">
        <v>1883</v>
      </c>
      <c r="H2652" s="27" t="s">
        <v>4646</v>
      </c>
      <c r="I2652" s="27" t="s">
        <v>6398</v>
      </c>
      <c r="J2652" s="27" t="s">
        <v>6399</v>
      </c>
      <c r="K2652" s="27" t="s">
        <v>5359</v>
      </c>
      <c r="L2652" s="112"/>
      <c r="M2652" s="27" t="s">
        <v>3715</v>
      </c>
      <c r="N2652" s="48">
        <v>46051</v>
      </c>
      <c r="P2652" s="26"/>
    </row>
    <row r="2653" spans="1:16" ht="14.5">
      <c r="A2653" s="3" t="s">
        <v>38</v>
      </c>
      <c r="B2653" s="12" t="s">
        <v>2828</v>
      </c>
      <c r="C2653" s="46" t="s">
        <v>6400</v>
      </c>
      <c r="D2653" s="41" t="str">
        <f ca="1">IFERROR(__xludf.DUMMYFUNCTION("IFERROR(ARRAYFORMULA(REGEXEXTRACT(C2653,""^(?:https?:\/\/)?(?:[^@\n]+@)?(?:www\.)?([^:\/\n]+)"")),"""")"),"eventeny.com")</f>
        <v>eventeny.com</v>
      </c>
      <c r="E2653" s="26" t="str">
        <f ca="1">IFERROR(__xludf.DUMMYFUNCTION("""COMPUTED_VALUE"""),"New")</f>
        <v>New</v>
      </c>
      <c r="F2653" s="72">
        <v>78</v>
      </c>
      <c r="G2653" s="72">
        <v>22469</v>
      </c>
      <c r="P2653" s="26"/>
    </row>
    <row r="2654" spans="1:16" ht="14.5">
      <c r="A2654" s="3" t="s">
        <v>38</v>
      </c>
      <c r="B2654" s="12" t="s">
        <v>2828</v>
      </c>
      <c r="C2654" s="46" t="s">
        <v>6401</v>
      </c>
      <c r="D2654" s="41" t="str">
        <f ca="1">IFERROR(__xludf.DUMMYFUNCTION("IFERROR(ARRAYFORMULA(REGEXEXTRACT(C2654,""^(?:https?:\/\/)?(?:[^@\n]+@)?(?:www\.)?([^:\/\n]+)"")),"""")"),"century21.com")</f>
        <v>century21.com</v>
      </c>
      <c r="E2654" s="26" t="str">
        <f ca="1">IFERROR(__xludf.DUMMYFUNCTION("""COMPUTED_VALUE"""),"New")</f>
        <v>New</v>
      </c>
      <c r="F2654" s="72">
        <v>77</v>
      </c>
      <c r="G2654" s="72">
        <v>825833</v>
      </c>
      <c r="P2654" s="26"/>
    </row>
    <row r="2655" spans="1:16" ht="14.5">
      <c r="A2655" s="3" t="s">
        <v>38</v>
      </c>
      <c r="B2655" s="12" t="s">
        <v>2828</v>
      </c>
      <c r="C2655" s="46" t="s">
        <v>6402</v>
      </c>
      <c r="D2655" s="41" t="str">
        <f ca="1">IFERROR(__xludf.DUMMYFUNCTION("IFERROR(ARRAYFORMULA(REGEXEXTRACT(C2655,""^(?:https?:\/\/)?(?:[^@\n]+@)?(?:www\.)?([^:\/\n]+)"")),"""")"),"jameshardie.com")</f>
        <v>jameshardie.com</v>
      </c>
      <c r="E2655" s="26" t="str">
        <f ca="1">IFERROR(__xludf.DUMMYFUNCTION("""COMPUTED_VALUE"""),"New")</f>
        <v>New</v>
      </c>
      <c r="F2655" s="72">
        <v>79</v>
      </c>
      <c r="G2655" s="72">
        <v>176316</v>
      </c>
      <c r="P2655" s="26"/>
    </row>
    <row r="2656" spans="1:16" ht="14.5">
      <c r="A2656" s="3" t="s">
        <v>38</v>
      </c>
      <c r="B2656" s="12" t="s">
        <v>2828</v>
      </c>
      <c r="C2656" s="46" t="s">
        <v>6403</v>
      </c>
      <c r="D2656" s="41" t="str">
        <f ca="1">IFERROR(__xludf.DUMMYFUNCTION("IFERROR(ARRAYFORMULA(REGEXEXTRACT(C2656,""^(?:https?:\/\/)?(?:[^@\n]+@)?(?:www\.)?([^:\/\n]+)"")),"""")"),"constructionresourcesusa.com")</f>
        <v>constructionresourcesusa.com</v>
      </c>
      <c r="E2656" s="26" t="str">
        <f ca="1">IFERROR(__xludf.DUMMYFUNCTION("""COMPUTED_VALUE"""),"New")</f>
        <v>New</v>
      </c>
      <c r="F2656" s="72">
        <v>40</v>
      </c>
      <c r="G2656" s="72">
        <v>2746</v>
      </c>
      <c r="P2656" s="26"/>
    </row>
    <row r="2657" spans="1:16" ht="14.5">
      <c r="A2657" s="3" t="s">
        <v>38</v>
      </c>
      <c r="B2657" s="12" t="s">
        <v>2828</v>
      </c>
      <c r="C2657" s="46" t="s">
        <v>6404</v>
      </c>
      <c r="D2657" s="41" t="str">
        <f ca="1">IFERROR(__xludf.DUMMYFUNCTION("IFERROR(ARRAYFORMULA(REGEXEXTRACT(C2657,""^(?:https?:\/\/)?(?:[^@\n]+@)?(?:www\.)?([^:\/\n]+)"")),"""")"),"ecisolutions.com")</f>
        <v>ecisolutions.com</v>
      </c>
      <c r="E2657" s="26" t="str">
        <f ca="1">IFERROR(__xludf.DUMMYFUNCTION("""COMPUTED_VALUE"""),"New")</f>
        <v>New</v>
      </c>
      <c r="F2657" s="72">
        <v>77</v>
      </c>
      <c r="G2657" s="72">
        <v>44563</v>
      </c>
      <c r="P2657" s="26"/>
    </row>
    <row r="2658" spans="1:16" ht="14.5">
      <c r="A2658" s="3" t="s">
        <v>38</v>
      </c>
      <c r="B2658" s="12" t="s">
        <v>2828</v>
      </c>
      <c r="C2658" s="46" t="s">
        <v>6405</v>
      </c>
      <c r="D2658" s="41" t="str">
        <f ca="1">IFERROR(__xludf.DUMMYFUNCTION("IFERROR(ARRAYFORMULA(REGEXEXTRACT(C2658,""^(?:https?:\/\/)?(?:[^@\n]+@)?(?:www\.)?([^:\/\n]+)"")),"""")"),"scalelist.com")</f>
        <v>scalelist.com</v>
      </c>
      <c r="E2658" s="26" t="str">
        <f ca="1">IFERROR(__xludf.DUMMYFUNCTION("""COMPUTED_VALUE"""),"New")</f>
        <v>New</v>
      </c>
      <c r="F2658" s="72">
        <v>33</v>
      </c>
      <c r="G2658" s="72">
        <v>3985</v>
      </c>
      <c r="P2658" s="26"/>
    </row>
    <row r="2659" spans="1:16" ht="14.5">
      <c r="A2659" s="3" t="s">
        <v>38</v>
      </c>
      <c r="B2659" s="12" t="s">
        <v>2828</v>
      </c>
      <c r="C2659" s="46" t="s">
        <v>6406</v>
      </c>
      <c r="D2659" s="41" t="str">
        <f ca="1">IFERROR(__xludf.DUMMYFUNCTION("IFERROR(ARRAYFORMULA(REGEXEXTRACT(C2659,""^(?:https?:\/\/)?(?:[^@\n]+@)?(?:www\.)?([^:\/\n]+)"")),"""")"),"ninjacart.com")</f>
        <v>ninjacart.com</v>
      </c>
      <c r="E2659" s="26" t="str">
        <f ca="1">IFERROR(__xludf.DUMMYFUNCTION("""COMPUTED_VALUE"""),"New")</f>
        <v>New</v>
      </c>
      <c r="F2659" s="72">
        <v>39</v>
      </c>
      <c r="G2659" s="72">
        <v>10710</v>
      </c>
      <c r="P2659" s="26"/>
    </row>
    <row r="2660" spans="1:16" ht="14.5">
      <c r="A2660" s="3" t="s">
        <v>38</v>
      </c>
      <c r="B2660" s="12" t="s">
        <v>2828</v>
      </c>
      <c r="C2660" s="49" t="s">
        <v>6407</v>
      </c>
      <c r="D2660" s="41" t="str">
        <f ca="1">IFERROR(__xludf.DUMMYFUNCTION("IFERROR(ARRAYFORMULA(REGEXEXTRACT(C2660,""^(?:https?:\/\/)?(?:[^@\n]+@)?(?:www\.)?([^:\/\n]+)"")),"""")"),"atlantadailyworld.com")</f>
        <v>atlantadailyworld.com</v>
      </c>
      <c r="E2660" s="26" t="str">
        <f ca="1">IFERROR(__xludf.DUMMYFUNCTION("""COMPUTED_VALUE"""),"New")</f>
        <v>New</v>
      </c>
      <c r="F2660" s="72">
        <v>63</v>
      </c>
      <c r="G2660" s="72">
        <v>4274</v>
      </c>
      <c r="J2660" s="27" t="s">
        <v>6408</v>
      </c>
      <c r="K2660" s="27" t="s">
        <v>3772</v>
      </c>
      <c r="L2660" s="112"/>
      <c r="M2660" s="27" t="s">
        <v>3715</v>
      </c>
      <c r="N2660" s="48">
        <v>46051</v>
      </c>
      <c r="P2660" s="26"/>
    </row>
    <row r="2661" spans="1:16" ht="14.5">
      <c r="A2661" s="3" t="s">
        <v>38</v>
      </c>
      <c r="B2661" s="12" t="s">
        <v>2828</v>
      </c>
      <c r="C2661" s="49" t="s">
        <v>6409</v>
      </c>
      <c r="D2661" s="41" t="str">
        <f ca="1">IFERROR(__xludf.DUMMYFUNCTION("IFERROR(ARRAYFORMULA(REGEXEXTRACT(C2661,""^(?:https?:\/\/)?(?:[^@\n]+@)?(?:www\.)?([^:\/\n]+)"")),"""")"),"themountainlifeteam.com")</f>
        <v>themountainlifeteam.com</v>
      </c>
      <c r="E2661" s="26" t="str">
        <f ca="1">IFERROR(__xludf.DUMMYFUNCTION("""COMPUTED_VALUE"""),"New")</f>
        <v>New</v>
      </c>
      <c r="F2661" s="72">
        <v>21</v>
      </c>
      <c r="G2661" s="72">
        <v>3808</v>
      </c>
      <c r="H2661" s="27" t="s">
        <v>6410</v>
      </c>
      <c r="I2661" s="27" t="s">
        <v>6411</v>
      </c>
      <c r="J2661" s="27" t="s">
        <v>6412</v>
      </c>
      <c r="K2661" s="27" t="s">
        <v>5359</v>
      </c>
      <c r="L2661" s="112"/>
      <c r="M2661" s="27" t="s">
        <v>3715</v>
      </c>
      <c r="N2661" s="48">
        <v>46051</v>
      </c>
      <c r="O2661" s="48">
        <v>46071</v>
      </c>
      <c r="P2661" s="26"/>
    </row>
    <row r="2662" spans="1:16" ht="14.5">
      <c r="A2662" s="3" t="s">
        <v>38</v>
      </c>
      <c r="B2662" s="12" t="s">
        <v>2828</v>
      </c>
      <c r="C2662" s="46" t="s">
        <v>6413</v>
      </c>
      <c r="D2662" s="41" t="str">
        <f ca="1">IFERROR(__xludf.DUMMYFUNCTION("IFERROR(ARRAYFORMULA(REGEXEXTRACT(C2662,""^(?:https?:\/\/)?(?:[^@\n]+@)?(?:www\.)?([^:\/\n]+)"")),"""")"),"tonetoatl.com")</f>
        <v>tonetoatl.com</v>
      </c>
      <c r="E2662" s="26" t="str">
        <f ca="1">IFERROR(__xludf.DUMMYFUNCTION("""COMPUTED_VALUE"""),"New")</f>
        <v>New</v>
      </c>
      <c r="F2662" s="72">
        <v>32</v>
      </c>
      <c r="G2662" s="72">
        <v>5170</v>
      </c>
      <c r="P2662" s="26"/>
    </row>
    <row r="2663" spans="1:16" ht="14.5">
      <c r="A2663" s="3" t="s">
        <v>38</v>
      </c>
      <c r="B2663" s="12" t="s">
        <v>2828</v>
      </c>
      <c r="C2663" s="49" t="s">
        <v>6414</v>
      </c>
      <c r="D2663" s="41" t="str">
        <f ca="1">IFERROR(__xludf.DUMMYFUNCTION("IFERROR(ARRAYFORMULA(REGEXEXTRACT(C2663,""^(?:https?:\/\/)?(?:[^@\n]+@)?(?:www\.)?([^:\/\n]+)"")),"""")"),"karencannon.com")</f>
        <v>karencannon.com</v>
      </c>
      <c r="E2663" s="26" t="str">
        <f ca="1">IFERROR(__xludf.DUMMYFUNCTION("""COMPUTED_VALUE"""),"New")</f>
        <v>New</v>
      </c>
      <c r="F2663" s="72">
        <v>27</v>
      </c>
      <c r="G2663" s="72">
        <v>1712</v>
      </c>
      <c r="H2663" s="27" t="s">
        <v>6415</v>
      </c>
      <c r="I2663" s="27" t="s">
        <v>6416</v>
      </c>
      <c r="J2663" s="27" t="s">
        <v>6417</v>
      </c>
      <c r="K2663" s="27" t="s">
        <v>5359</v>
      </c>
      <c r="L2663" s="112"/>
      <c r="M2663" s="27" t="s">
        <v>3715</v>
      </c>
      <c r="N2663" s="48">
        <v>46051</v>
      </c>
      <c r="O2663" s="48">
        <v>46071</v>
      </c>
      <c r="P2663" s="26"/>
    </row>
    <row r="2664" spans="1:16" ht="14.5">
      <c r="A2664" s="3" t="s">
        <v>38</v>
      </c>
      <c r="B2664" s="57" t="s">
        <v>2829</v>
      </c>
      <c r="C2664" s="49" t="s">
        <v>6418</v>
      </c>
      <c r="D2664" s="41" t="str">
        <f ca="1">IFERROR(__xludf.DUMMYFUNCTION("IFERROR(ARRAYFORMULA(REGEXEXTRACT(C2664,""^(?:https?:\/\/)?(?:[^@\n]+@)?(?:www\.)?([^:\/\n]+)"")),"""")"),"lakewoodranch.com")</f>
        <v>lakewoodranch.com</v>
      </c>
      <c r="E2664" s="26" t="str">
        <f ca="1">IFERROR(__xludf.DUMMYFUNCTION("""COMPUTED_VALUE"""),"New")</f>
        <v>New</v>
      </c>
      <c r="F2664" s="72">
        <v>58</v>
      </c>
      <c r="G2664" s="72">
        <v>21157</v>
      </c>
      <c r="J2664" s="27" t="s">
        <v>6419</v>
      </c>
      <c r="K2664" s="27" t="s">
        <v>5359</v>
      </c>
      <c r="L2664" s="112"/>
      <c r="M2664" s="27" t="s">
        <v>3715</v>
      </c>
      <c r="N2664" s="48">
        <v>46051</v>
      </c>
      <c r="O2664" s="48">
        <v>46071</v>
      </c>
      <c r="P2664" s="26"/>
    </row>
    <row r="2665" spans="1:16" ht="14.5">
      <c r="A2665" s="3" t="s">
        <v>38</v>
      </c>
      <c r="B2665" s="12" t="s">
        <v>2829</v>
      </c>
      <c r="C2665" s="46" t="s">
        <v>6420</v>
      </c>
      <c r="D2665" s="41" t="str">
        <f ca="1">IFERROR(__xludf.DUMMYFUNCTION("IFERROR(ARRAYFORMULA(REGEXEXTRACT(C2665,""^(?:https?:\/\/)?(?:[^@\n]+@)?(?:www\.)?([^:\/\n]+)"")),"""")"),"travisso.com")</f>
        <v>travisso.com</v>
      </c>
      <c r="E2665" s="26" t="str">
        <f ca="1">IFERROR(__xludf.DUMMYFUNCTION("""COMPUTED_VALUE"""),"New")</f>
        <v>New</v>
      </c>
      <c r="F2665" s="72">
        <v>24</v>
      </c>
      <c r="G2665" s="72">
        <v>1510</v>
      </c>
      <c r="P2665" s="26"/>
    </row>
    <row r="2666" spans="1:16" ht="14.5">
      <c r="A2666" s="3" t="s">
        <v>38</v>
      </c>
      <c r="B2666" s="12" t="s">
        <v>2829</v>
      </c>
      <c r="C2666" s="46" t="s">
        <v>6421</v>
      </c>
      <c r="D2666" s="41" t="str">
        <f ca="1">IFERROR(__xludf.DUMMYFUNCTION("IFERROR(ARRAYFORMULA(REGEXEXTRACT(C2666,""^(?:https?:\/\/)?(?:[^@\n]+@)?(?:www\.)?([^:\/\n]+)"")),"""")"),"indywithkids.com")</f>
        <v>indywithkids.com</v>
      </c>
      <c r="E2666" s="26" t="str">
        <f ca="1">IFERROR(__xludf.DUMMYFUNCTION("""COMPUTED_VALUE"""),"New")</f>
        <v>New</v>
      </c>
      <c r="F2666" s="72">
        <v>50</v>
      </c>
      <c r="G2666" s="72">
        <v>20800</v>
      </c>
      <c r="P2666" s="26"/>
    </row>
    <row r="2667" spans="1:16" ht="14.5">
      <c r="A2667" s="3" t="s">
        <v>38</v>
      </c>
      <c r="B2667" s="12" t="s">
        <v>2829</v>
      </c>
      <c r="C2667" s="46" t="s">
        <v>6422</v>
      </c>
      <c r="D2667" s="41" t="str">
        <f ca="1">IFERROR(__xludf.DUMMYFUNCTION("IFERROR(ARRAYFORMULA(REGEXEXTRACT(C2667,""^(?:https?:\/\/)?(?:[^@\n]+@)?(?:www\.)?([^:\/\n]+)"")),"""")"),"justenergy.com")</f>
        <v>justenergy.com</v>
      </c>
      <c r="E2667" s="26" t="str">
        <f ca="1">IFERROR(__xludf.DUMMYFUNCTION("""COMPUTED_VALUE"""),"New")</f>
        <v>New</v>
      </c>
      <c r="F2667" s="72">
        <v>67</v>
      </c>
      <c r="G2667" s="72">
        <v>237375</v>
      </c>
      <c r="P2667" s="26"/>
    </row>
    <row r="2668" spans="1:16" ht="14.5">
      <c r="A2668" s="3" t="s">
        <v>38</v>
      </c>
      <c r="B2668" s="12" t="s">
        <v>2829</v>
      </c>
      <c r="C2668" s="46" t="s">
        <v>6423</v>
      </c>
      <c r="D2668" s="41" t="str">
        <f ca="1">IFERROR(__xludf.DUMMYFUNCTION("IFERROR(ARRAYFORMULA(REGEXEXTRACT(C2668,""^(?:https?:\/\/)?(?:[^@\n]+@)?(?:www\.)?([^:\/\n]+)"")),"""")"),"lasvegashomesbyleslie.com")</f>
        <v>lasvegashomesbyleslie.com</v>
      </c>
      <c r="E2668" s="26" t="str">
        <f ca="1">IFERROR(__xludf.DUMMYFUNCTION("""COMPUTED_VALUE"""),"New")</f>
        <v>New</v>
      </c>
      <c r="F2668" s="72">
        <v>27</v>
      </c>
      <c r="G2668" s="72">
        <v>4123</v>
      </c>
      <c r="P2668" s="26"/>
    </row>
    <row r="2669" spans="1:16" ht="14.5">
      <c r="A2669" s="3" t="s">
        <v>38</v>
      </c>
      <c r="B2669" s="12" t="s">
        <v>2829</v>
      </c>
      <c r="C2669" s="46" t="s">
        <v>6424</v>
      </c>
      <c r="D2669" s="41" t="str">
        <f ca="1">IFERROR(__xludf.DUMMYFUNCTION("IFERROR(ARRAYFORMULA(REGEXEXTRACT(C2669,""^(?:https?:\/\/)?(?:[^@\n]+@)?(?:www\.)?([^:\/\n]+)"")),"""")"),"floridaforboomers.com")</f>
        <v>floridaforboomers.com</v>
      </c>
      <c r="E2669" s="26" t="str">
        <f ca="1">IFERROR(__xludf.DUMMYFUNCTION("""COMPUTED_VALUE"""),"New")</f>
        <v>New</v>
      </c>
      <c r="F2669" s="72">
        <v>37</v>
      </c>
      <c r="G2669" s="72">
        <v>21187</v>
      </c>
      <c r="P2669" s="26"/>
    </row>
    <row r="2670" spans="1:16" ht="14.5">
      <c r="A2670" s="3" t="s">
        <v>38</v>
      </c>
      <c r="B2670" s="12" t="s">
        <v>2829</v>
      </c>
      <c r="C2670" s="49" t="s">
        <v>6425</v>
      </c>
      <c r="D2670" s="41" t="str">
        <f ca="1">IFERROR(__xludf.DUMMYFUNCTION("IFERROR(ARRAYFORMULA(REGEXEXTRACT(C2670,""^(?:https?:\/\/)?(?:[^@\n]+@)?(?:www\.)?([^:\/\n]+)"")),"""")"),"crosscreektexas.com")</f>
        <v>crosscreektexas.com</v>
      </c>
      <c r="E2670" s="26" t="str">
        <f ca="1">IFERROR(__xludf.DUMMYFUNCTION("""COMPUTED_VALUE"""),"New")</f>
        <v>New</v>
      </c>
      <c r="F2670" s="72">
        <v>31</v>
      </c>
      <c r="G2670" s="72">
        <v>1013</v>
      </c>
      <c r="J2670" s="27" t="s">
        <v>6426</v>
      </c>
      <c r="K2670" s="27" t="s">
        <v>5359</v>
      </c>
      <c r="L2670" s="112"/>
      <c r="M2670" s="27" t="s">
        <v>3715</v>
      </c>
      <c r="N2670" s="48">
        <v>46051</v>
      </c>
      <c r="O2670" s="48">
        <v>46071</v>
      </c>
      <c r="P2670" s="26"/>
    </row>
    <row r="2671" spans="1:16" ht="14.5">
      <c r="A2671" s="3" t="s">
        <v>38</v>
      </c>
      <c r="B2671" s="12" t="s">
        <v>2829</v>
      </c>
      <c r="C2671" s="49" t="s">
        <v>6427</v>
      </c>
      <c r="D2671" s="41" t="str">
        <f ca="1">IFERROR(__xludf.DUMMYFUNCTION("IFERROR(ARRAYFORMULA(REGEXEXTRACT(C2671,""^(?:https?:\/\/)?(?:[^@\n]+@)?(?:www\.)?([^:\/\n]+)"")),"""")"),"austinrealestate.com")</f>
        <v>austinrealestate.com</v>
      </c>
      <c r="E2671" s="26" t="str">
        <f ca="1">IFERROR(__xludf.DUMMYFUNCTION("""COMPUTED_VALUE"""),"New")</f>
        <v>New</v>
      </c>
      <c r="F2671" s="72">
        <v>53</v>
      </c>
      <c r="G2671" s="72">
        <v>5635</v>
      </c>
      <c r="H2671" s="27" t="s">
        <v>5147</v>
      </c>
      <c r="I2671" s="27" t="s">
        <v>6428</v>
      </c>
      <c r="K2671" s="27" t="s">
        <v>5359</v>
      </c>
      <c r="L2671" s="112"/>
      <c r="M2671" s="27" t="s">
        <v>3715</v>
      </c>
      <c r="N2671" s="48">
        <v>46051</v>
      </c>
      <c r="O2671" s="48">
        <v>46071</v>
      </c>
      <c r="P2671" s="26"/>
    </row>
    <row r="2672" spans="1:16" ht="14.5">
      <c r="A2672" s="3" t="s">
        <v>38</v>
      </c>
      <c r="B2672" s="12" t="s">
        <v>2829</v>
      </c>
      <c r="C2672" s="46" t="s">
        <v>6429</v>
      </c>
      <c r="D2672" s="41" t="str">
        <f ca="1">IFERROR(__xludf.DUMMYFUNCTION("IFERROR(ARRAYFORMULA(REGEXEXTRACT(C2672,""^(?:https?:\/\/)?(?:[^@\n]+@)?(?:www\.)?([^:\/\n]+)"")),"""")"),"finance.yahoo.com")</f>
        <v>finance.yahoo.com</v>
      </c>
      <c r="E2672" s="26" t="str">
        <f ca="1">IFERROR(__xludf.DUMMYFUNCTION("""COMPUTED_VALUE"""),"New")</f>
        <v>New</v>
      </c>
      <c r="F2672" s="72">
        <v>94</v>
      </c>
      <c r="G2672" s="74">
        <v>264000000</v>
      </c>
      <c r="P2672" s="26"/>
    </row>
    <row r="2673" spans="1:16" ht="14.5">
      <c r="A2673" s="3" t="s">
        <v>38</v>
      </c>
      <c r="B2673" s="12" t="s">
        <v>2829</v>
      </c>
      <c r="C2673" s="46" t="s">
        <v>6430</v>
      </c>
      <c r="D2673" s="41" t="str">
        <f ca="1">IFERROR(__xludf.DUMMYFUNCTION("IFERROR(ARRAYFORMULA(REGEXEXTRACT(C2673,""^(?:https?:\/\/)?(?:[^@\n]+@)?(?:www\.)?([^:\/\n]+)"")),"""")"),"esplanadeatsommersbend.communitysite.com")</f>
        <v>esplanadeatsommersbend.communitysite.com</v>
      </c>
      <c r="E2673" s="26" t="str">
        <f ca="1">IFERROR(__xludf.DUMMYFUNCTION("""COMPUTED_VALUE"""),"New")</f>
        <v>New</v>
      </c>
      <c r="F2673" s="72">
        <v>65</v>
      </c>
      <c r="G2673" s="72">
        <v>2479</v>
      </c>
      <c r="P2673" s="26"/>
    </row>
    <row r="2674" spans="1:16" ht="14.5">
      <c r="A2674" s="3" t="s">
        <v>38</v>
      </c>
      <c r="B2674" s="12" t="s">
        <v>2829</v>
      </c>
      <c r="C2674" s="46" t="s">
        <v>6431</v>
      </c>
      <c r="D2674" s="41" t="str">
        <f ca="1">IFERROR(__xludf.DUMMYFUNCTION("IFERROR(ARRAYFORMULA(REGEXEXTRACT(C2674,""^(?:https?:\/\/)?(?:[^@\n]+@)?(?:www\.)?([^:\/\n]+)"")),"""")"),"marthastewart.com")</f>
        <v>marthastewart.com</v>
      </c>
      <c r="E2674" s="26" t="str">
        <f ca="1">IFERROR(__xludf.DUMMYFUNCTION("""COMPUTED_VALUE"""),"New")</f>
        <v>New</v>
      </c>
      <c r="F2674" s="72">
        <v>88</v>
      </c>
      <c r="G2674" s="72">
        <v>1421579</v>
      </c>
      <c r="P2674" s="26"/>
    </row>
    <row r="2675" spans="1:16" ht="14.5">
      <c r="A2675" s="3" t="s">
        <v>38</v>
      </c>
      <c r="B2675" s="12" t="s">
        <v>2829</v>
      </c>
      <c r="C2675" s="49" t="s">
        <v>6432</v>
      </c>
      <c r="D2675" s="41" t="str">
        <f ca="1">IFERROR(__xludf.DUMMYFUNCTION("IFERROR(ARRAYFORMULA(REGEXEXTRACT(C2675,""^(?:https?:\/\/)?(?:[^@\n]+@)?(?:www\.)?([^:\/\n]+)"")),"""")"),"harvestbyhillwood.com")</f>
        <v>harvestbyhillwood.com</v>
      </c>
      <c r="E2675" s="26" t="str">
        <f ca="1">IFERROR(__xludf.DUMMYFUNCTION("""COMPUTED_VALUE"""),"New")</f>
        <v>New</v>
      </c>
      <c r="F2675" s="72">
        <v>28</v>
      </c>
      <c r="G2675" s="72">
        <v>3611</v>
      </c>
      <c r="J2675" s="27" t="s">
        <v>6433</v>
      </c>
      <c r="K2675" s="27" t="s">
        <v>5359</v>
      </c>
      <c r="L2675" s="112"/>
      <c r="M2675" s="27" t="s">
        <v>3715</v>
      </c>
      <c r="N2675" s="48">
        <v>46051</v>
      </c>
      <c r="O2675" s="48">
        <v>46071</v>
      </c>
      <c r="P2675" s="26"/>
    </row>
    <row r="2676" spans="1:16" ht="14.5">
      <c r="A2676" s="3" t="s">
        <v>38</v>
      </c>
      <c r="B2676" s="12" t="s">
        <v>2829</v>
      </c>
      <c r="C2676" s="46" t="s">
        <v>6434</v>
      </c>
      <c r="D2676" s="41" t="str">
        <f ca="1">IFERROR(__xludf.DUMMYFUNCTION("IFERROR(ARRAYFORMULA(REGEXEXTRACT(C2676,""^(?:https?:\/\/)?(?:[^@\n]+@)?(?:www\.)?([^:\/\n]+)"")),"""")"),"verse.ai")</f>
        <v>verse.ai</v>
      </c>
      <c r="E2676" s="26" t="str">
        <f ca="1">IFERROR(__xludf.DUMMYFUNCTION("""COMPUTED_VALUE"""),"New")</f>
        <v>New</v>
      </c>
      <c r="F2676" s="72">
        <v>60</v>
      </c>
      <c r="G2676" s="72">
        <v>4115</v>
      </c>
      <c r="P2676" s="26"/>
    </row>
    <row r="2677" spans="1:16" ht="14.5">
      <c r="A2677" s="3" t="s">
        <v>38</v>
      </c>
      <c r="B2677" s="12" t="s">
        <v>2829</v>
      </c>
      <c r="C2677" s="46" t="s">
        <v>6435</v>
      </c>
      <c r="D2677" s="41" t="str">
        <f ca="1">IFERROR(__xludf.DUMMYFUNCTION("IFERROR(ARRAYFORMULA(REGEXEXTRACT(C2677,""^(?:https?:\/\/)?(?:[^@\n]+@)?(?:www\.)?([^:\/\n]+)"")),"""")"),"bestcompaniesgroup.com")</f>
        <v>bestcompaniesgroup.com</v>
      </c>
      <c r="E2677" s="26" t="str">
        <f ca="1">IFERROR(__xludf.DUMMYFUNCTION("""COMPUTED_VALUE"""),"New")</f>
        <v>New</v>
      </c>
      <c r="F2677" s="72">
        <v>74</v>
      </c>
      <c r="G2677" s="72">
        <v>2699</v>
      </c>
      <c r="P2677" s="26"/>
    </row>
    <row r="2678" spans="1:16" ht="14.5">
      <c r="A2678" s="3" t="s">
        <v>38</v>
      </c>
      <c r="B2678" s="12" t="s">
        <v>2829</v>
      </c>
      <c r="C2678" s="46" t="s">
        <v>6436</v>
      </c>
      <c r="D2678" s="41" t="str">
        <f ca="1">IFERROR(__xludf.DUMMYFUNCTION("IFERROR(ARRAYFORMULA(REGEXEXTRACT(C2678,""^(?:https?:\/\/)?(?:[^@\n]+@)?(?:www\.)?([^:\/\n]+)"")),"""")"),"nathanbendersonpark.org")</f>
        <v>nathanbendersonpark.org</v>
      </c>
      <c r="E2678" s="26" t="str">
        <f ca="1">IFERROR(__xludf.DUMMYFUNCTION("""COMPUTED_VALUE"""),"New")</f>
        <v>New</v>
      </c>
      <c r="F2678" s="72">
        <v>47</v>
      </c>
      <c r="G2678" s="72">
        <v>1765</v>
      </c>
      <c r="P2678" s="26"/>
    </row>
    <row r="2679" spans="1:16" ht="14.5">
      <c r="A2679" s="3" t="s">
        <v>38</v>
      </c>
      <c r="B2679" s="12" t="s">
        <v>2829</v>
      </c>
      <c r="C2679" s="46" t="s">
        <v>6437</v>
      </c>
      <c r="D2679" s="41" t="str">
        <f ca="1">IFERROR(__xludf.DUMMYFUNCTION("IFERROR(ARRAYFORMULA(REGEXEXTRACT(C2679,""^(?:https?:\/\/)?(?:[^@\n]+@)?(?:www\.)?([^:\/\n]+)"")),"""")"),"destinationdfw.com")</f>
        <v>destinationdfw.com</v>
      </c>
      <c r="E2679" s="26" t="str">
        <f ca="1">IFERROR(__xludf.DUMMYFUNCTION("""COMPUTED_VALUE"""),"New")</f>
        <v>New</v>
      </c>
      <c r="F2679" s="72">
        <v>32</v>
      </c>
      <c r="G2679" s="72">
        <v>1509</v>
      </c>
      <c r="P2679" s="26"/>
    </row>
    <row r="2680" spans="1:16" ht="14.5">
      <c r="A2680" s="3" t="s">
        <v>38</v>
      </c>
      <c r="B2680" s="12" t="s">
        <v>2829</v>
      </c>
      <c r="C2680" s="46" t="s">
        <v>6438</v>
      </c>
      <c r="D2680" s="41" t="str">
        <f ca="1">IFERROR(__xludf.DUMMYFUNCTION("IFERROR(ARRAYFORMULA(REGEXEXTRACT(C2680,""^(?:https?:\/\/)?(?:[^@\n]+@)?(?:www\.)?([^:\/\n]+)"")),"""")"),"thespruce.com")</f>
        <v>thespruce.com</v>
      </c>
      <c r="E2680" s="26" t="str">
        <f ca="1">IFERROR(__xludf.DUMMYFUNCTION("""COMPUTED_VALUE"""),"New")</f>
        <v>New</v>
      </c>
      <c r="F2680" s="72">
        <v>90</v>
      </c>
      <c r="G2680" s="72">
        <v>4078858</v>
      </c>
      <c r="P2680" s="26"/>
    </row>
    <row r="2681" spans="1:16" ht="14.5">
      <c r="A2681" s="3" t="s">
        <v>38</v>
      </c>
      <c r="B2681" s="12" t="s">
        <v>2829</v>
      </c>
      <c r="C2681" s="46" t="s">
        <v>6439</v>
      </c>
      <c r="D2681" s="41" t="str">
        <f ca="1">IFERROR(__xludf.DUMMYFUNCTION("IFERROR(ARRAYFORMULA(REGEXEXTRACT(C2681,""^(?:https?:\/\/)?(?:[^@\n]+@)?(?:www\.)?([^:\/\n]+)"")),"""")"),"adweek.com")</f>
        <v>adweek.com</v>
      </c>
      <c r="E2681" s="26" t="str">
        <f ca="1">IFERROR(__xludf.DUMMYFUNCTION("""COMPUTED_VALUE"""),"New")</f>
        <v>New</v>
      </c>
      <c r="F2681" s="72">
        <v>90</v>
      </c>
      <c r="G2681" s="72">
        <v>120908</v>
      </c>
      <c r="P2681" s="26"/>
    </row>
    <row r="2682" spans="1:16" ht="14.5">
      <c r="A2682" s="3" t="s">
        <v>38</v>
      </c>
      <c r="B2682" s="12" t="s">
        <v>2829</v>
      </c>
      <c r="C2682" s="46" t="s">
        <v>6440</v>
      </c>
      <c r="D2682" s="41" t="str">
        <f ca="1">IFERROR(__xludf.DUMMYFUNCTION("IFERROR(ARRAYFORMULA(REGEXEXTRACT(C2682,""^(?:https?:\/\/)?(?:[^@\n]+@)?(?:www\.)?([^:\/\n]+)"")),"""")"),"zrgpartners.com")</f>
        <v>zrgpartners.com</v>
      </c>
      <c r="E2682" s="26" t="str">
        <f ca="1">IFERROR(__xludf.DUMMYFUNCTION("""COMPUTED_VALUE"""),"New")</f>
        <v>New</v>
      </c>
      <c r="F2682" s="72">
        <v>56</v>
      </c>
      <c r="G2682" s="72">
        <v>7461</v>
      </c>
      <c r="P2682" s="26"/>
    </row>
    <row r="2683" spans="1:16" ht="14.5">
      <c r="A2683" s="3" t="s">
        <v>38</v>
      </c>
      <c r="B2683" s="12" t="s">
        <v>2829</v>
      </c>
      <c r="C2683" s="49" t="s">
        <v>6441</v>
      </c>
      <c r="D2683" s="41" t="str">
        <f ca="1">IFERROR(__xludf.DUMMYFUNCTION("IFERROR(ARRAYFORMULA(REGEXEXTRACT(C2683,""^(?:https?:\/\/)?(?:[^@\n]+@)?(?:www\.)?([^:\/\n]+)"")),"""")"),"eastonparkatx.com")</f>
        <v>eastonparkatx.com</v>
      </c>
      <c r="E2683" s="26" t="str">
        <f ca="1">IFERROR(__xludf.DUMMYFUNCTION("""COMPUTED_VALUE"""),"New")</f>
        <v>New</v>
      </c>
      <c r="F2683" s="72">
        <v>32</v>
      </c>
      <c r="G2683" s="72">
        <v>1718</v>
      </c>
      <c r="J2683" s="38" t="s">
        <v>6442</v>
      </c>
      <c r="K2683" s="27" t="s">
        <v>5359</v>
      </c>
      <c r="L2683" s="112"/>
      <c r="M2683" s="27" t="s">
        <v>3715</v>
      </c>
      <c r="N2683" s="48">
        <v>46051</v>
      </c>
      <c r="P2683" s="26"/>
    </row>
    <row r="2684" spans="1:16" ht="14.5">
      <c r="A2684" s="3" t="s">
        <v>38</v>
      </c>
      <c r="B2684" s="12" t="s">
        <v>2829</v>
      </c>
      <c r="C2684" s="46" t="s">
        <v>6443</v>
      </c>
      <c r="D2684" s="41" t="str">
        <f ca="1">IFERROR(__xludf.DUMMYFUNCTION("IFERROR(ARRAYFORMULA(REGEXEXTRACT(C2684,""^(?:https?:\/\/)?(?:[^@\n]+@)?(?:www\.)?([^:\/\n]+)"")),"""")"),"cnn.com")</f>
        <v>cnn.com</v>
      </c>
      <c r="E2684" s="26" t="str">
        <f ca="1">IFERROR(__xludf.DUMMYFUNCTION("""COMPUTED_VALUE"""),"New")</f>
        <v>New</v>
      </c>
      <c r="F2684" s="72">
        <v>93</v>
      </c>
      <c r="G2684" s="72">
        <v>38063660</v>
      </c>
      <c r="P2684" s="26"/>
    </row>
    <row r="2685" spans="1:16" ht="14.5">
      <c r="A2685" s="3" t="s">
        <v>38</v>
      </c>
      <c r="B2685" s="12" t="s">
        <v>2829</v>
      </c>
      <c r="C2685" s="46" t="s">
        <v>6444</v>
      </c>
      <c r="D2685" s="41" t="str">
        <f ca="1">IFERROR(__xludf.DUMMYFUNCTION("IFERROR(ARRAYFORMULA(REGEXEXTRACT(C2685,""^(?:https?:\/\/)?(?:[^@\n]+@)?(?:www\.)?([^:\/\n]+)"")),"""")"),"info.hyphensolutions.com")</f>
        <v>info.hyphensolutions.com</v>
      </c>
      <c r="E2685" s="26" t="str">
        <f ca="1">IFERROR(__xludf.DUMMYFUNCTION("""COMPUTED_VALUE"""),"New")</f>
        <v>New</v>
      </c>
      <c r="F2685" s="72">
        <v>49</v>
      </c>
      <c r="G2685" s="72">
        <v>50555</v>
      </c>
      <c r="P2685" s="26"/>
    </row>
    <row r="2686" spans="1:16" ht="14.5">
      <c r="A2686" s="3" t="s">
        <v>38</v>
      </c>
      <c r="B2686" s="12" t="s">
        <v>2829</v>
      </c>
      <c r="C2686" s="46" t="s">
        <v>6445</v>
      </c>
      <c r="D2686" s="41" t="str">
        <f ca="1">IFERROR(__xludf.DUMMYFUNCTION("IFERROR(ARRAYFORMULA(REGEXEXTRACT(C2686,""^(?:https?:\/\/)?(?:[^@\n]+@)?(?:www\.)?([^:\/\n]+)"")),"""")"),"wmphoenixopen.com")</f>
        <v>wmphoenixopen.com</v>
      </c>
      <c r="E2686" s="26" t="str">
        <f ca="1">IFERROR(__xludf.DUMMYFUNCTION("""COMPUTED_VALUE"""),"New")</f>
        <v>New</v>
      </c>
      <c r="F2686" s="72">
        <v>62</v>
      </c>
      <c r="G2686" s="72">
        <v>173684</v>
      </c>
      <c r="P2686" s="26"/>
    </row>
    <row r="2687" spans="1:16" ht="14.5">
      <c r="A2687" s="3" t="s">
        <v>38</v>
      </c>
      <c r="B2687" s="12" t="s">
        <v>2829</v>
      </c>
      <c r="C2687" s="49" t="s">
        <v>6446</v>
      </c>
      <c r="D2687" s="41" t="str">
        <f ca="1">IFERROR(__xludf.DUMMYFUNCTION("IFERROR(ARRAYFORMULA(REGEXEXTRACT(C2687,""^(?:https?:\/\/)?(?:[^@\n]+@)?(?:www\.)?([^:\/\n]+)"")),"""")"),"junkluggers.com")</f>
        <v>junkluggers.com</v>
      </c>
      <c r="E2687" s="26" t="str">
        <f ca="1">IFERROR(__xludf.DUMMYFUNCTION("""COMPUTED_VALUE"""),"New")</f>
        <v>New</v>
      </c>
      <c r="F2687" s="72">
        <v>67</v>
      </c>
      <c r="G2687" s="72">
        <v>36417</v>
      </c>
      <c r="H2687" s="27" t="s">
        <v>6447</v>
      </c>
      <c r="I2687" s="27" t="s">
        <v>6448</v>
      </c>
      <c r="K2687" s="27" t="s">
        <v>5115</v>
      </c>
      <c r="L2687" s="112"/>
      <c r="M2687" s="27" t="s">
        <v>3715</v>
      </c>
      <c r="N2687" s="48">
        <v>46051</v>
      </c>
      <c r="O2687" s="48">
        <v>46071</v>
      </c>
      <c r="P2687" s="26"/>
    </row>
    <row r="2688" spans="1:16" ht="14.5">
      <c r="A2688" s="3" t="s">
        <v>38</v>
      </c>
      <c r="B2688" s="12" t="s">
        <v>2829</v>
      </c>
      <c r="C2688" s="46" t="s">
        <v>6449</v>
      </c>
      <c r="D2688" s="41" t="str">
        <f ca="1">IFERROR(__xludf.DUMMYFUNCTION("IFERROR(ARRAYFORMULA(REGEXEXTRACT(C2688,""^(?:https?:\/\/)?(?:[^@\n]+@)?(?:www\.)?([^:\/\n]+)"")),"""")"),"goballantyne.com")</f>
        <v>goballantyne.com</v>
      </c>
      <c r="E2688" s="26" t="str">
        <f ca="1">IFERROR(__xludf.DUMMYFUNCTION("""COMPUTED_VALUE"""),"New")</f>
        <v>New</v>
      </c>
      <c r="F2688" s="72">
        <v>43</v>
      </c>
      <c r="G2688" s="72">
        <v>8394</v>
      </c>
      <c r="P2688" s="26"/>
    </row>
    <row r="2689" spans="1:16" ht="14.5">
      <c r="A2689" s="3" t="s">
        <v>38</v>
      </c>
      <c r="B2689" s="12" t="s">
        <v>2829</v>
      </c>
      <c r="C2689" s="46" t="s">
        <v>6450</v>
      </c>
      <c r="D2689" s="41" t="str">
        <f ca="1">IFERROR(__xludf.DUMMYFUNCTION("IFERROR(ARRAYFORMULA(REGEXEXTRACT(C2689,""^(?:https?:\/\/)?(?:[^@\n]+@)?(?:www\.)?([^:\/\n]+)"")),"""")"),"globaledge.msu.edu")</f>
        <v>globaledge.msu.edu</v>
      </c>
      <c r="E2689" s="26" t="str">
        <f ca="1">IFERROR(__xludf.DUMMYFUNCTION("""COMPUTED_VALUE"""),"New")</f>
        <v>New</v>
      </c>
      <c r="F2689" s="72">
        <v>90</v>
      </c>
      <c r="G2689" s="72">
        <v>996149</v>
      </c>
      <c r="P2689" s="26"/>
    </row>
    <row r="2690" spans="1:16" ht="14.5">
      <c r="A2690" s="3" t="s">
        <v>38</v>
      </c>
      <c r="B2690" s="12" t="s">
        <v>2829</v>
      </c>
      <c r="C2690" s="46" t="s">
        <v>6451</v>
      </c>
      <c r="D2690" s="41" t="str">
        <f ca="1">IFERROR(__xludf.DUMMYFUNCTION("IFERROR(ARRAYFORMULA(REGEXEXTRACT(C2690,""^(?:https?:\/\/)?(?:[^@\n]+@)?(?:www\.)?([^:\/\n]+)"")),"""")"),"nationalmortgageprofessional.com")</f>
        <v>nationalmortgageprofessional.com</v>
      </c>
      <c r="E2690" s="26" t="str">
        <f ca="1">IFERROR(__xludf.DUMMYFUNCTION("""COMPUTED_VALUE"""),"New")</f>
        <v>New</v>
      </c>
      <c r="F2690" s="72">
        <v>74</v>
      </c>
      <c r="G2690" s="72">
        <v>27762</v>
      </c>
      <c r="P2690" s="26"/>
    </row>
    <row r="2691" spans="1:16" ht="14.5">
      <c r="A2691" s="3" t="s">
        <v>38</v>
      </c>
      <c r="B2691" s="12" t="s">
        <v>2829</v>
      </c>
      <c r="C2691" s="49" t="s">
        <v>6452</v>
      </c>
      <c r="D2691" s="41" t="str">
        <f ca="1">IFERROR(__xludf.DUMMYFUNCTION("IFERROR(ARRAYFORMULA(REGEXEXTRACT(C2691,""^(?:https?:\/\/)?(?:[^@\n]+@)?(?:www\.)?([^:\/\n]+)"")),"""")"),"mpvre.com")</f>
        <v>mpvre.com</v>
      </c>
      <c r="E2691" s="26" t="str">
        <f ca="1">IFERROR(__xludf.DUMMYFUNCTION("""COMPUTED_VALUE"""),"New")</f>
        <v>New</v>
      </c>
      <c r="F2691" s="72">
        <v>24</v>
      </c>
      <c r="G2691" s="72">
        <v>1323</v>
      </c>
      <c r="H2691" s="27" t="s">
        <v>6453</v>
      </c>
      <c r="I2691" s="27" t="s">
        <v>6454</v>
      </c>
      <c r="J2691" s="27" t="s">
        <v>6455</v>
      </c>
      <c r="K2691" s="27" t="s">
        <v>5359</v>
      </c>
      <c r="L2691" s="112"/>
      <c r="M2691" s="27" t="s">
        <v>3715</v>
      </c>
      <c r="N2691" s="48">
        <v>46051</v>
      </c>
      <c r="O2691" s="48">
        <v>46071</v>
      </c>
      <c r="P2691" s="26"/>
    </row>
    <row r="2692" spans="1:16" ht="14.5">
      <c r="A2692" s="3" t="s">
        <v>38</v>
      </c>
      <c r="B2692" s="12" t="s">
        <v>2829</v>
      </c>
      <c r="C2692" s="46" t="s">
        <v>6456</v>
      </c>
      <c r="D2692" s="41" t="str">
        <f ca="1">IFERROR(__xludf.DUMMYFUNCTION("IFERROR(ARRAYFORMULA(REGEXEXTRACT(C2692,""^(?:https?:\/\/)?(?:[^@\n]+@)?(?:www\.)?([^:\/\n]+)"")),"""")"),"fixr.com")</f>
        <v>fixr.com</v>
      </c>
      <c r="E2692" s="26" t="str">
        <f ca="1">IFERROR(__xludf.DUMMYFUNCTION("""COMPUTED_VALUE"""),"New")</f>
        <v>New</v>
      </c>
      <c r="F2692" s="72">
        <v>78</v>
      </c>
      <c r="G2692" s="72">
        <v>49869</v>
      </c>
      <c r="P2692" s="26"/>
    </row>
    <row r="2693" spans="1:16" ht="14.5">
      <c r="A2693" s="3" t="s">
        <v>38</v>
      </c>
      <c r="B2693" s="12" t="s">
        <v>2829</v>
      </c>
      <c r="C2693" s="46" t="s">
        <v>6457</v>
      </c>
      <c r="D2693" s="41" t="str">
        <f ca="1">IFERROR(__xludf.DUMMYFUNCTION("IFERROR(ARRAYFORMULA(REGEXEXTRACT(C2693,""^(?:https?:\/\/)?(?:[^@\n]+@)?(?:www\.)?([^:\/\n]+)"")),"""")"),"bridgeland.com")</f>
        <v>bridgeland.com</v>
      </c>
      <c r="E2693" s="26" t="str">
        <f ca="1">IFERROR(__xludf.DUMMYFUNCTION("""COMPUTED_VALUE"""),"New")</f>
        <v>New</v>
      </c>
      <c r="F2693" s="72">
        <v>42</v>
      </c>
      <c r="G2693" s="72">
        <v>5865</v>
      </c>
      <c r="P2693" s="26"/>
    </row>
    <row r="2694" spans="1:16" ht="14.5">
      <c r="A2694" s="3" t="s">
        <v>38</v>
      </c>
      <c r="B2694" s="12" t="s">
        <v>2829</v>
      </c>
      <c r="C2694" s="46" t="s">
        <v>6458</v>
      </c>
      <c r="D2694" s="41" t="str">
        <f ca="1">IFERROR(__xludf.DUMMYFUNCTION("IFERROR(ARRAYFORMULA(REGEXEXTRACT(C2694,""^(?:https?:\/\/)?(?:[^@\n]+@)?(?:www\.)?([^:\/\n]+)"")),"""")"),"stockanalysis.com")</f>
        <v>stockanalysis.com</v>
      </c>
      <c r="E2694" s="26" t="str">
        <f ca="1">IFERROR(__xludf.DUMMYFUNCTION("""COMPUTED_VALUE"""),"New")</f>
        <v>New</v>
      </c>
      <c r="F2694" s="72">
        <v>73</v>
      </c>
      <c r="G2694" s="72">
        <v>1925370</v>
      </c>
      <c r="P2694" s="26"/>
    </row>
    <row r="2695" spans="1:16" ht="14.5">
      <c r="A2695" s="3" t="s">
        <v>38</v>
      </c>
      <c r="B2695" s="12" t="s">
        <v>2829</v>
      </c>
      <c r="C2695" s="46" t="s">
        <v>6459</v>
      </c>
      <c r="D2695" s="41" t="str">
        <f ca="1">IFERROR(__xludf.DUMMYFUNCTION("IFERROR(ARRAYFORMULA(REGEXEXTRACT(C2695,""^(?:https?:\/\/)?(?:[^@\n]+@)?(?:www\.)?([^:\/\n]+)"")),"""")"),"careerfairs.charlotte.edu")</f>
        <v>careerfairs.charlotte.edu</v>
      </c>
      <c r="E2695" s="26" t="str">
        <f ca="1">IFERROR(__xludf.DUMMYFUNCTION("""COMPUTED_VALUE"""),"New")</f>
        <v>New</v>
      </c>
      <c r="F2695" s="72">
        <v>79</v>
      </c>
      <c r="G2695" s="72">
        <v>293918</v>
      </c>
      <c r="P2695" s="26"/>
    </row>
    <row r="2696" spans="1:16" ht="14.5">
      <c r="A2696" s="3" t="s">
        <v>38</v>
      </c>
      <c r="B2696" s="12" t="s">
        <v>2829</v>
      </c>
      <c r="C2696" s="46" t="s">
        <v>6460</v>
      </c>
      <c r="D2696" s="41" t="str">
        <f ca="1">IFERROR(__xludf.DUMMYFUNCTION("IFERROR(ARRAYFORMULA(REGEXEXTRACT(C2696,""^(?:https?:\/\/)?(?:[^@\n]+@)?(?:www\.)?([^:\/\n]+)"")),"""")"),"foodandwine.com")</f>
        <v>foodandwine.com</v>
      </c>
      <c r="E2696" s="26" t="str">
        <f ca="1">IFERROR(__xludf.DUMMYFUNCTION("""COMPUTED_VALUE"""),"New")</f>
        <v>New</v>
      </c>
      <c r="F2696" s="72">
        <v>88</v>
      </c>
      <c r="G2696" s="72">
        <v>2170018</v>
      </c>
      <c r="P2696" s="26"/>
    </row>
    <row r="2697" spans="1:16" ht="14.5">
      <c r="A2697" s="3" t="s">
        <v>38</v>
      </c>
      <c r="B2697" s="12" t="s">
        <v>2829</v>
      </c>
      <c r="C2697" s="46" t="s">
        <v>6461</v>
      </c>
      <c r="D2697" s="41" t="str">
        <f ca="1">IFERROR(__xludf.DUMMYFUNCTION("IFERROR(ARRAYFORMULA(REGEXEXTRACT(C2697,""^(?:https?:\/\/)?(?:[^@\n]+@)?(?:www\.)?([^:\/\n]+)"")),"""")"),"lifestylefrisco.com")</f>
        <v>lifestylefrisco.com</v>
      </c>
      <c r="E2697" s="26" t="str">
        <f ca="1">IFERROR(__xludf.DUMMYFUNCTION("""COMPUTED_VALUE"""),"New")</f>
        <v>New</v>
      </c>
      <c r="F2697" s="72">
        <v>40</v>
      </c>
      <c r="G2697" s="72">
        <v>1649</v>
      </c>
      <c r="P2697" s="26"/>
    </row>
    <row r="2698" spans="1:16" ht="14.5">
      <c r="A2698" s="3" t="s">
        <v>38</v>
      </c>
      <c r="B2698" s="12" t="s">
        <v>2829</v>
      </c>
      <c r="C2698" s="46" t="s">
        <v>6462</v>
      </c>
      <c r="D2698" s="41" t="str">
        <f ca="1">IFERROR(__xludf.DUMMYFUNCTION("IFERROR(ARRAYFORMULA(REGEXEXTRACT(C2698,""^(?:https?:\/\/)?(?:[^@\n]+@)?(?:www\.)?([^:\/\n]+)"")),"""")"),"riverstone.com")</f>
        <v>riverstone.com</v>
      </c>
      <c r="E2698" s="26" t="str">
        <f ca="1">IFERROR(__xludf.DUMMYFUNCTION("""COMPUTED_VALUE"""),"New")</f>
        <v>New</v>
      </c>
      <c r="F2698" s="72">
        <v>27</v>
      </c>
      <c r="G2698" s="72">
        <v>1294</v>
      </c>
      <c r="P2698" s="26"/>
    </row>
    <row r="2699" spans="1:16" ht="14.5">
      <c r="A2699" s="3" t="s">
        <v>38</v>
      </c>
      <c r="B2699" s="12" t="s">
        <v>2829</v>
      </c>
      <c r="C2699" s="46" t="s">
        <v>6463</v>
      </c>
      <c r="D2699" s="41" t="str">
        <f ca="1">IFERROR(__xludf.DUMMYFUNCTION("IFERROR(ARRAYFORMULA(REGEXEXTRACT(C2699,""^(?:https?:\/\/)?(?:[^@\n]+@)?(?:www\.)?([^:\/\n]+)"")),"""")"),"cpr.org")</f>
        <v>cpr.org</v>
      </c>
      <c r="E2699" s="26" t="str">
        <f ca="1">IFERROR(__xludf.DUMMYFUNCTION("""COMPUTED_VALUE"""),"New")</f>
        <v>New</v>
      </c>
      <c r="F2699" s="72">
        <v>80</v>
      </c>
      <c r="G2699" s="72">
        <v>110318</v>
      </c>
      <c r="P2699" s="26"/>
    </row>
    <row r="2700" spans="1:16" ht="14.5">
      <c r="A2700" s="3" t="s">
        <v>38</v>
      </c>
      <c r="B2700" s="12" t="s">
        <v>2829</v>
      </c>
      <c r="C2700" s="46" t="s">
        <v>6464</v>
      </c>
      <c r="D2700" s="41" t="str">
        <f ca="1">IFERROR(__xludf.DUMMYFUNCTION("IFERROR(ARRAYFORMULA(REGEXEXTRACT(C2700,""^(?:https?:\/\/)?(?:[^@\n]+@)?(?:www\.)?([^:\/\n]+)"")),"""")"),"nailsmag.com")</f>
        <v>nailsmag.com</v>
      </c>
      <c r="E2700" s="26" t="str">
        <f ca="1">IFERROR(__xludf.DUMMYFUNCTION("""COMPUTED_VALUE"""),"New")</f>
        <v>New</v>
      </c>
      <c r="F2700" s="72">
        <v>70</v>
      </c>
      <c r="G2700" s="72">
        <v>2154</v>
      </c>
      <c r="P2700" s="26"/>
    </row>
    <row r="2701" spans="1:16" ht="14.5">
      <c r="A2701" s="3" t="s">
        <v>38</v>
      </c>
      <c r="B2701" s="12" t="s">
        <v>2829</v>
      </c>
      <c r="C2701" s="46" t="s">
        <v>6465</v>
      </c>
      <c r="D2701" s="41" t="str">
        <f ca="1">IFERROR(__xludf.DUMMYFUNCTION("IFERROR(ARRAYFORMULA(REGEXEXTRACT(C2701,""^(?:https?:\/\/)?(?:[^@\n]+@)?(?:www\.)?([^:\/\n]+)"")),"""")"),"gurufocus.com")</f>
        <v>gurufocus.com</v>
      </c>
      <c r="E2701" s="26" t="str">
        <f ca="1">IFERROR(__xludf.DUMMYFUNCTION("""COMPUTED_VALUE"""),"New")</f>
        <v>New</v>
      </c>
      <c r="F2701" s="72">
        <v>75</v>
      </c>
      <c r="G2701" s="72">
        <v>576691</v>
      </c>
      <c r="P2701" s="26"/>
    </row>
    <row r="2702" spans="1:16" ht="14.5">
      <c r="A2702" s="3" t="s">
        <v>38</v>
      </c>
      <c r="B2702" s="12" t="s">
        <v>2829</v>
      </c>
      <c r="C2702" s="46" t="s">
        <v>6466</v>
      </c>
      <c r="D2702" s="41" t="str">
        <f ca="1">IFERROR(__xludf.DUMMYFUNCTION("IFERROR(ARRAYFORMULA(REGEXEXTRACT(C2702,""^(?:https?:\/\/)?(?:[^@\n]+@)?(?:www\.)?([^:\/\n]+)"")),"""")"),"bhg.com")</f>
        <v>bhg.com</v>
      </c>
      <c r="E2702" s="26" t="str">
        <f ca="1">IFERROR(__xludf.DUMMYFUNCTION("""COMPUTED_VALUE"""),"New")</f>
        <v>New</v>
      </c>
      <c r="F2702" s="72">
        <v>88</v>
      </c>
      <c r="G2702" s="72">
        <v>1159710</v>
      </c>
      <c r="P2702" s="26"/>
    </row>
    <row r="2703" spans="1:16" ht="14.5">
      <c r="A2703" s="3" t="s">
        <v>38</v>
      </c>
      <c r="B2703" s="12" t="s">
        <v>2829</v>
      </c>
      <c r="C2703" s="46" t="s">
        <v>6467</v>
      </c>
      <c r="D2703" s="41" t="str">
        <f ca="1">IFERROR(__xludf.DUMMYFUNCTION("IFERROR(ARRAYFORMULA(REGEXEXTRACT(C2703,""^(?:https?:\/\/)?(?:[^@\n]+@)?(?:www\.)?([^:\/\n]+)"")),"""")"),"mergr.com")</f>
        <v>mergr.com</v>
      </c>
      <c r="E2703" s="26" t="str">
        <f ca="1">IFERROR(__xludf.DUMMYFUNCTION("""COMPUTED_VALUE"""),"New")</f>
        <v>New</v>
      </c>
      <c r="F2703" s="72">
        <v>51</v>
      </c>
      <c r="G2703" s="72">
        <v>7259</v>
      </c>
      <c r="P2703" s="26"/>
    </row>
    <row r="2704" spans="1:16" ht="14.5" hidden="1">
      <c r="A2704" s="5"/>
      <c r="B2704" s="12" t="s">
        <v>2829</v>
      </c>
      <c r="C2704" s="46" t="s">
        <v>6468</v>
      </c>
      <c r="D2704" s="41" t="str">
        <f ca="1">IFERROR(__xludf.DUMMYFUNCTION("IFERROR(ARRAYFORMULA(REGEXEXTRACT(C2704,""^(?:https?:\/\/)?(?:[^@\n]+@)?(?:www\.)?([^:\/\n]+)"")),"""")"),"investorideas.com")</f>
        <v>investorideas.com</v>
      </c>
      <c r="E2704" s="26" t="str">
        <f ca="1">IFERROR(__xludf.DUMMYFUNCTION("""COMPUTED_VALUE"""),"Already Exists")</f>
        <v>Already Exists</v>
      </c>
      <c r="F2704" s="72">
        <v>56</v>
      </c>
      <c r="G2704" s="72">
        <v>6671</v>
      </c>
      <c r="P2704" s="26"/>
    </row>
    <row r="2705" spans="1:16" ht="14.5">
      <c r="A2705" s="3" t="s">
        <v>38</v>
      </c>
      <c r="B2705" s="12" t="s">
        <v>2829</v>
      </c>
      <c r="C2705" s="49" t="s">
        <v>6469</v>
      </c>
      <c r="D2705" s="41" t="str">
        <f ca="1">IFERROR(__xludf.DUMMYFUNCTION("IFERROR(ARRAYFORMULA(REGEXEXTRACT(C2705,""^(?:https?:\/\/)?(?:[^@\n]+@)?(?:www\.)?([^:\/\n]+)"")),"""")"),"citadelrs.com")</f>
        <v>citadelrs.com</v>
      </c>
      <c r="E2705" s="26" t="str">
        <f ca="1">IFERROR(__xludf.DUMMYFUNCTION("""COMPUTED_VALUE"""),"New")</f>
        <v>New</v>
      </c>
      <c r="F2705" s="72">
        <v>55</v>
      </c>
      <c r="G2705" s="72">
        <v>3045</v>
      </c>
      <c r="H2705" s="27" t="s">
        <v>6470</v>
      </c>
      <c r="I2705" s="27" t="s">
        <v>6471</v>
      </c>
      <c r="J2705" s="27" t="s">
        <v>6472</v>
      </c>
      <c r="K2705" s="27" t="s">
        <v>5115</v>
      </c>
      <c r="L2705" s="112"/>
      <c r="M2705" s="27" t="s">
        <v>3117</v>
      </c>
      <c r="N2705" s="48">
        <v>46054</v>
      </c>
      <c r="P2705" s="26"/>
    </row>
    <row r="2706" spans="1:16" ht="14.5">
      <c r="A2706" s="3" t="s">
        <v>38</v>
      </c>
      <c r="B2706" s="12" t="s">
        <v>2829</v>
      </c>
      <c r="C2706" s="46" t="s">
        <v>6473</v>
      </c>
      <c r="D2706" s="41" t="str">
        <f ca="1">IFERROR(__xludf.DUMMYFUNCTION("IFERROR(ARRAYFORMULA(REGEXEXTRACT(C2706,""^(?:https?:\/\/)?(?:[^@\n]+@)?(?:www\.)?([^:\/\n]+)"")),"""")"),"creekviewrealty.com")</f>
        <v>creekviewrealty.com</v>
      </c>
      <c r="E2706" s="26" t="str">
        <f ca="1">IFERROR(__xludf.DUMMYFUNCTION("""COMPUTED_VALUE"""),"New")</f>
        <v>New</v>
      </c>
      <c r="F2706" s="72">
        <v>21</v>
      </c>
      <c r="G2706" s="72">
        <v>1389</v>
      </c>
      <c r="P2706" s="26"/>
    </row>
    <row r="2707" spans="1:16" ht="14.5">
      <c r="A2707" s="3" t="s">
        <v>38</v>
      </c>
      <c r="B2707" s="12" t="s">
        <v>2829</v>
      </c>
      <c r="C2707" s="49" t="s">
        <v>6474</v>
      </c>
      <c r="D2707" s="41" t="str">
        <f ca="1">IFERROR(__xludf.DUMMYFUNCTION("IFERROR(ARRAYFORMULA(REGEXEXTRACT(C2707,""^(?:https?:\/\/)?(?:[^@\n]+@)?(?:www\.)?([^:\/\n]+)"")),"""")"),"realsimple.com")</f>
        <v>realsimple.com</v>
      </c>
      <c r="E2707" s="26" t="str">
        <f ca="1">IFERROR(__xludf.DUMMYFUNCTION("""COMPUTED_VALUE"""),"New")</f>
        <v>New</v>
      </c>
      <c r="F2707" s="72">
        <v>88</v>
      </c>
      <c r="G2707" s="72">
        <v>1103234</v>
      </c>
      <c r="H2707" s="27" t="s">
        <v>4010</v>
      </c>
      <c r="I2707" s="27" t="s">
        <v>6475</v>
      </c>
      <c r="K2707" s="27" t="s">
        <v>3772</v>
      </c>
      <c r="L2707" s="112"/>
      <c r="M2707" s="27" t="s">
        <v>3117</v>
      </c>
      <c r="N2707" s="48">
        <v>46054</v>
      </c>
      <c r="P2707" s="26"/>
    </row>
    <row r="2708" spans="1:16" ht="14.5">
      <c r="A2708" s="3" t="s">
        <v>38</v>
      </c>
      <c r="B2708" s="12" t="s">
        <v>2829</v>
      </c>
      <c r="C2708" s="46" t="s">
        <v>6476</v>
      </c>
      <c r="D2708" s="41" t="str">
        <f ca="1">IFERROR(__xludf.DUMMYFUNCTION("IFERROR(ARRAYFORMULA(REGEXEXTRACT(C2708,""^(?:https?:\/\/)?(?:[^@\n]+@)?(?:www\.)?([^:\/\n]+)"")),"""")"),"taylormorrison2020ir.q4web.com")</f>
        <v>taylormorrison2020ir.q4web.com</v>
      </c>
      <c r="E2708" s="26" t="str">
        <f ca="1">IFERROR(__xludf.DUMMYFUNCTION("""COMPUTED_VALUE"""),"New")</f>
        <v>New</v>
      </c>
      <c r="F2708" s="72">
        <v>76</v>
      </c>
      <c r="G2708" s="72">
        <v>13527</v>
      </c>
      <c r="P2708" s="26"/>
    </row>
    <row r="2709" spans="1:16" ht="14.5" hidden="1">
      <c r="A2709" s="5"/>
      <c r="B2709" s="12" t="s">
        <v>2829</v>
      </c>
      <c r="C2709" s="46" t="s">
        <v>6477</v>
      </c>
      <c r="D2709" s="41" t="str">
        <f ca="1">IFERROR(__xludf.DUMMYFUNCTION("IFERROR(ARRAYFORMULA(REGEXEXTRACT(C2709,""^(?:https?:\/\/)?(?:[^@\n]+@)?(?:www\.)?([^:\/\n]+)"")),"""")"),"treehugger.com")</f>
        <v>treehugger.com</v>
      </c>
      <c r="E2709" s="26" t="str">
        <f ca="1">IFERROR(__xludf.DUMMYFUNCTION("""COMPUTED_VALUE"""),"Already Exists")</f>
        <v>Already Exists</v>
      </c>
      <c r="F2709" s="72">
        <v>85</v>
      </c>
      <c r="G2709" s="72">
        <v>648768</v>
      </c>
      <c r="P2709" s="26"/>
    </row>
    <row r="2710" spans="1:16" ht="14.5">
      <c r="A2710" s="3" t="s">
        <v>38</v>
      </c>
      <c r="B2710" s="12" t="s">
        <v>2829</v>
      </c>
      <c r="C2710" s="46" t="s">
        <v>6478</v>
      </c>
      <c r="D2710" s="41" t="str">
        <f ca="1">IFERROR(__xludf.DUMMYFUNCTION("IFERROR(ARRAYFORMULA(REGEXEXTRACT(C2710,""^(?:https?:\/\/)?(?:[^@\n]+@)?(?:www\.)?([^:\/\n]+)"")),"""")"),"sherwin-williams.com")</f>
        <v>sherwin-williams.com</v>
      </c>
      <c r="E2710" s="26" t="str">
        <f ca="1">IFERROR(__xludf.DUMMYFUNCTION("""COMPUTED_VALUE"""),"New")</f>
        <v>New</v>
      </c>
      <c r="F2710" s="72">
        <v>87</v>
      </c>
      <c r="G2710" s="72">
        <v>2150486</v>
      </c>
      <c r="P2710" s="26"/>
    </row>
    <row r="2711" spans="1:16" ht="14.5">
      <c r="A2711" s="3" t="s">
        <v>38</v>
      </c>
      <c r="B2711" s="12" t="s">
        <v>2829</v>
      </c>
      <c r="C2711" s="47" t="s">
        <v>6479</v>
      </c>
      <c r="D2711" s="41" t="str">
        <f ca="1">IFERROR(__xludf.DUMMYFUNCTION("IFERROR(ARRAYFORMULA(REGEXEXTRACT(C2711,""^(?:https?:\/\/)?(?:[^@\n]+@)?(?:www\.)?([^:\/\n]+)"")),"""")"),"coloradohomesmag.com")</f>
        <v>coloradohomesmag.com</v>
      </c>
      <c r="E2711" s="26" t="str">
        <f ca="1">IFERROR(__xludf.DUMMYFUNCTION("""COMPUTED_VALUE"""),"New")</f>
        <v>New</v>
      </c>
      <c r="F2711" s="72">
        <v>68</v>
      </c>
      <c r="G2711" s="72">
        <v>1091</v>
      </c>
      <c r="H2711" s="27" t="s">
        <v>6480</v>
      </c>
      <c r="I2711" s="27" t="s">
        <v>6481</v>
      </c>
      <c r="J2711" s="27" t="s">
        <v>6482</v>
      </c>
      <c r="K2711" s="27" t="s">
        <v>3772</v>
      </c>
      <c r="L2711" s="112"/>
      <c r="M2711" s="27" t="s">
        <v>3117</v>
      </c>
      <c r="N2711" s="48">
        <v>46054</v>
      </c>
      <c r="P2711" s="27" t="s">
        <v>3201</v>
      </c>
    </row>
    <row r="2712" spans="1:16" ht="14.5">
      <c r="A2712" s="3" t="s">
        <v>38</v>
      </c>
      <c r="B2712" s="12" t="s">
        <v>2829</v>
      </c>
      <c r="C2712" s="46" t="s">
        <v>6483</v>
      </c>
      <c r="D2712" s="41" t="str">
        <f ca="1">IFERROR(__xludf.DUMMYFUNCTION("IFERROR(ARRAYFORMULA(REGEXEXTRACT(C2712,""^(?:https?:\/\/)?(?:[^@\n]+@)?(?:www\.)?([^:\/\n]+)"")),"""")"),"placera.se")</f>
        <v>placera.se</v>
      </c>
      <c r="E2712" s="26" t="str">
        <f ca="1">IFERROR(__xludf.DUMMYFUNCTION("""COMPUTED_VALUE"""),"New")</f>
        <v>New</v>
      </c>
      <c r="F2712" s="72">
        <v>63</v>
      </c>
      <c r="G2712" s="72">
        <v>281186</v>
      </c>
      <c r="P2712" s="26"/>
    </row>
    <row r="2713" spans="1:16" ht="14.5">
      <c r="A2713" s="3" t="s">
        <v>38</v>
      </c>
      <c r="B2713" s="12" t="s">
        <v>2829</v>
      </c>
      <c r="C2713" s="46" t="s">
        <v>6484</v>
      </c>
      <c r="D2713" s="41" t="str">
        <f ca="1">IFERROR(__xludf.DUMMYFUNCTION("IFERROR(ARRAYFORMULA(REGEXEXTRACT(C2713,""^(?:https?:\/\/)?(?:[^@\n]+@)?(?:www\.)?([^:\/\n]+)"")),"""")"),"nwf.org")</f>
        <v>nwf.org</v>
      </c>
      <c r="E2713" s="26" t="str">
        <f ca="1">IFERROR(__xludf.DUMMYFUNCTION("""COMPUTED_VALUE"""),"New")</f>
        <v>New</v>
      </c>
      <c r="F2713" s="72">
        <v>84</v>
      </c>
      <c r="G2713" s="72">
        <v>331903</v>
      </c>
      <c r="P2713" s="26"/>
    </row>
    <row r="2714" spans="1:16" ht="14.5">
      <c r="A2714" s="3" t="s">
        <v>38</v>
      </c>
      <c r="B2714" s="12" t="s">
        <v>2829</v>
      </c>
      <c r="C2714" s="46" t="s">
        <v>6485</v>
      </c>
      <c r="D2714" s="41" t="str">
        <f ca="1">IFERROR(__xludf.DUMMYFUNCTION("IFERROR(ARRAYFORMULA(REGEXEXTRACT(C2714,""^(?:https?:\/\/)?(?:[^@\n]+@)?(?:www\.)?([^:\/\n]+)"")),"""")"),"platform.reverecre.com")</f>
        <v>platform.reverecre.com</v>
      </c>
      <c r="E2714" s="26" t="str">
        <f ca="1">IFERROR(__xludf.DUMMYFUNCTION("""COMPUTED_VALUE"""),"New")</f>
        <v>New</v>
      </c>
      <c r="F2714" s="72">
        <v>43</v>
      </c>
      <c r="G2714" s="72">
        <v>7961</v>
      </c>
      <c r="P2714" s="26"/>
    </row>
    <row r="2715" spans="1:16" ht="14.5">
      <c r="A2715" s="3" t="s">
        <v>38</v>
      </c>
      <c r="B2715" s="12" t="s">
        <v>2829</v>
      </c>
      <c r="C2715" s="46" t="s">
        <v>6486</v>
      </c>
      <c r="D2715" s="41" t="str">
        <f ca="1">IFERROR(__xludf.DUMMYFUNCTION("IFERROR(ARRAYFORMULA(REGEXEXTRACT(C2715,""^(?:https?:\/\/)?(?:[^@\n]+@)?(?:www\.)?([^:\/\n]+)"")),"""")"),"business.mybaseguide.com")</f>
        <v>business.mybaseguide.com</v>
      </c>
      <c r="E2715" s="26" t="str">
        <f ca="1">IFERROR(__xludf.DUMMYFUNCTION("""COMPUTED_VALUE"""),"New")</f>
        <v>New</v>
      </c>
      <c r="F2715" s="72">
        <v>55</v>
      </c>
      <c r="G2715" s="72">
        <v>8345</v>
      </c>
      <c r="P2715" s="26"/>
    </row>
    <row r="2716" spans="1:16" ht="14.5">
      <c r="A2716" s="3" t="s">
        <v>38</v>
      </c>
      <c r="B2716" s="12" t="s">
        <v>2829</v>
      </c>
      <c r="C2716" s="46" t="s">
        <v>6487</v>
      </c>
      <c r="D2716" s="41" t="str">
        <f ca="1">IFERROR(__xludf.DUMMYFUNCTION("IFERROR(ARRAYFORMULA(REGEXEXTRACT(C2716,""^(?:https?:\/\/)?(?:[^@\n]+@)?(?:www\.)?([^:\/\n]+)"")),"""")"),"naics.com")</f>
        <v>naics.com</v>
      </c>
      <c r="E2716" s="26" t="str">
        <f ca="1">IFERROR(__xludf.DUMMYFUNCTION("""COMPUTED_VALUE"""),"New")</f>
        <v>New</v>
      </c>
      <c r="F2716" s="72">
        <v>78</v>
      </c>
      <c r="G2716" s="72">
        <v>276548</v>
      </c>
      <c r="P2716" s="26"/>
    </row>
    <row r="2717" spans="1:16" ht="14.5">
      <c r="A2717" s="3" t="s">
        <v>38</v>
      </c>
      <c r="B2717" s="12" t="s">
        <v>2829</v>
      </c>
      <c r="C2717" s="46" t="s">
        <v>6488</v>
      </c>
      <c r="D2717" s="41" t="str">
        <f ca="1">IFERROR(__xludf.DUMMYFUNCTION("IFERROR(ARRAYFORMULA(REGEXEXTRACT(C2717,""^(?:https?:\/\/)?(?:[^@\n]+@)?(?:www\.)?([^:\/\n]+)"")),"""")"),"impact.builderonline.com")</f>
        <v>impact.builderonline.com</v>
      </c>
      <c r="E2717" s="26" t="str">
        <f ca="1">IFERROR(__xludf.DUMMYFUNCTION("""COMPUTED_VALUE"""),"New")</f>
        <v>New</v>
      </c>
      <c r="F2717" s="72">
        <v>78</v>
      </c>
      <c r="G2717" s="72">
        <v>13380</v>
      </c>
      <c r="P2717" s="26"/>
    </row>
    <row r="2718" spans="1:16" ht="14.5">
      <c r="A2718" s="3" t="s">
        <v>38</v>
      </c>
      <c r="B2718" s="12" t="s">
        <v>2829</v>
      </c>
      <c r="C2718" s="46" t="s">
        <v>6489</v>
      </c>
      <c r="D2718" s="41" t="str">
        <f ca="1">IFERROR(__xludf.DUMMYFUNCTION("IFERROR(ARRAYFORMULA(REGEXEXTRACT(C2718,""^(?:https?:\/\/)?(?:[^@\n]+@)?(?:www\.)?([^:\/\n]+)"")),"""")"),"firstam.com")</f>
        <v>firstam.com</v>
      </c>
      <c r="E2718" s="26" t="str">
        <f ca="1">IFERROR(__xludf.DUMMYFUNCTION("""COMPUTED_VALUE"""),"New")</f>
        <v>New</v>
      </c>
      <c r="F2718" s="72">
        <v>80</v>
      </c>
      <c r="G2718" s="72">
        <v>157249</v>
      </c>
      <c r="P2718" s="26"/>
    </row>
    <row r="2719" spans="1:16" ht="14.5">
      <c r="A2719" s="3" t="s">
        <v>38</v>
      </c>
      <c r="B2719" s="12" t="s">
        <v>2829</v>
      </c>
      <c r="C2719" s="46" t="s">
        <v>6490</v>
      </c>
      <c r="D2719" s="41" t="str">
        <f ca="1">IFERROR(__xludf.DUMMYFUNCTION("IFERROR(ARRAYFORMULA(REGEXEXTRACT(C2719,""^(?:https?:\/\/)?(?:[^@\n]+@)?(?:www\.)?([^:\/\n]+)"")),"""")"),"austin.com")</f>
        <v>austin.com</v>
      </c>
      <c r="E2719" s="26" t="str">
        <f ca="1">IFERROR(__xludf.DUMMYFUNCTION("""COMPUTED_VALUE"""),"New")</f>
        <v>New</v>
      </c>
      <c r="F2719" s="72">
        <v>53</v>
      </c>
      <c r="G2719" s="72">
        <v>2639</v>
      </c>
      <c r="P2719" s="26"/>
    </row>
    <row r="2720" spans="1:16" ht="14.5">
      <c r="A2720" s="3" t="s">
        <v>38</v>
      </c>
      <c r="B2720" s="12" t="s">
        <v>2829</v>
      </c>
      <c r="C2720" s="46" t="s">
        <v>6491</v>
      </c>
      <c r="D2720" s="41" t="str">
        <f ca="1">IFERROR(__xludf.DUMMYFUNCTION("IFERROR(ARRAYFORMULA(REGEXEXTRACT(C2720,""^(?:https?:\/\/)?(?:[^@\n]+@)?(?:www\.)?([^:\/\n]+)"")),"""")"),"flypgd.com")</f>
        <v>flypgd.com</v>
      </c>
      <c r="E2720" s="26" t="str">
        <f ca="1">IFERROR(__xludf.DUMMYFUNCTION("""COMPUTED_VALUE"""),"New")</f>
        <v>New</v>
      </c>
      <c r="F2720" s="72">
        <v>48</v>
      </c>
      <c r="G2720" s="72">
        <v>16935</v>
      </c>
      <c r="P2720" s="26"/>
    </row>
    <row r="2721" spans="1:16" ht="14.5">
      <c r="A2721" s="3" t="s">
        <v>38</v>
      </c>
      <c r="B2721" s="12" t="s">
        <v>2829</v>
      </c>
      <c r="C2721" s="46" t="s">
        <v>6492</v>
      </c>
      <c r="D2721" s="41" t="str">
        <f ca="1">IFERROR(__xludf.DUMMYFUNCTION("IFERROR(ARRAYFORMULA(REGEXEXTRACT(C2721,""^(?:https?:\/\/)?(?:[^@\n]+@)?(?:www\.)?([^:\/\n]+)"")),"""")"),"azbigmedia.com")</f>
        <v>azbigmedia.com</v>
      </c>
      <c r="E2721" s="26" t="str">
        <f ca="1">IFERROR(__xludf.DUMMYFUNCTION("""COMPUTED_VALUE"""),"New")</f>
        <v>New</v>
      </c>
      <c r="F2721" s="72">
        <v>77</v>
      </c>
      <c r="G2721" s="72">
        <v>15002</v>
      </c>
      <c r="P2721" s="26"/>
    </row>
    <row r="2722" spans="1:16" ht="14.5">
      <c r="A2722" s="3" t="s">
        <v>38</v>
      </c>
      <c r="B2722" s="12" t="s">
        <v>2829</v>
      </c>
      <c r="C2722" s="46" t="s">
        <v>6493</v>
      </c>
      <c r="D2722" s="41" t="str">
        <f ca="1">IFERROR(__xludf.DUMMYFUNCTION("IFERROR(ARRAYFORMULA(REGEXEXTRACT(C2722,""^(?:https?:\/\/)?(?:[^@\n]+@)?(?:www\.)?([^:\/\n]+)"")),"""")"),"christophertodd.com")</f>
        <v>christophertodd.com</v>
      </c>
      <c r="E2722" s="26" t="str">
        <f ca="1">IFERROR(__xludf.DUMMYFUNCTION("""COMPUTED_VALUE"""),"New")</f>
        <v>New</v>
      </c>
      <c r="F2722" s="72">
        <v>23</v>
      </c>
      <c r="G2722" s="72">
        <v>2622</v>
      </c>
      <c r="P2722" s="26"/>
    </row>
    <row r="2723" spans="1:16" ht="14.5">
      <c r="A2723" s="3" t="s">
        <v>38</v>
      </c>
      <c r="B2723" s="12" t="s">
        <v>2829</v>
      </c>
      <c r="C2723" s="46" t="s">
        <v>6494</v>
      </c>
      <c r="D2723" s="41" t="str">
        <f ca="1">IFERROR(__xludf.DUMMYFUNCTION("IFERROR(ARRAYFORMULA(REGEXEXTRACT(C2723,""^(?:https?:\/\/)?(?:[^@\n]+@)?(?:www\.)?([^:\/\n]+)"")),"""")"),"tickernerd.com")</f>
        <v>tickernerd.com</v>
      </c>
      <c r="E2723" s="26" t="str">
        <f ca="1">IFERROR(__xludf.DUMMYFUNCTION("""COMPUTED_VALUE"""),"New")</f>
        <v>New</v>
      </c>
      <c r="F2723" s="72">
        <v>29</v>
      </c>
      <c r="G2723" s="72">
        <v>10673</v>
      </c>
      <c r="P2723" s="26"/>
    </row>
    <row r="2724" spans="1:16" ht="14.5">
      <c r="A2724" s="3" t="s">
        <v>38</v>
      </c>
      <c r="B2724" s="12" t="s">
        <v>2829</v>
      </c>
      <c r="C2724" s="46" t="s">
        <v>6495</v>
      </c>
      <c r="D2724" s="41" t="str">
        <f ca="1">IFERROR(__xludf.DUMMYFUNCTION("IFERROR(ARRAYFORMULA(REGEXEXTRACT(C2724,""^(?:https?:\/\/)?(?:[^@\n]+@)?(?:www\.)?([^:\/\n]+)"")),"""")"),"blog.invgate.com")</f>
        <v>blog.invgate.com</v>
      </c>
      <c r="E2724" s="26" t="str">
        <f ca="1">IFERROR(__xludf.DUMMYFUNCTION("""COMPUTED_VALUE"""),"New")</f>
        <v>New</v>
      </c>
      <c r="F2724" s="72">
        <v>72</v>
      </c>
      <c r="G2724" s="72">
        <v>133337</v>
      </c>
      <c r="P2724" s="26"/>
    </row>
    <row r="2725" spans="1:16" ht="14.5">
      <c r="A2725" s="3" t="s">
        <v>38</v>
      </c>
      <c r="B2725" s="12" t="s">
        <v>2829</v>
      </c>
      <c r="C2725" s="46" t="s">
        <v>6496</v>
      </c>
      <c r="D2725" s="41" t="str">
        <f ca="1">IFERROR(__xludf.DUMMYFUNCTION("IFERROR(ARRAYFORMULA(REGEXEXTRACT(C2725,""^(?:https?:\/\/)?(?:[^@\n]+@)?(?:www\.)?([^:\/\n]+)"")),"""")"),"pcbafl.memberzone.com")</f>
        <v>pcbafl.memberzone.com</v>
      </c>
      <c r="E2725" s="26" t="str">
        <f ca="1">IFERROR(__xludf.DUMMYFUNCTION("""COMPUTED_VALUE"""),"New")</f>
        <v>New</v>
      </c>
      <c r="F2725" s="72">
        <v>62</v>
      </c>
      <c r="G2725" s="72">
        <v>3847</v>
      </c>
      <c r="P2725" s="26"/>
    </row>
    <row r="2726" spans="1:16" ht="14.5">
      <c r="A2726" s="3" t="s">
        <v>38</v>
      </c>
      <c r="B2726" s="12" t="s">
        <v>2829</v>
      </c>
      <c r="C2726" s="46" t="s">
        <v>6497</v>
      </c>
      <c r="D2726" s="41" t="str">
        <f ca="1">IFERROR(__xludf.DUMMYFUNCTION("IFERROR(ARRAYFORMULA(REGEXEXTRACT(C2726,""^(?:https?:\/\/)?(?:[^@\n]+@)?(?:www\.)?([^:\/\n]+)"")),"""")"),"flaglerlive.com")</f>
        <v>flaglerlive.com</v>
      </c>
      <c r="E2726" s="26" t="str">
        <f ca="1">IFERROR(__xludf.DUMMYFUNCTION("""COMPUTED_VALUE"""),"New")</f>
        <v>New</v>
      </c>
      <c r="F2726" s="72">
        <v>61</v>
      </c>
      <c r="G2726" s="72">
        <v>10393</v>
      </c>
      <c r="P2726" s="26"/>
    </row>
    <row r="2727" spans="1:16" ht="14.5">
      <c r="A2727" s="3" t="s">
        <v>38</v>
      </c>
      <c r="B2727" s="12" t="s">
        <v>2829</v>
      </c>
      <c r="C2727" s="46" t="s">
        <v>6498</v>
      </c>
      <c r="D2727" s="41" t="str">
        <f ca="1">IFERROR(__xludf.DUMMYFUNCTION("IFERROR(ARRAYFORMULA(REGEXEXTRACT(C2727,""^(?:https?:\/\/)?(?:[^@\n]+@)?(?:www\.)?([^:\/\n]+)"")),"""")"),"choicestock.co.kr")</f>
        <v>choicestock.co.kr</v>
      </c>
      <c r="E2727" s="26" t="str">
        <f ca="1">IFERROR(__xludf.DUMMYFUNCTION("""COMPUTED_VALUE"""),"New")</f>
        <v>New</v>
      </c>
      <c r="F2727" s="72">
        <v>24</v>
      </c>
      <c r="G2727" s="72">
        <v>98145</v>
      </c>
      <c r="P2727" s="26"/>
    </row>
    <row r="2728" spans="1:16" ht="14.5">
      <c r="A2728" s="3" t="s">
        <v>38</v>
      </c>
      <c r="B2728" s="12" t="s">
        <v>2829</v>
      </c>
      <c r="C2728" s="46" t="s">
        <v>6499</v>
      </c>
      <c r="D2728" s="41" t="str">
        <f ca="1">IFERROR(__xludf.DUMMYFUNCTION("IFERROR(ARRAYFORMULA(REGEXEXTRACT(C2728,""^(?:https?:\/\/)?(?:[^@\n]+@)?(?:www\.)?([^:\/\n]+)"")),"""")"),"coldwellbankerhomes.com")</f>
        <v>coldwellbankerhomes.com</v>
      </c>
      <c r="E2728" s="26" t="str">
        <f ca="1">IFERROR(__xludf.DUMMYFUNCTION("""COMPUTED_VALUE"""),"New")</f>
        <v>New</v>
      </c>
      <c r="F2728" s="72">
        <v>83</v>
      </c>
      <c r="G2728" s="72">
        <v>453219</v>
      </c>
      <c r="P2728" s="26"/>
    </row>
    <row r="2729" spans="1:16" ht="14.5">
      <c r="A2729" s="3" t="s">
        <v>38</v>
      </c>
      <c r="B2729" s="12" t="s">
        <v>2829</v>
      </c>
      <c r="C2729" s="46" t="s">
        <v>6500</v>
      </c>
      <c r="D2729" s="41" t="str">
        <f ca="1">IFERROR(__xludf.DUMMYFUNCTION("IFERROR(ARRAYFORMULA(REGEXEXTRACT(C2729,""^(?:https?:\/\/)?(?:[^@\n]+@)?(?:www\.)?([^:\/\n]+)"")),"""")"),"portfoliopilot.com")</f>
        <v>portfoliopilot.com</v>
      </c>
      <c r="E2729" s="26" t="str">
        <f ca="1">IFERROR(__xludf.DUMMYFUNCTION("""COMPUTED_VALUE"""),"New")</f>
        <v>New</v>
      </c>
      <c r="F2729" s="72">
        <v>36</v>
      </c>
      <c r="G2729" s="72">
        <v>9289</v>
      </c>
      <c r="P2729" s="26"/>
    </row>
    <row r="2730" spans="1:16" ht="14.5">
      <c r="A2730" s="3" t="s">
        <v>38</v>
      </c>
      <c r="B2730" s="12" t="s">
        <v>2829</v>
      </c>
      <c r="C2730" s="46" t="s">
        <v>6501</v>
      </c>
      <c r="D2730" s="41" t="str">
        <f ca="1">IFERROR(__xludf.DUMMYFUNCTION("IFERROR(ARRAYFORMULA(REGEXEXTRACT(C2730,""^(?:https?:\/\/)?(?:[^@\n]+@)?(?:www\.)?([^:\/\n]+)"")),"""")"),"myfrontpagestory.com")</f>
        <v>myfrontpagestory.com</v>
      </c>
      <c r="E2730" s="26" t="str">
        <f ca="1">IFERROR(__xludf.DUMMYFUNCTION("""COMPUTED_VALUE"""),"New")</f>
        <v>New</v>
      </c>
      <c r="F2730" s="72">
        <v>28</v>
      </c>
      <c r="G2730" s="72">
        <v>2581</v>
      </c>
      <c r="P2730" s="26"/>
    </row>
    <row r="2731" spans="1:16" ht="14.5">
      <c r="A2731" s="3" t="s">
        <v>38</v>
      </c>
      <c r="B2731" s="12" t="s">
        <v>2829</v>
      </c>
      <c r="C2731" s="46" t="s">
        <v>6502</v>
      </c>
      <c r="D2731" s="41" t="str">
        <f ca="1">IFERROR(__xludf.DUMMYFUNCTION("IFERROR(ARRAYFORMULA(REGEXEXTRACT(C2731,""^(?:https?:\/\/)?(?:[^@\n]+@)?(?:www\.)?([^:\/\n]+)"")),"""")"),"newsantaana.com")</f>
        <v>newsantaana.com</v>
      </c>
      <c r="E2731" s="26" t="str">
        <f ca="1">IFERROR(__xludf.DUMMYFUNCTION("""COMPUTED_VALUE"""),"New")</f>
        <v>New</v>
      </c>
      <c r="F2731" s="72">
        <v>38</v>
      </c>
      <c r="G2731" s="72">
        <v>2869</v>
      </c>
      <c r="P2731" s="26"/>
    </row>
    <row r="2732" spans="1:16" ht="14.5">
      <c r="A2732" s="3" t="s">
        <v>38</v>
      </c>
      <c r="B2732" s="12" t="s">
        <v>2829</v>
      </c>
      <c r="C2732" s="46" t="s">
        <v>6503</v>
      </c>
      <c r="D2732" s="41" t="str">
        <f ca="1">IFERROR(__xludf.DUMMYFUNCTION("IFERROR(ARRAYFORMULA(REGEXEXTRACT(C2732,""^(?:https?:\/\/)?(?:[^@\n]+@)?(?:www\.)?([^:\/\n]+)"")),"""")"),"khou.com")</f>
        <v>khou.com</v>
      </c>
      <c r="E2732" s="26" t="str">
        <f ca="1">IFERROR(__xludf.DUMMYFUNCTION("""COMPUTED_VALUE"""),"New")</f>
        <v>New</v>
      </c>
      <c r="F2732" s="72">
        <v>79</v>
      </c>
      <c r="G2732" s="72">
        <v>181624</v>
      </c>
      <c r="P2732" s="26"/>
    </row>
    <row r="2733" spans="1:16" ht="14.5">
      <c r="A2733" s="3" t="s">
        <v>38</v>
      </c>
      <c r="B2733" s="12" t="s">
        <v>2829</v>
      </c>
      <c r="C2733" s="46" t="s">
        <v>6504</v>
      </c>
      <c r="D2733" s="41" t="str">
        <f ca="1">IFERROR(__xludf.DUMMYFUNCTION("IFERROR(ARRAYFORMULA(REGEXEXTRACT(C2733,""^(?:https?:\/\/)?(?:[^@\n]+@)?(?:www\.)?([^:\/\n]+)"")),"""")"),"siennatx.com")</f>
        <v>siennatx.com</v>
      </c>
      <c r="E2733" s="26" t="str">
        <f ca="1">IFERROR(__xludf.DUMMYFUNCTION("""COMPUTED_VALUE"""),"New")</f>
        <v>New</v>
      </c>
      <c r="F2733" s="72">
        <v>42</v>
      </c>
      <c r="G2733" s="72">
        <v>2504</v>
      </c>
      <c r="P2733" s="26"/>
    </row>
    <row r="2734" spans="1:16" ht="14.5">
      <c r="A2734" s="3" t="s">
        <v>38</v>
      </c>
      <c r="B2734" s="12" t="s">
        <v>2829</v>
      </c>
      <c r="C2734" s="46" t="s">
        <v>6505</v>
      </c>
      <c r="D2734" s="41" t="str">
        <f ca="1">IFERROR(__xludf.DUMMYFUNCTION("IFERROR(ARRAYFORMULA(REGEXEXTRACT(C2734,""^(?:https?:\/\/)?(?:[^@\n]+@)?(?:www\.)?([^:\/\n]+)"")),"""")"),"estrella.com")</f>
        <v>estrella.com</v>
      </c>
      <c r="E2734" s="26" t="str">
        <f ca="1">IFERROR(__xludf.DUMMYFUNCTION("""COMPUTED_VALUE"""),"New")</f>
        <v>New</v>
      </c>
      <c r="F2734" s="72">
        <v>31</v>
      </c>
      <c r="G2734" s="72">
        <v>2019</v>
      </c>
      <c r="P2734" s="26"/>
    </row>
    <row r="2735" spans="1:16" ht="14.5">
      <c r="A2735" s="3" t="s">
        <v>38</v>
      </c>
      <c r="B2735" s="12" t="s">
        <v>2829</v>
      </c>
      <c r="C2735" s="46" t="s">
        <v>6506</v>
      </c>
      <c r="D2735" s="41" t="str">
        <f ca="1">IFERROR(__xludf.DUMMYFUNCTION("IFERROR(ARRAYFORMULA(REGEXEXTRACT(C2735,""^(?:https?:\/\/)?(?:[^@\n]+@)?(?:www\.)?([^:\/\n]+)"")),"""")"),"salescenter.mccoy.txst.edu")</f>
        <v>salescenter.mccoy.txst.edu</v>
      </c>
      <c r="E2735" s="26" t="str">
        <f ca="1">IFERROR(__xludf.DUMMYFUNCTION("""COMPUTED_VALUE"""),"New")</f>
        <v>New</v>
      </c>
      <c r="F2735" s="72">
        <v>78</v>
      </c>
      <c r="G2735" s="72">
        <v>385882</v>
      </c>
      <c r="P2735" s="26"/>
    </row>
    <row r="2736" spans="1:16" ht="14.5">
      <c r="A2736" s="3" t="s">
        <v>38</v>
      </c>
      <c r="B2736" s="12" t="s">
        <v>2829</v>
      </c>
      <c r="C2736" s="46" t="s">
        <v>6507</v>
      </c>
      <c r="D2736" s="41" t="str">
        <f ca="1">IFERROR(__xludf.DUMMYFUNCTION("IFERROR(ARRAYFORMULA(REGEXEXTRACT(C2736,""^(?:https?:\/\/)?(?:[^@\n]+@)?(?:www\.)?([^:\/\n]+)"")),"""")"),"ainvest.com")</f>
        <v>ainvest.com</v>
      </c>
      <c r="E2736" s="26" t="str">
        <f ca="1">IFERROR(__xludf.DUMMYFUNCTION("""COMPUTED_VALUE"""),"New")</f>
        <v>New</v>
      </c>
      <c r="F2736" s="72">
        <v>77</v>
      </c>
      <c r="G2736" s="72">
        <v>30896</v>
      </c>
      <c r="P2736" s="26"/>
    </row>
    <row r="2737" spans="1:16" ht="14.5">
      <c r="A2737" s="3" t="s">
        <v>38</v>
      </c>
      <c r="B2737" s="12" t="s">
        <v>2829</v>
      </c>
      <c r="C2737" s="49" t="s">
        <v>6508</v>
      </c>
      <c r="D2737" s="41" t="str">
        <f ca="1">IFERROR(__xludf.DUMMYFUNCTION("IFERROR(ARRAYFORMULA(REGEXEXTRACT(C2737,""^(?:https?:\/\/)?(?:[^@\n]+@)?(?:www\.)?([^:\/\n]+)"")),"""")"),"allreadymoving.com")</f>
        <v>allreadymoving.com</v>
      </c>
      <c r="E2737" s="26" t="str">
        <f ca="1">IFERROR(__xludf.DUMMYFUNCTION("""COMPUTED_VALUE"""),"New")</f>
        <v>New</v>
      </c>
      <c r="F2737" s="72">
        <v>28</v>
      </c>
      <c r="G2737" s="72">
        <v>2387</v>
      </c>
      <c r="J2737" s="27" t="s">
        <v>6509</v>
      </c>
      <c r="K2737" s="27" t="s">
        <v>4092</v>
      </c>
      <c r="L2737" s="112"/>
      <c r="M2737" s="27" t="s">
        <v>3117</v>
      </c>
      <c r="N2737" s="48">
        <v>46054</v>
      </c>
      <c r="P2737" s="26"/>
    </row>
    <row r="2738" spans="1:16" ht="14.5">
      <c r="A2738" s="3" t="s">
        <v>38</v>
      </c>
      <c r="B2738" s="12" t="s">
        <v>2829</v>
      </c>
      <c r="C2738" s="46" t="s">
        <v>6510</v>
      </c>
      <c r="D2738" s="41" t="str">
        <f ca="1">IFERROR(__xludf.DUMMYFUNCTION("IFERROR(ARRAYFORMULA(REGEXEXTRACT(C2738,""^(?:https?:\/\/)?(?:[^@\n]+@)?(?:www\.)?([^:\/\n]+)"")),"""")"),"craft.co")</f>
        <v>craft.co</v>
      </c>
      <c r="E2738" s="26" t="str">
        <f ca="1">IFERROR(__xludf.DUMMYFUNCTION("""COMPUTED_VALUE"""),"New")</f>
        <v>New</v>
      </c>
      <c r="F2738" s="72">
        <v>72</v>
      </c>
      <c r="G2738" s="72">
        <v>29585</v>
      </c>
      <c r="P2738" s="26"/>
    </row>
    <row r="2739" spans="1:16" ht="14.5">
      <c r="A2739" s="3" t="s">
        <v>38</v>
      </c>
      <c r="B2739" s="12" t="s">
        <v>2829</v>
      </c>
      <c r="C2739" s="46" t="s">
        <v>6511</v>
      </c>
      <c r="D2739" s="41" t="str">
        <f ca="1">IFERROR(__xludf.DUMMYFUNCTION("IFERROR(ARRAYFORMULA(REGEXEXTRACT(C2739,""^(?:https?:\/\/)?(?:[^@\n]+@)?(?:www\.)?([^:\/\n]+)"")),"""")"),"fortunechina.com")</f>
        <v>fortunechina.com</v>
      </c>
      <c r="E2739" s="26" t="str">
        <f ca="1">IFERROR(__xludf.DUMMYFUNCTION("""COMPUTED_VALUE"""),"New")</f>
        <v>New</v>
      </c>
      <c r="F2739" s="72">
        <v>70</v>
      </c>
      <c r="G2739" s="72">
        <v>1829</v>
      </c>
      <c r="P2739" s="26"/>
    </row>
    <row r="2740" spans="1:16" ht="14.5">
      <c r="A2740" s="3" t="s">
        <v>38</v>
      </c>
      <c r="B2740" s="12" t="s">
        <v>2829</v>
      </c>
      <c r="C2740" s="46" t="s">
        <v>6512</v>
      </c>
      <c r="D2740" s="41" t="str">
        <f ca="1">IFERROR(__xludf.DUMMYFUNCTION("IFERROR(ARRAYFORMULA(REGEXEXTRACT(C2740,""^(?:https?:\/\/)?(?:[^@\n]+@)?(?:www\.)?([^:\/\n]+)"")),"""")"),"renaissancecapital.com")</f>
        <v>renaissancecapital.com</v>
      </c>
      <c r="E2740" s="26" t="str">
        <f ca="1">IFERROR(__xludf.DUMMYFUNCTION("""COMPUTED_VALUE"""),"New")</f>
        <v>New</v>
      </c>
      <c r="F2740" s="72">
        <v>67</v>
      </c>
      <c r="G2740" s="72">
        <v>4897</v>
      </c>
      <c r="P2740" s="26"/>
    </row>
    <row r="2741" spans="1:16" ht="14.5">
      <c r="A2741" s="3" t="s">
        <v>38</v>
      </c>
      <c r="B2741" s="12" t="s">
        <v>2829</v>
      </c>
      <c r="C2741" s="46" t="s">
        <v>6513</v>
      </c>
      <c r="D2741" s="41" t="str">
        <f ca="1">IFERROR(__xludf.DUMMYFUNCTION("IFERROR(ARRAYFORMULA(REGEXEXTRACT(C2741,""^(?:https?:\/\/)?(?:[^@\n]+@)?(?:www\.)?([^:\/\n]+)"")),"""")"),"offcourse.co")</f>
        <v>offcourse.co</v>
      </c>
      <c r="E2741" s="26" t="str">
        <f ca="1">IFERROR(__xludf.DUMMYFUNCTION("""COMPUTED_VALUE"""),"New")</f>
        <v>New</v>
      </c>
      <c r="F2741" s="72">
        <v>57</v>
      </c>
      <c r="G2741" s="72">
        <v>4325</v>
      </c>
      <c r="P2741" s="26"/>
    </row>
    <row r="2742" spans="1:16" ht="14.5">
      <c r="A2742" s="3" t="s">
        <v>38</v>
      </c>
      <c r="B2742" s="12" t="s">
        <v>2829</v>
      </c>
      <c r="C2742" s="46" t="s">
        <v>6514</v>
      </c>
      <c r="D2742" s="41" t="str">
        <f ca="1">IFERROR(__xludf.DUMMYFUNCTION("IFERROR(ARRAYFORMULA(REGEXEXTRACT(C2742,""^(?:https?:\/\/)?(?:[^@\n]+@)?(?:www\.)?([^:\/\n]+)"")),"""")"),"thelandofcolor.com")</f>
        <v>thelandofcolor.com</v>
      </c>
      <c r="E2742" s="26" t="str">
        <f ca="1">IFERROR(__xludf.DUMMYFUNCTION("""COMPUTED_VALUE"""),"New")</f>
        <v>New</v>
      </c>
      <c r="F2742" s="72">
        <v>39</v>
      </c>
      <c r="G2742" s="72">
        <v>2860</v>
      </c>
      <c r="P2742" s="26"/>
    </row>
    <row r="2743" spans="1:16" ht="14.5">
      <c r="A2743" s="3" t="s">
        <v>38</v>
      </c>
      <c r="B2743" s="12" t="s">
        <v>2829</v>
      </c>
      <c r="C2743" s="46" t="s">
        <v>6515</v>
      </c>
      <c r="D2743" s="41" t="str">
        <f ca="1">IFERROR(__xludf.DUMMYFUNCTION("IFERROR(ARRAYFORMULA(REGEXEXTRACT(C2743,""^(?:https?:\/\/)?(?:[^@\n]+@)?(?:www\.)?([^:\/\n]+)"")),"""")"),"admincolumns.com")</f>
        <v>admincolumns.com</v>
      </c>
      <c r="E2743" s="26" t="str">
        <f ca="1">IFERROR(__xludf.DUMMYFUNCTION("""COMPUTED_VALUE"""),"New")</f>
        <v>New</v>
      </c>
      <c r="F2743" s="72">
        <v>64</v>
      </c>
      <c r="G2743" s="72">
        <v>1128</v>
      </c>
      <c r="P2743" s="26"/>
    </row>
    <row r="2744" spans="1:16" ht="14.5">
      <c r="A2744" s="3" t="s">
        <v>38</v>
      </c>
      <c r="B2744" s="12" t="s">
        <v>2829</v>
      </c>
      <c r="C2744" s="46" t="s">
        <v>6516</v>
      </c>
      <c r="D2744" s="41" t="str">
        <f ca="1">IFERROR(__xludf.DUMMYFUNCTION("IFERROR(ARRAYFORMULA(REGEXEXTRACT(C2744,""^(?:https?:\/\/)?(?:[^@\n]+@)?(?:www\.)?([^:\/\n]+)"")),"""")"),"diversityjobs.com")</f>
        <v>diversityjobs.com</v>
      </c>
      <c r="E2744" s="26" t="str">
        <f ca="1">IFERROR(__xludf.DUMMYFUNCTION("""COMPUTED_VALUE"""),"New")</f>
        <v>New</v>
      </c>
      <c r="F2744" s="72">
        <v>77</v>
      </c>
      <c r="G2744" s="72">
        <v>6826</v>
      </c>
      <c r="P2744" s="26"/>
    </row>
    <row r="2745" spans="1:16" ht="14.5">
      <c r="A2745" s="3" t="s">
        <v>38</v>
      </c>
      <c r="B2745" s="12" t="s">
        <v>2829</v>
      </c>
      <c r="C2745" s="46" t="s">
        <v>6517</v>
      </c>
      <c r="D2745" s="41" t="str">
        <f ca="1">IFERROR(__xludf.DUMMYFUNCTION("IFERROR(ARRAYFORMULA(REGEXEXTRACT(C2745,""^(?:https?:\/\/)?(?:[^@\n]+@)?(?:www\.)?([^:\/\n]+)"")),"""")"),"bloomberg.com")</f>
        <v>bloomberg.com</v>
      </c>
      <c r="E2745" s="26" t="str">
        <f ca="1">IFERROR(__xludf.DUMMYFUNCTION("""COMPUTED_VALUE"""),"New")</f>
        <v>New</v>
      </c>
      <c r="F2745" s="72">
        <v>92</v>
      </c>
      <c r="G2745" s="72">
        <v>5867684</v>
      </c>
      <c r="P2745" s="26"/>
    </row>
    <row r="2746" spans="1:16" ht="14.5">
      <c r="A2746" s="3" t="s">
        <v>38</v>
      </c>
      <c r="B2746" s="12" t="s">
        <v>2829</v>
      </c>
      <c r="C2746" s="46" t="s">
        <v>6518</v>
      </c>
      <c r="D2746" s="41" t="str">
        <f ca="1">IFERROR(__xludf.DUMMYFUNCTION("IFERROR(ARRAYFORMULA(REGEXEXTRACT(C2746,""^(?:https?:\/\/)?(?:[^@\n]+@)?(?:www\.)?([^:\/\n]+)"")),"""")"),"lifestoryresearch.com")</f>
        <v>lifestoryresearch.com</v>
      </c>
      <c r="E2746" s="26" t="str">
        <f ca="1">IFERROR(__xludf.DUMMYFUNCTION("""COMPUTED_VALUE"""),"New")</f>
        <v>New</v>
      </c>
      <c r="F2746" s="72">
        <v>55</v>
      </c>
      <c r="G2746" s="72">
        <v>1497</v>
      </c>
      <c r="P2746" s="26"/>
    </row>
    <row r="2747" spans="1:16" ht="14.5">
      <c r="A2747" s="3" t="s">
        <v>38</v>
      </c>
      <c r="B2747" s="12" t="s">
        <v>2829</v>
      </c>
      <c r="C2747" s="46" t="s">
        <v>6519</v>
      </c>
      <c r="D2747" s="41" t="str">
        <f ca="1">IFERROR(__xludf.DUMMYFUNCTION("IFERROR(ARRAYFORMULA(REGEXEXTRACT(C2747,""^(?:https?:\/\/)?(?:[^@\n]+@)?(?:www\.)?([^:\/\n]+)"")),"""")"),"cloutrep.com")</f>
        <v>cloutrep.com</v>
      </c>
      <c r="E2747" s="26" t="str">
        <f ca="1">IFERROR(__xludf.DUMMYFUNCTION("""COMPUTED_VALUE"""),"New")</f>
        <v>New</v>
      </c>
      <c r="F2747" s="72">
        <v>32</v>
      </c>
      <c r="G2747" s="72">
        <v>1443</v>
      </c>
      <c r="P2747" s="26"/>
    </row>
    <row r="2748" spans="1:16" ht="14.5">
      <c r="A2748" s="3" t="s">
        <v>38</v>
      </c>
      <c r="B2748" s="12" t="s">
        <v>2829</v>
      </c>
      <c r="C2748" s="46" t="s">
        <v>6520</v>
      </c>
      <c r="D2748" s="41" t="str">
        <f ca="1">IFERROR(__xludf.DUMMYFUNCTION("IFERROR(ARRAYFORMULA(REGEXEXTRACT(C2748,""^(?:https?:\/\/)?(?:[^@\n]+@)?(?:www\.)?([^:\/\n]+)"")),"""")"),"informedinfrastructure.com")</f>
        <v>informedinfrastructure.com</v>
      </c>
      <c r="E2748" s="26" t="str">
        <f ca="1">IFERROR(__xludf.DUMMYFUNCTION("""COMPUTED_VALUE"""),"New")</f>
        <v>New</v>
      </c>
      <c r="F2748" s="72">
        <v>60</v>
      </c>
      <c r="G2748" s="72">
        <v>1144</v>
      </c>
      <c r="P2748" s="26"/>
    </row>
    <row r="2749" spans="1:16" ht="14.5">
      <c r="A2749" s="3" t="s">
        <v>38</v>
      </c>
      <c r="B2749" s="12" t="s">
        <v>2829</v>
      </c>
      <c r="C2749" s="49" t="s">
        <v>6521</v>
      </c>
      <c r="D2749" s="41" t="str">
        <f ca="1">IFERROR(__xludf.DUMMYFUNCTION("IFERROR(ARRAYFORMULA(REGEXEXTRACT(C2749,""^(?:https?:\/\/)?(?:[^@\n]+@)?(?:www\.)?([^:\/\n]+)"")),"""")"),"coloradoavidgolfer.com")</f>
        <v>coloradoavidgolfer.com</v>
      </c>
      <c r="E2749" s="26" t="str">
        <f ca="1">IFERROR(__xludf.DUMMYFUNCTION("""COMPUTED_VALUE"""),"New")</f>
        <v>New</v>
      </c>
      <c r="F2749" s="72">
        <v>45</v>
      </c>
      <c r="G2749" s="72">
        <v>2822</v>
      </c>
      <c r="H2749" s="27" t="s">
        <v>6522</v>
      </c>
      <c r="I2749" s="27" t="s">
        <v>6523</v>
      </c>
      <c r="J2749" s="27" t="s">
        <v>6524</v>
      </c>
      <c r="K2749" s="27" t="s">
        <v>3772</v>
      </c>
      <c r="L2749" s="112"/>
      <c r="M2749" s="27" t="s">
        <v>3117</v>
      </c>
      <c r="N2749" s="48">
        <v>46054</v>
      </c>
      <c r="P2749" s="26"/>
    </row>
    <row r="2750" spans="1:16" ht="14.5">
      <c r="A2750" s="3" t="s">
        <v>38</v>
      </c>
      <c r="B2750" s="12" t="s">
        <v>2829</v>
      </c>
      <c r="C2750" s="49" t="s">
        <v>6525</v>
      </c>
      <c r="D2750" s="41" t="str">
        <f ca="1">IFERROR(__xludf.DUMMYFUNCTION("IFERROR(ARRAYFORMULA(REGEXEXTRACT(C2750,""^(?:https?:\/\/)?(?:[^@\n]+@)?(?:www\.)?([^:\/\n]+)"")),"""")"),"woodtone.com")</f>
        <v>woodtone.com</v>
      </c>
      <c r="E2750" s="26" t="str">
        <f ca="1">IFERROR(__xludf.DUMMYFUNCTION("""COMPUTED_VALUE"""),"New")</f>
        <v>New</v>
      </c>
      <c r="F2750" s="72">
        <v>45</v>
      </c>
      <c r="G2750" s="72">
        <v>3522</v>
      </c>
      <c r="J2750" s="27" t="s">
        <v>6526</v>
      </c>
      <c r="K2750" s="27" t="s">
        <v>5359</v>
      </c>
      <c r="L2750" s="112"/>
      <c r="M2750" s="27" t="s">
        <v>3117</v>
      </c>
      <c r="N2750" s="48">
        <v>46054</v>
      </c>
      <c r="P2750" s="26"/>
    </row>
    <row r="2751" spans="1:16" ht="14.5">
      <c r="A2751" s="3" t="s">
        <v>38</v>
      </c>
      <c r="B2751" s="12" t="s">
        <v>2829</v>
      </c>
      <c r="C2751" s="46" t="s">
        <v>6527</v>
      </c>
      <c r="D2751" s="41" t="str">
        <f ca="1">IFERROR(__xludf.DUMMYFUNCTION("IFERROR(ARRAYFORMULA(REGEXEXTRACT(C2751,""^(?:https?:\/\/)?(?:[^@\n]+@)?(?:www\.)?([^:\/\n]+)"")),"""")"),"roic.ai")</f>
        <v>roic.ai</v>
      </c>
      <c r="E2751" s="26" t="str">
        <f ca="1">IFERROR(__xludf.DUMMYFUNCTION("""COMPUTED_VALUE"""),"New")</f>
        <v>New</v>
      </c>
      <c r="F2751" s="72">
        <v>39</v>
      </c>
      <c r="G2751" s="72">
        <v>3385</v>
      </c>
      <c r="P2751" s="26"/>
    </row>
    <row r="2752" spans="1:16" ht="14.5">
      <c r="A2752" s="3" t="s">
        <v>38</v>
      </c>
      <c r="B2752" s="12" t="s">
        <v>2829</v>
      </c>
      <c r="C2752" s="46" t="s">
        <v>6528</v>
      </c>
      <c r="D2752" s="41" t="str">
        <f ca="1">IFERROR(__xludf.DUMMYFUNCTION("IFERROR(ARRAYFORMULA(REGEXEXTRACT(C2752,""^(?:https?:\/\/)?(?:[^@\n]+@)?(?:www\.)?([^:\/\n]+)"")),"""")"),"business.plantcity.org")</f>
        <v>business.plantcity.org</v>
      </c>
      <c r="E2752" s="26" t="str">
        <f ca="1">IFERROR(__xludf.DUMMYFUNCTION("""COMPUTED_VALUE"""),"New")</f>
        <v>New</v>
      </c>
      <c r="F2752" s="72">
        <v>39</v>
      </c>
      <c r="G2752" s="72">
        <v>2158</v>
      </c>
      <c r="P2752" s="26"/>
    </row>
    <row r="2753" spans="1:16" ht="14.5">
      <c r="A2753" s="3" t="s">
        <v>38</v>
      </c>
      <c r="B2753" s="12" t="s">
        <v>2829</v>
      </c>
      <c r="C2753" s="46" t="s">
        <v>6529</v>
      </c>
      <c r="D2753" s="41" t="str">
        <f ca="1">IFERROR(__xludf.DUMMYFUNCTION("IFERROR(ARRAYFORMULA(REGEXEXTRACT(C2753,""^(?:https?:\/\/)?(?:[^@\n]+@)?(?:www\.)?([^:\/\n]+)"")),"""")"),"stockwatch.com")</f>
        <v>stockwatch.com</v>
      </c>
      <c r="E2753" s="26" t="str">
        <f ca="1">IFERROR(__xludf.DUMMYFUNCTION("""COMPUTED_VALUE"""),"New")</f>
        <v>New</v>
      </c>
      <c r="F2753" s="72">
        <v>67</v>
      </c>
      <c r="G2753" s="72">
        <v>30426</v>
      </c>
      <c r="P2753" s="26"/>
    </row>
    <row r="2754" spans="1:16" ht="14.5">
      <c r="A2754" s="3" t="s">
        <v>38</v>
      </c>
      <c r="B2754" s="12" t="s">
        <v>2829</v>
      </c>
      <c r="C2754" s="46" t="s">
        <v>6530</v>
      </c>
      <c r="D2754" s="41" t="str">
        <f ca="1">IFERROR(__xludf.DUMMYFUNCTION("IFERROR(ARRAYFORMULA(REGEXEXTRACT(C2754,""^(?:https?:\/\/)?(?:[^@\n]+@)?(?:www\.)?([^:\/\n]+)"")),"""")"),"troon.com")</f>
        <v>troon.com</v>
      </c>
      <c r="E2754" s="26" t="str">
        <f ca="1">IFERROR(__xludf.DUMMYFUNCTION("""COMPUTED_VALUE"""),"New")</f>
        <v>New</v>
      </c>
      <c r="F2754" s="72">
        <v>74</v>
      </c>
      <c r="G2754" s="72">
        <v>32671</v>
      </c>
      <c r="P2754" s="26"/>
    </row>
    <row r="2755" spans="1:16" ht="14.5">
      <c r="A2755" s="3" t="s">
        <v>38</v>
      </c>
      <c r="B2755" s="12" t="s">
        <v>2829</v>
      </c>
      <c r="C2755" s="46" t="s">
        <v>6531</v>
      </c>
      <c r="D2755" s="41" t="str">
        <f ca="1">IFERROR(__xludf.DUMMYFUNCTION("IFERROR(ARRAYFORMULA(REGEXEXTRACT(C2755,""^(?:https?:\/\/)?(?:[^@\n]+@)?(?:www\.)?([^:\/\n]+)"")),"""")"),"petage.com")</f>
        <v>petage.com</v>
      </c>
      <c r="E2755" s="26" t="str">
        <f ca="1">IFERROR(__xludf.DUMMYFUNCTION("""COMPUTED_VALUE"""),"New")</f>
        <v>New</v>
      </c>
      <c r="F2755" s="72">
        <v>69</v>
      </c>
      <c r="G2755" s="72">
        <v>2386</v>
      </c>
      <c r="P2755" s="26"/>
    </row>
    <row r="2756" spans="1:16" ht="14.5">
      <c r="A2756" s="3" t="s">
        <v>38</v>
      </c>
      <c r="B2756" s="12" t="s">
        <v>2829</v>
      </c>
      <c r="C2756" s="46" t="s">
        <v>6532</v>
      </c>
      <c r="D2756" s="41" t="str">
        <f ca="1">IFERROR(__xludf.DUMMYFUNCTION("IFERROR(ARRAYFORMULA(REGEXEXTRACT(C2756,""^(?:https?:\/\/)?(?:[^@\n]+@)?(?:www\.)?([^:\/\n]+)"")),"""")"),"tradesmith.com")</f>
        <v>tradesmith.com</v>
      </c>
      <c r="E2756" s="26" t="str">
        <f ca="1">IFERROR(__xludf.DUMMYFUNCTION("""COMPUTED_VALUE"""),"New")</f>
        <v>New</v>
      </c>
      <c r="F2756" s="72">
        <v>49</v>
      </c>
      <c r="G2756" s="72">
        <v>2068</v>
      </c>
      <c r="P2756" s="26"/>
    </row>
    <row r="2757" spans="1:16" ht="14.5">
      <c r="A2757" s="3" t="s">
        <v>38</v>
      </c>
      <c r="B2757" s="12" t="s">
        <v>2829</v>
      </c>
      <c r="C2757" s="46" t="s">
        <v>6533</v>
      </c>
      <c r="D2757" s="41" t="str">
        <f ca="1">IFERROR(__xludf.DUMMYFUNCTION("IFERROR(ARRAYFORMULA(REGEXEXTRACT(C2757,""^(?:https?:\/\/)?(?:[^@\n]+@)?(?:www\.)?([^:\/\n]+)"")),"""")"),"torys.com")</f>
        <v>torys.com</v>
      </c>
      <c r="E2757" s="26" t="str">
        <f ca="1">IFERROR(__xludf.DUMMYFUNCTION("""COMPUTED_VALUE"""),"New")</f>
        <v>New</v>
      </c>
      <c r="F2757" s="72">
        <v>63</v>
      </c>
      <c r="G2757" s="72">
        <v>9390</v>
      </c>
      <c r="P2757" s="26"/>
    </row>
    <row r="2758" spans="1:16" ht="14.5">
      <c r="A2758" s="3" t="s">
        <v>38</v>
      </c>
      <c r="B2758" s="12" t="s">
        <v>2829</v>
      </c>
      <c r="C2758" s="46" t="s">
        <v>6534</v>
      </c>
      <c r="D2758" s="41" t="str">
        <f ca="1">IFERROR(__xludf.DUMMYFUNCTION("IFERROR(ARRAYFORMULA(REGEXEXTRACT(C2758,""^(?:https?:\/\/)?(?:[^@\n]+@)?(?:www\.)?([^:\/\n]+)"")),"""")"),"thelogocompany.net")</f>
        <v>thelogocompany.net</v>
      </c>
      <c r="E2758" s="26" t="str">
        <f ca="1">IFERROR(__xludf.DUMMYFUNCTION("""COMPUTED_VALUE"""),"New")</f>
        <v>New</v>
      </c>
      <c r="F2758" s="72">
        <v>67</v>
      </c>
      <c r="G2758" s="72">
        <v>1754</v>
      </c>
      <c r="P2758" s="26"/>
    </row>
    <row r="2759" spans="1:16" ht="14.5">
      <c r="A2759" s="3" t="s">
        <v>38</v>
      </c>
      <c r="B2759" s="12" t="s">
        <v>2829</v>
      </c>
      <c r="C2759" s="46" t="s">
        <v>6535</v>
      </c>
      <c r="D2759" s="41" t="str">
        <f ca="1">IFERROR(__xludf.DUMMYFUNCTION("IFERROR(ARRAYFORMULA(REGEXEXTRACT(C2759,""^(?:https?:\/\/)?(?:[^@\n]+@)?(?:www\.)?([^:\/\n]+)"")),"""")"),"sumgrowth.com")</f>
        <v>sumgrowth.com</v>
      </c>
      <c r="E2759" s="26" t="str">
        <f ca="1">IFERROR(__xludf.DUMMYFUNCTION("""COMPUTED_VALUE"""),"New")</f>
        <v>New</v>
      </c>
      <c r="F2759" s="72">
        <v>35</v>
      </c>
      <c r="G2759" s="72">
        <v>6679</v>
      </c>
      <c r="P2759" s="26"/>
    </row>
    <row r="2760" spans="1:16" ht="14.5">
      <c r="A2760" s="3" t="s">
        <v>38</v>
      </c>
      <c r="B2760" s="12" t="s">
        <v>2829</v>
      </c>
      <c r="C2760" s="46" t="s">
        <v>6536</v>
      </c>
      <c r="D2760" s="41" t="str">
        <f ca="1">IFERROR(__xludf.DUMMYFUNCTION("IFERROR(ARRAYFORMULA(REGEXEXTRACT(C2760,""^(?:https?:\/\/)?(?:[^@\n]+@)?(?:www\.)?([^:\/\n]+)"")),"""")"),"ces.pugetsound.edu")</f>
        <v>ces.pugetsound.edu</v>
      </c>
      <c r="E2760" s="26" t="str">
        <f ca="1">IFERROR(__xludf.DUMMYFUNCTION("""COMPUTED_VALUE"""),"New")</f>
        <v>New</v>
      </c>
      <c r="F2760" s="72">
        <v>72</v>
      </c>
      <c r="G2760" s="72">
        <v>58869</v>
      </c>
      <c r="P2760" s="26"/>
    </row>
    <row r="2761" spans="1:16" ht="14.5">
      <c r="A2761" s="3" t="s">
        <v>38</v>
      </c>
      <c r="B2761" s="12" t="s">
        <v>2829</v>
      </c>
      <c r="C2761" s="46" t="s">
        <v>6537</v>
      </c>
      <c r="D2761" s="41" t="str">
        <f ca="1">IFERROR(__xludf.DUMMYFUNCTION("IFERROR(ARRAYFORMULA(REGEXEXTRACT(C2761,""^(?:https?:\/\/)?(?:[^@\n]+@)?(?:www\.)?([^:\/\n]+)"")),"""")"),"permacastwalls.com")</f>
        <v>permacastwalls.com</v>
      </c>
      <c r="E2761" s="26" t="str">
        <f ca="1">IFERROR(__xludf.DUMMYFUNCTION("""COMPUTED_VALUE"""),"New")</f>
        <v>New</v>
      </c>
      <c r="F2761" s="72">
        <v>24</v>
      </c>
      <c r="G2761" s="72">
        <v>1835</v>
      </c>
      <c r="P2761" s="26"/>
    </row>
    <row r="2762" spans="1:16" ht="14.5">
      <c r="A2762" s="3" t="s">
        <v>38</v>
      </c>
      <c r="B2762" s="12" t="s">
        <v>2829</v>
      </c>
      <c r="C2762" s="46" t="s">
        <v>6538</v>
      </c>
      <c r="D2762" s="41" t="str">
        <f ca="1">IFERROR(__xludf.DUMMYFUNCTION("IFERROR(ARRAYFORMULA(REGEXEXTRACT(C2762,""^(?:https?:\/\/)?(?:[^@\n]+@)?(?:www\.)?([^:\/\n]+)"")),"""")"),"laughingplace.com")</f>
        <v>laughingplace.com</v>
      </c>
      <c r="E2762" s="26" t="str">
        <f ca="1">IFERROR(__xludf.DUMMYFUNCTION("""COMPUTED_VALUE"""),"New")</f>
        <v>New</v>
      </c>
      <c r="F2762" s="72">
        <v>64</v>
      </c>
      <c r="G2762" s="72">
        <v>35459</v>
      </c>
      <c r="P2762" s="26"/>
    </row>
    <row r="2763" spans="1:16" ht="14.5">
      <c r="A2763" s="3" t="s">
        <v>38</v>
      </c>
      <c r="B2763" s="12" t="s">
        <v>2829</v>
      </c>
      <c r="C2763" s="49" t="s">
        <v>6539</v>
      </c>
      <c r="D2763" s="41" t="str">
        <f ca="1">IFERROR(__xludf.DUMMYFUNCTION("IFERROR(ARRAYFORMULA(REGEXEXTRACT(C2763,""^(?:https?:\/\/)?(?:[^@\n]+@)?(?:www\.)?([^:\/\n]+)"")),"""")"),"fabulousarizona.com")</f>
        <v>fabulousarizona.com</v>
      </c>
      <c r="E2763" s="26" t="str">
        <f ca="1">IFERROR(__xludf.DUMMYFUNCTION("""COMPUTED_VALUE"""),"New")</f>
        <v>New</v>
      </c>
      <c r="F2763" s="72">
        <v>55</v>
      </c>
      <c r="G2763" s="72">
        <v>3644</v>
      </c>
      <c r="H2763" s="27" t="s">
        <v>6540</v>
      </c>
      <c r="I2763" s="27" t="s">
        <v>6541</v>
      </c>
      <c r="K2763" s="27" t="s">
        <v>3772</v>
      </c>
      <c r="L2763" s="112"/>
      <c r="M2763" s="27" t="s">
        <v>3117</v>
      </c>
      <c r="N2763" s="48">
        <v>46054</v>
      </c>
      <c r="P2763" s="26"/>
    </row>
    <row r="2764" spans="1:16" ht="14.5">
      <c r="A2764" s="3" t="s">
        <v>38</v>
      </c>
      <c r="B2764" s="12" t="s">
        <v>2829</v>
      </c>
      <c r="C2764" s="46" t="s">
        <v>6542</v>
      </c>
      <c r="D2764" s="41" t="str">
        <f ca="1">IFERROR(__xludf.DUMMYFUNCTION("IFERROR(ARRAYFORMULA(REGEXEXTRACT(C2764,""^(?:https?:\/\/)?(?:[^@\n]+@)?(?:www\.)?([^:\/\n]+)"")),"""")"),"greatplacetowork.com")</f>
        <v>greatplacetowork.com</v>
      </c>
      <c r="E2764" s="26" t="str">
        <f ca="1">IFERROR(__xludf.DUMMYFUNCTION("""COMPUTED_VALUE"""),"New")</f>
        <v>New</v>
      </c>
      <c r="F2764" s="72">
        <v>86</v>
      </c>
      <c r="G2764" s="72">
        <v>122066</v>
      </c>
      <c r="P2764" s="26"/>
    </row>
    <row r="2765" spans="1:16" ht="14.5">
      <c r="A2765" s="3" t="s">
        <v>38</v>
      </c>
      <c r="B2765" s="12" t="s">
        <v>2829</v>
      </c>
      <c r="C2765" s="49" t="s">
        <v>6543</v>
      </c>
      <c r="D2765" s="41" t="str">
        <f ca="1">IFERROR(__xludf.DUMMYFUNCTION("IFERROR(ARRAYFORMULA(REGEXEXTRACT(C2765,""^(?:https?:\/\/)?(?:[^@\n]+@)?(?:www\.)?([^:\/\n]+)"")),"""")"),"decoholic.org")</f>
        <v>decoholic.org</v>
      </c>
      <c r="E2765" s="26" t="str">
        <f ca="1">IFERROR(__xludf.DUMMYFUNCTION("""COMPUTED_VALUE"""),"New")</f>
        <v>New</v>
      </c>
      <c r="F2765" s="72">
        <v>58</v>
      </c>
      <c r="G2765" s="72">
        <v>1024</v>
      </c>
      <c r="I2765" s="27" t="s">
        <v>6544</v>
      </c>
      <c r="J2765" s="27" t="s">
        <v>6545</v>
      </c>
      <c r="K2765" s="27" t="s">
        <v>6546</v>
      </c>
      <c r="L2765" s="112"/>
      <c r="M2765" s="27" t="s">
        <v>3117</v>
      </c>
      <c r="N2765" s="48">
        <v>46054</v>
      </c>
      <c r="P2765" s="26"/>
    </row>
    <row r="2766" spans="1:16" ht="14.5">
      <c r="A2766" s="3" t="s">
        <v>38</v>
      </c>
      <c r="B2766" s="12" t="s">
        <v>2829</v>
      </c>
      <c r="C2766" s="46" t="s">
        <v>6547</v>
      </c>
      <c r="D2766" s="41" t="str">
        <f ca="1">IFERROR(__xludf.DUMMYFUNCTION("IFERROR(ARRAYFORMULA(REGEXEXTRACT(C2766,""^(?:https?:\/\/)?(?:[^@\n]+@)?(?:www\.)?([^:\/\n]+)"")),"""")"),"huttochamber.chambermaster.com")</f>
        <v>huttochamber.chambermaster.com</v>
      </c>
      <c r="E2766" s="26" t="str">
        <f ca="1">IFERROR(__xludf.DUMMYFUNCTION("""COMPUTED_VALUE"""),"New")</f>
        <v>New</v>
      </c>
      <c r="F2766" s="72">
        <v>77</v>
      </c>
      <c r="G2766" s="72">
        <v>68330</v>
      </c>
      <c r="P2766" s="26"/>
    </row>
    <row r="2767" spans="1:16" ht="14.5">
      <c r="A2767" s="3" t="s">
        <v>38</v>
      </c>
      <c r="B2767" s="12" t="s">
        <v>2829</v>
      </c>
      <c r="C2767" s="46" t="s">
        <v>6548</v>
      </c>
      <c r="D2767" s="41" t="str">
        <f ca="1">IFERROR(__xludf.DUMMYFUNCTION("IFERROR(ARRAYFORMULA(REGEXEXTRACT(C2767,""^(?:https?:\/\/)?(?:[^@\n]+@)?(?:www\.)?([^:\/\n]+)"")),"""")"),"blog.offerpad.com")</f>
        <v>blog.offerpad.com</v>
      </c>
      <c r="E2767" s="26" t="str">
        <f ca="1">IFERROR(__xludf.DUMMYFUNCTION("""COMPUTED_VALUE"""),"New")</f>
        <v>New</v>
      </c>
      <c r="F2767" s="72">
        <v>59</v>
      </c>
      <c r="G2767" s="72">
        <v>40442</v>
      </c>
      <c r="P2767" s="26"/>
    </row>
    <row r="2768" spans="1:16" ht="14.5">
      <c r="A2768" s="3" t="s">
        <v>38</v>
      </c>
      <c r="B2768" s="12" t="s">
        <v>2829</v>
      </c>
      <c r="C2768" s="46" t="s">
        <v>6549</v>
      </c>
      <c r="D2768" s="41" t="str">
        <f ca="1">IFERROR(__xludf.DUMMYFUNCTION("IFERROR(ARRAYFORMULA(REGEXEXTRACT(C2768,""^(?:https?:\/\/)?(?:[^@\n]+@)?(?:www\.)?([^:\/\n]+)"")),"""")"),"gocodes.com")</f>
        <v>gocodes.com</v>
      </c>
      <c r="E2768" s="26" t="str">
        <f ca="1">IFERROR(__xludf.DUMMYFUNCTION("""COMPUTED_VALUE"""),"New")</f>
        <v>New</v>
      </c>
      <c r="F2768" s="72">
        <v>54</v>
      </c>
      <c r="G2768" s="72">
        <v>3784</v>
      </c>
      <c r="P2768" s="26"/>
    </row>
    <row r="2769" spans="1:16" ht="14.5">
      <c r="A2769" s="3" t="s">
        <v>38</v>
      </c>
      <c r="B2769" s="12" t="s">
        <v>2829</v>
      </c>
      <c r="C2769" s="46" t="s">
        <v>6550</v>
      </c>
      <c r="D2769" s="41" t="str">
        <f ca="1">IFERROR(__xludf.DUMMYFUNCTION("IFERROR(ARRAYFORMULA(REGEXEXTRACT(C2769,""^(?:https?:\/\/)?(?:[^@\n]+@)?(?:www\.)?([^:\/\n]+)"")),"""")"),"pressdemocrat.com")</f>
        <v>pressdemocrat.com</v>
      </c>
      <c r="E2769" s="26" t="str">
        <f ca="1">IFERROR(__xludf.DUMMYFUNCTION("""COMPUTED_VALUE"""),"New")</f>
        <v>New</v>
      </c>
      <c r="F2769" s="72">
        <v>81</v>
      </c>
      <c r="G2769" s="72">
        <v>67105</v>
      </c>
      <c r="P2769" s="26"/>
    </row>
    <row r="2770" spans="1:16" ht="14.5">
      <c r="A2770" s="3" t="s">
        <v>38</v>
      </c>
      <c r="B2770" s="12" t="s">
        <v>2829</v>
      </c>
      <c r="C2770" s="46" t="s">
        <v>6551</v>
      </c>
      <c r="D2770" s="41" t="str">
        <f ca="1">IFERROR(__xludf.DUMMYFUNCTION("IFERROR(ARRAYFORMULA(REGEXEXTRACT(C2770,""^(?:https?:\/\/)?(?:[^@\n]+@)?(?:www\.)?([^:\/\n]+)"")),"""")"),"crosstimbersgazette.com")</f>
        <v>crosstimbersgazette.com</v>
      </c>
      <c r="E2770" s="26" t="str">
        <f ca="1">IFERROR(__xludf.DUMMYFUNCTION("""COMPUTED_VALUE"""),"New")</f>
        <v>New</v>
      </c>
      <c r="F2770" s="72">
        <v>55</v>
      </c>
      <c r="G2770" s="72">
        <v>3682</v>
      </c>
      <c r="P2770" s="26"/>
    </row>
    <row r="2771" spans="1:16" ht="14.5">
      <c r="A2771" s="3" t="s">
        <v>38</v>
      </c>
      <c r="B2771" s="12" t="s">
        <v>2829</v>
      </c>
      <c r="C2771" s="46" t="s">
        <v>6552</v>
      </c>
      <c r="D2771" s="41" t="str">
        <f ca="1">IFERROR(__xludf.DUMMYFUNCTION("IFERROR(ARRAYFORMULA(REGEXEXTRACT(C2771,""^(?:https?:\/\/)?(?:[^@\n]+@)?(?:www\.)?([^:\/\n]+)"")),"""")"),"weissratings.com")</f>
        <v>weissratings.com</v>
      </c>
      <c r="E2771" s="26" t="str">
        <f ca="1">IFERROR(__xludf.DUMMYFUNCTION("""COMPUTED_VALUE"""),"New")</f>
        <v>New</v>
      </c>
      <c r="F2771" s="72">
        <v>67</v>
      </c>
      <c r="G2771" s="72">
        <v>4586</v>
      </c>
      <c r="P2771" s="26"/>
    </row>
    <row r="2772" spans="1:16" ht="14.5" hidden="1">
      <c r="A2772" s="5"/>
      <c r="B2772" s="12" t="s">
        <v>2829</v>
      </c>
      <c r="C2772" s="46" t="s">
        <v>6553</v>
      </c>
      <c r="D2772" s="41" t="str">
        <f ca="1">IFERROR(__xludf.DUMMYFUNCTION("IFERROR(ARRAYFORMULA(REGEXEXTRACT(C2772,""^(?:https?:\/\/)?(?:[^@\n]+@)?(?:www\.)?([^:\/\n]+)"")),"""")"),"houstonagentmagazine.com")</f>
        <v>houstonagentmagazine.com</v>
      </c>
      <c r="E2772" s="26" t="str">
        <f ca="1">IFERROR(__xludf.DUMMYFUNCTION("""COMPUTED_VALUE"""),"Already Exists")</f>
        <v>Already Exists</v>
      </c>
      <c r="F2772" s="72">
        <v>55</v>
      </c>
      <c r="G2772" s="72">
        <v>1130</v>
      </c>
      <c r="P2772" s="26"/>
    </row>
    <row r="2773" spans="1:16" ht="14.5">
      <c r="A2773" s="3" t="s">
        <v>38</v>
      </c>
      <c r="B2773" s="12" t="s">
        <v>2829</v>
      </c>
      <c r="C2773" s="46" t="s">
        <v>6554</v>
      </c>
      <c r="D2773" s="41" t="str">
        <f ca="1">IFERROR(__xludf.DUMMYFUNCTION("IFERROR(ARRAYFORMULA(REGEXEXTRACT(C2773,""^(?:https?:\/\/)?(?:[^@\n]+@)?(?:www\.)?([^:\/\n]+)"")),"""")"),"readysetsell.webador.com")</f>
        <v>readysetsell.webador.com</v>
      </c>
      <c r="E2773" s="26" t="str">
        <f ca="1">IFERROR(__xludf.DUMMYFUNCTION("""COMPUTED_VALUE"""),"New")</f>
        <v>New</v>
      </c>
      <c r="F2773" s="72">
        <v>91</v>
      </c>
      <c r="G2773" s="72">
        <v>50173</v>
      </c>
      <c r="P2773" s="26"/>
    </row>
    <row r="2774" spans="1:16" ht="14.5">
      <c r="A2774" s="3" t="s">
        <v>38</v>
      </c>
      <c r="B2774" s="12" t="s">
        <v>2829</v>
      </c>
      <c r="C2774" s="46" t="s">
        <v>6555</v>
      </c>
      <c r="D2774" s="41" t="str">
        <f ca="1">IFERROR(__xludf.DUMMYFUNCTION("IFERROR(ARRAYFORMULA(REGEXEXTRACT(C2774,""^(?:https?:\/\/)?(?:[^@\n]+@)?(?:www\.)?([^:\/\n]+)"")),"""")"),"sacramentomover.net")</f>
        <v>sacramentomover.net</v>
      </c>
      <c r="E2774" s="26" t="str">
        <f ca="1">IFERROR(__xludf.DUMMYFUNCTION("""COMPUTED_VALUE"""),"New")</f>
        <v>New</v>
      </c>
      <c r="F2774" s="72">
        <v>31</v>
      </c>
      <c r="G2774" s="72">
        <v>1916</v>
      </c>
      <c r="P2774" s="26"/>
    </row>
    <row r="2775" spans="1:16" ht="14.5" hidden="1">
      <c r="A2775" s="5"/>
      <c r="B2775" s="12" t="s">
        <v>2829</v>
      </c>
      <c r="C2775" s="46" t="s">
        <v>6556</v>
      </c>
      <c r="D2775" s="41" t="str">
        <f ca="1">IFERROR(__xludf.DUMMYFUNCTION("IFERROR(ARRAYFORMULA(REGEXEXTRACT(C2775,""^(?:https?:\/\/)?(?:[^@\n]+@)?(?:www\.)?([^:\/\n]+)"")),"""")"),"orlandomagazine.com")</f>
        <v>orlandomagazine.com</v>
      </c>
      <c r="E2775" s="26" t="str">
        <f ca="1">IFERROR(__xludf.DUMMYFUNCTION("""COMPUTED_VALUE"""),"Already Exists")</f>
        <v>Already Exists</v>
      </c>
      <c r="F2775" s="72">
        <v>72</v>
      </c>
      <c r="G2775" s="72">
        <v>1434</v>
      </c>
      <c r="P2775" s="26"/>
    </row>
    <row r="2776" spans="1:16" ht="14.5">
      <c r="A2776" s="3" t="s">
        <v>38</v>
      </c>
      <c r="B2776" s="12" t="s">
        <v>2829</v>
      </c>
      <c r="C2776" s="46" t="s">
        <v>6557</v>
      </c>
      <c r="D2776" s="41" t="str">
        <f ca="1">IFERROR(__xludf.DUMMYFUNCTION("IFERROR(ARRAYFORMULA(REGEXEXTRACT(C2776,""^(?:https?:\/\/)?(?:[^@\n]+@)?(?:www\.)?([^:\/\n]+)"")),"""")"),"nar.realtor")</f>
        <v>nar.realtor</v>
      </c>
      <c r="E2776" s="26" t="str">
        <f ca="1">IFERROR(__xludf.DUMMYFUNCTION("""COMPUTED_VALUE"""),"New")</f>
        <v>New</v>
      </c>
      <c r="F2776" s="72">
        <v>90</v>
      </c>
      <c r="G2776" s="72">
        <v>559115</v>
      </c>
      <c r="P2776" s="26"/>
    </row>
    <row r="2777" spans="1:16" ht="14.5">
      <c r="A2777" s="3" t="s">
        <v>38</v>
      </c>
      <c r="B2777" s="12" t="s">
        <v>2829</v>
      </c>
      <c r="C2777" s="49" t="s">
        <v>6558</v>
      </c>
      <c r="D2777" s="41" t="str">
        <f ca="1">IFERROR(__xludf.DUMMYFUNCTION("IFERROR(ARRAYFORMULA(REGEXEXTRACT(C2777,""^(?:https?:\/\/)?(?:[^@\n]+@)?(?:www\.)?([^:\/\n]+)"")),"""")"),"onegreenplanet.org")</f>
        <v>onegreenplanet.org</v>
      </c>
      <c r="E2777" s="26" t="str">
        <f ca="1">IFERROR(__xludf.DUMMYFUNCTION("""COMPUTED_VALUE"""),"New")</f>
        <v>New</v>
      </c>
      <c r="F2777" s="72">
        <v>78</v>
      </c>
      <c r="G2777" s="72">
        <v>13420</v>
      </c>
      <c r="J2777" s="27" t="s">
        <v>6559</v>
      </c>
      <c r="K2777" s="27" t="s">
        <v>3772</v>
      </c>
      <c r="L2777" s="112"/>
      <c r="M2777" s="27" t="s">
        <v>3117</v>
      </c>
      <c r="N2777" s="48">
        <v>46054</v>
      </c>
      <c r="P2777" s="26"/>
    </row>
    <row r="2778" spans="1:16" ht="14.5">
      <c r="A2778" s="3" t="s">
        <v>38</v>
      </c>
      <c r="B2778" s="12" t="s">
        <v>2829</v>
      </c>
      <c r="C2778" s="46" t="s">
        <v>6560</v>
      </c>
      <c r="D2778" s="41" t="str">
        <f ca="1">IFERROR(__xludf.DUMMYFUNCTION("IFERROR(ARRAYFORMULA(REGEXEXTRACT(C2778,""^(?:https?:\/\/)?(?:[^@\n]+@)?(?:www\.)?([^:\/\n]+)"")),"""")"),"outbrain.com")</f>
        <v>outbrain.com</v>
      </c>
      <c r="E2778" s="26" t="str">
        <f ca="1">IFERROR(__xludf.DUMMYFUNCTION("""COMPUTED_VALUE"""),"New")</f>
        <v>New</v>
      </c>
      <c r="F2778" s="72">
        <v>87</v>
      </c>
      <c r="G2778" s="72">
        <v>44326</v>
      </c>
      <c r="P2778" s="26"/>
    </row>
    <row r="2779" spans="1:16" ht="14.5">
      <c r="A2779" s="3" t="s">
        <v>38</v>
      </c>
      <c r="B2779" s="12" t="s">
        <v>2829</v>
      </c>
      <c r="C2779" s="46" t="s">
        <v>6561</v>
      </c>
      <c r="D2779" s="41" t="str">
        <f ca="1">IFERROR(__xludf.DUMMYFUNCTION("IFERROR(ARRAYFORMULA(REGEXEXTRACT(C2779,""^(?:https?:\/\/)?(?:[^@\n]+@)?(?:www\.)?([^:\/\n]+)"")),"""")"),"moneydj.com")</f>
        <v>moneydj.com</v>
      </c>
      <c r="E2779" s="26" t="str">
        <f ca="1">IFERROR(__xludf.DUMMYFUNCTION("""COMPUTED_VALUE"""),"New")</f>
        <v>New</v>
      </c>
      <c r="F2779" s="72">
        <v>72</v>
      </c>
      <c r="G2779" s="72">
        <v>1128162</v>
      </c>
      <c r="P2779" s="26"/>
    </row>
    <row r="2780" spans="1:16" ht="14.5">
      <c r="A2780" s="3" t="s">
        <v>38</v>
      </c>
      <c r="B2780" s="12" t="s">
        <v>2829</v>
      </c>
      <c r="C2780" s="46" t="s">
        <v>6562</v>
      </c>
      <c r="D2780" s="41" t="str">
        <f ca="1">IFERROR(__xludf.DUMMYFUNCTION("IFERROR(ARRAYFORMULA(REGEXEXTRACT(C2780,""^(?:https?:\/\/)?(?:[^@\n]+@)?(?:www\.)?([^:\/\n]+)"")),"""")"),"dailycamera.com")</f>
        <v>dailycamera.com</v>
      </c>
      <c r="E2780" s="26" t="str">
        <f ca="1">IFERROR(__xludf.DUMMYFUNCTION("""COMPUTED_VALUE"""),"New")</f>
        <v>New</v>
      </c>
      <c r="F2780" s="72">
        <v>78</v>
      </c>
      <c r="G2780" s="72">
        <v>36006</v>
      </c>
      <c r="P2780" s="26"/>
    </row>
    <row r="2781" spans="1:16" ht="14.5">
      <c r="A2781" s="3" t="s">
        <v>38</v>
      </c>
      <c r="B2781" s="12" t="s">
        <v>2829</v>
      </c>
      <c r="C2781" s="46" t="s">
        <v>6563</v>
      </c>
      <c r="D2781" s="41" t="str">
        <f ca="1">IFERROR(__xludf.DUMMYFUNCTION("IFERROR(ARRAYFORMULA(REGEXEXTRACT(C2781,""^(?:https?:\/\/)?(?:[^@\n]+@)?(?:www\.)?([^:\/\n]+)"")),"""")"),"castlepinesconnection.com")</f>
        <v>castlepinesconnection.com</v>
      </c>
      <c r="E2781" s="26" t="str">
        <f ca="1">IFERROR(__xludf.DUMMYFUNCTION("""COMPUTED_VALUE"""),"New")</f>
        <v>New</v>
      </c>
      <c r="F2781" s="72">
        <v>40</v>
      </c>
      <c r="G2781" s="72">
        <v>1016</v>
      </c>
      <c r="P2781" s="26"/>
    </row>
    <row r="2782" spans="1:16" ht="14.5">
      <c r="A2782" s="3" t="s">
        <v>38</v>
      </c>
      <c r="B2782" s="12" t="s">
        <v>2829</v>
      </c>
      <c r="C2782" s="46" t="s">
        <v>6564</v>
      </c>
      <c r="D2782" s="41" t="str">
        <f ca="1">IFERROR(__xludf.DUMMYFUNCTION("IFERROR(ARRAYFORMULA(REGEXEXTRACT(C2782,""^(?:https?:\/\/)?(?:[^@\n]+@)?(?:www\.)?([^:\/\n]+)"")),"""")"),"cartersvillechamber.com")</f>
        <v>cartersvillechamber.com</v>
      </c>
      <c r="E2782" s="26" t="str">
        <f ca="1">IFERROR(__xludf.DUMMYFUNCTION("""COMPUTED_VALUE"""),"New")</f>
        <v>New</v>
      </c>
      <c r="F2782" s="72">
        <v>46</v>
      </c>
      <c r="G2782" s="72">
        <v>4139</v>
      </c>
      <c r="P2782" s="26"/>
    </row>
    <row r="2783" spans="1:16" ht="14.5">
      <c r="A2783" s="3" t="s">
        <v>38</v>
      </c>
      <c r="B2783" s="12" t="s">
        <v>2829</v>
      </c>
      <c r="C2783" s="46" t="s">
        <v>6565</v>
      </c>
      <c r="D2783" s="41" t="str">
        <f ca="1">IFERROR(__xludf.DUMMYFUNCTION("IFERROR(ARRAYFORMULA(REGEXEXTRACT(C2783,""^(?:https?:\/\/)?(?:[^@\n]+@)?(?:www\.)?([^:\/\n]+)"")),"""")"),"inbusinessphx.com")</f>
        <v>inbusinessphx.com</v>
      </c>
      <c r="E2783" s="26" t="str">
        <f ca="1">IFERROR(__xludf.DUMMYFUNCTION("""COMPUTED_VALUE"""),"New")</f>
        <v>New</v>
      </c>
      <c r="F2783" s="72">
        <v>72</v>
      </c>
      <c r="G2783" s="72">
        <v>1261</v>
      </c>
      <c r="P2783" s="26"/>
    </row>
    <row r="2784" spans="1:16" ht="14.5">
      <c r="A2784" s="3" t="s">
        <v>38</v>
      </c>
      <c r="B2784" s="12" t="s">
        <v>2829</v>
      </c>
      <c r="C2784" s="46" t="s">
        <v>6566</v>
      </c>
      <c r="D2784" s="41" t="str">
        <f ca="1">IFERROR(__xludf.DUMMYFUNCTION("IFERROR(ARRAYFORMULA(REGEXEXTRACT(C2784,""^(?:https?:\/\/)?(?:[^@\n]+@)?(?:www\.)?([^:\/\n]+)"")),"""")"),"abladvisor.com")</f>
        <v>abladvisor.com</v>
      </c>
      <c r="E2784" s="26" t="str">
        <f ca="1">IFERROR(__xludf.DUMMYFUNCTION("""COMPUTED_VALUE"""),"New")</f>
        <v>New</v>
      </c>
      <c r="F2784" s="72">
        <v>56</v>
      </c>
      <c r="G2784" s="72">
        <v>2549</v>
      </c>
      <c r="P2784" s="26"/>
    </row>
    <row r="2785" spans="1:16" ht="14.5" hidden="1">
      <c r="A2785" s="5"/>
      <c r="B2785" s="12" t="s">
        <v>2829</v>
      </c>
      <c r="C2785" s="46" t="s">
        <v>6567</v>
      </c>
      <c r="D2785" s="41" t="str">
        <f ca="1">IFERROR(__xludf.DUMMYFUNCTION("IFERROR(ARRAYFORMULA(REGEXEXTRACT(C2785,""^(?:https?:\/\/)?(?:[^@\n]+@)?(?:www\.)?([^:\/\n]+)"")),"""")"),"houzeo.com")</f>
        <v>houzeo.com</v>
      </c>
      <c r="E2785" s="26" t="str">
        <f ca="1">IFERROR(__xludf.DUMMYFUNCTION("""COMPUTED_VALUE"""),"Already Exists")</f>
        <v>Already Exists</v>
      </c>
      <c r="F2785" s="72">
        <v>69</v>
      </c>
      <c r="G2785" s="72">
        <v>160465</v>
      </c>
      <c r="P2785" s="26"/>
    </row>
    <row r="2786" spans="1:16" ht="14.5">
      <c r="A2786" s="3" t="s">
        <v>38</v>
      </c>
      <c r="B2786" s="12" t="s">
        <v>2829</v>
      </c>
      <c r="C2786" s="46" t="s">
        <v>6568</v>
      </c>
      <c r="D2786" s="41" t="str">
        <f ca="1">IFERROR(__xludf.DUMMYFUNCTION("IFERROR(ARRAYFORMULA(REGEXEXTRACT(C2786,""^(?:https?:\/\/)?(?:[^@\n]+@)?(?:www\.)?([^:\/\n]+)"")),"""")"),"mlq.ai")</f>
        <v>mlq.ai</v>
      </c>
      <c r="E2786" s="26" t="str">
        <f ca="1">IFERROR(__xludf.DUMMYFUNCTION("""COMPUTED_VALUE"""),"New")</f>
        <v>New</v>
      </c>
      <c r="F2786" s="72">
        <v>75</v>
      </c>
      <c r="G2786" s="72">
        <v>30321</v>
      </c>
      <c r="P2786" s="26"/>
    </row>
    <row r="2787" spans="1:16" ht="14.5">
      <c r="A2787" s="3" t="s">
        <v>38</v>
      </c>
      <c r="B2787" s="12" t="s">
        <v>2829</v>
      </c>
      <c r="C2787" s="46" t="s">
        <v>6569</v>
      </c>
      <c r="D2787" s="41" t="str">
        <f ca="1">IFERROR(__xludf.DUMMYFUNCTION("IFERROR(ARRAYFORMULA(REGEXEXTRACT(C2787,""^(?:https?:\/\/)?(?:[^@\n]+@)?(?:www\.)?([^:\/\n]+)"")),"""")"),"newsfilecorp.com")</f>
        <v>newsfilecorp.com</v>
      </c>
      <c r="E2787" s="26" t="str">
        <f ca="1">IFERROR(__xludf.DUMMYFUNCTION("""COMPUTED_VALUE"""),"New")</f>
        <v>New</v>
      </c>
      <c r="F2787" s="72">
        <v>79</v>
      </c>
      <c r="G2787" s="72">
        <v>11356</v>
      </c>
      <c r="P2787" s="26"/>
    </row>
    <row r="2788" spans="1:16" ht="14.5">
      <c r="A2788" s="3" t="s">
        <v>38</v>
      </c>
      <c r="B2788" s="12" t="s">
        <v>2829</v>
      </c>
      <c r="C2788" s="46" t="s">
        <v>6570</v>
      </c>
      <c r="D2788" s="41" t="str">
        <f ca="1">IFERROR(__xludf.DUMMYFUNCTION("IFERROR(ARRAYFORMULA(REGEXEXTRACT(C2788,""^(?:https?:\/\/)?(?:[^@\n]+@)?(?:www\.)?([^:\/\n]+)"")),"""")"),"eoddata.com")</f>
        <v>eoddata.com</v>
      </c>
      <c r="E2788" s="26" t="str">
        <f ca="1">IFERROR(__xludf.DUMMYFUNCTION("""COMPUTED_VALUE"""),"New")</f>
        <v>New</v>
      </c>
      <c r="F2788" s="72">
        <v>41</v>
      </c>
      <c r="G2788" s="72">
        <v>3143</v>
      </c>
      <c r="P2788" s="26"/>
    </row>
    <row r="2789" spans="1:16" ht="14.5">
      <c r="A2789" s="3" t="s">
        <v>38</v>
      </c>
      <c r="B2789" s="12" t="s">
        <v>2829</v>
      </c>
      <c r="C2789" s="46" t="s">
        <v>6571</v>
      </c>
      <c r="D2789" s="41" t="str">
        <f ca="1">IFERROR(__xludf.DUMMYFUNCTION("IFERROR(ARRAYFORMULA(REGEXEXTRACT(C2789,""^(?:https?:\/\/)?(?:[^@\n]+@)?(?:www\.)?([^:\/\n]+)"")),"""")"),"firstcallgolf.com")</f>
        <v>firstcallgolf.com</v>
      </c>
      <c r="E2789" s="26" t="str">
        <f ca="1">IFERROR(__xludf.DUMMYFUNCTION("""COMPUTED_VALUE"""),"New")</f>
        <v>New</v>
      </c>
      <c r="F2789" s="72">
        <v>54</v>
      </c>
      <c r="G2789" s="72">
        <v>1540</v>
      </c>
      <c r="P2789" s="26"/>
    </row>
    <row r="2790" spans="1:16" ht="14.5">
      <c r="A2790" s="3" t="s">
        <v>38</v>
      </c>
      <c r="B2790" s="12" t="s">
        <v>2829</v>
      </c>
      <c r="C2790" s="46" t="s">
        <v>6572</v>
      </c>
      <c r="D2790" s="41" t="str">
        <f ca="1">IFERROR(__xludf.DUMMYFUNCTION("IFERROR(ARRAYFORMULA(REGEXEXTRACT(C2790,""^(?:https?:\/\/)?(?:[^@\n]+@)?(?:www\.)?([^:\/\n]+)"")),"""")"),"treasurecoastba-gzcms.preview.gochambermaster.com")</f>
        <v>treasurecoastba-gzcms.preview.gochambermaster.com</v>
      </c>
      <c r="E2790" s="26" t="str">
        <f ca="1">IFERROR(__xludf.DUMMYFUNCTION("""COMPUTED_VALUE"""),"New")</f>
        <v>New</v>
      </c>
      <c r="F2790" s="72">
        <v>36</v>
      </c>
      <c r="G2790" s="72">
        <v>1593</v>
      </c>
      <c r="P2790" s="26"/>
    </row>
    <row r="2791" spans="1:16" ht="14.5">
      <c r="A2791" s="3" t="s">
        <v>38</v>
      </c>
      <c r="B2791" s="12" t="s">
        <v>2829</v>
      </c>
      <c r="C2791" s="46" t="s">
        <v>6573</v>
      </c>
      <c r="D2791" s="41" t="str">
        <f ca="1">IFERROR(__xludf.DUMMYFUNCTION("IFERROR(ARRAYFORMULA(REGEXEXTRACT(C2791,""^(?:https?:\/\/)?(?:[^@\n]+@)?(?:www\.)?([^:\/\n]+)"")),"""")"),"golfshake.com")</f>
        <v>golfshake.com</v>
      </c>
      <c r="E2791" s="26" t="str">
        <f ca="1">IFERROR(__xludf.DUMMYFUNCTION("""COMPUTED_VALUE"""),"New")</f>
        <v>New</v>
      </c>
      <c r="F2791" s="72">
        <v>60</v>
      </c>
      <c r="G2791" s="72">
        <v>24121</v>
      </c>
      <c r="P2791" s="26"/>
    </row>
    <row r="2792" spans="1:16" ht="14.5">
      <c r="A2792" s="3" t="s">
        <v>38</v>
      </c>
      <c r="B2792" s="12" t="s">
        <v>2829</v>
      </c>
      <c r="C2792" s="46" t="s">
        <v>6574</v>
      </c>
      <c r="D2792" s="41" t="str">
        <f ca="1">IFERROR(__xludf.DUMMYFUNCTION("IFERROR(ARRAYFORMULA(REGEXEXTRACT(C2792,""^(?:https?:\/\/)?(?:[^@\n]+@)?(?:www\.)?([^:\/\n]+)"")),"""")"),"homebuildersassociationofcentralarizona.growthzoneapp.com")</f>
        <v>homebuildersassociationofcentralarizona.growthzoneapp.com</v>
      </c>
      <c r="E2792" s="26" t="str">
        <f ca="1">IFERROR(__xludf.DUMMYFUNCTION("""COMPUTED_VALUE"""),"New")</f>
        <v>New</v>
      </c>
      <c r="F2792" s="72">
        <v>78</v>
      </c>
      <c r="G2792" s="72">
        <v>10719</v>
      </c>
      <c r="P2792" s="26"/>
    </row>
    <row r="2793" spans="1:16" ht="14.5">
      <c r="A2793" s="3" t="s">
        <v>38</v>
      </c>
      <c r="B2793" s="12" t="s">
        <v>2829</v>
      </c>
      <c r="C2793" s="49" t="s">
        <v>6575</v>
      </c>
      <c r="D2793" s="41" t="str">
        <f ca="1">IFERROR(__xludf.DUMMYFUNCTION("IFERROR(ARRAYFORMULA(REGEXEXTRACT(C2793,""^(?:https?:\/\/)?(?:[^@\n]+@)?(?:www\.)?([^:\/\n]+)"")),"""")"),"thewoodlands.com")</f>
        <v>thewoodlands.com</v>
      </c>
      <c r="E2793" s="26" t="str">
        <f ca="1">IFERROR(__xludf.DUMMYFUNCTION("""COMPUTED_VALUE"""),"New")</f>
        <v>New</v>
      </c>
      <c r="F2793" s="72">
        <v>53</v>
      </c>
      <c r="G2793" s="72">
        <v>2830</v>
      </c>
      <c r="J2793" s="27" t="s">
        <v>6576</v>
      </c>
      <c r="K2793" s="27" t="s">
        <v>5359</v>
      </c>
      <c r="L2793" s="112"/>
      <c r="M2793" s="27" t="s">
        <v>3117</v>
      </c>
      <c r="N2793" s="48">
        <v>46054</v>
      </c>
      <c r="P2793" s="26"/>
    </row>
    <row r="2794" spans="1:16" ht="14.5">
      <c r="A2794" s="3" t="s">
        <v>38</v>
      </c>
      <c r="B2794" s="12" t="s">
        <v>2829</v>
      </c>
      <c r="C2794" s="46" t="s">
        <v>6577</v>
      </c>
      <c r="D2794" s="41" t="str">
        <f ca="1">IFERROR(__xludf.DUMMYFUNCTION("IFERROR(ARRAYFORMULA(REGEXEXTRACT(C2794,""^(?:https?:\/\/)?(?:[^@\n]+@)?(?:www\.)?([^:\/\n]+)"")),"""")"),"bridgewise.com")</f>
        <v>bridgewise.com</v>
      </c>
      <c r="E2794" s="26" t="str">
        <f ca="1">IFERROR(__xludf.DUMMYFUNCTION("""COMPUTED_VALUE"""),"New")</f>
        <v>New</v>
      </c>
      <c r="F2794" s="72">
        <v>32</v>
      </c>
      <c r="G2794" s="72">
        <v>1243</v>
      </c>
      <c r="P2794" s="26"/>
    </row>
    <row r="2795" spans="1:16" ht="14.5">
      <c r="A2795" s="3" t="s">
        <v>38</v>
      </c>
      <c r="B2795" s="12" t="s">
        <v>2829</v>
      </c>
      <c r="C2795" s="46" t="s">
        <v>6578</v>
      </c>
      <c r="D2795" s="41" t="str">
        <f ca="1">IFERROR(__xludf.DUMMYFUNCTION("IFERROR(ARRAYFORMULA(REGEXEXTRACT(C2795,""^(?:https?:\/\/)?(?:[^@\n]+@)?(?:www\.)?([^:\/\n]+)"")),"""")"),"nyse.com")</f>
        <v>nyse.com</v>
      </c>
      <c r="E2795" s="26" t="str">
        <f ca="1">IFERROR(__xludf.DUMMYFUNCTION("""COMPUTED_VALUE"""),"New")</f>
        <v>New</v>
      </c>
      <c r="F2795" s="72">
        <v>85</v>
      </c>
      <c r="G2795" s="72">
        <v>758413</v>
      </c>
      <c r="P2795" s="26"/>
    </row>
    <row r="2796" spans="1:16" ht="14.5">
      <c r="A2796" s="3" t="s">
        <v>38</v>
      </c>
      <c r="B2796" s="12" t="s">
        <v>2829</v>
      </c>
      <c r="C2796" s="46" t="s">
        <v>6579</v>
      </c>
      <c r="D2796" s="41" t="str">
        <f ca="1">IFERROR(__xludf.DUMMYFUNCTION("IFERROR(ARRAYFORMULA(REGEXEXTRACT(C2796,""^(?:https?:\/\/)?(?:[^@\n]+@)?(?:www\.)?([^:\/\n]+)"")),"""")"),"hrtoday.in")</f>
        <v>hrtoday.in</v>
      </c>
      <c r="E2796" s="26" t="str">
        <f ca="1">IFERROR(__xludf.DUMMYFUNCTION("""COMPUTED_VALUE"""),"New")</f>
        <v>New</v>
      </c>
      <c r="F2796" s="72">
        <v>35</v>
      </c>
      <c r="G2796" s="72">
        <v>1697</v>
      </c>
      <c r="P2796" s="26"/>
    </row>
    <row r="2797" spans="1:16" ht="14.5">
      <c r="A2797" s="3" t="s">
        <v>38</v>
      </c>
      <c r="B2797" s="12" t="s">
        <v>2829</v>
      </c>
      <c r="C2797" s="46" t="s">
        <v>6580</v>
      </c>
      <c r="D2797" s="41" t="str">
        <f ca="1">IFERROR(__xludf.DUMMYFUNCTION("IFERROR(ARRAYFORMULA(REGEXEXTRACT(C2797,""^(?:https?:\/\/)?(?:[^@\n]+@)?(?:www\.)?([^:\/\n]+)"")),"""")"),"12news.com")</f>
        <v>12news.com</v>
      </c>
      <c r="E2797" s="26" t="str">
        <f ca="1">IFERROR(__xludf.DUMMYFUNCTION("""COMPUTED_VALUE"""),"New")</f>
        <v>New</v>
      </c>
      <c r="F2797" s="72">
        <v>76</v>
      </c>
      <c r="G2797" s="72">
        <v>85888</v>
      </c>
      <c r="P2797" s="26"/>
    </row>
    <row r="2798" spans="1:16" ht="14.5">
      <c r="A2798" s="3" t="s">
        <v>38</v>
      </c>
      <c r="B2798" s="12" t="s">
        <v>2829</v>
      </c>
      <c r="C2798" s="46" t="s">
        <v>6581</v>
      </c>
      <c r="D2798" s="41" t="str">
        <f ca="1">IFERROR(__xludf.DUMMYFUNCTION("IFERROR(ARRAYFORMULA(REGEXEXTRACT(C2798,""^(?:https?:\/\/)?(?:[^@\n]+@)?(?:www\.)?([^:\/\n]+)"")),"""")"),"constellationhb.com")</f>
        <v>constellationhb.com</v>
      </c>
      <c r="E2798" s="26" t="str">
        <f ca="1">IFERROR(__xludf.DUMMYFUNCTION("""COMPUTED_VALUE"""),"New")</f>
        <v>New</v>
      </c>
      <c r="F2798" s="72">
        <v>50</v>
      </c>
      <c r="G2798" s="72">
        <v>1788</v>
      </c>
      <c r="P2798" s="26"/>
    </row>
    <row r="2799" spans="1:16" ht="14.5">
      <c r="A2799" s="3" t="s">
        <v>38</v>
      </c>
      <c r="B2799" s="12" t="s">
        <v>2829</v>
      </c>
      <c r="C2799" s="46" t="s">
        <v>6582</v>
      </c>
      <c r="D2799" s="41" t="str">
        <f ca="1">IFERROR(__xludf.DUMMYFUNCTION("IFERROR(ARRAYFORMULA(REGEXEXTRACT(C2799,""^(?:https?:\/\/)?(?:[^@\n]+@)?(?:www\.)?([^:\/\n]+)"")),"""")"),"tampabay.com")</f>
        <v>tampabay.com</v>
      </c>
      <c r="E2799" s="26" t="str">
        <f ca="1">IFERROR(__xludf.DUMMYFUNCTION("""COMPUTED_VALUE"""),"New")</f>
        <v>New</v>
      </c>
      <c r="F2799" s="72">
        <v>85</v>
      </c>
      <c r="G2799" s="72">
        <v>239315</v>
      </c>
      <c r="P2799" s="26"/>
    </row>
    <row r="2800" spans="1:16" ht="14.5" hidden="1">
      <c r="A2800" s="5"/>
      <c r="B2800" s="12" t="s">
        <v>2829</v>
      </c>
      <c r="C2800" s="46" t="s">
        <v>6583</v>
      </c>
      <c r="D2800" s="41" t="str">
        <f ca="1">IFERROR(__xludf.DUMMYFUNCTION("IFERROR(ARRAYFORMULA(REGEXEXTRACT(C2800,""^(?:https?:\/\/)?(?:[^@\n]+@)?(?:www\.)?([^:\/\n]+)"")),"""")"),"muminthemadhouse.com")</f>
        <v>muminthemadhouse.com</v>
      </c>
      <c r="E2800" s="26" t="str">
        <f ca="1">IFERROR(__xludf.DUMMYFUNCTION("""COMPUTED_VALUE"""),"Already Exists")</f>
        <v>Already Exists</v>
      </c>
      <c r="F2800" s="72">
        <v>59</v>
      </c>
      <c r="G2800" s="72">
        <v>4753</v>
      </c>
      <c r="P2800" s="26"/>
    </row>
    <row r="2801" spans="1:16" ht="14.5">
      <c r="A2801" s="3" t="s">
        <v>38</v>
      </c>
      <c r="B2801" s="12" t="s">
        <v>2829</v>
      </c>
      <c r="C2801" s="46" t="s">
        <v>6584</v>
      </c>
      <c r="D2801" s="41" t="str">
        <f ca="1">IFERROR(__xludf.DUMMYFUNCTION("IFERROR(ARRAYFORMULA(REGEXEXTRACT(C2801,""^(?:https?:\/\/)?(?:[^@\n]+@)?(?:www\.)?([^:\/\n]+)"")),"""")"),"etfchannel.com")</f>
        <v>etfchannel.com</v>
      </c>
      <c r="E2801" s="26" t="str">
        <f ca="1">IFERROR(__xludf.DUMMYFUNCTION("""COMPUTED_VALUE"""),"New")</f>
        <v>New</v>
      </c>
      <c r="F2801" s="72">
        <v>42</v>
      </c>
      <c r="G2801" s="72">
        <v>2400</v>
      </c>
      <c r="P2801" s="26"/>
    </row>
    <row r="2802" spans="1:16" ht="14.5">
      <c r="A2802" s="3" t="s">
        <v>38</v>
      </c>
      <c r="B2802" s="12" t="s">
        <v>2829</v>
      </c>
      <c r="C2802" s="46" t="s">
        <v>6585</v>
      </c>
      <c r="D2802" s="41" t="str">
        <f ca="1">IFERROR(__xludf.DUMMYFUNCTION("IFERROR(ARRAYFORMULA(REGEXEXTRACT(C2802,""^(?:https?:\/\/)?(?:[^@\n]+@)?(?:www\.)?([^:\/\n]+)"")),"""")"),"abc15.com")</f>
        <v>abc15.com</v>
      </c>
      <c r="E2802" s="26" t="str">
        <f ca="1">IFERROR(__xludf.DUMMYFUNCTION("""COMPUTED_VALUE"""),"New")</f>
        <v>New</v>
      </c>
      <c r="F2802" s="72">
        <v>79</v>
      </c>
      <c r="G2802" s="72">
        <v>149392</v>
      </c>
      <c r="P2802" s="26"/>
    </row>
    <row r="2803" spans="1:16" ht="14.5">
      <c r="A2803" s="3" t="s">
        <v>38</v>
      </c>
      <c r="B2803" s="12" t="s">
        <v>2829</v>
      </c>
      <c r="C2803" s="46" t="s">
        <v>6586</v>
      </c>
      <c r="D2803" s="41" t="str">
        <f ca="1">IFERROR(__xludf.DUMMYFUNCTION("IFERROR(ARRAYFORMULA(REGEXEXTRACT(C2803,""^(?:https?:\/\/)?(?:[^@\n]+@)?(?:www\.)?([^:\/\n]+)"")),"""")"),"devx.com")</f>
        <v>devx.com</v>
      </c>
      <c r="E2803" s="26" t="str">
        <f ca="1">IFERROR(__xludf.DUMMYFUNCTION("""COMPUTED_VALUE"""),"New")</f>
        <v>New</v>
      </c>
      <c r="F2803" s="72">
        <v>74</v>
      </c>
      <c r="G2803" s="72">
        <v>4712</v>
      </c>
      <c r="P2803" s="26"/>
    </row>
    <row r="2804" spans="1:16" ht="14.5">
      <c r="A2804" s="3" t="s">
        <v>38</v>
      </c>
      <c r="B2804" s="12" t="s">
        <v>2829</v>
      </c>
      <c r="C2804" s="46" t="s">
        <v>6587</v>
      </c>
      <c r="D2804" s="41" t="str">
        <f ca="1">IFERROR(__xludf.DUMMYFUNCTION("IFERROR(ARRAYFORMULA(REGEXEXTRACT(C2804,""^(?:https?:\/\/)?(?:[^@\n]+@)?(?:www\.)?([^:\/\n]+)"")),"""")"),"a11yjobs.com")</f>
        <v>a11yjobs.com</v>
      </c>
      <c r="E2804" s="26" t="str">
        <f ca="1">IFERROR(__xludf.DUMMYFUNCTION("""COMPUTED_VALUE"""),"New")</f>
        <v>New</v>
      </c>
      <c r="F2804" s="72">
        <v>30</v>
      </c>
      <c r="G2804" s="72">
        <v>1322</v>
      </c>
      <c r="P2804" s="26"/>
    </row>
    <row r="2805" spans="1:16" ht="14.5">
      <c r="A2805" s="3" t="s">
        <v>38</v>
      </c>
      <c r="B2805" s="12" t="s">
        <v>2829</v>
      </c>
      <c r="C2805" s="46" t="s">
        <v>6588</v>
      </c>
      <c r="D2805" s="41" t="str">
        <f ca="1">IFERROR(__xludf.DUMMYFUNCTION("IFERROR(ARRAYFORMULA(REGEXEXTRACT(C2805,""^(?:https?:\/\/)?(?:[^@\n]+@)?(?:www\.)?([^:\/\n]+)"")),"""")"),"c21edge.com")</f>
        <v>c21edge.com</v>
      </c>
      <c r="E2805" s="26" t="str">
        <f ca="1">IFERROR(__xludf.DUMMYFUNCTION("""COMPUTED_VALUE"""),"New")</f>
        <v>New</v>
      </c>
      <c r="F2805" s="72">
        <v>26</v>
      </c>
      <c r="G2805" s="72">
        <v>1625</v>
      </c>
      <c r="P2805" s="26"/>
    </row>
    <row r="2806" spans="1:16" ht="14.5">
      <c r="A2806" s="3" t="s">
        <v>38</v>
      </c>
      <c r="B2806" s="12" t="s">
        <v>2829</v>
      </c>
      <c r="C2806" s="46" t="s">
        <v>6589</v>
      </c>
      <c r="D2806" s="41" t="str">
        <f ca="1">IFERROR(__xludf.DUMMYFUNCTION("IFERROR(ARRAYFORMULA(REGEXEXTRACT(C2806,""^(?:https?:\/\/)?(?:[^@\n]+@)?(?:www\.)?([^:\/\n]+)"")),"""")"),"wkyc.com")</f>
        <v>wkyc.com</v>
      </c>
      <c r="E2806" s="26" t="str">
        <f ca="1">IFERROR(__xludf.DUMMYFUNCTION("""COMPUTED_VALUE"""),"New")</f>
        <v>New</v>
      </c>
      <c r="F2806" s="72">
        <v>77</v>
      </c>
      <c r="G2806" s="72">
        <v>207494</v>
      </c>
      <c r="P2806" s="26"/>
    </row>
    <row r="2807" spans="1:16" ht="14.5">
      <c r="A2807" s="3" t="s">
        <v>38</v>
      </c>
      <c r="B2807" s="12" t="s">
        <v>2829</v>
      </c>
      <c r="C2807" s="46" t="s">
        <v>6590</v>
      </c>
      <c r="D2807" s="41" t="str">
        <f ca="1">IFERROR(__xludf.DUMMYFUNCTION("IFERROR(ARRAYFORMULA(REGEXEXTRACT(C2807,""^(?:https?:\/\/)?(?:[^@\n]+@)?(?:www\.)?([^:\/\n]+)"")),"""")"),"safeaustin.org")</f>
        <v>safeaustin.org</v>
      </c>
      <c r="E2807" s="26" t="str">
        <f ca="1">IFERROR(__xludf.DUMMYFUNCTION("""COMPUTED_VALUE"""),"New")</f>
        <v>New</v>
      </c>
      <c r="F2807" s="72">
        <v>66</v>
      </c>
      <c r="G2807" s="72">
        <v>10262</v>
      </c>
      <c r="P2807" s="26"/>
    </row>
    <row r="2808" spans="1:16" ht="14.5">
      <c r="A2808" s="3" t="s">
        <v>38</v>
      </c>
      <c r="B2808" s="12" t="s">
        <v>2829</v>
      </c>
      <c r="C2808" s="46" t="s">
        <v>6591</v>
      </c>
      <c r="D2808" s="41" t="str">
        <f ca="1">IFERROR(__xludf.DUMMYFUNCTION("IFERROR(ARRAYFORMULA(REGEXEXTRACT(C2808,""^(?:https?:\/\/)?(?:[^@\n]+@)?(?:www\.)?([^:\/\n]+)"")),"""")"),"myneighborhoodnews.com")</f>
        <v>myneighborhoodnews.com</v>
      </c>
      <c r="E2808" s="26" t="str">
        <f ca="1">IFERROR(__xludf.DUMMYFUNCTION("""COMPUTED_VALUE"""),"New")</f>
        <v>New</v>
      </c>
      <c r="F2808" s="72">
        <v>37</v>
      </c>
      <c r="G2808" s="72">
        <v>2429</v>
      </c>
      <c r="P2808" s="26"/>
    </row>
    <row r="2809" spans="1:16" ht="14.5">
      <c r="A2809" s="3" t="s">
        <v>38</v>
      </c>
      <c r="B2809" s="12" t="s">
        <v>2829</v>
      </c>
      <c r="C2809" s="46" t="s">
        <v>6592</v>
      </c>
      <c r="D2809" s="41" t="str">
        <f ca="1">IFERROR(__xludf.DUMMYFUNCTION("IFERROR(ARRAYFORMULA(REGEXEXTRACT(C2809,""^(?:https?:\/\/)?(?:[^@\n]+@)?(?:www\.)?([^:\/\n]+)"")),"""")"),"theglobeandmail.com")</f>
        <v>theglobeandmail.com</v>
      </c>
      <c r="E2809" s="26" t="str">
        <f ca="1">IFERROR(__xludf.DUMMYFUNCTION("""COMPUTED_VALUE"""),"New")</f>
        <v>New</v>
      </c>
      <c r="F2809" s="72">
        <v>90</v>
      </c>
      <c r="G2809" s="72">
        <v>3729900</v>
      </c>
      <c r="P2809" s="26"/>
    </row>
    <row r="2810" spans="1:16" ht="14.5">
      <c r="A2810" s="3" t="s">
        <v>38</v>
      </c>
      <c r="B2810" s="12" t="s">
        <v>2829</v>
      </c>
      <c r="C2810" s="46" t="s">
        <v>6593</v>
      </c>
      <c r="D2810" s="41" t="str">
        <f ca="1">IFERROR(__xludf.DUMMYFUNCTION("IFERROR(ARRAYFORMULA(REGEXEXTRACT(C2810,""^(?:https?:\/\/)?(?:[^@\n]+@)?(?:www\.)?([^:\/\n]+)"")),"""")"),"orlandosentinel.com")</f>
        <v>orlandosentinel.com</v>
      </c>
      <c r="E2810" s="26" t="str">
        <f ca="1">IFERROR(__xludf.DUMMYFUNCTION("""COMPUTED_VALUE"""),"New")</f>
        <v>New</v>
      </c>
      <c r="F2810" s="72">
        <v>83</v>
      </c>
      <c r="G2810" s="72">
        <v>90407</v>
      </c>
      <c r="P2810" s="26"/>
    </row>
    <row r="2811" spans="1:16" ht="14.5">
      <c r="A2811" s="3" t="s">
        <v>38</v>
      </c>
      <c r="B2811" s="12" t="s">
        <v>2829</v>
      </c>
      <c r="C2811" s="46" t="s">
        <v>6594</v>
      </c>
      <c r="D2811" s="41" t="str">
        <f ca="1">IFERROR(__xludf.DUMMYFUNCTION("IFERROR(ARRAYFORMULA(REGEXEXTRACT(C2811,""^(?:https?:\/\/)?(?:[^@\n]+@)?(?:www\.)?([^:\/\n]+)"")),"""")"),"ycharts.com")</f>
        <v>ycharts.com</v>
      </c>
      <c r="E2811" s="26" t="str">
        <f ca="1">IFERROR(__xludf.DUMMYFUNCTION("""COMPUTED_VALUE"""),"New")</f>
        <v>New</v>
      </c>
      <c r="F2811" s="72">
        <v>79</v>
      </c>
      <c r="G2811" s="72">
        <v>131234</v>
      </c>
      <c r="P2811" s="26"/>
    </row>
    <row r="2812" spans="1:16" ht="14.5">
      <c r="A2812" s="3" t="s">
        <v>38</v>
      </c>
      <c r="B2812" s="12" t="s">
        <v>2829</v>
      </c>
      <c r="C2812" s="46" t="s">
        <v>6595</v>
      </c>
      <c r="D2812" s="41" t="str">
        <f ca="1">IFERROR(__xludf.DUMMYFUNCTION("IFERROR(ARRAYFORMULA(REGEXEXTRACT(C2812,""^(?:https?:\/\/)?(?:[^@\n]+@)?(?:www\.)?([^:\/\n]+)"")),"""")"),"laurentaylorlaw.com")</f>
        <v>laurentaylorlaw.com</v>
      </c>
      <c r="E2812" s="26" t="str">
        <f ca="1">IFERROR(__xludf.DUMMYFUNCTION("""COMPUTED_VALUE"""),"New")</f>
        <v>New</v>
      </c>
      <c r="F2812" s="72">
        <v>26</v>
      </c>
      <c r="G2812" s="72">
        <v>2012</v>
      </c>
      <c r="P2812" s="26"/>
    </row>
    <row r="2813" spans="1:16" ht="14.5">
      <c r="A2813" s="3" t="s">
        <v>38</v>
      </c>
      <c r="B2813" s="12" t="s">
        <v>2829</v>
      </c>
      <c r="C2813" s="46" t="s">
        <v>6596</v>
      </c>
      <c r="D2813" s="41" t="str">
        <f ca="1">IFERROR(__xludf.DUMMYFUNCTION("IFERROR(ARRAYFORMULA(REGEXEXTRACT(C2813,""^(?:https?:\/\/)?(?:[^@\n]+@)?(?:www\.)?([^:\/\n]+)"")),"""")"),"alwaysbestcare.com")</f>
        <v>alwaysbestcare.com</v>
      </c>
      <c r="E2813" s="26" t="str">
        <f ca="1">IFERROR(__xludf.DUMMYFUNCTION("""COMPUTED_VALUE"""),"New")</f>
        <v>New</v>
      </c>
      <c r="F2813" s="72">
        <v>59</v>
      </c>
      <c r="G2813" s="72">
        <v>38876</v>
      </c>
      <c r="P2813" s="26"/>
    </row>
    <row r="2814" spans="1:16" ht="14.5">
      <c r="A2814" s="3" t="s">
        <v>38</v>
      </c>
      <c r="B2814" s="12" t="s">
        <v>2829</v>
      </c>
      <c r="C2814" s="46" t="s">
        <v>6597</v>
      </c>
      <c r="D2814" s="41" t="str">
        <f ca="1">IFERROR(__xludf.DUMMYFUNCTION("IFERROR(ARRAYFORMULA(REGEXEXTRACT(C2814,""^(?:https?:\/\/)?(?:[^@\n]+@)?(?:www\.)?([^:\/\n]+)"")),"""")"),"faq.kavout.com")</f>
        <v>faq.kavout.com</v>
      </c>
      <c r="E2814" s="26" t="str">
        <f ca="1">IFERROR(__xludf.DUMMYFUNCTION("""COMPUTED_VALUE"""),"New")</f>
        <v>New</v>
      </c>
      <c r="F2814" s="72">
        <v>50</v>
      </c>
      <c r="G2814" s="72">
        <v>5348</v>
      </c>
      <c r="P2814" s="26"/>
    </row>
    <row r="2815" spans="1:16" ht="14.5">
      <c r="A2815" s="3" t="s">
        <v>38</v>
      </c>
      <c r="B2815" s="12" t="s">
        <v>2829</v>
      </c>
      <c r="C2815" s="46" t="s">
        <v>6598</v>
      </c>
      <c r="D2815" s="41" t="str">
        <f ca="1">IFERROR(__xludf.DUMMYFUNCTION("IFERROR(ARRAYFORMULA(REGEXEXTRACT(C2815,""^(?:https?:\/\/)?(?:[^@\n]+@)?(?:www\.)?([^:\/\n]+)"")),"""")"),"taylormorrison.com")</f>
        <v>taylormorrison.com</v>
      </c>
      <c r="E2815" s="26" t="str">
        <f ca="1">IFERROR(__xludf.DUMMYFUNCTION("""COMPUTED_VALUE"""),"New")</f>
        <v>New</v>
      </c>
      <c r="F2815" s="72">
        <v>36</v>
      </c>
      <c r="G2815" s="72">
        <v>2156</v>
      </c>
      <c r="P2815" s="26"/>
    </row>
    <row r="2816" spans="1:16" ht="14.5">
      <c r="A2816" s="3" t="s">
        <v>38</v>
      </c>
      <c r="B2816" s="12" t="s">
        <v>2829</v>
      </c>
      <c r="C2816" s="46" t="s">
        <v>6599</v>
      </c>
      <c r="D2816" s="41" t="str">
        <f ca="1">IFERROR(__xludf.DUMMYFUNCTION("IFERROR(ARRAYFORMULA(REGEXEXTRACT(C2816,""^(?:https?:\/\/)?(?:[^@\n]+@)?(?:www\.)?([^:\/\n]+)"")),"""")"),"youarecurrent.com")</f>
        <v>youarecurrent.com</v>
      </c>
      <c r="E2816" s="26" t="str">
        <f ca="1">IFERROR(__xludf.DUMMYFUNCTION("""COMPUTED_VALUE"""),"New")</f>
        <v>New</v>
      </c>
      <c r="F2816" s="72">
        <v>67</v>
      </c>
      <c r="G2816" s="72">
        <v>5972</v>
      </c>
      <c r="P2816" s="26"/>
    </row>
    <row r="2817" spans="1:16" ht="14.5">
      <c r="A2817" s="3" t="s">
        <v>38</v>
      </c>
      <c r="B2817" s="12" t="s">
        <v>2829</v>
      </c>
      <c r="C2817" s="46" t="s">
        <v>6600</v>
      </c>
      <c r="D2817" s="41" t="str">
        <f ca="1">IFERROR(__xludf.DUMMYFUNCTION("IFERROR(ARRAYFORMULA(REGEXEXTRACT(C2817,""^(?:https?:\/\/)?(?:[^@\n]+@)?(?:www\.)?([^:\/\n]+)"")),"""")"),"jchs.harvard.edu")</f>
        <v>jchs.harvard.edu</v>
      </c>
      <c r="E2817" s="26" t="str">
        <f ca="1">IFERROR(__xludf.DUMMYFUNCTION("""COMPUTED_VALUE"""),"New")</f>
        <v>New</v>
      </c>
      <c r="F2817" s="72">
        <v>93</v>
      </c>
      <c r="G2817" s="72">
        <v>17218034</v>
      </c>
      <c r="P2817" s="26"/>
    </row>
    <row r="2818" spans="1:16" ht="14.5">
      <c r="A2818" s="3" t="s">
        <v>38</v>
      </c>
      <c r="B2818" s="12" t="s">
        <v>2829</v>
      </c>
      <c r="C2818" s="46" t="s">
        <v>6601</v>
      </c>
      <c r="D2818" s="41" t="str">
        <f ca="1">IFERROR(__xludf.DUMMYFUNCTION("IFERROR(ARRAYFORMULA(REGEXEXTRACT(C2818,""^(?:https?:\/\/)?(?:[^@\n]+@)?(?:www\.)?([^:\/\n]+)"")),"""")"),"indiacurrents.com")</f>
        <v>indiacurrents.com</v>
      </c>
      <c r="E2818" s="26" t="str">
        <f ca="1">IFERROR(__xludf.DUMMYFUNCTION("""COMPUTED_VALUE"""),"New")</f>
        <v>New</v>
      </c>
      <c r="F2818" s="72">
        <v>61</v>
      </c>
      <c r="G2818" s="72">
        <v>9512</v>
      </c>
      <c r="P2818" s="26"/>
    </row>
    <row r="2819" spans="1:16" ht="14.5">
      <c r="A2819" s="3" t="s">
        <v>38</v>
      </c>
      <c r="B2819" s="12" t="s">
        <v>2829</v>
      </c>
      <c r="C2819" s="46" t="s">
        <v>6602</v>
      </c>
      <c r="D2819" s="41" t="str">
        <f ca="1">IFERROR(__xludf.DUMMYFUNCTION("IFERROR(ARRAYFORMULA(REGEXEXTRACT(C2819,""^(?:https?:\/\/)?(?:[^@\n]+@)?(?:www\.)?([^:\/\n]+)"")),"""")"),"thegolfwire.com")</f>
        <v>thegolfwire.com</v>
      </c>
      <c r="E2819" s="26" t="str">
        <f ca="1">IFERROR(__xludf.DUMMYFUNCTION("""COMPUTED_VALUE"""),"New")</f>
        <v>New</v>
      </c>
      <c r="F2819" s="72">
        <v>68</v>
      </c>
      <c r="G2819" s="72">
        <v>1318</v>
      </c>
      <c r="P2819" s="26"/>
    </row>
    <row r="2820" spans="1:16" ht="14.5">
      <c r="A2820" s="3" t="s">
        <v>38</v>
      </c>
      <c r="B2820" s="12" t="s">
        <v>2829</v>
      </c>
      <c r="C2820" s="46" t="s">
        <v>6603</v>
      </c>
      <c r="D2820" s="41" t="str">
        <f ca="1">IFERROR(__xludf.DUMMYFUNCTION("IFERROR(ARRAYFORMULA(REGEXEXTRACT(C2820,""^(?:https?:\/\/)?(?:[^@\n]+@)?(?:www\.)?([^:\/\n]+)"")),"""")"),"wtsp.com")</f>
        <v>wtsp.com</v>
      </c>
      <c r="E2820" s="26" t="str">
        <f ca="1">IFERROR(__xludf.DUMMYFUNCTION("""COMPUTED_VALUE"""),"New")</f>
        <v>New</v>
      </c>
      <c r="F2820" s="72">
        <v>78</v>
      </c>
      <c r="G2820" s="72">
        <v>63947</v>
      </c>
      <c r="P2820" s="26"/>
    </row>
    <row r="2821" spans="1:16" ht="14.5" hidden="1">
      <c r="A2821" s="5"/>
      <c r="B2821" s="12" t="s">
        <v>2829</v>
      </c>
      <c r="C2821" s="46" t="s">
        <v>6604</v>
      </c>
      <c r="D2821" s="41" t="str">
        <f ca="1">IFERROR(__xludf.DUMMYFUNCTION("IFERROR(ARRAYFORMULA(REGEXEXTRACT(C2821,""^(?:https?:\/\/)?(?:[^@\n]+@)?(?:www\.)?([^:\/\n]+)"")),"""")"),"cience.com")</f>
        <v>cience.com</v>
      </c>
      <c r="E2821" s="26" t="str">
        <f ca="1">IFERROR(__xludf.DUMMYFUNCTION("""COMPUTED_VALUE"""),"Already Exists")</f>
        <v>Already Exists</v>
      </c>
      <c r="F2821" s="72">
        <v>74</v>
      </c>
      <c r="G2821" s="72">
        <v>2747</v>
      </c>
      <c r="P2821" s="26"/>
    </row>
    <row r="2822" spans="1:16" ht="14.5">
      <c r="A2822" s="3" t="s">
        <v>38</v>
      </c>
      <c r="B2822" s="12" t="s">
        <v>2829</v>
      </c>
      <c r="C2822" s="46" t="s">
        <v>6605</v>
      </c>
      <c r="D2822" s="41" t="str">
        <f ca="1">IFERROR(__xludf.DUMMYFUNCTION("IFERROR(ARRAYFORMULA(REGEXEXTRACT(C2822,""^(?:https?:\/\/)?(?:[^@\n]+@)?(?:www\.)?([^:\/\n]+)"")),"""")"),"denverlifemagazine.com")</f>
        <v>denverlifemagazine.com</v>
      </c>
      <c r="E2822" s="26" t="str">
        <f ca="1">IFERROR(__xludf.DUMMYFUNCTION("""COMPUTED_VALUE"""),"New")</f>
        <v>New</v>
      </c>
      <c r="F2822" s="72">
        <v>59</v>
      </c>
      <c r="G2822" s="72">
        <v>2980</v>
      </c>
      <c r="P2822" s="26"/>
    </row>
    <row r="2823" spans="1:16" ht="14.5">
      <c r="A2823" s="3" t="s">
        <v>38</v>
      </c>
      <c r="B2823" s="12" t="s">
        <v>2829</v>
      </c>
      <c r="C2823" s="46" t="s">
        <v>6606</v>
      </c>
      <c r="D2823" s="41" t="str">
        <f ca="1">IFERROR(__xludf.DUMMYFUNCTION("IFERROR(ARRAYFORMULA(REGEXEXTRACT(C2823,""^(?:https?:\/\/)?(?:[^@\n]+@)?(?:www\.)?([^:\/\n]+)"")),"""")"),"site.financialmodelingprep.com")</f>
        <v>site.financialmodelingprep.com</v>
      </c>
      <c r="E2823" s="26" t="str">
        <f ca="1">IFERROR(__xludf.DUMMYFUNCTION("""COMPUTED_VALUE"""),"New")</f>
        <v>New</v>
      </c>
      <c r="F2823" s="72">
        <v>71</v>
      </c>
      <c r="G2823" s="72">
        <v>11531</v>
      </c>
      <c r="P2823" s="26"/>
    </row>
    <row r="2824" spans="1:16" ht="14.5">
      <c r="A2824" s="3" t="s">
        <v>38</v>
      </c>
      <c r="B2824" s="12" t="s">
        <v>2829</v>
      </c>
      <c r="C2824" s="46" t="s">
        <v>6607</v>
      </c>
      <c r="D2824" s="41" t="str">
        <f ca="1">IFERROR(__xludf.DUMMYFUNCTION("IFERROR(ARRAYFORMULA(REGEXEXTRACT(C2824,""^(?:https?:\/\/)?(?:[^@\n]+@)?(?:www\.)?([^:\/\n]+)"")),"""")"),"communities.excelsior.edu")</f>
        <v>communities.excelsior.edu</v>
      </c>
      <c r="E2824" s="26" t="str">
        <f ca="1">IFERROR(__xludf.DUMMYFUNCTION("""COMPUTED_VALUE"""),"New")</f>
        <v>New</v>
      </c>
      <c r="F2824" s="72">
        <v>73</v>
      </c>
      <c r="G2824" s="72">
        <v>173339</v>
      </c>
      <c r="P2824" s="26"/>
    </row>
    <row r="2825" spans="1:16" ht="14.5">
      <c r="A2825" s="3" t="s">
        <v>38</v>
      </c>
      <c r="B2825" s="12" t="s">
        <v>2829</v>
      </c>
      <c r="C2825" s="46" t="s">
        <v>6608</v>
      </c>
      <c r="D2825" s="41" t="str">
        <f ca="1">IFERROR(__xludf.DUMMYFUNCTION("IFERROR(ARRAYFORMULA(REGEXEXTRACT(C2825,""^(?:https?:\/\/)?(?:[^@\n]+@)?(?:www\.)?([^:\/\n]+)"")),"""")"),"ksdk.com")</f>
        <v>ksdk.com</v>
      </c>
      <c r="E2825" s="26" t="str">
        <f ca="1">IFERROR(__xludf.DUMMYFUNCTION("""COMPUTED_VALUE"""),"New")</f>
        <v>New</v>
      </c>
      <c r="F2825" s="72">
        <v>78</v>
      </c>
      <c r="G2825" s="72">
        <v>202896</v>
      </c>
      <c r="P2825" s="26"/>
    </row>
    <row r="2826" spans="1:16" ht="14.5">
      <c r="A2826" s="3" t="s">
        <v>38</v>
      </c>
      <c r="B2826" s="12" t="s">
        <v>2829</v>
      </c>
      <c r="C2826" s="46" t="s">
        <v>6609</v>
      </c>
      <c r="D2826" s="41" t="str">
        <f ca="1">IFERROR(__xludf.DUMMYFUNCTION("IFERROR(ARRAYFORMULA(REGEXEXTRACT(C2826,""^(?:https?:\/\/)?(?:[^@\n]+@)?(?:www\.)?([^:\/\n]+)"")),"""")"),"wqad.com")</f>
        <v>wqad.com</v>
      </c>
      <c r="E2826" s="26" t="str">
        <f ca="1">IFERROR(__xludf.DUMMYFUNCTION("""COMPUTED_VALUE"""),"New")</f>
        <v>New</v>
      </c>
      <c r="F2826" s="72">
        <v>72</v>
      </c>
      <c r="G2826" s="72">
        <v>38817</v>
      </c>
      <c r="P2826" s="26"/>
    </row>
    <row r="2827" spans="1:16" ht="14.5">
      <c r="A2827" s="3" t="s">
        <v>38</v>
      </c>
      <c r="B2827" s="12" t="s">
        <v>2829</v>
      </c>
      <c r="C2827" s="46" t="s">
        <v>6610</v>
      </c>
      <c r="D2827" s="41" t="str">
        <f ca="1">IFERROR(__xludf.DUMMYFUNCTION("IFERROR(ARRAYFORMULA(REGEXEXTRACT(C2827,""^(?:https?:\/\/)?(?:[^@\n]+@)?(?:www\.)?([^:\/\n]+)"")),"""")"),"app.qwoted.com")</f>
        <v>app.qwoted.com</v>
      </c>
      <c r="E2827" s="26" t="str">
        <f ca="1">IFERROR(__xludf.DUMMYFUNCTION("""COMPUTED_VALUE"""),"New")</f>
        <v>New</v>
      </c>
      <c r="F2827" s="72">
        <v>73</v>
      </c>
      <c r="G2827" s="72">
        <v>13631</v>
      </c>
      <c r="P2827" s="26"/>
    </row>
    <row r="2828" spans="1:16" ht="14.5">
      <c r="A2828" s="3" t="s">
        <v>38</v>
      </c>
      <c r="B2828" s="12" t="s">
        <v>2829</v>
      </c>
      <c r="C2828" s="46" t="s">
        <v>6611</v>
      </c>
      <c r="D2828" s="41" t="str">
        <f ca="1">IFERROR(__xludf.DUMMYFUNCTION("IFERROR(ARRAYFORMULA(REGEXEXTRACT(C2828,""^(?:https?:\/\/)?(?:[^@\n]+@)?(?:www\.)?([^:\/\n]+)"")),"""")"),"collider.com")</f>
        <v>collider.com</v>
      </c>
      <c r="E2828" s="26" t="str">
        <f ca="1">IFERROR(__xludf.DUMMYFUNCTION("""COMPUTED_VALUE"""),"New")</f>
        <v>New</v>
      </c>
      <c r="F2828" s="72">
        <v>82</v>
      </c>
      <c r="G2828" s="72">
        <v>1590690</v>
      </c>
      <c r="P2828" s="26"/>
    </row>
    <row r="2829" spans="1:16" ht="14.5">
      <c r="A2829" s="3" t="s">
        <v>38</v>
      </c>
      <c r="B2829" s="12" t="s">
        <v>2829</v>
      </c>
      <c r="C2829" s="46" t="s">
        <v>6612</v>
      </c>
      <c r="D2829" s="41" t="str">
        <f ca="1">IFERROR(__xludf.DUMMYFUNCTION("IFERROR(ARRAYFORMULA(REGEXEXTRACT(C2829,""^(?:https?:\/\/)?(?:[^@\n]+@)?(?:www\.)?([^:\/\n]+)"")),"""")"),"weareiowa.com")</f>
        <v>weareiowa.com</v>
      </c>
      <c r="E2829" s="26" t="str">
        <f ca="1">IFERROR(__xludf.DUMMYFUNCTION("""COMPUTED_VALUE"""),"New")</f>
        <v>New</v>
      </c>
      <c r="F2829" s="72">
        <v>69</v>
      </c>
      <c r="G2829" s="72">
        <v>28995</v>
      </c>
      <c r="P2829" s="26"/>
    </row>
    <row r="2830" spans="1:16" ht="14.5">
      <c r="A2830" s="3" t="s">
        <v>38</v>
      </c>
      <c r="B2830" s="12" t="s">
        <v>2829</v>
      </c>
      <c r="C2830" s="46" t="s">
        <v>6613</v>
      </c>
      <c r="D2830" s="41" t="str">
        <f ca="1">IFERROR(__xludf.DUMMYFUNCTION("IFERROR(ARRAYFORMULA(REGEXEXTRACT(C2830,""^(?:https?:\/\/)?(?:[^@\n]+@)?(?:www\.)?([^:\/\n]+)"")),"""")"),"ir.tesla.com")</f>
        <v>ir.tesla.com</v>
      </c>
      <c r="E2830" s="26" t="str">
        <f ca="1">IFERROR(__xludf.DUMMYFUNCTION("""COMPUTED_VALUE"""),"New")</f>
        <v>New</v>
      </c>
      <c r="F2830" s="72">
        <v>90</v>
      </c>
      <c r="G2830" s="72">
        <v>18527700</v>
      </c>
      <c r="P2830" s="26"/>
    </row>
    <row r="2831" spans="1:16" ht="14.5">
      <c r="A2831" s="3" t="s">
        <v>38</v>
      </c>
      <c r="B2831" s="12" t="s">
        <v>2829</v>
      </c>
      <c r="C2831" s="46" t="s">
        <v>6614</v>
      </c>
      <c r="D2831" s="41" t="str">
        <f ca="1">IFERROR(__xludf.DUMMYFUNCTION("IFERROR(ARRAYFORMULA(REGEXEXTRACT(C2831,""^(?:https?:\/\/)?(?:[^@\n]+@)?(?:www\.)?([^:\/\n]+)"")),"""")"),"ktnv.com")</f>
        <v>ktnv.com</v>
      </c>
      <c r="E2831" s="26" t="str">
        <f ca="1">IFERROR(__xludf.DUMMYFUNCTION("""COMPUTED_VALUE"""),"New")</f>
        <v>New</v>
      </c>
      <c r="F2831" s="72">
        <v>76</v>
      </c>
      <c r="G2831" s="72">
        <v>72772</v>
      </c>
      <c r="P2831" s="26"/>
    </row>
    <row r="2832" spans="1:16" ht="14.5">
      <c r="A2832" s="3" t="s">
        <v>38</v>
      </c>
      <c r="B2832" s="12" t="s">
        <v>2829</v>
      </c>
      <c r="C2832" s="46" t="s">
        <v>6615</v>
      </c>
      <c r="D2832" s="41" t="str">
        <f ca="1">IFERROR(__xludf.DUMMYFUNCTION("IFERROR(ARRAYFORMULA(REGEXEXTRACT(C2832,""^(?:https?:\/\/)?(?:[^@\n]+@)?(?:www\.)?([^:\/\n]+)"")),"""")"),"texasoutside.com")</f>
        <v>texasoutside.com</v>
      </c>
      <c r="E2832" s="26" t="str">
        <f ca="1">IFERROR(__xludf.DUMMYFUNCTION("""COMPUTED_VALUE"""),"New")</f>
        <v>New</v>
      </c>
      <c r="F2832" s="72">
        <v>48</v>
      </c>
      <c r="G2832" s="72">
        <v>4680</v>
      </c>
      <c r="P2832" s="26"/>
    </row>
    <row r="2833" spans="1:16" ht="14.5">
      <c r="A2833" s="3" t="s">
        <v>38</v>
      </c>
      <c r="B2833" s="12" t="s">
        <v>2829</v>
      </c>
      <c r="C2833" s="46" t="s">
        <v>6616</v>
      </c>
      <c r="D2833" s="41" t="str">
        <f ca="1">IFERROR(__xludf.DUMMYFUNCTION("IFERROR(ARRAYFORMULA(REGEXEXTRACT(C2833,""^(?:https?:\/\/)?(?:[^@\n]+@)?(?:www\.)?([^:\/\n]+)"")),"""")"),"butterflies.org")</f>
        <v>butterflies.org</v>
      </c>
      <c r="E2833" s="26" t="str">
        <f ca="1">IFERROR(__xludf.DUMMYFUNCTION("""COMPUTED_VALUE"""),"New")</f>
        <v>New</v>
      </c>
      <c r="F2833" s="72">
        <v>61</v>
      </c>
      <c r="G2833" s="72">
        <v>31382</v>
      </c>
      <c r="P2833" s="26"/>
    </row>
    <row r="2834" spans="1:16" ht="14.5">
      <c r="A2834" s="3" t="s">
        <v>38</v>
      </c>
      <c r="B2834" s="12" t="s">
        <v>2829</v>
      </c>
      <c r="C2834" s="46" t="s">
        <v>6617</v>
      </c>
      <c r="D2834" s="41" t="str">
        <f ca="1">IFERROR(__xludf.DUMMYFUNCTION("IFERROR(ARRAYFORMULA(REGEXEXTRACT(C2834,""^(?:https?:\/\/)?(?:[^@\n]+@)?(?:www\.)?([^:\/\n]+)"")),"""")"),"wfaa.com")</f>
        <v>wfaa.com</v>
      </c>
      <c r="E2834" s="26" t="str">
        <f ca="1">IFERROR(__xludf.DUMMYFUNCTION("""COMPUTED_VALUE"""),"New")</f>
        <v>New</v>
      </c>
      <c r="F2834" s="72">
        <v>80</v>
      </c>
      <c r="G2834" s="72">
        <v>321704</v>
      </c>
      <c r="P2834" s="26"/>
    </row>
    <row r="2835" spans="1:16" ht="14.5" hidden="1">
      <c r="A2835" s="5"/>
      <c r="B2835" s="12" t="s">
        <v>2829</v>
      </c>
      <c r="C2835" s="46" t="s">
        <v>6618</v>
      </c>
      <c r="D2835" s="41" t="str">
        <f ca="1">IFERROR(__xludf.DUMMYFUNCTION("IFERROR(ARRAYFORMULA(REGEXEXTRACT(C2835,""^(?:https?:\/\/)?(?:[^@\n]+@)?(?:www\.)?([^:\/\n]+)"")),"""")"),"har.com")</f>
        <v>har.com</v>
      </c>
      <c r="E2835" s="26" t="str">
        <f ca="1">IFERROR(__xludf.DUMMYFUNCTION("""COMPUTED_VALUE"""),"Already Exists")</f>
        <v>Already Exists</v>
      </c>
      <c r="F2835" s="72">
        <v>83</v>
      </c>
      <c r="G2835" s="72">
        <v>681368</v>
      </c>
      <c r="P2835" s="26"/>
    </row>
    <row r="2836" spans="1:16" ht="14.5">
      <c r="A2836" s="3" t="s">
        <v>38</v>
      </c>
      <c r="B2836" s="12" t="s">
        <v>2829</v>
      </c>
      <c r="C2836" s="46" t="s">
        <v>6619</v>
      </c>
      <c r="D2836" s="41" t="str">
        <f ca="1">IFERROR(__xludf.DUMMYFUNCTION("IFERROR(ARRAYFORMULA(REGEXEXTRACT(C2836,""^(?:https?:\/\/)?(?:[^@\n]+@)?(?:www\.)?([^:\/\n]+)"")),"""")"),"abc10.com")</f>
        <v>abc10.com</v>
      </c>
      <c r="E2836" s="26" t="str">
        <f ca="1">IFERROR(__xludf.DUMMYFUNCTION("""COMPUTED_VALUE"""),"New")</f>
        <v>New</v>
      </c>
      <c r="F2836" s="72">
        <v>77</v>
      </c>
      <c r="G2836" s="72">
        <v>97787</v>
      </c>
      <c r="P2836" s="26"/>
    </row>
    <row r="2837" spans="1:16" ht="14.5">
      <c r="A2837" s="3" t="s">
        <v>38</v>
      </c>
      <c r="B2837" s="12" t="s">
        <v>2829</v>
      </c>
      <c r="C2837" s="46" t="s">
        <v>6620</v>
      </c>
      <c r="D2837" s="41" t="str">
        <f ca="1">IFERROR(__xludf.DUMMYFUNCTION("IFERROR(ARRAYFORMULA(REGEXEXTRACT(C2837,""^(?:https?:\/\/)?(?:[^@\n]+@)?(?:www\.)?([^:\/\n]+)"")),"""")"),"aimagazine.com")</f>
        <v>aimagazine.com</v>
      </c>
      <c r="E2837" s="26" t="str">
        <f ca="1">IFERROR(__xludf.DUMMYFUNCTION("""COMPUTED_VALUE"""),"New")</f>
        <v>New</v>
      </c>
      <c r="F2837" s="72">
        <v>73</v>
      </c>
      <c r="G2837" s="72">
        <v>57630</v>
      </c>
      <c r="P2837" s="26"/>
    </row>
    <row r="2838" spans="1:16" ht="14.5">
      <c r="A2838" s="3" t="s">
        <v>38</v>
      </c>
      <c r="B2838" s="12" t="s">
        <v>2829</v>
      </c>
      <c r="C2838" s="46" t="s">
        <v>6621</v>
      </c>
      <c r="D2838" s="41" t="str">
        <f ca="1">IFERROR(__xludf.DUMMYFUNCTION("IFERROR(ARRAYFORMULA(REGEXEXTRACT(C2838,""^(?:https?:\/\/)?(?:[^@\n]+@)?(?:www\.)?([^:\/\n]+)"")),"""")"),"procurementmag.com")</f>
        <v>procurementmag.com</v>
      </c>
      <c r="E2838" s="26" t="str">
        <f ca="1">IFERROR(__xludf.DUMMYFUNCTION("""COMPUTED_VALUE"""),"New")</f>
        <v>New</v>
      </c>
      <c r="F2838" s="72">
        <v>69</v>
      </c>
      <c r="G2838" s="72">
        <v>41349</v>
      </c>
      <c r="P2838" s="26"/>
    </row>
    <row r="2839" spans="1:16" ht="14.5" hidden="1">
      <c r="A2839" s="5"/>
      <c r="B2839" s="12" t="s">
        <v>2829</v>
      </c>
      <c r="C2839" s="46" t="s">
        <v>6622</v>
      </c>
      <c r="D2839" s="41" t="str">
        <f ca="1">IFERROR(__xludf.DUMMYFUNCTION("IFERROR(ARRAYFORMULA(REGEXEXTRACT(C2839,""^(?:https?:\/\/)?(?:[^@\n]+@)?(?:www\.)?([^:\/\n]+)"")),"""")"),"apnews.com")</f>
        <v>apnews.com</v>
      </c>
      <c r="E2839" s="26" t="str">
        <f ca="1">IFERROR(__xludf.DUMMYFUNCTION("""COMPUTED_VALUE"""),"Already Exists")</f>
        <v>Already Exists</v>
      </c>
      <c r="F2839" s="72">
        <v>91</v>
      </c>
      <c r="G2839" s="72">
        <v>6003432</v>
      </c>
      <c r="P2839" s="26"/>
    </row>
    <row r="2840" spans="1:16" ht="14.5">
      <c r="A2840" s="3" t="s">
        <v>38</v>
      </c>
      <c r="B2840" s="12" t="s">
        <v>2829</v>
      </c>
      <c r="C2840" s="46" t="s">
        <v>6623</v>
      </c>
      <c r="D2840" s="41" t="str">
        <f ca="1">IFERROR(__xludf.DUMMYFUNCTION("IFERROR(ARRAYFORMULA(REGEXEXTRACT(C2840,""^(?:https?:\/\/)?(?:[^@\n]+@)?(?:www\.)?([^:\/\n]+)"")),"""")"),"wochamber.com")</f>
        <v>wochamber.com</v>
      </c>
      <c r="E2840" s="26" t="str">
        <f ca="1">IFERROR(__xludf.DUMMYFUNCTION("""COMPUTED_VALUE"""),"New")</f>
        <v>New</v>
      </c>
      <c r="F2840" s="72">
        <v>46</v>
      </c>
      <c r="G2840" s="72">
        <v>2349</v>
      </c>
      <c r="P2840" s="26"/>
    </row>
    <row r="2841" spans="1:16" ht="14.5">
      <c r="A2841" s="3" t="s">
        <v>38</v>
      </c>
      <c r="B2841" s="12" t="s">
        <v>2829</v>
      </c>
      <c r="C2841" s="46" t="s">
        <v>6624</v>
      </c>
      <c r="D2841" s="41" t="str">
        <f ca="1">IFERROR(__xludf.DUMMYFUNCTION("IFERROR(ARRAYFORMULA(REGEXEXTRACT(C2841,""^(?:https?:\/\/)?(?:[^@\n]+@)?(?:www\.)?([^:\/\n]+)"")),"""")"),"mountdora.com")</f>
        <v>mountdora.com</v>
      </c>
      <c r="E2841" s="26" t="str">
        <f ca="1">IFERROR(__xludf.DUMMYFUNCTION("""COMPUTED_VALUE"""),"New")</f>
        <v>New</v>
      </c>
      <c r="F2841" s="72">
        <v>45</v>
      </c>
      <c r="G2841" s="72">
        <v>3441</v>
      </c>
      <c r="P2841" s="26"/>
    </row>
    <row r="2842" spans="1:16" ht="14.5">
      <c r="A2842" s="3" t="s">
        <v>38</v>
      </c>
      <c r="B2842" s="12" t="s">
        <v>2829</v>
      </c>
      <c r="C2842" s="46" t="s">
        <v>6625</v>
      </c>
      <c r="D2842" s="41" t="str">
        <f ca="1">IFERROR(__xludf.DUMMYFUNCTION("IFERROR(ARRAYFORMULA(REGEXEXTRACT(C2842,""^(?:https?:\/\/)?(?:[^@\n]+@)?(?:www\.)?([^:\/\n]+)"")),"""")"),"barchart.com")</f>
        <v>barchart.com</v>
      </c>
      <c r="E2842" s="26" t="str">
        <f ca="1">IFERROR(__xludf.DUMMYFUNCTION("""COMPUTED_VALUE"""),"New")</f>
        <v>New</v>
      </c>
      <c r="F2842" s="72">
        <v>80</v>
      </c>
      <c r="G2842" s="72">
        <v>1858882</v>
      </c>
      <c r="P2842" s="26"/>
    </row>
    <row r="2843" spans="1:16" ht="14.5">
      <c r="A2843" s="3" t="s">
        <v>38</v>
      </c>
      <c r="B2843" s="12" t="s">
        <v>2829</v>
      </c>
      <c r="C2843" s="46" t="s">
        <v>6626</v>
      </c>
      <c r="D2843" s="41" t="str">
        <f ca="1">IFERROR(__xludf.DUMMYFUNCTION("IFERROR(ARRAYFORMULA(REGEXEXTRACT(C2843,""^(?:https?:\/\/)?(?:[^@\n]+@)?(?:www\.)?([^:\/\n]+)"")),"""")"),"scstrti.in")</f>
        <v>scstrti.in</v>
      </c>
      <c r="E2843" s="26" t="str">
        <f ca="1">IFERROR(__xludf.DUMMYFUNCTION("""COMPUTED_VALUE"""),"New")</f>
        <v>New</v>
      </c>
      <c r="F2843" s="72">
        <v>32</v>
      </c>
      <c r="G2843" s="72">
        <v>2335</v>
      </c>
      <c r="P2843" s="26"/>
    </row>
    <row r="2844" spans="1:16" ht="14.5">
      <c r="A2844" s="3" t="s">
        <v>38</v>
      </c>
      <c r="B2844" s="12" t="s">
        <v>2829</v>
      </c>
      <c r="C2844" s="46" t="s">
        <v>6627</v>
      </c>
      <c r="D2844" s="41" t="str">
        <f ca="1">IFERROR(__xludf.DUMMYFUNCTION("IFERROR(ARRAYFORMULA(REGEXEXTRACT(C2844,""^(?:https?:\/\/)?(?:[^@\n]+@)?(?:www\.)?([^:\/\n]+)"")),"""")"),"skrapp.io")</f>
        <v>skrapp.io</v>
      </c>
      <c r="E2844" s="26" t="str">
        <f ca="1">IFERROR(__xludf.DUMMYFUNCTION("""COMPUTED_VALUE"""),"New")</f>
        <v>New</v>
      </c>
      <c r="F2844" s="72">
        <v>70</v>
      </c>
      <c r="G2844" s="72">
        <v>64937</v>
      </c>
      <c r="P2844" s="26"/>
    </row>
    <row r="2845" spans="1:16" ht="14.5">
      <c r="A2845" s="3" t="s">
        <v>38</v>
      </c>
      <c r="B2845" s="12" t="s">
        <v>2829</v>
      </c>
      <c r="C2845" s="46" t="s">
        <v>6628</v>
      </c>
      <c r="D2845" s="41" t="str">
        <f ca="1">IFERROR(__xludf.DUMMYFUNCTION("IFERROR(ARRAYFORMULA(REGEXEXTRACT(C2845,""^(?:https?:\/\/)?(?:[^@\n]+@)?(?:www\.)?([^:\/\n]+)"")),"""")"),"aztechcouncil.org")</f>
        <v>aztechcouncil.org</v>
      </c>
      <c r="E2845" s="26" t="str">
        <f ca="1">IFERROR(__xludf.DUMMYFUNCTION("""COMPUTED_VALUE"""),"New")</f>
        <v>New</v>
      </c>
      <c r="F2845" s="72">
        <v>58</v>
      </c>
      <c r="G2845" s="72">
        <v>10488</v>
      </c>
      <c r="P2845" s="26"/>
    </row>
    <row r="2846" spans="1:16" ht="14.5">
      <c r="A2846" s="3" t="s">
        <v>38</v>
      </c>
      <c r="B2846" s="12" t="s">
        <v>2829</v>
      </c>
      <c r="C2846" s="46" t="s">
        <v>6629</v>
      </c>
      <c r="D2846" s="41" t="str">
        <f ca="1">IFERROR(__xludf.DUMMYFUNCTION("IFERROR(ARRAYFORMULA(REGEXEXTRACT(C2846,""^(?:https?:\/\/)?(?:[^@\n]+@)?(?:www\.)?([^:\/\n]+)"")),"""")"),"silive.com")</f>
        <v>silive.com</v>
      </c>
      <c r="E2846" s="26" t="str">
        <f ca="1">IFERROR(__xludf.DUMMYFUNCTION("""COMPUTED_VALUE"""),"New")</f>
        <v>New</v>
      </c>
      <c r="F2846" s="72">
        <v>79</v>
      </c>
      <c r="G2846" s="72">
        <v>293670</v>
      </c>
      <c r="P2846" s="26"/>
    </row>
    <row r="2847" spans="1:16" ht="14.5">
      <c r="A2847" s="3" t="s">
        <v>38</v>
      </c>
      <c r="B2847" s="12" t="s">
        <v>2829</v>
      </c>
      <c r="C2847" s="46" t="s">
        <v>6630</v>
      </c>
      <c r="D2847" s="41" t="str">
        <f ca="1">IFERROR(__xludf.DUMMYFUNCTION("IFERROR(ARRAYFORMULA(REGEXEXTRACT(C2847,""^(?:https?:\/\/)?(?:[^@\n]+@)?(?:www\.)?([^:\/\n]+)"")),"""")"),"waterfront-properties.com")</f>
        <v>waterfront-properties.com</v>
      </c>
      <c r="E2847" s="26" t="str">
        <f ca="1">IFERROR(__xludf.DUMMYFUNCTION("""COMPUTED_VALUE"""),"New")</f>
        <v>New</v>
      </c>
      <c r="F2847" s="72">
        <v>42</v>
      </c>
      <c r="G2847" s="72">
        <v>3103</v>
      </c>
      <c r="P2847" s="26"/>
    </row>
    <row r="2848" spans="1:16" ht="14.5">
      <c r="A2848" s="3" t="s">
        <v>38</v>
      </c>
      <c r="B2848" s="12" t="s">
        <v>2829</v>
      </c>
      <c r="C2848" s="46" t="s">
        <v>6631</v>
      </c>
      <c r="D2848" s="41" t="str">
        <f ca="1">IFERROR(__xludf.DUMMYFUNCTION("IFERROR(ARRAYFORMULA(REGEXEXTRACT(C2848,""^(?:https?:\/\/)?(?:[^@\n]+@)?(?:www\.)?([^:\/\n]+)"")),"""")"),"roughdraftatlanta.com")</f>
        <v>roughdraftatlanta.com</v>
      </c>
      <c r="E2848" s="26" t="str">
        <f ca="1">IFERROR(__xludf.DUMMYFUNCTION("""COMPUTED_VALUE"""),"New")</f>
        <v>New</v>
      </c>
      <c r="F2848" s="72">
        <v>72</v>
      </c>
      <c r="G2848" s="72">
        <v>75005</v>
      </c>
      <c r="P2848" s="26"/>
    </row>
    <row r="2849" spans="1:16" ht="14.5">
      <c r="A2849" s="3" t="s">
        <v>38</v>
      </c>
      <c r="B2849" s="12" t="s">
        <v>2829</v>
      </c>
      <c r="C2849" s="46" t="s">
        <v>6632</v>
      </c>
      <c r="D2849" s="41" t="str">
        <f ca="1">IFERROR(__xludf.DUMMYFUNCTION("IFERROR(ARRAYFORMULA(REGEXEXTRACT(C2849,""^(?:https?:\/\/)?(?:[^@\n]+@)?(?:www\.)?([^:\/\n]+)"")),"""")"),"latimes.com")</f>
        <v>latimes.com</v>
      </c>
      <c r="E2849" s="26" t="str">
        <f ca="1">IFERROR(__xludf.DUMMYFUNCTION("""COMPUTED_VALUE"""),"New")</f>
        <v>New</v>
      </c>
      <c r="F2849" s="72">
        <v>92</v>
      </c>
      <c r="G2849" s="72">
        <v>3861298</v>
      </c>
      <c r="P2849" s="26"/>
    </row>
    <row r="2850" spans="1:16" ht="14.5">
      <c r="A2850" s="3" t="s">
        <v>38</v>
      </c>
      <c r="B2850" s="12" t="s">
        <v>2829</v>
      </c>
      <c r="C2850" s="46" t="s">
        <v>6633</v>
      </c>
      <c r="D2850" s="41" t="str">
        <f ca="1">IFERROR(__xludf.DUMMYFUNCTION("IFERROR(ARRAYFORMULA(REGEXEXTRACT(C2850,""^(?:https?:\/\/)?(?:[^@\n]+@)?(?:www\.)?([^:\/\n]+)"")),"""")"),"trust.bizjournals.com")</f>
        <v>trust.bizjournals.com</v>
      </c>
      <c r="E2850" s="26" t="str">
        <f ca="1">IFERROR(__xludf.DUMMYFUNCTION("""COMPUTED_VALUE"""),"New")</f>
        <v>New</v>
      </c>
      <c r="F2850" s="72">
        <v>91</v>
      </c>
      <c r="G2850" s="72">
        <v>452976</v>
      </c>
      <c r="P2850" s="26"/>
    </row>
    <row r="2851" spans="1:16" ht="14.5" hidden="1">
      <c r="A2851" s="5"/>
      <c r="B2851" s="12" t="s">
        <v>2829</v>
      </c>
      <c r="C2851" s="46" t="s">
        <v>6634</v>
      </c>
      <c r="D2851" s="41" t="str">
        <f ca="1">IFERROR(__xludf.DUMMYFUNCTION("IFERROR(ARRAYFORMULA(REGEXEXTRACT(C2851,""^(?:https?:\/\/)?(?:[^@\n]+@)?(?:www\.)?([^:\/\n]+)"")),"""")"),"flexhouse.org")</f>
        <v>flexhouse.org</v>
      </c>
      <c r="E2851" s="26" t="str">
        <f ca="1">IFERROR(__xludf.DUMMYFUNCTION("""COMPUTED_VALUE"""),"Already Exists")</f>
        <v>Already Exists</v>
      </c>
      <c r="F2851" s="72">
        <v>40</v>
      </c>
      <c r="G2851" s="72">
        <v>52078</v>
      </c>
      <c r="P2851" s="26"/>
    </row>
    <row r="2852" spans="1:16" ht="14.5">
      <c r="A2852" s="3" t="s">
        <v>38</v>
      </c>
      <c r="B2852" s="12" t="s">
        <v>2829</v>
      </c>
      <c r="C2852" s="46" t="s">
        <v>6635</v>
      </c>
      <c r="D2852" s="41" t="str">
        <f ca="1">IFERROR(__xludf.DUMMYFUNCTION("IFERROR(ARRAYFORMULA(REGEXEXTRACT(C2852,""^(?:https?:\/\/)?(?:[^@\n]+@)?(?:www\.)?([^:\/\n]+)"")),"""")"),"chicagomag.com")</f>
        <v>chicagomag.com</v>
      </c>
      <c r="E2852" s="26" t="str">
        <f ca="1">IFERROR(__xludf.DUMMYFUNCTION("""COMPUTED_VALUE"""),"New")</f>
        <v>New</v>
      </c>
      <c r="F2852" s="72">
        <v>79</v>
      </c>
      <c r="G2852" s="72">
        <v>32118</v>
      </c>
      <c r="P2852" s="26"/>
    </row>
    <row r="2853" spans="1:16" ht="14.5">
      <c r="A2853" s="3" t="s">
        <v>38</v>
      </c>
      <c r="B2853" s="12" t="s">
        <v>2829</v>
      </c>
      <c r="C2853" s="46" t="s">
        <v>6636</v>
      </c>
      <c r="D2853" s="41" t="str">
        <f ca="1">IFERROR(__xludf.DUMMYFUNCTION("IFERROR(ARRAYFORMULA(REGEXEXTRACT(C2853,""^(?:https?:\/\/)?(?:[^@\n]+@)?(?:www\.)?([^:\/\n]+)"")),"""")"),"discountingcashflows.com")</f>
        <v>discountingcashflows.com</v>
      </c>
      <c r="E2853" s="26" t="str">
        <f ca="1">IFERROR(__xludf.DUMMYFUNCTION("""COMPUTED_VALUE"""),"New")</f>
        <v>New</v>
      </c>
      <c r="F2853" s="72">
        <v>26</v>
      </c>
      <c r="G2853" s="72">
        <v>1004</v>
      </c>
      <c r="P2853" s="26"/>
    </row>
    <row r="2854" spans="1:16" ht="14.5">
      <c r="A2854" s="3" t="s">
        <v>38</v>
      </c>
      <c r="B2854" s="12" t="s">
        <v>2829</v>
      </c>
      <c r="C2854" s="46" t="s">
        <v>6637</v>
      </c>
      <c r="D2854" s="41" t="str">
        <f ca="1">IFERROR(__xludf.DUMMYFUNCTION("IFERROR(ARRAYFORMULA(REGEXEXTRACT(C2854,""^(?:https?:\/\/)?(?:[^@\n]+@)?(?:www\.)?([^:\/\n]+)"")),"""")"),"dnbeiendom.no")</f>
        <v>dnbeiendom.no</v>
      </c>
      <c r="E2854" s="26" t="str">
        <f ca="1">IFERROR(__xludf.DUMMYFUNCTION("""COMPUTED_VALUE"""),"New")</f>
        <v>New</v>
      </c>
      <c r="F2854" s="72">
        <v>59</v>
      </c>
      <c r="G2854" s="72">
        <v>36227</v>
      </c>
      <c r="P2854" s="26"/>
    </row>
    <row r="2855" spans="1:16" ht="14.5">
      <c r="A2855" s="3" t="s">
        <v>38</v>
      </c>
      <c r="B2855" s="12" t="s">
        <v>2829</v>
      </c>
      <c r="C2855" s="46" t="s">
        <v>6638</v>
      </c>
      <c r="D2855" s="41" t="str">
        <f ca="1">IFERROR(__xludf.DUMMYFUNCTION("IFERROR(ARRAYFORMULA(REGEXEXTRACT(C2855,""^(?:https?:\/\/)?(?:[^@\n]+@)?(?:www\.)?([^:\/\n]+)"")),"""")"),"app.podcastguru.io")</f>
        <v>app.podcastguru.io</v>
      </c>
      <c r="E2855" s="26" t="str">
        <f ca="1">IFERROR(__xludf.DUMMYFUNCTION("""COMPUTED_VALUE"""),"New")</f>
        <v>New</v>
      </c>
      <c r="F2855" s="72">
        <v>58</v>
      </c>
      <c r="G2855" s="72">
        <v>2706</v>
      </c>
      <c r="P2855" s="26"/>
    </row>
    <row r="2856" spans="1:16" ht="14.5">
      <c r="A2856" s="3" t="s">
        <v>38</v>
      </c>
      <c r="B2856" s="12" t="s">
        <v>2829</v>
      </c>
      <c r="C2856" s="46" t="s">
        <v>6639</v>
      </c>
      <c r="D2856" s="41" t="str">
        <f ca="1">IFERROR(__xludf.DUMMYFUNCTION("IFERROR(ARRAYFORMULA(REGEXEXTRACT(C2856,""^(?:https?:\/\/)?(?:[^@\n]+@)?(?:www\.)?([^:\/\n]+)"")),"""")"),"colliers.com")</f>
        <v>colliers.com</v>
      </c>
      <c r="E2856" s="26" t="str">
        <f ca="1">IFERROR(__xludf.DUMMYFUNCTION("""COMPUTED_VALUE"""),"New")</f>
        <v>New</v>
      </c>
      <c r="F2856" s="72">
        <v>81</v>
      </c>
      <c r="G2856" s="72">
        <v>88349</v>
      </c>
      <c r="P2856" s="26"/>
    </row>
    <row r="2857" spans="1:16" ht="14.5">
      <c r="A2857" s="3" t="s">
        <v>38</v>
      </c>
      <c r="B2857" s="12" t="s">
        <v>2829</v>
      </c>
      <c r="C2857" s="46" t="s">
        <v>6640</v>
      </c>
      <c r="D2857" s="41" t="str">
        <f ca="1">IFERROR(__xludf.DUMMYFUNCTION("IFERROR(ARRAYFORMULA(REGEXEXTRACT(C2857,""^(?:https?:\/\/)?(?:[^@\n]+@)?(?:www\.)?([^:\/\n]+)"")),"""")"),"newswire.com")</f>
        <v>newswire.com</v>
      </c>
      <c r="E2857" s="26" t="str">
        <f ca="1">IFERROR(__xludf.DUMMYFUNCTION("""COMPUTED_VALUE"""),"New")</f>
        <v>New</v>
      </c>
      <c r="F2857" s="72">
        <v>83</v>
      </c>
      <c r="G2857" s="72">
        <v>26217</v>
      </c>
      <c r="P2857" s="26"/>
    </row>
    <row r="2858" spans="1:16" ht="14.5">
      <c r="A2858" s="3" t="s">
        <v>38</v>
      </c>
      <c r="B2858" s="12" t="s">
        <v>2829</v>
      </c>
      <c r="C2858" s="46" t="s">
        <v>6641</v>
      </c>
      <c r="D2858" s="41" t="str">
        <f ca="1">IFERROR(__xludf.DUMMYFUNCTION("IFERROR(ARRAYFORMULA(REGEXEXTRACT(C2858,""^(?:https?:\/\/)?(?:[^@\n]+@)?(?:www\.)?([^:\/\n]+)"")),"""")"),"globalconstructionreview.com")</f>
        <v>globalconstructionreview.com</v>
      </c>
      <c r="E2858" s="26" t="str">
        <f ca="1">IFERROR(__xludf.DUMMYFUNCTION("""COMPUTED_VALUE"""),"New")</f>
        <v>New</v>
      </c>
      <c r="F2858" s="72">
        <v>70</v>
      </c>
      <c r="G2858" s="72">
        <v>1392</v>
      </c>
      <c r="P2858" s="26"/>
    </row>
    <row r="2859" spans="1:16" ht="14.5">
      <c r="A2859" s="3" t="s">
        <v>38</v>
      </c>
      <c r="B2859" s="12" t="s">
        <v>2829</v>
      </c>
      <c r="C2859" s="46" t="s">
        <v>6642</v>
      </c>
      <c r="D2859" s="41" t="str">
        <f ca="1">IFERROR(__xludf.DUMMYFUNCTION("IFERROR(ARRAYFORMULA(REGEXEXTRACT(C2859,""^(?:https?:\/\/)?(?:[^@\n]+@)?(?:www\.)?([^:\/\n]+)"")),"""")"),"lightyear.com")</f>
        <v>lightyear.com</v>
      </c>
      <c r="E2859" s="26" t="str">
        <f ca="1">IFERROR(__xludf.DUMMYFUNCTION("""COMPUTED_VALUE"""),"New")</f>
        <v>New</v>
      </c>
      <c r="F2859" s="72">
        <v>49</v>
      </c>
      <c r="G2859" s="72">
        <v>158319</v>
      </c>
      <c r="P2859" s="26"/>
    </row>
    <row r="2860" spans="1:16" ht="14.5">
      <c r="A2860" s="3" t="s">
        <v>38</v>
      </c>
      <c r="B2860" s="12" t="s">
        <v>2829</v>
      </c>
      <c r="C2860" s="46" t="s">
        <v>6643</v>
      </c>
      <c r="D2860" s="41" t="str">
        <f ca="1">IFERROR(__xludf.DUMMYFUNCTION("IFERROR(ARRAYFORMULA(REGEXEXTRACT(C2860,""^(?:https?:\/\/)?(?:[^@\n]+@)?(?:www\.)?([^:\/\n]+)"")),"""")"),"pages.m1.com")</f>
        <v>pages.m1.com</v>
      </c>
      <c r="E2860" s="26" t="str">
        <f ca="1">IFERROR(__xludf.DUMMYFUNCTION("""COMPUTED_VALUE"""),"New")</f>
        <v>New</v>
      </c>
      <c r="F2860" s="72">
        <v>67</v>
      </c>
      <c r="G2860" s="72">
        <v>88981</v>
      </c>
      <c r="P2860" s="26"/>
    </row>
    <row r="2861" spans="1:16" ht="14.5">
      <c r="A2861" s="3" t="s">
        <v>38</v>
      </c>
      <c r="B2861" s="12" t="s">
        <v>2829</v>
      </c>
      <c r="C2861" s="46" t="s">
        <v>6644</v>
      </c>
      <c r="D2861" s="41" t="str">
        <f ca="1">IFERROR(__xludf.DUMMYFUNCTION("IFERROR(ARRAYFORMULA(REGEXEXTRACT(C2861,""^(?:https?:\/\/)?(?:[^@\n]+@)?(?:www\.)?([^:\/\n]+)"")),"""")"),"energydigital.com")</f>
        <v>energydigital.com</v>
      </c>
      <c r="E2861" s="26" t="str">
        <f ca="1">IFERROR(__xludf.DUMMYFUNCTION("""COMPUTED_VALUE"""),"New")</f>
        <v>New</v>
      </c>
      <c r="F2861" s="72">
        <v>68</v>
      </c>
      <c r="G2861" s="72">
        <v>24954</v>
      </c>
      <c r="P2861" s="26"/>
    </row>
    <row r="2862" spans="1:16" ht="14.5">
      <c r="A2862" s="3" t="s">
        <v>38</v>
      </c>
      <c r="B2862" s="12" t="s">
        <v>2829</v>
      </c>
      <c r="C2862" s="46" t="s">
        <v>6645</v>
      </c>
      <c r="D2862" s="41" t="str">
        <f ca="1">IFERROR(__xludf.DUMMYFUNCTION("IFERROR(ARRAYFORMULA(REGEXEXTRACT(C2862,""^(?:https?:\/\/)?(?:[^@\n]+@)?(?:www\.)?([^:\/\n]+)"")),"""")"),"rdcnewsadvice.wpengine.com")</f>
        <v>rdcnewsadvice.wpengine.com</v>
      </c>
      <c r="E2862" s="26" t="str">
        <f ca="1">IFERROR(__xludf.DUMMYFUNCTION("""COMPUTED_VALUE"""),"New")</f>
        <v>New</v>
      </c>
      <c r="F2862" s="72">
        <v>93</v>
      </c>
      <c r="G2862" s="72">
        <v>259880</v>
      </c>
      <c r="P2862" s="26"/>
    </row>
    <row r="2863" spans="1:16" ht="14.5">
      <c r="A2863" s="3" t="s">
        <v>38</v>
      </c>
      <c r="B2863" s="12" t="s">
        <v>2829</v>
      </c>
      <c r="C2863" s="46" t="s">
        <v>6646</v>
      </c>
      <c r="D2863" s="41" t="str">
        <f ca="1">IFERROR(__xludf.DUMMYFUNCTION("IFERROR(ARRAYFORMULA(REGEXEXTRACT(C2863,""^(?:https?:\/\/)?(?:[^@\n]+@)?(?:www\.)?([^:\/\n]+)"")),"""")"),"castlegroup.com")</f>
        <v>castlegroup.com</v>
      </c>
      <c r="E2863" s="26" t="str">
        <f ca="1">IFERROR(__xludf.DUMMYFUNCTION("""COMPUTED_VALUE"""),"New")</f>
        <v>New</v>
      </c>
      <c r="F2863" s="72">
        <v>56</v>
      </c>
      <c r="G2863" s="72">
        <v>3398</v>
      </c>
      <c r="P2863" s="26"/>
    </row>
    <row r="2864" spans="1:16" ht="14.5">
      <c r="A2864" s="3" t="s">
        <v>38</v>
      </c>
      <c r="B2864" s="12" t="s">
        <v>2829</v>
      </c>
      <c r="C2864" s="46" t="s">
        <v>6647</v>
      </c>
      <c r="D2864" s="41" t="str">
        <f ca="1">IFERROR(__xludf.DUMMYFUNCTION("IFERROR(ARRAYFORMULA(REGEXEXTRACT(C2864,""^(?:https?:\/\/)?(?:[^@\n]+@)?(?:www\.)?([^:\/\n]+)"")),"""")"),"hines.com")</f>
        <v>hines.com</v>
      </c>
      <c r="E2864" s="26" t="str">
        <f ca="1">IFERROR(__xludf.DUMMYFUNCTION("""COMPUTED_VALUE"""),"New")</f>
        <v>New</v>
      </c>
      <c r="F2864" s="72">
        <v>75</v>
      </c>
      <c r="G2864" s="72">
        <v>29605</v>
      </c>
      <c r="P2864" s="26"/>
    </row>
    <row r="2865" spans="1:16" ht="14.5">
      <c r="A2865" s="3" t="s">
        <v>38</v>
      </c>
      <c r="B2865" s="12" t="s">
        <v>2829</v>
      </c>
      <c r="C2865" s="46" t="s">
        <v>6648</v>
      </c>
      <c r="D2865" s="41" t="str">
        <f ca="1">IFERROR(__xludf.DUMMYFUNCTION("IFERROR(ARRAYFORMULA(REGEXEXTRACT(C2865,""^(?:https?:\/\/)?(?:[^@\n]+@)?(?:www\.)?([^:\/\n]+)"")),"""")"),"realtyinorlando.com")</f>
        <v>realtyinorlando.com</v>
      </c>
      <c r="E2865" s="26" t="str">
        <f ca="1">IFERROR(__xludf.DUMMYFUNCTION("""COMPUTED_VALUE"""),"New")</f>
        <v>New</v>
      </c>
      <c r="F2865" s="72">
        <v>29</v>
      </c>
      <c r="G2865" s="72">
        <v>9613</v>
      </c>
      <c r="P2865" s="26"/>
    </row>
    <row r="2866" spans="1:16" ht="14.5">
      <c r="A2866" s="3" t="s">
        <v>38</v>
      </c>
      <c r="B2866" s="12" t="s">
        <v>2829</v>
      </c>
      <c r="C2866" s="46" t="s">
        <v>6649</v>
      </c>
      <c r="D2866" s="41" t="str">
        <f ca="1">IFERROR(__xludf.DUMMYFUNCTION("IFERROR(ARRAYFORMULA(REGEXEXTRACT(C2866,""^(?:https?:\/\/)?(?:[^@\n]+@)?(?:www\.)?([^:\/\n]+)"")),"""")"),"discovery.hgdata.com")</f>
        <v>discovery.hgdata.com</v>
      </c>
      <c r="E2866" s="26" t="str">
        <f ca="1">IFERROR(__xludf.DUMMYFUNCTION("""COMPUTED_VALUE"""),"New")</f>
        <v>New</v>
      </c>
      <c r="F2866" s="72">
        <v>60</v>
      </c>
      <c r="G2866" s="72">
        <v>4960</v>
      </c>
      <c r="P2866" s="26"/>
    </row>
    <row r="2867" spans="1:16" ht="14.5">
      <c r="A2867" s="3" t="s">
        <v>38</v>
      </c>
      <c r="B2867" s="12" t="s">
        <v>2829</v>
      </c>
      <c r="C2867" s="46" t="s">
        <v>6650</v>
      </c>
      <c r="D2867" s="41" t="str">
        <f ca="1">IFERROR(__xludf.DUMMYFUNCTION("IFERROR(ARRAYFORMULA(REGEXEXTRACT(C2867,""^(?:https?:\/\/)?(?:[^@\n]+@)?(?:www\.)?([^:\/\n]+)"")),"""")"),"baynews9.com")</f>
        <v>baynews9.com</v>
      </c>
      <c r="E2867" s="26" t="str">
        <f ca="1">IFERROR(__xludf.DUMMYFUNCTION("""COMPUTED_VALUE"""),"New")</f>
        <v>New</v>
      </c>
      <c r="F2867" s="72">
        <v>76</v>
      </c>
      <c r="G2867" s="72">
        <v>169157</v>
      </c>
      <c r="P2867" s="26"/>
    </row>
    <row r="2868" spans="1:16" ht="14.5">
      <c r="A2868" s="3" t="s">
        <v>38</v>
      </c>
      <c r="B2868" s="12" t="s">
        <v>2829</v>
      </c>
      <c r="C2868" s="46" t="s">
        <v>6651</v>
      </c>
      <c r="D2868" s="41" t="str">
        <f ca="1">IFERROR(__xludf.DUMMYFUNCTION("IFERROR(ARRAYFORMULA(REGEXEXTRACT(C2868,""^(?:https?:\/\/)?(?:[^@\n]+@)?(?:www\.)?([^:\/\n]+)"")),"""")"),"content.yudu.com")</f>
        <v>content.yudu.com</v>
      </c>
      <c r="E2868" s="26" t="str">
        <f ca="1">IFERROR(__xludf.DUMMYFUNCTION("""COMPUTED_VALUE"""),"New")</f>
        <v>New</v>
      </c>
      <c r="F2868" s="72">
        <v>82</v>
      </c>
      <c r="G2868" s="72">
        <v>1970</v>
      </c>
      <c r="P2868" s="26"/>
    </row>
    <row r="2869" spans="1:16" ht="14.5">
      <c r="A2869" s="3" t="s">
        <v>38</v>
      </c>
      <c r="B2869" s="12" t="s">
        <v>2829</v>
      </c>
      <c r="C2869" s="46" t="s">
        <v>6652</v>
      </c>
      <c r="D2869" s="41" t="str">
        <f ca="1">IFERROR(__xludf.DUMMYFUNCTION("IFERROR(ARRAYFORMULA(REGEXEXTRACT(C2869,""^(?:https?:\/\/)?(?:[^@\n]+@)?(?:www\.)?([^:\/\n]+)"")),"""")"),"highperformr.ai")</f>
        <v>highperformr.ai</v>
      </c>
      <c r="E2869" s="26" t="str">
        <f ca="1">IFERROR(__xludf.DUMMYFUNCTION("""COMPUTED_VALUE"""),"New")</f>
        <v>New</v>
      </c>
      <c r="F2869" s="72">
        <v>57</v>
      </c>
      <c r="G2869" s="72">
        <v>15097</v>
      </c>
      <c r="P2869" s="26"/>
    </row>
    <row r="2870" spans="1:16" ht="14.5">
      <c r="A2870" s="3" t="s">
        <v>38</v>
      </c>
      <c r="B2870" s="12" t="s">
        <v>2829</v>
      </c>
      <c r="C2870" s="46" t="s">
        <v>6653</v>
      </c>
      <c r="D2870" s="41" t="str">
        <f ca="1">IFERROR(__xludf.DUMMYFUNCTION("IFERROR(ARRAYFORMULA(REGEXEXTRACT(C2870,""^(?:https?:\/\/)?(?:[^@\n]+@)?(?:www\.)?([^:\/\n]+)"")),"""")"),"cybermagazine.com")</f>
        <v>cybermagazine.com</v>
      </c>
      <c r="E2870" s="26" t="str">
        <f ca="1">IFERROR(__xludf.DUMMYFUNCTION("""COMPUTED_VALUE"""),"New")</f>
        <v>New</v>
      </c>
      <c r="F2870" s="72">
        <v>72</v>
      </c>
      <c r="G2870" s="72">
        <v>32211</v>
      </c>
      <c r="P2870" s="26"/>
    </row>
    <row r="2871" spans="1:16" ht="14.5">
      <c r="A2871" s="3" t="s">
        <v>38</v>
      </c>
      <c r="B2871" s="12" t="s">
        <v>2829</v>
      </c>
      <c r="C2871" s="46" t="s">
        <v>6654</v>
      </c>
      <c r="D2871" s="41" t="str">
        <f ca="1">IFERROR(__xludf.DUMMYFUNCTION("IFERROR(ARRAYFORMULA(REGEXEXTRACT(C2871,""^(?:https?:\/\/)?(?:[^@\n]+@)?(?:www\.)?([^:\/\n]+)"")),"""")"),"futunn.com")</f>
        <v>futunn.com</v>
      </c>
      <c r="E2871" s="26" t="str">
        <f ca="1">IFERROR(__xludf.DUMMYFUNCTION("""COMPUTED_VALUE"""),"New")</f>
        <v>New</v>
      </c>
      <c r="F2871" s="72">
        <v>71</v>
      </c>
      <c r="G2871" s="72">
        <v>1066989</v>
      </c>
      <c r="P2871" s="26"/>
    </row>
    <row r="2872" spans="1:16" ht="14.5">
      <c r="A2872" s="3" t="s">
        <v>38</v>
      </c>
      <c r="B2872" s="12" t="s">
        <v>2829</v>
      </c>
      <c r="C2872" s="46" t="s">
        <v>6655</v>
      </c>
      <c r="D2872" s="41" t="str">
        <f ca="1">IFERROR(__xludf.DUMMYFUNCTION("IFERROR(ARRAYFORMULA(REGEXEXTRACT(C2872,""^(?:https?:\/\/)?(?:[^@\n]+@)?(?:www\.)?([^:\/\n]+)"")),"""")"),"moen.com")</f>
        <v>moen.com</v>
      </c>
      <c r="E2872" s="26" t="str">
        <f ca="1">IFERROR(__xludf.DUMMYFUNCTION("""COMPUTED_VALUE"""),"New")</f>
        <v>New</v>
      </c>
      <c r="F2872" s="72">
        <v>78</v>
      </c>
      <c r="G2872" s="72">
        <v>419853</v>
      </c>
      <c r="P2872" s="26"/>
    </row>
    <row r="2873" spans="1:16" ht="14.5">
      <c r="A2873" s="3" t="s">
        <v>38</v>
      </c>
      <c r="B2873" s="12" t="s">
        <v>2829</v>
      </c>
      <c r="C2873" s="46" t="s">
        <v>6656</v>
      </c>
      <c r="D2873" s="41" t="str">
        <f ca="1">IFERROR(__xludf.DUMMYFUNCTION("IFERROR(ARRAYFORMULA(REGEXEXTRACT(C2873,""^(?:https?:\/\/)?(?:[^@\n]+@)?(?:www\.)?([^:\/\n]+)"")),"""")"),"bitscale.ai")</f>
        <v>bitscale.ai</v>
      </c>
      <c r="E2873" s="26" t="str">
        <f ca="1">IFERROR(__xludf.DUMMYFUNCTION("""COMPUTED_VALUE"""),"New")</f>
        <v>New</v>
      </c>
      <c r="F2873" s="72">
        <v>22</v>
      </c>
      <c r="G2873" s="72">
        <v>5139</v>
      </c>
      <c r="P2873" s="26"/>
    </row>
    <row r="2874" spans="1:16" ht="14.5">
      <c r="A2874" s="3" t="s">
        <v>38</v>
      </c>
      <c r="B2874" s="12" t="s">
        <v>2829</v>
      </c>
      <c r="C2874" s="46" t="s">
        <v>6657</v>
      </c>
      <c r="D2874" s="41" t="str">
        <f ca="1">IFERROR(__xludf.DUMMYFUNCTION("IFERROR(ARRAYFORMULA(REGEXEXTRACT(C2874,""^(?:https?:\/\/)?(?:[^@\n]+@)?(?:www\.)?([^:\/\n]+)"")),"""")"),"business.edf.org")</f>
        <v>business.edf.org</v>
      </c>
      <c r="E2874" s="26" t="str">
        <f ca="1">IFERROR(__xludf.DUMMYFUNCTION("""COMPUTED_VALUE"""),"New")</f>
        <v>New</v>
      </c>
      <c r="F2874" s="72">
        <v>83</v>
      </c>
      <c r="G2874" s="72">
        <v>34693</v>
      </c>
      <c r="P2874" s="26"/>
    </row>
    <row r="2875" spans="1:16" ht="14.5">
      <c r="A2875" s="3" t="s">
        <v>38</v>
      </c>
      <c r="B2875" s="12" t="s">
        <v>2829</v>
      </c>
      <c r="C2875" s="46" t="s">
        <v>6658</v>
      </c>
      <c r="D2875" s="41" t="str">
        <f ca="1">IFERROR(__xludf.DUMMYFUNCTION("IFERROR(ARRAYFORMULA(REGEXEXTRACT(C2875,""^(?:https?:\/\/)?(?:[^@\n]+@)?(?:www\.)?([^:\/\n]+)"")),"""")"),"mcknightsseniorliving.com")</f>
        <v>mcknightsseniorliving.com</v>
      </c>
      <c r="E2875" s="26" t="str">
        <f ca="1">IFERROR(__xludf.DUMMYFUNCTION("""COMPUTED_VALUE"""),"New")</f>
        <v>New</v>
      </c>
      <c r="F2875" s="72">
        <v>73</v>
      </c>
      <c r="G2875" s="72">
        <v>5899</v>
      </c>
      <c r="P2875" s="26"/>
    </row>
    <row r="2876" spans="1:16" ht="14.5">
      <c r="A2876" s="3" t="s">
        <v>38</v>
      </c>
      <c r="B2876" s="12" t="s">
        <v>2829</v>
      </c>
      <c r="C2876" s="46" t="s">
        <v>6659</v>
      </c>
      <c r="D2876" s="41" t="str">
        <f ca="1">IFERROR(__xludf.DUMMYFUNCTION("IFERROR(ARRAYFORMULA(REGEXEXTRACT(C2876,""^(?:https?:\/\/)?(?:[^@\n]+@)?(?:www\.)?([^:\/\n]+)"")),"""")"),"asgca.org")</f>
        <v>asgca.org</v>
      </c>
      <c r="E2876" s="26" t="str">
        <f ca="1">IFERROR(__xludf.DUMMYFUNCTION("""COMPUTED_VALUE"""),"New")</f>
        <v>New</v>
      </c>
      <c r="F2876" s="72">
        <v>55</v>
      </c>
      <c r="G2876" s="72">
        <v>3135</v>
      </c>
      <c r="P2876" s="26"/>
    </row>
    <row r="2877" spans="1:16" ht="14.5">
      <c r="A2877" s="3" t="s">
        <v>38</v>
      </c>
      <c r="B2877" s="12" t="s">
        <v>2829</v>
      </c>
      <c r="C2877" s="46" t="s">
        <v>6660</v>
      </c>
      <c r="D2877" s="41" t="str">
        <f ca="1">IFERROR(__xludf.DUMMYFUNCTION("IFERROR(ARRAYFORMULA(REGEXEXTRACT(C2877,""^(?:https?:\/\/)?(?:[^@\n]+@)?(?:www\.)?([^:\/\n]+)"")),"""")"),"houstontentsevents.com")</f>
        <v>houstontentsevents.com</v>
      </c>
      <c r="E2877" s="26" t="str">
        <f ca="1">IFERROR(__xludf.DUMMYFUNCTION("""COMPUTED_VALUE"""),"New")</f>
        <v>New</v>
      </c>
      <c r="F2877" s="72">
        <v>32</v>
      </c>
      <c r="G2877" s="72">
        <v>1764</v>
      </c>
      <c r="P2877" s="26"/>
    </row>
    <row r="2878" spans="1:16" ht="14.5" hidden="1">
      <c r="A2878" s="5"/>
      <c r="B2878" s="12" t="s">
        <v>2829</v>
      </c>
      <c r="C2878" s="46" t="s">
        <v>6661</v>
      </c>
      <c r="D2878" s="41" t="str">
        <f ca="1">IFERROR(__xludf.DUMMYFUNCTION("IFERROR(ARRAYFORMULA(REGEXEXTRACT(C2878,""^(?:https?:\/\/)?(?:[^@\n]+@)?(?:www\.)?([^:\/\n]+)"")),"""")"),"emmysmummy.com")</f>
        <v>emmysmummy.com</v>
      </c>
      <c r="E2878" s="26" t="str">
        <f ca="1">IFERROR(__xludf.DUMMYFUNCTION("""COMPUTED_VALUE"""),"Already Exists")</f>
        <v>Already Exists</v>
      </c>
      <c r="F2878" s="72">
        <v>39</v>
      </c>
      <c r="G2878" s="72">
        <v>1155</v>
      </c>
      <c r="P2878" s="26"/>
    </row>
    <row r="2879" spans="1:16" ht="14.5">
      <c r="A2879" s="3" t="s">
        <v>38</v>
      </c>
      <c r="B2879" s="12" t="s">
        <v>2829</v>
      </c>
      <c r="C2879" s="46" t="s">
        <v>6662</v>
      </c>
      <c r="D2879" s="41" t="str">
        <f ca="1">IFERROR(__xludf.DUMMYFUNCTION("IFERROR(ARRAYFORMULA(REGEXEXTRACT(C2879,""^(?:https?:\/\/)?(?:[^@\n]+@)?(?:www\.)?([^:\/\n]+)"")),"""")"),"meyka.com")</f>
        <v>meyka.com</v>
      </c>
      <c r="E2879" s="26" t="str">
        <f ca="1">IFERROR(__xludf.DUMMYFUNCTION("""COMPUTED_VALUE"""),"New")</f>
        <v>New</v>
      </c>
      <c r="F2879" s="72">
        <v>53</v>
      </c>
      <c r="G2879" s="72">
        <v>892877</v>
      </c>
      <c r="P2879" s="26"/>
    </row>
    <row r="2880" spans="1:16" ht="14.5">
      <c r="A2880" s="3" t="s">
        <v>38</v>
      </c>
      <c r="B2880" s="12" t="s">
        <v>2829</v>
      </c>
      <c r="C2880" s="46" t="s">
        <v>6663</v>
      </c>
      <c r="D2880" s="41" t="str">
        <f ca="1">IFERROR(__xludf.DUMMYFUNCTION("IFERROR(ARRAYFORMULA(REGEXEXTRACT(C2880,""^(?:https?:\/\/)?(?:[^@\n]+@)?(?:www\.)?([^:\/\n]+)"")),"""")"),"appsruntheworld.com")</f>
        <v>appsruntheworld.com</v>
      </c>
      <c r="E2880" s="26" t="str">
        <f ca="1">IFERROR(__xludf.DUMMYFUNCTION("""COMPUTED_VALUE"""),"New")</f>
        <v>New</v>
      </c>
      <c r="F2880" s="72">
        <v>69</v>
      </c>
      <c r="G2880" s="72">
        <v>20748</v>
      </c>
      <c r="P2880" s="26"/>
    </row>
    <row r="2881" spans="1:16" ht="14.5">
      <c r="A2881" s="3" t="s">
        <v>38</v>
      </c>
      <c r="B2881" s="12" t="s">
        <v>2829</v>
      </c>
      <c r="C2881" s="46" t="s">
        <v>6664</v>
      </c>
      <c r="D2881" s="41" t="str">
        <f ca="1">IFERROR(__xludf.DUMMYFUNCTION("IFERROR(ARRAYFORMULA(REGEXEXTRACT(C2881,""^(?:https?:\/\/)?(?:[^@\n]+@)?(?:www\.)?([^:\/\n]+)"")),"""")"),"wthr.com")</f>
        <v>wthr.com</v>
      </c>
      <c r="E2881" s="26" t="str">
        <f ca="1">IFERROR(__xludf.DUMMYFUNCTION("""COMPUTED_VALUE"""),"New")</f>
        <v>New</v>
      </c>
      <c r="F2881" s="72">
        <v>76</v>
      </c>
      <c r="G2881" s="72">
        <v>203242</v>
      </c>
      <c r="P2881" s="26"/>
    </row>
    <row r="2882" spans="1:16" ht="14.5">
      <c r="A2882" s="3" t="s">
        <v>38</v>
      </c>
      <c r="B2882" s="12" t="s">
        <v>2829</v>
      </c>
      <c r="C2882" s="46" t="s">
        <v>6665</v>
      </c>
      <c r="D2882" s="41" t="str">
        <f ca="1">IFERROR(__xludf.DUMMYFUNCTION("IFERROR(ARRAYFORMULA(REGEXEXTRACT(C2882,""^(?:https?:\/\/)?(?:[^@\n]+@)?(?:www\.)?([^:\/\n]+)"")),"""")"),"harvestgreentexas.com")</f>
        <v>harvestgreentexas.com</v>
      </c>
      <c r="E2882" s="26" t="str">
        <f ca="1">IFERROR(__xludf.DUMMYFUNCTION("""COMPUTED_VALUE"""),"New")</f>
        <v>New</v>
      </c>
      <c r="F2882" s="72">
        <v>29</v>
      </c>
      <c r="G2882" s="72">
        <v>2685</v>
      </c>
      <c r="P2882" s="26"/>
    </row>
    <row r="2883" spans="1:16" ht="14.5">
      <c r="A2883" s="3" t="s">
        <v>38</v>
      </c>
      <c r="B2883" s="12" t="s">
        <v>2829</v>
      </c>
      <c r="C2883" s="46" t="s">
        <v>6666</v>
      </c>
      <c r="D2883" s="41" t="str">
        <f ca="1">IFERROR(__xludf.DUMMYFUNCTION("IFERROR(ARRAYFORMULA(REGEXEXTRACT(C2883,""^(?:https?:\/\/)?(?:[^@\n]+@)?(?:www\.)?([^:\/\n]+)"")),"""")"),"finalscout.com")</f>
        <v>finalscout.com</v>
      </c>
      <c r="E2883" s="26" t="str">
        <f ca="1">IFERROR(__xludf.DUMMYFUNCTION("""COMPUTED_VALUE"""),"New")</f>
        <v>New</v>
      </c>
      <c r="F2883" s="72">
        <v>33</v>
      </c>
      <c r="G2883" s="72">
        <v>2111</v>
      </c>
      <c r="P2883" s="26"/>
    </row>
    <row r="2884" spans="1:16" ht="14.5">
      <c r="A2884" s="3" t="s">
        <v>38</v>
      </c>
      <c r="B2884" s="12" t="s">
        <v>2829</v>
      </c>
      <c r="C2884" s="46" t="s">
        <v>6667</v>
      </c>
      <c r="D2884" s="41" t="str">
        <f ca="1">IFERROR(__xludf.DUMMYFUNCTION("IFERROR(ARRAYFORMULA(REGEXEXTRACT(C2884,""^(?:https?:\/\/)?(?:[^@\n]+@)?(?:www\.)?([^:\/\n]+)"")),"""")"),"ge.com")</f>
        <v>ge.com</v>
      </c>
      <c r="E2884" s="26" t="str">
        <f ca="1">IFERROR(__xludf.DUMMYFUNCTION("""COMPUTED_VALUE"""),"New")</f>
        <v>New</v>
      </c>
      <c r="F2884" s="72">
        <v>86</v>
      </c>
      <c r="G2884" s="72">
        <v>242824</v>
      </c>
      <c r="P2884" s="26"/>
    </row>
    <row r="2885" spans="1:16" ht="14.5">
      <c r="A2885" s="3" t="s">
        <v>38</v>
      </c>
      <c r="B2885" s="12" t="s">
        <v>2829</v>
      </c>
      <c r="C2885" s="46" t="s">
        <v>6668</v>
      </c>
      <c r="D2885" s="41" t="str">
        <f ca="1">IFERROR(__xludf.DUMMYFUNCTION("IFERROR(ARRAYFORMULA(REGEXEXTRACT(C2885,""^(?:https?:\/\/)?(?:[^@\n]+@)?(?:www\.)?([^:\/\n]+)"")),"""")"),"fintechmagazine.com")</f>
        <v>fintechmagazine.com</v>
      </c>
      <c r="E2885" s="26" t="str">
        <f ca="1">IFERROR(__xludf.DUMMYFUNCTION("""COMPUTED_VALUE"""),"New")</f>
        <v>New</v>
      </c>
      <c r="F2885" s="72">
        <v>76</v>
      </c>
      <c r="G2885" s="72">
        <v>66203</v>
      </c>
      <c r="P2885" s="26"/>
    </row>
    <row r="2886" spans="1:16" ht="14.5">
      <c r="A2886" s="3" t="s">
        <v>38</v>
      </c>
      <c r="B2886" s="12" t="s">
        <v>2829</v>
      </c>
      <c r="C2886" s="46" t="s">
        <v>6669</v>
      </c>
      <c r="D2886" s="41" t="str">
        <f ca="1">IFERROR(__xludf.DUMMYFUNCTION("IFERROR(ARRAYFORMULA(REGEXEXTRACT(C2886,""^(?:https?:\/\/)?(?:[^@\n]+@)?(?:www\.)?([^:\/\n]+)"")),"""")"),"old.voa-ncnn.org")</f>
        <v>old.voa-ncnn.org</v>
      </c>
      <c r="E2886" s="26" t="str">
        <f ca="1">IFERROR(__xludf.DUMMYFUNCTION("""COMPUTED_VALUE"""),"New")</f>
        <v>New</v>
      </c>
      <c r="F2886" s="72">
        <v>45</v>
      </c>
      <c r="G2886" s="72">
        <v>1083</v>
      </c>
      <c r="P2886" s="26"/>
    </row>
    <row r="2887" spans="1:16" ht="14.5">
      <c r="A2887" s="3" t="s">
        <v>38</v>
      </c>
      <c r="B2887" s="12" t="s">
        <v>2829</v>
      </c>
      <c r="C2887" s="46" t="s">
        <v>6670</v>
      </c>
      <c r="D2887" s="41" t="str">
        <f ca="1">IFERROR(__xludf.DUMMYFUNCTION("IFERROR(ARRAYFORMULA(REGEXEXTRACT(C2887,""^(?:https?:\/\/)?(?:[^@\n]+@)?(?:www\.)?([^:\/\n]+)"")),"""")"),"houstonpress.com")</f>
        <v>houstonpress.com</v>
      </c>
      <c r="E2887" s="26" t="str">
        <f ca="1">IFERROR(__xludf.DUMMYFUNCTION("""COMPUTED_VALUE"""),"New")</f>
        <v>New</v>
      </c>
      <c r="F2887" s="72">
        <v>77</v>
      </c>
      <c r="G2887" s="72">
        <v>105596</v>
      </c>
      <c r="P2887" s="26"/>
    </row>
    <row r="2888" spans="1:16" ht="14.5">
      <c r="A2888" s="3" t="s">
        <v>38</v>
      </c>
      <c r="B2888" s="12" t="s">
        <v>2829</v>
      </c>
      <c r="C2888" s="46" t="s">
        <v>6671</v>
      </c>
      <c r="D2888" s="41" t="str">
        <f ca="1">IFERROR(__xludf.DUMMYFUNCTION("IFERROR(ARRAYFORMULA(REGEXEXTRACT(C2888,""^(?:https?:\/\/)?(?:[^@\n]+@)?(?:www\.)?([^:\/\n]+)"")),"""")"),"techradar.com")</f>
        <v>techradar.com</v>
      </c>
      <c r="E2888" s="26" t="str">
        <f ca="1">IFERROR(__xludf.DUMMYFUNCTION("""COMPUTED_VALUE"""),"New")</f>
        <v>New</v>
      </c>
      <c r="F2888" s="72">
        <v>91</v>
      </c>
      <c r="G2888" s="72">
        <v>4222975</v>
      </c>
      <c r="P2888" s="26"/>
    </row>
    <row r="2889" spans="1:16" ht="14.5">
      <c r="A2889" s="3" t="s">
        <v>38</v>
      </c>
      <c r="B2889" s="12" t="s">
        <v>2829</v>
      </c>
      <c r="C2889" s="46" t="s">
        <v>6672</v>
      </c>
      <c r="D2889" s="41" t="str">
        <f ca="1">IFERROR(__xludf.DUMMYFUNCTION("IFERROR(ARRAYFORMULA(REGEXEXTRACT(C2889,""^(?:https?:\/\/)?(?:[^@\n]+@)?(?:www\.)?([^:\/\n]+)"")),"""")"),"cyfairchamber.com")</f>
        <v>cyfairchamber.com</v>
      </c>
      <c r="E2889" s="26" t="str">
        <f ca="1">IFERROR(__xludf.DUMMYFUNCTION("""COMPUTED_VALUE"""),"New")</f>
        <v>New</v>
      </c>
      <c r="F2889" s="72">
        <v>44</v>
      </c>
      <c r="G2889" s="72">
        <v>1512</v>
      </c>
      <c r="P2889" s="26"/>
    </row>
    <row r="2890" spans="1:16" ht="14.5">
      <c r="A2890" s="3" t="s">
        <v>38</v>
      </c>
      <c r="B2890" s="12" t="s">
        <v>2829</v>
      </c>
      <c r="C2890" s="46" t="s">
        <v>6673</v>
      </c>
      <c r="D2890" s="41" t="str">
        <f ca="1">IFERROR(__xludf.DUMMYFUNCTION("IFERROR(ARRAYFORMULA(REGEXEXTRACT(C2890,""^(?:https?:\/\/)?(?:[^@\n]+@)?(?:www\.)?([^:\/\n]+)"")),"""")"),"rss.investorbrandnetwork.com")</f>
        <v>rss.investorbrandnetwork.com</v>
      </c>
      <c r="E2890" s="26" t="str">
        <f ca="1">IFERROR(__xludf.DUMMYFUNCTION("""COMPUTED_VALUE"""),"New")</f>
        <v>New</v>
      </c>
      <c r="F2890" s="72">
        <v>62</v>
      </c>
      <c r="G2890" s="72">
        <v>1070</v>
      </c>
      <c r="P2890" s="26"/>
    </row>
    <row r="2891" spans="1:16" ht="14.5">
      <c r="A2891" s="3" t="s">
        <v>38</v>
      </c>
      <c r="B2891" s="12" t="s">
        <v>2829</v>
      </c>
      <c r="C2891" s="46" t="s">
        <v>6674</v>
      </c>
      <c r="D2891" s="41" t="str">
        <f ca="1">IFERROR(__xludf.DUMMYFUNCTION("IFERROR(ARRAYFORMULA(REGEXEXTRACT(C2891,""^(?:https?:\/\/)?(?:[^@\n]+@)?(?:www\.)?([^:\/\n]+)"")),"""")"),"rocklandtimes.com")</f>
        <v>rocklandtimes.com</v>
      </c>
      <c r="E2891" s="26" t="str">
        <f ca="1">IFERROR(__xludf.DUMMYFUNCTION("""COMPUTED_VALUE"""),"New")</f>
        <v>New</v>
      </c>
      <c r="F2891" s="72">
        <v>53</v>
      </c>
      <c r="G2891" s="72">
        <v>1501</v>
      </c>
      <c r="P2891" s="26"/>
    </row>
    <row r="2892" spans="1:16" ht="14.5">
      <c r="A2892" s="3" t="s">
        <v>38</v>
      </c>
      <c r="B2892" s="12" t="s">
        <v>2829</v>
      </c>
      <c r="C2892" s="46" t="s">
        <v>6675</v>
      </c>
      <c r="D2892" s="41" t="str">
        <f ca="1">IFERROR(__xludf.DUMMYFUNCTION("IFERROR(ARRAYFORMULA(REGEXEXTRACT(C2892,""^(?:https?:\/\/)?(?:[^@\n]+@)?(?:www\.)?([^:\/\n]+)"")),"""")"),"artdaily.com")</f>
        <v>artdaily.com</v>
      </c>
      <c r="E2892" s="26" t="str">
        <f ca="1">IFERROR(__xludf.DUMMYFUNCTION("""COMPUTED_VALUE"""),"New")</f>
        <v>New</v>
      </c>
      <c r="F2892" s="72">
        <v>76</v>
      </c>
      <c r="G2892" s="72">
        <v>2863</v>
      </c>
      <c r="P2892" s="26"/>
    </row>
    <row r="2893" spans="1:16" ht="14.5">
      <c r="A2893" s="3" t="s">
        <v>38</v>
      </c>
      <c r="B2893" s="12" t="s">
        <v>2829</v>
      </c>
      <c r="C2893" s="46" t="s">
        <v>6676</v>
      </c>
      <c r="D2893" s="41" t="str">
        <f ca="1">IFERROR(__xludf.DUMMYFUNCTION("IFERROR(ARRAYFORMULA(REGEXEXTRACT(C2893,""^(?:https?:\/\/)?(?:[^@\n]+@)?(?:www\.)?([^:\/\n]+)"")),"""")"),"financialcontent.com")</f>
        <v>financialcontent.com</v>
      </c>
      <c r="E2893" s="26" t="str">
        <f ca="1">IFERROR(__xludf.DUMMYFUNCTION("""COMPUTED_VALUE"""),"New")</f>
        <v>New</v>
      </c>
      <c r="F2893" s="72">
        <v>81</v>
      </c>
      <c r="G2893" s="72">
        <v>534671</v>
      </c>
      <c r="P2893" s="26"/>
    </row>
    <row r="2894" spans="1:16" ht="14.5">
      <c r="A2894" s="3" t="s">
        <v>38</v>
      </c>
      <c r="B2894" s="12" t="s">
        <v>2829</v>
      </c>
      <c r="C2894" s="46" t="s">
        <v>6677</v>
      </c>
      <c r="D2894" s="41" t="str">
        <f ca="1">IFERROR(__xludf.DUMMYFUNCTION("IFERROR(ARRAYFORMULA(REGEXEXTRACT(C2894,""^(?:https?:\/\/)?(?:[^@\n]+@)?(?:www\.)?([^:\/\n]+)"")),"""")"),"cm.puntagordachamber.com")</f>
        <v>cm.puntagordachamber.com</v>
      </c>
      <c r="E2894" s="26" t="str">
        <f ca="1">IFERROR(__xludf.DUMMYFUNCTION("""COMPUTED_VALUE"""),"New")</f>
        <v>New</v>
      </c>
      <c r="F2894" s="72">
        <v>46</v>
      </c>
      <c r="G2894" s="72">
        <v>1208</v>
      </c>
      <c r="P2894" s="26"/>
    </row>
    <row r="2895" spans="1:16" ht="14.5">
      <c r="A2895" s="3" t="s">
        <v>38</v>
      </c>
      <c r="B2895" s="12" t="s">
        <v>2829</v>
      </c>
      <c r="C2895" s="46" t="s">
        <v>6678</v>
      </c>
      <c r="D2895" s="41" t="str">
        <f ca="1">IFERROR(__xludf.DUMMYFUNCTION("IFERROR(ARRAYFORMULA(REGEXEXTRACT(C2895,""^(?:https?:\/\/)?(?:[^@\n]+@)?(?:www\.)?([^:\/\n]+)"")),"""")"),"9news.com")</f>
        <v>9news.com</v>
      </c>
      <c r="E2895" s="26" t="str">
        <f ca="1">IFERROR(__xludf.DUMMYFUNCTION("""COMPUTED_VALUE"""),"New")</f>
        <v>New</v>
      </c>
      <c r="F2895" s="72">
        <v>81</v>
      </c>
      <c r="G2895" s="72">
        <v>306798</v>
      </c>
      <c r="P2895" s="26"/>
    </row>
    <row r="2896" spans="1:16" ht="14.5">
      <c r="A2896" s="3" t="s">
        <v>38</v>
      </c>
      <c r="B2896" s="12" t="s">
        <v>2829</v>
      </c>
      <c r="C2896" s="46" t="s">
        <v>6679</v>
      </c>
      <c r="D2896" s="41" t="str">
        <f ca="1">IFERROR(__xludf.DUMMYFUNCTION("IFERROR(ARRAYFORMULA(REGEXEXTRACT(C2896,""^(?:https?:\/\/)?(?:[^@\n]+@)?(?:www\.)?([^:\/\n]+)"")),"""")"),"untappd.com")</f>
        <v>untappd.com</v>
      </c>
      <c r="E2896" s="26" t="str">
        <f ca="1">IFERROR(__xludf.DUMMYFUNCTION("""COMPUTED_VALUE"""),"New")</f>
        <v>New</v>
      </c>
      <c r="F2896" s="72">
        <v>88</v>
      </c>
      <c r="G2896" s="72">
        <v>397609</v>
      </c>
      <c r="P2896" s="26"/>
    </row>
    <row r="2897" spans="1:16" ht="14.5">
      <c r="A2897" s="3" t="s">
        <v>38</v>
      </c>
      <c r="B2897" s="12" t="s">
        <v>2829</v>
      </c>
      <c r="C2897" s="46" t="s">
        <v>6680</v>
      </c>
      <c r="D2897" s="41" t="str">
        <f ca="1">IFERROR(__xludf.DUMMYFUNCTION("IFERROR(ARRAYFORMULA(REGEXEXTRACT(C2897,""^(?:https?:\/\/)?(?:[^@\n]+@)?(?:www\.)?([^:\/\n]+)"")),"""")"),"peopleofcolorintech.com")</f>
        <v>peopleofcolorintech.com</v>
      </c>
      <c r="E2897" s="26" t="str">
        <f ca="1">IFERROR(__xludf.DUMMYFUNCTION("""COMPUTED_VALUE"""),"New")</f>
        <v>New</v>
      </c>
      <c r="F2897" s="72">
        <v>70</v>
      </c>
      <c r="G2897" s="72">
        <v>1130</v>
      </c>
      <c r="P2897" s="26"/>
    </row>
    <row r="2898" spans="1:16" ht="14.5">
      <c r="A2898" s="3" t="s">
        <v>38</v>
      </c>
      <c r="B2898" s="12" t="s">
        <v>2829</v>
      </c>
      <c r="C2898" s="46" t="s">
        <v>6681</v>
      </c>
      <c r="D2898" s="41" t="str">
        <f ca="1">IFERROR(__xludf.DUMMYFUNCTION("IFERROR(ARRAYFORMULA(REGEXEXTRACT(C2898,""^(?:https?:\/\/)?(?:[^@\n]+@)?(?:www\.)?([^:\/\n]+)"")),"""")"),"april.tempatwisataseru.com")</f>
        <v>april.tempatwisataseru.com</v>
      </c>
      <c r="E2898" s="26" t="str">
        <f ca="1">IFERROR(__xludf.DUMMYFUNCTION("""COMPUTED_VALUE"""),"New")</f>
        <v>New</v>
      </c>
      <c r="F2898" s="72">
        <v>32</v>
      </c>
      <c r="G2898" s="72">
        <v>5978</v>
      </c>
      <c r="P2898" s="26"/>
    </row>
    <row r="2899" spans="1:16" ht="14.5">
      <c r="A2899" s="3" t="s">
        <v>38</v>
      </c>
      <c r="B2899" s="12" t="s">
        <v>2829</v>
      </c>
      <c r="C2899" s="46" t="s">
        <v>6682</v>
      </c>
      <c r="D2899" s="41" t="str">
        <f ca="1">IFERROR(__xludf.DUMMYFUNCTION("IFERROR(ARRAYFORMULA(REGEXEXTRACT(C2899,""^(?:https?:\/\/)?(?:[^@\n]+@)?(?:www\.)?([^:\/\n]+)"")),"""")"),"snapdocs.com")</f>
        <v>snapdocs.com</v>
      </c>
      <c r="E2899" s="26" t="str">
        <f ca="1">IFERROR(__xludf.DUMMYFUNCTION("""COMPUTED_VALUE"""),"New")</f>
        <v>New</v>
      </c>
      <c r="F2899" s="72">
        <v>69</v>
      </c>
      <c r="G2899" s="72">
        <v>36210</v>
      </c>
      <c r="P2899" s="26"/>
    </row>
    <row r="2900" spans="1:16" ht="14.5">
      <c r="A2900" s="3" t="s">
        <v>38</v>
      </c>
      <c r="B2900" s="12" t="s">
        <v>2829</v>
      </c>
      <c r="C2900" s="46" t="s">
        <v>6683</v>
      </c>
      <c r="D2900" s="41" t="str">
        <f ca="1">IFERROR(__xludf.DUMMYFUNCTION("IFERROR(ARRAYFORMULA(REGEXEXTRACT(C2900,""^(?:https?:\/\/)?(?:[^@\n]+@)?(?:www\.)?([^:\/\n]+)"")),"""")"),"business.ridgwayrecord.com")</f>
        <v>business.ridgwayrecord.com</v>
      </c>
      <c r="E2900" s="26" t="str">
        <f ca="1">IFERROR(__xludf.DUMMYFUNCTION("""COMPUTED_VALUE"""),"New")</f>
        <v>New</v>
      </c>
      <c r="F2900" s="72">
        <v>41</v>
      </c>
      <c r="G2900" s="72">
        <v>1018</v>
      </c>
      <c r="P2900" s="26"/>
    </row>
    <row r="2901" spans="1:16" ht="14.5">
      <c r="A2901" s="3" t="s">
        <v>38</v>
      </c>
      <c r="B2901" s="12" t="s">
        <v>2829</v>
      </c>
      <c r="C2901" s="46" t="s">
        <v>6684</v>
      </c>
      <c r="D2901" s="41" t="str">
        <f ca="1">IFERROR(__xludf.DUMMYFUNCTION("IFERROR(ARRAYFORMULA(REGEXEXTRACT(C2901,""^(?:https?:\/\/)?(?:[^@\n]+@)?(?:www\.)?([^:\/\n]+)"")),"""")"),"tmhfprod1.mymortgage-online.com")</f>
        <v>tmhfprod1.mymortgage-online.com</v>
      </c>
      <c r="E2901" s="26" t="str">
        <f ca="1">IFERROR(__xludf.DUMMYFUNCTION("""COMPUTED_VALUE"""),"New")</f>
        <v>New</v>
      </c>
      <c r="F2901" s="72">
        <v>78</v>
      </c>
      <c r="G2901" s="72">
        <v>13478</v>
      </c>
      <c r="P2901" s="26"/>
    </row>
    <row r="2902" spans="1:16" ht="14.5">
      <c r="A2902" s="3" t="s">
        <v>38</v>
      </c>
      <c r="B2902" s="12" t="s">
        <v>2829</v>
      </c>
      <c r="C2902" s="46" t="s">
        <v>6685</v>
      </c>
      <c r="D2902" s="41" t="str">
        <f ca="1">IFERROR(__xludf.DUMMYFUNCTION("IFERROR(ARRAYFORMULA(REGEXEXTRACT(C2902,""^(?:https?:\/\/)?(?:[^@\n]+@)?(?:www\.)?([^:\/\n]+)"")),"""")"),"10tv.com")</f>
        <v>10tv.com</v>
      </c>
      <c r="E2902" s="26" t="str">
        <f ca="1">IFERROR(__xludf.DUMMYFUNCTION("""COMPUTED_VALUE"""),"New")</f>
        <v>New</v>
      </c>
      <c r="F2902" s="72">
        <v>74</v>
      </c>
      <c r="G2902" s="72">
        <v>379719</v>
      </c>
      <c r="P2902" s="26"/>
    </row>
    <row r="2903" spans="1:16" ht="14.5">
      <c r="A2903" s="3" t="s">
        <v>38</v>
      </c>
      <c r="B2903" s="12" t="s">
        <v>2829</v>
      </c>
      <c r="C2903" s="46" t="s">
        <v>6686</v>
      </c>
      <c r="D2903" s="41" t="str">
        <f ca="1">IFERROR(__xludf.DUMMYFUNCTION("IFERROR(ARRAYFORMULA(REGEXEXTRACT(C2903,""^(?:https?:\/\/)?(?:[^@\n]+@)?(?:www\.)?([^:\/\n]+)"")),"""")"),"cg-wp-website.azurewebsites.net")</f>
        <v>cg-wp-website.azurewebsites.net</v>
      </c>
      <c r="E2903" s="26" t="str">
        <f ca="1">IFERROR(__xludf.DUMMYFUNCTION("""COMPUTED_VALUE"""),"New")</f>
        <v>New</v>
      </c>
      <c r="F2903" s="72">
        <v>91</v>
      </c>
      <c r="G2903" s="72">
        <v>956728</v>
      </c>
      <c r="P2903" s="26"/>
    </row>
    <row r="2904" spans="1:16" ht="14.5">
      <c r="A2904" s="3" t="s">
        <v>38</v>
      </c>
      <c r="B2904" s="12" t="s">
        <v>2829</v>
      </c>
      <c r="C2904" s="46" t="s">
        <v>4780</v>
      </c>
      <c r="D2904" s="41" t="str">
        <f ca="1">IFERROR(__xludf.DUMMYFUNCTION("IFERROR(ARRAYFORMULA(REGEXEXTRACT(C2904,""^(?:https?:\/\/)?(?:[^@\n]+@)?(?:www\.)?([^:\/\n]+)"")),"""")"),"nateseidel-newconstruction.my.canva.site")</f>
        <v>nateseidel-newconstruction.my.canva.site</v>
      </c>
      <c r="E2904" s="26" t="str">
        <f ca="1">IFERROR(__xludf.DUMMYFUNCTION("""COMPUTED_VALUE"""),"New")</f>
        <v>New</v>
      </c>
      <c r="F2904" s="72">
        <v>91</v>
      </c>
      <c r="G2904" s="72">
        <v>159880</v>
      </c>
      <c r="P2904" s="26"/>
    </row>
    <row r="2905" spans="1:16" ht="14.5">
      <c r="A2905" s="3" t="s">
        <v>38</v>
      </c>
      <c r="B2905" s="12" t="s">
        <v>2829</v>
      </c>
      <c r="C2905" s="46" t="s">
        <v>6687</v>
      </c>
      <c r="D2905" s="41" t="str">
        <f ca="1">IFERROR(__xludf.DUMMYFUNCTION("IFERROR(ARRAYFORMULA(REGEXEXTRACT(C2905,""^(?:https?:\/\/)?(?:[^@\n]+@)?(?:www\.)?([^:\/\n]+)"")),"""")"),"thv11.com")</f>
        <v>thv11.com</v>
      </c>
      <c r="E2905" s="26" t="str">
        <f ca="1">IFERROR(__xludf.DUMMYFUNCTION("""COMPUTED_VALUE"""),"New")</f>
        <v>New</v>
      </c>
      <c r="F2905" s="72">
        <v>73</v>
      </c>
      <c r="G2905" s="72">
        <v>44670</v>
      </c>
      <c r="P2905" s="26"/>
    </row>
    <row r="2906" spans="1:16" ht="14.5">
      <c r="A2906" s="3" t="s">
        <v>38</v>
      </c>
      <c r="B2906" s="12" t="s">
        <v>2829</v>
      </c>
      <c r="C2906" s="46" t="s">
        <v>6688</v>
      </c>
      <c r="D2906" s="41" t="str">
        <f ca="1">IFERROR(__xludf.DUMMYFUNCTION("IFERROR(ARRAYFORMULA(REGEXEXTRACT(C2906,""^(?:https?:\/\/)?(?:[^@\n]+@)?(?:www\.)?([^:\/\n]+)"")),"""")"),"investor.wedbush.com")</f>
        <v>investor.wedbush.com</v>
      </c>
      <c r="E2906" s="26" t="str">
        <f ca="1">IFERROR(__xludf.DUMMYFUNCTION("""COMPUTED_VALUE"""),"New")</f>
        <v>New</v>
      </c>
      <c r="F2906" s="72">
        <v>67</v>
      </c>
      <c r="G2906" s="72">
        <v>8105</v>
      </c>
      <c r="P2906" s="26"/>
    </row>
    <row r="2907" spans="1:16" ht="14.5">
      <c r="A2907" s="3" t="s">
        <v>38</v>
      </c>
      <c r="B2907" s="12" t="s">
        <v>2829</v>
      </c>
      <c r="C2907" s="46" t="s">
        <v>6689</v>
      </c>
      <c r="D2907" s="41" t="str">
        <f ca="1">IFERROR(__xludf.DUMMYFUNCTION("IFERROR(ARRAYFORMULA(REGEXEXTRACT(C2907,""^(?:https?:\/\/)?(?:[^@\n]+@)?(?:www\.)?([^:\/\n]+)"")),"""")"),"share.snipd.com")</f>
        <v>share.snipd.com</v>
      </c>
      <c r="E2907" s="26" t="str">
        <f ca="1">IFERROR(__xludf.DUMMYFUNCTION("""COMPUTED_VALUE"""),"New")</f>
        <v>New</v>
      </c>
      <c r="F2907" s="72">
        <v>57</v>
      </c>
      <c r="G2907" s="72">
        <v>2360</v>
      </c>
      <c r="P2907" s="26"/>
    </row>
    <row r="2908" spans="1:16" ht="14.5">
      <c r="A2908" s="3" t="s">
        <v>38</v>
      </c>
      <c r="B2908" s="12" t="s">
        <v>2829</v>
      </c>
      <c r="C2908" s="46" t="s">
        <v>6690</v>
      </c>
      <c r="D2908" s="41" t="str">
        <f ca="1">IFERROR(__xludf.DUMMYFUNCTION("IFERROR(ARRAYFORMULA(REGEXEXTRACT(C2908,""^(?:https?:\/\/)?(?:[^@\n]+@)?(?:www\.)?([^:\/\n]+)"")),"""")"),"stockmarketguides.com")</f>
        <v>stockmarketguides.com</v>
      </c>
      <c r="E2908" s="26" t="str">
        <f ca="1">IFERROR(__xludf.DUMMYFUNCTION("""COMPUTED_VALUE"""),"New")</f>
        <v>New</v>
      </c>
      <c r="F2908" s="72">
        <v>30</v>
      </c>
      <c r="G2908" s="72">
        <v>1228</v>
      </c>
      <c r="P2908" s="26"/>
    </row>
    <row r="2909" spans="1:16" ht="14.5">
      <c r="A2909" s="3" t="s">
        <v>38</v>
      </c>
      <c r="B2909" s="12" t="s">
        <v>2829</v>
      </c>
      <c r="C2909" s="46" t="s">
        <v>6691</v>
      </c>
      <c r="D2909" s="41" t="str">
        <f ca="1">IFERROR(__xludf.DUMMYFUNCTION("IFERROR(ARRAYFORMULA(REGEXEXTRACT(C2909,""^(?:https?:\/\/)?(?:[^@\n]+@)?(?:www\.)?([^:\/\n]+)"")),"""")"),"docu.team")</f>
        <v>docu.team</v>
      </c>
      <c r="E2909" s="26" t="str">
        <f ca="1">IFERROR(__xludf.DUMMYFUNCTION("""COMPUTED_VALUE"""),"New")</f>
        <v>New</v>
      </c>
      <c r="F2909" s="72">
        <v>59</v>
      </c>
      <c r="G2909" s="72">
        <v>5738</v>
      </c>
      <c r="P2909" s="26"/>
    </row>
    <row r="2910" spans="1:16" ht="14.5">
      <c r="A2910" s="3" t="s">
        <v>38</v>
      </c>
      <c r="B2910" s="12" t="s">
        <v>2829</v>
      </c>
      <c r="C2910" s="46" t="s">
        <v>6692</v>
      </c>
      <c r="D2910" s="41" t="str">
        <f ca="1">IFERROR(__xludf.DUMMYFUNCTION("IFERROR(ARRAYFORMULA(REGEXEXTRACT(C2910,""^(?:https?:\/\/)?(?:[^@\n]+@)?(?:www\.)?([^:\/\n]+)"")),"""")"),"iocharts.io")</f>
        <v>iocharts.io</v>
      </c>
      <c r="E2910" s="26" t="str">
        <f ca="1">IFERROR(__xludf.DUMMYFUNCTION("""COMPUTED_VALUE"""),"New")</f>
        <v>New</v>
      </c>
      <c r="F2910" s="72">
        <v>26</v>
      </c>
      <c r="G2910" s="72">
        <v>2697</v>
      </c>
      <c r="P2910" s="26"/>
    </row>
    <row r="2911" spans="1:16" ht="14.5">
      <c r="A2911" s="3" t="s">
        <v>38</v>
      </c>
      <c r="B2911" s="12" t="s">
        <v>2829</v>
      </c>
      <c r="C2911" s="46" t="s">
        <v>6693</v>
      </c>
      <c r="D2911" s="41" t="str">
        <f ca="1">IFERROR(__xludf.DUMMYFUNCTION("IFERROR(ARRAYFORMULA(REGEXEXTRACT(C2911,""^(?:https?:\/\/)?(?:[^@\n]+@)?(?:www\.)?([^:\/\n]+)"")),"""")"),"realtynewsreport.com")</f>
        <v>realtynewsreport.com</v>
      </c>
      <c r="E2911" s="26" t="str">
        <f ca="1">IFERROR(__xludf.DUMMYFUNCTION("""COMPUTED_VALUE"""),"New")</f>
        <v>New</v>
      </c>
      <c r="F2911" s="72">
        <v>54</v>
      </c>
      <c r="G2911" s="72">
        <v>1256</v>
      </c>
      <c r="P2911" s="26"/>
    </row>
    <row r="2912" spans="1:16" ht="14.5">
      <c r="A2912" s="3" t="s">
        <v>38</v>
      </c>
      <c r="B2912" s="12" t="s">
        <v>2829</v>
      </c>
      <c r="C2912" s="46" t="s">
        <v>6694</v>
      </c>
      <c r="D2912" s="41" t="str">
        <f ca="1">IFERROR(__xludf.DUMMYFUNCTION("IFERROR(ARRAYFORMULA(REGEXEXTRACT(C2912,""^(?:https?:\/\/)?(?:[^@\n]+@)?(?:www\.)?([^:\/\n]+)"")),"""")"),"thefreebieguy.com")</f>
        <v>thefreebieguy.com</v>
      </c>
      <c r="E2912" s="26" t="str">
        <f ca="1">IFERROR(__xludf.DUMMYFUNCTION("""COMPUTED_VALUE"""),"New")</f>
        <v>New</v>
      </c>
      <c r="F2912" s="72">
        <v>39</v>
      </c>
      <c r="G2912" s="72">
        <v>166729</v>
      </c>
      <c r="P2912" s="26"/>
    </row>
    <row r="2913" spans="1:16" ht="14.5">
      <c r="A2913" s="3" t="s">
        <v>38</v>
      </c>
      <c r="B2913" s="12" t="s">
        <v>2829</v>
      </c>
      <c r="C2913" s="46" t="s">
        <v>6695</v>
      </c>
      <c r="D2913" s="41" t="str">
        <f ca="1">IFERROR(__xludf.DUMMYFUNCTION("IFERROR(ARRAYFORMULA(REGEXEXTRACT(C2913,""^(?:https?:\/\/)?(?:[^@\n]+@)?(?:www\.)?([^:\/\n]+)"")),"""")"),"valdostadailytimes.com")</f>
        <v>valdostadailytimes.com</v>
      </c>
      <c r="E2913" s="26" t="str">
        <f ca="1">IFERROR(__xludf.DUMMYFUNCTION("""COMPUTED_VALUE"""),"New")</f>
        <v>New</v>
      </c>
      <c r="F2913" s="72">
        <v>70</v>
      </c>
      <c r="G2913" s="72">
        <v>7308</v>
      </c>
      <c r="P2913" s="26"/>
    </row>
    <row r="2914" spans="1:16" ht="14.5">
      <c r="A2914" s="3" t="s">
        <v>38</v>
      </c>
      <c r="B2914" s="12" t="s">
        <v>2829</v>
      </c>
      <c r="C2914" s="46" t="s">
        <v>6696</v>
      </c>
      <c r="D2914" s="41" t="str">
        <f ca="1">IFERROR(__xludf.DUMMYFUNCTION("IFERROR(ARRAYFORMULA(REGEXEXTRACT(C2914,""^(?:https?:\/\/)?(?:[^@\n]+@)?(?:www\.)?([^:\/\n]+)"")),"""")"),"strainer.jp")</f>
        <v>strainer.jp</v>
      </c>
      <c r="E2914" s="26" t="str">
        <f ca="1">IFERROR(__xludf.DUMMYFUNCTION("""COMPUTED_VALUE"""),"New")</f>
        <v>New</v>
      </c>
      <c r="F2914" s="72">
        <v>52</v>
      </c>
      <c r="G2914" s="72">
        <v>58767</v>
      </c>
      <c r="P2914" s="26"/>
    </row>
    <row r="2915" spans="1:16" ht="14.5">
      <c r="A2915" s="3" t="s">
        <v>38</v>
      </c>
      <c r="B2915" s="12" t="s">
        <v>2829</v>
      </c>
      <c r="C2915" s="46" t="s">
        <v>6697</v>
      </c>
      <c r="D2915" s="41" t="str">
        <f ca="1">IFERROR(__xludf.DUMMYFUNCTION("IFERROR(ARRAYFORMULA(REGEXEXTRACT(C2915,""^(?:https?:\/\/)?(?:[^@\n]+@)?(?:www\.)?([^:\/\n]+)"")),"""")"),"databahn.com")</f>
        <v>databahn.com</v>
      </c>
      <c r="E2915" s="26" t="str">
        <f ca="1">IFERROR(__xludf.DUMMYFUNCTION("""COMPUTED_VALUE"""),"New")</f>
        <v>New</v>
      </c>
      <c r="F2915" s="72">
        <v>24</v>
      </c>
      <c r="G2915" s="72">
        <v>1794</v>
      </c>
      <c r="P2915" s="26"/>
    </row>
    <row r="2916" spans="1:16" ht="14.5">
      <c r="A2916" s="3" t="s">
        <v>38</v>
      </c>
      <c r="B2916" s="12" t="s">
        <v>2829</v>
      </c>
      <c r="C2916" s="46" t="s">
        <v>6698</v>
      </c>
      <c r="D2916" s="41" t="str">
        <f ca="1">IFERROR(__xludf.DUMMYFUNCTION("IFERROR(ARRAYFORMULA(REGEXEXTRACT(C2916,""^(?:https?:\/\/)?(?:[^@\n]+@)?(?:www\.)?([^:\/\n]+)"")),"""")"),"dgai.utem.cl")</f>
        <v>dgai.utem.cl</v>
      </c>
      <c r="E2916" s="26" t="str">
        <f ca="1">IFERROR(__xludf.DUMMYFUNCTION("""COMPUTED_VALUE"""),"New")</f>
        <v>New</v>
      </c>
      <c r="F2916" s="72">
        <v>62</v>
      </c>
      <c r="G2916" s="72">
        <v>20334</v>
      </c>
      <c r="P2916" s="26"/>
    </row>
    <row r="2917" spans="1:16" ht="14.5">
      <c r="A2917" s="3" t="s">
        <v>38</v>
      </c>
      <c r="B2917" s="12" t="s">
        <v>2829</v>
      </c>
      <c r="C2917" s="46" t="s">
        <v>6699</v>
      </c>
      <c r="D2917" s="41" t="str">
        <f ca="1">IFERROR(__xludf.DUMMYFUNCTION("IFERROR(ARRAYFORMULA(REGEXEXTRACT(C2917,""^(?:https?:\/\/)?(?:[^@\n]+@)?(?:www\.)?([^:\/\n]+)"")),"""")"),"visualvisitor.com")</f>
        <v>visualvisitor.com</v>
      </c>
      <c r="E2917" s="26" t="str">
        <f ca="1">IFERROR(__xludf.DUMMYFUNCTION("""COMPUTED_VALUE"""),"New")</f>
        <v>New</v>
      </c>
      <c r="F2917" s="72">
        <v>51</v>
      </c>
      <c r="G2917" s="72">
        <v>1793</v>
      </c>
      <c r="P2917" s="26"/>
    </row>
    <row r="2918" spans="1:16" ht="14.5">
      <c r="A2918" s="3" t="s">
        <v>38</v>
      </c>
      <c r="B2918" s="12" t="s">
        <v>2829</v>
      </c>
      <c r="C2918" s="46" t="s">
        <v>6700</v>
      </c>
      <c r="D2918" s="41" t="str">
        <f ca="1">IFERROR(__xludf.DUMMYFUNCTION("IFERROR(ARRAYFORMULA(REGEXEXTRACT(C2918,""^(?:https?:\/\/)?(?:[^@\n]+@)?(?:www\.)?([^:\/\n]+)"")),"""")"),"getbuilt.com")</f>
        <v>getbuilt.com</v>
      </c>
      <c r="E2918" s="26" t="str">
        <f ca="1">IFERROR(__xludf.DUMMYFUNCTION("""COMPUTED_VALUE"""),"New")</f>
        <v>New</v>
      </c>
      <c r="F2918" s="72">
        <v>61</v>
      </c>
      <c r="G2918" s="72">
        <v>14153</v>
      </c>
      <c r="P2918" s="26"/>
    </row>
    <row r="2919" spans="1:16" ht="14.5">
      <c r="A2919" s="3" t="s">
        <v>38</v>
      </c>
      <c r="B2919" s="12" t="s">
        <v>2829</v>
      </c>
      <c r="C2919" s="46" t="s">
        <v>6701</v>
      </c>
      <c r="D2919" s="41" t="str">
        <f ca="1">IFERROR(__xludf.DUMMYFUNCTION("IFERROR(ARRAYFORMULA(REGEXEXTRACT(C2919,""^(?:https?:\/\/)?(?:[^@\n]+@)?(?:www\.)?([^:\/\n]+)"")),"""")"),"wtol.com")</f>
        <v>wtol.com</v>
      </c>
      <c r="E2919" s="26" t="str">
        <f ca="1">IFERROR(__xludf.DUMMYFUNCTION("""COMPUTED_VALUE"""),"New")</f>
        <v>New</v>
      </c>
      <c r="F2919" s="72">
        <v>73</v>
      </c>
      <c r="G2919" s="72">
        <v>87485</v>
      </c>
      <c r="P2919" s="26"/>
    </row>
    <row r="2920" spans="1:16" ht="14.5">
      <c r="A2920" s="3" t="s">
        <v>38</v>
      </c>
      <c r="B2920" s="12" t="s">
        <v>2829</v>
      </c>
      <c r="C2920" s="46" t="s">
        <v>6702</v>
      </c>
      <c r="D2920" s="41" t="str">
        <f ca="1">IFERROR(__xludf.DUMMYFUNCTION("IFERROR(ARRAYFORMULA(REGEXEXTRACT(C2920,""^(?:https?:\/\/)?(?:[^@\n]+@)?(?:www\.)?([^:\/\n]+)"")),"""")"),"tdflorida.com")</f>
        <v>tdflorida.com</v>
      </c>
      <c r="E2920" s="26" t="str">
        <f ca="1">IFERROR(__xludf.DUMMYFUNCTION("""COMPUTED_VALUE"""),"New")</f>
        <v>New</v>
      </c>
      <c r="F2920" s="72">
        <v>29</v>
      </c>
      <c r="G2920" s="72">
        <v>1635</v>
      </c>
      <c r="P2920" s="26"/>
    </row>
    <row r="2921" spans="1:16" ht="14.5">
      <c r="A2921" s="3" t="s">
        <v>38</v>
      </c>
      <c r="B2921" s="12" t="s">
        <v>2829</v>
      </c>
      <c r="C2921" s="46" t="s">
        <v>6703</v>
      </c>
      <c r="D2921" s="41" t="str">
        <f ca="1">IFERROR(__xludf.DUMMYFUNCTION("IFERROR(ARRAYFORMULA(REGEXEXTRACT(C2921,""^(?:https?:\/\/)?(?:[^@\n]+@)?(?:www\.)?([^:\/\n]+)"")),"""")"),"datacentremagazine.com")</f>
        <v>datacentremagazine.com</v>
      </c>
      <c r="E2921" s="26" t="str">
        <f ca="1">IFERROR(__xludf.DUMMYFUNCTION("""COMPUTED_VALUE"""),"New")</f>
        <v>New</v>
      </c>
      <c r="F2921" s="72">
        <v>71</v>
      </c>
      <c r="G2921" s="72">
        <v>35430</v>
      </c>
      <c r="P2921" s="26"/>
    </row>
    <row r="2922" spans="1:16" ht="14.5">
      <c r="A2922" s="3" t="s">
        <v>38</v>
      </c>
      <c r="B2922" s="12" t="s">
        <v>2829</v>
      </c>
      <c r="C2922" s="46" t="s">
        <v>6704</v>
      </c>
      <c r="D2922" s="41" t="str">
        <f ca="1">IFERROR(__xludf.DUMMYFUNCTION("IFERROR(ARRAYFORMULA(REGEXEXTRACT(C2922,""^(?:https?:\/\/)?(?:[^@\n]+@)?(?:www\.)?([^:\/\n]+)"")),"""")"),"dividendchannel.com")</f>
        <v>dividendchannel.com</v>
      </c>
      <c r="E2922" s="26" t="str">
        <f ca="1">IFERROR(__xludf.DUMMYFUNCTION("""COMPUTED_VALUE"""),"New")</f>
        <v>New</v>
      </c>
      <c r="F2922" s="72">
        <v>46</v>
      </c>
      <c r="G2922" s="72">
        <v>14751</v>
      </c>
      <c r="P2922" s="26"/>
    </row>
    <row r="2923" spans="1:16" ht="14.5">
      <c r="A2923" s="3" t="s">
        <v>38</v>
      </c>
      <c r="B2923" s="12" t="s">
        <v>2829</v>
      </c>
      <c r="C2923" s="46" t="s">
        <v>6705</v>
      </c>
      <c r="D2923" s="41" t="str">
        <f ca="1">IFERROR(__xludf.DUMMYFUNCTION("IFERROR(ARRAYFORMULA(REGEXEXTRACT(C2923,""^(?:https?:\/\/)?(?:[^@\n]+@)?(?:www\.)?([^:\/\n]+)"")),"""")"),"phius.org")</f>
        <v>phius.org</v>
      </c>
      <c r="E2923" s="26" t="str">
        <f ca="1">IFERROR(__xludf.DUMMYFUNCTION("""COMPUTED_VALUE"""),"New")</f>
        <v>New</v>
      </c>
      <c r="F2923" s="72">
        <v>74</v>
      </c>
      <c r="G2923" s="72">
        <v>7278</v>
      </c>
      <c r="P2923" s="26"/>
    </row>
    <row r="2924" spans="1:16" ht="14.5">
      <c r="A2924" s="3" t="s">
        <v>38</v>
      </c>
      <c r="B2924" s="12" t="s">
        <v>2829</v>
      </c>
      <c r="C2924" s="49" t="s">
        <v>6706</v>
      </c>
      <c r="D2924" s="41" t="str">
        <f ca="1">IFERROR(__xludf.DUMMYFUNCTION("IFERROR(ARRAYFORMULA(REGEXEXTRACT(C2924,""^(?:https?:\/\/)?(?:[^@\n]+@)?(?:www\.)?([^:\/\n]+)"")),"""")"),"langrealty.com")</f>
        <v>langrealty.com</v>
      </c>
      <c r="E2924" s="26" t="str">
        <f ca="1">IFERROR(__xludf.DUMMYFUNCTION("""COMPUTED_VALUE"""),"New")</f>
        <v>New</v>
      </c>
      <c r="F2924" s="72">
        <v>46</v>
      </c>
      <c r="G2924" s="72">
        <v>8365</v>
      </c>
      <c r="J2924" s="27" t="s">
        <v>6707</v>
      </c>
      <c r="K2924" s="27" t="s">
        <v>5359</v>
      </c>
      <c r="L2924" s="112"/>
      <c r="M2924" s="27" t="s">
        <v>3117</v>
      </c>
      <c r="N2924" s="48">
        <v>46054</v>
      </c>
      <c r="P2924" s="26"/>
    </row>
    <row r="2925" spans="1:16" ht="14.5">
      <c r="A2925" s="3" t="s">
        <v>38</v>
      </c>
      <c r="B2925" s="12" t="s">
        <v>2829</v>
      </c>
      <c r="C2925" s="46" t="s">
        <v>6708</v>
      </c>
      <c r="D2925" s="41" t="str">
        <f ca="1">IFERROR(__xludf.DUMMYFUNCTION("IFERROR(ARRAYFORMULA(REGEXEXTRACT(C2925,""^(?:https?:\/\/)?(?:[^@\n]+@)?(?:www\.)?([^:\/\n]+)"")),"""")"),"business.smdailypress.com")</f>
        <v>business.smdailypress.com</v>
      </c>
      <c r="E2925" s="26" t="str">
        <f ca="1">IFERROR(__xludf.DUMMYFUNCTION("""COMPUTED_VALUE"""),"New")</f>
        <v>New</v>
      </c>
      <c r="F2925" s="72">
        <v>46</v>
      </c>
      <c r="G2925" s="72">
        <v>2646</v>
      </c>
      <c r="P2925" s="26"/>
    </row>
    <row r="2926" spans="1:16" ht="14.5">
      <c r="A2926" s="3" t="s">
        <v>38</v>
      </c>
      <c r="B2926" s="12" t="s">
        <v>2829</v>
      </c>
      <c r="C2926" s="49" t="s">
        <v>6709</v>
      </c>
      <c r="D2926" s="41" t="str">
        <f ca="1">IFERROR(__xludf.DUMMYFUNCTION("IFERROR(ARRAYFORMULA(REGEXEXTRACT(C2926,""^(?:https?:\/\/)?(?:[^@\n]+@)?(?:www\.)?([^:\/\n]+)"")),"""")"),"lmtonline.com")</f>
        <v>lmtonline.com</v>
      </c>
      <c r="E2926" s="26" t="str">
        <f ca="1">IFERROR(__xludf.DUMMYFUNCTION("""COMPUTED_VALUE"""),"New")</f>
        <v>New</v>
      </c>
      <c r="F2926" s="72">
        <v>70</v>
      </c>
      <c r="G2926" s="72">
        <v>29124</v>
      </c>
      <c r="J2926" s="27" t="s">
        <v>6710</v>
      </c>
      <c r="K2926" s="27" t="s">
        <v>3772</v>
      </c>
      <c r="L2926" s="112"/>
      <c r="M2926" s="27" t="s">
        <v>3117</v>
      </c>
      <c r="N2926" s="48">
        <v>46054</v>
      </c>
      <c r="P2926" s="26"/>
    </row>
    <row r="2927" spans="1:16" ht="14.5">
      <c r="A2927" s="3" t="s">
        <v>38</v>
      </c>
      <c r="B2927" s="12" t="s">
        <v>2829</v>
      </c>
      <c r="C2927" s="46" t="s">
        <v>6711</v>
      </c>
      <c r="D2927" s="41" t="str">
        <f ca="1">IFERROR(__xludf.DUMMYFUNCTION("IFERROR(ARRAYFORMULA(REGEXEXTRACT(C2927,""^(?:https?:\/\/)?(?:[^@\n]+@)?(?:www\.)?([^:\/\n]+)"")),"""")"),"money.mymotherlode.com")</f>
        <v>money.mymotherlode.com</v>
      </c>
      <c r="E2927" s="26" t="str">
        <f ca="1">IFERROR(__xludf.DUMMYFUNCTION("""COMPUTED_VALUE"""),"New")</f>
        <v>New</v>
      </c>
      <c r="F2927" s="72">
        <v>67</v>
      </c>
      <c r="G2927" s="72">
        <v>27123</v>
      </c>
      <c r="P2927" s="26"/>
    </row>
    <row r="2928" spans="1:16" ht="14.5">
      <c r="A2928" s="3" t="s">
        <v>38</v>
      </c>
      <c r="B2928" s="12" t="s">
        <v>2829</v>
      </c>
      <c r="C2928" s="46" t="s">
        <v>6712</v>
      </c>
      <c r="D2928" s="41" t="str">
        <f ca="1">IFERROR(__xludf.DUMMYFUNCTION("IFERROR(ARRAYFORMULA(REGEXEXTRACT(C2928,""^(?:https?:\/\/)?(?:[^@\n]+@)?(?:www\.)?([^:\/\n]+)"")),"""")"),"markets.chroniclejournal.com")</f>
        <v>markets.chroniclejournal.com</v>
      </c>
      <c r="E2928" s="26" t="str">
        <f ca="1">IFERROR(__xludf.DUMMYFUNCTION("""COMPUTED_VALUE"""),"New")</f>
        <v>New</v>
      </c>
      <c r="F2928" s="72">
        <v>71</v>
      </c>
      <c r="G2928" s="72">
        <v>14937</v>
      </c>
      <c r="P2928" s="26"/>
    </row>
    <row r="2929" spans="1:16" ht="14.5">
      <c r="A2929" s="3" t="s">
        <v>38</v>
      </c>
      <c r="B2929" s="12" t="s">
        <v>2829</v>
      </c>
      <c r="C2929" s="46" t="s">
        <v>6713</v>
      </c>
      <c r="D2929" s="41" t="str">
        <f ca="1">IFERROR(__xludf.DUMMYFUNCTION("IFERROR(ARRAYFORMULA(REGEXEXTRACT(C2929,""^(?:https?:\/\/)?(?:[^@\n]+@)?(?:www\.)?([^:\/\n]+)"")),"""")"),"pymnts.com")</f>
        <v>pymnts.com</v>
      </c>
      <c r="E2929" s="26" t="str">
        <f ca="1">IFERROR(__xludf.DUMMYFUNCTION("""COMPUTED_VALUE"""),"New")</f>
        <v>New</v>
      </c>
      <c r="F2929" s="72">
        <v>88</v>
      </c>
      <c r="G2929" s="72">
        <v>130329</v>
      </c>
      <c r="P2929" s="26"/>
    </row>
    <row r="2930" spans="1:16" ht="14.5">
      <c r="A2930" s="3" t="s">
        <v>38</v>
      </c>
      <c r="B2930" s="12" t="s">
        <v>2829</v>
      </c>
      <c r="C2930" s="46" t="s">
        <v>6714</v>
      </c>
      <c r="D2930" s="41" t="str">
        <f ca="1">IFERROR(__xludf.DUMMYFUNCTION("IFERROR(ARRAYFORMULA(REGEXEXTRACT(C2930,""^(?:https?:\/\/)?(?:[^@\n]+@)?(?:www\.)?([^:\/\n]+)"")),"""")"),"business.woonsocketcall.com")</f>
        <v>business.woonsocketcall.com</v>
      </c>
      <c r="E2930" s="26" t="str">
        <f ca="1">IFERROR(__xludf.DUMMYFUNCTION("""COMPUTED_VALUE"""),"New")</f>
        <v>New</v>
      </c>
      <c r="F2930" s="72">
        <v>53</v>
      </c>
      <c r="G2930" s="72">
        <v>1646</v>
      </c>
      <c r="P2930" s="26"/>
    </row>
    <row r="2931" spans="1:16" ht="14.5">
      <c r="A2931" s="3" t="s">
        <v>38</v>
      </c>
      <c r="B2931" s="12" t="s">
        <v>2829</v>
      </c>
      <c r="C2931" s="46" t="s">
        <v>6715</v>
      </c>
      <c r="D2931" s="41" t="str">
        <f ca="1">IFERROR(__xludf.DUMMYFUNCTION("IFERROR(ARRAYFORMULA(REGEXEXTRACT(C2931,""^(?:https?:\/\/)?(?:[^@\n]+@)?(?:www\.)?([^:\/\n]+)"")),"""")"),"essence.com")</f>
        <v>essence.com</v>
      </c>
      <c r="E2931" s="26" t="str">
        <f ca="1">IFERROR(__xludf.DUMMYFUNCTION("""COMPUTED_VALUE"""),"New")</f>
        <v>New</v>
      </c>
      <c r="F2931" s="72">
        <v>85</v>
      </c>
      <c r="G2931" s="72">
        <v>390284</v>
      </c>
      <c r="P2931" s="26"/>
    </row>
    <row r="2932" spans="1:16" ht="14.5">
      <c r="A2932" s="3" t="s">
        <v>38</v>
      </c>
      <c r="B2932" s="12" t="s">
        <v>2829</v>
      </c>
      <c r="C2932" s="46" t="s">
        <v>6716</v>
      </c>
      <c r="D2932" s="41" t="str">
        <f ca="1">IFERROR(__xludf.DUMMYFUNCTION("IFERROR(ARRAYFORMULA(REGEXEXTRACT(C2932,""^(?:https?:\/\/)?(?:[^@\n]+@)?(?:www\.)?([^:\/\n]+)"")),"""")"),"technologymagazine.com")</f>
        <v>technologymagazine.com</v>
      </c>
      <c r="E2932" s="26" t="str">
        <f ca="1">IFERROR(__xludf.DUMMYFUNCTION("""COMPUTED_VALUE"""),"New")</f>
        <v>New</v>
      </c>
      <c r="F2932" s="72">
        <v>75</v>
      </c>
      <c r="G2932" s="72">
        <v>42669</v>
      </c>
      <c r="P2932" s="26"/>
    </row>
    <row r="2933" spans="1:16" ht="14.5">
      <c r="A2933" s="3" t="s">
        <v>38</v>
      </c>
      <c r="B2933" s="12" t="s">
        <v>2829</v>
      </c>
      <c r="C2933" s="46" t="s">
        <v>6717</v>
      </c>
      <c r="D2933" s="41" t="str">
        <f ca="1">IFERROR(__xludf.DUMMYFUNCTION("IFERROR(ARRAYFORMULA(REGEXEXTRACT(C2933,""^(?:https?:\/\/)?(?:[^@\n]+@)?(?:www\.)?([^:\/\n]+)"")),"""")"),"modernsalon.com")</f>
        <v>modernsalon.com</v>
      </c>
      <c r="E2933" s="26" t="str">
        <f ca="1">IFERROR(__xludf.DUMMYFUNCTION("""COMPUTED_VALUE"""),"New")</f>
        <v>New</v>
      </c>
      <c r="F2933" s="72">
        <v>72</v>
      </c>
      <c r="G2933" s="72">
        <v>2485</v>
      </c>
      <c r="P2933" s="26"/>
    </row>
    <row r="2934" spans="1:16" ht="14.5">
      <c r="A2934" s="3" t="s">
        <v>38</v>
      </c>
      <c r="B2934" s="12" t="s">
        <v>2829</v>
      </c>
      <c r="C2934" s="46" t="s">
        <v>6718</v>
      </c>
      <c r="D2934" s="41" t="str">
        <f ca="1">IFERROR(__xludf.DUMMYFUNCTION("IFERROR(ARRAYFORMULA(REGEXEXTRACT(C2934,""^(?:https?:\/\/)?(?:[^@\n]+@)?(?:www\.)?([^:\/\n]+)"")),"""")"),"chron.com")</f>
        <v>chron.com</v>
      </c>
      <c r="E2934" s="26" t="str">
        <f ca="1">IFERROR(__xludf.DUMMYFUNCTION("""COMPUTED_VALUE"""),"New")</f>
        <v>New</v>
      </c>
      <c r="F2934" s="72">
        <v>90</v>
      </c>
      <c r="G2934" s="72">
        <v>220421</v>
      </c>
      <c r="P2934" s="26"/>
    </row>
    <row r="2935" spans="1:16" ht="14.5">
      <c r="A2935" s="3" t="s">
        <v>38</v>
      </c>
      <c r="B2935" s="12" t="s">
        <v>2829</v>
      </c>
      <c r="C2935" s="46" t="s">
        <v>6719</v>
      </c>
      <c r="D2935" s="41" t="str">
        <f ca="1">IFERROR(__xludf.DUMMYFUNCTION("IFERROR(ARRAYFORMULA(REGEXEXTRACT(C2935,""^(?:https?:\/\/)?(?:[^@\n]+@)?(?:www\.)?([^:\/\n]+)"")),"""")"),"crej.com")</f>
        <v>crej.com</v>
      </c>
      <c r="E2935" s="26" t="str">
        <f ca="1">IFERROR(__xludf.DUMMYFUNCTION("""COMPUTED_VALUE"""),"New")</f>
        <v>New</v>
      </c>
      <c r="F2935" s="72">
        <v>59</v>
      </c>
      <c r="G2935" s="72">
        <v>1315</v>
      </c>
      <c r="P2935" s="26"/>
    </row>
    <row r="2936" spans="1:16" ht="14.5">
      <c r="A2936" s="3" t="s">
        <v>38</v>
      </c>
      <c r="B2936" s="12" t="s">
        <v>2829</v>
      </c>
      <c r="C2936" s="46" t="s">
        <v>6720</v>
      </c>
      <c r="D2936" s="41" t="str">
        <f ca="1">IFERROR(__xludf.DUMMYFUNCTION("IFERROR(ARRAYFORMULA(REGEXEXTRACT(C2936,""^(?:https?:\/\/)?(?:[^@\n]+@)?(?:www\.)?([^:\/\n]+)"")),"""")"),"barbarashallue.typepad.com")</f>
        <v>barbarashallue.typepad.com</v>
      </c>
      <c r="E2936" s="26" t="str">
        <f ca="1">IFERROR(__xludf.DUMMYFUNCTION("""COMPUTED_VALUE"""),"New")</f>
        <v>New</v>
      </c>
      <c r="F2936" s="72">
        <v>91</v>
      </c>
      <c r="G2936" s="72">
        <v>1110</v>
      </c>
      <c r="P2936" s="26"/>
    </row>
    <row r="2937" spans="1:16" ht="14.5">
      <c r="A2937" s="3" t="s">
        <v>38</v>
      </c>
      <c r="B2937" s="12" t="s">
        <v>2829</v>
      </c>
      <c r="C2937" s="46" t="s">
        <v>6721</v>
      </c>
      <c r="D2937" s="41" t="str">
        <f ca="1">IFERROR(__xludf.DUMMYFUNCTION("IFERROR(ARRAYFORMULA(REGEXEXTRACT(C2937,""^(?:https?:\/\/)?(?:[^@\n]+@)?(?:www\.)?([^:\/\n]+)"")),"""")"),"sspca.org")</f>
        <v>sspca.org</v>
      </c>
      <c r="E2937" s="26" t="str">
        <f ca="1">IFERROR(__xludf.DUMMYFUNCTION("""COMPUTED_VALUE"""),"New")</f>
        <v>New</v>
      </c>
      <c r="F2937" s="72">
        <v>55</v>
      </c>
      <c r="G2937" s="72">
        <v>14082</v>
      </c>
      <c r="P2937" s="26"/>
    </row>
    <row r="2938" spans="1:16" ht="14.5">
      <c r="A2938" s="3" t="s">
        <v>38</v>
      </c>
      <c r="B2938" s="12" t="s">
        <v>2829</v>
      </c>
      <c r="C2938" s="46" t="s">
        <v>6722</v>
      </c>
      <c r="D2938" s="41" t="str">
        <f ca="1">IFERROR(__xludf.DUMMYFUNCTION("IFERROR(ARRAYFORMULA(REGEXEXTRACT(C2938,""^(?:https?:\/\/)?(?:[^@\n]+@)?(?:www\.)?([^:\/\n]+)"")),"""")"),"blog.allentate.com")</f>
        <v>blog.allentate.com</v>
      </c>
      <c r="E2938" s="26" t="str">
        <f ca="1">IFERROR(__xludf.DUMMYFUNCTION("""COMPUTED_VALUE"""),"New")</f>
        <v>New</v>
      </c>
      <c r="F2938" s="72">
        <v>63</v>
      </c>
      <c r="G2938" s="72">
        <v>26890</v>
      </c>
      <c r="P2938" s="26"/>
    </row>
    <row r="2939" spans="1:16" ht="14.5">
      <c r="A2939" s="3" t="s">
        <v>38</v>
      </c>
      <c r="B2939" s="12" t="s">
        <v>2829</v>
      </c>
      <c r="C2939" s="46" t="s">
        <v>6723</v>
      </c>
      <c r="D2939" s="41" t="str">
        <f ca="1">IFERROR(__xludf.DUMMYFUNCTION("IFERROR(ARRAYFORMULA(REGEXEXTRACT(C2939,""^(?:https?:\/\/)?(?:[^@\n]+@)?(?:www\.)?([^:\/\n]+)"")),"""")"),"careerhub.sunyempire.edu")</f>
        <v>careerhub.sunyempire.edu</v>
      </c>
      <c r="E2939" s="26" t="str">
        <f ca="1">IFERROR(__xludf.DUMMYFUNCTION("""COMPUTED_VALUE"""),"New")</f>
        <v>New</v>
      </c>
      <c r="F2939" s="72">
        <v>66</v>
      </c>
      <c r="G2939" s="72">
        <v>40227</v>
      </c>
      <c r="P2939" s="26"/>
    </row>
    <row r="2940" spans="1:16" ht="14.5">
      <c r="A2940" s="3" t="s">
        <v>38</v>
      </c>
      <c r="B2940" s="12" t="s">
        <v>2829</v>
      </c>
      <c r="C2940" s="46" t="s">
        <v>6724</v>
      </c>
      <c r="D2940" s="41" t="str">
        <f ca="1">IFERROR(__xludf.DUMMYFUNCTION("IFERROR(ARRAYFORMULA(REGEXEXTRACT(C2940,""^(?:https?:\/\/)?(?:[^@\n]+@)?(?:www\.)?([^:\/\n]+)"")),"""")"),"legal.io")</f>
        <v>legal.io</v>
      </c>
      <c r="E2940" s="26" t="str">
        <f ca="1">IFERROR(__xludf.DUMMYFUNCTION("""COMPUTED_VALUE"""),"New")</f>
        <v>New</v>
      </c>
      <c r="F2940" s="72">
        <v>51</v>
      </c>
      <c r="G2940" s="72">
        <v>12935</v>
      </c>
      <c r="P2940" s="26"/>
    </row>
    <row r="2941" spans="1:16" ht="14.5">
      <c r="A2941" s="3" t="s">
        <v>38</v>
      </c>
      <c r="B2941" s="12" t="s">
        <v>2829</v>
      </c>
      <c r="C2941" s="46" t="s">
        <v>6725</v>
      </c>
      <c r="D2941" s="41" t="str">
        <f ca="1">IFERROR(__xludf.DUMMYFUNCTION("IFERROR(ARRAYFORMULA(REGEXEXTRACT(C2941,""^(?:https?:\/\/)?(?:[^@\n]+@)?(?:www\.)?([^:\/\n]+)"")),"""")"),"dallasnews.com")</f>
        <v>dallasnews.com</v>
      </c>
      <c r="E2941" s="26" t="str">
        <f ca="1">IFERROR(__xludf.DUMMYFUNCTION("""COMPUTED_VALUE"""),"New")</f>
        <v>New</v>
      </c>
      <c r="F2941" s="72">
        <v>87</v>
      </c>
      <c r="G2941" s="72">
        <v>800056</v>
      </c>
      <c r="P2941" s="26"/>
    </row>
    <row r="2942" spans="1:16" ht="14.5">
      <c r="A2942" s="3" t="s">
        <v>38</v>
      </c>
      <c r="B2942" s="12" t="s">
        <v>2829</v>
      </c>
      <c r="C2942" s="46" t="s">
        <v>6726</v>
      </c>
      <c r="D2942" s="41" t="str">
        <f ca="1">IFERROR(__xludf.DUMMYFUNCTION("IFERROR(ARRAYFORMULA(REGEXEXTRACT(C2942,""^(?:https?:\/\/)?(?:[^@\n]+@)?(?:www\.)?([^:\/\n]+)"")),"""")"),"career.du.edu")</f>
        <v>career.du.edu</v>
      </c>
      <c r="E2942" s="26" t="str">
        <f ca="1">IFERROR(__xludf.DUMMYFUNCTION("""COMPUTED_VALUE"""),"New")</f>
        <v>New</v>
      </c>
      <c r="F2942" s="72">
        <v>82</v>
      </c>
      <c r="G2942" s="72">
        <v>274742</v>
      </c>
      <c r="P2942" s="26"/>
    </row>
    <row r="2943" spans="1:16" ht="14.5">
      <c r="A2943" s="3" t="s">
        <v>38</v>
      </c>
      <c r="B2943" s="12" t="s">
        <v>2829</v>
      </c>
      <c r="C2943" s="46" t="s">
        <v>6727</v>
      </c>
      <c r="D2943" s="41" t="str">
        <f ca="1">IFERROR(__xludf.DUMMYFUNCTION("IFERROR(ARRAYFORMULA(REGEXEXTRACT(C2943,""^(?:https?:\/\/)?(?:[^@\n]+@)?(?:www\.)?([^:\/\n]+)"")),"""")"),"twelvedata.com")</f>
        <v>twelvedata.com</v>
      </c>
      <c r="E2943" s="26" t="str">
        <f ca="1">IFERROR(__xludf.DUMMYFUNCTION("""COMPUTED_VALUE"""),"New")</f>
        <v>New</v>
      </c>
      <c r="F2943" s="72">
        <v>65</v>
      </c>
      <c r="G2943" s="72">
        <v>21502</v>
      </c>
      <c r="P2943" s="26"/>
    </row>
    <row r="2944" spans="1:16" ht="14.5">
      <c r="A2944" s="3" t="s">
        <v>38</v>
      </c>
      <c r="B2944" s="12" t="s">
        <v>2829</v>
      </c>
      <c r="C2944" s="46" t="s">
        <v>6728</v>
      </c>
      <c r="D2944" s="41" t="str">
        <f ca="1">IFERROR(__xludf.DUMMYFUNCTION("IFERROR(ARRAYFORMULA(REGEXEXTRACT(C2944,""^(?:https?:\/\/)?(?:[^@\n]+@)?(?:www\.)?([^:\/\n]+)"")),"""")"),"local.coloradocommunitymedia.com")</f>
        <v>local.coloradocommunitymedia.com</v>
      </c>
      <c r="E2944" s="26" t="str">
        <f ca="1">IFERROR(__xludf.DUMMYFUNCTION("""COMPUTED_VALUE"""),"New")</f>
        <v>New</v>
      </c>
      <c r="F2944" s="72">
        <v>68</v>
      </c>
      <c r="G2944" s="72">
        <v>4266</v>
      </c>
      <c r="P2944" s="26"/>
    </row>
    <row r="2945" spans="1:16" ht="14.5">
      <c r="A2945" s="3" t="s">
        <v>38</v>
      </c>
      <c r="B2945" s="12" t="s">
        <v>2829</v>
      </c>
      <c r="C2945" s="46" t="s">
        <v>6729</v>
      </c>
      <c r="D2945" s="41" t="str">
        <f ca="1">IFERROR(__xludf.DUMMYFUNCTION("IFERROR(ARRAYFORMULA(REGEXEXTRACT(C2945,""^(?:https?:\/\/)?(?:[^@\n]+@)?(?:www\.)?([^:\/\n]+)"")),"""")"),"remoterocketship.com")</f>
        <v>remoterocketship.com</v>
      </c>
      <c r="E2945" s="26" t="str">
        <f ca="1">IFERROR(__xludf.DUMMYFUNCTION("""COMPUTED_VALUE"""),"New")</f>
        <v>New</v>
      </c>
      <c r="F2945" s="72">
        <v>52</v>
      </c>
      <c r="G2945" s="72">
        <v>65333</v>
      </c>
      <c r="P2945" s="26"/>
    </row>
    <row r="2946" spans="1:16" ht="14.5">
      <c r="A2946" s="3" t="s">
        <v>38</v>
      </c>
      <c r="B2946" s="12" t="s">
        <v>2829</v>
      </c>
      <c r="C2946" s="46" t="s">
        <v>6730</v>
      </c>
      <c r="D2946" s="41" t="str">
        <f ca="1">IFERROR(__xludf.DUMMYFUNCTION("IFERROR(ARRAYFORMULA(REGEXEXTRACT(C2946,""^(?:https?:\/\/)?(?:[^@\n]+@)?(?:www\.)?([^:\/\n]+)"")),"""")"),"5newsonline.com")</f>
        <v>5newsonline.com</v>
      </c>
      <c r="E2946" s="26" t="str">
        <f ca="1">IFERROR(__xludf.DUMMYFUNCTION("""COMPUTED_VALUE"""),"New")</f>
        <v>New</v>
      </c>
      <c r="F2946" s="72">
        <v>71</v>
      </c>
      <c r="G2946" s="72">
        <v>41077</v>
      </c>
      <c r="P2946" s="26"/>
    </row>
    <row r="2947" spans="1:16" ht="14.5">
      <c r="A2947" s="3" t="s">
        <v>38</v>
      </c>
      <c r="B2947" s="12" t="s">
        <v>2829</v>
      </c>
      <c r="C2947" s="46" t="s">
        <v>6731</v>
      </c>
      <c r="D2947" s="41" t="str">
        <f ca="1">IFERROR(__xludf.DUMMYFUNCTION("IFERROR(ARRAYFORMULA(REGEXEXTRACT(C2947,""^(?:https?:\/\/)?(?:[^@\n]+@)?(?:www\.)?([^:\/\n]+)"")),"""")"),"talentify.io")</f>
        <v>talentify.io</v>
      </c>
      <c r="E2947" s="26" t="str">
        <f ca="1">IFERROR(__xludf.DUMMYFUNCTION("""COMPUTED_VALUE"""),"New")</f>
        <v>New</v>
      </c>
      <c r="F2947" s="72">
        <v>52</v>
      </c>
      <c r="G2947" s="72">
        <v>9385</v>
      </c>
      <c r="P2947" s="26"/>
    </row>
    <row r="2948" spans="1:16" ht="14.5">
      <c r="A2948" s="3" t="s">
        <v>38</v>
      </c>
      <c r="B2948" s="12" t="s">
        <v>2829</v>
      </c>
      <c r="C2948" s="46" t="s">
        <v>6732</v>
      </c>
      <c r="D2948" s="41" t="str">
        <f ca="1">IFERROR(__xludf.DUMMYFUNCTION("IFERROR(ARRAYFORMULA(REGEXEXTRACT(C2948,""^(?:https?:\/\/)?(?:[^@\n]+@)?(?:www\.)?([^:\/\n]+)"")),"""")"),"mccl-impresslocal.pdqs.mobi")</f>
        <v>mccl-impresslocal.pdqs.mobi</v>
      </c>
      <c r="E2948" s="26" t="str">
        <f ca="1">IFERROR(__xludf.DUMMYFUNCTION("""COMPUTED_VALUE"""),"New")</f>
        <v>New</v>
      </c>
      <c r="F2948" s="72">
        <v>51</v>
      </c>
      <c r="G2948" s="72">
        <v>1023</v>
      </c>
      <c r="P2948" s="26"/>
    </row>
    <row r="2949" spans="1:16" ht="14.5">
      <c r="A2949" s="3" t="s">
        <v>38</v>
      </c>
      <c r="B2949" s="12" t="s">
        <v>2829</v>
      </c>
      <c r="C2949" s="46" t="s">
        <v>6733</v>
      </c>
      <c r="D2949" s="41" t="str">
        <f ca="1">IFERROR(__xludf.DUMMYFUNCTION("IFERROR(ARRAYFORMULA(REGEXEXTRACT(C2949,""^(?:https?:\/\/)?(?:[^@\n]+@)?(?:www\.)?([^:\/\n]+)"")),"""")"),"business.sarasotachamber.com")</f>
        <v>business.sarasotachamber.com</v>
      </c>
      <c r="E2949" s="26" t="str">
        <f ca="1">IFERROR(__xludf.DUMMYFUNCTION("""COMPUTED_VALUE"""),"New")</f>
        <v>New</v>
      </c>
      <c r="F2949" s="72">
        <v>55</v>
      </c>
      <c r="G2949" s="72">
        <v>2193</v>
      </c>
      <c r="P2949" s="26"/>
    </row>
    <row r="2950" spans="1:16" ht="14.5">
      <c r="A2950" s="3" t="s">
        <v>38</v>
      </c>
      <c r="B2950" s="12" t="s">
        <v>2829</v>
      </c>
      <c r="C2950" s="46" t="s">
        <v>6734</v>
      </c>
      <c r="D2950" s="41" t="str">
        <f ca="1">IFERROR(__xludf.DUMMYFUNCTION("IFERROR(ARRAYFORMULA(REGEXEXTRACT(C2950,""^(?:https?:\/\/)?(?:[^@\n]+@)?(?:www\.)?([^:\/\n]+)"")),"""")"),"testing.floridapolitics.com")</f>
        <v>testing.floridapolitics.com</v>
      </c>
      <c r="E2950" s="26" t="str">
        <f ca="1">IFERROR(__xludf.DUMMYFUNCTION("""COMPUTED_VALUE"""),"New")</f>
        <v>New</v>
      </c>
      <c r="F2950" s="72">
        <v>76</v>
      </c>
      <c r="G2950" s="72">
        <v>25888</v>
      </c>
      <c r="P2950" s="26"/>
    </row>
    <row r="2951" spans="1:16" ht="14.5">
      <c r="A2951" s="3" t="s">
        <v>38</v>
      </c>
      <c r="B2951" s="12" t="s">
        <v>2829</v>
      </c>
      <c r="C2951" s="46" t="s">
        <v>6735</v>
      </c>
      <c r="D2951" s="41" t="str">
        <f ca="1">IFERROR(__xludf.DUMMYFUNCTION("IFERROR(ARRAYFORMULA(REGEXEXTRACT(C2951,""^(?:https?:\/\/)?(?:[^@\n]+@)?(?:www\.)?([^:\/\n]+)"")),"""")"),"king5.com")</f>
        <v>king5.com</v>
      </c>
      <c r="E2951" s="26" t="str">
        <f ca="1">IFERROR(__xludf.DUMMYFUNCTION("""COMPUTED_VALUE"""),"New")</f>
        <v>New</v>
      </c>
      <c r="F2951" s="72">
        <v>81</v>
      </c>
      <c r="G2951" s="72">
        <v>206471</v>
      </c>
      <c r="P2951" s="26"/>
    </row>
    <row r="2952" spans="1:16" ht="14.5">
      <c r="A2952" s="3" t="s">
        <v>38</v>
      </c>
      <c r="B2952" s="12" t="s">
        <v>2829</v>
      </c>
      <c r="C2952" s="46" t="s">
        <v>6736</v>
      </c>
      <c r="D2952" s="41" t="str">
        <f ca="1">IFERROR(__xludf.DUMMYFUNCTION("IFERROR(ARRAYFORMULA(REGEXEXTRACT(C2952,""^(?:https?:\/\/)?(?:[^@\n]+@)?(?:www\.)?([^:\/\n]+)"")),"""")"),"index.businessinsurance.com")</f>
        <v>index.businessinsurance.com</v>
      </c>
      <c r="E2952" s="26" t="str">
        <f ca="1">IFERROR(__xludf.DUMMYFUNCTION("""COMPUTED_VALUE"""),"New")</f>
        <v>New</v>
      </c>
      <c r="F2952" s="72">
        <v>76</v>
      </c>
      <c r="G2952" s="72">
        <v>41249</v>
      </c>
      <c r="P2952" s="26"/>
    </row>
    <row r="2953" spans="1:16" ht="14.5">
      <c r="A2953" s="3" t="s">
        <v>38</v>
      </c>
      <c r="B2953" s="12" t="s">
        <v>2829</v>
      </c>
      <c r="C2953" s="46" t="s">
        <v>6737</v>
      </c>
      <c r="D2953" s="41" t="str">
        <f ca="1">IFERROR(__xludf.DUMMYFUNCTION("IFERROR(ARRAYFORMULA(REGEXEXTRACT(C2953,""^(?:https?:\/\/)?(?:[^@\n]+@)?(?:www\.)?([^:\/\n]+)"")),"""")"),"varde.com")</f>
        <v>varde.com</v>
      </c>
      <c r="E2953" s="26" t="str">
        <f ca="1">IFERROR(__xludf.DUMMYFUNCTION("""COMPUTED_VALUE"""),"New")</f>
        <v>New</v>
      </c>
      <c r="F2953" s="72">
        <v>40</v>
      </c>
      <c r="G2953" s="72">
        <v>1751</v>
      </c>
      <c r="P2953" s="26"/>
    </row>
    <row r="2954" spans="1:16" ht="14.5">
      <c r="A2954" s="3" t="s">
        <v>38</v>
      </c>
      <c r="B2954" s="12" t="s">
        <v>2829</v>
      </c>
      <c r="C2954" s="46" t="s">
        <v>6738</v>
      </c>
      <c r="D2954" s="41" t="str">
        <f ca="1">IFERROR(__xludf.DUMMYFUNCTION("IFERROR(ARRAYFORMULA(REGEXEXTRACT(C2954,""^(?:https?:\/\/)?(?:[^@\n]+@)?(?:www\.)?([^:\/\n]+)"")),"""")"),"business.punxsutawneyspirit.com")</f>
        <v>business.punxsutawneyspirit.com</v>
      </c>
      <c r="E2954" s="26" t="str">
        <f ca="1">IFERROR(__xludf.DUMMYFUNCTION("""COMPUTED_VALUE"""),"New")</f>
        <v>New</v>
      </c>
      <c r="F2954" s="72">
        <v>47</v>
      </c>
      <c r="G2954" s="72">
        <v>6157</v>
      </c>
      <c r="P2954" s="26"/>
    </row>
    <row r="2955" spans="1:16" ht="14.5">
      <c r="A2955" s="3" t="s">
        <v>38</v>
      </c>
      <c r="B2955" s="12" t="s">
        <v>2829</v>
      </c>
      <c r="C2955" s="46" t="s">
        <v>6739</v>
      </c>
      <c r="D2955" s="41" t="str">
        <f ca="1">IFERROR(__xludf.DUMMYFUNCTION("IFERROR(ARRAYFORMULA(REGEXEXTRACT(C2955,""^(?:https?:\/\/)?(?:[^@\n]+@)?(?:www\.)?([^:\/\n]+)"")),"""")"),"tiphero.com")</f>
        <v>tiphero.com</v>
      </c>
      <c r="E2955" s="26" t="str">
        <f ca="1">IFERROR(__xludf.DUMMYFUNCTION("""COMPUTED_VALUE"""),"New")</f>
        <v>New</v>
      </c>
      <c r="F2955" s="72">
        <v>58</v>
      </c>
      <c r="G2955" s="72">
        <v>1877</v>
      </c>
      <c r="P2955" s="26"/>
    </row>
    <row r="2956" spans="1:16" ht="14.5">
      <c r="A2956" s="3" t="s">
        <v>38</v>
      </c>
      <c r="B2956" s="12" t="s">
        <v>2829</v>
      </c>
      <c r="C2956" s="46" t="s">
        <v>6740</v>
      </c>
      <c r="D2956" s="41" t="str">
        <f ca="1">IFERROR(__xludf.DUMMYFUNCTION("IFERROR(ARRAYFORMULA(REGEXEXTRACT(C2956,""^(?:https?:\/\/)?(?:[^@\n]+@)?(?:www\.)?([^:\/\n]+)"")),"""")"),"chicagotribune.com")</f>
        <v>chicagotribune.com</v>
      </c>
      <c r="E2956" s="26" t="str">
        <f ca="1">IFERROR(__xludf.DUMMYFUNCTION("""COMPUTED_VALUE"""),"New")</f>
        <v>New</v>
      </c>
      <c r="F2956" s="72">
        <v>90</v>
      </c>
      <c r="G2956" s="72">
        <v>528873</v>
      </c>
      <c r="P2956" s="26"/>
    </row>
    <row r="2957" spans="1:16" ht="14.5">
      <c r="A2957" s="3" t="s">
        <v>38</v>
      </c>
      <c r="B2957" s="12" t="s">
        <v>2829</v>
      </c>
      <c r="C2957" s="46" t="s">
        <v>6741</v>
      </c>
      <c r="D2957" s="41" t="str">
        <f ca="1">IFERROR(__xludf.DUMMYFUNCTION("IFERROR(ARRAYFORMULA(REGEXEXTRACT(C2957,""^(?:https?:\/\/)?(?:[^@\n]+@)?(?:www\.)?([^:\/\n]+)"")),"""")"),"oreanda-news.com")</f>
        <v>oreanda-news.com</v>
      </c>
      <c r="E2957" s="26" t="str">
        <f ca="1">IFERROR(__xludf.DUMMYFUNCTION("""COMPUTED_VALUE"""),"New")</f>
        <v>New</v>
      </c>
      <c r="F2957" s="72">
        <v>44</v>
      </c>
      <c r="G2957" s="72">
        <v>14218</v>
      </c>
      <c r="P2957" s="26"/>
    </row>
    <row r="2958" spans="1:16" ht="14.5">
      <c r="A2958" s="3" t="s">
        <v>38</v>
      </c>
      <c r="B2958" s="12" t="s">
        <v>2829</v>
      </c>
      <c r="C2958" s="46" t="s">
        <v>6742</v>
      </c>
      <c r="D2958" s="41" t="str">
        <f ca="1">IFERROR(__xludf.DUMMYFUNCTION("IFERROR(ARRAYFORMULA(REGEXEXTRACT(C2958,""^(?:https?:\/\/)?(?:[^@\n]+@)?(?:www\.)?([^:\/\n]+)"")),"""")"),"wswc.wa.gov")</f>
        <v>wswc.wa.gov</v>
      </c>
      <c r="E2958" s="26" t="str">
        <f ca="1">IFERROR(__xludf.DUMMYFUNCTION("""COMPUTED_VALUE"""),"New")</f>
        <v>New</v>
      </c>
      <c r="F2958" s="72">
        <v>91</v>
      </c>
      <c r="G2958" s="72">
        <v>2967763</v>
      </c>
      <c r="P2958" s="26"/>
    </row>
    <row r="2959" spans="1:16" ht="14.5">
      <c r="A2959" s="3" t="s">
        <v>38</v>
      </c>
      <c r="B2959" s="12" t="s">
        <v>2829</v>
      </c>
      <c r="C2959" s="46" t="s">
        <v>6743</v>
      </c>
      <c r="D2959" s="41" t="str">
        <f ca="1">IFERROR(__xludf.DUMMYFUNCTION("IFERROR(ARRAYFORMULA(REGEXEXTRACT(C2959,""^(?:https?:\/\/)?(?:[^@\n]+@)?(?:www\.)?([^:\/\n]+)"")),"""")"),"business.wapakdailynews.com")</f>
        <v>business.wapakdailynews.com</v>
      </c>
      <c r="E2959" s="26" t="str">
        <f ca="1">IFERROR(__xludf.DUMMYFUNCTION("""COMPUTED_VALUE"""),"New")</f>
        <v>New</v>
      </c>
      <c r="F2959" s="72">
        <v>44</v>
      </c>
      <c r="G2959" s="72">
        <v>1335</v>
      </c>
      <c r="P2959" s="26"/>
    </row>
    <row r="2960" spans="1:16" ht="14.5">
      <c r="A2960" s="3" t="s">
        <v>38</v>
      </c>
      <c r="B2960" s="12" t="s">
        <v>2829</v>
      </c>
      <c r="C2960" s="46" t="s">
        <v>6744</v>
      </c>
      <c r="D2960" s="41" t="str">
        <f ca="1">IFERROR(__xludf.DUMMYFUNCTION("IFERROR(ARRAYFORMULA(REGEXEXTRACT(C2960,""^(?:https?:\/\/)?(?:[^@\n]+@)?(?:www\.)?([^:\/\n]+)"")),"""")"),"hrc.org")</f>
        <v>hrc.org</v>
      </c>
      <c r="E2960" s="26" t="str">
        <f ca="1">IFERROR(__xludf.DUMMYFUNCTION("""COMPUTED_VALUE"""),"New")</f>
        <v>New</v>
      </c>
      <c r="F2960" s="72">
        <v>87</v>
      </c>
      <c r="G2960" s="72">
        <v>255921</v>
      </c>
      <c r="P2960" s="26"/>
    </row>
    <row r="2961" spans="1:16" ht="14.5">
      <c r="A2961" s="3" t="s">
        <v>38</v>
      </c>
      <c r="B2961" s="12" t="s">
        <v>2829</v>
      </c>
      <c r="C2961" s="46" t="s">
        <v>6745</v>
      </c>
      <c r="D2961" s="41" t="str">
        <f ca="1">IFERROR(__xludf.DUMMYFUNCTION("IFERROR(ARRAYFORMULA(REGEXEXTRACT(C2961,""^(?:https?:\/\/)?(?:[^@\n]+@)?(?:www\.)?([^:\/\n]+)"")),"""")"),"whas11.com")</f>
        <v>whas11.com</v>
      </c>
      <c r="E2961" s="26" t="str">
        <f ca="1">IFERROR(__xludf.DUMMYFUNCTION("""COMPUTED_VALUE"""),"New")</f>
        <v>New</v>
      </c>
      <c r="F2961" s="72">
        <v>75</v>
      </c>
      <c r="G2961" s="72">
        <v>63169</v>
      </c>
      <c r="P2961" s="26"/>
    </row>
    <row r="2962" spans="1:16" ht="14.5">
      <c r="A2962" s="3" t="s">
        <v>38</v>
      </c>
      <c r="B2962" s="12" t="s">
        <v>2829</v>
      </c>
      <c r="C2962" s="46" t="s">
        <v>6746</v>
      </c>
      <c r="D2962" s="41" t="str">
        <f ca="1">IFERROR(__xludf.DUMMYFUNCTION("IFERROR(ARRAYFORMULA(REGEXEXTRACT(C2962,""^(?:https?:\/\/)?(?:[^@\n]+@)?(?:www\.)?([^:\/\n]+)"")),"""")"),"fundamentei.com")</f>
        <v>fundamentei.com</v>
      </c>
      <c r="E2962" s="26" t="str">
        <f ca="1">IFERROR(__xludf.DUMMYFUNCTION("""COMPUTED_VALUE"""),"New")</f>
        <v>New</v>
      </c>
      <c r="F2962" s="72">
        <v>35</v>
      </c>
      <c r="G2962" s="72">
        <v>8620</v>
      </c>
      <c r="P2962" s="26"/>
    </row>
    <row r="2963" spans="1:16" ht="14.5">
      <c r="A2963" s="3" t="s">
        <v>38</v>
      </c>
      <c r="B2963" s="12" t="s">
        <v>2829</v>
      </c>
      <c r="C2963" s="46" t="s">
        <v>6747</v>
      </c>
      <c r="D2963" s="41" t="str">
        <f ca="1">IFERROR(__xludf.DUMMYFUNCTION("IFERROR(ARRAYFORMULA(REGEXEXTRACT(C2963,""^(?:https?:\/\/)?(?:[^@\n]+@)?(?:www\.)?([^:\/\n]+)"")),"""")"),"supplychaindigital.com")</f>
        <v>supplychaindigital.com</v>
      </c>
      <c r="E2963" s="26" t="str">
        <f ca="1">IFERROR(__xludf.DUMMYFUNCTION("""COMPUTED_VALUE"""),"New")</f>
        <v>New</v>
      </c>
      <c r="F2963" s="72">
        <v>77</v>
      </c>
      <c r="G2963" s="72">
        <v>46248</v>
      </c>
      <c r="P2963" s="26"/>
    </row>
    <row r="2964" spans="1:16" ht="14.5">
      <c r="A2964" s="3" t="s">
        <v>38</v>
      </c>
      <c r="B2964" s="12" t="s">
        <v>2829</v>
      </c>
      <c r="C2964" s="46" t="s">
        <v>6748</v>
      </c>
      <c r="D2964" s="41" t="str">
        <f ca="1">IFERROR(__xludf.DUMMYFUNCTION("IFERROR(ARRAYFORMULA(REGEXEXTRACT(C2964,""^(?:https?:\/\/)?(?:[^@\n]+@)?(?:www\.)?([^:\/\n]+)"")),"""")"),"business.bigspringherald.com")</f>
        <v>business.bigspringherald.com</v>
      </c>
      <c r="E2964" s="26" t="str">
        <f ca="1">IFERROR(__xludf.DUMMYFUNCTION("""COMPUTED_VALUE"""),"New")</f>
        <v>New</v>
      </c>
      <c r="F2964" s="72">
        <v>47</v>
      </c>
      <c r="G2964" s="72">
        <v>1118</v>
      </c>
      <c r="P2964" s="26"/>
    </row>
    <row r="2965" spans="1:16" ht="14.5">
      <c r="A2965" s="3" t="s">
        <v>38</v>
      </c>
      <c r="B2965" s="12" t="s">
        <v>2830</v>
      </c>
      <c r="C2965" s="46" t="s">
        <v>6749</v>
      </c>
      <c r="D2965" s="41" t="str">
        <f ca="1">IFERROR(__xludf.DUMMYFUNCTION("IFERROR(ARRAYFORMULA(REGEXEXTRACT(C2965,""^(?:https?:\/\/)?(?:[^@\n]+@)?(?:www\.)?([^:\/\n]+)"")),"""")"),"cabinhomes.com")</f>
        <v>cabinhomes.com</v>
      </c>
      <c r="E2965" s="26" t="str">
        <f ca="1">IFERROR(__xludf.DUMMYFUNCTION("""COMPUTED_VALUE"""),"New")</f>
        <v>New</v>
      </c>
      <c r="F2965" s="72">
        <v>23</v>
      </c>
      <c r="G2965" s="72">
        <v>11066</v>
      </c>
      <c r="P2965" s="26"/>
    </row>
    <row r="2966" spans="1:16" ht="14.5">
      <c r="A2966" s="3" t="s">
        <v>38</v>
      </c>
      <c r="B2966" s="12" t="s">
        <v>2830</v>
      </c>
      <c r="C2966" s="46" t="s">
        <v>6750</v>
      </c>
      <c r="D2966" s="41" t="str">
        <f ca="1">IFERROR(__xludf.DUMMYFUNCTION("IFERROR(ARRAYFORMULA(REGEXEXTRACT(C2966,""^(?:https?:\/\/)?(?:[^@\n]+@)?(?:www\.)?([^:\/\n]+)"")),"""")"),"meritagehomes.com")</f>
        <v>meritagehomes.com</v>
      </c>
      <c r="E2966" s="26" t="str">
        <f ca="1">IFERROR(__xludf.DUMMYFUNCTION("""COMPUTED_VALUE"""),"New")</f>
        <v>New</v>
      </c>
      <c r="F2966" s="72">
        <v>66</v>
      </c>
      <c r="G2966" s="72">
        <v>36284</v>
      </c>
      <c r="P2966" s="26"/>
    </row>
    <row r="2967" spans="1:16" ht="14.5">
      <c r="A2967" s="3" t="s">
        <v>38</v>
      </c>
      <c r="B2967" s="12" t="s">
        <v>2830</v>
      </c>
      <c r="C2967" s="46" t="s">
        <v>6751</v>
      </c>
      <c r="D2967" s="41" t="str">
        <f ca="1">IFERROR(__xludf.DUMMYFUNCTION("IFERROR(ARRAYFORMULA(REGEXEXTRACT(C2967,""^(?:https?:\/\/)?(?:[^@\n]+@)?(?:www\.)?([^:\/\n]+)"")),"""")"),"llida.georgia.gov")</f>
        <v>llida.georgia.gov</v>
      </c>
      <c r="E2967" s="26" t="str">
        <f ca="1">IFERROR(__xludf.DUMMYFUNCTION("""COMPUTED_VALUE"""),"New")</f>
        <v>New</v>
      </c>
      <c r="F2967" s="72">
        <v>89</v>
      </c>
      <c r="G2967" s="72">
        <v>1781599</v>
      </c>
      <c r="P2967" s="26"/>
    </row>
    <row r="2968" spans="1:16" ht="14.5">
      <c r="A2968" s="3" t="s">
        <v>38</v>
      </c>
      <c r="B2968" s="12" t="s">
        <v>2830</v>
      </c>
      <c r="C2968" s="46" t="s">
        <v>6752</v>
      </c>
      <c r="D2968" s="41" t="str">
        <f ca="1">IFERROR(__xludf.DUMMYFUNCTION("IFERROR(ARRAYFORMULA(REGEXEXTRACT(C2968,""^(?:https?:\/\/)?(?:[^@\n]+@)?(?:www\.)?([^:\/\n]+)"")),"""")"),"extraspace.com")</f>
        <v>extraspace.com</v>
      </c>
      <c r="E2968" s="26" t="str">
        <f ca="1">IFERROR(__xludf.DUMMYFUNCTION("""COMPUTED_VALUE"""),"New")</f>
        <v>New</v>
      </c>
      <c r="F2968" s="72">
        <v>76</v>
      </c>
      <c r="G2968" s="72">
        <v>1705359</v>
      </c>
      <c r="P2968" s="26"/>
    </row>
    <row r="2969" spans="1:16" ht="14.5">
      <c r="A2969" s="3" t="s">
        <v>38</v>
      </c>
      <c r="B2969" s="12" t="s">
        <v>2830</v>
      </c>
      <c r="C2969" s="46" t="s">
        <v>6753</v>
      </c>
      <c r="D2969" s="41" t="str">
        <f ca="1">IFERROR(__xludf.DUMMYFUNCTION("IFERROR(ARRAYFORMULA(REGEXEXTRACT(C2969,""^(?:https?:\/\/)?(?:[^@\n]+@)?(?:www\.)?([^:\/\n]+)"")),"""")"),"davidsonhomes.com")</f>
        <v>davidsonhomes.com</v>
      </c>
      <c r="E2969" s="26" t="str">
        <f ca="1">IFERROR(__xludf.DUMMYFUNCTION("""COMPUTED_VALUE"""),"New")</f>
        <v>New</v>
      </c>
      <c r="F2969" s="72">
        <v>44</v>
      </c>
      <c r="G2969" s="72">
        <v>10414</v>
      </c>
      <c r="P2969" s="26"/>
    </row>
    <row r="2970" spans="1:16" ht="14.5">
      <c r="A2970" s="3" t="s">
        <v>38</v>
      </c>
      <c r="B2970" s="12" t="s">
        <v>2830</v>
      </c>
      <c r="C2970" s="46" t="s">
        <v>6754</v>
      </c>
      <c r="D2970" s="41" t="str">
        <f ca="1">IFERROR(__xludf.DUMMYFUNCTION("IFERROR(ARRAYFORMULA(REGEXEXTRACT(C2970,""^(?:https?:\/\/)?(?:[^@\n]+@)?(?:www\.)?([^:\/\n]+)"")),"""")"),"ngmcgme.org")</f>
        <v>ngmcgme.org</v>
      </c>
      <c r="E2970" s="26" t="str">
        <f ca="1">IFERROR(__xludf.DUMMYFUNCTION("""COMPUTED_VALUE"""),"New")</f>
        <v>New</v>
      </c>
      <c r="F2970" s="72">
        <v>29</v>
      </c>
      <c r="G2970" s="72">
        <v>2279</v>
      </c>
      <c r="P2970" s="26"/>
    </row>
    <row r="2971" spans="1:16" ht="14.5">
      <c r="A2971" s="3" t="s">
        <v>38</v>
      </c>
      <c r="B2971" s="12" t="s">
        <v>2830</v>
      </c>
      <c r="C2971" s="46" t="s">
        <v>6755</v>
      </c>
      <c r="D2971" s="41" t="str">
        <f ca="1">IFERROR(__xludf.DUMMYFUNCTION("IFERROR(ARRAYFORMULA(REGEXEXTRACT(C2971,""^(?:https?:\/\/)?(?:[^@\n]+@)?(?:www\.)?([^:\/\n]+)"")),"""")"),"sangfroidwebdesign.com")</f>
        <v>sangfroidwebdesign.com</v>
      </c>
      <c r="E2971" s="26" t="str">
        <f ca="1">IFERROR(__xludf.DUMMYFUNCTION("""COMPUTED_VALUE"""),"New")</f>
        <v>New</v>
      </c>
      <c r="F2971" s="72">
        <v>44</v>
      </c>
      <c r="G2971" s="72">
        <v>1620</v>
      </c>
      <c r="P2971" s="26"/>
    </row>
    <row r="2972" spans="1:16" ht="14.5">
      <c r="A2972" s="3" t="s">
        <v>38</v>
      </c>
      <c r="B2972" s="12" t="s">
        <v>2830</v>
      </c>
      <c r="C2972" s="46" t="s">
        <v>6756</v>
      </c>
      <c r="D2972" s="41" t="str">
        <f ca="1">IFERROR(__xludf.DUMMYFUNCTION("IFERROR(ARRAYFORMULA(REGEXEXTRACT(C2972,""^(?:https?:\/\/)?(?:[^@\n]+@)?(?:www\.)?([^:\/\n]+)"")),"""")"),"beavertoyotacumming.com")</f>
        <v>beavertoyotacumming.com</v>
      </c>
      <c r="E2972" s="26" t="str">
        <f ca="1">IFERROR(__xludf.DUMMYFUNCTION("""COMPUTED_VALUE"""),"New")</f>
        <v>New</v>
      </c>
      <c r="F2972" s="72">
        <v>35</v>
      </c>
      <c r="G2972" s="72">
        <v>27015</v>
      </c>
      <c r="P2972" s="26"/>
    </row>
    <row r="2973" spans="1:16" ht="14.5">
      <c r="A2973" s="3" t="s">
        <v>38</v>
      </c>
      <c r="B2973" s="12" t="s">
        <v>2830</v>
      </c>
      <c r="C2973" s="46" t="s">
        <v>6757</v>
      </c>
      <c r="D2973" s="41" t="str">
        <f ca="1">IFERROR(__xludf.DUMMYFUNCTION("IFERROR(ARRAYFORMULA(REGEXEXTRACT(C2973,""^(?:https?:\/\/)?(?:[^@\n]+@)?(?:www\.)?([^:\/\n]+)"")),"""")"),"atlantamotorsportspark.com")</f>
        <v>atlantamotorsportspark.com</v>
      </c>
      <c r="E2973" s="26" t="str">
        <f ca="1">IFERROR(__xludf.DUMMYFUNCTION("""COMPUTED_VALUE"""),"New")</f>
        <v>New</v>
      </c>
      <c r="F2973" s="72">
        <v>48</v>
      </c>
      <c r="G2973" s="72">
        <v>10385</v>
      </c>
      <c r="H2973" s="27" t="s">
        <v>6758</v>
      </c>
      <c r="P2973" s="26"/>
    </row>
    <row r="2974" spans="1:16" ht="14.5">
      <c r="A2974" s="3" t="s">
        <v>38</v>
      </c>
      <c r="B2974" s="12" t="s">
        <v>2830</v>
      </c>
      <c r="C2974" s="46" t="s">
        <v>6759</v>
      </c>
      <c r="D2974" s="41" t="str">
        <f ca="1">IFERROR(__xludf.DUMMYFUNCTION("IFERROR(ARRAYFORMULA(REGEXEXTRACT(C2974,""^(?:https?:\/\/)?(?:[^@\n]+@)?(?:www\.)?([^:\/\n]+)"")),"""")"),"uavcoach.com")</f>
        <v>uavcoach.com</v>
      </c>
      <c r="E2974" s="26" t="str">
        <f ca="1">IFERROR(__xludf.DUMMYFUNCTION("""COMPUTED_VALUE"""),"New")</f>
        <v>New</v>
      </c>
      <c r="F2974" s="72">
        <v>70</v>
      </c>
      <c r="G2974" s="72">
        <v>31499</v>
      </c>
      <c r="P2974" s="26"/>
    </row>
    <row r="2975" spans="1:16" ht="14.5">
      <c r="A2975" s="3" t="s">
        <v>38</v>
      </c>
      <c r="B2975" s="12" t="s">
        <v>2830</v>
      </c>
      <c r="C2975" s="46" t="s">
        <v>6760</v>
      </c>
      <c r="D2975" s="41" t="str">
        <f ca="1">IFERROR(__xludf.DUMMYFUNCTION("IFERROR(ARRAYFORMULA(REGEXEXTRACT(C2975,""^(?:https?:\/\/)?(?:[^@\n]+@)?(?:www\.)?([^:\/\n]+)"")),"""")"),"storage-mart.com")</f>
        <v>storage-mart.com</v>
      </c>
      <c r="E2975" s="26" t="str">
        <f ca="1">IFERROR(__xludf.DUMMYFUNCTION("""COMPUTED_VALUE"""),"New")</f>
        <v>New</v>
      </c>
      <c r="F2975" s="72">
        <v>55</v>
      </c>
      <c r="G2975" s="72">
        <v>90981</v>
      </c>
      <c r="P2975" s="26"/>
    </row>
    <row r="2976" spans="1:16" ht="14.5">
      <c r="A2976" s="3" t="s">
        <v>38</v>
      </c>
      <c r="B2976" s="12" t="s">
        <v>2830</v>
      </c>
      <c r="C2976" s="46" t="s">
        <v>6761</v>
      </c>
      <c r="D2976" s="41" t="str">
        <f ca="1">IFERROR(__xludf.DUMMYFUNCTION("IFERROR(ARRAYFORMULA(REGEXEXTRACT(C2976,""^(?:https?:\/\/)?(?:[^@\n]+@)?(?:www\.)?([^:\/\n]+)"")),"""")"),"capitalbnews.org")</f>
        <v>capitalbnews.org</v>
      </c>
      <c r="E2976" s="26" t="str">
        <f ca="1">IFERROR(__xludf.DUMMYFUNCTION("""COMPUTED_VALUE"""),"New")</f>
        <v>New</v>
      </c>
      <c r="F2976" s="72">
        <v>70</v>
      </c>
      <c r="G2976" s="72">
        <v>29195</v>
      </c>
      <c r="P2976" s="26"/>
    </row>
    <row r="2977" spans="1:16" ht="14.5">
      <c r="A2977" s="3" t="s">
        <v>38</v>
      </c>
      <c r="B2977" s="12" t="s">
        <v>2830</v>
      </c>
      <c r="C2977" s="46" t="s">
        <v>6762</v>
      </c>
      <c r="D2977" s="41" t="str">
        <f ca="1">IFERROR(__xludf.DUMMYFUNCTION("IFERROR(ARRAYFORMULA(REGEXEXTRACT(C2977,""^(?:https?:\/\/)?(?:[^@\n]+@)?(?:www\.)?([^:\/\n]+)"")),"""")"),"boatzon.com")</f>
        <v>boatzon.com</v>
      </c>
      <c r="E2977" s="26" t="str">
        <f ca="1">IFERROR(__xludf.DUMMYFUNCTION("""COMPUTED_VALUE"""),"New")</f>
        <v>New</v>
      </c>
      <c r="F2977" s="72">
        <v>47</v>
      </c>
      <c r="G2977" s="72">
        <v>10959</v>
      </c>
      <c r="P2977" s="26"/>
    </row>
    <row r="2978" spans="1:16" ht="14.5">
      <c r="A2978" s="3" t="s">
        <v>38</v>
      </c>
      <c r="B2978" s="12" t="s">
        <v>2830</v>
      </c>
      <c r="C2978" s="46" t="s">
        <v>6763</v>
      </c>
      <c r="D2978" s="41" t="str">
        <f ca="1">IFERROR(__xludf.DUMMYFUNCTION("IFERROR(ARRAYFORMULA(REGEXEXTRACT(C2978,""^(?:https?:\/\/)?(?:[^@\n]+@)?(?:www\.)?([^:\/\n]+)"")),"""")"),"wheelchairtraveling.com")</f>
        <v>wheelchairtraveling.com</v>
      </c>
      <c r="E2978" s="26" t="str">
        <f ca="1">IFERROR(__xludf.DUMMYFUNCTION("""COMPUTED_VALUE"""),"New")</f>
        <v>New</v>
      </c>
      <c r="F2978" s="72">
        <v>58</v>
      </c>
      <c r="G2978" s="72">
        <v>1103</v>
      </c>
      <c r="P2978" s="26"/>
    </row>
    <row r="2979" spans="1:16" ht="14.5">
      <c r="A2979" s="3" t="s">
        <v>38</v>
      </c>
      <c r="B2979" s="12" t="s">
        <v>2830</v>
      </c>
      <c r="C2979" s="46" t="s">
        <v>6764</v>
      </c>
      <c r="D2979" s="41" t="str">
        <f ca="1">IFERROR(__xludf.DUMMYFUNCTION("IFERROR(ARRAYFORMULA(REGEXEXTRACT(C2979,""^(?:https?:\/\/)?(?:[^@\n]+@)?(?:www\.)?([^:\/\n]+)"")),"""")"),"kremp.com")</f>
        <v>kremp.com</v>
      </c>
      <c r="E2979" s="26" t="str">
        <f ca="1">IFERROR(__xludf.DUMMYFUNCTION("""COMPUTED_VALUE"""),"New")</f>
        <v>New</v>
      </c>
      <c r="F2979" s="72">
        <v>53</v>
      </c>
      <c r="G2979" s="72">
        <v>27952</v>
      </c>
      <c r="P2979" s="26"/>
    </row>
    <row r="2980" spans="1:16" ht="14.5">
      <c r="A2980" s="3" t="s">
        <v>38</v>
      </c>
      <c r="B2980" s="12" t="s">
        <v>2830</v>
      </c>
      <c r="C2980" s="46" t="s">
        <v>6765</v>
      </c>
      <c r="D2980" s="41" t="str">
        <f ca="1">IFERROR(__xludf.DUMMYFUNCTION("IFERROR(ARRAYFORMULA(REGEXEXTRACT(C2980,""^(?:https?:\/\/)?(?:[^@\n]+@)?(?:www\.)?([^:\/\n]+)"")),"""")"),"pulte.com")</f>
        <v>pulte.com</v>
      </c>
      <c r="E2980" s="26" t="str">
        <f ca="1">IFERROR(__xludf.DUMMYFUNCTION("""COMPUTED_VALUE"""),"New")</f>
        <v>New</v>
      </c>
      <c r="F2980" s="72">
        <v>71</v>
      </c>
      <c r="G2980" s="72">
        <v>152016</v>
      </c>
      <c r="P2980" s="26"/>
    </row>
    <row r="2981" spans="1:16" ht="14.5">
      <c r="A2981" s="3" t="s">
        <v>38</v>
      </c>
      <c r="B2981" s="12" t="s">
        <v>2830</v>
      </c>
      <c r="C2981" s="46" t="s">
        <v>6766</v>
      </c>
      <c r="D2981" s="41" t="str">
        <f ca="1">IFERROR(__xludf.DUMMYFUNCTION("IFERROR(ARRAYFORMULA(REGEXEXTRACT(C2981,""^(?:https?:\/\/)?(?:[^@\n]+@)?(?:www\.)?([^:\/\n]+)"")),"""")"),"boatsmartexam.com")</f>
        <v>boatsmartexam.com</v>
      </c>
      <c r="E2981" s="26" t="str">
        <f ca="1">IFERROR(__xludf.DUMMYFUNCTION("""COMPUTED_VALUE"""),"New")</f>
        <v>New</v>
      </c>
      <c r="F2981" s="72">
        <v>58</v>
      </c>
      <c r="G2981" s="72">
        <v>14834</v>
      </c>
      <c r="P2981" s="26"/>
    </row>
    <row r="2982" spans="1:16" ht="14.5">
      <c r="A2982" s="3" t="s">
        <v>38</v>
      </c>
      <c r="B2982" s="12" t="s">
        <v>2830</v>
      </c>
      <c r="C2982" s="46" t="s">
        <v>6767</v>
      </c>
      <c r="D2982" s="41" t="str">
        <f ca="1">IFERROR(__xludf.DUMMYFUNCTION("IFERROR(ARRAYFORMULA(REGEXEXTRACT(C2982,""^(?:https?:\/\/)?(?:[^@\n]+@)?(?:www\.)?([^:\/\n]+)"")),"""")"),"state.1keydata.com")</f>
        <v>state.1keydata.com</v>
      </c>
      <c r="E2982" s="26" t="str">
        <f ca="1">IFERROR(__xludf.DUMMYFUNCTION("""COMPUTED_VALUE"""),"New")</f>
        <v>New</v>
      </c>
      <c r="F2982" s="72">
        <v>65</v>
      </c>
      <c r="G2982" s="72">
        <v>204273</v>
      </c>
      <c r="P2982" s="26"/>
    </row>
    <row r="2983" spans="1:16" ht="14.5">
      <c r="A2983" s="3" t="s">
        <v>38</v>
      </c>
      <c r="B2983" s="12" t="s">
        <v>2830</v>
      </c>
      <c r="C2983" s="46" t="s">
        <v>6768</v>
      </c>
      <c r="D2983" s="41" t="str">
        <f ca="1">IFERROR(__xludf.DUMMYFUNCTION("IFERROR(ARRAYFORMULA(REGEXEXTRACT(C2983,""^(?:https?:\/\/)?(?:[^@\n]+@)?(?:www\.)?([^:\/\n]+)"")),"""")"),"maepole.com")</f>
        <v>maepole.com</v>
      </c>
      <c r="E2983" s="26" t="str">
        <f ca="1">IFERROR(__xludf.DUMMYFUNCTION("""COMPUTED_VALUE"""),"New")</f>
        <v>New</v>
      </c>
      <c r="F2983" s="72">
        <v>39</v>
      </c>
      <c r="G2983" s="72">
        <v>1823</v>
      </c>
      <c r="P2983" s="26"/>
    </row>
    <row r="2984" spans="1:16" ht="14.5">
      <c r="A2984" s="3" t="s">
        <v>38</v>
      </c>
      <c r="B2984" s="12" t="s">
        <v>2830</v>
      </c>
      <c r="C2984" s="46" t="s">
        <v>6769</v>
      </c>
      <c r="D2984" s="41" t="str">
        <f ca="1">IFERROR(__xludf.DUMMYFUNCTION("IFERROR(ARRAYFORMULA(REGEXEXTRACT(C2984,""^(?:https?:\/\/)?(?:[^@\n]+@)?(?:www\.)?([^:\/\n]+)"")),"""")"),"kiddingaroundgreenville.com")</f>
        <v>kiddingaroundgreenville.com</v>
      </c>
      <c r="E2984" s="26" t="str">
        <f ca="1">IFERROR(__xludf.DUMMYFUNCTION("""COMPUTED_VALUE"""),"New")</f>
        <v>New</v>
      </c>
      <c r="F2984" s="72">
        <v>51</v>
      </c>
      <c r="G2984" s="72">
        <v>15012</v>
      </c>
      <c r="P2984" s="26"/>
    </row>
    <row r="2985" spans="1:16" ht="14.5">
      <c r="A2985" s="3" t="s">
        <v>38</v>
      </c>
      <c r="B2985" s="12" t="s">
        <v>2830</v>
      </c>
      <c r="C2985" s="46" t="s">
        <v>6770</v>
      </c>
      <c r="D2985" s="41" t="str">
        <f ca="1">IFERROR(__xludf.DUMMYFUNCTION("IFERROR(ARRAYFORMULA(REGEXEXTRACT(C2985,""^(?:https?:\/\/)?(?:[^@\n]+@)?(?:www\.)?([^:\/\n]+)"")),"""")"),"paigemindsthegap.com")</f>
        <v>paigemindsthegap.com</v>
      </c>
      <c r="E2985" s="26" t="str">
        <f ca="1">IFERROR(__xludf.DUMMYFUNCTION("""COMPUTED_VALUE"""),"New")</f>
        <v>New</v>
      </c>
      <c r="F2985" s="72">
        <v>38</v>
      </c>
      <c r="G2985" s="72">
        <v>35174</v>
      </c>
      <c r="P2985" s="26"/>
    </row>
    <row r="2986" spans="1:16" ht="14.5" hidden="1">
      <c r="A2986" s="5"/>
      <c r="B2986" s="12" t="s">
        <v>2830</v>
      </c>
      <c r="C2986" s="46" t="s">
        <v>6771</v>
      </c>
      <c r="D2986" s="41" t="str">
        <f ca="1">IFERROR(__xludf.DUMMYFUNCTION("IFERROR(ARRAYFORMULA(REGEXEXTRACT(C2986,""^(?:https?:\/\/)?(?:[^@\n]+@)?(?:www\.)?([^:\/\n]+)"")),"""")"),"arborcompany.com")</f>
        <v>arborcompany.com</v>
      </c>
      <c r="E2986" s="26" t="str">
        <f ca="1">IFERROR(__xludf.DUMMYFUNCTION("""COMPUTED_VALUE"""),"Already Exists")</f>
        <v>Already Exists</v>
      </c>
      <c r="F2986" s="72">
        <v>53</v>
      </c>
      <c r="G2986" s="72">
        <v>25399</v>
      </c>
      <c r="P2986" s="26"/>
    </row>
    <row r="2987" spans="1:16" ht="14.5">
      <c r="A2987" s="3" t="s">
        <v>38</v>
      </c>
      <c r="B2987" s="12" t="s">
        <v>2830</v>
      </c>
      <c r="C2987" s="46" t="s">
        <v>6772</v>
      </c>
      <c r="D2987" s="41" t="str">
        <f ca="1">IFERROR(__xludf.DUMMYFUNCTION("IFERROR(ARRAYFORMULA(REGEXEXTRACT(C2987,""^(?:https?:\/\/)?(?:[^@\n]+@)?(?:www\.)?([^:\/\n]+)"")),"""")"),"tenantbase.com")</f>
        <v>tenantbase.com</v>
      </c>
      <c r="E2987" s="26" t="str">
        <f ca="1">IFERROR(__xludf.DUMMYFUNCTION("""COMPUTED_VALUE"""),"New")</f>
        <v>New</v>
      </c>
      <c r="F2987" s="72">
        <v>33</v>
      </c>
      <c r="G2987" s="72">
        <v>3339</v>
      </c>
      <c r="P2987" s="26"/>
    </row>
    <row r="2988" spans="1:16" ht="14.5">
      <c r="A2988" s="3" t="s">
        <v>38</v>
      </c>
      <c r="B2988" s="12" t="s">
        <v>2830</v>
      </c>
      <c r="C2988" s="46" t="s">
        <v>6773</v>
      </c>
      <c r="D2988" s="41" t="str">
        <f ca="1">IFERROR(__xludf.DUMMYFUNCTION("IFERROR(ARRAYFORMULA(REGEXEXTRACT(C2988,""^(?:https?:\/\/)?(?:[^@\n]+@)?(?:www\.)?([^:\/\n]+)"")),"""")"),"365atlantatraveler.com")</f>
        <v>365atlantatraveler.com</v>
      </c>
      <c r="E2988" s="26" t="str">
        <f ca="1">IFERROR(__xludf.DUMMYFUNCTION("""COMPUTED_VALUE"""),"New")</f>
        <v>New</v>
      </c>
      <c r="F2988" s="72">
        <v>52</v>
      </c>
      <c r="G2988" s="72">
        <v>1140</v>
      </c>
      <c r="P2988" s="26"/>
    </row>
    <row r="2989" spans="1:16" ht="14.5">
      <c r="A2989" s="3" t="s">
        <v>38</v>
      </c>
      <c r="B2989" s="12" t="s">
        <v>2830</v>
      </c>
      <c r="C2989" s="46" t="s">
        <v>6774</v>
      </c>
      <c r="D2989" s="41" t="str">
        <f ca="1">IFERROR(__xludf.DUMMYFUNCTION("IFERROR(ARRAYFORMULA(REGEXEXTRACT(C2989,""^(?:https?:\/\/)?(?:[^@\n]+@)?(?:www\.)?([^:\/\n]+)"")),"""")"),"uniteddigestive.com")</f>
        <v>uniteddigestive.com</v>
      </c>
      <c r="E2989" s="26" t="str">
        <f ca="1">IFERROR(__xludf.DUMMYFUNCTION("""COMPUTED_VALUE"""),"New")</f>
        <v>New</v>
      </c>
      <c r="F2989" s="72">
        <v>49</v>
      </c>
      <c r="G2989" s="72">
        <v>52215</v>
      </c>
      <c r="P2989" s="26"/>
    </row>
    <row r="2990" spans="1:16" ht="14.5">
      <c r="A2990" s="3" t="s">
        <v>38</v>
      </c>
      <c r="B2990" s="12" t="s">
        <v>2830</v>
      </c>
      <c r="C2990" s="46" t="s">
        <v>6775</v>
      </c>
      <c r="D2990" s="41" t="str">
        <f ca="1">IFERROR(__xludf.DUMMYFUNCTION("IFERROR(ARRAYFORMULA(REGEXEXTRACT(C2990,""^(?:https?:\/\/)?(?:[^@\n]+@)?(?:www\.)?([^:\/\n]+)"")),"""")"),"boatsetter.com")</f>
        <v>boatsetter.com</v>
      </c>
      <c r="E2990" s="26" t="str">
        <f ca="1">IFERROR(__xludf.DUMMYFUNCTION("""COMPUTED_VALUE"""),"New")</f>
        <v>New</v>
      </c>
      <c r="F2990" s="72">
        <v>72</v>
      </c>
      <c r="G2990" s="72">
        <v>107004</v>
      </c>
      <c r="P2990" s="26"/>
    </row>
    <row r="2991" spans="1:16" ht="14.5">
      <c r="A2991" s="3" t="s">
        <v>38</v>
      </c>
      <c r="B2991" s="12" t="s">
        <v>2830</v>
      </c>
      <c r="C2991" s="46" t="s">
        <v>6776</v>
      </c>
      <c r="D2991" s="41" t="str">
        <f ca="1">IFERROR(__xludf.DUMMYFUNCTION("IFERROR(ARRAYFORMULA(REGEXEXTRACT(C2991,""^(?:https?:\/\/)?(?:[^@\n]+@)?(?:www\.)?([^:\/\n]+)"")),"""")"),"chateauelan.com")</f>
        <v>chateauelan.com</v>
      </c>
      <c r="E2991" s="26" t="str">
        <f ca="1">IFERROR(__xludf.DUMMYFUNCTION("""COMPUTED_VALUE"""),"New")</f>
        <v>New</v>
      </c>
      <c r="F2991" s="72">
        <v>68</v>
      </c>
      <c r="G2991" s="72">
        <v>21175</v>
      </c>
      <c r="P2991" s="26"/>
    </row>
    <row r="2992" spans="1:16" ht="14.5">
      <c r="A2992" s="3" t="s">
        <v>38</v>
      </c>
      <c r="B2992" s="12" t="s">
        <v>2830</v>
      </c>
      <c r="C2992" s="46" t="s">
        <v>6777</v>
      </c>
      <c r="D2992" s="41" t="str">
        <f ca="1">IFERROR(__xludf.DUMMYFUNCTION("IFERROR(ARRAYFORMULA(REGEXEXTRACT(C2992,""^(?:https?:\/\/)?(?:[^@\n]+@)?(?:www\.)?([^:\/\n]+)"")),"""")"),"advenirliving.com")</f>
        <v>advenirliving.com</v>
      </c>
      <c r="E2992" s="26" t="str">
        <f ca="1">IFERROR(__xludf.DUMMYFUNCTION("""COMPUTED_VALUE"""),"New")</f>
        <v>New</v>
      </c>
      <c r="F2992" s="72">
        <v>37</v>
      </c>
      <c r="G2992" s="72">
        <v>10354</v>
      </c>
      <c r="P2992" s="26"/>
    </row>
    <row r="2993" spans="1:16" ht="14.5">
      <c r="A2993" s="3" t="s">
        <v>38</v>
      </c>
      <c r="B2993" s="12" t="s">
        <v>2830</v>
      </c>
      <c r="C2993" s="46" t="s">
        <v>6778</v>
      </c>
      <c r="D2993" s="41" t="str">
        <f ca="1">IFERROR(__xludf.DUMMYFUNCTION("IFERROR(ARRAYFORMULA(REGEXEXTRACT(C2993,""^(?:https?:\/\/)?(?:[^@\n]+@)?(?:www\.)?([^:\/\n]+)"")),"""")"),"styleblueprint.com")</f>
        <v>styleblueprint.com</v>
      </c>
      <c r="E2993" s="26" t="str">
        <f ca="1">IFERROR(__xludf.DUMMYFUNCTION("""COMPUTED_VALUE"""),"New")</f>
        <v>New</v>
      </c>
      <c r="F2993" s="72">
        <v>75</v>
      </c>
      <c r="G2993" s="72">
        <v>55404</v>
      </c>
      <c r="P2993" s="26"/>
    </row>
    <row r="2994" spans="1:16" ht="14.5">
      <c r="A2994" s="3" t="s">
        <v>38</v>
      </c>
      <c r="B2994" s="12" t="s">
        <v>2830</v>
      </c>
      <c r="C2994" s="46" t="s">
        <v>6779</v>
      </c>
      <c r="D2994" s="41" t="str">
        <f ca="1">IFERROR(__xludf.DUMMYFUNCTION("IFERROR(ARRAYFORMULA(REGEXEXTRACT(C2994,""^(?:https?:\/\/)?(?:[^@\n]+@)?(?:www\.)?([^:\/\n]+)"")),"""")"),"hightowerfalls.com")</f>
        <v>hightowerfalls.com</v>
      </c>
      <c r="E2994" s="26" t="str">
        <f ca="1">IFERROR(__xludf.DUMMYFUNCTION("""COMPUTED_VALUE"""),"New")</f>
        <v>New</v>
      </c>
      <c r="F2994" s="72">
        <v>30</v>
      </c>
      <c r="G2994" s="72">
        <v>2245</v>
      </c>
      <c r="P2994" s="26"/>
    </row>
    <row r="2995" spans="1:16" ht="14.5">
      <c r="A2995" s="3" t="s">
        <v>38</v>
      </c>
      <c r="B2995" s="12" t="s">
        <v>2830</v>
      </c>
      <c r="C2995" s="46" t="s">
        <v>6780</v>
      </c>
      <c r="D2995" s="41" t="str">
        <f ca="1">IFERROR(__xludf.DUMMYFUNCTION("IFERROR(ARRAYFORMULA(REGEXEXTRACT(C2995,""^(?:https?:\/\/)?(?:[^@\n]+@)?(?:www\.)?([^:\/\n]+)"")),"""")"),"eastwoodhomes.com")</f>
        <v>eastwoodhomes.com</v>
      </c>
      <c r="E2995" s="26" t="str">
        <f ca="1">IFERROR(__xludf.DUMMYFUNCTION("""COMPUTED_VALUE"""),"New")</f>
        <v>New</v>
      </c>
      <c r="F2995" s="72">
        <v>48</v>
      </c>
      <c r="G2995" s="72">
        <v>16696</v>
      </c>
      <c r="P2995" s="26"/>
    </row>
    <row r="2996" spans="1:16" ht="14.5">
      <c r="A2996" s="3" t="s">
        <v>38</v>
      </c>
      <c r="B2996" s="12" t="s">
        <v>2830</v>
      </c>
      <c r="C2996" s="46" t="s">
        <v>6781</v>
      </c>
      <c r="D2996" s="41" t="str">
        <f ca="1">IFERROR(__xludf.DUMMYFUNCTION("IFERROR(ARRAYFORMULA(REGEXEXTRACT(C2996,""^(?:https?:\/\/)?(?:[^@\n]+@)?(?:www\.)?([^:\/\n]+)"")),"""")"),"mensjournal.com")</f>
        <v>mensjournal.com</v>
      </c>
      <c r="E2996" s="26" t="str">
        <f ca="1">IFERROR(__xludf.DUMMYFUNCTION("""COMPUTED_VALUE"""),"New")</f>
        <v>New</v>
      </c>
      <c r="F2996" s="72">
        <v>84</v>
      </c>
      <c r="G2996" s="72">
        <v>560816</v>
      </c>
      <c r="P2996" s="26"/>
    </row>
    <row r="2997" spans="1:16" ht="14.5">
      <c r="A2997" s="3" t="s">
        <v>38</v>
      </c>
      <c r="B2997" s="12" t="s">
        <v>2830</v>
      </c>
      <c r="C2997" s="46" t="s">
        <v>6782</v>
      </c>
      <c r="D2997" s="41" t="str">
        <f ca="1">IFERROR(__xludf.DUMMYFUNCTION("IFERROR(ARRAYFORMULA(REGEXEXTRACT(C2997,""^(?:https?:\/\/)?(?:[^@\n]+@)?(?:www\.)?([^:\/\n]+)"")),"""")"),"simpleshowing.ghost.io")</f>
        <v>simpleshowing.ghost.io</v>
      </c>
      <c r="E2997" s="26" t="str">
        <f ca="1">IFERROR(__xludf.DUMMYFUNCTION("""COMPUTED_VALUE"""),"New")</f>
        <v>New</v>
      </c>
      <c r="F2997" s="72">
        <v>83</v>
      </c>
      <c r="G2997" s="72">
        <v>18797</v>
      </c>
      <c r="P2997" s="26"/>
    </row>
    <row r="2998" spans="1:16" ht="14.5">
      <c r="A2998" s="3" t="s">
        <v>38</v>
      </c>
      <c r="B2998" s="12" t="s">
        <v>2830</v>
      </c>
      <c r="C2998" s="46" t="s">
        <v>6783</v>
      </c>
      <c r="D2998" s="41" t="str">
        <f ca="1">IFERROR(__xludf.DUMMYFUNCTION("IFERROR(ARRAYFORMULA(REGEXEXTRACT(C2998,""^(?:https?:\/\/)?(?:[^@\n]+@)?(?:www\.)?([^:\/\n]+)"")),"""")"),"thegypsynurse.com")</f>
        <v>thegypsynurse.com</v>
      </c>
      <c r="E2998" s="26" t="str">
        <f ca="1">IFERROR(__xludf.DUMMYFUNCTION("""COMPUTED_VALUE"""),"New")</f>
        <v>New</v>
      </c>
      <c r="F2998" s="72">
        <v>41</v>
      </c>
      <c r="G2998" s="72">
        <v>13826</v>
      </c>
      <c r="P2998" s="26"/>
    </row>
    <row r="2999" spans="1:16" ht="14.5">
      <c r="A2999" s="3" t="s">
        <v>38</v>
      </c>
      <c r="B2999" s="12" t="s">
        <v>2830</v>
      </c>
      <c r="C2999" s="46" t="s">
        <v>6784</v>
      </c>
      <c r="D2999" s="41" t="str">
        <f ca="1">IFERROR(__xludf.DUMMYFUNCTION("IFERROR(ARRAYFORMULA(REGEXEXTRACT(C2999,""^(?:https?:\/\/)?(?:[^@\n]+@)?(?:www\.)?([^:\/\n]+)"")),"""")"),"suwaneemagazine.com")</f>
        <v>suwaneemagazine.com</v>
      </c>
      <c r="E2999" s="26" t="str">
        <f ca="1">IFERROR(__xludf.DUMMYFUNCTION("""COMPUTED_VALUE"""),"New")</f>
        <v>New</v>
      </c>
      <c r="F2999" s="72">
        <v>35</v>
      </c>
      <c r="G2999" s="72">
        <v>1196</v>
      </c>
      <c r="P2999" s="26"/>
    </row>
    <row r="3000" spans="1:16" ht="14.5">
      <c r="A3000" s="3" t="s">
        <v>38</v>
      </c>
      <c r="B3000" s="12" t="s">
        <v>2830</v>
      </c>
      <c r="C3000" s="46" t="s">
        <v>6785</v>
      </c>
      <c r="D3000" s="41" t="str">
        <f ca="1">IFERROR(__xludf.DUMMYFUNCTION("IFERROR(ARRAYFORMULA(REGEXEXTRACT(C3000,""^(?:https?:\/\/)?(?:[^@\n]+@)?(?:www\.)?([^:\/\n]+)"")),"""")"),"diventures.com")</f>
        <v>diventures.com</v>
      </c>
      <c r="E3000" s="26" t="str">
        <f ca="1">IFERROR(__xludf.DUMMYFUNCTION("""COMPUTED_VALUE"""),"New")</f>
        <v>New</v>
      </c>
      <c r="F3000" s="72">
        <v>41</v>
      </c>
      <c r="G3000" s="72">
        <v>9521</v>
      </c>
      <c r="P3000" s="26"/>
    </row>
    <row r="3001" spans="1:16" ht="14.5">
      <c r="A3001" s="3" t="s">
        <v>38</v>
      </c>
      <c r="B3001" s="12" t="s">
        <v>2830</v>
      </c>
      <c r="C3001" s="46" t="s">
        <v>6786</v>
      </c>
      <c r="D3001" s="41" t="str">
        <f ca="1">IFERROR(__xludf.DUMMYFUNCTION("IFERROR(ARRAYFORMULA(REGEXEXTRACT(C3001,""^(?:https?:\/\/)?(?:[^@\n]+@)?(?:www\.)?([^:\/\n]+)"")),"""")"),"hilldrup.com")</f>
        <v>hilldrup.com</v>
      </c>
      <c r="E3001" s="26" t="str">
        <f ca="1">IFERROR(__xludf.DUMMYFUNCTION("""COMPUTED_VALUE"""),"New")</f>
        <v>New</v>
      </c>
      <c r="F3001" s="72">
        <v>36</v>
      </c>
      <c r="G3001" s="72">
        <v>1225</v>
      </c>
      <c r="P3001" s="26"/>
    </row>
    <row r="3002" spans="1:16" ht="14.5" hidden="1">
      <c r="A3002" s="5"/>
      <c r="B3002" s="12" t="s">
        <v>2830</v>
      </c>
      <c r="C3002" s="46" t="s">
        <v>6787</v>
      </c>
      <c r="D3002" s="41" t="str">
        <f ca="1">IFERROR(__xludf.DUMMYFUNCTION("IFERROR(ARRAYFORMULA(REGEXEXTRACT(C3002,""^(?:https?:\/\/)?(?:[^@\n]+@)?(?:www\.)?([^:\/\n]+)"")),"""")"),"readunwritten.com")</f>
        <v>readunwritten.com</v>
      </c>
      <c r="E3002" s="26" t="str">
        <f ca="1">IFERROR(__xludf.DUMMYFUNCTION("""COMPUTED_VALUE"""),"Already Exists")</f>
        <v>Already Exists</v>
      </c>
      <c r="F3002" s="72">
        <v>41</v>
      </c>
      <c r="G3002" s="72">
        <v>1354</v>
      </c>
      <c r="P3002" s="26"/>
    </row>
    <row r="3003" spans="1:16" ht="14.5">
      <c r="A3003" s="3" t="s">
        <v>38</v>
      </c>
      <c r="B3003" s="12" t="s">
        <v>2830</v>
      </c>
      <c r="C3003" s="46" t="s">
        <v>6788</v>
      </c>
      <c r="D3003" s="41" t="str">
        <f ca="1">IFERROR(__xludf.DUMMYFUNCTION("IFERROR(ARRAYFORMULA(REGEXEXTRACT(C3003,""^(?:https?:\/\/)?(?:[^@\n]+@)?(?:www\.)?([^:\/\n]+)"")),"""")"),"lakelanier.com")</f>
        <v>lakelanier.com</v>
      </c>
      <c r="E3003" s="26" t="str">
        <f ca="1">IFERROR(__xludf.DUMMYFUNCTION("""COMPUTED_VALUE"""),"New")</f>
        <v>New</v>
      </c>
      <c r="F3003" s="72">
        <v>44</v>
      </c>
      <c r="G3003" s="72">
        <v>6296</v>
      </c>
      <c r="P3003" s="26"/>
    </row>
    <row r="3004" spans="1:16" ht="14.5">
      <c r="A3004" s="3" t="s">
        <v>38</v>
      </c>
      <c r="B3004" s="12" t="s">
        <v>2830</v>
      </c>
      <c r="C3004" s="46" t="s">
        <v>6789</v>
      </c>
      <c r="D3004" s="41" t="str">
        <f ca="1">IFERROR(__xludf.DUMMYFUNCTION("IFERROR(ARRAYFORMULA(REGEXEXTRACT(C3004,""^(?:https?:\/\/)?(?:[^@\n]+@)?(?:www\.)?([^:\/\n]+)"")),"""")"),"budgettravel.com")</f>
        <v>budgettravel.com</v>
      </c>
      <c r="E3004" s="26" t="str">
        <f ca="1">IFERROR(__xludf.DUMMYFUNCTION("""COMPUTED_VALUE"""),"New")</f>
        <v>New</v>
      </c>
      <c r="F3004" s="72">
        <v>67</v>
      </c>
      <c r="G3004" s="72">
        <v>4641</v>
      </c>
      <c r="P3004" s="26"/>
    </row>
    <row r="3005" spans="1:16" ht="14.5">
      <c r="A3005" s="3" t="s">
        <v>38</v>
      </c>
      <c r="B3005" s="12" t="s">
        <v>2830</v>
      </c>
      <c r="C3005" s="46" t="s">
        <v>6790</v>
      </c>
      <c r="D3005" s="41" t="str">
        <f ca="1">IFERROR(__xludf.DUMMYFUNCTION("IFERROR(ARRAYFORMULA(REGEXEXTRACT(C3005,""^(?:https?:\/\/)?(?:[^@\n]+@)?(?:www\.)?([^:\/\n]+)"")),"""")"),"bizarrecoffee.com")</f>
        <v>bizarrecoffee.com</v>
      </c>
      <c r="E3005" s="26" t="str">
        <f ca="1">IFERROR(__xludf.DUMMYFUNCTION("""COMPUTED_VALUE"""),"New")</f>
        <v>New</v>
      </c>
      <c r="F3005" s="72">
        <v>27</v>
      </c>
      <c r="G3005" s="72">
        <v>3153</v>
      </c>
      <c r="P3005" s="26"/>
    </row>
    <row r="3006" spans="1:16" ht="14.5">
      <c r="A3006" s="3" t="s">
        <v>38</v>
      </c>
      <c r="B3006" s="12" t="s">
        <v>2830</v>
      </c>
      <c r="C3006" s="46" t="s">
        <v>6791</v>
      </c>
      <c r="D3006" s="41" t="str">
        <f ca="1">IFERROR(__xludf.DUMMYFUNCTION("IFERROR(ARRAYFORMULA(REGEXEXTRACT(C3006,""^(?:https?:\/\/)?(?:[^@\n]+@)?(?:www\.)?([^:\/\n]+)"")),"""")"),"lakerabunhotel.com")</f>
        <v>lakerabunhotel.com</v>
      </c>
      <c r="E3006" s="26" t="str">
        <f ca="1">IFERROR(__xludf.DUMMYFUNCTION("""COMPUTED_VALUE"""),"New")</f>
        <v>New</v>
      </c>
      <c r="F3006" s="72">
        <v>29</v>
      </c>
      <c r="G3006" s="72">
        <v>1749</v>
      </c>
      <c r="P3006" s="26"/>
    </row>
    <row r="3007" spans="1:16" ht="14.5">
      <c r="A3007" s="3" t="s">
        <v>38</v>
      </c>
      <c r="B3007" s="12" t="s">
        <v>2830</v>
      </c>
      <c r="C3007" s="46" t="s">
        <v>6792</v>
      </c>
      <c r="D3007" s="41" t="str">
        <f ca="1">IFERROR(__xludf.DUMMYFUNCTION("IFERROR(ARRAYFORMULA(REGEXEXTRACT(C3007,""^(?:https?:\/\/)?(?:[^@\n]+@)?(?:www\.)?([^:\/\n]+)"")),"""")"),"familydestinationsguide.com")</f>
        <v>familydestinationsguide.com</v>
      </c>
      <c r="E3007" s="26" t="str">
        <f ca="1">IFERROR(__xludf.DUMMYFUNCTION("""COMPUTED_VALUE"""),"New")</f>
        <v>New</v>
      </c>
      <c r="F3007" s="72">
        <v>69</v>
      </c>
      <c r="G3007" s="72">
        <v>1368</v>
      </c>
      <c r="P3007" s="26"/>
    </row>
    <row r="3008" spans="1:16" ht="14.5">
      <c r="A3008" s="3" t="s">
        <v>38</v>
      </c>
      <c r="B3008" s="12" t="s">
        <v>2830</v>
      </c>
      <c r="C3008" s="46" t="s">
        <v>6793</v>
      </c>
      <c r="D3008" s="41" t="str">
        <f ca="1">IFERROR(__xludf.DUMMYFUNCTION("IFERROR(ARRAYFORMULA(REGEXEXTRACT(C3008,""^(?:https?:\/\/)?(?:[^@\n]+@)?(?:www\.)?([^:\/\n]+)"")),"""")"),"theprovidencegroup.com")</f>
        <v>theprovidencegroup.com</v>
      </c>
      <c r="E3008" s="26" t="str">
        <f ca="1">IFERROR(__xludf.DUMMYFUNCTION("""COMPUTED_VALUE"""),"New")</f>
        <v>New</v>
      </c>
      <c r="F3008" s="72">
        <v>35</v>
      </c>
      <c r="G3008" s="72">
        <v>4301</v>
      </c>
      <c r="P3008" s="26"/>
    </row>
    <row r="3009" spans="1:16" ht="14.5">
      <c r="A3009" s="3" t="s">
        <v>38</v>
      </c>
      <c r="B3009" s="12" t="s">
        <v>2830</v>
      </c>
      <c r="C3009" s="46" t="s">
        <v>6794</v>
      </c>
      <c r="D3009" s="41" t="str">
        <f ca="1">IFERROR(__xludf.DUMMYFUNCTION("IFERROR(ARRAYFORMULA(REGEXEXTRACT(C3009,""^(?:https?:\/\/)?(?:[^@\n]+@)?(?:www\.)?([^:\/\n]+)"")),"""")"),"escapecampervans.com")</f>
        <v>escapecampervans.com</v>
      </c>
      <c r="E3009" s="26" t="str">
        <f ca="1">IFERROR(__xludf.DUMMYFUNCTION("""COMPUTED_VALUE"""),"New")</f>
        <v>New</v>
      </c>
      <c r="F3009" s="72">
        <v>53</v>
      </c>
      <c r="G3009" s="72">
        <v>22673</v>
      </c>
      <c r="P3009" s="26"/>
    </row>
    <row r="3010" spans="1:16" ht="14.5">
      <c r="A3010" s="3" t="s">
        <v>38</v>
      </c>
      <c r="B3010" s="12" t="s">
        <v>2830</v>
      </c>
      <c r="C3010" s="46" t="s">
        <v>6795</v>
      </c>
      <c r="D3010" s="41" t="str">
        <f ca="1">IFERROR(__xludf.DUMMYFUNCTION("IFERROR(ARRAYFORMULA(REGEXEXTRACT(C3010,""^(?:https?:\/\/)?(?:[^@\n]+@)?(?:www\.)?([^:\/\n]+)"")),"""")"),"upgradedpoints.com")</f>
        <v>upgradedpoints.com</v>
      </c>
      <c r="E3010" s="26" t="str">
        <f ca="1">IFERROR(__xludf.DUMMYFUNCTION("""COMPUTED_VALUE"""),"New")</f>
        <v>New</v>
      </c>
      <c r="F3010" s="72">
        <v>74</v>
      </c>
      <c r="G3010" s="72">
        <v>277422</v>
      </c>
      <c r="P3010" s="26"/>
    </row>
    <row r="3011" spans="1:16" ht="14.5">
      <c r="A3011" s="3" t="s">
        <v>38</v>
      </c>
      <c r="B3011" s="12" t="s">
        <v>2830</v>
      </c>
      <c r="C3011" s="46" t="s">
        <v>6796</v>
      </c>
      <c r="D3011" s="41" t="str">
        <f ca="1">IFERROR(__xludf.DUMMYFUNCTION("IFERROR(ARRAYFORMULA(REGEXEXTRACT(C3011,""^(?:https?:\/\/)?(?:[^@\n]+@)?(?:www\.)?([^:\/\n]+)"")),"""")"),"fox5atlanta.com")</f>
        <v>fox5atlanta.com</v>
      </c>
      <c r="E3011" s="26" t="str">
        <f ca="1">IFERROR(__xludf.DUMMYFUNCTION("""COMPUTED_VALUE"""),"New")</f>
        <v>New</v>
      </c>
      <c r="F3011" s="72">
        <v>79</v>
      </c>
      <c r="G3011" s="72">
        <v>769256</v>
      </c>
      <c r="P3011" s="26"/>
    </row>
    <row r="3012" spans="1:16" ht="14.5">
      <c r="A3012" s="3" t="s">
        <v>38</v>
      </c>
      <c r="B3012" s="12" t="s">
        <v>2830</v>
      </c>
      <c r="C3012" s="46" t="s">
        <v>6797</v>
      </c>
      <c r="D3012" s="41" t="str">
        <f ca="1">IFERROR(__xludf.DUMMYFUNCTION("IFERROR(ARRAYFORMULA(REGEXEXTRACT(C3012,""^(?:https?:\/\/)?(?:[^@\n]+@)?(?:www\.)?([^:\/\n]+)"")),"""")"),"howellford.com")</f>
        <v>howellford.com</v>
      </c>
      <c r="E3012" s="26" t="str">
        <f ca="1">IFERROR(__xludf.DUMMYFUNCTION("""COMPUTED_VALUE"""),"New")</f>
        <v>New</v>
      </c>
      <c r="F3012" s="72">
        <v>21</v>
      </c>
      <c r="G3012" s="72">
        <v>1345</v>
      </c>
      <c r="P3012" s="26"/>
    </row>
    <row r="3013" spans="1:16" ht="14.5">
      <c r="A3013" s="3" t="s">
        <v>38</v>
      </c>
      <c r="B3013" s="12" t="s">
        <v>2830</v>
      </c>
      <c r="C3013" s="46" t="s">
        <v>6798</v>
      </c>
      <c r="D3013" s="41" t="str">
        <f ca="1">IFERROR(__xludf.DUMMYFUNCTION("IFERROR(ARRAYFORMULA(REGEXEXTRACT(C3013,""^(?:https?:\/\/)?(?:[^@\n]+@)?(?:www\.)?([^:\/\n]+)"")),"""")"),"news.gsu.edu")</f>
        <v>news.gsu.edu</v>
      </c>
      <c r="E3013" s="26" t="str">
        <f ca="1">IFERROR(__xludf.DUMMYFUNCTION("""COMPUTED_VALUE"""),"New")</f>
        <v>New</v>
      </c>
      <c r="F3013" s="72">
        <v>84</v>
      </c>
      <c r="G3013" s="72">
        <v>612333</v>
      </c>
      <c r="P3013" s="26"/>
    </row>
    <row r="3014" spans="1:16" ht="14.5">
      <c r="A3014" s="3" t="s">
        <v>38</v>
      </c>
      <c r="B3014" s="12" t="s">
        <v>2830</v>
      </c>
      <c r="C3014" s="46" t="s">
        <v>6799</v>
      </c>
      <c r="D3014" s="41" t="str">
        <f ca="1">IFERROR(__xludf.DUMMYFUNCTION("IFERROR(ARRAYFORMULA(REGEXEXTRACT(C3014,""^(?:https?:\/\/)?(?:[^@\n]+@)?(?:www\.)?([^:\/\n]+)"")),"""")"),"padsplit.com")</f>
        <v>padsplit.com</v>
      </c>
      <c r="E3014" s="26" t="str">
        <f ca="1">IFERROR(__xludf.DUMMYFUNCTION("""COMPUTED_VALUE"""),"New")</f>
        <v>New</v>
      </c>
      <c r="F3014" s="72">
        <v>62</v>
      </c>
      <c r="G3014" s="72">
        <v>60589</v>
      </c>
      <c r="P3014" s="26"/>
    </row>
    <row r="3015" spans="1:16" ht="14.5">
      <c r="A3015" s="3" t="s">
        <v>38</v>
      </c>
      <c r="B3015" s="12" t="s">
        <v>2830</v>
      </c>
      <c r="C3015" s="46" t="s">
        <v>6800</v>
      </c>
      <c r="D3015" s="41" t="str">
        <f ca="1">IFERROR(__xludf.DUMMYFUNCTION("IFERROR(ARRAYFORMULA(REGEXEXTRACT(C3015,""^(?:https?:\/\/)?(?:[^@\n]+@)?(?:www\.)?([^:\/\n]+)"")),"""")"),"frva.com")</f>
        <v>frva.com</v>
      </c>
      <c r="E3015" s="26" t="str">
        <f ca="1">IFERROR(__xludf.DUMMYFUNCTION("""COMPUTED_VALUE"""),"New")</f>
        <v>New</v>
      </c>
      <c r="F3015" s="72">
        <v>62</v>
      </c>
      <c r="G3015" s="72">
        <v>5976</v>
      </c>
      <c r="P3015" s="26"/>
    </row>
    <row r="3016" spans="1:16" ht="14.5">
      <c r="A3016" s="3" t="s">
        <v>38</v>
      </c>
      <c r="B3016" s="12" t="s">
        <v>2830</v>
      </c>
      <c r="C3016" s="46" t="s">
        <v>6801</v>
      </c>
      <c r="D3016" s="41" t="str">
        <f ca="1">IFERROR(__xludf.DUMMYFUNCTION("IFERROR(ARRAYFORMULA(REGEXEXTRACT(C3016,""^(?:https?:\/\/)?(?:[^@\n]+@)?(?:www\.)?([^:\/\n]+)"")),"""")"),"thetravel.com")</f>
        <v>thetravel.com</v>
      </c>
      <c r="E3016" s="26" t="str">
        <f ca="1">IFERROR(__xludf.DUMMYFUNCTION("""COMPUTED_VALUE"""),"New")</f>
        <v>New</v>
      </c>
      <c r="F3016" s="72">
        <v>75</v>
      </c>
      <c r="G3016" s="72">
        <v>144940</v>
      </c>
      <c r="P3016" s="26"/>
    </row>
    <row r="3017" spans="1:16" ht="14.5">
      <c r="A3017" s="3" t="s">
        <v>38</v>
      </c>
      <c r="B3017" s="12" t="s">
        <v>2830</v>
      </c>
      <c r="C3017" s="49" t="s">
        <v>6802</v>
      </c>
      <c r="D3017" s="41" t="str">
        <f ca="1">IFERROR(__xludf.DUMMYFUNCTION("IFERROR(ARRAYFORMULA(REGEXEXTRACT(C3017,""^(?:https?:\/\/)?(?:[^@\n]+@)?(?:www\.)?([^:\/\n]+)"")),"""")"),"mommysnippets.com")</f>
        <v>mommysnippets.com</v>
      </c>
      <c r="E3017" s="26" t="str">
        <f ca="1">IFERROR(__xludf.DUMMYFUNCTION("""COMPUTED_VALUE"""),"New")</f>
        <v>New</v>
      </c>
      <c r="F3017" s="72">
        <v>36</v>
      </c>
      <c r="G3017" s="72">
        <v>1296</v>
      </c>
      <c r="H3017" s="27" t="s">
        <v>3229</v>
      </c>
      <c r="I3017" s="27" t="s">
        <v>6803</v>
      </c>
      <c r="K3017" s="27" t="s">
        <v>3756</v>
      </c>
      <c r="L3017" s="112"/>
      <c r="M3017" s="27" t="s">
        <v>3117</v>
      </c>
      <c r="N3017" s="48">
        <v>46054</v>
      </c>
      <c r="P3017" s="26"/>
    </row>
    <row r="3018" spans="1:16" ht="14.5">
      <c r="A3018" s="3" t="s">
        <v>38</v>
      </c>
      <c r="B3018" s="12" t="s">
        <v>2830</v>
      </c>
      <c r="C3018" s="49" t="s">
        <v>6804</v>
      </c>
      <c r="D3018" s="41" t="str">
        <f ca="1">IFERROR(__xludf.DUMMYFUNCTION("IFERROR(ARRAYFORMULA(REGEXEXTRACT(C3018,""^(?:https?:\/\/)?(?:[^@\n]+@)?(?:www\.)?([^:\/\n]+)"")),"""")"),"zookcabins.com")</f>
        <v>zookcabins.com</v>
      </c>
      <c r="E3018" s="26" t="str">
        <f ca="1">IFERROR(__xludf.DUMMYFUNCTION("""COMPUTED_VALUE"""),"New")</f>
        <v>New</v>
      </c>
      <c r="F3018" s="72">
        <v>40</v>
      </c>
      <c r="G3018" s="72">
        <v>72605</v>
      </c>
      <c r="H3018" s="27" t="s">
        <v>6805</v>
      </c>
      <c r="I3018" s="27" t="s">
        <v>6806</v>
      </c>
      <c r="J3018" s="27" t="s">
        <v>6807</v>
      </c>
      <c r="K3018" s="27" t="s">
        <v>5359</v>
      </c>
      <c r="L3018" s="112"/>
      <c r="M3018" s="27" t="s">
        <v>3117</v>
      </c>
      <c r="N3018" s="48">
        <v>46054</v>
      </c>
      <c r="P3018" s="26"/>
    </row>
    <row r="3019" spans="1:16" ht="14.5">
      <c r="A3019" s="3" t="s">
        <v>38</v>
      </c>
      <c r="B3019" s="12" t="s">
        <v>2830</v>
      </c>
      <c r="C3019" s="46" t="s">
        <v>6808</v>
      </c>
      <c r="D3019" s="41" t="str">
        <f ca="1">IFERROR(__xludf.DUMMYFUNCTION("IFERROR(ARRAYFORMULA(REGEXEXTRACT(C3019,""^(?:https?:\/\/)?(?:[^@\n]+@)?(?:www\.)?([^:\/\n]+)"")),"""")"),"thrillist.com")</f>
        <v>thrillist.com</v>
      </c>
      <c r="E3019" s="26" t="str">
        <f ca="1">IFERROR(__xludf.DUMMYFUNCTION("""COMPUTED_VALUE"""),"New")</f>
        <v>New</v>
      </c>
      <c r="F3019" s="72">
        <v>87</v>
      </c>
      <c r="G3019" s="72">
        <v>333683</v>
      </c>
      <c r="P3019" s="26"/>
    </row>
    <row r="3020" spans="1:16" ht="14.5">
      <c r="A3020" s="3" t="s">
        <v>38</v>
      </c>
      <c r="B3020" s="12" t="s">
        <v>2830</v>
      </c>
      <c r="C3020" s="46" t="s">
        <v>6809</v>
      </c>
      <c r="D3020" s="41" t="str">
        <f ca="1">IFERROR(__xludf.DUMMYFUNCTION("IFERROR(ARRAYFORMULA(REGEXEXTRACT(C3020,""^(?:https?:\/\/)?(?:[^@\n]+@)?(?:www\.)?([^:\/\n]+)"")),"""")"),"regattacentral.com")</f>
        <v>regattacentral.com</v>
      </c>
      <c r="E3020" s="26" t="str">
        <f ca="1">IFERROR(__xludf.DUMMYFUNCTION("""COMPUTED_VALUE"""),"New")</f>
        <v>New</v>
      </c>
      <c r="F3020" s="72">
        <v>70</v>
      </c>
      <c r="G3020" s="72">
        <v>2297</v>
      </c>
      <c r="P3020" s="26"/>
    </row>
    <row r="3021" spans="1:16" ht="14.5">
      <c r="A3021" s="3" t="s">
        <v>38</v>
      </c>
      <c r="B3021" s="12" t="s">
        <v>2830</v>
      </c>
      <c r="C3021" s="46" t="s">
        <v>6810</v>
      </c>
      <c r="D3021" s="41" t="str">
        <f ca="1">IFERROR(__xludf.DUMMYFUNCTION("IFERROR(ARRAYFORMULA(REGEXEXTRACT(C3021,""^(?:https?:\/\/)?(?:[^@\n]+@)?(?:www\.)?([^:\/\n]+)"")),"""")"),"agenda.fbb.pt")</f>
        <v>agenda.fbb.pt</v>
      </c>
      <c r="E3021" s="26" t="str">
        <f ca="1">IFERROR(__xludf.DUMMYFUNCTION("""COMPUTED_VALUE"""),"New")</f>
        <v>New</v>
      </c>
      <c r="F3021" s="72">
        <v>49</v>
      </c>
      <c r="G3021" s="72">
        <v>5075</v>
      </c>
      <c r="P3021" s="26"/>
    </row>
    <row r="3022" spans="1:16" ht="14.5">
      <c r="A3022" s="3" t="s">
        <v>38</v>
      </c>
      <c r="B3022" s="12" t="s">
        <v>2830</v>
      </c>
      <c r="C3022" s="46" t="s">
        <v>6811</v>
      </c>
      <c r="D3022" s="41" t="str">
        <f ca="1">IFERROR(__xludf.DUMMYFUNCTION("IFERROR(ARRAYFORMULA(REGEXEXTRACT(C3022,""^(?:https?:\/\/)?(?:[^@\n]+@)?(?:www\.)?([^:\/\n]+)"")),"""")"),"givefreely.com")</f>
        <v>givefreely.com</v>
      </c>
      <c r="E3022" s="26" t="str">
        <f ca="1">IFERROR(__xludf.DUMMYFUNCTION("""COMPUTED_VALUE"""),"New")</f>
        <v>New</v>
      </c>
      <c r="F3022" s="72">
        <v>52</v>
      </c>
      <c r="G3022" s="72">
        <v>3106</v>
      </c>
      <c r="P3022" s="26"/>
    </row>
    <row r="3023" spans="1:16" ht="14.5">
      <c r="A3023" s="3" t="s">
        <v>38</v>
      </c>
      <c r="B3023" s="12" t="s">
        <v>2830</v>
      </c>
      <c r="C3023" s="46" t="s">
        <v>6812</v>
      </c>
      <c r="D3023" s="41" t="str">
        <f ca="1">IFERROR(__xludf.DUMMYFUNCTION("IFERROR(ARRAYFORMULA(REGEXEXTRACT(C3023,""^(?:https?:\/\/)?(?:[^@\n]+@)?(?:www\.)?([^:\/\n]+)"")),"""")"),"cremedelacreme.com")</f>
        <v>cremedelacreme.com</v>
      </c>
      <c r="E3023" s="26" t="str">
        <f ca="1">IFERROR(__xludf.DUMMYFUNCTION("""COMPUTED_VALUE"""),"New")</f>
        <v>New</v>
      </c>
      <c r="F3023" s="72">
        <v>31</v>
      </c>
      <c r="G3023" s="72">
        <v>6471</v>
      </c>
      <c r="P3023" s="26"/>
    </row>
    <row r="3024" spans="1:16" ht="14.5">
      <c r="A3024" s="3" t="s">
        <v>38</v>
      </c>
      <c r="B3024" s="12" t="s">
        <v>2830</v>
      </c>
      <c r="C3024" s="46" t="s">
        <v>6813</v>
      </c>
      <c r="D3024" s="41" t="str">
        <f ca="1">IFERROR(__xludf.DUMMYFUNCTION("IFERROR(ARRAYFORMULA(REGEXEXTRACT(C3024,""^(?:https?:\/\/)?(?:[^@\n]+@)?(?:www\.)?([^:\/\n]+)"")),"""")"),"eg-web.georgialibraries.org")</f>
        <v>eg-web.georgialibraries.org</v>
      </c>
      <c r="E3024" s="26" t="str">
        <f ca="1">IFERROR(__xludf.DUMMYFUNCTION("""COMPUTED_VALUE"""),"New")</f>
        <v>New</v>
      </c>
      <c r="F3024" s="72">
        <v>59</v>
      </c>
      <c r="G3024" s="72">
        <v>4122</v>
      </c>
      <c r="P3024" s="26"/>
    </row>
    <row r="3025" spans="1:16" ht="14.5">
      <c r="A3025" s="3" t="s">
        <v>38</v>
      </c>
      <c r="B3025" s="12" t="s">
        <v>2830</v>
      </c>
      <c r="C3025" s="46" t="s">
        <v>6814</v>
      </c>
      <c r="D3025" s="41" t="str">
        <f ca="1">IFERROR(__xludf.DUMMYFUNCTION("IFERROR(ARRAYFORMULA(REGEXEXTRACT(C3025,""^(?:https?:\/\/)?(?:[^@\n]+@)?(?:www\.)?([^:\/\n]+)"")),"""")"),"pmcommunities.com")</f>
        <v>pmcommunities.com</v>
      </c>
      <c r="E3025" s="26" t="str">
        <f ca="1">IFERROR(__xludf.DUMMYFUNCTION("""COMPUTED_VALUE"""),"New")</f>
        <v>New</v>
      </c>
      <c r="F3025" s="72">
        <v>32</v>
      </c>
      <c r="G3025" s="72">
        <v>1117</v>
      </c>
      <c r="P3025" s="26"/>
    </row>
    <row r="3026" spans="1:16" ht="14.5">
      <c r="A3026" s="3" t="s">
        <v>38</v>
      </c>
      <c r="B3026" s="12" t="s">
        <v>2830</v>
      </c>
      <c r="C3026" s="46" t="s">
        <v>6815</v>
      </c>
      <c r="D3026" s="41" t="str">
        <f ca="1">IFERROR(__xludf.DUMMYFUNCTION("IFERROR(ARRAYFORMULA(REGEXEXTRACT(C3026,""^(?:https?:\/\/)?(?:[^@\n]+@)?(?:www\.)?([^:\/\n]+)"")),"""")"),"charitynavigator.org")</f>
        <v>charitynavigator.org</v>
      </c>
      <c r="E3026" s="26" t="str">
        <f ca="1">IFERROR(__xludf.DUMMYFUNCTION("""COMPUTED_VALUE"""),"New")</f>
        <v>New</v>
      </c>
      <c r="F3026" s="72">
        <v>89</v>
      </c>
      <c r="G3026" s="72">
        <v>208627</v>
      </c>
      <c r="P3026" s="26"/>
    </row>
    <row r="3027" spans="1:16" ht="14.5">
      <c r="A3027" s="3" t="s">
        <v>38</v>
      </c>
      <c r="B3027" s="12" t="s">
        <v>2830</v>
      </c>
      <c r="C3027" s="46" t="s">
        <v>6816</v>
      </c>
      <c r="D3027" s="41" t="str">
        <f ca="1">IFERROR(__xludf.DUMMYFUNCTION("IFERROR(ARRAYFORMULA(REGEXEXTRACT(C3027,""^(?:https?:\/\/)?(?:[^@\n]+@)?(?:www\.)?([^:\/\n]+)"")),"""")"),"discovergeorgiaoutdoors.com")</f>
        <v>discovergeorgiaoutdoors.com</v>
      </c>
      <c r="E3027" s="26" t="str">
        <f ca="1">IFERROR(__xludf.DUMMYFUNCTION("""COMPUTED_VALUE"""),"New")</f>
        <v>New</v>
      </c>
      <c r="F3027" s="72">
        <v>26</v>
      </c>
      <c r="G3027" s="72">
        <v>3903</v>
      </c>
      <c r="P3027" s="26"/>
    </row>
    <row r="3028" spans="1:16" ht="14.5">
      <c r="A3028" s="3" t="s">
        <v>38</v>
      </c>
      <c r="B3028" s="12" t="s">
        <v>2830</v>
      </c>
      <c r="C3028" s="46" t="s">
        <v>6817</v>
      </c>
      <c r="D3028" s="41" t="str">
        <f ca="1">IFERROR(__xludf.DUMMYFUNCTION("IFERROR(ARRAYFORMULA(REGEXEXTRACT(C3028,""^(?:https?:\/\/)?(?:[^@\n]+@)?(?:www\.)?([^:\/\n]+)"")),"""")"),"mommypoppins.com")</f>
        <v>mommypoppins.com</v>
      </c>
      <c r="E3028" s="26" t="str">
        <f ca="1">IFERROR(__xludf.DUMMYFUNCTION("""COMPUTED_VALUE"""),"New")</f>
        <v>New</v>
      </c>
      <c r="F3028" s="72">
        <v>73</v>
      </c>
      <c r="G3028" s="72">
        <v>183432</v>
      </c>
      <c r="P3028" s="26"/>
    </row>
    <row r="3029" spans="1:16" ht="14.5">
      <c r="A3029" s="17" t="s">
        <v>255</v>
      </c>
      <c r="B3029" s="17" t="s">
        <v>2839</v>
      </c>
      <c r="C3029" s="46" t="s">
        <v>6818</v>
      </c>
      <c r="D3029" s="41" t="str">
        <f ca="1">IFERROR(__xludf.DUMMYFUNCTION("IFERROR(ARRAYFORMULA(REGEXEXTRACT(C3029,""^(?:https?:\/\/)?(?:[^@\n]+@)?(?:www\.)?([^:\/\n]+)"")),"""")"),"mightydogroofing.com")</f>
        <v>mightydogroofing.com</v>
      </c>
      <c r="E3029" s="26" t="str">
        <f ca="1">IFERROR(__xludf.DUMMYFUNCTION("""COMPUTED_VALUE"""),"New")</f>
        <v>New</v>
      </c>
      <c r="F3029" s="72">
        <v>57</v>
      </c>
      <c r="G3029" s="72">
        <v>38537</v>
      </c>
      <c r="P3029" s="26"/>
    </row>
    <row r="3030" spans="1:16" ht="14.5">
      <c r="A3030" s="3" t="s">
        <v>255</v>
      </c>
      <c r="B3030" s="12" t="s">
        <v>2839</v>
      </c>
      <c r="C3030" s="49" t="s">
        <v>6819</v>
      </c>
      <c r="D3030" s="41" t="str">
        <f ca="1">IFERROR(__xludf.DUMMYFUNCTION("IFERROR(ARRAYFORMULA(REGEXEXTRACT(C3030,""^(?:https?:\/\/)?(?:[^@\n]+@)?(?:www\.)?([^:\/\n]+)"")),"""")"),"odonnellroofingco.com")</f>
        <v>odonnellroofingco.com</v>
      </c>
      <c r="E3030" s="26" t="str">
        <f ca="1">IFERROR(__xludf.DUMMYFUNCTION("""COMPUTED_VALUE"""),"New")</f>
        <v>New</v>
      </c>
      <c r="F3030" s="72">
        <v>26</v>
      </c>
      <c r="G3030" s="72">
        <v>1568</v>
      </c>
      <c r="H3030" s="27" t="s">
        <v>6820</v>
      </c>
      <c r="I3030" s="27" t="s">
        <v>6821</v>
      </c>
      <c r="J3030" s="27" t="s">
        <v>6822</v>
      </c>
      <c r="K3030" s="27" t="s">
        <v>3844</v>
      </c>
      <c r="L3030" s="112"/>
      <c r="M3030" s="27" t="s">
        <v>3715</v>
      </c>
      <c r="N3030" s="48">
        <v>46054</v>
      </c>
      <c r="O3030" s="48">
        <v>46071</v>
      </c>
      <c r="P3030" s="26"/>
    </row>
    <row r="3031" spans="1:16" ht="14.5">
      <c r="A3031" s="3" t="s">
        <v>255</v>
      </c>
      <c r="B3031" s="12" t="s">
        <v>2839</v>
      </c>
      <c r="C3031" s="46" t="s">
        <v>6823</v>
      </c>
      <c r="D3031" s="41" t="str">
        <f ca="1">IFERROR(__xludf.DUMMYFUNCTION("IFERROR(ARRAYFORMULA(REGEXEXTRACT(C3031,""^(?:https?:\/\/)?(?:[^@\n]+@)?(?:www\.)?([^:\/\n]+)"")),"""")"),"veteranscontractingllc.com")</f>
        <v>veteranscontractingllc.com</v>
      </c>
      <c r="E3031" s="26" t="str">
        <f ca="1">IFERROR(__xludf.DUMMYFUNCTION("""COMPUTED_VALUE"""),"New")</f>
        <v>New</v>
      </c>
      <c r="F3031" s="72">
        <v>26</v>
      </c>
      <c r="G3031" s="72">
        <v>1827</v>
      </c>
      <c r="H3031" s="27" t="s">
        <v>6824</v>
      </c>
      <c r="I3031" s="27" t="s">
        <v>6825</v>
      </c>
      <c r="J3031" s="27" t="s">
        <v>6826</v>
      </c>
      <c r="K3031" s="27" t="s">
        <v>3844</v>
      </c>
      <c r="L3031" s="112"/>
      <c r="M3031" s="27" t="s">
        <v>3715</v>
      </c>
      <c r="N3031" s="48">
        <v>46054</v>
      </c>
      <c r="O3031" s="48">
        <v>46071</v>
      </c>
      <c r="P3031" s="26"/>
    </row>
    <row r="3032" spans="1:16" ht="14.5">
      <c r="A3032" s="15" t="s">
        <v>255</v>
      </c>
      <c r="B3032" s="12" t="s">
        <v>2839</v>
      </c>
      <c r="C3032" s="46" t="s">
        <v>6827</v>
      </c>
      <c r="D3032" s="41" t="str">
        <f ca="1">IFERROR(__xludf.DUMMYFUNCTION("IFERROR(ARRAYFORMULA(REGEXEXTRACT(C3032,""^(?:https?:\/\/)?(?:[^@\n]+@)?(?:www\.)?([^:\/\n]+)"")),"""")"),"remingtonsolar.com")</f>
        <v>remingtonsolar.com</v>
      </c>
      <c r="E3032" s="26" t="str">
        <f ca="1">IFERROR(__xludf.DUMMYFUNCTION("""COMPUTED_VALUE"""),"New")</f>
        <v>New</v>
      </c>
      <c r="F3032" s="72">
        <v>23</v>
      </c>
      <c r="G3032" s="72">
        <v>2734</v>
      </c>
      <c r="P3032" s="26"/>
    </row>
    <row r="3033" spans="1:16" ht="14.5" hidden="1">
      <c r="A3033" s="3" t="s">
        <v>255</v>
      </c>
      <c r="B3033" s="12" t="s">
        <v>2839</v>
      </c>
      <c r="C3033" s="47" t="s">
        <v>6828</v>
      </c>
      <c r="D3033" s="41" t="str">
        <f ca="1">IFERROR(__xludf.DUMMYFUNCTION("IFERROR(ARRAYFORMULA(REGEXEXTRACT(C3033,""^(?:https?:\/\/)?(?:[^@\n]+@)?(?:www\.)?([^:\/\n]+)"")),"""")"),"dearfathers.com")</f>
        <v>dearfathers.com</v>
      </c>
      <c r="E3033" s="26" t="str">
        <f ca="1">IFERROR(__xludf.DUMMYFUNCTION("""COMPUTED_VALUE"""),"Already Exists")</f>
        <v>Already Exists</v>
      </c>
      <c r="F3033" s="72">
        <v>39</v>
      </c>
      <c r="G3033" s="72">
        <v>1332</v>
      </c>
      <c r="J3033" s="27" t="s">
        <v>6829</v>
      </c>
      <c r="K3033" s="27" t="s">
        <v>3844</v>
      </c>
      <c r="L3033" s="112"/>
      <c r="M3033" s="27" t="s">
        <v>3715</v>
      </c>
      <c r="N3033" s="48">
        <v>46055</v>
      </c>
      <c r="P3033" s="27" t="s">
        <v>3201</v>
      </c>
    </row>
    <row r="3034" spans="1:16" ht="14.5">
      <c r="A3034" s="3" t="s">
        <v>255</v>
      </c>
      <c r="B3034" s="12" t="s">
        <v>2839</v>
      </c>
      <c r="C3034" s="46" t="s">
        <v>6830</v>
      </c>
      <c r="D3034" s="41" t="str">
        <f ca="1">IFERROR(__xludf.DUMMYFUNCTION("IFERROR(ARRAYFORMULA(REGEXEXTRACT(C3034,""^(?:https?:\/\/)?(?:[^@\n]+@)?(?:www\.)?([^:\/\n]+)"")),"""")"),"marketspread.com")</f>
        <v>marketspread.com</v>
      </c>
      <c r="E3034" s="26" t="str">
        <f ca="1">IFERROR(__xludf.DUMMYFUNCTION("""COMPUTED_VALUE"""),"New")</f>
        <v>New</v>
      </c>
      <c r="F3034" s="72">
        <v>62</v>
      </c>
      <c r="G3034" s="72">
        <v>6196</v>
      </c>
      <c r="P3034" s="26"/>
    </row>
    <row r="3035" spans="1:16" ht="14.5">
      <c r="A3035" s="3" t="s">
        <v>255</v>
      </c>
      <c r="B3035" s="12" t="s">
        <v>2839</v>
      </c>
      <c r="C3035" s="46" t="s">
        <v>6831</v>
      </c>
      <c r="D3035" s="41" t="str">
        <f ca="1">IFERROR(__xludf.DUMMYFUNCTION("IFERROR(ARRAYFORMULA(REGEXEXTRACT(C3035,""^(?:https?:\/\/)?(?:[^@\n]+@)?(?:www\.)?([^:\/\n]+)"")),"""")"),"cm.dunedinfl.com")</f>
        <v>cm.dunedinfl.com</v>
      </c>
      <c r="E3035" s="26" t="str">
        <f ca="1">IFERROR(__xludf.DUMMYFUNCTION("""COMPUTED_VALUE"""),"New")</f>
        <v>New</v>
      </c>
      <c r="F3035" s="72">
        <v>38</v>
      </c>
      <c r="G3035" s="72">
        <v>1041</v>
      </c>
      <c r="P3035" s="26"/>
    </row>
    <row r="3036" spans="1:16" ht="14.5" hidden="1">
      <c r="A3036" s="3" t="s">
        <v>255</v>
      </c>
      <c r="B3036" s="12" t="s">
        <v>2839</v>
      </c>
      <c r="C3036" s="46" t="s">
        <v>6832</v>
      </c>
      <c r="D3036" s="41" t="str">
        <f ca="1">IFERROR(__xludf.DUMMYFUNCTION("IFERROR(ARRAYFORMULA(REGEXEXTRACT(C3036,""^(?:https?:\/\/)?(?:[^@\n]+@)?(?:www\.)?([^:\/\n]+)"")),"""")"),"designrelated.com")</f>
        <v>designrelated.com</v>
      </c>
      <c r="E3036" s="26" t="str">
        <f ca="1">IFERROR(__xludf.DUMMYFUNCTION("""COMPUTED_VALUE"""),"Already Exists")</f>
        <v>Already Exists</v>
      </c>
      <c r="F3036" s="72">
        <v>39</v>
      </c>
      <c r="G3036" s="72">
        <v>1199</v>
      </c>
      <c r="P3036" s="26"/>
    </row>
    <row r="3037" spans="1:16" ht="14.5">
      <c r="A3037" s="3" t="s">
        <v>255</v>
      </c>
      <c r="B3037" s="12" t="s">
        <v>2839</v>
      </c>
      <c r="C3037" s="46" t="s">
        <v>6833</v>
      </c>
      <c r="D3037" s="41" t="str">
        <f ca="1">IFERROR(__xludf.DUMMYFUNCTION("IFERROR(ARRAYFORMULA(REGEXEXTRACT(C3037,""^(?:https?:\/\/)?(?:[^@\n]+@)?(?:www\.)?([^:\/\n]+)"")),"""")"),"ceo-review.com")</f>
        <v>ceo-review.com</v>
      </c>
      <c r="E3037" s="26" t="str">
        <f ca="1">IFERROR(__xludf.DUMMYFUNCTION("""COMPUTED_VALUE"""),"New")</f>
        <v>New</v>
      </c>
      <c r="F3037" s="72">
        <v>65</v>
      </c>
      <c r="G3037" s="72">
        <v>6438</v>
      </c>
      <c r="P3037" s="26"/>
    </row>
    <row r="3038" spans="1:16" ht="14.5">
      <c r="A3038" s="3" t="s">
        <v>255</v>
      </c>
      <c r="B3038" s="12" t="s">
        <v>2839</v>
      </c>
      <c r="C3038" s="46" t="s">
        <v>6834</v>
      </c>
      <c r="D3038" s="41" t="str">
        <f ca="1">IFERROR(__xludf.DUMMYFUNCTION("IFERROR(ARRAYFORMULA(REGEXEXTRACT(C3038,""^(?:https?:\/\/)?(?:[^@\n]+@)?(?:www\.)?([^:\/\n]+)"")),"""")"),"design.honestaberoofing.com")</f>
        <v>design.honestaberoofing.com</v>
      </c>
      <c r="E3038" s="26" t="str">
        <f ca="1">IFERROR(__xludf.DUMMYFUNCTION("""COMPUTED_VALUE"""),"New")</f>
        <v>New</v>
      </c>
      <c r="F3038" s="72">
        <v>41</v>
      </c>
      <c r="G3038" s="72">
        <v>7285</v>
      </c>
      <c r="P3038" s="26"/>
    </row>
    <row r="3039" spans="1:16" ht="14.5">
      <c r="A3039" s="3" t="s">
        <v>255</v>
      </c>
      <c r="B3039" s="17" t="s">
        <v>2840</v>
      </c>
      <c r="C3039" s="49" t="s">
        <v>6835</v>
      </c>
      <c r="D3039" s="41" t="str">
        <f ca="1">IFERROR(__xludf.DUMMYFUNCTION("IFERROR(ARRAYFORMULA(REGEXEXTRACT(C3039,""^(?:https?:\/\/)?(?:[^@\n]+@)?(?:www\.)?([^:\/\n]+)"")),"""")"),"karensgreencleaning.com")</f>
        <v>karensgreencleaning.com</v>
      </c>
      <c r="E3039" s="26" t="str">
        <f ca="1">IFERROR(__xludf.DUMMYFUNCTION("""COMPUTED_VALUE"""),"New")</f>
        <v>New</v>
      </c>
      <c r="F3039" s="72">
        <v>27</v>
      </c>
      <c r="G3039" s="72">
        <v>42932</v>
      </c>
      <c r="J3039" s="27" t="s">
        <v>6836</v>
      </c>
      <c r="K3039" s="27" t="s">
        <v>3844</v>
      </c>
      <c r="L3039" s="112"/>
      <c r="M3039" s="27" t="s">
        <v>3715</v>
      </c>
      <c r="N3039" s="48">
        <v>46055</v>
      </c>
      <c r="O3039" s="48">
        <v>46072</v>
      </c>
    </row>
    <row r="3040" spans="1:16" ht="14.5">
      <c r="A3040" s="3" t="s">
        <v>255</v>
      </c>
      <c r="B3040" s="12" t="s">
        <v>2840</v>
      </c>
      <c r="C3040" s="49" t="s">
        <v>6837</v>
      </c>
      <c r="D3040" s="41" t="str">
        <f ca="1">IFERROR(__xludf.DUMMYFUNCTION("IFERROR(ARRAYFORMULA(REGEXEXTRACT(C3040,""^(?:https?:\/\/)?(?:[^@\n]+@)?(?:www\.)?([^:\/\n]+)"")),"""")"),"shiptons.ca")</f>
        <v>shiptons.ca</v>
      </c>
      <c r="E3040" s="26" t="str">
        <f ca="1">IFERROR(__xludf.DUMMYFUNCTION("""COMPUTED_VALUE"""),"New")</f>
        <v>New</v>
      </c>
      <c r="F3040" s="72">
        <v>27</v>
      </c>
      <c r="G3040" s="72">
        <v>4302</v>
      </c>
      <c r="H3040" s="27" t="s">
        <v>6838</v>
      </c>
      <c r="I3040" s="27" t="s">
        <v>6839</v>
      </c>
      <c r="J3040" s="27" t="s">
        <v>6840</v>
      </c>
      <c r="K3040" s="27" t="s">
        <v>3844</v>
      </c>
      <c r="L3040" s="112"/>
      <c r="M3040" s="27" t="s">
        <v>3715</v>
      </c>
      <c r="N3040" s="48">
        <v>46055</v>
      </c>
      <c r="O3040" s="48">
        <v>46072</v>
      </c>
      <c r="P3040" s="26"/>
    </row>
    <row r="3041" spans="1:16" ht="14.5">
      <c r="A3041" s="3" t="s">
        <v>255</v>
      </c>
      <c r="B3041" s="12" t="s">
        <v>2840</v>
      </c>
      <c r="C3041" s="46" t="s">
        <v>6841</v>
      </c>
      <c r="D3041" s="41" t="str">
        <f ca="1">IFERROR(__xludf.DUMMYFUNCTION("IFERROR(ARRAYFORMULA(REGEXEXTRACT(C3041,""^(?:https?:\/\/)?(?:[^@\n]+@)?(?:www\.)?([^:\/\n]+)"")),"""")"),"cacm.org")</f>
        <v>cacm.org</v>
      </c>
      <c r="E3041" s="26" t="str">
        <f ca="1">IFERROR(__xludf.DUMMYFUNCTION("""COMPUTED_VALUE"""),"New")</f>
        <v>New</v>
      </c>
      <c r="F3041" s="72">
        <v>61</v>
      </c>
      <c r="G3041" s="72">
        <v>2472</v>
      </c>
      <c r="P3041" s="26"/>
    </row>
    <row r="3042" spans="1:16" ht="14.5">
      <c r="A3042" s="3" t="s">
        <v>255</v>
      </c>
      <c r="B3042" s="12" t="s">
        <v>2840</v>
      </c>
      <c r="C3042" s="46" t="s">
        <v>6842</v>
      </c>
      <c r="D3042" s="41" t="str">
        <f ca="1">IFERROR(__xludf.DUMMYFUNCTION("IFERROR(ARRAYFORMULA(REGEXEXTRACT(C3042,""^(?:https?:\/\/)?(?:[^@\n]+@)?(?:www\.)?([^:\/\n]+)"")),"""")"),"reveriepage.com")</f>
        <v>reveriepage.com</v>
      </c>
      <c r="E3042" s="26" t="str">
        <f ca="1">IFERROR(__xludf.DUMMYFUNCTION("""COMPUTED_VALUE"""),"New")</f>
        <v>New</v>
      </c>
      <c r="F3042" s="72">
        <v>47</v>
      </c>
      <c r="G3042" s="72">
        <v>2400</v>
      </c>
      <c r="P3042" s="26"/>
    </row>
    <row r="3043" spans="1:16" ht="14.5" hidden="1">
      <c r="A3043" s="3" t="s">
        <v>255</v>
      </c>
      <c r="B3043" s="12" t="s">
        <v>2840</v>
      </c>
      <c r="C3043" s="46" t="s">
        <v>6843</v>
      </c>
      <c r="D3043" s="41" t="str">
        <f ca="1">IFERROR(__xludf.DUMMYFUNCTION("IFERROR(ARRAYFORMULA(REGEXEXTRACT(C3043,""^(?:https?:\/\/)?(?:[^@\n]+@)?(?:www\.)?([^:\/\n]+)"")),"""")"),"intelligentliving.co")</f>
        <v>intelligentliving.co</v>
      </c>
      <c r="E3043" s="26" t="str">
        <f ca="1">IFERROR(__xludf.DUMMYFUNCTION("""COMPUTED_VALUE"""),"Already Exists")</f>
        <v>Already Exists</v>
      </c>
      <c r="F3043" s="72">
        <v>65</v>
      </c>
      <c r="G3043" s="72">
        <v>54516</v>
      </c>
      <c r="P3043" s="26"/>
    </row>
    <row r="3044" spans="1:16" ht="14.5" hidden="1">
      <c r="A3044" s="3" t="s">
        <v>255</v>
      </c>
      <c r="B3044" s="12" t="s">
        <v>2840</v>
      </c>
      <c r="C3044" s="47" t="s">
        <v>6844</v>
      </c>
      <c r="D3044" s="41" t="str">
        <f ca="1">IFERROR(__xludf.DUMMYFUNCTION("IFERROR(ARRAYFORMULA(REGEXEXTRACT(C3044,""^(?:https?:\/\/)?(?:[^@\n]+@)?(?:www\.)?([^:\/\n]+)"")),"""")"),"boredmom.com")</f>
        <v>boredmom.com</v>
      </c>
      <c r="E3044" s="26" t="str">
        <f ca="1">IFERROR(__xludf.DUMMYFUNCTION("""COMPUTED_VALUE"""),"Already Exists")</f>
        <v>Already Exists</v>
      </c>
      <c r="F3044" s="72">
        <v>21</v>
      </c>
      <c r="G3044" s="72">
        <v>1735</v>
      </c>
      <c r="H3044" s="27" t="s">
        <v>6845</v>
      </c>
      <c r="I3044" s="27" t="s">
        <v>6846</v>
      </c>
      <c r="K3044" s="27" t="s">
        <v>3756</v>
      </c>
      <c r="L3044" s="112"/>
      <c r="M3044" s="27" t="s">
        <v>3715</v>
      </c>
      <c r="N3044" s="48">
        <v>46055</v>
      </c>
      <c r="P3044" s="27" t="s">
        <v>3201</v>
      </c>
    </row>
    <row r="3045" spans="1:16" ht="14.5">
      <c r="A3045" s="3" t="s">
        <v>255</v>
      </c>
      <c r="B3045" s="12" t="s">
        <v>2840</v>
      </c>
      <c r="C3045" s="46" t="s">
        <v>6847</v>
      </c>
      <c r="D3045" s="41" t="str">
        <f ca="1">IFERROR(__xludf.DUMMYFUNCTION("IFERROR(ARRAYFORMULA(REGEXEXTRACT(C3045,""^(?:https?:\/\/)?(?:[^@\n]+@)?(?:www\.)?([^:\/\n]+)"")),"""")"),"blog.servicedirect.com")</f>
        <v>blog.servicedirect.com</v>
      </c>
      <c r="E3045" s="26" t="str">
        <f ca="1">IFERROR(__xludf.DUMMYFUNCTION("""COMPUTED_VALUE"""),"New")</f>
        <v>New</v>
      </c>
      <c r="F3045" s="72">
        <v>65</v>
      </c>
      <c r="G3045" s="72">
        <v>9036</v>
      </c>
      <c r="P3045" s="26"/>
    </row>
    <row r="3046" spans="1:16" ht="14.5" hidden="1">
      <c r="A3046" s="3" t="s">
        <v>255</v>
      </c>
      <c r="B3046" s="12" t="s">
        <v>2840</v>
      </c>
      <c r="C3046" s="46" t="s">
        <v>6848</v>
      </c>
      <c r="D3046" s="41" t="str">
        <f ca="1">IFERROR(__xludf.DUMMYFUNCTION("IFERROR(ARRAYFORMULA(REGEXEXTRACT(C3046,""^(?:https?:\/\/)?(?:[^@\n]+@)?(?:www\.)?([^:\/\n]+)"")),"""")"),"quadcities.com")</f>
        <v>quadcities.com</v>
      </c>
      <c r="E3046" s="26" t="str">
        <f ca="1">IFERROR(__xludf.DUMMYFUNCTION("""COMPUTED_VALUE"""),"Already Exists")</f>
        <v>Already Exists</v>
      </c>
      <c r="F3046" s="72">
        <v>44</v>
      </c>
      <c r="G3046" s="72">
        <v>1881</v>
      </c>
      <c r="P3046" s="26"/>
    </row>
    <row r="3047" spans="1:16" ht="14.5" hidden="1">
      <c r="A3047" s="3" t="s">
        <v>255</v>
      </c>
      <c r="B3047" s="12" t="s">
        <v>2840</v>
      </c>
      <c r="C3047" s="46" t="s">
        <v>6849</v>
      </c>
      <c r="D3047" s="41" t="str">
        <f ca="1">IFERROR(__xludf.DUMMYFUNCTION("IFERROR(ARRAYFORMULA(REGEXEXTRACT(C3047,""^(?:https?:\/\/)?(?:[^@\n]+@)?(?:www\.)?([^:\/\n]+)"")),"""")"),"missljbeauty.com")</f>
        <v>missljbeauty.com</v>
      </c>
      <c r="E3047" s="26" t="str">
        <f ca="1">IFERROR(__xludf.DUMMYFUNCTION("""COMPUTED_VALUE"""),"Already Exists")</f>
        <v>Already Exists</v>
      </c>
      <c r="F3047" s="72">
        <v>33</v>
      </c>
      <c r="G3047" s="72">
        <v>21137</v>
      </c>
      <c r="P3047" s="26"/>
    </row>
    <row r="3048" spans="1:16" ht="14.5">
      <c r="A3048" s="3" t="s">
        <v>255</v>
      </c>
      <c r="B3048" s="12" t="s">
        <v>2840</v>
      </c>
      <c r="C3048" s="46" t="s">
        <v>6850</v>
      </c>
      <c r="D3048" s="41" t="str">
        <f ca="1">IFERROR(__xludf.DUMMYFUNCTION("IFERROR(ARRAYFORMULA(REGEXEXTRACT(C3048,""^(?:https?:\/\/)?(?:[^@\n]+@)?(?:www\.)?([^:\/\n]+)"")),"""")"),"blog.bairdbrothers.com")</f>
        <v>blog.bairdbrothers.com</v>
      </c>
      <c r="E3048" s="26" t="str">
        <f ca="1">IFERROR(__xludf.DUMMYFUNCTION("""COMPUTED_VALUE"""),"New")</f>
        <v>New</v>
      </c>
      <c r="F3048" s="72">
        <v>41</v>
      </c>
      <c r="G3048" s="72">
        <v>47972</v>
      </c>
      <c r="P3048" s="26"/>
    </row>
    <row r="3049" spans="1:16" ht="14.5">
      <c r="A3049" s="3" t="s">
        <v>255</v>
      </c>
      <c r="B3049" s="12" t="s">
        <v>2840</v>
      </c>
      <c r="C3049" s="46" t="s">
        <v>6851</v>
      </c>
      <c r="D3049" s="41" t="str">
        <f ca="1">IFERROR(__xludf.DUMMYFUNCTION("IFERROR(ARRAYFORMULA(REGEXEXTRACT(C3049,""^(?:https?:\/\/)?(?:[^@\n]+@)?(?:www\.)?([^:\/\n]+)"")),"""")"),"marshmallowchallenge.com")</f>
        <v>marshmallowchallenge.com</v>
      </c>
      <c r="E3049" s="26" t="str">
        <f ca="1">IFERROR(__xludf.DUMMYFUNCTION("""COMPUTED_VALUE"""),"New")</f>
        <v>New</v>
      </c>
      <c r="F3049" s="72">
        <v>56</v>
      </c>
      <c r="G3049" s="72">
        <v>6125</v>
      </c>
      <c r="P3049" s="26"/>
    </row>
    <row r="3050" spans="1:16" ht="14.5">
      <c r="A3050" s="3" t="s">
        <v>255</v>
      </c>
      <c r="B3050" s="12" t="s">
        <v>2840</v>
      </c>
      <c r="C3050" s="49" t="s">
        <v>6852</v>
      </c>
      <c r="D3050" s="41" t="str">
        <f ca="1">IFERROR(__xludf.DUMMYFUNCTION("IFERROR(ARRAYFORMULA(REGEXEXTRACT(C3050,""^(?:https?:\/\/)?(?:[^@\n]+@)?(?:www\.)?([^:\/\n]+)"")),"""")"),"momfuse.com")</f>
        <v>momfuse.com</v>
      </c>
      <c r="E3050" s="26" t="str">
        <f ca="1">IFERROR(__xludf.DUMMYFUNCTION("""COMPUTED_VALUE"""),"New")</f>
        <v>New</v>
      </c>
      <c r="F3050" s="72">
        <v>33</v>
      </c>
      <c r="G3050" s="72">
        <v>1411</v>
      </c>
      <c r="H3050" s="27" t="s">
        <v>6853</v>
      </c>
      <c r="J3050" s="27" t="s">
        <v>6854</v>
      </c>
      <c r="K3050" s="27" t="s">
        <v>3756</v>
      </c>
      <c r="L3050" s="112"/>
      <c r="M3050" s="27" t="s">
        <v>3715</v>
      </c>
      <c r="N3050" s="48">
        <v>46055</v>
      </c>
      <c r="O3050" s="48">
        <v>46072</v>
      </c>
      <c r="P3050" s="26"/>
    </row>
    <row r="3051" spans="1:16" ht="14.5" hidden="1">
      <c r="A3051" s="3" t="s">
        <v>255</v>
      </c>
      <c r="B3051" s="12" t="s">
        <v>2840</v>
      </c>
      <c r="C3051" s="46" t="s">
        <v>6855</v>
      </c>
      <c r="D3051" s="41" t="str">
        <f ca="1">IFERROR(__xludf.DUMMYFUNCTION("IFERROR(ARRAYFORMULA(REGEXEXTRACT(C3051,""^(?:https?:\/\/)?(?:[^@\n]+@)?(?:www\.)?([^:\/\n]+)"")),"""")"),"kevinfrancisdesign.com")</f>
        <v>kevinfrancisdesign.com</v>
      </c>
      <c r="E3051" s="26" t="str">
        <f ca="1">IFERROR(__xludf.DUMMYFUNCTION("""COMPUTED_VALUE"""),"Already Exists")</f>
        <v>Already Exists</v>
      </c>
      <c r="F3051" s="72">
        <v>50</v>
      </c>
      <c r="G3051" s="72">
        <v>1167</v>
      </c>
      <c r="P3051" s="26"/>
    </row>
    <row r="3052" spans="1:16" ht="14.5" hidden="1">
      <c r="A3052" s="3" t="s">
        <v>255</v>
      </c>
      <c r="B3052" s="12" t="s">
        <v>2840</v>
      </c>
      <c r="C3052" s="46" t="s">
        <v>6856</v>
      </c>
      <c r="D3052" s="41" t="str">
        <f ca="1">IFERROR(__xludf.DUMMYFUNCTION("IFERROR(ARRAYFORMULA(REGEXEXTRACT(C3052,""^(?:https?:\/\/)?(?:[^@\n]+@)?(?:www\.)?([^:\/\n]+)"")),"""")"),"thelittlehouseinthecityblog.com")</f>
        <v>thelittlehouseinthecityblog.com</v>
      </c>
      <c r="E3052" s="26" t="str">
        <f ca="1">IFERROR(__xludf.DUMMYFUNCTION("""COMPUTED_VALUE"""),"Already Exists")</f>
        <v>Already Exists</v>
      </c>
      <c r="F3052" s="72">
        <v>51</v>
      </c>
      <c r="G3052" s="72">
        <v>1554</v>
      </c>
      <c r="P3052" s="26"/>
    </row>
    <row r="3053" spans="1:16" ht="14.5">
      <c r="A3053" s="3" t="s">
        <v>255</v>
      </c>
      <c r="B3053" s="12" t="s">
        <v>2840</v>
      </c>
      <c r="C3053" s="46" t="s">
        <v>6857</v>
      </c>
      <c r="D3053" s="41" t="str">
        <f ca="1">IFERROR(__xludf.DUMMYFUNCTION("IFERROR(ARRAYFORMULA(REGEXEXTRACT(C3053,""^(?:https?:\/\/)?(?:[^@\n]+@)?(?:www\.)?([^:\/\n]+)"")),"""")"),"customerlobby.com")</f>
        <v>customerlobby.com</v>
      </c>
      <c r="E3053" s="26" t="str">
        <f ca="1">IFERROR(__xludf.DUMMYFUNCTION("""COMPUTED_VALUE"""),"New")</f>
        <v>New</v>
      </c>
      <c r="F3053" s="72">
        <v>75</v>
      </c>
      <c r="G3053" s="72">
        <v>1792</v>
      </c>
      <c r="P3053" s="26"/>
    </row>
    <row r="3054" spans="1:16" ht="14.5" hidden="1">
      <c r="A3054" s="3" t="s">
        <v>255</v>
      </c>
      <c r="B3054" s="12" t="s">
        <v>2840</v>
      </c>
      <c r="C3054" s="46" t="s">
        <v>6858</v>
      </c>
      <c r="D3054" s="41" t="str">
        <f ca="1">IFERROR(__xludf.DUMMYFUNCTION("IFERROR(ARRAYFORMULA(REGEXEXTRACT(C3054,""^(?:https?:\/\/)?(?:[^@\n]+@)?(?:www\.)?([^:\/\n]+)"")),"""")"),"techbullion.com")</f>
        <v>techbullion.com</v>
      </c>
      <c r="E3054" s="26" t="str">
        <f ca="1">IFERROR(__xludf.DUMMYFUNCTION("""COMPUTED_VALUE"""),"Already Exists")</f>
        <v>Already Exists</v>
      </c>
      <c r="F3054" s="72">
        <v>80</v>
      </c>
      <c r="G3054" s="72">
        <v>19832</v>
      </c>
      <c r="P3054" s="26"/>
    </row>
    <row r="3055" spans="1:16" ht="14.5">
      <c r="A3055" s="3" t="s">
        <v>255</v>
      </c>
      <c r="B3055" s="12" t="s">
        <v>2840</v>
      </c>
      <c r="C3055" s="46" t="s">
        <v>6859</v>
      </c>
      <c r="D3055" s="41" t="str">
        <f ca="1">IFERROR(__xludf.DUMMYFUNCTION("IFERROR(ARRAYFORMULA(REGEXEXTRACT(C3055,""^(?:https?:\/\/)?(?:[^@\n]+@)?(?:www\.)?([^:\/\n]+)"")),"""")"),"labormarketinfo.edd.ca.gov")</f>
        <v>labormarketinfo.edd.ca.gov</v>
      </c>
      <c r="E3055" s="26" t="str">
        <f ca="1">IFERROR(__xludf.DUMMYFUNCTION("""COMPUTED_VALUE"""),"New")</f>
        <v>New</v>
      </c>
      <c r="F3055" s="72">
        <v>93</v>
      </c>
      <c r="G3055" s="72">
        <v>17102354</v>
      </c>
      <c r="P3055" s="26"/>
    </row>
    <row r="3056" spans="1:16" ht="14.5">
      <c r="A3056" s="3" t="s">
        <v>255</v>
      </c>
      <c r="B3056" s="12" t="s">
        <v>2840</v>
      </c>
      <c r="C3056" s="46" t="s">
        <v>6860</v>
      </c>
      <c r="D3056" s="41" t="str">
        <f ca="1">IFERROR(__xludf.DUMMYFUNCTION("IFERROR(ARRAYFORMULA(REGEXEXTRACT(C3056,""^(?:https?:\/\/)?(?:[^@\n]+@)?(?:www\.)?([^:\/\n]+)"")),"""")"),"matehope54.pythonanywhere.com")</f>
        <v>matehope54.pythonanywhere.com</v>
      </c>
      <c r="E3056" s="26" t="str">
        <f ca="1">IFERROR(__xludf.DUMMYFUNCTION("""COMPUTED_VALUE"""),"New")</f>
        <v>New</v>
      </c>
      <c r="F3056" s="72">
        <v>82</v>
      </c>
      <c r="G3056" s="72">
        <v>118329</v>
      </c>
      <c r="P3056" s="26"/>
    </row>
    <row r="3057" spans="1:16" ht="14.5">
      <c r="A3057" s="3" t="s">
        <v>255</v>
      </c>
      <c r="B3057" s="57" t="s">
        <v>2841</v>
      </c>
      <c r="C3057" s="49" t="s">
        <v>6861</v>
      </c>
      <c r="D3057" s="41" t="str">
        <f ca="1">IFERROR(__xludf.DUMMYFUNCTION("IFERROR(ARRAYFORMULA(REGEXEXTRACT(C3057,""^(?:https?:\/\/)?(?:[^@\n]+@)?(?:www\.)?([^:\/\n]+)"")),"""")"),"firstamericanroofing.com")</f>
        <v>firstamericanroofing.com</v>
      </c>
      <c r="E3057" s="26" t="str">
        <f ca="1">IFERROR(__xludf.DUMMYFUNCTION("""COMPUTED_VALUE"""),"New")</f>
        <v>New</v>
      </c>
      <c r="F3057" s="72">
        <v>44</v>
      </c>
      <c r="G3057" s="72">
        <v>13477</v>
      </c>
      <c r="H3057" s="27" t="s">
        <v>6862</v>
      </c>
      <c r="I3057" s="38" t="s">
        <v>6863</v>
      </c>
      <c r="J3057" s="38" t="s">
        <v>6864</v>
      </c>
      <c r="K3057" s="27" t="s">
        <v>3844</v>
      </c>
      <c r="L3057" s="112"/>
      <c r="M3057" s="27" t="s">
        <v>3715</v>
      </c>
      <c r="N3057" s="48">
        <v>46055</v>
      </c>
      <c r="P3057" s="26"/>
    </row>
    <row r="3058" spans="1:16" ht="14.5">
      <c r="A3058" s="3" t="s">
        <v>255</v>
      </c>
      <c r="B3058" s="12" t="s">
        <v>2841</v>
      </c>
      <c r="C3058" s="46" t="s">
        <v>6865</v>
      </c>
      <c r="D3058" s="41" t="str">
        <f ca="1">IFERROR(__xludf.DUMMYFUNCTION("IFERROR(ARRAYFORMULA(REGEXEXTRACT(C3058,""^(?:https?:\/\/)?(?:[^@\n]+@)?(?:www\.)?([^:\/\n]+)"")),"""")"),"hookagency.com")</f>
        <v>hookagency.com</v>
      </c>
      <c r="E3058" s="26" t="str">
        <f ca="1">IFERROR(__xludf.DUMMYFUNCTION("""COMPUTED_VALUE"""),"New")</f>
        <v>New</v>
      </c>
      <c r="F3058" s="72">
        <v>73</v>
      </c>
      <c r="G3058" s="72">
        <v>32845</v>
      </c>
      <c r="P3058" s="26"/>
    </row>
    <row r="3059" spans="1:16" ht="14.5">
      <c r="A3059" s="3" t="s">
        <v>255</v>
      </c>
      <c r="B3059" s="12" t="s">
        <v>2841</v>
      </c>
      <c r="C3059" s="46" t="s">
        <v>6866</v>
      </c>
      <c r="D3059" s="41" t="str">
        <f ca="1">IFERROR(__xludf.DUMMYFUNCTION("IFERROR(ARRAYFORMULA(REGEXEXTRACT(C3059,""^(?:https?:\/\/)?(?:[^@\n]+@)?(?:www\.)?([^:\/\n]+)"")),"""")"),"floridaroof.com")</f>
        <v>floridaroof.com</v>
      </c>
      <c r="E3059" s="26" t="str">
        <f ca="1">IFERROR(__xludf.DUMMYFUNCTION("""COMPUTED_VALUE"""),"New")</f>
        <v>New</v>
      </c>
      <c r="F3059" s="72">
        <v>64</v>
      </c>
      <c r="G3059" s="72">
        <v>2608</v>
      </c>
      <c r="P3059" s="26"/>
    </row>
    <row r="3060" spans="1:16" ht="14.5" hidden="1">
      <c r="A3060" s="3" t="s">
        <v>255</v>
      </c>
      <c r="B3060" s="12" t="s">
        <v>2841</v>
      </c>
      <c r="C3060" s="46" t="s">
        <v>6867</v>
      </c>
      <c r="D3060" s="41" t="str">
        <f ca="1">IFERROR(__xludf.DUMMYFUNCTION("IFERROR(ARRAYFORMULA(REGEXEXTRACT(C3060,""^(?:https?:\/\/)?(?:[^@\n]+@)?(?:www\.)?([^:\/\n]+)"")),"""")"),"thesiliconreview.com")</f>
        <v>thesiliconreview.com</v>
      </c>
      <c r="E3060" s="26" t="str">
        <f ca="1">IFERROR(__xludf.DUMMYFUNCTION("""COMPUTED_VALUE"""),"Already Exists")</f>
        <v>Already Exists</v>
      </c>
      <c r="F3060" s="72">
        <v>73</v>
      </c>
      <c r="G3060" s="72">
        <v>3146</v>
      </c>
      <c r="P3060" s="26"/>
    </row>
    <row r="3061" spans="1:16" ht="14.5">
      <c r="A3061" s="3" t="s">
        <v>255</v>
      </c>
      <c r="B3061" s="12" t="s">
        <v>2841</v>
      </c>
      <c r="C3061" s="46" t="s">
        <v>6868</v>
      </c>
      <c r="D3061" s="41" t="str">
        <f ca="1">IFERROR(__xludf.DUMMYFUNCTION("IFERROR(ARRAYFORMULA(REGEXEXTRACT(C3061,""^(?:https?:\/\/)?(?:[^@\n]+@)?(?:www\.)?([^:\/\n]+)"")),"""")"),"dimgrey-horse-466048.hostingersite.com")</f>
        <v>dimgrey-horse-466048.hostingersite.com</v>
      </c>
      <c r="E3061" s="26" t="str">
        <f ca="1">IFERROR(__xludf.DUMMYFUNCTION("""COMPUTED_VALUE"""),"New")</f>
        <v>New</v>
      </c>
      <c r="F3061" s="72">
        <v>92</v>
      </c>
      <c r="G3061" s="72">
        <v>15936</v>
      </c>
      <c r="P3061" s="26"/>
    </row>
    <row r="3062" spans="1:16" ht="14.5">
      <c r="A3062" s="3" t="s">
        <v>255</v>
      </c>
      <c r="B3062" s="12" t="s">
        <v>2841</v>
      </c>
      <c r="C3062" s="49" t="s">
        <v>6869</v>
      </c>
      <c r="D3062" s="41" t="str">
        <f ca="1">IFERROR(__xludf.DUMMYFUNCTION("IFERROR(ARRAYFORMULA(REGEXEXTRACT(C3062,""^(?:https?:\/\/)?(?:[^@\n]+@)?(?:www\.)?([^:\/\n]+)"")),"""")"),"homegeniusexteriors.com")</f>
        <v>homegeniusexteriors.com</v>
      </c>
      <c r="E3062" s="26" t="str">
        <f ca="1">IFERROR(__xludf.DUMMYFUNCTION("""COMPUTED_VALUE"""),"New")</f>
        <v>New</v>
      </c>
      <c r="F3062" s="72">
        <v>43</v>
      </c>
      <c r="G3062" s="72">
        <v>8600</v>
      </c>
      <c r="H3062" s="27" t="s">
        <v>6870</v>
      </c>
      <c r="I3062" s="27" t="s">
        <v>6871</v>
      </c>
      <c r="J3062" s="27" t="s">
        <v>6872</v>
      </c>
      <c r="K3062" s="27" t="s">
        <v>3844</v>
      </c>
      <c r="L3062" s="112"/>
      <c r="M3062" s="27" t="s">
        <v>3715</v>
      </c>
      <c r="N3062" s="48">
        <v>46055</v>
      </c>
      <c r="O3062" s="48">
        <v>46072</v>
      </c>
      <c r="P3062" s="26"/>
    </row>
    <row r="3063" spans="1:16" ht="14.5">
      <c r="A3063" s="3" t="s">
        <v>255</v>
      </c>
      <c r="B3063" s="12" t="s">
        <v>2841</v>
      </c>
      <c r="C3063" s="46" t="s">
        <v>6873</v>
      </c>
      <c r="D3063" s="41" t="str">
        <f ca="1">IFERROR(__xludf.DUMMYFUNCTION("IFERROR(ARRAYFORMULA(REGEXEXTRACT(C3063,""^(?:https?:\/\/)?(?:[^@\n]+@)?(?:www\.)?([^:\/\n]+)"")),"""")"),"detailed-food-860226.framer.app")</f>
        <v>detailed-food-860226.framer.app</v>
      </c>
      <c r="E3063" s="26" t="str">
        <f ca="1">IFERROR(__xludf.DUMMYFUNCTION("""COMPUTED_VALUE"""),"New")</f>
        <v>New</v>
      </c>
      <c r="F3063" s="72">
        <v>81</v>
      </c>
      <c r="G3063" s="72">
        <v>3962</v>
      </c>
      <c r="P3063" s="26"/>
    </row>
    <row r="3064" spans="1:16" ht="14.5">
      <c r="A3064" s="3" t="s">
        <v>255</v>
      </c>
      <c r="B3064" s="12" t="s">
        <v>2841</v>
      </c>
      <c r="C3064" s="46" t="s">
        <v>6874</v>
      </c>
      <c r="D3064" s="41" t="str">
        <f ca="1">IFERROR(__xludf.DUMMYFUNCTION("IFERROR(ARRAYFORMULA(REGEXEXTRACT(C3064,""^(?:https?:\/\/)?(?:[^@\n]+@)?(?:www\.)?([^:\/\n]+)"")),"""")"),"superarbor.io")</f>
        <v>superarbor.io</v>
      </c>
      <c r="E3064" s="26" t="str">
        <f ca="1">IFERROR(__xludf.DUMMYFUNCTION("""COMPUTED_VALUE"""),"New")</f>
        <v>New</v>
      </c>
      <c r="F3064" s="72">
        <v>23</v>
      </c>
      <c r="G3064" s="72">
        <v>11874</v>
      </c>
      <c r="P3064" s="26"/>
    </row>
    <row r="3065" spans="1:16" ht="14.5">
      <c r="A3065" s="3" t="s">
        <v>255</v>
      </c>
      <c r="B3065" s="12" t="s">
        <v>2841</v>
      </c>
      <c r="C3065" s="46" t="s">
        <v>6875</v>
      </c>
      <c r="D3065" s="41" t="str">
        <f ca="1">IFERROR(__xludf.DUMMYFUNCTION("IFERROR(ARRAYFORMULA(REGEXEXTRACT(C3065,""^(?:https?:\/\/)?(?:[^@\n]+@)?(?:www\.)?([^:\/\n]+)"")),"""")"),"davidsguide.com")</f>
        <v>davidsguide.com</v>
      </c>
      <c r="E3065" s="26" t="str">
        <f ca="1">IFERROR(__xludf.DUMMYFUNCTION("""COMPUTED_VALUE"""),"New")</f>
        <v>New</v>
      </c>
      <c r="F3065" s="72">
        <v>72</v>
      </c>
      <c r="G3065" s="72">
        <v>2165</v>
      </c>
      <c r="P3065" s="26"/>
    </row>
    <row r="3066" spans="1:16" ht="14.5">
      <c r="A3066" s="3" t="s">
        <v>255</v>
      </c>
      <c r="B3066" s="12" t="s">
        <v>2841</v>
      </c>
      <c r="C3066" s="49" t="s">
        <v>6876</v>
      </c>
      <c r="D3066" s="41" t="str">
        <f ca="1">IFERROR(__xludf.DUMMYFUNCTION("IFERROR(ARRAYFORMULA(REGEXEXTRACT(C3066,""^(?:https?:\/\/)?(?:[^@\n]+@)?(?:www\.)?([^:\/\n]+)"")),"""")"),"simplyseven.net")</f>
        <v>simplyseven.net</v>
      </c>
      <c r="E3066" s="26" t="str">
        <f ca="1">IFERROR(__xludf.DUMMYFUNCTION("""COMPUTED_VALUE"""),"New")</f>
        <v>New</v>
      </c>
      <c r="F3066" s="72">
        <v>61</v>
      </c>
      <c r="G3066" s="72">
        <v>6717</v>
      </c>
      <c r="J3066" s="27" t="s">
        <v>6877</v>
      </c>
      <c r="K3066" s="27" t="s">
        <v>3756</v>
      </c>
      <c r="L3066" s="112"/>
      <c r="M3066" s="27" t="s">
        <v>3715</v>
      </c>
      <c r="N3066" s="48">
        <v>46055</v>
      </c>
      <c r="O3066" s="48">
        <v>46072</v>
      </c>
      <c r="P3066" s="26"/>
    </row>
    <row r="3067" spans="1:16" ht="14.5" hidden="1">
      <c r="A3067" s="3" t="s">
        <v>255</v>
      </c>
      <c r="B3067" s="12" t="s">
        <v>2841</v>
      </c>
      <c r="C3067" s="46" t="s">
        <v>6878</v>
      </c>
      <c r="D3067" s="41" t="str">
        <f ca="1">IFERROR(__xludf.DUMMYFUNCTION("IFERROR(ARRAYFORMULA(REGEXEXTRACT(C3067,""^(?:https?:\/\/)?(?:[^@\n]+@)?(?:www\.)?([^:\/\n]+)"")),"""")"),"onlinedesignteacher.com")</f>
        <v>onlinedesignteacher.com</v>
      </c>
      <c r="E3067" s="26" t="str">
        <f ca="1">IFERROR(__xludf.DUMMYFUNCTION("""COMPUTED_VALUE"""),"Already Exists")</f>
        <v>Already Exists</v>
      </c>
      <c r="F3067" s="72">
        <v>34</v>
      </c>
      <c r="G3067" s="72">
        <v>1498</v>
      </c>
      <c r="P3067" s="26"/>
    </row>
    <row r="3068" spans="1:16" ht="14.5">
      <c r="A3068" s="3" t="s">
        <v>255</v>
      </c>
      <c r="B3068" s="12" t="s">
        <v>2841</v>
      </c>
      <c r="C3068" s="49" t="s">
        <v>6879</v>
      </c>
      <c r="D3068" s="41" t="str">
        <f ca="1">IFERROR(__xludf.DUMMYFUNCTION("IFERROR(ARRAYFORMULA(REGEXEXTRACT(C3068,""^(?:https?:\/\/)?(?:[^@\n]+@)?(?:www\.)?([^:\/\n]+)"")),"""")"),"bullz-eye.com")</f>
        <v>bullz-eye.com</v>
      </c>
      <c r="E3068" s="26" t="str">
        <f ca="1">IFERROR(__xludf.DUMMYFUNCTION("""COMPUTED_VALUE"""),"New")</f>
        <v>New</v>
      </c>
      <c r="F3068" s="72">
        <v>41</v>
      </c>
      <c r="G3068" s="72">
        <v>2994</v>
      </c>
      <c r="J3068" s="27" t="s">
        <v>6880</v>
      </c>
      <c r="K3068" s="27" t="s">
        <v>3756</v>
      </c>
      <c r="L3068" s="112"/>
      <c r="M3068" s="27" t="s">
        <v>3715</v>
      </c>
      <c r="N3068" s="48">
        <v>46055</v>
      </c>
      <c r="O3068" s="48">
        <v>46072</v>
      </c>
      <c r="P3068" s="26"/>
    </row>
    <row r="3069" spans="1:16" ht="14.5">
      <c r="A3069" s="3" t="s">
        <v>255</v>
      </c>
      <c r="B3069" s="12" t="s">
        <v>2841</v>
      </c>
      <c r="C3069" s="46" t="s">
        <v>6881</v>
      </c>
      <c r="D3069" s="41" t="str">
        <f ca="1">IFERROR(__xludf.DUMMYFUNCTION("IFERROR(ARRAYFORMULA(REGEXEXTRACT(C3069,""^(?:https?:\/\/)?(?:[^@\n]+@)?(?:www\.)?([^:\/\n]+)"")),"""")"),"constructiononline.com")</f>
        <v>constructiononline.com</v>
      </c>
      <c r="E3069" s="26" t="str">
        <f ca="1">IFERROR(__xludf.DUMMYFUNCTION("""COMPUTED_VALUE"""),"New")</f>
        <v>New</v>
      </c>
      <c r="F3069" s="72">
        <v>57</v>
      </c>
      <c r="G3069" s="72">
        <v>5044</v>
      </c>
      <c r="P3069" s="26"/>
    </row>
    <row r="3070" spans="1:16" ht="14.5">
      <c r="A3070" s="3" t="s">
        <v>255</v>
      </c>
      <c r="B3070" s="12" t="s">
        <v>2841</v>
      </c>
      <c r="C3070" s="46" t="s">
        <v>6882</v>
      </c>
      <c r="D3070" s="41" t="str">
        <f ca="1">IFERROR(__xludf.DUMMYFUNCTION("IFERROR(ARRAYFORMULA(REGEXEXTRACT(C3070,""^(?:https?:\/\/)?(?:[^@\n]+@)?(?:www\.)?([^:\/\n]+)"")),"""")"),"skroofingandconstruction.com")</f>
        <v>skroofingandconstruction.com</v>
      </c>
      <c r="E3070" s="26" t="str">
        <f ca="1">IFERROR(__xludf.DUMMYFUNCTION("""COMPUTED_VALUE"""),"New")</f>
        <v>New</v>
      </c>
      <c r="F3070" s="72">
        <v>62</v>
      </c>
      <c r="G3070" s="72">
        <v>3849</v>
      </c>
      <c r="P3070" s="26"/>
    </row>
    <row r="3071" spans="1:16" ht="14.5">
      <c r="A3071" s="3" t="s">
        <v>255</v>
      </c>
      <c r="B3071" s="12" t="s">
        <v>2841</v>
      </c>
      <c r="C3071" s="46" t="s">
        <v>6883</v>
      </c>
      <c r="D3071" s="41" t="str">
        <f ca="1">IFERROR(__xludf.DUMMYFUNCTION("IFERROR(ARRAYFORMULA(REGEXEXTRACT(C3071,""^(?:https?:\/\/)?(?:[^@\n]+@)?(?:www\.)?([^:\/\n]+)"")),"""")"),"honestaberoofing.com")</f>
        <v>honestaberoofing.com</v>
      </c>
      <c r="E3071" s="26" t="str">
        <f ca="1">IFERROR(__xludf.DUMMYFUNCTION("""COMPUTED_VALUE"""),"New")</f>
        <v>New</v>
      </c>
      <c r="F3071" s="72">
        <v>41</v>
      </c>
      <c r="G3071" s="72">
        <v>7285</v>
      </c>
      <c r="P3071" s="26"/>
    </row>
    <row r="3072" spans="1:16" ht="14.5">
      <c r="A3072" s="3" t="s">
        <v>255</v>
      </c>
      <c r="B3072" s="17" t="s">
        <v>2843</v>
      </c>
      <c r="C3072" s="49" t="s">
        <v>6884</v>
      </c>
      <c r="D3072" s="41" t="str">
        <f ca="1">IFERROR(__xludf.DUMMYFUNCTION("IFERROR(ARRAYFORMULA(REGEXEXTRACT(C3072,""^(?:https?:\/\/)?(?:[^@\n]+@)?(?:www\.)?([^:\/\n]+)"")),"""")"),"roofmedic.com")</f>
        <v>roofmedic.com</v>
      </c>
      <c r="E3072" s="26" t="str">
        <f ca="1">IFERROR(__xludf.DUMMYFUNCTION("""COMPUTED_VALUE"""),"New")</f>
        <v>New</v>
      </c>
      <c r="F3072" s="72">
        <v>26</v>
      </c>
      <c r="G3072" s="72">
        <v>6969</v>
      </c>
      <c r="H3072" s="27" t="s">
        <v>6885</v>
      </c>
      <c r="I3072" s="27" t="s">
        <v>6886</v>
      </c>
      <c r="J3072" s="27" t="s">
        <v>6887</v>
      </c>
      <c r="K3072" s="27" t="s">
        <v>3844</v>
      </c>
      <c r="L3072" s="112"/>
      <c r="M3072" s="27" t="s">
        <v>3715</v>
      </c>
      <c r="N3072" s="48">
        <v>46055</v>
      </c>
      <c r="O3072" s="48">
        <v>46072</v>
      </c>
      <c r="P3072" s="26"/>
    </row>
    <row r="3073" spans="1:16" ht="14.5">
      <c r="A3073" s="3" t="s">
        <v>255</v>
      </c>
      <c r="B3073" s="12" t="s">
        <v>2843</v>
      </c>
      <c r="C3073" s="46" t="s">
        <v>6888</v>
      </c>
      <c r="D3073" s="41" t="str">
        <f ca="1">IFERROR(__xludf.DUMMYFUNCTION("IFERROR(ARRAYFORMULA(REGEXEXTRACT(C3073,""^(?:https?:\/\/)?(?:[^@\n]+@)?(?:www\.)?([^:\/\n]+)"")),"""")"),"bakerroofing.com")</f>
        <v>bakerroofing.com</v>
      </c>
      <c r="E3073" s="26" t="str">
        <f ca="1">IFERROR(__xludf.DUMMYFUNCTION("""COMPUTED_VALUE"""),"New")</f>
        <v>New</v>
      </c>
      <c r="F3073" s="72">
        <v>44</v>
      </c>
      <c r="G3073" s="72">
        <v>16512</v>
      </c>
      <c r="P3073" s="26"/>
    </row>
    <row r="3074" spans="1:16" ht="14.5">
      <c r="A3074" s="3" t="s">
        <v>255</v>
      </c>
      <c r="B3074" s="12" t="s">
        <v>2843</v>
      </c>
      <c r="C3074" s="49" t="s">
        <v>6889</v>
      </c>
      <c r="D3074" s="41" t="str">
        <f ca="1">IFERROR(__xludf.DUMMYFUNCTION("IFERROR(ARRAYFORMULA(REGEXEXTRACT(C3074,""^(?:https?:\/\/)?(?:[^@\n]+@)?(?:www\.)?([^:\/\n]+)"")),"""")"),"getroofsmart.com")</f>
        <v>getroofsmart.com</v>
      </c>
      <c r="E3074" s="26" t="str">
        <f ca="1">IFERROR(__xludf.DUMMYFUNCTION("""COMPUTED_VALUE"""),"New")</f>
        <v>New</v>
      </c>
      <c r="F3074" s="72">
        <v>30</v>
      </c>
      <c r="G3074" s="72">
        <v>7034</v>
      </c>
      <c r="H3074" s="27" t="s">
        <v>5147</v>
      </c>
      <c r="I3074" s="27" t="s">
        <v>6890</v>
      </c>
      <c r="J3074" s="27" t="s">
        <v>6891</v>
      </c>
      <c r="K3074" s="27" t="s">
        <v>3844</v>
      </c>
      <c r="L3074" s="112"/>
      <c r="M3074" s="27" t="s">
        <v>3715</v>
      </c>
      <c r="N3074" s="48">
        <v>46055</v>
      </c>
      <c r="O3074" s="48">
        <v>46072</v>
      </c>
      <c r="P3074" s="26"/>
    </row>
    <row r="3075" spans="1:16" ht="14.5">
      <c r="A3075" s="3" t="s">
        <v>255</v>
      </c>
      <c r="B3075" s="12" t="s">
        <v>2843</v>
      </c>
      <c r="C3075" s="49" t="s">
        <v>6892</v>
      </c>
      <c r="D3075" s="41" t="str">
        <f ca="1">IFERROR(__xludf.DUMMYFUNCTION("IFERROR(ARRAYFORMULA(REGEXEXTRACT(C3075,""^(?:https?:\/\/)?(?:[^@\n]+@)?(?:www\.)?([^:\/\n]+)"")),"""")"),"northfaceconstruction.com")</f>
        <v>northfaceconstruction.com</v>
      </c>
      <c r="E3075" s="26" t="str">
        <f ca="1">IFERROR(__xludf.DUMMYFUNCTION("""COMPUTED_VALUE"""),"New")</f>
        <v>New</v>
      </c>
      <c r="F3075" s="72">
        <v>40</v>
      </c>
      <c r="G3075" s="72">
        <v>1152</v>
      </c>
      <c r="H3075" s="27" t="s">
        <v>4394</v>
      </c>
      <c r="I3075" s="27" t="s">
        <v>6893</v>
      </c>
      <c r="J3075" s="27" t="s">
        <v>6894</v>
      </c>
      <c r="K3075" s="27" t="s">
        <v>3844</v>
      </c>
      <c r="L3075" s="112"/>
      <c r="M3075" s="27" t="s">
        <v>3715</v>
      </c>
      <c r="N3075" s="48">
        <v>46055</v>
      </c>
      <c r="O3075" s="48">
        <v>46072</v>
      </c>
      <c r="P3075" s="26"/>
    </row>
    <row r="3076" spans="1:16" ht="14.5">
      <c r="A3076" s="3" t="s">
        <v>255</v>
      </c>
      <c r="B3076" s="12" t="s">
        <v>2843</v>
      </c>
      <c r="C3076" s="46" t="s">
        <v>6895</v>
      </c>
      <c r="D3076" s="41" t="str">
        <f ca="1">IFERROR(__xludf.DUMMYFUNCTION("IFERROR(ARRAYFORMULA(REGEXEXTRACT(C3076,""^(?:https?:\/\/)?(?:[^@\n]+@)?(?:www\.)?([^:\/\n]+)"")),"""")"),"wishtv.com")</f>
        <v>wishtv.com</v>
      </c>
      <c r="E3076" s="26" t="str">
        <f ca="1">IFERROR(__xludf.DUMMYFUNCTION("""COMPUTED_VALUE"""),"New")</f>
        <v>New</v>
      </c>
      <c r="F3076" s="72">
        <v>77</v>
      </c>
      <c r="G3076" s="72">
        <v>66347</v>
      </c>
      <c r="P3076" s="26"/>
    </row>
    <row r="3077" spans="1:16" ht="14.5">
      <c r="A3077" s="3" t="s">
        <v>255</v>
      </c>
      <c r="B3077" s="12" t="s">
        <v>2843</v>
      </c>
      <c r="C3077" s="46" t="s">
        <v>6896</v>
      </c>
      <c r="D3077" s="41" t="str">
        <f ca="1">IFERROR(__xludf.DUMMYFUNCTION("IFERROR(ARRAYFORMULA(REGEXEXTRACT(C3077,""^(?:https?:\/\/)?(?:[^@\n]+@)?(?:www\.)?([^:\/\n]+)"")),"""")"),"blog.featured.com")</f>
        <v>blog.featured.com</v>
      </c>
      <c r="E3077" s="26" t="str">
        <f ca="1">IFERROR(__xludf.DUMMYFUNCTION("""COMPUTED_VALUE"""),"New")</f>
        <v>New</v>
      </c>
      <c r="F3077" s="72">
        <v>72</v>
      </c>
      <c r="G3077" s="72">
        <v>7642</v>
      </c>
      <c r="P3077" s="26"/>
    </row>
    <row r="3078" spans="1:16" ht="14.5">
      <c r="A3078" s="3" t="s">
        <v>255</v>
      </c>
      <c r="B3078" s="12" t="s">
        <v>2843</v>
      </c>
      <c r="C3078" s="46" t="s">
        <v>6897</v>
      </c>
      <c r="D3078" s="41" t="str">
        <f ca="1">IFERROR(__xludf.DUMMYFUNCTION("IFERROR(ARRAYFORMULA(REGEXEXTRACT(C3078,""^(?:https?:\/\/)?(?:[^@\n]+@)?(?:www\.)?([^:\/\n]+)"")),"""")"),"marketingsherpa.com")</f>
        <v>marketingsherpa.com</v>
      </c>
      <c r="E3078" s="26" t="str">
        <f ca="1">IFERROR(__xludf.DUMMYFUNCTION("""COMPUTED_VALUE"""),"New")</f>
        <v>New</v>
      </c>
      <c r="F3078" s="72">
        <v>82</v>
      </c>
      <c r="G3078" s="72">
        <v>3291</v>
      </c>
      <c r="P3078" s="26"/>
    </row>
    <row r="3079" spans="1:16" ht="14.5">
      <c r="A3079" s="3" t="s">
        <v>255</v>
      </c>
      <c r="B3079" s="12" t="s">
        <v>2843</v>
      </c>
      <c r="C3079" s="46" t="s">
        <v>6898</v>
      </c>
      <c r="D3079" s="41" t="str">
        <f ca="1">IFERROR(__xludf.DUMMYFUNCTION("IFERROR(ARRAYFORMULA(REGEXEXTRACT(C3079,""^(?:https?:\/\/)?(?:[^@\n]+@)?(?:www\.)?([^:\/\n]+)"")),"""")"),"10web.io")</f>
        <v>10web.io</v>
      </c>
      <c r="E3079" s="26" t="str">
        <f ca="1">IFERROR(__xludf.DUMMYFUNCTION("""COMPUTED_VALUE"""),"New")</f>
        <v>New</v>
      </c>
      <c r="F3079" s="72">
        <v>79</v>
      </c>
      <c r="G3079" s="72">
        <v>139113</v>
      </c>
      <c r="P3079" s="26"/>
    </row>
    <row r="3080" spans="1:16" ht="14.5">
      <c r="A3080" s="3" t="s">
        <v>255</v>
      </c>
      <c r="B3080" s="12" t="s">
        <v>2843</v>
      </c>
      <c r="C3080" s="49" t="s">
        <v>6899</v>
      </c>
      <c r="D3080" s="41" t="str">
        <f ca="1">IFERROR(__xludf.DUMMYFUNCTION("IFERROR(ARRAYFORMULA(REGEXEXTRACT(C3080,""^(?:https?:\/\/)?(?:[^@\n]+@)?(?:www\.)?([^:\/\n]+)"")),"""")"),"evstudio.com")</f>
        <v>evstudio.com</v>
      </c>
      <c r="E3080" s="26" t="str">
        <f ca="1">IFERROR(__xludf.DUMMYFUNCTION("""COMPUTED_VALUE"""),"New")</f>
        <v>New</v>
      </c>
      <c r="F3080" s="72">
        <v>34</v>
      </c>
      <c r="G3080" s="72">
        <v>2991</v>
      </c>
      <c r="H3080" s="27" t="s">
        <v>6900</v>
      </c>
      <c r="I3080" s="27" t="s">
        <v>6901</v>
      </c>
      <c r="J3080" s="27" t="s">
        <v>6902</v>
      </c>
      <c r="K3080" s="27" t="s">
        <v>6903</v>
      </c>
      <c r="L3080" s="112"/>
      <c r="M3080" s="27" t="s">
        <v>3715</v>
      </c>
      <c r="N3080" s="48">
        <v>46055</v>
      </c>
      <c r="O3080" s="48">
        <v>46072</v>
      </c>
      <c r="P3080" s="26"/>
    </row>
    <row r="3081" spans="1:16" ht="14.5">
      <c r="A3081" s="3" t="s">
        <v>255</v>
      </c>
      <c r="B3081" s="12" t="s">
        <v>2843</v>
      </c>
      <c r="C3081" s="46" t="s">
        <v>6904</v>
      </c>
      <c r="D3081" s="41" t="str">
        <f ca="1">IFERROR(__xludf.DUMMYFUNCTION("IFERROR(ARRAYFORMULA(REGEXEXTRACT(C3081,""^(?:https?:\/\/)?(?:[^@\n]+@)?(?:www\.)?([^:\/\n]+)"")),"""")"),"ibuyer.com")</f>
        <v>ibuyer.com</v>
      </c>
      <c r="E3081" s="26" t="str">
        <f ca="1">IFERROR(__xludf.DUMMYFUNCTION("""COMPUTED_VALUE"""),"New")</f>
        <v>New</v>
      </c>
      <c r="F3081" s="72">
        <v>51</v>
      </c>
      <c r="G3081" s="72">
        <v>17206</v>
      </c>
      <c r="P3081" s="26"/>
    </row>
    <row r="3082" spans="1:16" ht="14.5" hidden="1">
      <c r="A3082" s="5"/>
      <c r="B3082" s="12" t="s">
        <v>2843</v>
      </c>
      <c r="C3082" s="46" t="s">
        <v>6905</v>
      </c>
      <c r="D3082" s="41" t="str">
        <f ca="1">IFERROR(__xludf.DUMMYFUNCTION("IFERROR(ARRAYFORMULA(REGEXEXTRACT(C3082,""^(?:https?:\/\/)?(?:[^@\n]+@)?(?:www\.)?([^:\/\n]+)"")),"""")"),"ecofreek.com")</f>
        <v>ecofreek.com</v>
      </c>
      <c r="E3082" s="26" t="str">
        <f ca="1">IFERROR(__xludf.DUMMYFUNCTION("""COMPUTED_VALUE"""),"Already Exists")</f>
        <v>Already Exists</v>
      </c>
      <c r="F3082" s="72">
        <v>45</v>
      </c>
      <c r="G3082" s="72">
        <v>2765</v>
      </c>
      <c r="P3082" s="26"/>
    </row>
    <row r="3083" spans="1:16" ht="14.5">
      <c r="A3083" s="3" t="s">
        <v>255</v>
      </c>
      <c r="B3083" s="12" t="s">
        <v>2843</v>
      </c>
      <c r="C3083" s="46" t="s">
        <v>6906</v>
      </c>
      <c r="D3083" s="41" t="str">
        <f ca="1">IFERROR(__xludf.DUMMYFUNCTION("IFERROR(ARRAYFORMULA(REGEXEXTRACT(C3083,""^(?:https?:\/\/)?(?:[^@\n]+@)?(?:www\.)?([^:\/\n]+)"")),"""")"),"insidea.com")</f>
        <v>insidea.com</v>
      </c>
      <c r="E3083" s="26" t="str">
        <f ca="1">IFERROR(__xludf.DUMMYFUNCTION("""COMPUTED_VALUE"""),"New")</f>
        <v>New</v>
      </c>
      <c r="F3083" s="72">
        <v>56</v>
      </c>
      <c r="G3083" s="72">
        <v>20967</v>
      </c>
      <c r="P3083" s="26"/>
    </row>
    <row r="3084" spans="1:16" ht="14.5">
      <c r="A3084" s="3" t="s">
        <v>255</v>
      </c>
      <c r="B3084" s="12" t="s">
        <v>2843</v>
      </c>
      <c r="C3084" s="46" t="s">
        <v>6907</v>
      </c>
      <c r="D3084" s="41" t="str">
        <f ca="1">IFERROR(__xludf.DUMMYFUNCTION("IFERROR(ARRAYFORMULA(REGEXEXTRACT(C3084,""^(?:https?:\/\/)?(?:[^@\n]+@)?(?:www\.)?([^:\/\n]+)"")),"""")"),"secure.qgiv.com")</f>
        <v>secure.qgiv.com</v>
      </c>
      <c r="E3084" s="26" t="str">
        <f ca="1">IFERROR(__xludf.DUMMYFUNCTION("""COMPUTED_VALUE"""),"New")</f>
        <v>New</v>
      </c>
      <c r="F3084" s="72">
        <v>87</v>
      </c>
      <c r="G3084" s="72">
        <v>26294</v>
      </c>
      <c r="P3084" s="26"/>
    </row>
    <row r="3085" spans="1:16" ht="14.5">
      <c r="A3085" s="3" t="s">
        <v>255</v>
      </c>
      <c r="B3085" s="12" t="s">
        <v>2843</v>
      </c>
      <c r="C3085" s="46" t="s">
        <v>6908</v>
      </c>
      <c r="D3085" s="41" t="str">
        <f ca="1">IFERROR(__xludf.DUMMYFUNCTION("IFERROR(ARRAYFORMULA(REGEXEXTRACT(C3085,""^(?:https?:\/\/)?(?:[^@\n]+@)?(?:www\.)?([^:\/\n]+)"")),"""")"),"rynoss.com")</f>
        <v>rynoss.com</v>
      </c>
      <c r="E3085" s="26" t="str">
        <f ca="1">IFERROR(__xludf.DUMMYFUNCTION("""COMPUTED_VALUE"""),"New")</f>
        <v>New</v>
      </c>
      <c r="F3085" s="72">
        <v>72</v>
      </c>
      <c r="G3085" s="72">
        <v>2124</v>
      </c>
      <c r="P3085" s="26"/>
    </row>
    <row r="3086" spans="1:16" ht="14.5">
      <c r="A3086" s="3" t="s">
        <v>255</v>
      </c>
      <c r="B3086" s="12" t="s">
        <v>2843</v>
      </c>
      <c r="C3086" s="46" t="s">
        <v>6909</v>
      </c>
      <c r="D3086" s="41" t="str">
        <f ca="1">IFERROR(__xludf.DUMMYFUNCTION("IFERROR(ARRAYFORMULA(REGEXEXTRACT(C3086,""^(?:https?:\/\/)?(?:[^@\n]+@)?(?:www\.)?([^:\/\n]+)"")),"""")"),"weboworld.com")</f>
        <v>weboworld.com</v>
      </c>
      <c r="E3086" s="26" t="str">
        <f ca="1">IFERROR(__xludf.DUMMYFUNCTION("""COMPUTED_VALUE"""),"New")</f>
        <v>New</v>
      </c>
      <c r="F3086" s="72">
        <v>61</v>
      </c>
      <c r="G3086" s="72">
        <v>2837</v>
      </c>
      <c r="P3086" s="26"/>
    </row>
    <row r="3087" spans="1:16" ht="14.5">
      <c r="A3087" s="3" t="s">
        <v>255</v>
      </c>
      <c r="B3087" s="12" t="s">
        <v>2843</v>
      </c>
      <c r="C3087" s="46" t="s">
        <v>6910</v>
      </c>
      <c r="D3087" s="41" t="str">
        <f ca="1">IFERROR(__xludf.DUMMYFUNCTION("IFERROR(ARRAYFORMULA(REGEXEXTRACT(C3087,""^(?:https?:\/\/)?(?:[^@\n]+@)?(?:www\.)?([^:\/\n]+)"")),"""")"),"leagues.teamlinkt.com")</f>
        <v>leagues.teamlinkt.com</v>
      </c>
      <c r="E3087" s="26" t="str">
        <f ca="1">IFERROR(__xludf.DUMMYFUNCTION("""COMPUTED_VALUE"""),"New")</f>
        <v>New</v>
      </c>
      <c r="F3087" s="72">
        <v>79</v>
      </c>
      <c r="G3087" s="72">
        <v>33417</v>
      </c>
      <c r="P3087" s="26"/>
    </row>
    <row r="3088" spans="1:16" ht="14.5">
      <c r="A3088" s="3" t="s">
        <v>255</v>
      </c>
      <c r="B3088" s="12" t="s">
        <v>2843</v>
      </c>
      <c r="C3088" s="46" t="s">
        <v>6911</v>
      </c>
      <c r="D3088" s="41" t="str">
        <f ca="1">IFERROR(__xludf.DUMMYFUNCTION("IFERROR(ARRAYFORMULA(REGEXEXTRACT(C3088,""^(?:https?:\/\/)?(?:[^@\n]+@)?(?:www\.)?([^:\/\n]+)"")),"""")"),"roofingcontractor.com")</f>
        <v>roofingcontractor.com</v>
      </c>
      <c r="E3088" s="26" t="str">
        <f ca="1">IFERROR(__xludf.DUMMYFUNCTION("""COMPUTED_VALUE"""),"New")</f>
        <v>New</v>
      </c>
      <c r="F3088" s="72">
        <v>72</v>
      </c>
      <c r="G3088" s="72">
        <v>49905</v>
      </c>
      <c r="P3088" s="26"/>
    </row>
    <row r="3089" spans="1:16" ht="14.5">
      <c r="A3089" s="3" t="s">
        <v>255</v>
      </c>
      <c r="B3089" s="12" t="s">
        <v>2843</v>
      </c>
      <c r="C3089" s="46" t="s">
        <v>6912</v>
      </c>
      <c r="D3089" s="41" t="str">
        <f ca="1">IFERROR(__xludf.DUMMYFUNCTION("IFERROR(ARRAYFORMULA(REGEXEXTRACT(C3089,""^(?:https?:\/\/)?(?:[^@\n]+@)?(?:www\.)?([^:\/\n]+)"")),"""")"),"mdpi.com")</f>
        <v>mdpi.com</v>
      </c>
      <c r="E3089" s="26" t="str">
        <f ca="1">IFERROR(__xludf.DUMMYFUNCTION("""COMPUTED_VALUE"""),"New")</f>
        <v>New</v>
      </c>
      <c r="F3089" s="72">
        <v>92</v>
      </c>
      <c r="G3089" s="72">
        <v>1100411</v>
      </c>
      <c r="P3089" s="26"/>
    </row>
    <row r="3090" spans="1:16" ht="14.5">
      <c r="A3090" s="3" t="s">
        <v>255</v>
      </c>
      <c r="B3090" s="12" t="s">
        <v>2843</v>
      </c>
      <c r="C3090" s="46" t="s">
        <v>6913</v>
      </c>
      <c r="D3090" s="41" t="str">
        <f ca="1">IFERROR(__xludf.DUMMYFUNCTION("IFERROR(ARRAYFORMULA(REGEXEXTRACT(C3090,""^(?:https?:\/\/)?(?:[^@\n]+@)?(?:www\.)?([^:\/\n]+)"")),"""")"),"startupinspire.com")</f>
        <v>startupinspire.com</v>
      </c>
      <c r="E3090" s="26" t="str">
        <f ca="1">IFERROR(__xludf.DUMMYFUNCTION("""COMPUTED_VALUE"""),"New")</f>
        <v>New</v>
      </c>
      <c r="F3090" s="72">
        <v>47</v>
      </c>
      <c r="G3090" s="72">
        <v>1349</v>
      </c>
      <c r="P3090" s="26"/>
    </row>
    <row r="3091" spans="1:16" ht="14.5">
      <c r="A3091" s="3" t="s">
        <v>255</v>
      </c>
      <c r="B3091" s="12" t="s">
        <v>2843</v>
      </c>
      <c r="C3091" s="46" t="s">
        <v>6914</v>
      </c>
      <c r="D3091" s="41" t="str">
        <f ca="1">IFERROR(__xludf.DUMMYFUNCTION("IFERROR(ARRAYFORMULA(REGEXEXTRACT(C3091,""^(?:https?:\/\/)?(?:[^@\n]+@)?(?:www\.)?([^:\/\n]+)"")),"""")"),"rubberandseal.com")</f>
        <v>rubberandseal.com</v>
      </c>
      <c r="E3091" s="26" t="str">
        <f ca="1">IFERROR(__xludf.DUMMYFUNCTION("""COMPUTED_VALUE"""),"New")</f>
        <v>New</v>
      </c>
      <c r="F3091" s="72">
        <v>22</v>
      </c>
      <c r="G3091" s="72">
        <v>9221</v>
      </c>
      <c r="P3091" s="26"/>
    </row>
    <row r="3092" spans="1:16" ht="14.5">
      <c r="A3092" s="3" t="s">
        <v>255</v>
      </c>
      <c r="B3092" s="12" t="s">
        <v>2843</v>
      </c>
      <c r="C3092" s="46" t="s">
        <v>6915</v>
      </c>
      <c r="D3092" s="41" t="str">
        <f ca="1">IFERROR(__xludf.DUMMYFUNCTION("IFERROR(ARRAYFORMULA(REGEXEXTRACT(C3092,""^(?:https?:\/\/)?(?:[^@\n]+@)?(?:www\.)?([^:\/\n]+)"")),"""")"),"indytoday.6amcity.com")</f>
        <v>indytoday.6amcity.com</v>
      </c>
      <c r="E3092" s="26" t="str">
        <f ca="1">IFERROR(__xludf.DUMMYFUNCTION("""COMPUTED_VALUE"""),"New")</f>
        <v>New</v>
      </c>
      <c r="F3092" s="72">
        <v>76</v>
      </c>
      <c r="G3092" s="72">
        <v>139947</v>
      </c>
      <c r="P3092" s="26"/>
    </row>
    <row r="3093" spans="1:16" ht="20.25" customHeight="1">
      <c r="A3093" s="3" t="s">
        <v>255</v>
      </c>
      <c r="B3093" s="12" t="s">
        <v>2843</v>
      </c>
      <c r="C3093" s="46" t="s">
        <v>6916</v>
      </c>
      <c r="D3093" s="41" t="str">
        <f ca="1">IFERROR(__xludf.DUMMYFUNCTION("IFERROR(ARRAYFORMULA(REGEXEXTRACT(C3093,""^(?:https?:\/\/)?(?:[^@\n]+@)?(?:www\.)?([^:\/\n]+)"")),"""")"),"wibc.com")</f>
        <v>wibc.com</v>
      </c>
      <c r="E3093" s="26" t="str">
        <f ca="1">IFERROR(__xludf.DUMMYFUNCTION("""COMPUTED_VALUE"""),"New")</f>
        <v>New</v>
      </c>
      <c r="F3093" s="72">
        <v>66</v>
      </c>
      <c r="G3093" s="72">
        <v>6980</v>
      </c>
      <c r="P3093" s="26"/>
    </row>
    <row r="3094" spans="1:16" ht="14.5">
      <c r="A3094" s="3" t="s">
        <v>255</v>
      </c>
      <c r="B3094" s="17" t="s">
        <v>2842</v>
      </c>
      <c r="C3094" s="49" t="s">
        <v>6917</v>
      </c>
      <c r="D3094" s="41" t="str">
        <f ca="1">IFERROR(__xludf.DUMMYFUNCTION("IFERROR(ARRAYFORMULA(REGEXEXTRACT(C3094,""^(?:https?:\/\/)?(?:[^@\n]+@)?(?:www\.)?([^:\/\n]+)"")),"""")"),"qualityroofingsolutions.com")</f>
        <v>qualityroofingsolutions.com</v>
      </c>
      <c r="E3094" s="26" t="str">
        <f ca="1">IFERROR(__xludf.DUMMYFUNCTION("""COMPUTED_VALUE"""),"New")</f>
        <v>New</v>
      </c>
      <c r="F3094" s="72">
        <v>28</v>
      </c>
      <c r="G3094" s="72">
        <v>1273</v>
      </c>
      <c r="H3094" s="27" t="s">
        <v>4210</v>
      </c>
      <c r="I3094" s="75" t="s">
        <v>6918</v>
      </c>
      <c r="J3094" s="27" t="s">
        <v>6919</v>
      </c>
      <c r="K3094" s="27" t="s">
        <v>3844</v>
      </c>
      <c r="L3094" s="112"/>
      <c r="M3094" s="27" t="s">
        <v>3715</v>
      </c>
      <c r="N3094" s="48">
        <v>46055</v>
      </c>
      <c r="O3094" s="48">
        <v>46073</v>
      </c>
      <c r="P3094" s="26"/>
    </row>
    <row r="3095" spans="1:16" ht="14.5">
      <c r="A3095" s="3" t="s">
        <v>255</v>
      </c>
      <c r="B3095" s="12" t="s">
        <v>2842</v>
      </c>
      <c r="C3095" s="46" t="s">
        <v>6920</v>
      </c>
      <c r="D3095" s="41" t="str">
        <f ca="1">IFERROR(__xludf.DUMMYFUNCTION("IFERROR(ARRAYFORMULA(REGEXEXTRACT(C3095,""^(?:https?:\/\/)?(?:[^@\n]+@)?(?:www\.)?([^:\/\n]+)"")),"""")"),"gaf.com")</f>
        <v>gaf.com</v>
      </c>
      <c r="E3095" s="26" t="str">
        <f ca="1">IFERROR(__xludf.DUMMYFUNCTION("""COMPUTED_VALUE"""),"New")</f>
        <v>New</v>
      </c>
      <c r="F3095" s="72">
        <v>85</v>
      </c>
      <c r="G3095" s="72">
        <v>511283</v>
      </c>
      <c r="P3095" s="26"/>
    </row>
    <row r="3096" spans="1:16" ht="14.5">
      <c r="A3096" s="3" t="s">
        <v>255</v>
      </c>
      <c r="B3096" s="12" t="s">
        <v>2842</v>
      </c>
      <c r="C3096" s="49" t="s">
        <v>6921</v>
      </c>
      <c r="D3096" s="41" t="str">
        <f ca="1">IFERROR(__xludf.DUMMYFUNCTION("IFERROR(ARRAYFORMULA(REGEXEXTRACT(C3096,""^(?:https?:\/\/)?(?:[^@\n]+@)?(?:www\.)?([^:\/\n]+)"")),"""")"),"indyroofandrestoration.com")</f>
        <v>indyroofandrestoration.com</v>
      </c>
      <c r="E3096" s="26" t="str">
        <f ca="1">IFERROR(__xludf.DUMMYFUNCTION("""COMPUTED_VALUE"""),"New")</f>
        <v>New</v>
      </c>
      <c r="F3096" s="72">
        <v>29</v>
      </c>
      <c r="G3096" s="72">
        <v>11307</v>
      </c>
      <c r="H3096" s="27" t="s">
        <v>6922</v>
      </c>
      <c r="I3096" s="27" t="s">
        <v>6923</v>
      </c>
      <c r="K3096" s="27" t="s">
        <v>3844</v>
      </c>
      <c r="L3096" s="112"/>
      <c r="M3096" s="27" t="s">
        <v>3715</v>
      </c>
      <c r="N3096" s="48">
        <v>46055</v>
      </c>
      <c r="O3096" s="48">
        <v>46073</v>
      </c>
      <c r="P3096" s="26"/>
    </row>
    <row r="3097" spans="1:16" ht="14.5">
      <c r="A3097" s="3" t="s">
        <v>255</v>
      </c>
      <c r="B3097" s="12" t="s">
        <v>2842</v>
      </c>
      <c r="C3097" s="46" t="s">
        <v>6924</v>
      </c>
      <c r="D3097" s="41" t="str">
        <f ca="1">IFERROR(__xludf.DUMMYFUNCTION("IFERROR(ARRAYFORMULA(REGEXEXTRACT(C3097,""^(?:https?:\/\/)?(?:[^@\n]+@)?(?:www\.)?([^:\/\n]+)"")),"""")"),"thearcadiaonline.com")</f>
        <v>thearcadiaonline.com</v>
      </c>
      <c r="E3097" s="26" t="str">
        <f ca="1">IFERROR(__xludf.DUMMYFUNCTION("""COMPUTED_VALUE"""),"New")</f>
        <v>New</v>
      </c>
      <c r="F3097" s="72">
        <v>52</v>
      </c>
      <c r="G3097" s="72">
        <v>4036</v>
      </c>
      <c r="P3097" s="26"/>
    </row>
    <row r="3098" spans="1:16" ht="14.5">
      <c r="A3098" s="3" t="s">
        <v>255</v>
      </c>
      <c r="B3098" s="12" t="s">
        <v>2842</v>
      </c>
      <c r="C3098" s="46" t="s">
        <v>6925</v>
      </c>
      <c r="D3098" s="41" t="str">
        <f ca="1">IFERROR(__xludf.DUMMYFUNCTION("IFERROR(ARRAYFORMULA(REGEXEXTRACT(C3098,""^(?:https?:\/\/)?(?:[^@\n]+@)?(?:www\.)?([^:\/\n]+)"")),"""")"),"everafterinthewoods.com")</f>
        <v>everafterinthewoods.com</v>
      </c>
      <c r="E3098" s="26" t="str">
        <f ca="1">IFERROR(__xludf.DUMMYFUNCTION("""COMPUTED_VALUE"""),"New")</f>
        <v>New</v>
      </c>
      <c r="F3098" s="72">
        <v>48</v>
      </c>
      <c r="G3098" s="72">
        <v>14943</v>
      </c>
      <c r="P3098" s="26"/>
    </row>
    <row r="3099" spans="1:16" ht="14.5">
      <c r="A3099" s="3" t="s">
        <v>255</v>
      </c>
      <c r="B3099" s="12" t="s">
        <v>2842</v>
      </c>
      <c r="C3099" s="46" t="s">
        <v>6926</v>
      </c>
      <c r="D3099" s="41" t="str">
        <f ca="1">IFERROR(__xludf.DUMMYFUNCTION("IFERROR(ARRAYFORMULA(REGEXEXTRACT(C3099,""^(?:https?:\/\/)?(?:[^@\n]+@)?(?:www\.)?([^:\/\n]+)"")),"""")"),"lwccareers.lindsey.edu")</f>
        <v>lwccareers.lindsey.edu</v>
      </c>
      <c r="E3099" s="26" t="str">
        <f ca="1">IFERROR(__xludf.DUMMYFUNCTION("""COMPUTED_VALUE"""),"New")</f>
        <v>New</v>
      </c>
      <c r="F3099" s="72">
        <v>63</v>
      </c>
      <c r="G3099" s="72">
        <v>7398</v>
      </c>
      <c r="P3099" s="26"/>
    </row>
    <row r="3100" spans="1:16" ht="14.5" hidden="1">
      <c r="A3100" s="3" t="s">
        <v>255</v>
      </c>
      <c r="B3100" s="12" t="s">
        <v>2842</v>
      </c>
      <c r="C3100" s="46" t="s">
        <v>6927</v>
      </c>
      <c r="D3100" s="41" t="str">
        <f ca="1">IFERROR(__xludf.DUMMYFUNCTION("IFERROR(ARRAYFORMULA(REGEXEXTRACT(C3100,""^(?:https?:\/\/)?(?:[^@\n]+@)?(?:www\.)?([^:\/\n]+)"")),"""")"),"sflcn.com")</f>
        <v>sflcn.com</v>
      </c>
      <c r="E3100" s="26" t="str">
        <f ca="1">IFERROR(__xludf.DUMMYFUNCTION("""COMPUTED_VALUE"""),"Already Exists")</f>
        <v>Already Exists</v>
      </c>
      <c r="F3100" s="72">
        <v>60</v>
      </c>
      <c r="G3100" s="72">
        <v>1609</v>
      </c>
      <c r="P3100" s="26"/>
    </row>
    <row r="3101" spans="1:16" ht="14.5">
      <c r="A3101" s="3" t="s">
        <v>255</v>
      </c>
      <c r="B3101" s="17" t="s">
        <v>2844</v>
      </c>
      <c r="C3101" s="46" t="s">
        <v>6928</v>
      </c>
      <c r="D3101" s="41" t="str">
        <f ca="1">IFERROR(__xludf.DUMMYFUNCTION("IFERROR(ARRAYFORMULA(REGEXEXTRACT(C3101,""^(?:https?:\/\/)?(?:[^@\n]+@)?(?:www\.)?([^:\/\n]+)"")),"""")"),"nursing.psu.edu")</f>
        <v>nursing.psu.edu</v>
      </c>
      <c r="E3101" s="26" t="str">
        <f ca="1">IFERROR(__xludf.DUMMYFUNCTION("""COMPUTED_VALUE"""),"New")</f>
        <v>New</v>
      </c>
      <c r="F3101" s="72">
        <v>91</v>
      </c>
      <c r="G3101" s="72">
        <v>1755505</v>
      </c>
      <c r="P3101" s="26"/>
    </row>
    <row r="3102" spans="1:16" ht="14.5">
      <c r="A3102" s="3" t="s">
        <v>255</v>
      </c>
      <c r="B3102" s="12" t="s">
        <v>2844</v>
      </c>
      <c r="C3102" s="46" t="s">
        <v>6929</v>
      </c>
      <c r="D3102" s="41" t="str">
        <f ca="1">IFERROR(__xludf.DUMMYFUNCTION("IFERROR(ARRAYFORMULA(REGEXEXTRACT(C3102,""^(?:https?:\/\/)?(?:[^@\n]+@)?(?:www\.)?([^:\/\n]+)"")),"""")"),"avalaunchmedia.com")</f>
        <v>avalaunchmedia.com</v>
      </c>
      <c r="E3102" s="26" t="str">
        <f ca="1">IFERROR(__xludf.DUMMYFUNCTION("""COMPUTED_VALUE"""),"New")</f>
        <v>New</v>
      </c>
      <c r="F3102" s="72">
        <v>52</v>
      </c>
      <c r="G3102" s="72">
        <v>5514</v>
      </c>
      <c r="P3102" s="26"/>
    </row>
    <row r="3103" spans="1:16" ht="14.5">
      <c r="A3103" s="3" t="s">
        <v>255</v>
      </c>
      <c r="B3103" s="12" t="s">
        <v>2844</v>
      </c>
      <c r="C3103" s="46" t="s">
        <v>6930</v>
      </c>
      <c r="D3103" s="41" t="str">
        <f ca="1">IFERROR(__xludf.DUMMYFUNCTION("IFERROR(ARRAYFORMULA(REGEXEXTRACT(C3103,""^(?:https?:\/\/)?(?:[^@\n]+@)?(?:www\.)?([^:\/\n]+)"")),"""")"),"wsutech.edu")</f>
        <v>wsutech.edu</v>
      </c>
      <c r="E3103" s="26" t="str">
        <f ca="1">IFERROR(__xludf.DUMMYFUNCTION("""COMPUTED_VALUE"""),"New")</f>
        <v>New</v>
      </c>
      <c r="F3103" s="72">
        <v>58</v>
      </c>
      <c r="G3103" s="72">
        <v>11299</v>
      </c>
      <c r="P3103" s="26"/>
    </row>
    <row r="3104" spans="1:16" ht="14.5" hidden="1">
      <c r="A3104" s="3" t="s">
        <v>255</v>
      </c>
      <c r="B3104" s="12" t="s">
        <v>2844</v>
      </c>
      <c r="C3104" s="46" t="s">
        <v>6931</v>
      </c>
      <c r="D3104" s="41" t="str">
        <f ca="1">IFERROR(__xludf.DUMMYFUNCTION("IFERROR(ARRAYFORMULA(REGEXEXTRACT(C3104,""^(?:https?:\/\/)?(?:[^@\n]+@)?(?:www\.)?([^:\/\n]+)"")),"""")"),"we-heart.com")</f>
        <v>we-heart.com</v>
      </c>
      <c r="E3104" s="26" t="str">
        <f ca="1">IFERROR(__xludf.DUMMYFUNCTION("""COMPUTED_VALUE"""),"Already Exists")</f>
        <v>Already Exists</v>
      </c>
      <c r="F3104" s="72">
        <v>71</v>
      </c>
      <c r="G3104" s="72">
        <v>1962</v>
      </c>
      <c r="P3104" s="26"/>
    </row>
    <row r="3105" spans="1:16" ht="14.5" hidden="1">
      <c r="A3105" s="3" t="s">
        <v>255</v>
      </c>
      <c r="B3105" s="12" t="s">
        <v>2844</v>
      </c>
      <c r="C3105" s="47" t="s">
        <v>6932</v>
      </c>
      <c r="D3105" s="41" t="str">
        <f ca="1">IFERROR(__xludf.DUMMYFUNCTION("IFERROR(ARRAYFORMULA(REGEXEXTRACT(C3105,""^(?:https?:\/\/)?(?:[^@\n]+@)?(?:www\.)?([^:\/\n]+)"")),"""")"),"famousparenting.com")</f>
        <v>famousparenting.com</v>
      </c>
      <c r="E3105" s="26" t="str">
        <f ca="1">IFERROR(__xludf.DUMMYFUNCTION("""COMPUTED_VALUE"""),"Already Exists")</f>
        <v>Already Exists</v>
      </c>
      <c r="F3105" s="72">
        <v>71</v>
      </c>
      <c r="G3105" s="72">
        <v>53107</v>
      </c>
      <c r="J3105" s="27" t="s">
        <v>6933</v>
      </c>
      <c r="K3105" s="27" t="s">
        <v>3756</v>
      </c>
      <c r="L3105" s="112"/>
      <c r="M3105" s="27" t="s">
        <v>3117</v>
      </c>
      <c r="N3105" s="48">
        <v>46057</v>
      </c>
      <c r="P3105" s="26"/>
    </row>
    <row r="3106" spans="1:16" ht="14.5">
      <c r="A3106" s="3" t="s">
        <v>255</v>
      </c>
      <c r="B3106" s="12" t="s">
        <v>2844</v>
      </c>
      <c r="C3106" s="46" t="s">
        <v>6934</v>
      </c>
      <c r="D3106" s="41" t="str">
        <f ca="1">IFERROR(__xludf.DUMMYFUNCTION("IFERROR(ARRAYFORMULA(REGEXEXTRACT(C3106,""^(?:https?:\/\/)?(?:[^@\n]+@)?(?:www\.)?([^:\/\n]+)"")),"""")"),"dream.utah.edu")</f>
        <v>dream.utah.edu</v>
      </c>
      <c r="E3106" s="26" t="str">
        <f ca="1">IFERROR(__xludf.DUMMYFUNCTION("""COMPUTED_VALUE"""),"New")</f>
        <v>New</v>
      </c>
      <c r="F3106" s="72">
        <v>89</v>
      </c>
      <c r="G3106" s="72">
        <v>2019003</v>
      </c>
      <c r="P3106" s="26"/>
    </row>
    <row r="3107" spans="1:16" ht="14.5">
      <c r="A3107" s="3" t="s">
        <v>255</v>
      </c>
      <c r="B3107" s="12" t="s">
        <v>2844</v>
      </c>
      <c r="C3107" s="46" t="s">
        <v>6935</v>
      </c>
      <c r="D3107" s="41" t="str">
        <f ca="1">IFERROR(__xludf.DUMMYFUNCTION("IFERROR(ARRAYFORMULA(REGEXEXTRACT(C3107,""^(?:https?:\/\/)?(?:[^@\n]+@)?(?:www\.)?([^:\/\n]+)"")),"""")"),"lsc.edu")</f>
        <v>lsc.edu</v>
      </c>
      <c r="E3107" s="26" t="str">
        <f ca="1">IFERROR(__xludf.DUMMYFUNCTION("""COMPUTED_VALUE"""),"New")</f>
        <v>New</v>
      </c>
      <c r="F3107" s="72">
        <v>47</v>
      </c>
      <c r="G3107" s="72">
        <v>2287</v>
      </c>
      <c r="P3107" s="26"/>
    </row>
    <row r="3108" spans="1:16" ht="14.5" hidden="1">
      <c r="A3108" s="3" t="s">
        <v>255</v>
      </c>
      <c r="B3108" s="12" t="s">
        <v>2844</v>
      </c>
      <c r="C3108" s="46" t="s">
        <v>6936</v>
      </c>
      <c r="D3108" s="41" t="str">
        <f ca="1">IFERROR(__xludf.DUMMYFUNCTION("IFERROR(ARRAYFORMULA(REGEXEXTRACT(C3108,""^(?:https?:\/\/)?(?:[^@\n]+@)?(?:www\.)?([^:\/\n]+)"")),"""")"),"articlesfactory.com")</f>
        <v>articlesfactory.com</v>
      </c>
      <c r="E3108" s="26" t="str">
        <f ca="1">IFERROR(__xludf.DUMMYFUNCTION("""COMPUTED_VALUE"""),"Already Exists")</f>
        <v>Already Exists</v>
      </c>
      <c r="F3108" s="72">
        <v>74</v>
      </c>
      <c r="G3108" s="72">
        <v>1805</v>
      </c>
      <c r="P3108" s="26"/>
    </row>
    <row r="3109" spans="1:16" ht="14.5">
      <c r="A3109" s="3" t="s">
        <v>255</v>
      </c>
      <c r="B3109" s="12" t="s">
        <v>2844</v>
      </c>
      <c r="C3109" s="46" t="s">
        <v>6937</v>
      </c>
      <c r="D3109" s="41" t="str">
        <f ca="1">IFERROR(__xludf.DUMMYFUNCTION("IFERROR(ARRAYFORMULA(REGEXEXTRACT(C3109,""^(?:https?:\/\/)?(?:[^@\n]+@)?(?:www\.)?([^:\/\n]+)"")),"""")"),"transportreviews.com")</f>
        <v>transportreviews.com</v>
      </c>
      <c r="E3109" s="26" t="str">
        <f ca="1">IFERROR(__xludf.DUMMYFUNCTION("""COMPUTED_VALUE"""),"New")</f>
        <v>New</v>
      </c>
      <c r="F3109" s="72">
        <v>65</v>
      </c>
      <c r="G3109" s="72">
        <v>2920</v>
      </c>
      <c r="P3109" s="26"/>
    </row>
    <row r="3110" spans="1:16" ht="14.5">
      <c r="A3110" s="3" t="s">
        <v>255</v>
      </c>
      <c r="B3110" s="12" t="s">
        <v>2844</v>
      </c>
      <c r="C3110" s="46" t="s">
        <v>6938</v>
      </c>
      <c r="D3110" s="41" t="str">
        <f ca="1">IFERROR(__xludf.DUMMYFUNCTION("IFERROR(ARRAYFORMULA(REGEXEXTRACT(C3110,""^(?:https?:\/\/)?(?:[^@\n]+@)?(?:www\.)?([^:\/\n]+)"")),"""")"),"directory.about.us")</f>
        <v>directory.about.us</v>
      </c>
      <c r="E3110" s="26" t="str">
        <f ca="1">IFERROR(__xludf.DUMMYFUNCTION("""COMPUTED_VALUE"""),"New")</f>
        <v>New</v>
      </c>
      <c r="F3110" s="72">
        <v>77</v>
      </c>
      <c r="G3110" s="72">
        <v>2299</v>
      </c>
      <c r="P3110" s="26"/>
    </row>
    <row r="3111" spans="1:16" ht="14.5">
      <c r="A3111" s="3" t="s">
        <v>255</v>
      </c>
      <c r="B3111" s="12" t="s">
        <v>2844</v>
      </c>
      <c r="C3111" s="46" t="s">
        <v>6939</v>
      </c>
      <c r="D3111" s="41" t="str">
        <f ca="1">IFERROR(__xludf.DUMMYFUNCTION("IFERROR(ARRAYFORMULA(REGEXEXTRACT(C3111,""^(?:https?:\/\/)?(?:[^@\n]+@)?(?:www\.)?([^:\/\n]+)"")),"""")"),"support.spaceshipapp.com")</f>
        <v>support.spaceshipapp.com</v>
      </c>
      <c r="E3111" s="26" t="str">
        <f ca="1">IFERROR(__xludf.DUMMYFUNCTION("""COMPUTED_VALUE"""),"New")</f>
        <v>New</v>
      </c>
      <c r="F3111" s="72">
        <v>48</v>
      </c>
      <c r="G3111" s="72">
        <v>3357</v>
      </c>
      <c r="P3111" s="26"/>
    </row>
    <row r="3112" spans="1:16" ht="14.5" hidden="1">
      <c r="A3112" s="3" t="s">
        <v>255</v>
      </c>
      <c r="B3112" s="12" t="s">
        <v>2844</v>
      </c>
      <c r="C3112" s="46" t="s">
        <v>6940</v>
      </c>
      <c r="D3112" s="41" t="str">
        <f ca="1">IFERROR(__xludf.DUMMYFUNCTION("IFERROR(ARRAYFORMULA(REGEXEXTRACT(C3112,""^(?:https?:\/\/)?(?:[^@\n]+@)?(?:www\.)?([^:\/\n]+)"")),"""")"),"flevy.com")</f>
        <v>flevy.com</v>
      </c>
      <c r="E3112" s="26" t="str">
        <f ca="1">IFERROR(__xludf.DUMMYFUNCTION("""COMPUTED_VALUE"""),"Already Exists")</f>
        <v>Already Exists</v>
      </c>
      <c r="F3112" s="72">
        <v>57</v>
      </c>
      <c r="G3112" s="72">
        <v>4334</v>
      </c>
      <c r="P3112" s="26"/>
    </row>
    <row r="3113" spans="1:16" ht="14.5">
      <c r="A3113" s="3" t="s">
        <v>255</v>
      </c>
      <c r="B3113" s="12" t="s">
        <v>2844</v>
      </c>
      <c r="C3113" s="46" t="s">
        <v>6941</v>
      </c>
      <c r="D3113" s="41" t="str">
        <f ca="1">IFERROR(__xludf.DUMMYFUNCTION("IFERROR(ARRAYFORMULA(REGEXEXTRACT(C3113,""^(?:https?:\/\/)?(?:[^@\n]+@)?(?:www\.)?([^:\/\n]+)"")),"""")"),"test.smartcanucks.ca")</f>
        <v>test.smartcanucks.ca</v>
      </c>
      <c r="E3113" s="26" t="str">
        <f ca="1">IFERROR(__xludf.DUMMYFUNCTION("""COMPUTED_VALUE"""),"New")</f>
        <v>New</v>
      </c>
      <c r="F3113" s="72">
        <v>47</v>
      </c>
      <c r="G3113" s="72">
        <v>447885</v>
      </c>
      <c r="P3113" s="26"/>
    </row>
    <row r="3114" spans="1:16" ht="14.5">
      <c r="A3114" s="3" t="s">
        <v>255</v>
      </c>
      <c r="B3114" s="12" t="s">
        <v>2844</v>
      </c>
      <c r="C3114" s="46" t="s">
        <v>6942</v>
      </c>
      <c r="D3114" s="41" t="str">
        <f ca="1">IFERROR(__xludf.DUMMYFUNCTION("IFERROR(ARRAYFORMULA(REGEXEXTRACT(C3114,""^(?:https?:\/\/)?(?:[^@\n]+@)?(?:www\.)?([^:\/\n]+)"")),"""")"),"carthage.edu")</f>
        <v>carthage.edu</v>
      </c>
      <c r="E3114" s="26" t="str">
        <f ca="1">IFERROR(__xludf.DUMMYFUNCTION("""COMPUTED_VALUE"""),"New")</f>
        <v>New</v>
      </c>
      <c r="F3114" s="72">
        <v>68</v>
      </c>
      <c r="G3114" s="72">
        <v>16914</v>
      </c>
      <c r="P3114" s="26"/>
    </row>
    <row r="3115" spans="1:16" ht="14.5">
      <c r="A3115" s="3" t="s">
        <v>255</v>
      </c>
      <c r="B3115" s="12" t="s">
        <v>2844</v>
      </c>
      <c r="C3115" s="46" t="s">
        <v>6943</v>
      </c>
      <c r="D3115" s="41" t="str">
        <f ca="1">IFERROR(__xludf.DUMMYFUNCTION("IFERROR(ARRAYFORMULA(REGEXEXTRACT(C3115,""^(?:https?:\/\/)?(?:[^@\n]+@)?(?:www\.)?([^:\/\n]+)"")),"""")"),"forums.tetongravity.com")</f>
        <v>forums.tetongravity.com</v>
      </c>
      <c r="E3115" s="26" t="str">
        <f ca="1">IFERROR(__xludf.DUMMYFUNCTION("""COMPUTED_VALUE"""),"New")</f>
        <v>New</v>
      </c>
      <c r="F3115" s="72">
        <v>72</v>
      </c>
      <c r="G3115" s="72">
        <v>30104</v>
      </c>
      <c r="P3115" s="26"/>
    </row>
    <row r="3116" spans="1:16" ht="14.5">
      <c r="A3116" s="3" t="s">
        <v>255</v>
      </c>
      <c r="B3116" s="12" t="s">
        <v>2844</v>
      </c>
      <c r="C3116" s="46" t="s">
        <v>6944</v>
      </c>
      <c r="D3116" s="41" t="str">
        <f ca="1">IFERROR(__xludf.DUMMYFUNCTION("IFERROR(ARRAYFORMULA(REGEXEXTRACT(C3116,""^(?:https?:\/\/)?(?:[^@\n]+@)?(?:www\.)?([^:\/\n]+)"")),"""")"),"sallie.com")</f>
        <v>sallie.com</v>
      </c>
      <c r="E3116" s="26" t="str">
        <f ca="1">IFERROR(__xludf.DUMMYFUNCTION("""COMPUTED_VALUE"""),"New")</f>
        <v>New</v>
      </c>
      <c r="F3116" s="72">
        <v>74</v>
      </c>
      <c r="G3116" s="72">
        <v>143680</v>
      </c>
      <c r="P3116" s="26"/>
    </row>
    <row r="3117" spans="1:16" ht="14.5">
      <c r="A3117" s="3" t="s">
        <v>255</v>
      </c>
      <c r="B3117" s="12" t="s">
        <v>2844</v>
      </c>
      <c r="C3117" s="46" t="s">
        <v>6945</v>
      </c>
      <c r="D3117" s="41" t="str">
        <f ca="1">IFERROR(__xludf.DUMMYFUNCTION("IFERROR(ARRAYFORMULA(REGEXEXTRACT(C3117,""^(?:https?:\/\/)?(?:[^@\n]+@)?(?:www\.)?([^:\/\n]+)"")),"""")"),"moveforhunger.org")</f>
        <v>moveforhunger.org</v>
      </c>
      <c r="E3117" s="26" t="str">
        <f ca="1">IFERROR(__xludf.DUMMYFUNCTION("""COMPUTED_VALUE"""),"New")</f>
        <v>New</v>
      </c>
      <c r="F3117" s="72">
        <v>71</v>
      </c>
      <c r="G3117" s="72">
        <v>4127</v>
      </c>
      <c r="P3117" s="26"/>
    </row>
    <row r="3118" spans="1:16" ht="14.5">
      <c r="A3118" s="3" t="s">
        <v>255</v>
      </c>
      <c r="B3118" s="12" t="s">
        <v>2844</v>
      </c>
      <c r="C3118" s="46" t="s">
        <v>6946</v>
      </c>
      <c r="D3118" s="41" t="str">
        <f ca="1">IFERROR(__xludf.DUMMYFUNCTION("IFERROR(ARRAYFORMULA(REGEXEXTRACT(C3118,""^(?:https?:\/\/)?(?:[^@\n]+@)?(?:www\.)?([^:\/\n]+)"")),"""")"),"talk3.hairboutique.com")</f>
        <v>talk3.hairboutique.com</v>
      </c>
      <c r="E3118" s="26" t="str">
        <f ca="1">IFERROR(__xludf.DUMMYFUNCTION("""COMPUTED_VALUE"""),"New")</f>
        <v>New</v>
      </c>
      <c r="F3118" s="72">
        <v>42</v>
      </c>
      <c r="G3118" s="72">
        <v>14038</v>
      </c>
      <c r="P3118" s="26"/>
    </row>
    <row r="3119" spans="1:16" ht="14.5">
      <c r="A3119" s="3" t="s">
        <v>255</v>
      </c>
      <c r="B3119" s="12" t="s">
        <v>2844</v>
      </c>
      <c r="C3119" s="46" t="s">
        <v>6947</v>
      </c>
      <c r="D3119" s="41" t="str">
        <f ca="1">IFERROR(__xludf.DUMMYFUNCTION("IFERROR(ARRAYFORMULA(REGEXEXTRACT(C3119,""^(?:https?:\/\/)?(?:[^@\n]+@)?(?:www\.)?([^:\/\n]+)"")),"""")"),"n1a.goexposoftware.com")</f>
        <v>n1a.goexposoftware.com</v>
      </c>
      <c r="E3119" s="26" t="str">
        <f ca="1">IFERROR(__xludf.DUMMYFUNCTION("""COMPUTED_VALUE"""),"New")</f>
        <v>New</v>
      </c>
      <c r="F3119" s="72">
        <v>70</v>
      </c>
      <c r="G3119" s="72">
        <v>4676</v>
      </c>
      <c r="P3119" s="26"/>
    </row>
    <row r="3120" spans="1:16" ht="14.5">
      <c r="A3120" s="3" t="s">
        <v>255</v>
      </c>
      <c r="B3120" s="17" t="s">
        <v>2845</v>
      </c>
      <c r="C3120" s="46" t="s">
        <v>6948</v>
      </c>
      <c r="D3120" s="41" t="str">
        <f ca="1">IFERROR(__xludf.DUMMYFUNCTION("IFERROR(ARRAYFORMULA(REGEXEXTRACT(C3120,""^(?:https?:\/\/)?(?:[^@\n]+@)?(?:www\.)?([^:\/\n]+)"")),"""")"),"homeadvisor.com")</f>
        <v>homeadvisor.com</v>
      </c>
      <c r="E3120" s="26" t="str">
        <f ca="1">IFERROR(__xludf.DUMMYFUNCTION("""COMPUTED_VALUE"""),"New")</f>
        <v>New</v>
      </c>
      <c r="F3120" s="72">
        <v>91</v>
      </c>
      <c r="G3120" s="72">
        <v>194394</v>
      </c>
      <c r="P3120" s="26"/>
    </row>
    <row r="3121" spans="1:16" ht="14.5">
      <c r="A3121" s="3" t="s">
        <v>255</v>
      </c>
      <c r="B3121" s="12" t="s">
        <v>2845</v>
      </c>
      <c r="C3121" s="46" t="s">
        <v>6949</v>
      </c>
      <c r="D3121" s="41" t="str">
        <f ca="1">IFERROR(__xludf.DUMMYFUNCTION("IFERROR(ARRAYFORMULA(REGEXEXTRACT(C3121,""^(?:https?:\/\/)?(?:[^@\n]+@)?(?:www\.)?([^:\/\n]+)"")),"""")"),"bucketlistrewards.com")</f>
        <v>bucketlistrewards.com</v>
      </c>
      <c r="E3121" s="26" t="str">
        <f ca="1">IFERROR(__xludf.DUMMYFUNCTION("""COMPUTED_VALUE"""),"New")</f>
        <v>New</v>
      </c>
      <c r="F3121" s="72">
        <v>64</v>
      </c>
      <c r="G3121" s="72">
        <v>18903</v>
      </c>
      <c r="P3121" s="26"/>
    </row>
    <row r="3122" spans="1:16" ht="14.5">
      <c r="A3122" s="3" t="s">
        <v>255</v>
      </c>
      <c r="B3122" s="12" t="s">
        <v>2845</v>
      </c>
      <c r="C3122" s="47" t="s">
        <v>6950</v>
      </c>
      <c r="D3122" s="41" t="str">
        <f ca="1">IFERROR(__xludf.DUMMYFUNCTION("IFERROR(ARRAYFORMULA(REGEXEXTRACT(C3122,""^(?:https?:\/\/)?(?:[^@\n]+@)?(?:www\.)?([^:\/\n]+)"")),"""")"),"civillead.com")</f>
        <v>civillead.com</v>
      </c>
      <c r="E3122" s="26" t="str">
        <f ca="1">IFERROR(__xludf.DUMMYFUNCTION("""COMPUTED_VALUE"""),"New")</f>
        <v>New</v>
      </c>
      <c r="F3122" s="72">
        <v>29</v>
      </c>
      <c r="G3122" s="72">
        <v>2350</v>
      </c>
      <c r="I3122" s="27" t="s">
        <v>6951</v>
      </c>
      <c r="J3122" s="27" t="s">
        <v>6952</v>
      </c>
      <c r="K3122" s="27" t="s">
        <v>4291</v>
      </c>
      <c r="L3122" s="112"/>
      <c r="M3122" s="27" t="s">
        <v>3117</v>
      </c>
      <c r="N3122" s="48">
        <v>46057</v>
      </c>
      <c r="P3122" s="27" t="s">
        <v>3201</v>
      </c>
    </row>
    <row r="3123" spans="1:16" ht="14.5">
      <c r="A3123" s="3" t="s">
        <v>255</v>
      </c>
      <c r="B3123" s="12" t="s">
        <v>2845</v>
      </c>
      <c r="C3123" s="46" t="s">
        <v>6953</v>
      </c>
      <c r="D3123" s="41" t="str">
        <f ca="1">IFERROR(__xludf.DUMMYFUNCTION("IFERROR(ARRAYFORMULA(REGEXEXTRACT(C3123,""^(?:https?:\/\/)?(?:[^@\n]+@)?(?:www\.)?([^:\/\n]+)"")),"""")"),"koriathome.com")</f>
        <v>koriathome.com</v>
      </c>
      <c r="E3123" s="26" t="str">
        <f ca="1">IFERROR(__xludf.DUMMYFUNCTION("""COMPUTED_VALUE"""),"New")</f>
        <v>New</v>
      </c>
      <c r="F3123" s="72">
        <v>39</v>
      </c>
      <c r="G3123" s="72">
        <v>1166</v>
      </c>
      <c r="P3123" s="26"/>
    </row>
    <row r="3124" spans="1:16" ht="14.5">
      <c r="A3124" s="3" t="s">
        <v>255</v>
      </c>
      <c r="B3124" s="12" t="s">
        <v>2845</v>
      </c>
      <c r="C3124" s="46" t="s">
        <v>6954</v>
      </c>
      <c r="D3124" s="41" t="str">
        <f ca="1">IFERROR(__xludf.DUMMYFUNCTION("IFERROR(ARRAYFORMULA(REGEXEXTRACT(C3124,""^(?:https?:\/\/)?(?:[^@\n]+@)?(?:www\.)?([^:\/\n]+)"")),"""")"),"homepros.com")</f>
        <v>homepros.com</v>
      </c>
      <c r="E3124" s="26" t="str">
        <f ca="1">IFERROR(__xludf.DUMMYFUNCTION("""COMPUTED_VALUE"""),"New")</f>
        <v>New</v>
      </c>
      <c r="F3124" s="72">
        <v>24</v>
      </c>
      <c r="G3124" s="72">
        <v>2603</v>
      </c>
      <c r="P3124" s="26"/>
    </row>
    <row r="3125" spans="1:16" ht="14.5">
      <c r="A3125" s="3" t="s">
        <v>255</v>
      </c>
      <c r="B3125" s="12" t="s">
        <v>2845</v>
      </c>
      <c r="C3125" s="46" t="s">
        <v>6955</v>
      </c>
      <c r="D3125" s="41" t="str">
        <f ca="1">IFERROR(__xludf.DUMMYFUNCTION("IFERROR(ARRAYFORMULA(REGEXEXTRACT(C3125,""^(?:https?:\/\/)?(?:[^@\n]+@)?(?:www\.)?([^:\/\n]+)"")),"""")"),"repcolite.com")</f>
        <v>repcolite.com</v>
      </c>
      <c r="E3125" s="26" t="str">
        <f ca="1">IFERROR(__xludf.DUMMYFUNCTION("""COMPUTED_VALUE"""),"New")</f>
        <v>New</v>
      </c>
      <c r="F3125" s="72">
        <v>30</v>
      </c>
      <c r="G3125" s="72">
        <v>1432</v>
      </c>
      <c r="P3125" s="26"/>
    </row>
    <row r="3126" spans="1:16" ht="14.5" hidden="1">
      <c r="A3126" s="3" t="s">
        <v>255</v>
      </c>
      <c r="B3126" s="17" t="s">
        <v>2847</v>
      </c>
      <c r="C3126" s="46" t="s">
        <v>6956</v>
      </c>
      <c r="D3126" s="41" t="str">
        <f ca="1">IFERROR(__xludf.DUMMYFUNCTION("IFERROR(ARRAYFORMULA(REGEXEXTRACT(C3126,""^(?:https?:\/\/)?(?:[^@\n]+@)?(?:www\.)?([^:\/\n]+)"")),"""")"),"ocnjdaily.com")</f>
        <v>ocnjdaily.com</v>
      </c>
      <c r="E3126" s="26" t="str">
        <f ca="1">IFERROR(__xludf.DUMMYFUNCTION("""COMPUTED_VALUE"""),"Already Exists")</f>
        <v>Already Exists</v>
      </c>
      <c r="F3126" s="72">
        <v>67</v>
      </c>
      <c r="G3126" s="72">
        <v>6691</v>
      </c>
      <c r="P3126" s="26"/>
    </row>
    <row r="3127" spans="1:16" ht="14.5" hidden="1">
      <c r="A3127" s="3" t="s">
        <v>255</v>
      </c>
      <c r="B3127" s="12" t="s">
        <v>2847</v>
      </c>
      <c r="C3127" s="47" t="s">
        <v>6957</v>
      </c>
      <c r="D3127" s="41" t="str">
        <f ca="1">IFERROR(__xludf.DUMMYFUNCTION("IFERROR(ARRAYFORMULA(REGEXEXTRACT(C3127,""^(?:https?:\/\/)?(?:[^@\n]+@)?(?:www\.)?([^:\/\n]+)"")),"""")"),"celebritymagazine.co.uk")</f>
        <v>celebritymagazine.co.uk</v>
      </c>
      <c r="E3127" s="26" t="str">
        <f ca="1">IFERROR(__xludf.DUMMYFUNCTION("""COMPUTED_VALUE"""),"Already Exists")</f>
        <v>Already Exists</v>
      </c>
      <c r="F3127" s="72">
        <v>40</v>
      </c>
      <c r="G3127" s="72">
        <v>2184</v>
      </c>
      <c r="J3127" s="27" t="s">
        <v>6958</v>
      </c>
      <c r="K3127" s="27" t="s">
        <v>3756</v>
      </c>
      <c r="L3127" s="112"/>
      <c r="M3127" s="27" t="s">
        <v>3117</v>
      </c>
      <c r="N3127" s="48">
        <v>46057</v>
      </c>
      <c r="P3127" s="27" t="s">
        <v>3201</v>
      </c>
    </row>
    <row r="3128" spans="1:16" ht="14.5">
      <c r="A3128" s="3" t="s">
        <v>255</v>
      </c>
      <c r="B3128" s="12" t="s">
        <v>2847</v>
      </c>
      <c r="C3128" s="46" t="s">
        <v>6959</v>
      </c>
      <c r="D3128" s="41" t="str">
        <f ca="1">IFERROR(__xludf.DUMMYFUNCTION("IFERROR(ARRAYFORMULA(REGEXEXTRACT(C3128,""^(?:https?:\/\/)?(?:[^@\n]+@)?(?:www\.)?([^:\/\n]+)"")),"""")"),"sportuniverse.com")</f>
        <v>sportuniverse.com</v>
      </c>
      <c r="E3128" s="26" t="str">
        <f ca="1">IFERROR(__xludf.DUMMYFUNCTION("""COMPUTED_VALUE"""),"New")</f>
        <v>New</v>
      </c>
      <c r="F3128" s="72">
        <v>33</v>
      </c>
      <c r="G3128" s="72">
        <v>5915</v>
      </c>
      <c r="P3128" s="26"/>
    </row>
    <row r="3129" spans="1:16" ht="14.5" hidden="1">
      <c r="A3129" s="3" t="s">
        <v>255</v>
      </c>
      <c r="B3129" s="12" t="s">
        <v>2847</v>
      </c>
      <c r="C3129" s="47" t="s">
        <v>6960</v>
      </c>
      <c r="D3129" s="41" t="str">
        <f ca="1">IFERROR(__xludf.DUMMYFUNCTION("IFERROR(ARRAYFORMULA(REGEXEXTRACT(C3129,""^(?:https?:\/\/)?(?:[^@\n]+@)?(?:www\.)?([^:\/\n]+)"")),"""")"),"uknewspulse.co.uk")</f>
        <v>uknewspulse.co.uk</v>
      </c>
      <c r="E3129" s="26" t="str">
        <f ca="1">IFERROR(__xludf.DUMMYFUNCTION("""COMPUTED_VALUE"""),"Already Exists")</f>
        <v>Already Exists</v>
      </c>
      <c r="F3129" s="72">
        <v>50</v>
      </c>
      <c r="G3129" s="72">
        <v>2324</v>
      </c>
      <c r="J3129" s="27" t="s">
        <v>6961</v>
      </c>
      <c r="K3129" s="27" t="s">
        <v>3756</v>
      </c>
      <c r="L3129" s="112"/>
      <c r="M3129" s="27" t="s">
        <v>3117</v>
      </c>
      <c r="N3129" s="48">
        <v>46057</v>
      </c>
      <c r="P3129" s="27" t="s">
        <v>3201</v>
      </c>
    </row>
    <row r="3130" spans="1:16" ht="14.5">
      <c r="A3130" s="3" t="s">
        <v>255</v>
      </c>
      <c r="B3130" s="12" t="s">
        <v>2847</v>
      </c>
      <c r="C3130" s="46" t="s">
        <v>6962</v>
      </c>
      <c r="D3130" s="41" t="str">
        <f ca="1">IFERROR(__xludf.DUMMYFUNCTION("IFERROR(ARRAYFORMULA(REGEXEXTRACT(C3130,""^(?:https?:\/\/)?(?:[^@\n]+@)?(?:www\.)?([^:\/\n]+)"")),"""")"),"theconsumersfeedback.com")</f>
        <v>theconsumersfeedback.com</v>
      </c>
      <c r="E3130" s="26" t="str">
        <f ca="1">IFERROR(__xludf.DUMMYFUNCTION("""COMPUTED_VALUE"""),"New")</f>
        <v>New</v>
      </c>
      <c r="F3130" s="72">
        <v>28</v>
      </c>
      <c r="G3130" s="72">
        <v>3741</v>
      </c>
      <c r="P3130" s="26"/>
    </row>
    <row r="3131" spans="1:16" ht="14.5">
      <c r="A3131" s="3" t="s">
        <v>255</v>
      </c>
      <c r="B3131" s="12" t="s">
        <v>2847</v>
      </c>
      <c r="C3131" s="46" t="s">
        <v>6963</v>
      </c>
      <c r="D3131" s="41" t="str">
        <f ca="1">IFERROR(__xludf.DUMMYFUNCTION("IFERROR(ARRAYFORMULA(REGEXEXTRACT(C3131,""^(?:https?:\/\/)?(?:[^@\n]+@)?(?:www\.)?([^:\/\n]+)"")),"""")"),"qoutermenia.com")</f>
        <v>qoutermenia.com</v>
      </c>
      <c r="E3131" s="26" t="str">
        <f ca="1">IFERROR(__xludf.DUMMYFUNCTION("""COMPUTED_VALUE"""),"New")</f>
        <v>New</v>
      </c>
      <c r="F3131" s="72">
        <v>71</v>
      </c>
      <c r="G3131" s="72">
        <v>22149</v>
      </c>
      <c r="P3131" s="26"/>
    </row>
    <row r="3132" spans="1:16" ht="14.5">
      <c r="A3132" s="3" t="s">
        <v>255</v>
      </c>
      <c r="B3132" s="12" t="s">
        <v>2847</v>
      </c>
      <c r="C3132" s="46" t="s">
        <v>6964</v>
      </c>
      <c r="D3132" s="41" t="str">
        <f ca="1">IFERROR(__xludf.DUMMYFUNCTION("IFERROR(ARRAYFORMULA(REGEXEXTRACT(C3132,""^(?:https?:\/\/)?(?:[^@\n]+@)?(?:www\.)?([^:\/\n]+)"")),"""")"),"fourmagazine.co.uk")</f>
        <v>fourmagazine.co.uk</v>
      </c>
      <c r="E3132" s="26" t="str">
        <f ca="1">IFERROR(__xludf.DUMMYFUNCTION("""COMPUTED_VALUE"""),"New")</f>
        <v>New</v>
      </c>
      <c r="F3132" s="72">
        <v>67</v>
      </c>
      <c r="G3132" s="72">
        <v>2038</v>
      </c>
      <c r="P3132" s="26"/>
    </row>
    <row r="3133" spans="1:16" ht="14.5">
      <c r="A3133" s="3" t="s">
        <v>255</v>
      </c>
      <c r="B3133" s="12" t="s">
        <v>2847</v>
      </c>
      <c r="C3133" s="49" t="s">
        <v>6965</v>
      </c>
      <c r="D3133" s="41" t="str">
        <f ca="1">IFERROR(__xludf.DUMMYFUNCTION("IFERROR(ARRAYFORMULA(REGEXEXTRACT(C3133,""^(?:https?:\/\/)?(?:[^@\n]+@)?(?:www\.)?([^:\/\n]+)"")),"""")"),"smaestimating.com")</f>
        <v>smaestimating.com</v>
      </c>
      <c r="E3133" s="26" t="str">
        <f ca="1">IFERROR(__xludf.DUMMYFUNCTION("""COMPUTED_VALUE"""),"New")</f>
        <v>New</v>
      </c>
      <c r="F3133" s="72">
        <v>28</v>
      </c>
      <c r="G3133" s="72">
        <v>4297</v>
      </c>
      <c r="J3133" s="27" t="s">
        <v>6966</v>
      </c>
      <c r="K3133" s="27" t="s">
        <v>4291</v>
      </c>
      <c r="L3133" s="112"/>
      <c r="M3133" s="27" t="s">
        <v>3117</v>
      </c>
      <c r="N3133" s="48">
        <v>46057</v>
      </c>
      <c r="P3133" s="26"/>
    </row>
    <row r="3134" spans="1:16" ht="14.5">
      <c r="A3134" s="3" t="s">
        <v>255</v>
      </c>
      <c r="B3134" s="12" t="s">
        <v>2847</v>
      </c>
      <c r="C3134" s="46" t="s">
        <v>6967</v>
      </c>
      <c r="D3134" s="41" t="str">
        <f ca="1">IFERROR(__xludf.DUMMYFUNCTION("IFERROR(ARRAYFORMULA(REGEXEXTRACT(C3134,""^(?:https?:\/\/)?(?:[^@\n]+@)?(?:www\.)?([^:\/\n]+)"")),"""")"),"boringmagazine.net")</f>
        <v>boringmagazine.net</v>
      </c>
      <c r="E3134" s="26" t="str">
        <f ca="1">IFERROR(__xludf.DUMMYFUNCTION("""COMPUTED_VALUE"""),"New")</f>
        <v>New</v>
      </c>
      <c r="F3134" s="72">
        <v>54</v>
      </c>
      <c r="G3134" s="72">
        <v>13748</v>
      </c>
      <c r="J3134" s="27" t="s">
        <v>6968</v>
      </c>
      <c r="K3134" s="27" t="s">
        <v>3756</v>
      </c>
      <c r="L3134" s="112"/>
      <c r="M3134" s="27" t="s">
        <v>3117</v>
      </c>
      <c r="N3134" s="48">
        <v>46057</v>
      </c>
      <c r="P3134" s="26"/>
    </row>
    <row r="3135" spans="1:16" ht="14.5">
      <c r="A3135" s="3" t="s">
        <v>255</v>
      </c>
      <c r="B3135" s="12" t="s">
        <v>2847</v>
      </c>
      <c r="C3135" s="46" t="s">
        <v>6969</v>
      </c>
      <c r="D3135" s="41" t="str">
        <f ca="1">IFERROR(__xludf.DUMMYFUNCTION("IFERROR(ARRAYFORMULA(REGEXEXTRACT(C3135,""^(?:https?:\/\/)?(?:[^@\n]+@)?(?:www\.)?([^:\/\n]+)"")),"""")"),"educa.jcyl.es")</f>
        <v>educa.jcyl.es</v>
      </c>
      <c r="E3135" s="26" t="str">
        <f ca="1">IFERROR(__xludf.DUMMYFUNCTION("""COMPUTED_VALUE"""),"New")</f>
        <v>New</v>
      </c>
      <c r="F3135" s="72">
        <v>83</v>
      </c>
      <c r="G3135" s="72">
        <v>774172</v>
      </c>
      <c r="P3135" s="26"/>
    </row>
    <row r="3136" spans="1:16" ht="14.5">
      <c r="A3136" s="3" t="s">
        <v>255</v>
      </c>
      <c r="B3136" s="12" t="s">
        <v>2847</v>
      </c>
      <c r="C3136" s="46" t="s">
        <v>6970</v>
      </c>
      <c r="D3136" s="41" t="str">
        <f ca="1">IFERROR(__xludf.DUMMYFUNCTION("IFERROR(ARRAYFORMULA(REGEXEXTRACT(C3136,""^(?:https?:\/\/)?(?:[^@\n]+@)?(?:www\.)?([^:\/\n]+)"")),"""")"),"godchild.keenspot.com")</f>
        <v>godchild.keenspot.com</v>
      </c>
      <c r="E3136" s="26" t="str">
        <f ca="1">IFERROR(__xludf.DUMMYFUNCTION("""COMPUTED_VALUE"""),"New")</f>
        <v>New</v>
      </c>
      <c r="F3136" s="72">
        <v>66</v>
      </c>
      <c r="G3136" s="72">
        <v>12983</v>
      </c>
      <c r="P3136" s="26"/>
    </row>
    <row r="3137" spans="1:16" ht="14.5">
      <c r="A3137" s="3" t="s">
        <v>255</v>
      </c>
      <c r="B3137" s="12" t="s">
        <v>2847</v>
      </c>
      <c r="C3137" s="46" t="s">
        <v>6971</v>
      </c>
      <c r="D3137" s="41" t="str">
        <f ca="1">IFERROR(__xludf.DUMMYFUNCTION("IFERROR(ARRAYFORMULA(REGEXEXTRACT(C3137,""^(?:https?:\/\/)?(?:[^@\n]+@)?(?:www\.)?([^:\/\n]+)"")),"""")"),"articleted.com")</f>
        <v>articleted.com</v>
      </c>
      <c r="E3137" s="26" t="str">
        <f ca="1">IFERROR(__xludf.DUMMYFUNCTION("""COMPUTED_VALUE"""),"New")</f>
        <v>New</v>
      </c>
      <c r="F3137" s="72">
        <v>59</v>
      </c>
      <c r="G3137" s="72">
        <v>1884</v>
      </c>
      <c r="P3137" s="26"/>
    </row>
    <row r="3138" spans="1:16" ht="14.5">
      <c r="A3138" s="3" t="s">
        <v>255</v>
      </c>
      <c r="B3138" s="12" t="s">
        <v>2847</v>
      </c>
      <c r="C3138" s="46" t="s">
        <v>6972</v>
      </c>
      <c r="D3138" s="41" t="str">
        <f ca="1">IFERROR(__xludf.DUMMYFUNCTION("IFERROR(ARRAYFORMULA(REGEXEXTRACT(C3138,""^(?:https?:\/\/)?(?:[^@\n]+@)?(?:www\.)?([^:\/\n]+)"")),"""")"),"reviewadda.com")</f>
        <v>reviewadda.com</v>
      </c>
      <c r="E3138" s="26" t="str">
        <f ca="1">IFERROR(__xludf.DUMMYFUNCTION("""COMPUTED_VALUE"""),"New")</f>
        <v>New</v>
      </c>
      <c r="F3138" s="72">
        <v>28</v>
      </c>
      <c r="G3138" s="72">
        <v>3746</v>
      </c>
      <c r="P3138" s="26"/>
    </row>
    <row r="3139" spans="1:16" ht="14.5">
      <c r="A3139" s="3" t="s">
        <v>255</v>
      </c>
      <c r="B3139" s="12" t="s">
        <v>2847</v>
      </c>
      <c r="C3139" s="46" t="s">
        <v>6973</v>
      </c>
      <c r="D3139" s="41" t="str">
        <f ca="1">IFERROR(__xludf.DUMMYFUNCTION("IFERROR(ARRAYFORMULA(REGEXEXTRACT(C3139,""^(?:https?:\/\/)?(?:[^@\n]+@)?(?:www\.)?([^:\/\n]+)"")),"""")"),"steviejackson.alboompro.com")</f>
        <v>steviejackson.alboompro.com</v>
      </c>
      <c r="E3139" s="26" t="str">
        <f ca="1">IFERROR(__xludf.DUMMYFUNCTION("""COMPUTED_VALUE"""),"New")</f>
        <v>New</v>
      </c>
      <c r="F3139" s="72">
        <v>82</v>
      </c>
      <c r="G3139" s="72">
        <v>34356</v>
      </c>
      <c r="P3139" s="26"/>
    </row>
    <row r="3140" spans="1:16" ht="14.5">
      <c r="A3140" s="3" t="s">
        <v>255</v>
      </c>
      <c r="B3140" s="12" t="s">
        <v>2847</v>
      </c>
      <c r="C3140" s="46" t="s">
        <v>6974</v>
      </c>
      <c r="D3140" s="41" t="str">
        <f ca="1">IFERROR(__xludf.DUMMYFUNCTION("IFERROR(ARRAYFORMULA(REGEXEXTRACT(C3140,""^(?:https?:\/\/)?(?:[^@\n]+@)?(?:www\.)?([^:\/\n]+)"")),"""")"),"mytravaly.com")</f>
        <v>mytravaly.com</v>
      </c>
      <c r="E3140" s="26" t="str">
        <f ca="1">IFERROR(__xludf.DUMMYFUNCTION("""COMPUTED_VALUE"""),"New")</f>
        <v>New</v>
      </c>
      <c r="F3140" s="72">
        <v>42</v>
      </c>
      <c r="G3140" s="72">
        <v>7941</v>
      </c>
      <c r="P3140" s="26"/>
    </row>
    <row r="3141" spans="1:16" ht="14.5">
      <c r="A3141" s="3" t="s">
        <v>255</v>
      </c>
      <c r="B3141" s="12" t="s">
        <v>2847</v>
      </c>
      <c r="C3141" s="46" t="s">
        <v>6975</v>
      </c>
      <c r="D3141" s="41" t="str">
        <f ca="1">IFERROR(__xludf.DUMMYFUNCTION("IFERROR(ARRAYFORMULA(REGEXEXTRACT(C3141,""^(?:https?:\/\/)?(?:[^@\n]+@)?(?:www\.)?([^:\/\n]+)"")),"""")"),"concretesubmarine.activeboard.com")</f>
        <v>concretesubmarine.activeboard.com</v>
      </c>
      <c r="E3141" s="26" t="str">
        <f ca="1">IFERROR(__xludf.DUMMYFUNCTION("""COMPUTED_VALUE"""),"New")</f>
        <v>New</v>
      </c>
      <c r="F3141" s="72">
        <v>70</v>
      </c>
      <c r="G3141" s="72">
        <v>32154</v>
      </c>
      <c r="P3141" s="26"/>
    </row>
    <row r="3142" spans="1:16" ht="14.5">
      <c r="A3142" s="3" t="s">
        <v>255</v>
      </c>
      <c r="B3142" s="12" t="s">
        <v>2847</v>
      </c>
      <c r="C3142" s="46" t="s">
        <v>6976</v>
      </c>
      <c r="D3142" s="41" t="str">
        <f ca="1">IFERROR(__xludf.DUMMYFUNCTION("IFERROR(ARRAYFORMULA(REGEXEXTRACT(C3142,""^(?:https?:\/\/)?(?:[^@\n]+@)?(?:www\.)?([^:\/\n]+)"")),"""")"),"myvipon.com")</f>
        <v>myvipon.com</v>
      </c>
      <c r="E3142" s="26" t="str">
        <f ca="1">IFERROR(__xludf.DUMMYFUNCTION("""COMPUTED_VALUE"""),"New")</f>
        <v>New</v>
      </c>
      <c r="F3142" s="72">
        <v>66</v>
      </c>
      <c r="G3142" s="72">
        <v>12448</v>
      </c>
      <c r="P3142" s="26"/>
    </row>
    <row r="3143" spans="1:16" ht="14.5">
      <c r="A3143" s="3" t="s">
        <v>255</v>
      </c>
      <c r="B3143" s="12" t="s">
        <v>2847</v>
      </c>
      <c r="C3143" s="46" t="s">
        <v>6977</v>
      </c>
      <c r="D3143" s="41" t="str">
        <f ca="1">IFERROR(__xludf.DUMMYFUNCTION("IFERROR(ARRAYFORMULA(REGEXEXTRACT(C3143,""^(?:https?:\/\/)?(?:[^@\n]+@)?(?:www\.)?([^:\/\n]+)"")),"""")"),"armayorista.xprostore.com")</f>
        <v>armayorista.xprostore.com</v>
      </c>
      <c r="E3143" s="26" t="str">
        <f ca="1">IFERROR(__xludf.DUMMYFUNCTION("""COMPUTED_VALUE"""),"New")</f>
        <v>New</v>
      </c>
      <c r="F3143" s="72">
        <v>34</v>
      </c>
      <c r="G3143" s="72">
        <v>2551</v>
      </c>
      <c r="P3143" s="26"/>
    </row>
    <row r="3144" spans="1:16" ht="14.5">
      <c r="A3144" s="3" t="s">
        <v>255</v>
      </c>
      <c r="B3144" s="12" t="s">
        <v>2847</v>
      </c>
      <c r="C3144" s="46" t="s">
        <v>6978</v>
      </c>
      <c r="D3144" s="41" t="str">
        <f ca="1">IFERROR(__xludf.DUMMYFUNCTION("IFERROR(ARRAYFORMULA(REGEXEXTRACT(C3144,""^(?:https?:\/\/)?(?:[^@\n]+@)?(?:www\.)?([^:\/\n]+)"")),"""")"),"members5.boardhost.com")</f>
        <v>members5.boardhost.com</v>
      </c>
      <c r="E3144" s="26" t="str">
        <f ca="1">IFERROR(__xludf.DUMMYFUNCTION("""COMPUTED_VALUE"""),"New")</f>
        <v>New</v>
      </c>
      <c r="F3144" s="72">
        <v>73</v>
      </c>
      <c r="G3144" s="72">
        <v>47746</v>
      </c>
      <c r="P3144" s="26"/>
    </row>
    <row r="3145" spans="1:16" ht="14.5">
      <c r="A3145" s="3" t="s">
        <v>255</v>
      </c>
      <c r="B3145" s="12" t="s">
        <v>2847</v>
      </c>
      <c r="C3145" s="46" t="s">
        <v>6979</v>
      </c>
      <c r="D3145" s="41" t="str">
        <f ca="1">IFERROR(__xludf.DUMMYFUNCTION("IFERROR(ARRAYFORMULA(REGEXEXTRACT(C3145,""^(?:https?:\/\/)?(?:[^@\n]+@)?(?:www\.)?([^:\/\n]+)"")),"""")"),"blog.zamstudios.com")</f>
        <v>blog.zamstudios.com</v>
      </c>
      <c r="E3145" s="26" t="str">
        <f ca="1">IFERROR(__xludf.DUMMYFUNCTION("""COMPUTED_VALUE"""),"New")</f>
        <v>New</v>
      </c>
      <c r="F3145" s="72">
        <v>35</v>
      </c>
      <c r="G3145" s="72">
        <v>5048</v>
      </c>
      <c r="P3145" s="26"/>
    </row>
    <row r="3146" spans="1:16" ht="14.5">
      <c r="A3146" s="3" t="s">
        <v>255</v>
      </c>
      <c r="B3146" s="12" t="s">
        <v>2847</v>
      </c>
      <c r="C3146" s="46" t="s">
        <v>6980</v>
      </c>
      <c r="D3146" s="41" t="str">
        <f ca="1">IFERROR(__xludf.DUMMYFUNCTION("IFERROR(ARRAYFORMULA(REGEXEXTRACT(C3146,""^(?:https?:\/\/)?(?:[^@\n]+@)?(?:www\.)?([^:\/\n]+)"")),"""")"),"sholinkportal.microsoftcrmportals.com")</f>
        <v>sholinkportal.microsoftcrmportals.com</v>
      </c>
      <c r="E3146" s="26" t="str">
        <f ca="1">IFERROR(__xludf.DUMMYFUNCTION("""COMPUTED_VALUE"""),"New")</f>
        <v>New</v>
      </c>
      <c r="F3146" s="72">
        <v>78</v>
      </c>
      <c r="G3146" s="72">
        <v>26215</v>
      </c>
      <c r="P3146" s="26"/>
    </row>
    <row r="3147" spans="1:16" ht="14.5">
      <c r="A3147" s="3" t="s">
        <v>255</v>
      </c>
      <c r="B3147" s="12" t="s">
        <v>2847</v>
      </c>
      <c r="C3147" s="46" t="s">
        <v>6981</v>
      </c>
      <c r="D3147" s="41" t="str">
        <f ca="1">IFERROR(__xludf.DUMMYFUNCTION("IFERROR(ARRAYFORMULA(REGEXEXTRACT(C3147,""^(?:https?:\/\/)?(?:[^@\n]+@)?(?:www\.)?([^:\/\n]+)"")),"""")"),"techbehemoths.com")</f>
        <v>techbehemoths.com</v>
      </c>
      <c r="E3147" s="26" t="str">
        <f ca="1">IFERROR(__xludf.DUMMYFUNCTION("""COMPUTED_VALUE"""),"New")</f>
        <v>New</v>
      </c>
      <c r="F3147" s="72">
        <v>75</v>
      </c>
      <c r="G3147" s="72">
        <v>62422</v>
      </c>
      <c r="P3147" s="26"/>
    </row>
    <row r="3148" spans="1:16" ht="14.5">
      <c r="A3148" s="3" t="s">
        <v>255</v>
      </c>
      <c r="B3148" s="12" t="s">
        <v>2847</v>
      </c>
      <c r="C3148" s="46" t="s">
        <v>6982</v>
      </c>
      <c r="D3148" s="41" t="str">
        <f ca="1">IFERROR(__xludf.DUMMYFUNCTION("IFERROR(ARRAYFORMULA(REGEXEXTRACT(C3148,""^(?:https?:\/\/)?(?:[^@\n]+@)?(?:www\.)?([^:\/\n]+)"")),"""")"),"repack-mechanics.com")</f>
        <v>repack-mechanics.com</v>
      </c>
      <c r="E3148" s="26" t="str">
        <f ca="1">IFERROR(__xludf.DUMMYFUNCTION("""COMPUTED_VALUE"""),"New")</f>
        <v>New</v>
      </c>
      <c r="F3148" s="72">
        <v>25</v>
      </c>
      <c r="G3148" s="72">
        <v>3282</v>
      </c>
      <c r="P3148" s="26"/>
    </row>
    <row r="3149" spans="1:16" ht="14.5">
      <c r="A3149" s="3" t="s">
        <v>255</v>
      </c>
      <c r="B3149" s="12" t="s">
        <v>2847</v>
      </c>
      <c r="C3149" s="46" t="s">
        <v>6983</v>
      </c>
      <c r="D3149" s="41" t="str">
        <f ca="1">IFERROR(__xludf.DUMMYFUNCTION("IFERROR(ARRAYFORMULA(REGEXEXTRACT(C3149,""^(?:https?:\/\/)?(?:[^@\n]+@)?(?:www\.)?([^:\/\n]+)"")),"""")"),"indibloghub.com")</f>
        <v>indibloghub.com</v>
      </c>
      <c r="E3149" s="26" t="str">
        <f ca="1">IFERROR(__xludf.DUMMYFUNCTION("""COMPUTED_VALUE"""),"New")</f>
        <v>New</v>
      </c>
      <c r="F3149" s="72">
        <v>59</v>
      </c>
      <c r="G3149" s="72">
        <v>1059</v>
      </c>
      <c r="P3149" s="26"/>
    </row>
    <row r="3150" spans="1:16" ht="14.5">
      <c r="A3150" s="3" t="s">
        <v>255</v>
      </c>
      <c r="B3150" s="12" t="s">
        <v>2847</v>
      </c>
      <c r="C3150" s="46" t="s">
        <v>6984</v>
      </c>
      <c r="D3150" s="41" t="str">
        <f ca="1">IFERROR(__xludf.DUMMYFUNCTION("IFERROR(ARRAYFORMULA(REGEXEXTRACT(C3150,""^(?:https?:\/\/)?(?:[^@\n]+@)?(?:www\.)?([^:\/\n]+)"")),"""")"),"paidforarticles.in")</f>
        <v>paidforarticles.in</v>
      </c>
      <c r="E3150" s="26" t="str">
        <f ca="1">IFERROR(__xludf.DUMMYFUNCTION("""COMPUTED_VALUE"""),"New")</f>
        <v>New</v>
      </c>
      <c r="F3150" s="72">
        <v>64</v>
      </c>
      <c r="G3150" s="72">
        <v>5652</v>
      </c>
      <c r="P3150" s="26"/>
    </row>
    <row r="3151" spans="1:16" ht="14.5">
      <c r="A3151" s="3" t="s">
        <v>255</v>
      </c>
      <c r="B3151" s="12" t="s">
        <v>2847</v>
      </c>
      <c r="C3151" s="46" t="s">
        <v>6985</v>
      </c>
      <c r="D3151" s="41" t="str">
        <f ca="1">IFERROR(__xludf.DUMMYFUNCTION("IFERROR(ARRAYFORMULA(REGEXEXTRACT(C3151,""^(?:https?:\/\/)?(?:[^@\n]+@)?(?:www\.)?([^:\/\n]+)"")),"""")"),"thaiticketmajor.com")</f>
        <v>thaiticketmajor.com</v>
      </c>
      <c r="E3151" s="26" t="str">
        <f ca="1">IFERROR(__xludf.DUMMYFUNCTION("""COMPUTED_VALUE"""),"New")</f>
        <v>New</v>
      </c>
      <c r="F3151" s="72">
        <v>73</v>
      </c>
      <c r="G3151" s="72">
        <v>142812</v>
      </c>
      <c r="P3151" s="26"/>
    </row>
    <row r="3152" spans="1:16" ht="14.5" hidden="1">
      <c r="A3152" s="3" t="s">
        <v>255</v>
      </c>
      <c r="B3152" s="12" t="s">
        <v>2847</v>
      </c>
      <c r="C3152" s="46" t="s">
        <v>6986</v>
      </c>
      <c r="D3152" s="41" t="str">
        <f ca="1">IFERROR(__xludf.DUMMYFUNCTION("IFERROR(ARRAYFORMULA(REGEXEXTRACT(C3152,""^(?:https?:\/\/)?(?:[^@\n]+@)?(?:www\.)?([^:\/\n]+)"")),"""")"),"ventsmagazine.co.uk")</f>
        <v>ventsmagazine.co.uk</v>
      </c>
      <c r="E3152" s="26" t="str">
        <f ca="1">IFERROR(__xludf.DUMMYFUNCTION("""COMPUTED_VALUE"""),"Already Exists")</f>
        <v>Already Exists</v>
      </c>
      <c r="F3152" s="72">
        <v>66</v>
      </c>
      <c r="G3152" s="72">
        <v>41772</v>
      </c>
      <c r="P3152" s="26"/>
    </row>
    <row r="3153" spans="1:16" ht="14.5" hidden="1">
      <c r="A3153" s="3" t="s">
        <v>255</v>
      </c>
      <c r="B3153" s="12" t="s">
        <v>2847</v>
      </c>
      <c r="C3153" s="49" t="s">
        <v>6987</v>
      </c>
      <c r="D3153" s="41" t="str">
        <f ca="1">IFERROR(__xludf.DUMMYFUNCTION("IFERROR(ARRAYFORMULA(REGEXEXTRACT(C3153,""^(?:https?:\/\/)?(?:[^@\n]+@)?(?:www\.)?([^:\/\n]+)"")),"""")"),"asuffolkmum.co.uk")</f>
        <v>asuffolkmum.co.uk</v>
      </c>
      <c r="E3153" s="26" t="str">
        <f ca="1">IFERROR(__xludf.DUMMYFUNCTION("""COMPUTED_VALUE"""),"Already Exists")</f>
        <v>Already Exists</v>
      </c>
      <c r="F3153" s="72">
        <v>28</v>
      </c>
      <c r="G3153" s="72">
        <v>15365</v>
      </c>
      <c r="I3153" s="27" t="s">
        <v>6988</v>
      </c>
      <c r="J3153" s="27" t="s">
        <v>6989</v>
      </c>
      <c r="K3153" s="27" t="s">
        <v>3756</v>
      </c>
      <c r="L3153" s="112"/>
      <c r="M3153" s="51" t="s">
        <v>3117</v>
      </c>
      <c r="N3153" s="82">
        <v>46058</v>
      </c>
      <c r="P3153" s="26"/>
    </row>
    <row r="3154" spans="1:16" ht="14.5">
      <c r="A3154" s="3" t="s">
        <v>255</v>
      </c>
      <c r="B3154" s="12" t="s">
        <v>2847</v>
      </c>
      <c r="C3154" s="46" t="s">
        <v>6990</v>
      </c>
      <c r="D3154" s="41" t="str">
        <f ca="1">IFERROR(__xludf.DUMMYFUNCTION("IFERROR(ARRAYFORMULA(REGEXEXTRACT(C3154,""^(?:https?:\/\/)?(?:[^@\n]+@)?(?:www\.)?([^:\/\n]+)"")),"""")"),"yoon_aspyn")</f>
        <v>yoon_aspyn</v>
      </c>
      <c r="E3154" s="26" t="str">
        <f ca="1">IFERROR(__xludf.DUMMYFUNCTION("""COMPUTED_VALUE"""),"New")</f>
        <v>New</v>
      </c>
      <c r="F3154" s="72">
        <v>76</v>
      </c>
      <c r="G3154" s="72">
        <v>182406</v>
      </c>
      <c r="P3154" s="26"/>
    </row>
    <row r="3155" spans="1:16" ht="14.5">
      <c r="A3155" s="3" t="s">
        <v>255</v>
      </c>
      <c r="B3155" s="12" t="s">
        <v>2847</v>
      </c>
      <c r="C3155" s="46" t="s">
        <v>6991</v>
      </c>
      <c r="D3155" s="41" t="str">
        <f ca="1">IFERROR(__xludf.DUMMYFUNCTION("IFERROR(ARRAYFORMULA(REGEXEXTRACT(C3155,""^(?:https?:\/\/)?(?:[^@\n]+@)?(?:www\.)?([^:\/\n]+)"")),"""")"),"ezine-articles.com")</f>
        <v>ezine-articles.com</v>
      </c>
      <c r="E3155" s="26" t="str">
        <f ca="1">IFERROR(__xludf.DUMMYFUNCTION("""COMPUTED_VALUE"""),"New")</f>
        <v>New</v>
      </c>
      <c r="F3155" s="72">
        <v>55</v>
      </c>
      <c r="G3155" s="72">
        <v>1397</v>
      </c>
      <c r="P3155" s="26"/>
    </row>
    <row r="3156" spans="1:16" ht="14.5">
      <c r="A3156" s="3" t="s">
        <v>255</v>
      </c>
      <c r="B3156" s="12" t="s">
        <v>2847</v>
      </c>
      <c r="C3156" s="46" t="s">
        <v>6992</v>
      </c>
      <c r="D3156" s="41" t="str">
        <f ca="1">IFERROR(__xludf.DUMMYFUNCTION("IFERROR(ARRAYFORMULA(REGEXEXTRACT(C3156,""^(?:https?:\/\/)?(?:[^@\n]+@)?(?:www\.)?([^:\/\n]+)"")),"""")"),"pigpigmentation.indiemade.com")</f>
        <v>pigpigmentation.indiemade.com</v>
      </c>
      <c r="E3156" s="26" t="str">
        <f ca="1">IFERROR(__xludf.DUMMYFUNCTION("""COMPUTED_VALUE"""),"New")</f>
        <v>New</v>
      </c>
      <c r="F3156" s="72">
        <v>70</v>
      </c>
      <c r="G3156" s="72">
        <v>1152</v>
      </c>
      <c r="P3156" s="26"/>
    </row>
    <row r="3157" spans="1:16" ht="14.5">
      <c r="A3157" s="3" t="s">
        <v>255</v>
      </c>
      <c r="B3157" s="12" t="s">
        <v>2847</v>
      </c>
      <c r="C3157" s="46" t="s">
        <v>6993</v>
      </c>
      <c r="D3157" s="41" t="str">
        <f ca="1">IFERROR(__xludf.DUMMYFUNCTION("IFERROR(ARRAYFORMULA(REGEXEXTRACT(C3157,""^(?:https?:\/\/)?(?:[^@\n]+@)?(?:www\.)?([^:\/\n]+)"")),"""")"),"forum.programosy.pl")</f>
        <v>forum.programosy.pl</v>
      </c>
      <c r="E3157" s="26" t="str">
        <f ca="1">IFERROR(__xludf.DUMMYFUNCTION("""COMPUTED_VALUE"""),"New")</f>
        <v>New</v>
      </c>
      <c r="F3157" s="72">
        <v>61</v>
      </c>
      <c r="G3157" s="72">
        <v>5091</v>
      </c>
      <c r="P3157" s="26"/>
    </row>
    <row r="3158" spans="1:16" ht="14.5">
      <c r="A3158" s="3" t="s">
        <v>255</v>
      </c>
      <c r="B3158" s="12" t="s">
        <v>2847</v>
      </c>
      <c r="C3158" s="46" t="s">
        <v>6994</v>
      </c>
      <c r="D3158" s="41" t="str">
        <f ca="1">IFERROR(__xludf.DUMMYFUNCTION("IFERROR(ARRAYFORMULA(REGEXEXTRACT(C3158,""^(?:https?:\/\/)?(?:[^@\n]+@)?(?:www\.)?([^:\/\n]+)"")),"""")"),"chojnow.pl")</f>
        <v>chojnow.pl</v>
      </c>
      <c r="E3158" s="26" t="str">
        <f ca="1">IFERROR(__xludf.DUMMYFUNCTION("""COMPUTED_VALUE"""),"New")</f>
        <v>New</v>
      </c>
      <c r="F3158" s="72">
        <v>45</v>
      </c>
      <c r="G3158" s="72">
        <v>1117</v>
      </c>
      <c r="P3158" s="26"/>
    </row>
    <row r="3159" spans="1:16" ht="14.5">
      <c r="A3159" s="3" t="s">
        <v>255</v>
      </c>
      <c r="B3159" s="17" t="s">
        <v>2848</v>
      </c>
      <c r="C3159" s="46" t="s">
        <v>6995</v>
      </c>
      <c r="D3159" s="41" t="str">
        <f ca="1">IFERROR(__xludf.DUMMYFUNCTION("IFERROR(ARRAYFORMULA(REGEXEXTRACT(C3159,""^(?:https?:\/\/)?(?:[^@\n]+@)?(?:www\.)?([^:\/\n]+)"")),"""")"),"clickbank.com")</f>
        <v>clickbank.com</v>
      </c>
      <c r="E3159" s="26" t="str">
        <f ca="1">IFERROR(__xludf.DUMMYFUNCTION("""COMPUTED_VALUE"""),"New")</f>
        <v>New</v>
      </c>
      <c r="F3159" s="72">
        <v>86</v>
      </c>
      <c r="G3159" s="72">
        <v>469512</v>
      </c>
      <c r="P3159" s="26"/>
    </row>
    <row r="3160" spans="1:16" ht="14.5">
      <c r="A3160" s="3" t="s">
        <v>255</v>
      </c>
      <c r="B3160" s="12" t="s">
        <v>2848</v>
      </c>
      <c r="C3160" s="46" t="s">
        <v>6996</v>
      </c>
      <c r="D3160" s="41" t="str">
        <f ca="1">IFERROR(__xludf.DUMMYFUNCTION("IFERROR(ARRAYFORMULA(REGEXEXTRACT(C3160,""^(?:https?:\/\/)?(?:[^@\n]+@)?(?:www\.)?([^:\/\n]+)"")),"""")"),"artsreview.com.au")</f>
        <v>artsreview.com.au</v>
      </c>
      <c r="E3160" s="26" t="str">
        <f ca="1">IFERROR(__xludf.DUMMYFUNCTION("""COMPUTED_VALUE"""),"New")</f>
        <v>New</v>
      </c>
      <c r="F3160" s="72">
        <v>62</v>
      </c>
      <c r="G3160" s="72">
        <v>4079</v>
      </c>
      <c r="P3160" s="26"/>
    </row>
    <row r="3161" spans="1:16" ht="14.5">
      <c r="A3161" s="3" t="s">
        <v>255</v>
      </c>
      <c r="B3161" s="12" t="s">
        <v>2848</v>
      </c>
      <c r="C3161" s="46" t="s">
        <v>6997</v>
      </c>
      <c r="D3161" s="41" t="str">
        <f ca="1">IFERROR(__xludf.DUMMYFUNCTION("IFERROR(ARRAYFORMULA(REGEXEXTRACT(C3161,""^(?:https?:\/\/)?(?:[^@\n]+@)?(?:www\.)?([^:\/\n]+)"")),"""")"),"au.pinterest.com")</f>
        <v>au.pinterest.com</v>
      </c>
      <c r="E3161" s="26" t="str">
        <f ca="1">IFERROR(__xludf.DUMMYFUNCTION("""COMPUTED_VALUE"""),"New")</f>
        <v>New</v>
      </c>
      <c r="F3161" s="72">
        <v>97</v>
      </c>
      <c r="G3161" s="74">
        <v>603000000</v>
      </c>
      <c r="P3161" s="26"/>
    </row>
    <row r="3162" spans="1:16" ht="14.5">
      <c r="A3162" s="3" t="s">
        <v>255</v>
      </c>
      <c r="B3162" s="12" t="s">
        <v>2848</v>
      </c>
      <c r="C3162" s="46" t="s">
        <v>6998</v>
      </c>
      <c r="D3162" s="41" t="str">
        <f ca="1">IFERROR(__xludf.DUMMYFUNCTION("IFERROR(ARRAYFORMULA(REGEXEXTRACT(C3162,""^(?:https?:\/\/)?(?:[^@\n]+@)?(?:www\.)?([^:\/\n]+)"")),"""")"),"worldbusinessoutlook.com")</f>
        <v>worldbusinessoutlook.com</v>
      </c>
      <c r="E3162" s="26" t="str">
        <f ca="1">IFERROR(__xludf.DUMMYFUNCTION("""COMPUTED_VALUE"""),"New")</f>
        <v>New</v>
      </c>
      <c r="F3162" s="72">
        <v>66</v>
      </c>
      <c r="G3162" s="72">
        <v>16970</v>
      </c>
      <c r="P3162" s="26"/>
    </row>
    <row r="3163" spans="1:16" ht="14.5">
      <c r="A3163" s="3" t="s">
        <v>255</v>
      </c>
      <c r="B3163" s="12" t="s">
        <v>2848</v>
      </c>
      <c r="C3163" s="46" t="s">
        <v>6999</v>
      </c>
      <c r="D3163" s="41" t="str">
        <f ca="1">IFERROR(__xludf.DUMMYFUNCTION("IFERROR(ARRAYFORMULA(REGEXEXTRACT(C3163,""^(?:https?:\/\/)?(?:[^@\n]+@)?(?:www\.)?([^:\/\n]+)"")),"""")"),"ausff.com.au")</f>
        <v>ausff.com.au</v>
      </c>
      <c r="E3163" s="26" t="str">
        <f ca="1">IFERROR(__xludf.DUMMYFUNCTION("""COMPUTED_VALUE"""),"New")</f>
        <v>New</v>
      </c>
      <c r="F3163" s="72">
        <v>27</v>
      </c>
      <c r="G3163" s="72">
        <v>1229</v>
      </c>
      <c r="P3163" s="26"/>
    </row>
    <row r="3164" spans="1:16" ht="14.5">
      <c r="A3164" s="3" t="s">
        <v>255</v>
      </c>
      <c r="B3164" s="12" t="s">
        <v>2848</v>
      </c>
      <c r="C3164" s="46" t="s">
        <v>7000</v>
      </c>
      <c r="D3164" s="41" t="str">
        <f ca="1">IFERROR(__xludf.DUMMYFUNCTION("IFERROR(ARRAYFORMULA(REGEXEXTRACT(C3164,""^(?:https?:\/\/)?(?:[^@\n]+@)?(?:www\.)?([^:\/\n]+)"")),"""")"),"domuslighting.com.au")</f>
        <v>domuslighting.com.au</v>
      </c>
      <c r="E3164" s="26" t="str">
        <f ca="1">IFERROR(__xludf.DUMMYFUNCTION("""COMPUTED_VALUE"""),"New")</f>
        <v>New</v>
      </c>
      <c r="F3164" s="72">
        <v>35</v>
      </c>
      <c r="G3164" s="72">
        <v>3074</v>
      </c>
      <c r="P3164" s="26"/>
    </row>
    <row r="3165" spans="1:16" ht="14.5">
      <c r="A3165" s="3" t="s">
        <v>255</v>
      </c>
      <c r="B3165" s="12" t="s">
        <v>2848</v>
      </c>
      <c r="C3165" s="46" t="s">
        <v>7001</v>
      </c>
      <c r="D3165" s="41" t="str">
        <f ca="1">IFERROR(__xludf.DUMMYFUNCTION("IFERROR(ARRAYFORMULA(REGEXEXTRACT(C3165,""^(?:https?:\/\/)?(?:[^@\n]+@)?(?:www\.)?([^:\/\n]+)"")),"""")"),"sportnation.nz")</f>
        <v>sportnation.nz</v>
      </c>
      <c r="E3165" s="26" t="str">
        <f ca="1">IFERROR(__xludf.DUMMYFUNCTION("""COMPUTED_VALUE"""),"New")</f>
        <v>New</v>
      </c>
      <c r="F3165" s="72">
        <v>51</v>
      </c>
      <c r="G3165" s="72">
        <v>24704</v>
      </c>
      <c r="P3165" s="26"/>
    </row>
    <row r="3166" spans="1:16" ht="14.5">
      <c r="A3166" s="3" t="s">
        <v>255</v>
      </c>
      <c r="B3166" s="12" t="s">
        <v>2848</v>
      </c>
      <c r="C3166" s="46" t="s">
        <v>7002</v>
      </c>
      <c r="D3166" s="41" t="str">
        <f ca="1">IFERROR(__xludf.DUMMYFUNCTION("IFERROR(ARRAYFORMULA(REGEXEXTRACT(C3166,""^(?:https?:\/\/)?(?:[^@\n]+@)?(?:www\.)?([^:\/\n]+)"")),"""")"),"ausdroid.net")</f>
        <v>ausdroid.net</v>
      </c>
      <c r="E3166" s="26" t="str">
        <f ca="1">IFERROR(__xludf.DUMMYFUNCTION("""COMPUTED_VALUE"""),"New")</f>
        <v>New</v>
      </c>
      <c r="F3166" s="72">
        <v>63</v>
      </c>
      <c r="G3166" s="72">
        <v>3281</v>
      </c>
      <c r="P3166" s="26"/>
    </row>
    <row r="3167" spans="1:16" ht="14.5">
      <c r="A3167" s="3" t="s">
        <v>255</v>
      </c>
      <c r="B3167" s="12" t="s">
        <v>2848</v>
      </c>
      <c r="C3167" s="49" t="s">
        <v>7003</v>
      </c>
      <c r="D3167" s="41" t="str">
        <f ca="1">IFERROR(__xludf.DUMMYFUNCTION("IFERROR(ARRAYFORMULA(REGEXEXTRACT(C3167,""^(?:https?:\/\/)?(?:[^@\n]+@)?(?:www\.)?([^:\/\n]+)"")),"""")"),"thezillennialzine.com")</f>
        <v>thezillennialzine.com</v>
      </c>
      <c r="E3167" s="26" t="str">
        <f ca="1">IFERROR(__xludf.DUMMYFUNCTION("""COMPUTED_VALUE"""),"New")</f>
        <v>New</v>
      </c>
      <c r="F3167" s="72">
        <v>26</v>
      </c>
      <c r="G3167" s="72">
        <v>4484</v>
      </c>
      <c r="J3167" s="27" t="s">
        <v>7004</v>
      </c>
      <c r="K3167" s="27" t="s">
        <v>3756</v>
      </c>
      <c r="L3167" s="112"/>
      <c r="M3167" s="51" t="s">
        <v>3117</v>
      </c>
      <c r="N3167" s="82">
        <v>46058</v>
      </c>
      <c r="P3167" s="26"/>
    </row>
    <row r="3168" spans="1:16" ht="14.5" hidden="1">
      <c r="A3168" s="3" t="s">
        <v>255</v>
      </c>
      <c r="B3168" s="12" t="s">
        <v>2848</v>
      </c>
      <c r="C3168" s="46" t="s">
        <v>7005</v>
      </c>
      <c r="D3168" s="41" t="str">
        <f ca="1">IFERROR(__xludf.DUMMYFUNCTION("IFERROR(ARRAYFORMULA(REGEXEXTRACT(C3168,""^(?:https?:\/\/)?(?:[^@\n]+@)?(?:www\.)?([^:\/\n]+)"")),"""")"),"houseploy.com")</f>
        <v>houseploy.com</v>
      </c>
      <c r="E3168" s="26" t="str">
        <f ca="1">IFERROR(__xludf.DUMMYFUNCTION("""COMPUTED_VALUE"""),"Already Exists")</f>
        <v>Already Exists</v>
      </c>
      <c r="F3168" s="72">
        <v>51</v>
      </c>
      <c r="G3168" s="72">
        <v>1119</v>
      </c>
      <c r="P3168" s="26"/>
    </row>
    <row r="3169" spans="1:16" ht="14.5">
      <c r="A3169" s="3" t="s">
        <v>255</v>
      </c>
      <c r="B3169" s="12" t="s">
        <v>2848</v>
      </c>
      <c r="C3169" s="46" t="s">
        <v>7006</v>
      </c>
      <c r="D3169" s="41" t="str">
        <f ca="1">IFERROR(__xludf.DUMMYFUNCTION("IFERROR(ARRAYFORMULA(REGEXEXTRACT(C3169,""^(?:https?:\/\/)?(?:[^@\n]+@)?(?:www\.)?([^:\/\n]+)"")),"""")"),"appinstitute.com")</f>
        <v>appinstitute.com</v>
      </c>
      <c r="E3169" s="26" t="str">
        <f ca="1">IFERROR(__xludf.DUMMYFUNCTION("""COMPUTED_VALUE"""),"New")</f>
        <v>New</v>
      </c>
      <c r="F3169" s="72">
        <v>72</v>
      </c>
      <c r="G3169" s="72">
        <v>2672</v>
      </c>
      <c r="P3169" s="26"/>
    </row>
    <row r="3170" spans="1:16" ht="14.5">
      <c r="A3170" s="3" t="s">
        <v>255</v>
      </c>
      <c r="B3170" s="12" t="s">
        <v>2848</v>
      </c>
      <c r="C3170" s="46" t="s">
        <v>7007</v>
      </c>
      <c r="D3170" s="41" t="str">
        <f ca="1">IFERROR(__xludf.DUMMYFUNCTION("IFERROR(ARRAYFORMULA(REGEXEXTRACT(C3170,""^(?:https?:\/\/)?(?:[^@\n]+@)?(?:www\.)?([^:\/\n]+)"")),"""")"),"interia.com.au")</f>
        <v>interia.com.au</v>
      </c>
      <c r="E3170" s="26" t="str">
        <f ca="1">IFERROR(__xludf.DUMMYFUNCTION("""COMPUTED_VALUE"""),"New")</f>
        <v>New</v>
      </c>
      <c r="F3170" s="72">
        <v>25</v>
      </c>
      <c r="G3170" s="72">
        <v>1140</v>
      </c>
      <c r="P3170" s="26"/>
    </row>
    <row r="3171" spans="1:16" ht="14.5">
      <c r="A3171" s="3" t="s">
        <v>255</v>
      </c>
      <c r="B3171" s="12" t="s">
        <v>2848</v>
      </c>
      <c r="C3171" s="49" t="s">
        <v>7008</v>
      </c>
      <c r="D3171" s="41" t="str">
        <f ca="1">IFERROR(__xludf.DUMMYFUNCTION("IFERROR(ARRAYFORMULA(REGEXEXTRACT(C3171,""^(?:https?:\/\/)?(?:[^@\n]+@)?(?:www\.)?([^:\/\n]+)"")),"""")"),"sheppnews.com.au")</f>
        <v>sheppnews.com.au</v>
      </c>
      <c r="E3171" s="26" t="str">
        <f ca="1">IFERROR(__xludf.DUMMYFUNCTION("""COMPUTED_VALUE"""),"New")</f>
        <v>New</v>
      </c>
      <c r="F3171" s="72">
        <v>55</v>
      </c>
      <c r="G3171" s="72">
        <v>3744</v>
      </c>
      <c r="J3171" s="27" t="s">
        <v>7009</v>
      </c>
      <c r="K3171" s="27" t="s">
        <v>7010</v>
      </c>
      <c r="L3171" s="112"/>
      <c r="M3171" s="51" t="s">
        <v>3117</v>
      </c>
      <c r="N3171" s="82">
        <v>46058</v>
      </c>
      <c r="P3171" s="26"/>
    </row>
    <row r="3172" spans="1:16" ht="14.5">
      <c r="A3172" s="3" t="s">
        <v>255</v>
      </c>
      <c r="B3172" s="12" t="s">
        <v>2848</v>
      </c>
      <c r="C3172" s="46" t="s">
        <v>7011</v>
      </c>
      <c r="D3172" s="41" t="str">
        <f ca="1">IFERROR(__xludf.DUMMYFUNCTION("IFERROR(ARRAYFORMULA(REGEXEXTRACT(C3172,""^(?:https?:\/\/)?(?:[^@\n]+@)?(?:www\.)?([^:\/\n]+)"")),"""")"),"foter.com")</f>
        <v>foter.com</v>
      </c>
      <c r="E3172" s="26" t="str">
        <f ca="1">IFERROR(__xludf.DUMMYFUNCTION("""COMPUTED_VALUE"""),"New")</f>
        <v>New</v>
      </c>
      <c r="F3172" s="72">
        <v>76</v>
      </c>
      <c r="G3172" s="72">
        <v>65218</v>
      </c>
      <c r="P3172" s="26"/>
    </row>
    <row r="3173" spans="1:16" ht="14.5">
      <c r="A3173" s="3" t="s">
        <v>255</v>
      </c>
      <c r="B3173" s="12" t="s">
        <v>2848</v>
      </c>
      <c r="C3173" s="49" t="s">
        <v>7012</v>
      </c>
      <c r="D3173" s="44" t="str">
        <f ca="1">IFERROR(__xludf.DUMMYFUNCTION("IFERROR(ARRAYFORMULA(REGEXEXTRACT(C3173,""^(?:https?:\/\/)?(?:[^@\n]+@)?(?:www\.)?([^:\/\n]+)"")),"""")"),"female.com.au")</f>
        <v>female.com.au</v>
      </c>
      <c r="E3173" s="26" t="str">
        <f ca="1">IFERROR(__xludf.DUMMYFUNCTION("""COMPUTED_VALUE"""),"New")</f>
        <v>New</v>
      </c>
      <c r="F3173" s="72">
        <v>54</v>
      </c>
      <c r="G3173" s="72">
        <v>3435</v>
      </c>
      <c r="H3173" s="27" t="s">
        <v>3892</v>
      </c>
      <c r="I3173" s="27" t="s">
        <v>7013</v>
      </c>
      <c r="J3173" s="27" t="s">
        <v>7014</v>
      </c>
      <c r="K3173" s="27" t="s">
        <v>3772</v>
      </c>
      <c r="L3173" s="112"/>
      <c r="M3173" s="51" t="s">
        <v>3117</v>
      </c>
      <c r="N3173" s="82">
        <v>46058</v>
      </c>
      <c r="P3173" s="27" t="s">
        <v>3201</v>
      </c>
    </row>
    <row r="3174" spans="1:16" ht="14.5">
      <c r="A3174" s="3" t="s">
        <v>255</v>
      </c>
      <c r="B3174" s="12" t="s">
        <v>2848</v>
      </c>
      <c r="C3174" s="49" t="s">
        <v>7015</v>
      </c>
      <c r="D3174" s="41" t="str">
        <f ca="1">IFERROR(__xludf.DUMMYFUNCTION("IFERROR(ARRAYFORMULA(REGEXEXTRACT(C3174,""^(?:https?:\/\/)?(?:[^@\n]+@)?(?:www\.)?([^:\/\n]+)"")),"""")"),"gcmag.com.au")</f>
        <v>gcmag.com.au</v>
      </c>
      <c r="E3174" s="26" t="str">
        <f ca="1">IFERROR(__xludf.DUMMYFUNCTION("""COMPUTED_VALUE"""),"New")</f>
        <v>New</v>
      </c>
      <c r="F3174" s="72">
        <v>33</v>
      </c>
      <c r="G3174" s="72">
        <v>5602</v>
      </c>
      <c r="H3174" s="27" t="s">
        <v>7016</v>
      </c>
      <c r="I3174" s="27" t="s">
        <v>7017</v>
      </c>
      <c r="J3174" s="27" t="s">
        <v>7018</v>
      </c>
      <c r="K3174" s="27" t="s">
        <v>3772</v>
      </c>
      <c r="L3174" s="112"/>
      <c r="M3174" s="51" t="s">
        <v>3117</v>
      </c>
      <c r="N3174" s="82">
        <v>46058</v>
      </c>
      <c r="P3174" s="26"/>
    </row>
    <row r="3175" spans="1:16" ht="14.5">
      <c r="A3175" s="3" t="s">
        <v>255</v>
      </c>
      <c r="B3175" s="12" t="s">
        <v>2848</v>
      </c>
      <c r="C3175" s="46" t="s">
        <v>7019</v>
      </c>
      <c r="D3175" s="41" t="str">
        <f ca="1">IFERROR(__xludf.DUMMYFUNCTION("IFERROR(ARRAYFORMULA(REGEXEXTRACT(C3175,""^(?:https?:\/\/)?(?:[^@\n]+@)?(?:www\.)?([^:\/\n]+)"")),"""")"),"nfh.ca")</f>
        <v>nfh.ca</v>
      </c>
      <c r="E3175" s="26" t="str">
        <f ca="1">IFERROR(__xludf.DUMMYFUNCTION("""COMPUTED_VALUE"""),"New")</f>
        <v>New</v>
      </c>
      <c r="F3175" s="72">
        <v>40</v>
      </c>
      <c r="G3175" s="72">
        <v>1903</v>
      </c>
      <c r="P3175" s="26"/>
    </row>
    <row r="3176" spans="1:16" ht="14.5">
      <c r="A3176" s="3" t="s">
        <v>255</v>
      </c>
      <c r="B3176" s="12" t="s">
        <v>2848</v>
      </c>
      <c r="C3176" s="46" t="s">
        <v>7020</v>
      </c>
      <c r="D3176" s="41" t="str">
        <f ca="1">IFERROR(__xludf.DUMMYFUNCTION("IFERROR(ARRAYFORMULA(REGEXEXTRACT(C3176,""^(?:https?:\/\/)?(?:[^@\n]+@)?(?:www\.)?([^:\/\n]+)"")),"""")"),"scalingupexcellence.com")</f>
        <v>scalingupexcellence.com</v>
      </c>
      <c r="E3176" s="26" t="str">
        <f ca="1">IFERROR(__xludf.DUMMYFUNCTION("""COMPUTED_VALUE"""),"New")</f>
        <v>New</v>
      </c>
      <c r="F3176" s="72">
        <v>42</v>
      </c>
      <c r="G3176" s="72">
        <v>3655</v>
      </c>
      <c r="P3176" s="26"/>
    </row>
    <row r="3177" spans="1:16" ht="14.5">
      <c r="A3177" s="3" t="s">
        <v>255</v>
      </c>
      <c r="B3177" s="12" t="s">
        <v>2848</v>
      </c>
      <c r="C3177" s="49" t="s">
        <v>7021</v>
      </c>
      <c r="D3177" s="41" t="str">
        <f ca="1">IFERROR(__xludf.DUMMYFUNCTION("IFERROR(ARRAYFORMULA(REGEXEXTRACT(C3177,""^(?:https?:\/\/)?(?:[^@\n]+@)?(?:www\.)?([^:\/\n]+)"")),"""")"),"betterbuilthomes.com.au")</f>
        <v>betterbuilthomes.com.au</v>
      </c>
      <c r="E3177" s="26" t="str">
        <f ca="1">IFERROR(__xludf.DUMMYFUNCTION("""COMPUTED_VALUE"""),"New")</f>
        <v>New</v>
      </c>
      <c r="F3177" s="72">
        <v>36</v>
      </c>
      <c r="G3177" s="72">
        <v>3070</v>
      </c>
      <c r="H3177" s="27" t="s">
        <v>7022</v>
      </c>
      <c r="I3177" s="27" t="s">
        <v>7023</v>
      </c>
      <c r="J3177" s="27" t="s">
        <v>7024</v>
      </c>
      <c r="K3177" s="27" t="s">
        <v>5359</v>
      </c>
      <c r="L3177" s="112"/>
      <c r="M3177" s="51" t="s">
        <v>3117</v>
      </c>
      <c r="N3177" s="82">
        <v>46058</v>
      </c>
      <c r="P3177" s="26"/>
    </row>
    <row r="3178" spans="1:16" ht="14.5">
      <c r="A3178" s="3" t="s">
        <v>255</v>
      </c>
      <c r="B3178" s="12" t="s">
        <v>2848</v>
      </c>
      <c r="C3178" s="49" t="s">
        <v>7025</v>
      </c>
      <c r="D3178" s="41" t="str">
        <f ca="1">IFERROR(__xludf.DUMMYFUNCTION("IFERROR(ARRAYFORMULA(REGEXEXTRACT(C3178,""^(?:https?:\/\/)?(?:[^@\n]+@)?(?:www\.)?([^:\/\n]+)"")),"""")"),"kyfreepress.com.au")</f>
        <v>kyfreepress.com.au</v>
      </c>
      <c r="E3178" s="26" t="str">
        <f ca="1">IFERROR(__xludf.DUMMYFUNCTION("""COMPUTED_VALUE"""),"New")</f>
        <v>New</v>
      </c>
      <c r="F3178" s="72">
        <v>42</v>
      </c>
      <c r="G3178" s="72">
        <v>3459</v>
      </c>
      <c r="H3178" s="27" t="s">
        <v>7026</v>
      </c>
      <c r="I3178" s="27" t="s">
        <v>7027</v>
      </c>
      <c r="K3178" s="27" t="s">
        <v>3772</v>
      </c>
      <c r="L3178" s="112"/>
      <c r="M3178" s="51" t="s">
        <v>3117</v>
      </c>
      <c r="N3178" s="82">
        <v>46058</v>
      </c>
      <c r="P3178" s="26"/>
    </row>
    <row r="3179" spans="1:16" ht="14.5">
      <c r="A3179" s="15" t="s">
        <v>255</v>
      </c>
      <c r="B3179" s="12" t="s">
        <v>2848</v>
      </c>
      <c r="C3179" s="46" t="s">
        <v>7028</v>
      </c>
      <c r="D3179" s="41" t="str">
        <f ca="1">IFERROR(__xludf.DUMMYFUNCTION("IFERROR(ARRAYFORMULA(REGEXEXTRACT(C3179,""^(?:https?:\/\/)?(?:[^@\n]+@)?(?:www\.)?([^:\/\n]+)"")),"""")"),"xpressmag.com.au")</f>
        <v>xpressmag.com.au</v>
      </c>
      <c r="E3179" s="26" t="str">
        <f ca="1">IFERROR(__xludf.DUMMYFUNCTION("""COMPUTED_VALUE"""),"New")</f>
        <v>New</v>
      </c>
      <c r="F3179" s="72">
        <v>53</v>
      </c>
      <c r="G3179" s="72">
        <v>3662</v>
      </c>
      <c r="P3179" s="26"/>
    </row>
    <row r="3180" spans="1:16" ht="14.5">
      <c r="A3180" s="3" t="s">
        <v>255</v>
      </c>
      <c r="B3180" s="12" t="s">
        <v>2848</v>
      </c>
      <c r="C3180" s="49" t="s">
        <v>7029</v>
      </c>
      <c r="D3180" s="41" t="str">
        <f ca="1">IFERROR(__xludf.DUMMYFUNCTION("IFERROR(ARRAYFORMULA(REGEXEXTRACT(C3180,""^(?:https?:\/\/)?(?:[^@\n]+@)?(?:www\.)?([^:\/\n]+)"")),"""")"),"dairynewsaustralia.com.au")</f>
        <v>dairynewsaustralia.com.au</v>
      </c>
      <c r="E3180" s="26" t="str">
        <f ca="1">IFERROR(__xludf.DUMMYFUNCTION("""COMPUTED_VALUE"""),"New")</f>
        <v>New</v>
      </c>
      <c r="F3180" s="72">
        <v>41</v>
      </c>
      <c r="G3180" s="72">
        <v>1419</v>
      </c>
      <c r="J3180" s="27" t="s">
        <v>7030</v>
      </c>
      <c r="K3180" s="27" t="s">
        <v>3772</v>
      </c>
      <c r="L3180" s="112"/>
      <c r="M3180" s="51" t="s">
        <v>3117</v>
      </c>
      <c r="N3180" s="82">
        <v>46058</v>
      </c>
      <c r="P3180" s="26"/>
    </row>
    <row r="3181" spans="1:16" ht="14.5" hidden="1">
      <c r="A3181" s="3" t="s">
        <v>255</v>
      </c>
      <c r="B3181" s="12" t="s">
        <v>2848</v>
      </c>
      <c r="C3181" s="46" t="s">
        <v>7031</v>
      </c>
      <c r="D3181" s="41" t="str">
        <f ca="1">IFERROR(__xludf.DUMMYFUNCTION("IFERROR(ARRAYFORMULA(REGEXEXTRACT(C3181,""^(?:https?:\/\/)?(?:[^@\n]+@)?(?:www\.)?([^:\/\n]+)"")),"""")"),"ilounge.com")</f>
        <v>ilounge.com</v>
      </c>
      <c r="E3181" s="26" t="str">
        <f ca="1">IFERROR(__xludf.DUMMYFUNCTION("""COMPUTED_VALUE"""),"Already Exists")</f>
        <v>Already Exists</v>
      </c>
      <c r="F3181" s="72">
        <v>71</v>
      </c>
      <c r="G3181" s="72">
        <v>11464</v>
      </c>
      <c r="P3181" s="26"/>
    </row>
    <row r="3182" spans="1:16" ht="14.5">
      <c r="A3182" s="3" t="s">
        <v>255</v>
      </c>
      <c r="B3182" s="12" t="s">
        <v>2848</v>
      </c>
      <c r="C3182" s="46" t="s">
        <v>7032</v>
      </c>
      <c r="D3182" s="41" t="str">
        <f ca="1">IFERROR(__xludf.DUMMYFUNCTION("IFERROR(ARRAYFORMULA(REGEXEXTRACT(C3182,""^(?:https?:\/\/)?(?:[^@\n]+@)?(?:www\.)?([^:\/\n]+)"")),"""")"),"partners.bigcommerce.com")</f>
        <v>partners.bigcommerce.com</v>
      </c>
      <c r="E3182" s="26" t="str">
        <f ca="1">IFERROR(__xludf.DUMMYFUNCTION("""COMPUTED_VALUE"""),"New")</f>
        <v>New</v>
      </c>
      <c r="F3182" s="72">
        <v>92</v>
      </c>
      <c r="G3182" s="72">
        <v>423135</v>
      </c>
      <c r="P3182" s="26"/>
    </row>
    <row r="3183" spans="1:16" ht="14.5">
      <c r="A3183" s="3" t="s">
        <v>255</v>
      </c>
      <c r="B3183" s="12" t="s">
        <v>2848</v>
      </c>
      <c r="C3183" s="49" t="s">
        <v>7033</v>
      </c>
      <c r="D3183" s="41" t="str">
        <f ca="1">IFERROR(__xludf.DUMMYFUNCTION("IFERROR(ARRAYFORMULA(REGEXEXTRACT(C3183,""^(?:https?:\/\/)?(?:[^@\n]+@)?(?:www\.)?([^:\/\n]+)"")),"""")"),"riverineherald.com.au")</f>
        <v>riverineherald.com.au</v>
      </c>
      <c r="E3183" s="26" t="str">
        <f ca="1">IFERROR(__xludf.DUMMYFUNCTION("""COMPUTED_VALUE"""),"New")</f>
        <v>New</v>
      </c>
      <c r="F3183" s="72">
        <v>46</v>
      </c>
      <c r="G3183" s="72">
        <v>1374</v>
      </c>
      <c r="J3183" s="27" t="s">
        <v>7034</v>
      </c>
      <c r="K3183" s="27" t="s">
        <v>3772</v>
      </c>
      <c r="L3183" s="112"/>
      <c r="M3183" s="51" t="s">
        <v>3117</v>
      </c>
      <c r="N3183" s="82">
        <v>46058</v>
      </c>
      <c r="P3183" s="26"/>
    </row>
    <row r="3184" spans="1:16" ht="14.5">
      <c r="A3184" s="3" t="s">
        <v>255</v>
      </c>
      <c r="B3184" s="17" t="s">
        <v>2849</v>
      </c>
      <c r="C3184" s="46" t="s">
        <v>7035</v>
      </c>
      <c r="D3184" s="41" t="str">
        <f ca="1">IFERROR(__xludf.DUMMYFUNCTION("IFERROR(ARRAYFORMULA(REGEXEXTRACT(C3184,""^(?:https?:\/\/)?(?:[^@\n]+@)?(?:www\.)?([^:\/\n]+)"")),"""")"),"afgonline.com.au")</f>
        <v>afgonline.com.au</v>
      </c>
      <c r="E3184" s="26" t="str">
        <f ca="1">IFERROR(__xludf.DUMMYFUNCTION("""COMPUTED_VALUE"""),"New")</f>
        <v>New</v>
      </c>
      <c r="F3184" s="72">
        <v>60</v>
      </c>
      <c r="G3184" s="72">
        <v>20081</v>
      </c>
      <c r="P3184" s="26"/>
    </row>
    <row r="3185" spans="1:16" ht="14.5" hidden="1">
      <c r="A3185" s="3" t="s">
        <v>255</v>
      </c>
      <c r="B3185" s="12" t="s">
        <v>2849</v>
      </c>
      <c r="C3185" s="46" t="s">
        <v>7036</v>
      </c>
      <c r="D3185" s="41" t="str">
        <f ca="1">IFERROR(__xludf.DUMMYFUNCTION("IFERROR(ARRAYFORMULA(REGEXEXTRACT(C3185,""^(?:https?:\/\/)?(?:[^@\n]+@)?(?:www\.)?([^:\/\n]+)"")),"""")"),"aviyne.com")</f>
        <v>aviyne.com</v>
      </c>
      <c r="E3185" s="26" t="str">
        <f ca="1">IFERROR(__xludf.DUMMYFUNCTION("""COMPUTED_VALUE"""),"Already Exists")</f>
        <v>Already Exists</v>
      </c>
      <c r="F3185" s="72">
        <v>29</v>
      </c>
      <c r="G3185" s="72">
        <v>7402</v>
      </c>
      <c r="P3185" s="26"/>
    </row>
    <row r="3186" spans="1:16" ht="14.5">
      <c r="A3186" s="3" t="s">
        <v>255</v>
      </c>
      <c r="B3186" s="12" t="s">
        <v>2849</v>
      </c>
      <c r="C3186" s="46" t="s">
        <v>7037</v>
      </c>
      <c r="D3186" s="41" t="str">
        <f ca="1">IFERROR(__xludf.DUMMYFUNCTION("IFERROR(ARRAYFORMULA(REGEXEXTRACT(C3186,""^(?:https?:\/\/)?(?:[^@\n]+@)?(?:www\.)?([^:\/\n]+)"")),"""")"),"vibromedia.com")</f>
        <v>vibromedia.com</v>
      </c>
      <c r="E3186" s="26" t="str">
        <f ca="1">IFERROR(__xludf.DUMMYFUNCTION("""COMPUTED_VALUE"""),"New")</f>
        <v>New</v>
      </c>
      <c r="F3186" s="72">
        <v>50</v>
      </c>
      <c r="G3186" s="72">
        <v>2161</v>
      </c>
      <c r="P3186" s="26"/>
    </row>
    <row r="3187" spans="1:16" ht="14.5" hidden="1">
      <c r="A3187" s="3" t="s">
        <v>255</v>
      </c>
      <c r="B3187" s="12" t="s">
        <v>2849</v>
      </c>
      <c r="C3187" s="46" t="s">
        <v>7038</v>
      </c>
      <c r="D3187" s="41" t="str">
        <f ca="1">IFERROR(__xludf.DUMMYFUNCTION("IFERROR(ARRAYFORMULA(REGEXEXTRACT(C3187,""^(?:https?:\/\/)?(?:[^@\n]+@)?(?:www\.)?([^:\/\n]+)"")),"""")"),"acquisition-international.com")</f>
        <v>acquisition-international.com</v>
      </c>
      <c r="E3187" s="26" t="str">
        <f ca="1">IFERROR(__xludf.DUMMYFUNCTION("""COMPUTED_VALUE"""),"Already Exists")</f>
        <v>Already Exists</v>
      </c>
      <c r="F3187" s="72">
        <v>73</v>
      </c>
      <c r="G3187" s="72">
        <v>1013</v>
      </c>
      <c r="P3187" s="26"/>
    </row>
    <row r="3188" spans="1:16" ht="14.5">
      <c r="A3188" s="3" t="s">
        <v>255</v>
      </c>
      <c r="B3188" s="12" t="s">
        <v>2849</v>
      </c>
      <c r="C3188" s="46" t="s">
        <v>7039</v>
      </c>
      <c r="D3188" s="41" t="str">
        <f ca="1">IFERROR(__xludf.DUMMYFUNCTION("IFERROR(ARRAYFORMULA(REGEXEXTRACT(C3188,""^(?:https?:\/\/)?(?:[^@\n]+@)?(?:www\.)?([^:\/\n]+)"")),"""")"),"brightreads.com")</f>
        <v>brightreads.com</v>
      </c>
      <c r="E3188" s="26" t="str">
        <f ca="1">IFERROR(__xludf.DUMMYFUNCTION("""COMPUTED_VALUE"""),"New")</f>
        <v>New</v>
      </c>
      <c r="F3188" s="72">
        <v>27</v>
      </c>
      <c r="G3188" s="72">
        <v>1830</v>
      </c>
      <c r="P3188" s="26"/>
    </row>
    <row r="3189" spans="1:16" ht="14.5" hidden="1">
      <c r="A3189" s="3" t="s">
        <v>255</v>
      </c>
      <c r="B3189" s="12" t="s">
        <v>2849</v>
      </c>
      <c r="C3189" s="46" t="s">
        <v>7040</v>
      </c>
      <c r="D3189" s="41" t="str">
        <f ca="1">IFERROR(__xludf.DUMMYFUNCTION("IFERROR(ARRAYFORMULA(REGEXEXTRACT(C3189,""^(?:https?:\/\/)?(?:[^@\n]+@)?(?:www\.)?([^:\/\n]+)"")),"""")"),"theenterpriseworld.com")</f>
        <v>theenterpriseworld.com</v>
      </c>
      <c r="E3189" s="26" t="str">
        <f ca="1">IFERROR(__xludf.DUMMYFUNCTION("""COMPUTED_VALUE"""),"Already Exists")</f>
        <v>Already Exists</v>
      </c>
      <c r="F3189" s="72">
        <v>72</v>
      </c>
      <c r="G3189" s="72">
        <v>30943</v>
      </c>
      <c r="P3189" s="26"/>
    </row>
    <row r="3190" spans="1:16" ht="14.5" hidden="1">
      <c r="A3190" s="3" t="s">
        <v>255</v>
      </c>
      <c r="B3190" s="12" t="s">
        <v>2849</v>
      </c>
      <c r="C3190" s="46" t="s">
        <v>7041</v>
      </c>
      <c r="D3190" s="41" t="str">
        <f ca="1">IFERROR(__xludf.DUMMYFUNCTION("IFERROR(ARRAYFORMULA(REGEXEXTRACT(C3190,""^(?:https?:\/\/)?(?:[^@\n]+@)?(?:www\.)?([^:\/\n]+)"")),"""")"),"housingmarketnews.co.uk")</f>
        <v>housingmarketnews.co.uk</v>
      </c>
      <c r="E3190" s="26" t="str">
        <f ca="1">IFERROR(__xludf.DUMMYFUNCTION("""COMPUTED_VALUE"""),"Already Exists")</f>
        <v>Already Exists</v>
      </c>
      <c r="F3190" s="72">
        <v>29</v>
      </c>
      <c r="G3190" s="72">
        <v>2181</v>
      </c>
      <c r="P3190" s="26"/>
    </row>
    <row r="3191" spans="1:16" ht="14.5">
      <c r="A3191" s="3" t="s">
        <v>255</v>
      </c>
      <c r="B3191" s="12" t="s">
        <v>2849</v>
      </c>
      <c r="C3191" s="46" t="s">
        <v>7042</v>
      </c>
      <c r="D3191" s="41" t="str">
        <f ca="1">IFERROR(__xludf.DUMMYFUNCTION("IFERROR(ARRAYFORMULA(REGEXEXTRACT(C3191,""^(?:https?:\/\/)?(?:[^@\n]+@)?(?:www\.)?([^:\/\n]+)"")),"""")"),"au.gradconnection.com")</f>
        <v>au.gradconnection.com</v>
      </c>
      <c r="E3191" s="26" t="str">
        <f ca="1">IFERROR(__xludf.DUMMYFUNCTION("""COMPUTED_VALUE"""),"New")</f>
        <v>New</v>
      </c>
      <c r="F3191" s="72">
        <v>59</v>
      </c>
      <c r="G3191" s="72">
        <v>62009</v>
      </c>
      <c r="P3191" s="26"/>
    </row>
    <row r="3192" spans="1:16" ht="14.5">
      <c r="A3192" s="3" t="s">
        <v>255</v>
      </c>
      <c r="B3192" s="12" t="s">
        <v>2849</v>
      </c>
      <c r="C3192" s="49" t="s">
        <v>7043</v>
      </c>
      <c r="D3192" s="41" t="str">
        <f ca="1">IFERROR(__xludf.DUMMYFUNCTION("IFERROR(ARRAYFORMULA(REGEXEXTRACT(C3192,""^(?:https?:\/\/)?(?:[^@\n]+@)?(?:www\.)?([^:\/\n]+)"")),"""")"),"financialstandard.com.au")</f>
        <v>financialstandard.com.au</v>
      </c>
      <c r="E3192" s="26" t="str">
        <f ca="1">IFERROR(__xludf.DUMMYFUNCTION("""COMPUTED_VALUE"""),"New")</f>
        <v>New</v>
      </c>
      <c r="F3192" s="72">
        <v>62</v>
      </c>
      <c r="G3192" s="72">
        <v>2639</v>
      </c>
      <c r="J3192" s="27" t="s">
        <v>7044</v>
      </c>
      <c r="K3192" s="27" t="s">
        <v>3772</v>
      </c>
      <c r="L3192" s="112"/>
      <c r="M3192" s="51" t="s">
        <v>3117</v>
      </c>
      <c r="N3192" s="83">
        <v>46061</v>
      </c>
      <c r="P3192" s="26"/>
    </row>
    <row r="3193" spans="1:16" ht="14.5">
      <c r="A3193" s="3" t="s">
        <v>255</v>
      </c>
      <c r="B3193" s="12" t="s">
        <v>2849</v>
      </c>
      <c r="C3193" s="46" t="s">
        <v>7045</v>
      </c>
      <c r="D3193" s="41" t="str">
        <f ca="1">IFERROR(__xludf.DUMMYFUNCTION("IFERROR(ARRAYFORMULA(REGEXEXTRACT(C3193,""^(?:https?:\/\/)?(?:[^@\n]+@)?(?:www\.)?([^:\/\n]+)"")),"""")"),"trustfinance.com")</f>
        <v>trustfinance.com</v>
      </c>
      <c r="E3193" s="26" t="str">
        <f ca="1">IFERROR(__xludf.DUMMYFUNCTION("""COMPUTED_VALUE"""),"New")</f>
        <v>New</v>
      </c>
      <c r="F3193" s="72">
        <v>36</v>
      </c>
      <c r="G3193" s="72">
        <v>3958</v>
      </c>
      <c r="P3193" s="26"/>
    </row>
    <row r="3194" spans="1:16" ht="14.5">
      <c r="A3194" s="3" t="s">
        <v>255</v>
      </c>
      <c r="B3194" s="12" t="s">
        <v>2849</v>
      </c>
      <c r="C3194" s="46" t="s">
        <v>7046</v>
      </c>
      <c r="D3194" s="41" t="str">
        <f ca="1">IFERROR(__xludf.DUMMYFUNCTION("IFERROR(ARRAYFORMULA(REGEXEXTRACT(C3194,""^(?:https?:\/\/)?(?:[^@\n]+@)?(?:www\.)?([^:\/\n]+)"")),"""")"),"telguarder.com")</f>
        <v>telguarder.com</v>
      </c>
      <c r="E3194" s="26" t="str">
        <f ca="1">IFERROR(__xludf.DUMMYFUNCTION("""COMPUTED_VALUE"""),"New")</f>
        <v>New</v>
      </c>
      <c r="F3194" s="72">
        <v>27</v>
      </c>
      <c r="G3194" s="72">
        <v>13613</v>
      </c>
      <c r="P3194" s="26"/>
    </row>
    <row r="3195" spans="1:16" ht="14.5">
      <c r="A3195" s="3" t="s">
        <v>255</v>
      </c>
      <c r="B3195" s="12" t="s">
        <v>2849</v>
      </c>
      <c r="C3195" s="46" t="s">
        <v>7047</v>
      </c>
      <c r="D3195" s="41" t="str">
        <f ca="1">IFERROR(__xludf.DUMMYFUNCTION("IFERROR(ARRAYFORMULA(REGEXEXTRACT(C3195,""^(?:https?:\/\/)?(?:[^@\n]+@)?(?:www\.)?([^:\/\n]+)"")),"""")"),"forbes.com.au")</f>
        <v>forbes.com.au</v>
      </c>
      <c r="E3195" s="26" t="str">
        <f ca="1">IFERROR(__xludf.DUMMYFUNCTION("""COMPUTED_VALUE"""),"New")</f>
        <v>New</v>
      </c>
      <c r="F3195" s="72">
        <v>75</v>
      </c>
      <c r="G3195" s="72">
        <v>53125</v>
      </c>
      <c r="P3195" s="26"/>
    </row>
    <row r="3196" spans="1:16" ht="14.5">
      <c r="A3196" s="3" t="s">
        <v>255</v>
      </c>
      <c r="B3196" s="12" t="s">
        <v>2849</v>
      </c>
      <c r="C3196" s="47" t="s">
        <v>7048</v>
      </c>
      <c r="D3196" s="41" t="str">
        <f ca="1">IFERROR(__xludf.DUMMYFUNCTION("IFERROR(ARRAYFORMULA(REGEXEXTRACT(C3196,""^(?:https?:\/\/)?(?:[^@\n]+@)?(?:www\.)?([^:\/\n]+)"")),"""")"),"redandwhitemagz.com")</f>
        <v>redandwhitemagz.com</v>
      </c>
      <c r="E3196" s="26" t="str">
        <f ca="1">IFERROR(__xludf.DUMMYFUNCTION("""COMPUTED_VALUE"""),"New")</f>
        <v>New</v>
      </c>
      <c r="F3196" s="72">
        <v>66</v>
      </c>
      <c r="G3196" s="72">
        <v>20083</v>
      </c>
      <c r="J3196" s="27" t="s">
        <v>7049</v>
      </c>
      <c r="K3196" s="27" t="s">
        <v>3756</v>
      </c>
      <c r="L3196" s="112"/>
      <c r="M3196" s="51" t="s">
        <v>3117</v>
      </c>
      <c r="N3196" s="83">
        <v>46061</v>
      </c>
      <c r="P3196" s="27" t="s">
        <v>3201</v>
      </c>
    </row>
    <row r="3197" spans="1:16" ht="14.5">
      <c r="A3197" s="3" t="s">
        <v>255</v>
      </c>
      <c r="B3197" s="17" t="s">
        <v>2850</v>
      </c>
      <c r="C3197" s="47" t="s">
        <v>7050</v>
      </c>
      <c r="D3197" s="41" t="str">
        <f ca="1">IFERROR(__xludf.DUMMYFUNCTION("IFERROR(ARRAYFORMULA(REGEXEXTRACT(C3197,""^(?:https?:\/\/)?(?:[^@\n]+@)?(?:www\.)?([^:\/\n]+)"")),"""")"),"kdarchitects.us")</f>
        <v>kdarchitects.us</v>
      </c>
      <c r="E3197" s="26" t="str">
        <f ca="1">IFERROR(__xludf.DUMMYFUNCTION("""COMPUTED_VALUE"""),"New")</f>
        <v>New</v>
      </c>
      <c r="F3197" s="72">
        <v>37</v>
      </c>
      <c r="G3197" s="72">
        <v>2406</v>
      </c>
      <c r="J3197" s="27" t="s">
        <v>7051</v>
      </c>
      <c r="K3197" s="27" t="s">
        <v>3756</v>
      </c>
      <c r="L3197" s="112"/>
      <c r="M3197" s="51" t="s">
        <v>3117</v>
      </c>
      <c r="N3197" s="83">
        <v>46061</v>
      </c>
      <c r="P3197" s="27" t="s">
        <v>3201</v>
      </c>
    </row>
    <row r="3198" spans="1:16" ht="14.5">
      <c r="A3198" s="3" t="s">
        <v>255</v>
      </c>
      <c r="B3198" s="12" t="s">
        <v>2850</v>
      </c>
      <c r="C3198" s="46" t="s">
        <v>7052</v>
      </c>
      <c r="D3198" s="41" t="str">
        <f ca="1">IFERROR(__xludf.DUMMYFUNCTION("IFERROR(ARRAYFORMULA(REGEXEXTRACT(C3198,""^(?:https?:\/\/)?(?:[^@\n]+@)?(?:www\.)?([^:\/\n]+)"")),"""")"),"dutable.com")</f>
        <v>dutable.com</v>
      </c>
      <c r="E3198" s="26" t="str">
        <f ca="1">IFERROR(__xludf.DUMMYFUNCTION("""COMPUTED_VALUE"""),"New")</f>
        <v>New</v>
      </c>
      <c r="F3198" s="72">
        <v>64</v>
      </c>
      <c r="G3198" s="72">
        <v>3129</v>
      </c>
      <c r="P3198" s="26"/>
    </row>
    <row r="3199" spans="1:16" ht="14.5" hidden="1">
      <c r="A3199" s="3" t="s">
        <v>255</v>
      </c>
      <c r="B3199" s="12" t="s">
        <v>2850</v>
      </c>
      <c r="C3199" s="47" t="s">
        <v>7053</v>
      </c>
      <c r="D3199" s="41" t="str">
        <f ca="1">IFERROR(__xludf.DUMMYFUNCTION("IFERROR(ARRAYFORMULA(REGEXEXTRACT(C3199,""^(?:https?:\/\/)?(?:[^@\n]+@)?(?:www\.)?([^:\/\n]+)"")),"""")"),"rawmags.com")</f>
        <v>rawmags.com</v>
      </c>
      <c r="E3199" s="26" t="str">
        <f ca="1">IFERROR(__xludf.DUMMYFUNCTION("""COMPUTED_VALUE"""),"Already Exists")</f>
        <v>Already Exists</v>
      </c>
      <c r="F3199" s="72">
        <v>27</v>
      </c>
      <c r="G3199" s="72">
        <v>3745</v>
      </c>
      <c r="J3199" s="27" t="s">
        <v>7054</v>
      </c>
      <c r="K3199" s="27" t="s">
        <v>3756</v>
      </c>
      <c r="L3199" s="112"/>
      <c r="M3199" s="51" t="s">
        <v>3117</v>
      </c>
      <c r="N3199" s="83">
        <v>46061</v>
      </c>
      <c r="P3199" s="27" t="s">
        <v>3201</v>
      </c>
    </row>
    <row r="3200" spans="1:16" ht="14.5">
      <c r="A3200" s="3" t="s">
        <v>255</v>
      </c>
      <c r="B3200" s="12" t="s">
        <v>2850</v>
      </c>
      <c r="C3200" s="46" t="s">
        <v>7055</v>
      </c>
      <c r="D3200" s="41" t="str">
        <f ca="1">IFERROR(__xludf.DUMMYFUNCTION("IFERROR(ARRAYFORMULA(REGEXEXTRACT(C3200,""^(?:https?:\/\/)?(?:[^@\n]+@)?(?:www\.)?([^:\/\n]+)"")),"""")"),"zerohedge.com")</f>
        <v>zerohedge.com</v>
      </c>
      <c r="E3200" s="26" t="str">
        <f ca="1">IFERROR(__xludf.DUMMYFUNCTION("""COMPUTED_VALUE"""),"New")</f>
        <v>New</v>
      </c>
      <c r="F3200" s="72">
        <v>80</v>
      </c>
      <c r="G3200" s="72">
        <v>542369</v>
      </c>
      <c r="P3200" s="26"/>
    </row>
    <row r="3201" spans="1:16" ht="14.5">
      <c r="A3201" s="3" t="s">
        <v>255</v>
      </c>
      <c r="B3201" s="12" t="s">
        <v>2850</v>
      </c>
      <c r="C3201" s="46" t="s">
        <v>7056</v>
      </c>
      <c r="D3201" s="41" t="str">
        <f ca="1">IFERROR(__xludf.DUMMYFUNCTION("IFERROR(ARRAYFORMULA(REGEXEXTRACT(C3201,""^(?:https?:\/\/)?(?:[^@\n]+@)?(?:www\.)?([^:\/\n]+)"")),"""")"),"leetcode.com")</f>
        <v>leetcode.com</v>
      </c>
      <c r="E3201" s="26" t="str">
        <f ca="1">IFERROR(__xludf.DUMMYFUNCTION("""COMPUTED_VALUE"""),"New")</f>
        <v>New</v>
      </c>
      <c r="F3201" s="72">
        <v>86</v>
      </c>
      <c r="G3201" s="72">
        <v>2127366</v>
      </c>
      <c r="P3201" s="26"/>
    </row>
    <row r="3202" spans="1:16" ht="14.5">
      <c r="A3202" s="3" t="s">
        <v>255</v>
      </c>
      <c r="B3202" s="12" t="s">
        <v>2850</v>
      </c>
      <c r="C3202" s="46" t="s">
        <v>7057</v>
      </c>
      <c r="D3202" s="41" t="str">
        <f ca="1">IFERROR(__xludf.DUMMYFUNCTION("IFERROR(ARRAYFORMULA(REGEXEXTRACT(C3202,""^(?:https?:\/\/)?(?:[^@\n]+@)?(?:www\.)?([^:\/\n]+)"")),"""")"),"24hourfloodpros.alboompro.com")</f>
        <v>24hourfloodpros.alboompro.com</v>
      </c>
      <c r="E3202" s="26" t="str">
        <f ca="1">IFERROR(__xludf.DUMMYFUNCTION("""COMPUTED_VALUE"""),"New")</f>
        <v>New</v>
      </c>
      <c r="F3202" s="72">
        <v>82</v>
      </c>
      <c r="G3202" s="72">
        <v>33311</v>
      </c>
      <c r="P3202" s="26"/>
    </row>
    <row r="3203" spans="1:16" ht="14.5">
      <c r="A3203" s="3" t="s">
        <v>255</v>
      </c>
      <c r="B3203" s="12" t="s">
        <v>2850</v>
      </c>
      <c r="C3203" s="46" t="s">
        <v>7058</v>
      </c>
      <c r="D3203" s="41" t="str">
        <f ca="1">IFERROR(__xludf.DUMMYFUNCTION("IFERROR(ARRAYFORMULA(REGEXEXTRACT(C3203,""^(?:https?:\/\/)?(?:[^@\n]+@)?(?:www\.)?([^:\/\n]+)"")),"""")"),"linkbio.co")</f>
        <v>linkbio.co</v>
      </c>
      <c r="E3203" s="26" t="str">
        <f ca="1">IFERROR(__xludf.DUMMYFUNCTION("""COMPUTED_VALUE"""),"New")</f>
        <v>New</v>
      </c>
      <c r="F3203" s="72">
        <v>76</v>
      </c>
      <c r="G3203" s="72">
        <v>3437</v>
      </c>
      <c r="P3203" s="26"/>
    </row>
    <row r="3204" spans="1:16" ht="14.5">
      <c r="A3204" s="3" t="s">
        <v>255</v>
      </c>
      <c r="B3204" s="12" t="s">
        <v>2850</v>
      </c>
      <c r="C3204" s="46" t="s">
        <v>7059</v>
      </c>
      <c r="D3204" s="41" t="str">
        <f ca="1">IFERROR(__xludf.DUMMYFUNCTION("IFERROR(ARRAYFORMULA(REGEXEXTRACT(C3204,""^(?:https?:\/\/)?(?:[^@\n]+@)?(?:www\.)?([^:\/\n]+)"")),"""")"),"audiomack.com")</f>
        <v>audiomack.com</v>
      </c>
      <c r="E3204" s="26" t="str">
        <f ca="1">IFERROR(__xludf.DUMMYFUNCTION("""COMPUTED_VALUE"""),"New")</f>
        <v>New</v>
      </c>
      <c r="F3204" s="72">
        <v>82</v>
      </c>
      <c r="G3204" s="72">
        <v>968626</v>
      </c>
      <c r="P3204" s="26"/>
    </row>
    <row r="3205" spans="1:16" ht="14.5">
      <c r="A3205" s="3" t="s">
        <v>255</v>
      </c>
      <c r="B3205" s="12" t="s">
        <v>2850</v>
      </c>
      <c r="C3205" s="46" t="s">
        <v>7060</v>
      </c>
      <c r="D3205" s="41" t="str">
        <f ca="1">IFERROR(__xludf.DUMMYFUNCTION("IFERROR(ARRAYFORMULA(REGEXEXTRACT(C3205,""^(?:https?:\/\/)?(?:[^@\n]+@)?(?:www\.)?([^:\/\n]+)"")),"""")"),"oysterlink.com")</f>
        <v>oysterlink.com</v>
      </c>
      <c r="E3205" s="26" t="str">
        <f ca="1">IFERROR(__xludf.DUMMYFUNCTION("""COMPUTED_VALUE"""),"New")</f>
        <v>New</v>
      </c>
      <c r="F3205" s="72">
        <v>68</v>
      </c>
      <c r="G3205" s="72">
        <v>175764</v>
      </c>
      <c r="P3205" s="26"/>
    </row>
    <row r="3206" spans="1:16" ht="14.5">
      <c r="A3206" s="3" t="s">
        <v>255</v>
      </c>
      <c r="B3206" s="12" t="s">
        <v>2850</v>
      </c>
      <c r="C3206" s="46" t="s">
        <v>7061</v>
      </c>
      <c r="D3206" s="41" t="str">
        <f ca="1">IFERROR(__xludf.DUMMYFUNCTION("IFERROR(ARRAYFORMULA(REGEXEXTRACT(C3206,""^(?:https?:\/\/)?(?:[^@\n]+@)?(?:www\.)?([^:\/\n]+)"")),"""")"),"dailytrust.com")</f>
        <v>dailytrust.com</v>
      </c>
      <c r="E3206" s="26" t="str">
        <f ca="1">IFERROR(__xludf.DUMMYFUNCTION("""COMPUTED_VALUE"""),"New")</f>
        <v>New</v>
      </c>
      <c r="F3206" s="72">
        <v>74</v>
      </c>
      <c r="G3206" s="72">
        <v>123410</v>
      </c>
      <c r="P3206" s="26"/>
    </row>
    <row r="3207" spans="1:16" ht="14.5">
      <c r="A3207" s="3" t="s">
        <v>255</v>
      </c>
      <c r="B3207" s="12" t="s">
        <v>2850</v>
      </c>
      <c r="C3207" s="46" t="s">
        <v>7062</v>
      </c>
      <c r="D3207" s="41" t="str">
        <f ca="1">IFERROR(__xludf.DUMMYFUNCTION("IFERROR(ARRAYFORMULA(REGEXEXTRACT(C3207,""^(?:https?:\/\/)?(?:[^@\n]+@)?(?:www\.)?([^:\/\n]+)"")),"""")"),"notebook.ai")</f>
        <v>notebook.ai</v>
      </c>
      <c r="E3207" s="26" t="str">
        <f ca="1">IFERROR(__xludf.DUMMYFUNCTION("""COMPUTED_VALUE"""),"New")</f>
        <v>New</v>
      </c>
      <c r="F3207" s="72">
        <v>68</v>
      </c>
      <c r="G3207" s="72">
        <v>3147</v>
      </c>
      <c r="P3207" s="26"/>
    </row>
    <row r="3208" spans="1:16" ht="14.5">
      <c r="A3208" s="3" t="s">
        <v>255</v>
      </c>
      <c r="B3208" s="12" t="s">
        <v>2850</v>
      </c>
      <c r="C3208" s="46" t="s">
        <v>7063</v>
      </c>
      <c r="D3208" s="41" t="str">
        <f ca="1">IFERROR(__xludf.DUMMYFUNCTION("IFERROR(ARRAYFORMULA(REGEXEXTRACT(C3208,""^(?:https?:\/\/)?(?:[^@\n]+@)?(?:www\.)?([^:\/\n]+)"")),"""")"),"findtheneedle.co.uk")</f>
        <v>findtheneedle.co.uk</v>
      </c>
      <c r="E3208" s="26" t="str">
        <f ca="1">IFERROR(__xludf.DUMMYFUNCTION("""COMPUTED_VALUE"""),"New")</f>
        <v>New</v>
      </c>
      <c r="F3208" s="72">
        <v>54</v>
      </c>
      <c r="G3208" s="72">
        <v>2750</v>
      </c>
      <c r="P3208" s="26"/>
    </row>
    <row r="3209" spans="1:16" ht="14.5" hidden="1">
      <c r="A3209" s="3" t="s">
        <v>255</v>
      </c>
      <c r="B3209" s="12" t="s">
        <v>2850</v>
      </c>
      <c r="C3209" s="46" t="s">
        <v>7064</v>
      </c>
      <c r="D3209" s="41" t="str">
        <f ca="1">IFERROR(__xludf.DUMMYFUNCTION("IFERROR(ARRAYFORMULA(REGEXEXTRACT(C3209,""^(?:https?:\/\/)?(?:[^@\n]+@)?(?:www\.)?([^:\/\n]+)"")),"""")"),"ukconstructionblog.co.uk")</f>
        <v>ukconstructionblog.co.uk</v>
      </c>
      <c r="E3209" s="26" t="str">
        <f ca="1">IFERROR(__xludf.DUMMYFUNCTION("""COMPUTED_VALUE"""),"Already Exists")</f>
        <v>Already Exists</v>
      </c>
      <c r="F3209" s="72">
        <v>45</v>
      </c>
      <c r="G3209" s="72">
        <v>1070</v>
      </c>
      <c r="P3209" s="26"/>
    </row>
    <row r="3210" spans="1:16" ht="14.5">
      <c r="A3210" s="3" t="s">
        <v>255</v>
      </c>
      <c r="B3210" s="12" t="s">
        <v>2850</v>
      </c>
      <c r="C3210" s="46" t="s">
        <v>7065</v>
      </c>
      <c r="D3210" s="41" t="str">
        <f ca="1">IFERROR(__xludf.DUMMYFUNCTION("IFERROR(ARRAYFORMULA(REGEXEXTRACT(C3210,""^(?:https?:\/\/)?(?:[^@\n]+@)?(?:www\.)?([^:\/\n]+)"")),"""")"),"network.musicdiffusion.com")</f>
        <v>network.musicdiffusion.com</v>
      </c>
      <c r="E3210" s="26" t="str">
        <f ca="1">IFERROR(__xludf.DUMMYFUNCTION("""COMPUTED_VALUE"""),"New")</f>
        <v>New</v>
      </c>
      <c r="F3210" s="72">
        <v>56</v>
      </c>
      <c r="G3210" s="72">
        <v>1536</v>
      </c>
      <c r="P3210" s="26"/>
    </row>
    <row r="3211" spans="1:16" ht="14.5">
      <c r="A3211" s="3" t="s">
        <v>255</v>
      </c>
      <c r="B3211" s="12" t="s">
        <v>2850</v>
      </c>
      <c r="C3211" s="46" t="s">
        <v>7066</v>
      </c>
      <c r="D3211" s="41" t="str">
        <f ca="1">IFERROR(__xludf.DUMMYFUNCTION("IFERROR(ARRAYFORMULA(REGEXEXTRACT(C3211,""^(?:https?:\/\/)?(?:[^@\n]+@)?(?:www\.)?([^:\/\n]+)"")),"""")"),"24-hour-flood-pros-llc.careerplug.com")</f>
        <v>24-hour-flood-pros-llc.careerplug.com</v>
      </c>
      <c r="E3211" s="26" t="str">
        <f ca="1">IFERROR(__xludf.DUMMYFUNCTION("""COMPUTED_VALUE"""),"New")</f>
        <v>New</v>
      </c>
      <c r="F3211" s="72">
        <v>82</v>
      </c>
      <c r="G3211" s="72">
        <v>27416</v>
      </c>
      <c r="P3211" s="26"/>
    </row>
    <row r="3212" spans="1:16" ht="14.5">
      <c r="A3212" s="3" t="s">
        <v>255</v>
      </c>
      <c r="B3212" s="57" t="s">
        <v>2851</v>
      </c>
      <c r="C3212" s="46" t="s">
        <v>7067</v>
      </c>
      <c r="D3212" s="41" t="str">
        <f ca="1">IFERROR(__xludf.DUMMYFUNCTION("IFERROR(ARRAYFORMULA(REGEXEXTRACT(C3212,""^(?:https?:\/\/)?(?:[^@\n]+@)?(?:www\.)?([^:\/\n]+)"")),"""")"),"buddyprogram.org")</f>
        <v>buddyprogram.org</v>
      </c>
      <c r="E3212" s="26" t="str">
        <f ca="1">IFERROR(__xludf.DUMMYFUNCTION("""COMPUTED_VALUE"""),"New")</f>
        <v>New</v>
      </c>
      <c r="F3212" s="72">
        <v>31</v>
      </c>
      <c r="G3212" s="72">
        <v>5917</v>
      </c>
      <c r="P3212" s="26"/>
    </row>
    <row r="3213" spans="1:16" ht="14.5">
      <c r="A3213" s="3" t="s">
        <v>255</v>
      </c>
      <c r="B3213" s="12" t="s">
        <v>2851</v>
      </c>
      <c r="C3213" s="46" t="s">
        <v>7068</v>
      </c>
      <c r="D3213" s="41" t="str">
        <f ca="1">IFERROR(__xludf.DUMMYFUNCTION("IFERROR(ARRAYFORMULA(REGEXEXTRACT(C3213,""^(?:https?:\/\/)?(?:[^@\n]+@)?(?:www\.)?([^:\/\n]+)"")),"""")"),"berridge.com")</f>
        <v>berridge.com</v>
      </c>
      <c r="E3213" s="26" t="str">
        <f ca="1">IFERROR(__xludf.DUMMYFUNCTION("""COMPUTED_VALUE"""),"New")</f>
        <v>New</v>
      </c>
      <c r="F3213" s="72">
        <v>54</v>
      </c>
      <c r="G3213" s="72">
        <v>3751</v>
      </c>
      <c r="P3213" s="26"/>
    </row>
    <row r="3214" spans="1:16" ht="14.5">
      <c r="A3214" s="3" t="s">
        <v>255</v>
      </c>
      <c r="B3214" s="12" t="s">
        <v>2851</v>
      </c>
      <c r="C3214" s="46" t="s">
        <v>7069</v>
      </c>
      <c r="D3214" s="41" t="str">
        <f ca="1">IFERROR(__xludf.DUMMYFUNCTION("IFERROR(ARRAYFORMULA(REGEXEXTRACT(C3214,""^(?:https?:\/\/)?(?:[^@\n]+@)?(?:www\.)?([^:\/\n]+)"")),"""")"),"carbondalechamber.chambermaster.com")</f>
        <v>carbondalechamber.chambermaster.com</v>
      </c>
      <c r="E3214" s="26" t="str">
        <f ca="1">IFERROR(__xludf.DUMMYFUNCTION("""COMPUTED_VALUE"""),"New")</f>
        <v>New</v>
      </c>
      <c r="F3214" s="72">
        <v>78</v>
      </c>
      <c r="G3214" s="72">
        <v>65808</v>
      </c>
      <c r="P3214" s="26"/>
    </row>
    <row r="3215" spans="1:16" ht="14.5">
      <c r="A3215" s="3" t="s">
        <v>255</v>
      </c>
      <c r="B3215" s="12" t="s">
        <v>2851</v>
      </c>
      <c r="C3215" s="46" t="s">
        <v>7070</v>
      </c>
      <c r="D3215" s="41" t="str">
        <f ca="1">IFERROR(__xludf.DUMMYFUNCTION("IFERROR(ARRAYFORMULA(REGEXEXTRACT(C3215,""^(?:https?:\/\/)?(?:[^@\n]+@)?(?:www\.)?([^:\/\n]+)"")),"""")"),"associatedgeneralcontractorsofcolorado.growthzoneapp.com")</f>
        <v>associatedgeneralcontractorsofcolorado.growthzoneapp.com</v>
      </c>
      <c r="E3215" s="26" t="str">
        <f ca="1">IFERROR(__xludf.DUMMYFUNCTION("""COMPUTED_VALUE"""),"New")</f>
        <v>New</v>
      </c>
      <c r="F3215" s="72">
        <v>78</v>
      </c>
      <c r="G3215" s="72">
        <v>11176</v>
      </c>
      <c r="P3215" s="26"/>
    </row>
    <row r="3216" spans="1:16" ht="14.5">
      <c r="A3216" s="3" t="s">
        <v>255</v>
      </c>
      <c r="B3216" s="12" t="s">
        <v>2851</v>
      </c>
      <c r="C3216" s="46" t="s">
        <v>7071</v>
      </c>
      <c r="D3216" s="41" t="str">
        <f ca="1">IFERROR(__xludf.DUMMYFUNCTION("IFERROR(ARRAYFORMULA(REGEXEXTRACT(C3216,""^(?:https?:\/\/)?(?:[^@\n]+@)?(?:www\.)?([^:\/\n]+)"")),"""")"),"agccolorado.memberzone.com")</f>
        <v>agccolorado.memberzone.com</v>
      </c>
      <c r="E3216" s="26" t="str">
        <f ca="1">IFERROR(__xludf.DUMMYFUNCTION("""COMPUTED_VALUE"""),"New")</f>
        <v>New</v>
      </c>
      <c r="F3216" s="72">
        <v>61</v>
      </c>
      <c r="G3216" s="72">
        <v>3233</v>
      </c>
      <c r="H3216" s="39"/>
      <c r="P3216" s="26"/>
    </row>
    <row r="3217" spans="1:16" ht="14.5">
      <c r="A3217" s="3" t="s">
        <v>255</v>
      </c>
      <c r="B3217" s="17" t="s">
        <v>2852</v>
      </c>
      <c r="C3217" s="46" t="s">
        <v>7072</v>
      </c>
      <c r="D3217" s="41" t="str">
        <f ca="1">IFERROR(__xludf.DUMMYFUNCTION("IFERROR(ARRAYFORMULA(REGEXEXTRACT(C3217,""^(?:https?:\/\/)?(?:[^@\n]+@)?(?:www\.)?([^:\/\n]+)"")),"""")"),"cadcrowd.com")</f>
        <v>cadcrowd.com</v>
      </c>
      <c r="E3217" s="26" t="str">
        <f ca="1">IFERROR(__xludf.DUMMYFUNCTION("""COMPUTED_VALUE"""),"New")</f>
        <v>New</v>
      </c>
      <c r="F3217" s="72">
        <v>57</v>
      </c>
      <c r="G3217" s="72">
        <v>29416</v>
      </c>
      <c r="P3217" s="26"/>
    </row>
    <row r="3218" spans="1:16" ht="14.5" hidden="1">
      <c r="A3218" s="3" t="s">
        <v>255</v>
      </c>
      <c r="B3218" s="12" t="s">
        <v>2852</v>
      </c>
      <c r="C3218" s="47" t="s">
        <v>7073</v>
      </c>
      <c r="D3218" s="41" t="str">
        <f ca="1">IFERROR(__xludf.DUMMYFUNCTION("IFERROR(ARRAYFORMULA(REGEXEXTRACT(C3218,""^(?:https?:\/\/)?(?:[^@\n]+@)?(?:www\.)?([^:\/\n]+)"")),"""")"),"shedblog.com.au")</f>
        <v>shedblog.com.au</v>
      </c>
      <c r="E3218" s="26" t="str">
        <f ca="1">IFERROR(__xludf.DUMMYFUNCTION("""COMPUTED_VALUE"""),"Already Exists")</f>
        <v>Already Exists</v>
      </c>
      <c r="F3218" s="72">
        <v>35</v>
      </c>
      <c r="G3218" s="72">
        <v>2247</v>
      </c>
      <c r="H3218" s="27" t="s">
        <v>4298</v>
      </c>
      <c r="I3218" s="27" t="s">
        <v>7074</v>
      </c>
      <c r="J3218" s="27" t="s">
        <v>7075</v>
      </c>
      <c r="K3218" s="27" t="s">
        <v>3844</v>
      </c>
      <c r="L3218" s="112"/>
      <c r="M3218" s="51" t="s">
        <v>3117</v>
      </c>
      <c r="N3218" s="83">
        <v>46061</v>
      </c>
      <c r="P3218" s="27" t="s">
        <v>3201</v>
      </c>
    </row>
    <row r="3219" spans="1:16" ht="14.5">
      <c r="A3219" s="3" t="s">
        <v>255</v>
      </c>
      <c r="B3219" s="12" t="s">
        <v>2852</v>
      </c>
      <c r="C3219" s="49" t="s">
        <v>7076</v>
      </c>
      <c r="D3219" s="41" t="str">
        <f ca="1">IFERROR(__xludf.DUMMYFUNCTION("IFERROR(ARRAYFORMULA(REGEXEXTRACT(C3219,""^(?:https?:\/\/)?(?:[^@\n]+@)?(?:www\.)?([^:\/\n]+)"")),"""")"),"din-studio.com")</f>
        <v>din-studio.com</v>
      </c>
      <c r="E3219" s="26" t="str">
        <f ca="1">IFERROR(__xludf.DUMMYFUNCTION("""COMPUTED_VALUE"""),"New")</f>
        <v>New</v>
      </c>
      <c r="F3219" s="72">
        <v>49</v>
      </c>
      <c r="G3219" s="72">
        <v>3558</v>
      </c>
      <c r="P3219" s="26"/>
    </row>
    <row r="3220" spans="1:16" ht="14.5" hidden="1">
      <c r="A3220" s="3" t="s">
        <v>255</v>
      </c>
      <c r="B3220" s="12" t="s">
        <v>2852</v>
      </c>
      <c r="C3220" s="47" t="s">
        <v>7077</v>
      </c>
      <c r="D3220" s="41" t="str">
        <f ca="1">IFERROR(__xludf.DUMMYFUNCTION("IFERROR(ARRAYFORMULA(REGEXEXTRACT(C3220,""^(?:https?:\/\/)?(?:[^@\n]+@)?(?:www\.)?([^:\/\n]+)"")),"""")"),"bluelinebiz.com")</f>
        <v>bluelinebiz.com</v>
      </c>
      <c r="E3220" s="26" t="str">
        <f ca="1">IFERROR(__xludf.DUMMYFUNCTION("""COMPUTED_VALUE"""),"Already Exists")</f>
        <v>Already Exists</v>
      </c>
      <c r="F3220" s="72">
        <v>45</v>
      </c>
      <c r="G3220" s="72">
        <v>2344</v>
      </c>
      <c r="J3220" s="27" t="s">
        <v>7078</v>
      </c>
      <c r="K3220" s="27" t="s">
        <v>7079</v>
      </c>
      <c r="L3220" s="112"/>
      <c r="M3220" s="51" t="s">
        <v>3117</v>
      </c>
      <c r="N3220" s="83">
        <v>46061</v>
      </c>
      <c r="P3220" s="27" t="s">
        <v>3201</v>
      </c>
    </row>
    <row r="3221" spans="1:16" ht="14.5">
      <c r="A3221" s="3" t="s">
        <v>255</v>
      </c>
      <c r="B3221" s="12" t="s">
        <v>2852</v>
      </c>
      <c r="C3221" s="46" t="s">
        <v>7080</v>
      </c>
      <c r="D3221" s="41" t="str">
        <f ca="1">IFERROR(__xludf.DUMMYFUNCTION("IFERROR(ARRAYFORMULA(REGEXEXTRACT(C3221,""^(?:https?:\/\/)?(?:[^@\n]+@)?(?:www\.)?([^:\/\n]+)"")),"""")"),"saudi-expatriates.com")</f>
        <v>saudi-expatriates.com</v>
      </c>
      <c r="E3221" s="26" t="str">
        <f ca="1">IFERROR(__xludf.DUMMYFUNCTION("""COMPUTED_VALUE"""),"New")</f>
        <v>New</v>
      </c>
      <c r="F3221" s="72">
        <v>27</v>
      </c>
      <c r="G3221" s="72">
        <v>7068</v>
      </c>
      <c r="P3221" s="26"/>
    </row>
    <row r="3222" spans="1:16" ht="14.5">
      <c r="A3222" s="3" t="s">
        <v>255</v>
      </c>
      <c r="B3222" s="12" t="s">
        <v>2852</v>
      </c>
      <c r="C3222" s="46" t="s">
        <v>7081</v>
      </c>
      <c r="D3222" s="41" t="str">
        <f ca="1">IFERROR(__xludf.DUMMYFUNCTION("IFERROR(ARRAYFORMULA(REGEXEXTRACT(C3222,""^(?:https?:\/\/)?(?:[^@\n]+@)?(?:www\.)?([^:\/\n]+)"")),"""")"),"knowff.com")</f>
        <v>knowff.com</v>
      </c>
      <c r="E3222" s="26" t="str">
        <f ca="1">IFERROR(__xludf.DUMMYFUNCTION("""COMPUTED_VALUE"""),"New")</f>
        <v>New</v>
      </c>
      <c r="F3222" s="72">
        <v>71</v>
      </c>
      <c r="G3222" s="72">
        <v>5202</v>
      </c>
      <c r="P3222" s="26"/>
    </row>
    <row r="3223" spans="1:16" ht="14.5">
      <c r="A3223" s="3" t="s">
        <v>255</v>
      </c>
      <c r="B3223" s="12" t="s">
        <v>2852</v>
      </c>
      <c r="C3223" s="46" t="s">
        <v>7082</v>
      </c>
      <c r="D3223" s="41" t="str">
        <f ca="1">IFERROR(__xludf.DUMMYFUNCTION("IFERROR(ARRAYFORMULA(REGEXEXTRACT(C3223,""^(?:https?:\/\/)?(?:[^@\n]+@)?(?:www\.)?([^:\/\n]+)"")),"""")"),"businesstask.co.uk")</f>
        <v>businesstask.co.uk</v>
      </c>
      <c r="E3223" s="26" t="str">
        <f ca="1">IFERROR(__xludf.DUMMYFUNCTION("""COMPUTED_VALUE"""),"New")</f>
        <v>New</v>
      </c>
      <c r="F3223" s="72">
        <v>54</v>
      </c>
      <c r="G3223" s="72">
        <v>1794</v>
      </c>
      <c r="P3223" s="26"/>
    </row>
    <row r="3224" spans="1:16" ht="14.5" hidden="1">
      <c r="A3224" s="3" t="s">
        <v>255</v>
      </c>
      <c r="B3224" s="12" t="s">
        <v>2852</v>
      </c>
      <c r="C3224" s="47" t="s">
        <v>7083</v>
      </c>
      <c r="D3224" s="41" t="str">
        <f ca="1">IFERROR(__xludf.DUMMYFUNCTION("IFERROR(ARRAYFORMULA(REGEXEXTRACT(C3224,""^(?:https?:\/\/)?(?:[^@\n]+@)?(?:www\.)?([^:\/\n]+)"")),"""")"),"addmagazine.co.uk")</f>
        <v>addmagazine.co.uk</v>
      </c>
      <c r="E3224" s="26" t="str">
        <f ca="1">IFERROR(__xludf.DUMMYFUNCTION("""COMPUTED_VALUE"""),"Already Exists")</f>
        <v>Already Exists</v>
      </c>
      <c r="F3224" s="72">
        <v>61</v>
      </c>
      <c r="G3224" s="72">
        <v>110591</v>
      </c>
      <c r="J3224" s="27" t="s">
        <v>7084</v>
      </c>
      <c r="K3224" s="27" t="s">
        <v>7085</v>
      </c>
      <c r="L3224" s="112"/>
      <c r="M3224" s="51" t="s">
        <v>3117</v>
      </c>
      <c r="N3224" s="83">
        <v>46061</v>
      </c>
      <c r="P3224" s="27" t="s">
        <v>3201</v>
      </c>
    </row>
    <row r="3225" spans="1:16" ht="14.5">
      <c r="A3225" s="3" t="s">
        <v>255</v>
      </c>
      <c r="B3225" s="12" t="s">
        <v>2852</v>
      </c>
      <c r="C3225" s="47" t="s">
        <v>7086</v>
      </c>
      <c r="D3225" s="41" t="str">
        <f ca="1">IFERROR(__xludf.DUMMYFUNCTION("IFERROR(ARRAYFORMULA(REGEXEXTRACT(C3225,""^(?:https?:\/\/)?(?:[^@\n]+@)?(?:www\.)?([^:\/\n]+)"")),"""")"),"myarchitectai.com")</f>
        <v>myarchitectai.com</v>
      </c>
      <c r="E3225" s="26" t="str">
        <f ca="1">IFERROR(__xludf.DUMMYFUNCTION("""COMPUTED_VALUE"""),"New")</f>
        <v>New</v>
      </c>
      <c r="F3225" s="72">
        <v>38</v>
      </c>
      <c r="G3225" s="72">
        <v>30007</v>
      </c>
      <c r="H3225" s="27" t="s">
        <v>7087</v>
      </c>
      <c r="I3225" s="27" t="s">
        <v>7088</v>
      </c>
      <c r="J3225" s="27" t="s">
        <v>7089</v>
      </c>
      <c r="K3225" s="27" t="s">
        <v>7090</v>
      </c>
      <c r="L3225" s="112"/>
      <c r="M3225" s="51" t="s">
        <v>3117</v>
      </c>
      <c r="N3225" s="83">
        <v>46061</v>
      </c>
      <c r="P3225" s="27" t="s">
        <v>3201</v>
      </c>
    </row>
    <row r="3226" spans="1:16" ht="14.5">
      <c r="A3226" s="3" t="s">
        <v>255</v>
      </c>
      <c r="B3226" s="12" t="s">
        <v>2852</v>
      </c>
      <c r="C3226" s="46" t="s">
        <v>7091</v>
      </c>
      <c r="D3226" s="41" t="str">
        <f ca="1">IFERROR(__xludf.DUMMYFUNCTION("IFERROR(ARRAYFORMULA(REGEXEXTRACT(C3226,""^(?:https?:\/\/)?(?:[^@\n]+@)?(?:www\.)?([^:\/\n]+)"")),"""")"),"sendbridge.com")</f>
        <v>sendbridge.com</v>
      </c>
      <c r="E3226" s="26" t="str">
        <f ca="1">IFERROR(__xludf.DUMMYFUNCTION("""COMPUTED_VALUE"""),"New")</f>
        <v>New</v>
      </c>
      <c r="F3226" s="72">
        <v>32</v>
      </c>
      <c r="G3226" s="72">
        <v>7330</v>
      </c>
      <c r="P3226" s="26"/>
    </row>
    <row r="3227" spans="1:16" ht="14.5">
      <c r="A3227" s="3" t="s">
        <v>255</v>
      </c>
      <c r="B3227" s="12" t="s">
        <v>2852</v>
      </c>
      <c r="C3227" s="46" t="s">
        <v>7092</v>
      </c>
      <c r="D3227" s="41" t="str">
        <f ca="1">IFERROR(__xludf.DUMMYFUNCTION("IFERROR(ARRAYFORMULA(REGEXEXTRACT(C3227,""^(?:https?:\/\/)?(?:[^@\n]+@)?(?:www\.)?([^:\/\n]+)"")),"""")"),"humansofglobe.com")</f>
        <v>humansofglobe.com</v>
      </c>
      <c r="E3227" s="26" t="str">
        <f ca="1">IFERROR(__xludf.DUMMYFUNCTION("""COMPUTED_VALUE"""),"New")</f>
        <v>New</v>
      </c>
      <c r="F3227" s="72">
        <v>43</v>
      </c>
      <c r="G3227" s="72">
        <v>14531</v>
      </c>
      <c r="P3227" s="26"/>
    </row>
    <row r="3228" spans="1:16" ht="14.5" hidden="1">
      <c r="A3228" s="3" t="s">
        <v>255</v>
      </c>
      <c r="B3228" s="12" t="s">
        <v>2852</v>
      </c>
      <c r="C3228" s="47" t="s">
        <v>7093</v>
      </c>
      <c r="D3228" s="41" t="str">
        <f ca="1">IFERROR(__xludf.DUMMYFUNCTION("IFERROR(ARRAYFORMULA(REGEXEXTRACT(C3228,""^(?:https?:\/\/)?(?:[^@\n]+@)?(?:www\.)?([^:\/\n]+)"")),"""")"),"hickmandesign.co.uk")</f>
        <v>hickmandesign.co.uk</v>
      </c>
      <c r="E3228" s="26" t="str">
        <f ca="1">IFERROR(__xludf.DUMMYFUNCTION("""COMPUTED_VALUE"""),"Already Exists")</f>
        <v>Already Exists</v>
      </c>
      <c r="F3228" s="72">
        <v>45</v>
      </c>
      <c r="G3228" s="72">
        <v>3082</v>
      </c>
      <c r="H3228" s="27" t="s">
        <v>7094</v>
      </c>
      <c r="I3228" s="27" t="s">
        <v>7095</v>
      </c>
      <c r="K3228" s="27" t="s">
        <v>7096</v>
      </c>
      <c r="L3228" s="112"/>
      <c r="M3228" s="51" t="s">
        <v>3117</v>
      </c>
      <c r="N3228" s="83">
        <v>46061</v>
      </c>
      <c r="P3228" s="27" t="s">
        <v>3201</v>
      </c>
    </row>
    <row r="3229" spans="1:16" ht="14.5">
      <c r="A3229" s="3" t="s">
        <v>255</v>
      </c>
      <c r="B3229" s="12" t="s">
        <v>2852</v>
      </c>
      <c r="C3229" s="46" t="s">
        <v>7097</v>
      </c>
      <c r="D3229" s="41" t="str">
        <f ca="1">IFERROR(__xludf.DUMMYFUNCTION("IFERROR(ARRAYFORMULA(REGEXEXTRACT(C3229,""^(?:https?:\/\/)?(?:[^@\n]+@)?(?:www\.)?([^:\/\n]+)"")),"""")"),"designsvalley.com")</f>
        <v>designsvalley.com</v>
      </c>
      <c r="E3229" s="26" t="str">
        <f ca="1">IFERROR(__xludf.DUMMYFUNCTION("""COMPUTED_VALUE"""),"New")</f>
        <v>New</v>
      </c>
      <c r="F3229" s="72">
        <v>35</v>
      </c>
      <c r="G3229" s="72">
        <v>1380</v>
      </c>
      <c r="P3229" s="26"/>
    </row>
    <row r="3230" spans="1:16" ht="14.5">
      <c r="A3230" s="3" t="s">
        <v>255</v>
      </c>
      <c r="B3230" s="12" t="s">
        <v>2852</v>
      </c>
      <c r="C3230" s="46" t="s">
        <v>7098</v>
      </c>
      <c r="D3230" s="41" t="str">
        <f ca="1">IFERROR(__xludf.DUMMYFUNCTION("IFERROR(ARRAYFORMULA(REGEXEXTRACT(C3230,""^(?:https?:\/\/)?(?:[^@\n]+@)?(?:www\.)?([^:\/\n]+)"")),"""")"),"cgarchitect.com")</f>
        <v>cgarchitect.com</v>
      </c>
      <c r="E3230" s="26" t="str">
        <f ca="1">IFERROR(__xludf.DUMMYFUNCTION("""COMPUTED_VALUE"""),"New")</f>
        <v>New</v>
      </c>
      <c r="F3230" s="72">
        <v>61</v>
      </c>
      <c r="G3230" s="72">
        <v>2562</v>
      </c>
      <c r="P3230" s="26"/>
    </row>
    <row r="3231" spans="1:16" ht="14.5">
      <c r="A3231" s="3" t="s">
        <v>255</v>
      </c>
      <c r="B3231" s="12" t="s">
        <v>2852</v>
      </c>
      <c r="C3231" s="46" t="s">
        <v>7099</v>
      </c>
      <c r="D3231" s="41" t="str">
        <f ca="1">IFERROR(__xludf.DUMMYFUNCTION("IFERROR(ARRAYFORMULA(REGEXEXTRACT(C3231,""^(?:https?:\/\/)?(?:[^@\n]+@)?(?:www\.)?([^:\/\n]+)"")),"""")"),"nobserver.com")</f>
        <v>nobserver.com</v>
      </c>
      <c r="E3231" s="26" t="str">
        <f ca="1">IFERROR(__xludf.DUMMYFUNCTION("""COMPUTED_VALUE"""),"New")</f>
        <v>New</v>
      </c>
      <c r="F3231" s="72">
        <v>55</v>
      </c>
      <c r="G3231" s="72">
        <v>1255</v>
      </c>
      <c r="P3231" s="26"/>
    </row>
    <row r="3232" spans="1:16" ht="14.5">
      <c r="A3232" s="3" t="s">
        <v>255</v>
      </c>
      <c r="B3232" s="12" t="s">
        <v>2852</v>
      </c>
      <c r="C3232" s="47" t="s">
        <v>7100</v>
      </c>
      <c r="D3232" s="41" t="str">
        <f ca="1">IFERROR(__xludf.DUMMYFUNCTION("IFERROR(ARRAYFORMULA(REGEXEXTRACT(C3232,""^(?:https?:\/\/)?(?:[^@\n]+@)?(?:www\.)?([^:\/\n]+)"")),"""")"),"ordnur.com")</f>
        <v>ordnur.com</v>
      </c>
      <c r="E3232" s="26" t="str">
        <f ca="1">IFERROR(__xludf.DUMMYFUNCTION("""COMPUTED_VALUE"""),"New")</f>
        <v>New</v>
      </c>
      <c r="F3232" s="72">
        <v>31</v>
      </c>
      <c r="G3232" s="72">
        <v>3295</v>
      </c>
      <c r="J3232" s="27" t="s">
        <v>7101</v>
      </c>
      <c r="K3232" s="27" t="s">
        <v>7079</v>
      </c>
      <c r="L3232" s="112"/>
      <c r="M3232" s="51" t="s">
        <v>3117</v>
      </c>
      <c r="N3232" s="83">
        <v>46061</v>
      </c>
      <c r="P3232" s="27" t="s">
        <v>3201</v>
      </c>
    </row>
    <row r="3233" spans="1:16" ht="14.5">
      <c r="A3233" s="3" t="s">
        <v>255</v>
      </c>
      <c r="B3233" s="12" t="s">
        <v>2852</v>
      </c>
      <c r="C3233" s="46" t="s">
        <v>7102</v>
      </c>
      <c r="D3233" s="41" t="str">
        <f ca="1">IFERROR(__xludf.DUMMYFUNCTION("IFERROR(ARRAYFORMULA(REGEXEXTRACT(C3233,""^(?:https?:\/\/)?(?:[^@\n]+@)?(?:www\.)?([^:\/\n]+)"")),"""")"),"thebrandhopper.com")</f>
        <v>thebrandhopper.com</v>
      </c>
      <c r="E3233" s="26" t="str">
        <f ca="1">IFERROR(__xludf.DUMMYFUNCTION("""COMPUTED_VALUE"""),"New")</f>
        <v>New</v>
      </c>
      <c r="F3233" s="72">
        <v>64</v>
      </c>
      <c r="G3233" s="72">
        <v>2990</v>
      </c>
      <c r="P3233" s="26"/>
    </row>
    <row r="3234" spans="1:16" ht="14.5">
      <c r="A3234" s="3" t="s">
        <v>255</v>
      </c>
      <c r="B3234" s="12" t="s">
        <v>2852</v>
      </c>
      <c r="C3234" s="49" t="s">
        <v>7103</v>
      </c>
      <c r="D3234" s="41" t="str">
        <f ca="1">IFERROR(__xludf.DUMMYFUNCTION("IFERROR(ARRAYFORMULA(REGEXEXTRACT(C3234,""^(?:https?:\/\/)?(?:[^@\n]+@)?(?:www\.)?([^:\/\n]+)"")),"""")"),"retail-focus.co.uk")</f>
        <v>retail-focus.co.uk</v>
      </c>
      <c r="E3234" s="26" t="str">
        <f ca="1">IFERROR(__xludf.DUMMYFUNCTION("""COMPUTED_VALUE"""),"New")</f>
        <v>New</v>
      </c>
      <c r="F3234" s="72">
        <v>54</v>
      </c>
      <c r="G3234" s="72">
        <v>1360</v>
      </c>
      <c r="J3234" s="27" t="s">
        <v>7104</v>
      </c>
      <c r="K3234" s="27" t="s">
        <v>5375</v>
      </c>
      <c r="L3234" s="112"/>
      <c r="M3234" s="51" t="s">
        <v>3117</v>
      </c>
      <c r="N3234" s="83">
        <v>46061</v>
      </c>
      <c r="P3234" s="26"/>
    </row>
    <row r="3235" spans="1:16" ht="14.5">
      <c r="A3235" s="3" t="s">
        <v>255</v>
      </c>
      <c r="B3235" s="12" t="s">
        <v>2852</v>
      </c>
      <c r="C3235" s="46" t="s">
        <v>7105</v>
      </c>
      <c r="D3235" s="41" t="str">
        <f ca="1">IFERROR(__xludf.DUMMYFUNCTION("IFERROR(ARRAYFORMULA(REGEXEXTRACT(C3235,""^(?:https?:\/\/)?(?:[^@\n]+@)?(?:www\.)?([^:\/\n]+)"")),"""")"),"designer.tips")</f>
        <v>designer.tips</v>
      </c>
      <c r="E3235" s="26" t="str">
        <f ca="1">IFERROR(__xludf.DUMMYFUNCTION("""COMPUTED_VALUE"""),"New")</f>
        <v>New</v>
      </c>
      <c r="F3235" s="72">
        <v>37</v>
      </c>
      <c r="G3235" s="72">
        <v>1168</v>
      </c>
      <c r="P3235" s="26"/>
    </row>
    <row r="3236" spans="1:16" ht="14.5">
      <c r="A3236" s="3" t="s">
        <v>255</v>
      </c>
      <c r="B3236" s="12" t="s">
        <v>2852</v>
      </c>
      <c r="C3236" s="46" t="s">
        <v>7106</v>
      </c>
      <c r="D3236" s="41" t="str">
        <f ca="1">IFERROR(__xludf.DUMMYFUNCTION("IFERROR(ARRAYFORMULA(REGEXEXTRACT(C3236,""^(?:https?:\/\/)?(?:[^@\n]+@)?(?:www\.)?([^:\/\n]+)"")),"""")"),"modernistic.com")</f>
        <v>modernistic.com</v>
      </c>
      <c r="E3236" s="26" t="str">
        <f ca="1">IFERROR(__xludf.DUMMYFUNCTION("""COMPUTED_VALUE"""),"New")</f>
        <v>New</v>
      </c>
      <c r="F3236" s="72">
        <v>31</v>
      </c>
      <c r="G3236" s="72">
        <v>3132</v>
      </c>
      <c r="P3236" s="26"/>
    </row>
    <row r="3237" spans="1:16" ht="14.5">
      <c r="A3237" s="3" t="s">
        <v>255</v>
      </c>
      <c r="B3237" s="12" t="s">
        <v>2852</v>
      </c>
      <c r="C3237" s="46" t="s">
        <v>7107</v>
      </c>
      <c r="D3237" s="41" t="str">
        <f ca="1">IFERROR(__xludf.DUMMYFUNCTION("IFERROR(ARRAYFORMULA(REGEXEXTRACT(C3237,""^(?:https?:\/\/)?(?:[^@\n]+@)?(?:www\.)?([^:\/\n]+)"")),"""")"),"promoteproject.com")</f>
        <v>promoteproject.com</v>
      </c>
      <c r="E3237" s="26" t="str">
        <f ca="1">IFERROR(__xludf.DUMMYFUNCTION("""COMPUTED_VALUE"""),"New")</f>
        <v>New</v>
      </c>
      <c r="F3237" s="72">
        <v>47</v>
      </c>
      <c r="G3237" s="72">
        <v>1078</v>
      </c>
      <c r="P3237" s="26"/>
    </row>
    <row r="3238" spans="1:16" ht="14.5">
      <c r="A3238" s="3" t="s">
        <v>255</v>
      </c>
      <c r="B3238" s="12" t="s">
        <v>2852</v>
      </c>
      <c r="C3238" s="46" t="s">
        <v>7108</v>
      </c>
      <c r="D3238" s="41" t="str">
        <f ca="1">IFERROR(__xludf.DUMMYFUNCTION("IFERROR(ARRAYFORMULA(REGEXEXTRACT(C3238,""^(?:https?:\/\/)?(?:[^@\n]+@)?(?:www\.)?([^:\/\n]+)"")),"""")"),"mindmingles.com")</f>
        <v>mindmingles.com</v>
      </c>
      <c r="E3238" s="26" t="str">
        <f ca="1">IFERROR(__xludf.DUMMYFUNCTION("""COMPUTED_VALUE"""),"New")</f>
        <v>New</v>
      </c>
      <c r="F3238" s="72">
        <v>44</v>
      </c>
      <c r="G3238" s="72">
        <v>4745</v>
      </c>
      <c r="P3238" s="26"/>
    </row>
    <row r="3239" spans="1:16" ht="14.5">
      <c r="A3239" s="3" t="s">
        <v>255</v>
      </c>
      <c r="B3239" s="12" t="s">
        <v>2852</v>
      </c>
      <c r="C3239" s="46" t="s">
        <v>7109</v>
      </c>
      <c r="D3239" s="41" t="str">
        <f ca="1">IFERROR(__xludf.DUMMYFUNCTION("IFERROR(ARRAYFORMULA(REGEXEXTRACT(C3239,""^(?:https?:\/\/)?(?:[^@\n]+@)?(?:www\.)?([^:\/\n]+)"")),"""")"),"thecwordmag.co.uk")</f>
        <v>thecwordmag.co.uk</v>
      </c>
      <c r="E3239" s="26" t="str">
        <f ca="1">IFERROR(__xludf.DUMMYFUNCTION("""COMPUTED_VALUE"""),"New")</f>
        <v>New</v>
      </c>
      <c r="F3239" s="72">
        <v>38</v>
      </c>
      <c r="G3239" s="72">
        <v>3953</v>
      </c>
      <c r="P3239" s="26"/>
    </row>
    <row r="3240" spans="1:16" ht="14.5" hidden="1">
      <c r="A3240" s="3" t="s">
        <v>255</v>
      </c>
      <c r="B3240" s="12" t="s">
        <v>2852</v>
      </c>
      <c r="C3240" s="47" t="s">
        <v>7110</v>
      </c>
      <c r="D3240" s="41" t="str">
        <f ca="1">IFERROR(__xludf.DUMMYFUNCTION("IFERROR(ARRAYFORMULA(REGEXEXTRACT(C3240,""^(?:https?:\/\/)?(?:[^@\n]+@)?(?:www\.)?([^:\/\n]+)"")),"""")"),"patioandpizza.com")</f>
        <v>patioandpizza.com</v>
      </c>
      <c r="E3240" s="26" t="str">
        <f ca="1">IFERROR(__xludf.DUMMYFUNCTION("""COMPUTED_VALUE"""),"Already Exists")</f>
        <v>Already Exists</v>
      </c>
      <c r="F3240" s="72">
        <v>37</v>
      </c>
      <c r="G3240" s="72">
        <v>9106</v>
      </c>
      <c r="J3240" s="27" t="s">
        <v>7111</v>
      </c>
      <c r="K3240" s="27" t="s">
        <v>4897</v>
      </c>
      <c r="L3240" s="112"/>
      <c r="M3240" s="51" t="s">
        <v>3117</v>
      </c>
      <c r="N3240" s="83">
        <v>46061</v>
      </c>
      <c r="P3240" s="27" t="s">
        <v>3201</v>
      </c>
    </row>
    <row r="3241" spans="1:16" ht="14.5">
      <c r="A3241" s="3" t="s">
        <v>255</v>
      </c>
      <c r="B3241" s="12" t="s">
        <v>2852</v>
      </c>
      <c r="C3241" s="46" t="s">
        <v>7112</v>
      </c>
      <c r="D3241" s="41" t="str">
        <f ca="1">IFERROR(__xludf.DUMMYFUNCTION("IFERROR(ARRAYFORMULA(REGEXEXTRACT(C3241,""^(?:https?:\/\/)?(?:[^@\n]+@)?(?:www\.)?([^:\/\n]+)"")),"""")"),"pixelixe.com")</f>
        <v>pixelixe.com</v>
      </c>
      <c r="E3241" s="26" t="str">
        <f ca="1">IFERROR(__xludf.DUMMYFUNCTION("""COMPUTED_VALUE"""),"New")</f>
        <v>New</v>
      </c>
      <c r="F3241" s="72">
        <v>50</v>
      </c>
      <c r="G3241" s="72">
        <v>5829</v>
      </c>
      <c r="P3241" s="26"/>
    </row>
    <row r="3242" spans="1:16" ht="14.5">
      <c r="A3242" s="3" t="s">
        <v>255</v>
      </c>
      <c r="B3242" s="12" t="s">
        <v>2852</v>
      </c>
      <c r="C3242" s="46" t="s">
        <v>7113</v>
      </c>
      <c r="D3242" s="41" t="str">
        <f ca="1">IFERROR(__xludf.DUMMYFUNCTION("IFERROR(ARRAYFORMULA(REGEXEXTRACT(C3242,""^(?:https?:\/\/)?(?:[^@\n]+@)?(?:www\.)?([^:\/\n]+)"")),"""")"),"e-natura.unsa.edu.ar")</f>
        <v>e-natura.unsa.edu.ar</v>
      </c>
      <c r="E3242" s="26" t="str">
        <f ca="1">IFERROR(__xludf.DUMMYFUNCTION("""COMPUTED_VALUE"""),"New")</f>
        <v>New</v>
      </c>
      <c r="F3242" s="72">
        <v>65</v>
      </c>
      <c r="G3242" s="72">
        <v>31765</v>
      </c>
      <c r="P3242" s="26"/>
    </row>
    <row r="3243" spans="1:16" ht="14.5">
      <c r="A3243" s="3" t="s">
        <v>255</v>
      </c>
      <c r="B3243" s="12" t="s">
        <v>2852</v>
      </c>
      <c r="C3243" s="46" t="s">
        <v>7114</v>
      </c>
      <c r="D3243" s="41" t="str">
        <f ca="1">IFERROR(__xludf.DUMMYFUNCTION("IFERROR(ARRAYFORMULA(REGEXEXTRACT(C3243,""^(?:https?:\/\/)?(?:[^@\n]+@)?(?:www\.)?([^:\/\n]+)"")),"""")"),"archinect.com")</f>
        <v>archinect.com</v>
      </c>
      <c r="E3243" s="26" t="str">
        <f ca="1">IFERROR(__xludf.DUMMYFUNCTION("""COMPUTED_VALUE"""),"New")</f>
        <v>New</v>
      </c>
      <c r="F3243" s="72">
        <v>78</v>
      </c>
      <c r="G3243" s="72">
        <v>20155</v>
      </c>
      <c r="P3243" s="26"/>
    </row>
    <row r="3244" spans="1:16" ht="14.5" hidden="1">
      <c r="A3244" s="3" t="s">
        <v>255</v>
      </c>
      <c r="B3244" s="12" t="s">
        <v>2852</v>
      </c>
      <c r="C3244" s="46" t="s">
        <v>7115</v>
      </c>
      <c r="D3244" s="41" t="str">
        <f ca="1">IFERROR(__xludf.DUMMYFUNCTION("IFERROR(ARRAYFORMULA(REGEXEXTRACT(C3244,""^(?:https?:\/\/)?(?:[^@\n]+@)?(?:www\.)?([^:\/\n]+)"")),"""")"),"farmhousekitchenandbath.com")</f>
        <v>farmhousekitchenandbath.com</v>
      </c>
      <c r="E3244" s="26" t="str">
        <f ca="1">IFERROR(__xludf.DUMMYFUNCTION("""COMPUTED_VALUE"""),"Already Exists")</f>
        <v>Already Exists</v>
      </c>
      <c r="F3244" s="72">
        <v>34</v>
      </c>
      <c r="G3244" s="72">
        <v>1480</v>
      </c>
      <c r="P3244" s="26"/>
    </row>
    <row r="3245" spans="1:16" ht="14.5">
      <c r="A3245" s="3" t="s">
        <v>255</v>
      </c>
      <c r="B3245" s="12" t="s">
        <v>2852</v>
      </c>
      <c r="C3245" s="46" t="s">
        <v>7116</v>
      </c>
      <c r="D3245" s="41" t="str">
        <f ca="1">IFERROR(__xludf.DUMMYFUNCTION("IFERROR(ARRAYFORMULA(REGEXEXTRACT(C3245,""^(?:https?:\/\/)?(?:[^@\n]+@)?(?:www\.)?([^:\/\n]+)"")),"""")"),"kotplanet.be")</f>
        <v>kotplanet.be</v>
      </c>
      <c r="E3245" s="26" t="str">
        <f ca="1">IFERROR(__xludf.DUMMYFUNCTION("""COMPUTED_VALUE"""),"New")</f>
        <v>New</v>
      </c>
      <c r="F3245" s="72">
        <v>41</v>
      </c>
      <c r="G3245" s="72">
        <v>2895</v>
      </c>
      <c r="P3245" s="26"/>
    </row>
    <row r="3246" spans="1:16" ht="14.5" hidden="1">
      <c r="A3246" s="3" t="s">
        <v>255</v>
      </c>
      <c r="B3246" s="12" t="s">
        <v>2852</v>
      </c>
      <c r="C3246" s="49" t="s">
        <v>7117</v>
      </c>
      <c r="D3246" s="44" t="str">
        <f ca="1">IFERROR(__xludf.DUMMYFUNCTION("IFERROR(ARRAYFORMULA(REGEXEXTRACT(C3246,""^(?:https?:\/\/)?(?:[^@\n]+@)?(?:www\.)?([^:\/\n]+)"")),"""")"),"pnmmedia.com")</f>
        <v>pnmmedia.com</v>
      </c>
      <c r="E3246" s="26" t="str">
        <f ca="1">IFERROR(__xludf.DUMMYFUNCTION("""COMPUTED_VALUE"""),"Already Exists")</f>
        <v>Already Exists</v>
      </c>
      <c r="F3246" s="72">
        <v>48</v>
      </c>
      <c r="G3246" s="72">
        <v>1793</v>
      </c>
      <c r="J3246" s="27" t="s">
        <v>7118</v>
      </c>
      <c r="K3246" s="27" t="s">
        <v>3756</v>
      </c>
      <c r="L3246" s="112"/>
      <c r="M3246" s="51" t="s">
        <v>3117</v>
      </c>
      <c r="N3246" s="83">
        <v>46061</v>
      </c>
      <c r="P3246" s="27" t="s">
        <v>3201</v>
      </c>
    </row>
    <row r="3247" spans="1:16" ht="14.5">
      <c r="A3247" s="3" t="s">
        <v>255</v>
      </c>
      <c r="B3247" s="12" t="s">
        <v>2852</v>
      </c>
      <c r="C3247" s="46" t="s">
        <v>7119</v>
      </c>
      <c r="D3247" s="41" t="str">
        <f ca="1">IFERROR(__xludf.DUMMYFUNCTION("IFERROR(ARRAYFORMULA(REGEXEXTRACT(C3247,""^(?:https?:\/\/)?(?:[^@\n]+@)?(?:www\.)?([^:\/\n]+)"")),"""")"),"forums.maxperformanceinc.com")</f>
        <v>forums.maxperformanceinc.com</v>
      </c>
      <c r="E3247" s="26" t="str">
        <f ca="1">IFERROR(__xludf.DUMMYFUNCTION("""COMPUTED_VALUE"""),"New")</f>
        <v>New</v>
      </c>
      <c r="F3247" s="72">
        <v>55</v>
      </c>
      <c r="G3247" s="72">
        <v>2926</v>
      </c>
      <c r="P3247" s="26"/>
    </row>
    <row r="3248" spans="1:16" ht="14.5">
      <c r="A3248" s="3" t="s">
        <v>255</v>
      </c>
      <c r="B3248" s="12" t="s">
        <v>2852</v>
      </c>
      <c r="C3248" s="49" t="s">
        <v>7120</v>
      </c>
      <c r="D3248" s="41" t="str">
        <f ca="1">IFERROR(__xludf.DUMMYFUNCTION("IFERROR(ARRAYFORMULA(REGEXEXTRACT(C3248,""^(?:https?:\/\/)?(?:[^@\n]+@)?(?:www\.)?([^:\/\n]+)"")),"""")"),"cozmicway.com")</f>
        <v>cozmicway.com</v>
      </c>
      <c r="E3248" s="26" t="str">
        <f ca="1">IFERROR(__xludf.DUMMYFUNCTION("""COMPUTED_VALUE"""),"New")</f>
        <v>New</v>
      </c>
      <c r="F3248" s="72">
        <v>64</v>
      </c>
      <c r="G3248" s="72">
        <v>32155</v>
      </c>
      <c r="J3248" s="27" t="s">
        <v>7121</v>
      </c>
      <c r="K3248" s="27" t="s">
        <v>3756</v>
      </c>
      <c r="L3248" s="112"/>
      <c r="M3248" s="51" t="s">
        <v>3117</v>
      </c>
      <c r="N3248" s="83">
        <v>46061</v>
      </c>
      <c r="P3248" s="26"/>
    </row>
    <row r="3249" spans="1:16" ht="14.5">
      <c r="A3249" s="3" t="s">
        <v>255</v>
      </c>
      <c r="B3249" s="12" t="s">
        <v>2852</v>
      </c>
      <c r="C3249" s="46" t="s">
        <v>7122</v>
      </c>
      <c r="D3249" s="41" t="str">
        <f ca="1">IFERROR(__xludf.DUMMYFUNCTION("IFERROR(ARRAYFORMULA(REGEXEXTRACT(C3249,""^(?:https?:\/\/)?(?:[^@\n]+@)?(?:www\.)?([^:\/\n]+)"")),"""")"),"montpellier.onvasortir.com")</f>
        <v>montpellier.onvasortir.com</v>
      </c>
      <c r="E3249" s="26" t="str">
        <f ca="1">IFERROR(__xludf.DUMMYFUNCTION("""COMPUTED_VALUE"""),"New")</f>
        <v>New</v>
      </c>
      <c r="F3249" s="72">
        <v>63</v>
      </c>
      <c r="G3249" s="72">
        <v>137998</v>
      </c>
      <c r="P3249" s="26"/>
    </row>
    <row r="3250" spans="1:16" ht="14.5" hidden="1">
      <c r="A3250" s="3" t="s">
        <v>255</v>
      </c>
      <c r="B3250" s="12" t="s">
        <v>2852</v>
      </c>
      <c r="C3250" s="46" t="s">
        <v>7123</v>
      </c>
      <c r="D3250" s="41" t="str">
        <f ca="1">IFERROR(__xludf.DUMMYFUNCTION("IFERROR(ARRAYFORMULA(REGEXEXTRACT(C3250,""^(?:https?:\/\/)?(?:[^@\n]+@)?(?:www\.)?([^:\/\n]+)"")),"""")"),"soulinner.com")</f>
        <v>soulinner.com</v>
      </c>
      <c r="E3250" s="26" t="str">
        <f ca="1">IFERROR(__xludf.DUMMYFUNCTION("""COMPUTED_VALUE"""),"Already Exists")</f>
        <v>Already Exists</v>
      </c>
      <c r="F3250" s="72">
        <v>56</v>
      </c>
      <c r="G3250" s="72">
        <v>4834</v>
      </c>
      <c r="P3250" s="26"/>
    </row>
    <row r="3251" spans="1:16" ht="14.5">
      <c r="A3251" s="3" t="s">
        <v>255</v>
      </c>
      <c r="B3251" s="12" t="s">
        <v>2852</v>
      </c>
      <c r="C3251" s="46" t="s">
        <v>7124</v>
      </c>
      <c r="D3251" s="41" t="str">
        <f ca="1">IFERROR(__xludf.DUMMYFUNCTION("IFERROR(ARRAYFORMULA(REGEXEXTRACT(C3251,""^(?:https?:\/\/)?(?:[^@\n]+@)?(?:www\.)?([^:\/\n]+)"")),"""")"),"news.gcu.edu.pk")</f>
        <v>news.gcu.edu.pk</v>
      </c>
      <c r="E3251" s="26" t="str">
        <f ca="1">IFERROR(__xludf.DUMMYFUNCTION("""COMPUTED_VALUE"""),"New")</f>
        <v>New</v>
      </c>
      <c r="F3251" s="72">
        <v>52</v>
      </c>
      <c r="G3251" s="72">
        <v>32914</v>
      </c>
      <c r="P3251" s="26"/>
    </row>
    <row r="3252" spans="1:16" ht="14.5">
      <c r="A3252" s="3" t="s">
        <v>255</v>
      </c>
      <c r="B3252" s="12" t="s">
        <v>2852</v>
      </c>
      <c r="C3252" s="46" t="s">
        <v>7125</v>
      </c>
      <c r="D3252" s="41" t="str">
        <f ca="1">IFERROR(__xludf.DUMMYFUNCTION("IFERROR(ARRAYFORMULA(REGEXEXTRACT(C3252,""^(?:https?:\/\/)?(?:[^@\n]+@)?(?:www\.)?([^:\/\n]+)"")),"""")"),"project1999.com")</f>
        <v>project1999.com</v>
      </c>
      <c r="E3252" s="26" t="str">
        <f ca="1">IFERROR(__xludf.DUMMYFUNCTION("""COMPUTED_VALUE"""),"New")</f>
        <v>New</v>
      </c>
      <c r="F3252" s="72">
        <v>57</v>
      </c>
      <c r="G3252" s="72">
        <v>12727</v>
      </c>
      <c r="P3252" s="26"/>
    </row>
    <row r="3253" spans="1:16" ht="14.5">
      <c r="A3253" s="3" t="s">
        <v>255</v>
      </c>
      <c r="B3253" s="12" t="s">
        <v>2852</v>
      </c>
      <c r="C3253" s="46" t="s">
        <v>7126</v>
      </c>
      <c r="D3253" s="41" t="str">
        <f ca="1">IFERROR(__xludf.DUMMYFUNCTION("IFERROR(ARRAYFORMULA(REGEXEXTRACT(C3253,""^(?:https?:\/\/)?(?:[^@\n]+@)?(?:www\.)?([^:\/\n]+)"")),"""")"),"toddleabout.co.uk")</f>
        <v>toddleabout.co.uk</v>
      </c>
      <c r="E3253" s="26" t="str">
        <f ca="1">IFERROR(__xludf.DUMMYFUNCTION("""COMPUTED_VALUE"""),"New")</f>
        <v>New</v>
      </c>
      <c r="F3253" s="72">
        <v>45</v>
      </c>
      <c r="G3253" s="72">
        <v>4784</v>
      </c>
      <c r="P3253" s="26"/>
    </row>
    <row r="3254" spans="1:16" ht="14.5">
      <c r="A3254" s="3" t="s">
        <v>255</v>
      </c>
      <c r="B3254" s="12" t="s">
        <v>2852</v>
      </c>
      <c r="C3254" s="46" t="s">
        <v>7127</v>
      </c>
      <c r="D3254" s="41" t="str">
        <f ca="1">IFERROR(__xludf.DUMMYFUNCTION("IFERROR(ARRAYFORMULA(REGEXEXTRACT(C3254,""^(?:https?:\/\/)?(?:[^@\n]+@)?(?:www\.)?([^:\/\n]+)"")),"""")"),"majalahsains.com")</f>
        <v>majalahsains.com</v>
      </c>
      <c r="E3254" s="26" t="str">
        <f ca="1">IFERROR(__xludf.DUMMYFUNCTION("""COMPUTED_VALUE"""),"New")</f>
        <v>New</v>
      </c>
      <c r="F3254" s="72">
        <v>33</v>
      </c>
      <c r="G3254" s="72">
        <v>5381</v>
      </c>
      <c r="P3254" s="26"/>
    </row>
    <row r="3255" spans="1:16" ht="14.5">
      <c r="A3255" s="3" t="s">
        <v>255</v>
      </c>
      <c r="B3255" s="12" t="s">
        <v>2852</v>
      </c>
      <c r="C3255" s="46" t="s">
        <v>7128</v>
      </c>
      <c r="D3255" s="41" t="str">
        <f ca="1">IFERROR(__xludf.DUMMYFUNCTION("IFERROR(ARRAYFORMULA(REGEXEXTRACT(C3255,""^(?:https?:\/\/)?(?:[^@\n]+@)?(?:www\.)?([^:\/\n]+)"")),"""")"),"mansionfreak.com")</f>
        <v>mansionfreak.com</v>
      </c>
      <c r="E3255" s="26" t="str">
        <f ca="1">IFERROR(__xludf.DUMMYFUNCTION("""COMPUTED_VALUE"""),"New")</f>
        <v>New</v>
      </c>
      <c r="F3255" s="72">
        <v>54</v>
      </c>
      <c r="G3255" s="72">
        <v>4574</v>
      </c>
      <c r="J3255" s="27" t="s">
        <v>7129</v>
      </c>
      <c r="K3255" s="27" t="s">
        <v>3756</v>
      </c>
      <c r="L3255" s="112"/>
      <c r="M3255" s="51" t="s">
        <v>3117</v>
      </c>
      <c r="N3255" s="83">
        <v>46061</v>
      </c>
      <c r="P3255" s="26"/>
    </row>
    <row r="3256" spans="1:16" ht="14.5">
      <c r="A3256" s="3" t="s">
        <v>255</v>
      </c>
      <c r="B3256" s="12" t="s">
        <v>2852</v>
      </c>
      <c r="C3256" s="46" t="s">
        <v>7130</v>
      </c>
      <c r="D3256" s="41" t="str">
        <f ca="1">IFERROR(__xludf.DUMMYFUNCTION("IFERROR(ARRAYFORMULA(REGEXEXTRACT(C3256,""^(?:https?:\/\/)?(?:[^@\n]+@)?(?:www\.)?([^:\/\n]+)"")),"""")"),"fusioncash.net")</f>
        <v>fusioncash.net</v>
      </c>
      <c r="E3256" s="26" t="str">
        <f ca="1">IFERROR(__xludf.DUMMYFUNCTION("""COMPUTED_VALUE"""),"New")</f>
        <v>New</v>
      </c>
      <c r="F3256" s="72">
        <v>42</v>
      </c>
      <c r="G3256" s="72">
        <v>1796</v>
      </c>
      <c r="P3256" s="26"/>
    </row>
    <row r="3257" spans="1:16" ht="14.5">
      <c r="A3257" s="3" t="s">
        <v>255</v>
      </c>
      <c r="B3257" s="12" t="s">
        <v>2852</v>
      </c>
      <c r="C3257" s="46" t="s">
        <v>7131</v>
      </c>
      <c r="D3257" s="41" t="str">
        <f ca="1">IFERROR(__xludf.DUMMYFUNCTION("IFERROR(ARRAYFORMULA(REGEXEXTRACT(C3257,""^(?:https?:\/\/)?(?:[^@\n]+@)?(?:www\.)?([^:\/\n]+)"")),"""")"),"techepeak.com")</f>
        <v>techepeak.com</v>
      </c>
      <c r="E3257" s="26" t="str">
        <f ca="1">IFERROR(__xludf.DUMMYFUNCTION("""COMPUTED_VALUE"""),"New")</f>
        <v>New</v>
      </c>
      <c r="F3257" s="72">
        <v>53</v>
      </c>
      <c r="G3257" s="72">
        <v>7837</v>
      </c>
      <c r="P3257" s="26"/>
    </row>
    <row r="3258" spans="1:16" ht="14.5">
      <c r="A3258" s="3" t="s">
        <v>255</v>
      </c>
      <c r="B3258" s="12" t="s">
        <v>2852</v>
      </c>
      <c r="C3258" s="46" t="s">
        <v>7132</v>
      </c>
      <c r="D3258" s="41" t="str">
        <f ca="1">IFERROR(__xludf.DUMMYFUNCTION("IFERROR(ARRAYFORMULA(REGEXEXTRACT(C3258,""^(?:https?:\/\/)?(?:[^@\n]+@)?(?:www\.)?([^:\/\n]+)"")),"""")"),"seo-for-jobs.com")</f>
        <v>seo-for-jobs.com</v>
      </c>
      <c r="E3258" s="26" t="str">
        <f ca="1">IFERROR(__xludf.DUMMYFUNCTION("""COMPUTED_VALUE"""),"New")</f>
        <v>New</v>
      </c>
      <c r="F3258" s="72">
        <v>77</v>
      </c>
      <c r="G3258" s="72">
        <v>1543</v>
      </c>
      <c r="P3258" s="26"/>
    </row>
    <row r="3259" spans="1:16" ht="14.5">
      <c r="A3259" s="3" t="s">
        <v>255</v>
      </c>
      <c r="B3259" s="12" t="s">
        <v>2852</v>
      </c>
      <c r="C3259" s="46" t="s">
        <v>7133</v>
      </c>
      <c r="D3259" s="41" t="str">
        <f ca="1">IFERROR(__xludf.DUMMYFUNCTION("IFERROR(ARRAYFORMULA(REGEXEXTRACT(C3259,""^(?:https?:\/\/)?(?:[^@\n]+@)?(?:www\.)?([^:\/\n]+)"")),"""")"),"thisisant.com")</f>
        <v>thisisant.com</v>
      </c>
      <c r="E3259" s="26" t="str">
        <f ca="1">IFERROR(__xludf.DUMMYFUNCTION("""COMPUTED_VALUE"""),"New")</f>
        <v>New</v>
      </c>
      <c r="F3259" s="72">
        <v>71</v>
      </c>
      <c r="G3259" s="72">
        <v>3731</v>
      </c>
      <c r="P3259" s="26"/>
    </row>
    <row r="3260" spans="1:16" ht="14.5">
      <c r="A3260" s="3" t="s">
        <v>255</v>
      </c>
      <c r="B3260" s="12" t="s">
        <v>2852</v>
      </c>
      <c r="C3260" s="46" t="s">
        <v>7134</v>
      </c>
      <c r="D3260" s="41" t="str">
        <f ca="1">IFERROR(__xludf.DUMMYFUNCTION("IFERROR(ARRAYFORMULA(REGEXEXTRACT(C3260,""^(?:https?:\/\/)?(?:[^@\n]+@)?(?:www\.)?([^:\/\n]+)"")),"""")"),"theinspirationgrid.com")</f>
        <v>theinspirationgrid.com</v>
      </c>
      <c r="E3260" s="26" t="str">
        <f ca="1">IFERROR(__xludf.DUMMYFUNCTION("""COMPUTED_VALUE"""),"New")</f>
        <v>New</v>
      </c>
      <c r="F3260" s="72">
        <v>66</v>
      </c>
      <c r="G3260" s="72">
        <v>3006</v>
      </c>
      <c r="P3260" s="26"/>
    </row>
    <row r="3261" spans="1:16" ht="14.5">
      <c r="A3261" s="3" t="s">
        <v>255</v>
      </c>
      <c r="B3261" s="12" t="s">
        <v>2852</v>
      </c>
      <c r="C3261" s="46" t="s">
        <v>7135</v>
      </c>
      <c r="D3261" s="41" t="str">
        <f ca="1">IFERROR(__xludf.DUMMYFUNCTION("IFERROR(ARRAYFORMULA(REGEXEXTRACT(C3261,""^(?:https?:\/\/)?(?:[^@\n]+@)?(?:www\.)?([^:\/\n]+)"")),"""")"),"advids.co")</f>
        <v>advids.co</v>
      </c>
      <c r="E3261" s="26" t="str">
        <f ca="1">IFERROR(__xludf.DUMMYFUNCTION("""COMPUTED_VALUE"""),"New")</f>
        <v>New</v>
      </c>
      <c r="F3261" s="72">
        <v>63</v>
      </c>
      <c r="G3261" s="72">
        <v>2591</v>
      </c>
      <c r="P3261" s="26"/>
    </row>
    <row r="3262" spans="1:16" ht="14.5">
      <c r="A3262" s="3" t="s">
        <v>255</v>
      </c>
      <c r="B3262" s="12" t="s">
        <v>2852</v>
      </c>
      <c r="C3262" s="46" t="s">
        <v>7136</v>
      </c>
      <c r="D3262" s="41" t="str">
        <f ca="1">IFERROR(__xludf.DUMMYFUNCTION("IFERROR(ARRAYFORMULA(REGEXEXTRACT(C3262,""^(?:https?:\/\/)?(?:[^@\n]+@)?(?:www\.)?([^:\/\n]+)"")),"""")"),"bedoksg.com")</f>
        <v>bedoksg.com</v>
      </c>
      <c r="E3262" s="26" t="str">
        <f ca="1">IFERROR(__xludf.DUMMYFUNCTION("""COMPUTED_VALUE"""),"New")</f>
        <v>New</v>
      </c>
      <c r="F3262" s="72">
        <v>53</v>
      </c>
      <c r="G3262" s="72">
        <v>1740</v>
      </c>
      <c r="P3262" s="26"/>
    </row>
    <row r="3263" spans="1:16" ht="14.5">
      <c r="A3263" s="3" t="s">
        <v>255</v>
      </c>
      <c r="B3263" s="12" t="s">
        <v>2852</v>
      </c>
      <c r="C3263" s="46" t="s">
        <v>7137</v>
      </c>
      <c r="D3263" s="41" t="str">
        <f ca="1">IFERROR(__xludf.DUMMYFUNCTION("IFERROR(ARRAYFORMULA(REGEXEXTRACT(C3263,""^(?:https?:\/\/)?(?:[^@\n]+@)?(?:www\.)?([^:\/\n]+)"")),"""")"),"knowmedge.com")</f>
        <v>knowmedge.com</v>
      </c>
      <c r="E3263" s="26" t="str">
        <f ca="1">IFERROR(__xludf.DUMMYFUNCTION("""COMPUTED_VALUE"""),"New")</f>
        <v>New</v>
      </c>
      <c r="F3263" s="72">
        <v>29</v>
      </c>
      <c r="G3263" s="72">
        <v>1829</v>
      </c>
      <c r="P3263" s="26"/>
    </row>
    <row r="3264" spans="1:16" ht="14.5">
      <c r="A3264" s="3" t="s">
        <v>255</v>
      </c>
      <c r="B3264" s="12" t="s">
        <v>2852</v>
      </c>
      <c r="C3264" s="46" t="s">
        <v>7138</v>
      </c>
      <c r="D3264" s="41" t="str">
        <f ca="1">IFERROR(__xludf.DUMMYFUNCTION("IFERROR(ARRAYFORMULA(REGEXEXTRACT(C3264,""^(?:https?:\/\/)?(?:[^@\n]+@)?(?:www\.)?([^:\/\n]+)"")),"""")"),"supremarine.com")</f>
        <v>supremarine.com</v>
      </c>
      <c r="E3264" s="26" t="str">
        <f ca="1">IFERROR(__xludf.DUMMYFUNCTION("""COMPUTED_VALUE"""),"New")</f>
        <v>New</v>
      </c>
      <c r="F3264" s="72">
        <v>20</v>
      </c>
      <c r="G3264" s="72">
        <v>1016</v>
      </c>
      <c r="P3264" s="26"/>
    </row>
    <row r="3265" spans="1:16" ht="14.5">
      <c r="A3265" s="3" t="s">
        <v>255</v>
      </c>
      <c r="B3265" s="12" t="s">
        <v>2852</v>
      </c>
      <c r="C3265" s="46" t="s">
        <v>7139</v>
      </c>
      <c r="D3265" s="41" t="str">
        <f ca="1">IFERROR(__xludf.DUMMYFUNCTION("IFERROR(ARRAYFORMULA(REGEXEXTRACT(C3265,""^(?:https?:\/\/)?(?:[^@\n]+@)?(?:www\.)?([^:\/\n]+)"")),"""")"),"csmusic.net")</f>
        <v>csmusic.net</v>
      </c>
      <c r="E3265" s="26" t="str">
        <f ca="1">IFERROR(__xludf.DUMMYFUNCTION("""COMPUTED_VALUE"""),"New")</f>
        <v>New</v>
      </c>
      <c r="F3265" s="72">
        <v>57</v>
      </c>
      <c r="G3265" s="72">
        <v>4609</v>
      </c>
      <c r="P3265" s="26"/>
    </row>
    <row r="3266" spans="1:16" ht="14.5">
      <c r="A3266" s="3" t="s">
        <v>255</v>
      </c>
      <c r="B3266" s="12" t="s">
        <v>2852</v>
      </c>
      <c r="C3266" s="46" t="s">
        <v>7140</v>
      </c>
      <c r="D3266" s="41" t="str">
        <f ca="1">IFERROR(__xludf.DUMMYFUNCTION("IFERROR(ARRAYFORMULA(REGEXEXTRACT(C3266,""^(?:https?:\/\/)?(?:[^@\n]+@)?(?:www\.)?([^:\/\n]+)"")),"""")"),"feedback.challonge.com")</f>
        <v>feedback.challonge.com</v>
      </c>
      <c r="E3266" s="26" t="str">
        <f ca="1">IFERROR(__xludf.DUMMYFUNCTION("""COMPUTED_VALUE"""),"New")</f>
        <v>New</v>
      </c>
      <c r="F3266" s="72">
        <v>78</v>
      </c>
      <c r="G3266" s="72">
        <v>140485</v>
      </c>
      <c r="P3266" s="26"/>
    </row>
    <row r="3267" spans="1:16" ht="14.5">
      <c r="A3267" s="3" t="s">
        <v>255</v>
      </c>
      <c r="B3267" s="17" t="s">
        <v>2853</v>
      </c>
      <c r="C3267" s="46" t="s">
        <v>7141</v>
      </c>
      <c r="D3267" s="41" t="str">
        <f ca="1">IFERROR(__xludf.DUMMYFUNCTION("IFERROR(ARRAYFORMULA(REGEXEXTRACT(C3267,""^(?:https?:\/\/)?(?:[^@\n]+@)?(?:www\.)?([^:\/\n]+)"")),"""")"),"northremovals.com.au")</f>
        <v>northremovals.com.au</v>
      </c>
      <c r="E3267" s="26" t="str">
        <f ca="1">IFERROR(__xludf.DUMMYFUNCTION("""COMPUTED_VALUE"""),"New")</f>
        <v>New</v>
      </c>
      <c r="F3267" s="72">
        <v>42</v>
      </c>
      <c r="G3267" s="72">
        <v>9321</v>
      </c>
      <c r="P3267" s="26"/>
    </row>
    <row r="3268" spans="1:16" ht="14.5">
      <c r="A3268" s="3" t="s">
        <v>255</v>
      </c>
      <c r="B3268" s="12" t="s">
        <v>2853</v>
      </c>
      <c r="C3268" s="46" t="s">
        <v>7142</v>
      </c>
      <c r="D3268" s="41" t="str">
        <f ca="1">IFERROR(__xludf.DUMMYFUNCTION("IFERROR(ARRAYFORMULA(REGEXEXTRACT(C3268,""^(?:https?:\/\/)?(?:[^@\n]+@)?(?:www\.)?([^:\/\n]+)"")),"""")"),"realestate.com.au")</f>
        <v>realestate.com.au</v>
      </c>
      <c r="E3268" s="26" t="str">
        <f ca="1">IFERROR(__xludf.DUMMYFUNCTION("""COMPUTED_VALUE"""),"New")</f>
        <v>New</v>
      </c>
      <c r="F3268" s="72">
        <v>86</v>
      </c>
      <c r="G3268" s="72">
        <v>5533796</v>
      </c>
      <c r="P3268" s="26"/>
    </row>
    <row r="3269" spans="1:16" ht="14.5" hidden="1">
      <c r="A3269" s="3" t="s">
        <v>255</v>
      </c>
      <c r="B3269" s="12" t="s">
        <v>2853</v>
      </c>
      <c r="C3269" s="46" t="s">
        <v>7143</v>
      </c>
      <c r="D3269" s="41" t="str">
        <f ca="1">IFERROR(__xludf.DUMMYFUNCTION("IFERROR(ARRAYFORMULA(REGEXEXTRACT(C3269,""^(?:https?:\/\/)?(?:[^@\n]+@)?(?:www\.)?([^:\/\n]+)"")),"""")"),"constructionplacements.com")</f>
        <v>constructionplacements.com</v>
      </c>
      <c r="E3269" s="26" t="str">
        <f ca="1">IFERROR(__xludf.DUMMYFUNCTION("""COMPUTED_VALUE"""),"Already Exists")</f>
        <v>Already Exists</v>
      </c>
      <c r="F3269" s="72">
        <v>55</v>
      </c>
      <c r="G3269" s="72">
        <v>5662</v>
      </c>
      <c r="P3269" s="26"/>
    </row>
    <row r="3270" spans="1:16" ht="14.5">
      <c r="A3270" s="3" t="s">
        <v>255</v>
      </c>
      <c r="B3270" s="12" t="s">
        <v>2853</v>
      </c>
      <c r="C3270" s="46" t="s">
        <v>7144</v>
      </c>
      <c r="D3270" s="41" t="str">
        <f ca="1">IFERROR(__xludf.DUMMYFUNCTION("IFERROR(ARRAYFORMULA(REGEXEXTRACT(C3270,""^(?:https?:\/\/)?(?:[^@\n]+@)?(?:www\.)?([^:\/\n]+)"")),"""")"),"allhomes.com.au")</f>
        <v>allhomes.com.au</v>
      </c>
      <c r="E3270" s="26" t="str">
        <f ca="1">IFERROR(__xludf.DUMMYFUNCTION("""COMPUTED_VALUE"""),"New")</f>
        <v>New</v>
      </c>
      <c r="F3270" s="72">
        <v>68</v>
      </c>
      <c r="G3270" s="72">
        <v>219473</v>
      </c>
      <c r="P3270" s="26"/>
    </row>
    <row r="3271" spans="1:16" ht="14.5">
      <c r="A3271" s="3" t="s">
        <v>255</v>
      </c>
      <c r="B3271" s="12" t="s">
        <v>2853</v>
      </c>
      <c r="C3271" s="46" t="s">
        <v>7145</v>
      </c>
      <c r="D3271" s="41" t="str">
        <f ca="1">IFERROR(__xludf.DUMMYFUNCTION("IFERROR(ARRAYFORMULA(REGEXEXTRACT(C3271,""^(?:https?:\/\/)?(?:[^@\n]+@)?(?:www\.)?([^:\/\n]+)"")),"""")"),"reiv.com.au")</f>
        <v>reiv.com.au</v>
      </c>
      <c r="E3271" s="26" t="str">
        <f ca="1">IFERROR(__xludf.DUMMYFUNCTION("""COMPUTED_VALUE"""),"New")</f>
        <v>New</v>
      </c>
      <c r="F3271" s="72">
        <v>66</v>
      </c>
      <c r="G3271" s="72">
        <v>13643</v>
      </c>
      <c r="P3271" s="26"/>
    </row>
    <row r="3272" spans="1:16" ht="14.5">
      <c r="A3272" s="3" t="s">
        <v>255</v>
      </c>
      <c r="B3272" s="12" t="s">
        <v>2853</v>
      </c>
      <c r="C3272" s="46" t="s">
        <v>7146</v>
      </c>
      <c r="D3272" s="41" t="str">
        <f ca="1">IFERROR(__xludf.DUMMYFUNCTION("IFERROR(ARRAYFORMULA(REGEXEXTRACT(C3272,""^(?:https?:\/\/)?(?:[^@\n]+@)?(?:www\.)?([^:\/\n]+)"")),"""")"),"rebaa.com.au")</f>
        <v>rebaa.com.au</v>
      </c>
      <c r="E3272" s="26" t="str">
        <f ca="1">IFERROR(__xludf.DUMMYFUNCTION("""COMPUTED_VALUE"""),"New")</f>
        <v>New</v>
      </c>
      <c r="F3272" s="72">
        <v>46</v>
      </c>
      <c r="G3272" s="72">
        <v>4212</v>
      </c>
      <c r="P3272" s="26"/>
    </row>
    <row r="3273" spans="1:16" ht="14.5">
      <c r="A3273" s="3" t="s">
        <v>255</v>
      </c>
      <c r="B3273" s="12" t="s">
        <v>2853</v>
      </c>
      <c r="C3273" s="46" t="s">
        <v>7147</v>
      </c>
      <c r="D3273" s="41" t="str">
        <f ca="1">IFERROR(__xludf.DUMMYFUNCTION("IFERROR(ARRAYFORMULA(REGEXEXTRACT(C3273,""^(?:https?:\/\/)?(?:[^@\n]+@)?(?:www\.)?([^:\/\n]+)"")),"""")"),"jbsagolf.com")</f>
        <v>jbsagolf.com</v>
      </c>
      <c r="E3273" s="26" t="str">
        <f ca="1">IFERROR(__xludf.DUMMYFUNCTION("""COMPUTED_VALUE"""),"New")</f>
        <v>New</v>
      </c>
      <c r="F3273" s="72">
        <v>67</v>
      </c>
      <c r="G3273" s="72">
        <v>151068</v>
      </c>
      <c r="P3273" s="26"/>
    </row>
    <row r="3274" spans="1:16" ht="14.5">
      <c r="A3274" s="3" t="s">
        <v>255</v>
      </c>
      <c r="B3274" s="12" t="s">
        <v>2853</v>
      </c>
      <c r="C3274" s="46" t="s">
        <v>7148</v>
      </c>
      <c r="D3274" s="41" t="str">
        <f ca="1">IFERROR(__xludf.DUMMYFUNCTION("IFERROR(ARRAYFORMULA(REGEXEXTRACT(C3274,""^(?:https?:\/\/)?(?:[^@\n]+@)?(?:www\.)?([^:\/\n]+)"")),"""")"),"domain.com.au")</f>
        <v>domain.com.au</v>
      </c>
      <c r="E3274" s="26" t="str">
        <f ca="1">IFERROR(__xludf.DUMMYFUNCTION("""COMPUTED_VALUE"""),"New")</f>
        <v>New</v>
      </c>
      <c r="F3274" s="72">
        <v>85</v>
      </c>
      <c r="G3274" s="72">
        <v>1141365</v>
      </c>
      <c r="P3274" s="26"/>
    </row>
    <row r="3275" spans="1:16" ht="14.5">
      <c r="A3275" s="3" t="s">
        <v>255</v>
      </c>
      <c r="B3275" s="12" t="s">
        <v>2853</v>
      </c>
      <c r="C3275" s="46" t="s">
        <v>7149</v>
      </c>
      <c r="D3275" s="41" t="str">
        <f ca="1">IFERROR(__xludf.DUMMYFUNCTION("IFERROR(ARRAYFORMULA(REGEXEXTRACT(C3275,""^(?:https?:\/\/)?(?:[^@\n]+@)?(?:www\.)?([^:\/\n]+)"")),"""")"),"bambooroutes.com")</f>
        <v>bambooroutes.com</v>
      </c>
      <c r="E3275" s="26" t="str">
        <f ca="1">IFERROR(__xludf.DUMMYFUNCTION("""COMPUTED_VALUE"""),"New")</f>
        <v>New</v>
      </c>
      <c r="F3275" s="72">
        <v>44</v>
      </c>
      <c r="G3275" s="72">
        <v>1201</v>
      </c>
      <c r="P3275" s="26"/>
    </row>
    <row r="3276" spans="1:16" ht="14.5">
      <c r="A3276" s="3" t="s">
        <v>255</v>
      </c>
      <c r="B3276" s="12" t="s">
        <v>2853</v>
      </c>
      <c r="C3276" s="46" t="s">
        <v>7150</v>
      </c>
      <c r="D3276" s="41" t="str">
        <f ca="1">IFERROR(__xludf.DUMMYFUNCTION("IFERROR(ARRAYFORMULA(REGEXEXTRACT(C3276,""^(?:https?:\/\/)?(?:[^@\n]+@)?(?:www\.)?([^:\/\n]+)"")),"""")"),"globenewswire.com")</f>
        <v>globenewswire.com</v>
      </c>
      <c r="E3276" s="26" t="str">
        <f ca="1">IFERROR(__xludf.DUMMYFUNCTION("""COMPUTED_VALUE"""),"New")</f>
        <v>New</v>
      </c>
      <c r="F3276" s="72">
        <v>91</v>
      </c>
      <c r="G3276" s="72">
        <v>182026</v>
      </c>
      <c r="P3276" s="26"/>
    </row>
    <row r="3277" spans="1:16" ht="14.5">
      <c r="A3277" s="3" t="s">
        <v>255</v>
      </c>
      <c r="B3277" s="12" t="s">
        <v>2853</v>
      </c>
      <c r="C3277" s="46" t="s">
        <v>7151</v>
      </c>
      <c r="D3277" s="41" t="str">
        <f ca="1">IFERROR(__xludf.DUMMYFUNCTION("IFERROR(ARRAYFORMULA(REGEXEXTRACT(C3277,""^(?:https?:\/\/)?(?:[^@\n]+@)?(?:www\.)?([^:\/\n]+)"")),"""")"),"thewhig.com")</f>
        <v>thewhig.com</v>
      </c>
      <c r="E3277" s="26" t="str">
        <f ca="1">IFERROR(__xludf.DUMMYFUNCTION("""COMPUTED_VALUE"""),"New")</f>
        <v>New</v>
      </c>
      <c r="F3277" s="72">
        <v>72</v>
      </c>
      <c r="G3277" s="72">
        <v>30772</v>
      </c>
      <c r="P3277" s="26"/>
    </row>
    <row r="3278" spans="1:16" ht="14.5">
      <c r="A3278" s="3" t="s">
        <v>255</v>
      </c>
      <c r="B3278" s="12" t="s">
        <v>2853</v>
      </c>
      <c r="C3278" s="46" t="s">
        <v>7152</v>
      </c>
      <c r="D3278" s="41" t="str">
        <f ca="1">IFERROR(__xludf.DUMMYFUNCTION("IFERROR(ARRAYFORMULA(REGEXEXTRACT(C3278,""^(?:https?:\/\/)?(?:[^@\n]+@)?(?:www\.)?([^:\/\n]+)"")),"""")"),"m.insidertracking.com")</f>
        <v>m.insidertracking.com</v>
      </c>
      <c r="E3278" s="26" t="str">
        <f ca="1">IFERROR(__xludf.DUMMYFUNCTION("""COMPUTED_VALUE"""),"New")</f>
        <v>New</v>
      </c>
      <c r="F3278" s="72">
        <v>27</v>
      </c>
      <c r="G3278" s="72">
        <v>1254</v>
      </c>
      <c r="P3278" s="26"/>
    </row>
    <row r="3279" spans="1:16" ht="14.5">
      <c r="A3279" s="3" t="s">
        <v>255</v>
      </c>
      <c r="B3279" s="17" t="s">
        <v>2854</v>
      </c>
      <c r="C3279" s="49" t="s">
        <v>7153</v>
      </c>
      <c r="D3279" s="41" t="str">
        <f ca="1">IFERROR(__xludf.DUMMYFUNCTION("IFERROR(ARRAYFORMULA(REGEXEXTRACT(C3279,""^(?:https?:\/\/)?(?:[^@\n]+@)?(?:www\.)?([^:\/\n]+)"")),"""")"),"moneyhub.co.nz")</f>
        <v>moneyhub.co.nz</v>
      </c>
      <c r="E3279" s="26" t="str">
        <f ca="1">IFERROR(__xludf.DUMMYFUNCTION("""COMPUTED_VALUE"""),"New")</f>
        <v>New</v>
      </c>
      <c r="F3279" s="72">
        <v>64</v>
      </c>
      <c r="G3279" s="72">
        <v>338558</v>
      </c>
      <c r="H3279" s="27" t="s">
        <v>7154</v>
      </c>
      <c r="I3279" s="27" t="s">
        <v>7155</v>
      </c>
      <c r="K3279" s="27" t="s">
        <v>3829</v>
      </c>
      <c r="L3279" s="112"/>
      <c r="M3279" s="51" t="s">
        <v>3117</v>
      </c>
      <c r="N3279" s="83">
        <v>46061</v>
      </c>
      <c r="P3279" s="26"/>
    </row>
    <row r="3280" spans="1:16" ht="14.5">
      <c r="A3280" s="3" t="s">
        <v>255</v>
      </c>
      <c r="B3280" s="12" t="s">
        <v>2854</v>
      </c>
      <c r="C3280" s="46" t="s">
        <v>7156</v>
      </c>
      <c r="D3280" s="41" t="str">
        <f ca="1">IFERROR(__xludf.DUMMYFUNCTION("IFERROR(ARRAYFORMULA(REGEXEXTRACT(C3280,""^(?:https?:\/\/)?(?:[^@\n]+@)?(?:www\.)?([^:\/\n]+)"")),"""")"),"f002.backblazeb2.com")</f>
        <v>f002.backblazeb2.com</v>
      </c>
      <c r="E3280" s="26" t="str">
        <f ca="1">IFERROR(__xludf.DUMMYFUNCTION("""COMPUTED_VALUE"""),"New")</f>
        <v>New</v>
      </c>
      <c r="F3280" s="72">
        <v>81</v>
      </c>
      <c r="G3280" s="72">
        <v>1818</v>
      </c>
      <c r="P3280" s="26"/>
    </row>
    <row r="3281" spans="1:16" ht="14.5">
      <c r="A3281" s="3" t="s">
        <v>255</v>
      </c>
      <c r="B3281" s="12" t="s">
        <v>2854</v>
      </c>
      <c r="C3281" s="46" t="s">
        <v>7157</v>
      </c>
      <c r="D3281" s="41" t="str">
        <f ca="1">IFERROR(__xludf.DUMMYFUNCTION("IFERROR(ARRAYFORMULA(REGEXEXTRACT(C3281,""^(?:https?:\/\/)?(?:[^@\n]+@)?(?:www\.)?([^:\/\n]+)"")),"""")"),"archipro.co.nz")</f>
        <v>archipro.co.nz</v>
      </c>
      <c r="E3281" s="26" t="str">
        <f ca="1">IFERROR(__xludf.DUMMYFUNCTION("""COMPUTED_VALUE"""),"New")</f>
        <v>New</v>
      </c>
      <c r="F3281" s="72">
        <v>76</v>
      </c>
      <c r="G3281" s="72">
        <v>44476</v>
      </c>
      <c r="P3281" s="26"/>
    </row>
    <row r="3282" spans="1:16" ht="14.5">
      <c r="A3282" s="3" t="s">
        <v>255</v>
      </c>
      <c r="B3282" s="12" t="s">
        <v>2854</v>
      </c>
      <c r="C3282" s="46" t="s">
        <v>7158</v>
      </c>
      <c r="D3282" s="41" t="str">
        <f ca="1">IFERROR(__xludf.DUMMYFUNCTION("IFERROR(ARRAYFORMULA(REGEXEXTRACT(C3282,""^(?:https?:\/\/)?(?:[^@\n]+@)?(?:www\.)?([^:\/\n]+)"")),"""")"),"nextgenwebs.github.io")</f>
        <v>nextgenwebs.github.io</v>
      </c>
      <c r="E3282" s="26" t="str">
        <f ca="1">IFERROR(__xludf.DUMMYFUNCTION("""COMPUTED_VALUE"""),"New")</f>
        <v>New</v>
      </c>
      <c r="F3282" s="72">
        <v>94</v>
      </c>
      <c r="G3282" s="72">
        <v>11876431</v>
      </c>
      <c r="P3282" s="26"/>
    </row>
    <row r="3283" spans="1:16" ht="14.5">
      <c r="A3283" s="3" t="s">
        <v>255</v>
      </c>
      <c r="B3283" s="12" t="s">
        <v>2854</v>
      </c>
      <c r="C3283" s="46" t="s">
        <v>7159</v>
      </c>
      <c r="D3283" s="41" t="str">
        <f ca="1">IFERROR(__xludf.DUMMYFUNCTION("IFERROR(ARRAYFORMULA(REGEXEXTRACT(C3283,""^(?:https?:\/\/)?(?:[^@\n]+@)?(?:www\.)?([^:\/\n]+)"")),"""")"),"aucklandpremiumpainters.sgp1.digitaloceanspaces.com")</f>
        <v>aucklandpremiumpainters.sgp1.digitaloceanspaces.com</v>
      </c>
      <c r="E3283" s="26" t="str">
        <f ca="1">IFERROR(__xludf.DUMMYFUNCTION("""COMPUTED_VALUE"""),"New")</f>
        <v>New</v>
      </c>
      <c r="F3283" s="72">
        <v>91</v>
      </c>
      <c r="G3283" s="72">
        <v>76116</v>
      </c>
      <c r="P3283" s="26"/>
    </row>
    <row r="3284" spans="1:16" ht="14.5">
      <c r="A3284" s="3" t="s">
        <v>255</v>
      </c>
      <c r="B3284" s="12" t="s">
        <v>2854</v>
      </c>
      <c r="C3284" s="46" t="s">
        <v>7160</v>
      </c>
      <c r="D3284" s="41" t="str">
        <f ca="1">IFERROR(__xludf.DUMMYFUNCTION("IFERROR(ARRAYFORMULA(REGEXEXTRACT(C3284,""^(?:https?:\/\/)?(?:[^@\n]+@)?(?:www\.)?([^:\/\n]+)"")),"""")"),"cloudstorage50.blob.core.windows.net")</f>
        <v>cloudstorage50.blob.core.windows.net</v>
      </c>
      <c r="E3284" s="26" t="str">
        <f ca="1">IFERROR(__xludf.DUMMYFUNCTION("""COMPUTED_VALUE"""),"New")</f>
        <v>New</v>
      </c>
      <c r="F3284" s="72">
        <v>92</v>
      </c>
      <c r="G3284" s="72">
        <v>569750</v>
      </c>
      <c r="P3284" s="26"/>
    </row>
    <row r="3285" spans="1:16" ht="14.5">
      <c r="A3285" s="3" t="s">
        <v>255</v>
      </c>
      <c r="B3285" s="12" t="s">
        <v>2854</v>
      </c>
      <c r="C3285" s="46" t="s">
        <v>7161</v>
      </c>
      <c r="D3285" s="41" t="str">
        <f ca="1">IFERROR(__xludf.DUMMYFUNCTION("IFERROR(ARRAYFORMULA(REGEXEXTRACT(C3285,""^(?:https?:\/\/)?(?:[^@\n]+@)?(?:www\.)?([^:\/\n]+)"")),"""")"),"aucklandpremiumpainters.us-southeast-1.linodeobjects.com")</f>
        <v>aucklandpremiumpainters.us-southeast-1.linodeobjects.com</v>
      </c>
      <c r="E3285" s="26" t="str">
        <f ca="1">IFERROR(__xludf.DUMMYFUNCTION("""COMPUTED_VALUE"""),"New")</f>
        <v>New</v>
      </c>
      <c r="F3285" s="72">
        <v>78</v>
      </c>
      <c r="G3285" s="72">
        <v>13292</v>
      </c>
      <c r="P3285" s="26"/>
    </row>
    <row r="3286" spans="1:16" ht="14.5">
      <c r="A3286" s="3" t="s">
        <v>255</v>
      </c>
      <c r="B3286" s="12" t="s">
        <v>2855</v>
      </c>
      <c r="C3286" s="46" t="s">
        <v>7162</v>
      </c>
      <c r="D3286" s="41" t="str">
        <f ca="1">IFERROR(__xludf.DUMMYFUNCTION("IFERROR(ARRAYFORMULA(REGEXEXTRACT(C3286,""^(?:https?:\/\/)?(?:[^@\n]+@)?(?:www\.)?([^:\/\n]+)"")),"""")"),"neighbourly.co.nz")</f>
        <v>neighbourly.co.nz</v>
      </c>
      <c r="E3286" s="26" t="str">
        <f ca="1">IFERROR(__xludf.DUMMYFUNCTION("""COMPUTED_VALUE"""),"New")</f>
        <v>New</v>
      </c>
      <c r="F3286" s="72">
        <v>68</v>
      </c>
      <c r="G3286" s="72">
        <v>31950</v>
      </c>
      <c r="P3286" s="26"/>
    </row>
    <row r="3287" spans="1:16" ht="14.5">
      <c r="A3287" s="3" t="s">
        <v>255</v>
      </c>
      <c r="B3287" s="12" t="s">
        <v>2855</v>
      </c>
      <c r="C3287" s="46" t="s">
        <v>7163</v>
      </c>
      <c r="D3287" s="41" t="str">
        <f ca="1">IFERROR(__xludf.DUMMYFUNCTION("IFERROR(ARRAYFORMULA(REGEXEXTRACT(C3287,""^(?:https?:\/\/)?(?:[^@\n]+@)?(?:www\.)?([^:\/\n]+)"")),"""")"),"archipro.com.au")</f>
        <v>archipro.com.au</v>
      </c>
      <c r="E3287" s="26" t="str">
        <f ca="1">IFERROR(__xludf.DUMMYFUNCTION("""COMPUTED_VALUE"""),"New")</f>
        <v>New</v>
      </c>
      <c r="F3287" s="72">
        <v>67</v>
      </c>
      <c r="G3287" s="72">
        <v>39607</v>
      </c>
      <c r="P3287" s="26"/>
    </row>
    <row r="3288" spans="1:16" ht="14.5">
      <c r="A3288" s="3" t="s">
        <v>255</v>
      </c>
      <c r="B3288" s="12" t="s">
        <v>2855</v>
      </c>
      <c r="C3288" s="46" t="s">
        <v>7164</v>
      </c>
      <c r="D3288" s="41" t="str">
        <f ca="1">IFERROR(__xludf.DUMMYFUNCTION("IFERROR(ARRAYFORMULA(REGEXEXTRACT(C3288,""^(?:https?:\/\/)?(?:[^@\n]+@)?(?:www\.)?([^:\/\n]+)"")),"""")"),"supergold.govt.nz")</f>
        <v>supergold.govt.nz</v>
      </c>
      <c r="E3288" s="26" t="str">
        <f ca="1">IFERROR(__xludf.DUMMYFUNCTION("""COMPUTED_VALUE"""),"New")</f>
        <v>New</v>
      </c>
      <c r="F3288" s="72">
        <v>65</v>
      </c>
      <c r="G3288" s="72">
        <v>8059</v>
      </c>
      <c r="P3288" s="26"/>
    </row>
    <row r="3289" spans="1:16" ht="14.5">
      <c r="A3289" s="3" t="s">
        <v>255</v>
      </c>
      <c r="B3289" s="12" t="s">
        <v>2855</v>
      </c>
      <c r="C3289" s="46" t="s">
        <v>7165</v>
      </c>
      <c r="D3289" s="41" t="str">
        <f ca="1">IFERROR(__xludf.DUMMYFUNCTION("IFERROR(ARRAYFORMULA(REGEXEXTRACT(C3289,""^(?:https?:\/\/)?(?:[^@\n]+@)?(?:www\.)?([^:\/\n]+)"")),"""")"),"franchise.co.nz")</f>
        <v>franchise.co.nz</v>
      </c>
      <c r="E3289" s="26" t="str">
        <f ca="1">IFERROR(__xludf.DUMMYFUNCTION("""COMPUTED_VALUE"""),"New")</f>
        <v>New</v>
      </c>
      <c r="F3289" s="72">
        <v>57</v>
      </c>
      <c r="G3289" s="72">
        <v>1062</v>
      </c>
      <c r="P3289" s="26"/>
    </row>
    <row r="3290" spans="1:16" ht="14.5" hidden="1">
      <c r="A3290" s="3" t="s">
        <v>255</v>
      </c>
      <c r="B3290" s="12" t="s">
        <v>2855</v>
      </c>
      <c r="C3290" s="47" t="s">
        <v>7166</v>
      </c>
      <c r="D3290" s="41" t="str">
        <f ca="1">IFERROR(__xludf.DUMMYFUNCTION("IFERROR(ARRAYFORMULA(REGEXEXTRACT(C3290,""^(?:https?:\/\/)?(?:[^@\n]+@)?(?:www\.)?([^:\/\n]+)"")),"""")"),"geekmamas.com")</f>
        <v>geekmamas.com</v>
      </c>
      <c r="E3290" s="26" t="str">
        <f ca="1">IFERROR(__xludf.DUMMYFUNCTION("""COMPUTED_VALUE"""),"Already Exists")</f>
        <v>Already Exists</v>
      </c>
      <c r="F3290" s="72">
        <v>33</v>
      </c>
      <c r="G3290" s="72">
        <v>8746</v>
      </c>
      <c r="H3290" s="27" t="s">
        <v>7167</v>
      </c>
      <c r="I3290" s="27" t="s">
        <v>7168</v>
      </c>
      <c r="K3290" s="27" t="s">
        <v>3756</v>
      </c>
      <c r="L3290" s="112"/>
      <c r="M3290" s="51" t="s">
        <v>3117</v>
      </c>
      <c r="N3290" s="83">
        <v>46061</v>
      </c>
      <c r="P3290" s="27" t="s">
        <v>3201</v>
      </c>
    </row>
    <row r="3291" spans="1:16" ht="14.5">
      <c r="A3291" s="3" t="s">
        <v>255</v>
      </c>
      <c r="B3291" s="12" t="s">
        <v>2855</v>
      </c>
      <c r="C3291" s="46" t="s">
        <v>7169</v>
      </c>
      <c r="D3291" s="41" t="str">
        <f ca="1">IFERROR(__xludf.DUMMYFUNCTION("IFERROR(ARRAYFORMULA(REGEXEXTRACT(C3291,""^(?:https?:\/\/)?(?:[^@\n]+@)?(?:www\.)?([^:\/\n]+)"")),"""")"),"marinetraffic.com")</f>
        <v>marinetraffic.com</v>
      </c>
      <c r="E3291" s="26" t="str">
        <f ca="1">IFERROR(__xludf.DUMMYFUNCTION("""COMPUTED_VALUE"""),"New")</f>
        <v>New</v>
      </c>
      <c r="F3291" s="72">
        <v>84</v>
      </c>
      <c r="G3291" s="72">
        <v>3152613</v>
      </c>
      <c r="P3291" s="26"/>
    </row>
    <row r="3292" spans="1:16" ht="14.5">
      <c r="A3292" s="3" t="s">
        <v>255</v>
      </c>
      <c r="B3292" s="12" t="s">
        <v>2855</v>
      </c>
      <c r="C3292" s="46" t="s">
        <v>7170</v>
      </c>
      <c r="D3292" s="41" t="str">
        <f ca="1">IFERROR(__xludf.DUMMYFUNCTION("IFERROR(ARRAYFORMULA(REGEXEXTRACT(C3292,""^(?:https?:\/\/)?(?:[^@\n]+@)?(?:www\.)?([^:\/\n]+)"")),"""")"),"yellow.co.nz")</f>
        <v>yellow.co.nz</v>
      </c>
      <c r="E3292" s="26" t="str">
        <f ca="1">IFERROR(__xludf.DUMMYFUNCTION("""COMPUTED_VALUE"""),"New")</f>
        <v>New</v>
      </c>
      <c r="F3292" s="72">
        <v>78</v>
      </c>
      <c r="G3292" s="72">
        <v>61027</v>
      </c>
      <c r="P3292" s="26"/>
    </row>
    <row r="3293" spans="1:16" ht="14.5">
      <c r="A3293" s="3" t="s">
        <v>255</v>
      </c>
      <c r="B3293" s="12" t="s">
        <v>2855</v>
      </c>
      <c r="C3293" s="46" t="s">
        <v>7171</v>
      </c>
      <c r="D3293" s="41" t="str">
        <f ca="1">IFERROR(__xludf.DUMMYFUNCTION("IFERROR(ARRAYFORMULA(REGEXEXTRACT(C3293,""^(?:https?:\/\/)?(?:[^@\n]+@)?(?:www\.)?([^:\/\n]+)"")),"""")"),"apsense.com")</f>
        <v>apsense.com</v>
      </c>
      <c r="E3293" s="26" t="str">
        <f ca="1">IFERROR(__xludf.DUMMYFUNCTION("""COMPUTED_VALUE"""),"New")</f>
        <v>New</v>
      </c>
      <c r="F3293" s="72">
        <v>73</v>
      </c>
      <c r="G3293" s="72">
        <v>5737</v>
      </c>
      <c r="P3293" s="26"/>
    </row>
    <row r="3294" spans="1:16" ht="14.5">
      <c r="A3294" s="3" t="s">
        <v>255</v>
      </c>
      <c r="B3294" s="12" t="s">
        <v>2855</v>
      </c>
      <c r="C3294" s="46" t="s">
        <v>7172</v>
      </c>
      <c r="D3294" s="41" t="str">
        <f ca="1">IFERROR(__xludf.DUMMYFUNCTION("IFERROR(ARRAYFORMULA(REGEXEXTRACT(C3294,""^(?:https?:\/\/)?(?:[^@\n]+@)?(?:www\.)?([^:\/\n]+)"")),"""")"),"environmental-expert.com")</f>
        <v>environmental-expert.com</v>
      </c>
      <c r="E3294" s="26" t="str">
        <f ca="1">IFERROR(__xludf.DUMMYFUNCTION("""COMPUTED_VALUE"""),"New")</f>
        <v>New</v>
      </c>
      <c r="F3294" s="72">
        <v>67</v>
      </c>
      <c r="G3294" s="72">
        <v>1778</v>
      </c>
      <c r="P3294" s="26"/>
    </row>
    <row r="3295" spans="1:16" ht="14.5">
      <c r="A3295" s="3" t="s">
        <v>255</v>
      </c>
      <c r="B3295" s="12" t="s">
        <v>2855</v>
      </c>
      <c r="C3295" s="46" t="s">
        <v>7173</v>
      </c>
      <c r="D3295" s="41" t="str">
        <f ca="1">IFERROR(__xludf.DUMMYFUNCTION("IFERROR(ARRAYFORMULA(REGEXEXTRACT(C3295,""^(?:https?:\/\/)?(?:[^@\n]+@)?(?:www\.)?([^:\/\n]+)"")),"""")"),"m.finda.co.nz")</f>
        <v>m.finda.co.nz</v>
      </c>
      <c r="E3295" s="26" t="str">
        <f ca="1">IFERROR(__xludf.DUMMYFUNCTION("""COMPUTED_VALUE"""),"New")</f>
        <v>New</v>
      </c>
      <c r="F3295" s="72">
        <v>66</v>
      </c>
      <c r="G3295" s="72">
        <v>5658</v>
      </c>
      <c r="P3295" s="26"/>
    </row>
    <row r="3296" spans="1:16" ht="14.5">
      <c r="A3296" s="3" t="s">
        <v>255</v>
      </c>
      <c r="B3296" s="12" t="s">
        <v>2855</v>
      </c>
      <c r="C3296" s="46" t="s">
        <v>7174</v>
      </c>
      <c r="D3296" s="41" t="str">
        <f ca="1">IFERROR(__xludf.DUMMYFUNCTION("IFERROR(ARRAYFORMULA(REGEXEXTRACT(C3296,""^(?:https?:\/\/)?(?:[^@\n]+@)?(?:www\.)?([^:\/\n]+)"")),"""")"),"infonews.co.nz")</f>
        <v>infonews.co.nz</v>
      </c>
      <c r="E3296" s="26" t="str">
        <f ca="1">IFERROR(__xludf.DUMMYFUNCTION("""COMPUTED_VALUE"""),"New")</f>
        <v>New</v>
      </c>
      <c r="F3296" s="72">
        <v>48</v>
      </c>
      <c r="G3296" s="72">
        <v>1152</v>
      </c>
      <c r="P3296" s="26"/>
    </row>
    <row r="3297" spans="1:16" ht="14.5">
      <c r="A3297" s="3" t="s">
        <v>255</v>
      </c>
      <c r="B3297" s="12" t="s">
        <v>2855</v>
      </c>
      <c r="C3297" s="46" t="s">
        <v>7175</v>
      </c>
      <c r="D3297" s="41" t="str">
        <f ca="1">IFERROR(__xludf.DUMMYFUNCTION("IFERROR(ARRAYFORMULA(REGEXEXTRACT(C3297,""^(?:https?:\/\/)?(?:[^@\n]+@)?(?:www\.)?([^:\/\n]+)"")),"""")"),"companyhub.nz")</f>
        <v>companyhub.nz</v>
      </c>
      <c r="E3297" s="26" t="str">
        <f ca="1">IFERROR(__xludf.DUMMYFUNCTION("""COMPUTED_VALUE"""),"New")</f>
        <v>New</v>
      </c>
      <c r="F3297" s="72">
        <v>38</v>
      </c>
      <c r="G3297" s="72">
        <v>49583</v>
      </c>
      <c r="P3297" s="26"/>
    </row>
    <row r="3298" spans="1:16" ht="14.5">
      <c r="A3298" s="3" t="s">
        <v>255</v>
      </c>
      <c r="B3298" s="17" t="s">
        <v>2856</v>
      </c>
      <c r="C3298" s="46" t="s">
        <v>7176</v>
      </c>
      <c r="D3298" s="41" t="str">
        <f ca="1">IFERROR(__xludf.DUMMYFUNCTION("IFERROR(ARRAYFORMULA(REGEXEXTRACT(C3298,""^(?:https?:\/\/)?(?:[^@\n]+@)?(?:www\.)?([^:\/\n]+)"")),"""")"),"countrylife.co.uk")</f>
        <v>countrylife.co.uk</v>
      </c>
      <c r="E3298" s="26" t="str">
        <f ca="1">IFERROR(__xludf.DUMMYFUNCTION("""COMPUTED_VALUE"""),"New")</f>
        <v>New</v>
      </c>
      <c r="F3298" s="72">
        <v>75</v>
      </c>
      <c r="G3298" s="72">
        <v>55309</v>
      </c>
      <c r="P3298" s="26"/>
    </row>
    <row r="3299" spans="1:16" ht="14.5">
      <c r="A3299" s="3" t="s">
        <v>255</v>
      </c>
      <c r="B3299" s="12" t="s">
        <v>2856</v>
      </c>
      <c r="C3299" s="46" t="s">
        <v>7177</v>
      </c>
      <c r="D3299" s="41" t="str">
        <f ca="1">IFERROR(__xludf.DUMMYFUNCTION("IFERROR(ARRAYFORMULA(REGEXEXTRACT(C3299,""^(?:https?:\/\/)?(?:[^@\n]+@)?(?:www\.)?([^:\/\n]+)"")),"""")"),"construction.co.uk")</f>
        <v>construction.co.uk</v>
      </c>
      <c r="E3299" s="26" t="str">
        <f ca="1">IFERROR(__xludf.DUMMYFUNCTION("""COMPUTED_VALUE"""),"New")</f>
        <v>New</v>
      </c>
      <c r="F3299" s="72">
        <v>55</v>
      </c>
      <c r="G3299" s="72">
        <v>19313</v>
      </c>
      <c r="P3299" s="26"/>
    </row>
    <row r="3300" spans="1:16" ht="14.5">
      <c r="A3300" s="3" t="s">
        <v>255</v>
      </c>
      <c r="B3300" s="12" t="s">
        <v>2856</v>
      </c>
      <c r="C3300" s="46" t="s">
        <v>7178</v>
      </c>
      <c r="D3300" s="41" t="str">
        <f ca="1">IFERROR(__xludf.DUMMYFUNCTION("IFERROR(ARRAYFORMULA(REGEXEXTRACT(C3300,""^(?:https?:\/\/)?(?:[^@\n]+@)?(?:www\.)?([^:\/\n]+)"")),"""")"),"lukearthurwells.com")</f>
        <v>lukearthurwells.com</v>
      </c>
      <c r="E3300" s="26" t="str">
        <f ca="1">IFERROR(__xludf.DUMMYFUNCTION("""COMPUTED_VALUE"""),"New")</f>
        <v>New</v>
      </c>
      <c r="F3300" s="72">
        <v>26</v>
      </c>
      <c r="G3300" s="72">
        <v>1844</v>
      </c>
      <c r="P3300" s="26"/>
    </row>
    <row r="3301" spans="1:16" ht="14.5">
      <c r="A3301" s="3" t="s">
        <v>255</v>
      </c>
      <c r="B3301" s="12" t="s">
        <v>2856</v>
      </c>
      <c r="C3301" s="49" t="s">
        <v>7179</v>
      </c>
      <c r="D3301" s="41" t="str">
        <f ca="1">IFERROR(__xludf.DUMMYFUNCTION("IFERROR(ARRAYFORMULA(REGEXEXTRACT(C3301,""^(?:https?:\/\/)?(?:[^@\n]+@)?(?:www\.)?([^:\/\n]+)"")),"""")"),"remodelista.com")</f>
        <v>remodelista.com</v>
      </c>
      <c r="E3301" s="26" t="str">
        <f ca="1">IFERROR(__xludf.DUMMYFUNCTION("""COMPUTED_VALUE"""),"New")</f>
        <v>New</v>
      </c>
      <c r="F3301" s="72">
        <v>76</v>
      </c>
      <c r="G3301" s="72">
        <v>33270</v>
      </c>
      <c r="H3301" s="27" t="s">
        <v>6357</v>
      </c>
      <c r="I3301" s="27" t="s">
        <v>7180</v>
      </c>
      <c r="J3301" s="27" t="s">
        <v>7181</v>
      </c>
      <c r="K3301" s="27" t="s">
        <v>3748</v>
      </c>
      <c r="L3301" s="112"/>
      <c r="M3301" s="27" t="s">
        <v>7182</v>
      </c>
      <c r="N3301" s="83">
        <v>46061</v>
      </c>
      <c r="O3301" s="48">
        <v>46073</v>
      </c>
      <c r="P3301" s="26"/>
    </row>
    <row r="3302" spans="1:16" ht="14.5">
      <c r="A3302" s="3" t="s">
        <v>255</v>
      </c>
      <c r="B3302" s="12" t="s">
        <v>2856</v>
      </c>
      <c r="C3302" s="46" t="s">
        <v>7183</v>
      </c>
      <c r="D3302" s="41" t="str">
        <f ca="1">IFERROR(__xludf.DUMMYFUNCTION("IFERROR(ARRAYFORMULA(REGEXEXTRACT(C3302,""^(?:https?:\/\/)?(?:[^@\n]+@)?(?:www\.)?([^:\/\n]+)"")),"""")"),"livingetc.com")</f>
        <v>livingetc.com</v>
      </c>
      <c r="E3302" s="26" t="str">
        <f ca="1">IFERROR(__xludf.DUMMYFUNCTION("""COMPUTED_VALUE"""),"New")</f>
        <v>New</v>
      </c>
      <c r="F3302" s="72">
        <v>78</v>
      </c>
      <c r="G3302" s="72">
        <v>95043</v>
      </c>
      <c r="P3302" s="26"/>
    </row>
    <row r="3303" spans="1:16" ht="14.5">
      <c r="A3303" s="3" t="s">
        <v>255</v>
      </c>
      <c r="B3303" s="12" t="s">
        <v>2856</v>
      </c>
      <c r="C3303" s="47" t="s">
        <v>7184</v>
      </c>
      <c r="D3303" s="41" t="str">
        <f ca="1">IFERROR(__xludf.DUMMYFUNCTION("IFERROR(ARRAYFORMULA(REGEXEXTRACT(C3303,""^(?:https?:\/\/)?(?:[^@\n]+@)?(?:www\.)?([^:\/\n]+)"")),"""")"),"bloomstonehome.com")</f>
        <v>bloomstonehome.com</v>
      </c>
      <c r="E3303" s="26" t="str">
        <f ca="1">IFERROR(__xludf.DUMMYFUNCTION("""COMPUTED_VALUE"""),"New")</f>
        <v>New</v>
      </c>
      <c r="F3303" s="72">
        <v>52</v>
      </c>
      <c r="G3303" s="72">
        <v>6619</v>
      </c>
      <c r="J3303" s="27" t="s">
        <v>7185</v>
      </c>
      <c r="K3303" s="27" t="s">
        <v>4951</v>
      </c>
      <c r="L3303" s="112"/>
      <c r="M3303" s="27" t="s">
        <v>7182</v>
      </c>
      <c r="N3303" s="83">
        <v>46061</v>
      </c>
      <c r="P3303" s="27" t="s">
        <v>3201</v>
      </c>
    </row>
    <row r="3304" spans="1:16" ht="14.5" hidden="1">
      <c r="A3304" s="3" t="s">
        <v>255</v>
      </c>
      <c r="B3304" s="12" t="s">
        <v>2856</v>
      </c>
      <c r="C3304" s="46" t="s">
        <v>7186</v>
      </c>
      <c r="D3304" s="41" t="str">
        <f ca="1">IFERROR(__xludf.DUMMYFUNCTION("IFERROR(ARRAYFORMULA(REGEXEXTRACT(C3304,""^(?:https?:\/\/)?(?:[^@\n]+@)?(?:www\.)?([^:\/\n]+)"")),"""")"),"yorkshirewonders.co.uk")</f>
        <v>yorkshirewonders.co.uk</v>
      </c>
      <c r="E3304" s="26" t="str">
        <f ca="1">IFERROR(__xludf.DUMMYFUNCTION("""COMPUTED_VALUE"""),"Already Exists")</f>
        <v>Already Exists</v>
      </c>
      <c r="F3304" s="72">
        <v>29</v>
      </c>
      <c r="G3304" s="72">
        <v>2372</v>
      </c>
      <c r="P3304" s="26"/>
    </row>
    <row r="3305" spans="1:16" ht="14.5">
      <c r="A3305" s="3" t="s">
        <v>255</v>
      </c>
      <c r="B3305" s="12" t="s">
        <v>2856</v>
      </c>
      <c r="C3305" s="46" t="s">
        <v>7187</v>
      </c>
      <c r="D3305" s="41" t="str">
        <f ca="1">IFERROR(__xludf.DUMMYFUNCTION("IFERROR(ARRAYFORMULA(REGEXEXTRACT(C3305,""^(?:https?:\/\/)?(?:[^@\n]+@)?(?:www\.)?([^:\/\n]+)"")),"""")"),"buildscotland.co.uk")</f>
        <v>buildscotland.co.uk</v>
      </c>
      <c r="E3305" s="26" t="str">
        <f ca="1">IFERROR(__xludf.DUMMYFUNCTION("""COMPUTED_VALUE"""),"New")</f>
        <v>New</v>
      </c>
      <c r="F3305" s="72">
        <v>32</v>
      </c>
      <c r="G3305" s="72">
        <v>3041</v>
      </c>
      <c r="P3305" s="26"/>
    </row>
    <row r="3306" spans="1:16" ht="14.5">
      <c r="A3306" s="3" t="s">
        <v>255</v>
      </c>
      <c r="B3306" s="12" t="s">
        <v>2856</v>
      </c>
      <c r="C3306" s="47" t="s">
        <v>7188</v>
      </c>
      <c r="D3306" s="41" t="str">
        <f ca="1">IFERROR(__xludf.DUMMYFUNCTION("IFERROR(ARRAYFORMULA(REGEXEXTRACT(C3306,""^(?:https?:\/\/)?(?:[^@\n]+@)?(?:www\.)?([^:\/\n]+)"")),"""")"),"dailycivil.com")</f>
        <v>dailycivil.com</v>
      </c>
      <c r="E3306" s="26" t="str">
        <f ca="1">IFERROR(__xludf.DUMMYFUNCTION("""COMPUTED_VALUE"""),"New")</f>
        <v>New</v>
      </c>
      <c r="F3306" s="72">
        <v>43</v>
      </c>
      <c r="G3306" s="72">
        <v>3332</v>
      </c>
      <c r="J3306" s="27" t="s">
        <v>7189</v>
      </c>
      <c r="K3306" s="27" t="s">
        <v>7090</v>
      </c>
      <c r="L3306" s="112"/>
      <c r="M3306" s="27" t="s">
        <v>7182</v>
      </c>
      <c r="N3306" s="83">
        <v>46061</v>
      </c>
      <c r="P3306" s="27" t="s">
        <v>3201</v>
      </c>
    </row>
    <row r="3307" spans="1:16" ht="14.5">
      <c r="A3307" s="3" t="s">
        <v>255</v>
      </c>
      <c r="B3307" s="12" t="s">
        <v>2856</v>
      </c>
      <c r="C3307" s="46" t="s">
        <v>7190</v>
      </c>
      <c r="D3307" s="41" t="str">
        <f ca="1">IFERROR(__xludf.DUMMYFUNCTION("IFERROR(ARRAYFORMULA(REGEXEXTRACT(C3307,""^(?:https?:\/\/)?(?:[^@\n]+@)?(?:www\.)?([^:\/\n]+)"")),"""")"),"constructionlondon.co.uk")</f>
        <v>constructionlondon.co.uk</v>
      </c>
      <c r="E3307" s="26" t="str">
        <f ca="1">IFERROR(__xludf.DUMMYFUNCTION("""COMPUTED_VALUE"""),"New")</f>
        <v>New</v>
      </c>
      <c r="F3307" s="72">
        <v>43</v>
      </c>
      <c r="G3307" s="72">
        <v>2764</v>
      </c>
      <c r="P3307" s="26"/>
    </row>
    <row r="3308" spans="1:16" ht="14.5">
      <c r="A3308" s="3" t="s">
        <v>255</v>
      </c>
      <c r="B3308" s="12" t="s">
        <v>2856</v>
      </c>
      <c r="C3308" s="46" t="s">
        <v>7191</v>
      </c>
      <c r="D3308" s="41" t="str">
        <f ca="1">IFERROR(__xludf.DUMMYFUNCTION("IFERROR(ARRAYFORMULA(REGEXEXTRACT(C3308,""^(?:https?:\/\/)?(?:[^@\n]+@)?(?:www\.)?([^:\/\n]+)"")),"""")"),"constructionireland.ie")</f>
        <v>constructionireland.ie</v>
      </c>
      <c r="E3308" s="26" t="str">
        <f ca="1">IFERROR(__xludf.DUMMYFUNCTION("""COMPUTED_VALUE"""),"New")</f>
        <v>New</v>
      </c>
      <c r="F3308" s="72">
        <v>48</v>
      </c>
      <c r="G3308" s="72">
        <v>13387</v>
      </c>
      <c r="P3308" s="26"/>
    </row>
    <row r="3309" spans="1:16" ht="14.5" hidden="1">
      <c r="A3309" s="3" t="s">
        <v>255</v>
      </c>
      <c r="B3309" s="12" t="s">
        <v>2856</v>
      </c>
      <c r="C3309" s="46" t="s">
        <v>7192</v>
      </c>
      <c r="D3309" s="41" t="str">
        <f ca="1">IFERROR(__xludf.DUMMYFUNCTION("IFERROR(ARRAYFORMULA(REGEXEXTRACT(C3309,""^(?:https?:\/\/)?(?:[^@\n]+@)?(?:www\.)?([^:\/\n]+)"")),"""")"),"sorry-about-the-mess.co.uk")</f>
        <v>sorry-about-the-mess.co.uk</v>
      </c>
      <c r="E3309" s="26" t="str">
        <f ca="1">IFERROR(__xludf.DUMMYFUNCTION("""COMPUTED_VALUE"""),"Already Exists")</f>
        <v>Already Exists</v>
      </c>
      <c r="F3309" s="72">
        <v>27</v>
      </c>
      <c r="G3309" s="72">
        <v>1465</v>
      </c>
      <c r="P3309" s="26"/>
    </row>
    <row r="3310" spans="1:16" ht="14.5" hidden="1">
      <c r="A3310" s="3" t="s">
        <v>255</v>
      </c>
      <c r="B3310" s="12" t="s">
        <v>2856</v>
      </c>
      <c r="C3310" s="46" t="s">
        <v>7193</v>
      </c>
      <c r="D3310" s="41" t="str">
        <f ca="1">IFERROR(__xludf.DUMMYFUNCTION("IFERROR(ARRAYFORMULA(REGEXEXTRACT(C3310,""^(?:https?:\/\/)?(?:[^@\n]+@)?(?:www\.)?([^:\/\n]+)"")),"""")"),"elevatedmagazines.com")</f>
        <v>elevatedmagazines.com</v>
      </c>
      <c r="E3310" s="26" t="str">
        <f ca="1">IFERROR(__xludf.DUMMYFUNCTION("""COMPUTED_VALUE"""),"Already Exists")</f>
        <v>Already Exists</v>
      </c>
      <c r="F3310" s="72">
        <v>51</v>
      </c>
      <c r="G3310" s="72">
        <v>1104</v>
      </c>
      <c r="P3310" s="26"/>
    </row>
    <row r="3311" spans="1:16" ht="14.5">
      <c r="A3311" s="3" t="s">
        <v>255</v>
      </c>
      <c r="B3311" s="12" t="s">
        <v>2856</v>
      </c>
      <c r="C3311" s="46" t="s">
        <v>7194</v>
      </c>
      <c r="D3311" s="41" t="str">
        <f ca="1">IFERROR(__xludf.DUMMYFUNCTION("IFERROR(ARRAYFORMULA(REGEXEXTRACT(C3311,""^(?:https?:\/\/)?(?:[^@\n]+@)?(?:www\.)?([^:\/\n]+)"")),"""")"),"sanders-jeantn7476.firebaseapp.com")</f>
        <v>sanders-jeantn7476.firebaseapp.com</v>
      </c>
      <c r="E3311" s="26" t="str">
        <f ca="1">IFERROR(__xludf.DUMMYFUNCTION("""COMPUTED_VALUE"""),"New")</f>
        <v>New</v>
      </c>
      <c r="F3311" s="72">
        <v>87</v>
      </c>
      <c r="G3311" s="72">
        <v>63005</v>
      </c>
      <c r="P3311" s="26"/>
    </row>
    <row r="3312" spans="1:16" ht="14.5">
      <c r="A3312" s="3" t="s">
        <v>255</v>
      </c>
      <c r="B3312" s="12" t="s">
        <v>2856</v>
      </c>
      <c r="C3312" s="46" t="s">
        <v>7195</v>
      </c>
      <c r="D3312" s="41" t="str">
        <f ca="1">IFERROR(__xludf.DUMMYFUNCTION("IFERROR(ARRAYFORMULA(REGEXEXTRACT(C3312,""^(?:https?:\/\/)?(?:[^@\n]+@)?(?:www\.)?([^:\/\n]+)"")),"""")"),"blog.ebunoluwole.com")</f>
        <v>blog.ebunoluwole.com</v>
      </c>
      <c r="E3312" s="26" t="str">
        <f ca="1">IFERROR(__xludf.DUMMYFUNCTION("""COMPUTED_VALUE"""),"New")</f>
        <v>New</v>
      </c>
      <c r="F3312" s="72">
        <v>23</v>
      </c>
      <c r="G3312" s="72">
        <v>1298</v>
      </c>
      <c r="H3312" s="27" t="s">
        <v>7196</v>
      </c>
      <c r="J3312" s="27" t="s">
        <v>7197</v>
      </c>
      <c r="K3312" s="27" t="s">
        <v>7198</v>
      </c>
      <c r="L3312" s="112"/>
      <c r="M3312" s="27" t="s">
        <v>7182</v>
      </c>
      <c r="N3312" s="83">
        <v>46061</v>
      </c>
      <c r="O3312" s="83">
        <v>46062</v>
      </c>
      <c r="P3312" s="26"/>
    </row>
    <row r="3313" spans="1:16" ht="14.5">
      <c r="A3313" s="3" t="s">
        <v>255</v>
      </c>
      <c r="B3313" s="17" t="s">
        <v>2857</v>
      </c>
      <c r="C3313" s="46" t="s">
        <v>7199</v>
      </c>
      <c r="D3313" s="41" t="str">
        <f ca="1">IFERROR(__xludf.DUMMYFUNCTION("IFERROR(ARRAYFORMULA(REGEXEXTRACT(C3313,""^(?:https?:\/\/)?(?:[^@\n]+@)?(?:www\.)?([^:\/\n]+)"")),"""")"),"cdscrapmetal.com")</f>
        <v>cdscrapmetal.com</v>
      </c>
      <c r="E3313" s="26" t="str">
        <f ca="1">IFERROR(__xludf.DUMMYFUNCTION("""COMPUTED_VALUE"""),"New")</f>
        <v>New</v>
      </c>
      <c r="F3313" s="72">
        <v>24</v>
      </c>
      <c r="G3313" s="72">
        <v>3917</v>
      </c>
      <c r="P3313" s="26"/>
    </row>
    <row r="3314" spans="1:16" ht="14.5">
      <c r="A3314" s="3" t="s">
        <v>255</v>
      </c>
      <c r="B3314" s="12" t="s">
        <v>2857</v>
      </c>
      <c r="C3314" s="46" t="s">
        <v>7200</v>
      </c>
      <c r="D3314" s="41" t="str">
        <f ca="1">IFERROR(__xludf.DUMMYFUNCTION("IFERROR(ARRAYFORMULA(REGEXEXTRACT(C3314,""^(?:https?:\/\/)?(?:[^@\n]+@)?(?:www\.)?([^:\/\n]+)"")),"""")"),"bestexteriorsinc.com")</f>
        <v>bestexteriorsinc.com</v>
      </c>
      <c r="E3314" s="26" t="str">
        <f ca="1">IFERROR(__xludf.DUMMYFUNCTION("""COMPUTED_VALUE"""),"New")</f>
        <v>New</v>
      </c>
      <c r="F3314" s="72">
        <v>25</v>
      </c>
      <c r="G3314" s="72">
        <v>1433</v>
      </c>
      <c r="P3314" s="26"/>
    </row>
    <row r="3315" spans="1:16" ht="14.5" hidden="1">
      <c r="A3315" s="3" t="s">
        <v>255</v>
      </c>
      <c r="B3315" s="12" t="s">
        <v>2857</v>
      </c>
      <c r="C3315" s="46" t="s">
        <v>7201</v>
      </c>
      <c r="D3315" s="41" t="str">
        <f ca="1">IFERROR(__xludf.DUMMYFUNCTION("IFERROR(ARRAYFORMULA(REGEXEXTRACT(C3315,""^(?:https?:\/\/)?(?:[^@\n]+@)?(?:www\.)?([^:\/\n]+)"")),"""")"),"kea-home.com")</f>
        <v>kea-home.com</v>
      </c>
      <c r="E3315" s="26" t="str">
        <f ca="1">IFERROR(__xludf.DUMMYFUNCTION("""COMPUTED_VALUE"""),"Already Exists")</f>
        <v>Already Exists</v>
      </c>
      <c r="F3315" s="72">
        <v>43</v>
      </c>
      <c r="G3315" s="72">
        <v>8924</v>
      </c>
      <c r="P3315" s="26"/>
    </row>
    <row r="3316" spans="1:16" ht="14.5">
      <c r="A3316" s="3" t="s">
        <v>255</v>
      </c>
      <c r="B3316" s="12" t="s">
        <v>2857</v>
      </c>
      <c r="C3316" s="47" t="s">
        <v>7202</v>
      </c>
      <c r="D3316" s="41" t="str">
        <f ca="1">IFERROR(__xludf.DUMMYFUNCTION("IFERROR(ARRAYFORMULA(REGEXEXTRACT(C3316,""^(?:https?:\/\/)?(?:[^@\n]+@)?(?:www\.)?([^:\/\n]+)"")),"""")"),"thehomeytrotters.com")</f>
        <v>thehomeytrotters.com</v>
      </c>
      <c r="E3316" s="26" t="str">
        <f ca="1">IFERROR(__xludf.DUMMYFUNCTION("""COMPUTED_VALUE"""),"New")</f>
        <v>New</v>
      </c>
      <c r="F3316" s="72">
        <v>53</v>
      </c>
      <c r="G3316" s="72">
        <v>5500</v>
      </c>
      <c r="J3316" s="27" t="s">
        <v>7203</v>
      </c>
      <c r="K3316" s="27" t="s">
        <v>7204</v>
      </c>
      <c r="L3316" s="112"/>
      <c r="M3316" s="27" t="s">
        <v>7182</v>
      </c>
      <c r="N3316" s="83">
        <v>46062</v>
      </c>
      <c r="P3316" s="27" t="s">
        <v>3201</v>
      </c>
    </row>
    <row r="3317" spans="1:16" ht="14.5">
      <c r="A3317" s="3" t="s">
        <v>255</v>
      </c>
      <c r="B3317" s="12" t="s">
        <v>2857</v>
      </c>
      <c r="C3317" s="46" t="s">
        <v>7205</v>
      </c>
      <c r="D3317" s="41" t="str">
        <f ca="1">IFERROR(__xludf.DUMMYFUNCTION("IFERROR(ARRAYFORMULA(REGEXEXTRACT(C3317,""^(?:https?:\/\/)?(?:[^@\n]+@)?(?:www\.)?([^:\/\n]+)"")),"""")"),"crystalbeach.com")</f>
        <v>crystalbeach.com</v>
      </c>
      <c r="E3317" s="26" t="str">
        <f ca="1">IFERROR(__xludf.DUMMYFUNCTION("""COMPUTED_VALUE"""),"New")</f>
        <v>New</v>
      </c>
      <c r="F3317" s="72">
        <v>38</v>
      </c>
      <c r="G3317" s="72">
        <v>1788</v>
      </c>
      <c r="J3317" s="27" t="s">
        <v>7206</v>
      </c>
      <c r="K3317" s="27" t="s">
        <v>7207</v>
      </c>
      <c r="L3317" s="112"/>
      <c r="M3317" s="27" t="s">
        <v>7182</v>
      </c>
      <c r="N3317" s="83">
        <v>46062</v>
      </c>
      <c r="P3317" s="26"/>
    </row>
    <row r="3318" spans="1:16" ht="14.5" hidden="1">
      <c r="A3318" s="3" t="s">
        <v>255</v>
      </c>
      <c r="B3318" s="12" t="s">
        <v>2857</v>
      </c>
      <c r="C3318" s="46" t="s">
        <v>7208</v>
      </c>
      <c r="D3318" s="41" t="str">
        <f ca="1">IFERROR(__xludf.DUMMYFUNCTION("IFERROR(ARRAYFORMULA(REGEXEXTRACT(C3318,""^(?:https?:\/\/)?(?:[^@\n]+@)?(?:www\.)?([^:\/\n]+)"")),"""")"),"myflashyhome.com")</f>
        <v>myflashyhome.com</v>
      </c>
      <c r="E3318" s="26" t="str">
        <f ca="1">IFERROR(__xludf.DUMMYFUNCTION("""COMPUTED_VALUE"""),"Already Exists")</f>
        <v>Already Exists</v>
      </c>
      <c r="F3318" s="72">
        <v>32</v>
      </c>
      <c r="G3318" s="72">
        <v>3172</v>
      </c>
      <c r="P3318" s="26"/>
    </row>
    <row r="3319" spans="1:16" ht="14.5">
      <c r="A3319" s="3" t="s">
        <v>255</v>
      </c>
      <c r="B3319" s="12" t="s">
        <v>2857</v>
      </c>
      <c r="C3319" s="46" t="s">
        <v>7209</v>
      </c>
      <c r="D3319" s="41" t="str">
        <f ca="1">IFERROR(__xludf.DUMMYFUNCTION("IFERROR(ARRAYFORMULA(REGEXEXTRACT(C3319,""^(?:https?:\/\/)?(?:[^@\n]+@)?(?:www\.)?([^:\/\n]+)"")),"""")"),"skywarddigital.com.au")</f>
        <v>skywarddigital.com.au</v>
      </c>
      <c r="E3319" s="26" t="str">
        <f ca="1">IFERROR(__xludf.DUMMYFUNCTION("""COMPUTED_VALUE"""),"New")</f>
        <v>New</v>
      </c>
      <c r="F3319" s="72">
        <v>28</v>
      </c>
      <c r="G3319" s="72">
        <v>1181</v>
      </c>
      <c r="P3319" s="26"/>
    </row>
    <row r="3320" spans="1:16" ht="14.5">
      <c r="A3320" s="3" t="s">
        <v>255</v>
      </c>
      <c r="B3320" s="12" t="s">
        <v>2857</v>
      </c>
      <c r="C3320" s="46" t="s">
        <v>7210</v>
      </c>
      <c r="D3320" s="41" t="str">
        <f ca="1">IFERROR(__xludf.DUMMYFUNCTION("IFERROR(ARRAYFORMULA(REGEXEXTRACT(C3320,""^(?:https?:\/\/)?(?:[^@\n]+@)?(?:www\.)?([^:\/\n]+)"")),"""")"),"mindbodydad.com")</f>
        <v>mindbodydad.com</v>
      </c>
      <c r="E3320" s="26" t="str">
        <f ca="1">IFERROR(__xludf.DUMMYFUNCTION("""COMPUTED_VALUE"""),"New")</f>
        <v>New</v>
      </c>
      <c r="F3320" s="72">
        <v>31</v>
      </c>
      <c r="G3320" s="72">
        <v>1715</v>
      </c>
      <c r="P3320" s="26"/>
    </row>
    <row r="3321" spans="1:16" ht="14.5">
      <c r="A3321" s="3" t="s">
        <v>255</v>
      </c>
      <c r="B3321" s="12" t="s">
        <v>2857</v>
      </c>
      <c r="C3321" s="46" t="s">
        <v>7211</v>
      </c>
      <c r="D3321" s="41" t="str">
        <f ca="1">IFERROR(__xludf.DUMMYFUNCTION("IFERROR(ARRAYFORMULA(REGEXEXTRACT(C3321,""^(?:https?:\/\/)?(?:[^@\n]+@)?(?:www\.)?([^:\/\n]+)"")),"""")"),"songoftruth.org")</f>
        <v>songoftruth.org</v>
      </c>
      <c r="E3321" s="26" t="str">
        <f ca="1">IFERROR(__xludf.DUMMYFUNCTION("""COMPUTED_VALUE"""),"New")</f>
        <v>New</v>
      </c>
      <c r="F3321" s="72">
        <v>57</v>
      </c>
      <c r="G3321" s="72">
        <v>13054</v>
      </c>
      <c r="P3321" s="26"/>
    </row>
    <row r="3322" spans="1:16" ht="14.5">
      <c r="A3322" s="3" t="s">
        <v>255</v>
      </c>
      <c r="B3322" s="57" t="s">
        <v>2858</v>
      </c>
      <c r="C3322" s="46" t="s">
        <v>7212</v>
      </c>
      <c r="D3322" s="41" t="str">
        <f ca="1">IFERROR(__xludf.DUMMYFUNCTION("IFERROR(ARRAYFORMULA(REGEXEXTRACT(C3322,""^(?:https?:\/\/)?(?:[^@\n]+@)?(?:www\.)?([^:\/\n]+)"")),"""")"),"proven.partners")</f>
        <v>proven.partners</v>
      </c>
      <c r="E3322" s="26" t="str">
        <f ca="1">IFERROR(__xludf.DUMMYFUNCTION("""COMPUTED_VALUE"""),"New")</f>
        <v>New</v>
      </c>
      <c r="F3322" s="72">
        <v>50</v>
      </c>
      <c r="G3322" s="72">
        <v>7905</v>
      </c>
      <c r="P3322" s="26"/>
    </row>
    <row r="3323" spans="1:16" ht="14.5" hidden="1">
      <c r="A3323" s="3" t="s">
        <v>255</v>
      </c>
      <c r="B3323" s="12" t="s">
        <v>2858</v>
      </c>
      <c r="C3323" s="46" t="s">
        <v>7213</v>
      </c>
      <c r="D3323" s="41" t="str">
        <f ca="1">IFERROR(__xludf.DUMMYFUNCTION("IFERROR(ARRAYFORMULA(REGEXEXTRACT(C3323,""^(?:https?:\/\/)?(?:[^@\n]+@)?(?:www\.)?([^:\/\n]+)"")),"""")"),"thehometrotters.com")</f>
        <v>thehometrotters.com</v>
      </c>
      <c r="E3323" s="26" t="str">
        <f ca="1">IFERROR(__xludf.DUMMYFUNCTION("""COMPUTED_VALUE"""),"Already Exists")</f>
        <v>Already Exists</v>
      </c>
      <c r="F3323" s="72">
        <v>71</v>
      </c>
      <c r="G3323" s="72">
        <v>25414</v>
      </c>
      <c r="P3323" s="26"/>
    </row>
    <row r="3324" spans="1:16" ht="14.5" hidden="1">
      <c r="A3324" s="3" t="s">
        <v>255</v>
      </c>
      <c r="B3324" s="12" t="s">
        <v>2858</v>
      </c>
      <c r="C3324" s="46" t="s">
        <v>7214</v>
      </c>
      <c r="D3324" s="41" t="str">
        <f ca="1">IFERROR(__xludf.DUMMYFUNCTION("IFERROR(ARRAYFORMULA(REGEXEXTRACT(C3324,""^(?:https?:\/\/)?(?:[^@\n]+@)?(?:www\.)?([^:\/\n]+)"")),"""")"),"thepaintedhinge.com")</f>
        <v>thepaintedhinge.com</v>
      </c>
      <c r="E3324" s="26" t="str">
        <f ca="1">IFERROR(__xludf.DUMMYFUNCTION("""COMPUTED_VALUE"""),"Already Exists")</f>
        <v>Already Exists</v>
      </c>
      <c r="F3324" s="72">
        <v>58</v>
      </c>
      <c r="G3324" s="72">
        <v>17030</v>
      </c>
      <c r="P3324" s="26"/>
    </row>
    <row r="3325" spans="1:16" ht="14.5" hidden="1">
      <c r="A3325" s="3" t="s">
        <v>255</v>
      </c>
      <c r="B3325" s="12" t="s">
        <v>2858</v>
      </c>
      <c r="C3325" s="49" t="s">
        <v>7215</v>
      </c>
      <c r="D3325" s="41" t="str">
        <f ca="1">IFERROR(__xludf.DUMMYFUNCTION("IFERROR(ARRAYFORMULA(REGEXEXTRACT(C3325,""^(?:https?:\/\/)?(?:[^@\n]+@)?(?:www\.)?([^:\/\n]+)"")),"""")"),"agencyheight.com")</f>
        <v>agencyheight.com</v>
      </c>
      <c r="E3325" s="26" t="str">
        <f ca="1">IFERROR(__xludf.DUMMYFUNCTION("""COMPUTED_VALUE"""),"Already Exists")</f>
        <v>Already Exists</v>
      </c>
      <c r="F3325" s="72">
        <v>39</v>
      </c>
      <c r="G3325" s="72">
        <v>11051</v>
      </c>
      <c r="J3325" s="27" t="s">
        <v>7216</v>
      </c>
      <c r="K3325" s="27" t="s">
        <v>5138</v>
      </c>
      <c r="L3325" s="112"/>
      <c r="M3325" s="27" t="s">
        <v>3715</v>
      </c>
      <c r="N3325" s="83">
        <v>46062</v>
      </c>
      <c r="O3325" s="83">
        <v>46101</v>
      </c>
      <c r="P3325" s="26"/>
    </row>
    <row r="3326" spans="1:16" ht="14.5">
      <c r="A3326" s="3" t="s">
        <v>255</v>
      </c>
      <c r="B3326" s="12" t="s">
        <v>2858</v>
      </c>
      <c r="C3326" s="46" t="s">
        <v>7217</v>
      </c>
      <c r="D3326" s="41" t="str">
        <f ca="1">IFERROR(__xludf.DUMMYFUNCTION("IFERROR(ARRAYFORMULA(REGEXEXTRACT(C3326,""^(?:https?:\/\/)?(?:[^@\n]+@)?(?:www\.)?([^:\/\n]+)"")),"""")"),"modernbusinesslife.com")</f>
        <v>modernbusinesslife.com</v>
      </c>
      <c r="E3326" s="26" t="str">
        <f ca="1">IFERROR(__xludf.DUMMYFUNCTION("""COMPUTED_VALUE"""),"New")</f>
        <v>New</v>
      </c>
      <c r="F3326" s="72">
        <v>61</v>
      </c>
      <c r="G3326" s="72">
        <v>7170</v>
      </c>
      <c r="P3326" s="26"/>
    </row>
    <row r="3327" spans="1:16" ht="14.5">
      <c r="A3327" s="3" t="s">
        <v>255</v>
      </c>
      <c r="B3327" s="12" t="s">
        <v>2858</v>
      </c>
      <c r="C3327" s="47" t="s">
        <v>7218</v>
      </c>
      <c r="D3327" s="41" t="str">
        <f ca="1">IFERROR(__xludf.DUMMYFUNCTION("IFERROR(ARRAYFORMULA(REGEXEXTRACT(C3327,""^(?:https?:\/\/)?(?:[^@\n]+@)?(?:www\.)?([^:\/\n]+)"")),"""")"),"robthecoins.com")</f>
        <v>robthecoins.com</v>
      </c>
      <c r="E3327" s="26" t="str">
        <f ca="1">IFERROR(__xludf.DUMMYFUNCTION("""COMPUTED_VALUE"""),"New")</f>
        <v>New</v>
      </c>
      <c r="F3327" s="72">
        <v>59</v>
      </c>
      <c r="G3327" s="72">
        <v>28483</v>
      </c>
      <c r="J3327" s="27" t="s">
        <v>7219</v>
      </c>
      <c r="K3327" s="27" t="s">
        <v>3756</v>
      </c>
      <c r="L3327" s="112"/>
      <c r="M3327" s="27" t="s">
        <v>3715</v>
      </c>
      <c r="N3327" s="83">
        <v>46062</v>
      </c>
      <c r="P3327" s="27" t="s">
        <v>3201</v>
      </c>
    </row>
    <row r="3328" spans="1:16" ht="14.5">
      <c r="A3328" s="3" t="s">
        <v>255</v>
      </c>
      <c r="B3328" s="12" t="s">
        <v>2858</v>
      </c>
      <c r="C3328" s="46" t="s">
        <v>7220</v>
      </c>
      <c r="D3328" s="41" t="str">
        <f ca="1">IFERROR(__xludf.DUMMYFUNCTION("IFERROR(ARRAYFORMULA(REGEXEXTRACT(C3328,""^(?:https?:\/\/)?(?:[^@\n]+@)?(?:www\.)?([^:\/\n]+)"")),"""")"),"tomsguide.com")</f>
        <v>tomsguide.com</v>
      </c>
      <c r="E3328" s="26" t="str">
        <f ca="1">IFERROR(__xludf.DUMMYFUNCTION("""COMPUTED_VALUE"""),"New")</f>
        <v>New</v>
      </c>
      <c r="F3328" s="72">
        <v>86</v>
      </c>
      <c r="G3328" s="72">
        <v>10839859</v>
      </c>
      <c r="P3328" s="26"/>
    </row>
    <row r="3329" spans="1:16" ht="14.5">
      <c r="A3329" s="3" t="s">
        <v>255</v>
      </c>
      <c r="B3329" s="12" t="s">
        <v>2858</v>
      </c>
      <c r="C3329" s="49" t="s">
        <v>7221</v>
      </c>
      <c r="D3329" s="41" t="str">
        <f ca="1">IFERROR(__xludf.DUMMYFUNCTION("IFERROR(ARRAYFORMULA(REGEXEXTRACT(C3329,""^(?:https?:\/\/)?(?:[^@\n]+@)?(?:www\.)?([^:\/\n]+)"")),"""")"),"brightbidhomes.com")</f>
        <v>brightbidhomes.com</v>
      </c>
      <c r="E3329" s="26" t="str">
        <f ca="1">IFERROR(__xludf.DUMMYFUNCTION("""COMPUTED_VALUE"""),"New")</f>
        <v>New</v>
      </c>
      <c r="F3329" s="72">
        <v>43</v>
      </c>
      <c r="G3329" s="72">
        <v>1112</v>
      </c>
      <c r="H3329" s="27" t="s">
        <v>7222</v>
      </c>
      <c r="J3329" s="27" t="s">
        <v>7223</v>
      </c>
      <c r="K3329" s="27" t="s">
        <v>5359</v>
      </c>
      <c r="L3329" s="112"/>
      <c r="M3329" s="27" t="s">
        <v>3715</v>
      </c>
      <c r="N3329" s="83">
        <v>46062</v>
      </c>
      <c r="O3329" s="83">
        <v>46073</v>
      </c>
      <c r="P3329" s="26"/>
    </row>
    <row r="3330" spans="1:16" ht="14.5">
      <c r="A3330" s="3" t="s">
        <v>255</v>
      </c>
      <c r="B3330" s="12" t="s">
        <v>2858</v>
      </c>
      <c r="C3330" s="46" t="s">
        <v>7224</v>
      </c>
      <c r="D3330" s="41" t="str">
        <f ca="1">IFERROR(__xludf.DUMMYFUNCTION("IFERROR(ARRAYFORMULA(REGEXEXTRACT(C3330,""^(?:https?:\/\/)?(?:[^@\n]+@)?(?:www\.)?([^:\/\n]+)"")),"""")"),"coststatus.com")</f>
        <v>coststatus.com</v>
      </c>
      <c r="E3330" s="26" t="str">
        <f ca="1">IFERROR(__xludf.DUMMYFUNCTION("""COMPUTED_VALUE"""),"New")</f>
        <v>New</v>
      </c>
      <c r="F3330" s="72">
        <v>53</v>
      </c>
      <c r="G3330" s="72">
        <v>2171</v>
      </c>
      <c r="P3330" s="26"/>
    </row>
    <row r="3331" spans="1:16" ht="14.5">
      <c r="A3331" s="3" t="s">
        <v>255</v>
      </c>
      <c r="B3331" s="12" t="s">
        <v>2858</v>
      </c>
      <c r="C3331" s="46" t="s">
        <v>7225</v>
      </c>
      <c r="D3331" s="41" t="str">
        <f ca="1">IFERROR(__xludf.DUMMYFUNCTION("IFERROR(ARRAYFORMULA(REGEXEXTRACT(C3331,""^(?:https?:\/\/)?(?:[^@\n]+@)?(?:www\.)?([^:\/\n]+)"")),"""")"),"travlfi.com")</f>
        <v>travlfi.com</v>
      </c>
      <c r="E3331" s="26" t="str">
        <f ca="1">IFERROR(__xludf.DUMMYFUNCTION("""COMPUTED_VALUE"""),"New")</f>
        <v>New</v>
      </c>
      <c r="F3331" s="72">
        <v>32</v>
      </c>
      <c r="G3331" s="72">
        <v>12188</v>
      </c>
      <c r="P3331" s="26"/>
    </row>
    <row r="3332" spans="1:16" ht="14.5" hidden="1">
      <c r="A3332" s="3" t="s">
        <v>255</v>
      </c>
      <c r="B3332" s="12" t="s">
        <v>2858</v>
      </c>
      <c r="C3332" s="46" t="s">
        <v>7226</v>
      </c>
      <c r="D3332" s="41" t="str">
        <f ca="1">IFERROR(__xludf.DUMMYFUNCTION("IFERROR(ARRAYFORMULA(REGEXEXTRACT(C3332,""^(?:https?:\/\/)?(?:[^@\n]+@)?(?:www\.)?([^:\/\n]+)"")),"""")"),"kdarchitects.net")</f>
        <v>kdarchitects.net</v>
      </c>
      <c r="E3332" s="26" t="str">
        <f ca="1">IFERROR(__xludf.DUMMYFUNCTION("""COMPUTED_VALUE"""),"Already Exists")</f>
        <v>Already Exists</v>
      </c>
      <c r="F3332" s="72">
        <v>69</v>
      </c>
      <c r="G3332" s="72">
        <v>26614</v>
      </c>
      <c r="P3332" s="26"/>
    </row>
    <row r="3333" spans="1:16" ht="14.5">
      <c r="A3333" s="3" t="s">
        <v>255</v>
      </c>
      <c r="B3333" s="12" t="s">
        <v>2858</v>
      </c>
      <c r="C3333" s="49" t="s">
        <v>7227</v>
      </c>
      <c r="D3333" s="41" t="str">
        <f ca="1">IFERROR(__xludf.DUMMYFUNCTION("IFERROR(ARRAYFORMULA(REGEXEXTRACT(C3333,""^(?:https?:\/\/)?(?:[^@\n]+@)?(?:www\.)?([^:\/\n]+)"")),"""")"),"wealthybyte.com")</f>
        <v>wealthybyte.com</v>
      </c>
      <c r="E3333" s="26" t="str">
        <f ca="1">IFERROR(__xludf.DUMMYFUNCTION("""COMPUTED_VALUE"""),"New")</f>
        <v>New</v>
      </c>
      <c r="F3333" s="72">
        <v>66</v>
      </c>
      <c r="G3333" s="72">
        <v>14068</v>
      </c>
      <c r="J3333" s="27" t="s">
        <v>7228</v>
      </c>
      <c r="K3333" s="27" t="s">
        <v>7229</v>
      </c>
      <c r="L3333" s="112"/>
      <c r="M3333" s="27" t="s">
        <v>3715</v>
      </c>
      <c r="N3333" s="83">
        <v>46062</v>
      </c>
      <c r="O3333" s="83">
        <v>46073</v>
      </c>
      <c r="P3333" s="26"/>
    </row>
    <row r="3334" spans="1:16" ht="14.5">
      <c r="A3334" s="3" t="s">
        <v>255</v>
      </c>
      <c r="B3334" s="12" t="s">
        <v>2858</v>
      </c>
      <c r="C3334" s="49" t="s">
        <v>7230</v>
      </c>
      <c r="D3334" s="41" t="str">
        <f ca="1">IFERROR(__xludf.DUMMYFUNCTION("IFERROR(ARRAYFORMULA(REGEXEXTRACT(C3334,""^(?:https?:\/\/)?(?:[^@\n]+@)?(?:www\.)?([^:\/\n]+)"")),"""")"),"aihomedesign.com")</f>
        <v>aihomedesign.com</v>
      </c>
      <c r="E3334" s="26" t="str">
        <f ca="1">IFERROR(__xludf.DUMMYFUNCTION("""COMPUTED_VALUE"""),"New")</f>
        <v>New</v>
      </c>
      <c r="F3334" s="72">
        <v>47</v>
      </c>
      <c r="G3334" s="72">
        <v>10512</v>
      </c>
      <c r="J3334" s="27" t="s">
        <v>7231</v>
      </c>
      <c r="K3334" s="27" t="s">
        <v>4515</v>
      </c>
      <c r="L3334" s="112"/>
      <c r="M3334" s="27" t="s">
        <v>3715</v>
      </c>
      <c r="N3334" s="83">
        <v>46062</v>
      </c>
      <c r="O3334" s="83">
        <v>46073</v>
      </c>
      <c r="P3334" s="26"/>
    </row>
    <row r="3335" spans="1:16" ht="14.5" hidden="1">
      <c r="A3335" s="3" t="s">
        <v>255</v>
      </c>
      <c r="B3335" s="12" t="s">
        <v>2858</v>
      </c>
      <c r="C3335" s="46" t="s">
        <v>7232</v>
      </c>
      <c r="D3335" s="41" t="str">
        <f ca="1">IFERROR(__xludf.DUMMYFUNCTION("IFERROR(ARRAYFORMULA(REGEXEXTRACT(C3335,""^(?:https?:\/\/)?(?:[^@\n]+@)?(?:www\.)?([^:\/\n]+)"")),"""")"),"masterrealtysolutions.com")</f>
        <v>masterrealtysolutions.com</v>
      </c>
      <c r="E3335" s="26" t="str">
        <f ca="1">IFERROR(__xludf.DUMMYFUNCTION("""COMPUTED_VALUE"""),"Already Exists")</f>
        <v>Already Exists</v>
      </c>
      <c r="F3335" s="72">
        <v>53</v>
      </c>
      <c r="G3335" s="72">
        <v>4190</v>
      </c>
      <c r="P3335" s="26"/>
    </row>
    <row r="3336" spans="1:16" ht="14.5">
      <c r="A3336" s="3" t="s">
        <v>255</v>
      </c>
      <c r="B3336" s="12" t="s">
        <v>2858</v>
      </c>
      <c r="C3336" s="46" t="s">
        <v>7233</v>
      </c>
      <c r="D3336" s="41" t="str">
        <f ca="1">IFERROR(__xludf.DUMMYFUNCTION("IFERROR(ARRAYFORMULA(REGEXEXTRACT(C3336,""^(?:https?:\/\/)?(?:[^@\n]+@)?(?:www\.)?([^:\/\n]+)"")),"""")"),"apmhelp.com")</f>
        <v>apmhelp.com</v>
      </c>
      <c r="E3336" s="26" t="str">
        <f ca="1">IFERROR(__xludf.DUMMYFUNCTION("""COMPUTED_VALUE"""),"New")</f>
        <v>New</v>
      </c>
      <c r="F3336" s="72">
        <v>39</v>
      </c>
      <c r="G3336" s="72">
        <v>3913</v>
      </c>
      <c r="P3336" s="26"/>
    </row>
    <row r="3337" spans="1:16" ht="14.5" hidden="1">
      <c r="A3337" s="3" t="s">
        <v>255</v>
      </c>
      <c r="B3337" s="12" t="s">
        <v>2858</v>
      </c>
      <c r="C3337" s="46" t="s">
        <v>7234</v>
      </c>
      <c r="D3337" s="41" t="str">
        <f ca="1">IFERROR(__xludf.DUMMYFUNCTION("IFERROR(ARRAYFORMULA(REGEXEXTRACT(C3337,""^(?:https?:\/\/)?(?:[^@\n]+@)?(?:www\.)?([^:\/\n]+)"")),"""")"),"expatnetwork.com")</f>
        <v>expatnetwork.com</v>
      </c>
      <c r="E3337" s="26" t="str">
        <f ca="1">IFERROR(__xludf.DUMMYFUNCTION("""COMPUTED_VALUE"""),"Already Exists")</f>
        <v>Already Exists</v>
      </c>
      <c r="F3337" s="72">
        <v>41</v>
      </c>
      <c r="G3337" s="72">
        <v>1846</v>
      </c>
      <c r="P3337" s="26"/>
    </row>
    <row r="3338" spans="1:16" ht="14.5">
      <c r="A3338" s="3" t="s">
        <v>255</v>
      </c>
      <c r="B3338" s="12" t="s">
        <v>2858</v>
      </c>
      <c r="C3338" s="46" t="s">
        <v>7235</v>
      </c>
      <c r="D3338" s="41" t="str">
        <f ca="1">IFERROR(__xludf.DUMMYFUNCTION("IFERROR(ARRAYFORMULA(REGEXEXTRACT(C3338,""^(?:https?:\/\/)?(?:[^@\n]+@)?(?:www\.)?([^:\/\n]+)"")),"""")"),"textify.ai")</f>
        <v>textify.ai</v>
      </c>
      <c r="E3338" s="26" t="str">
        <f ca="1">IFERROR(__xludf.DUMMYFUNCTION("""COMPUTED_VALUE"""),"New")</f>
        <v>New</v>
      </c>
      <c r="F3338" s="72">
        <v>42</v>
      </c>
      <c r="G3338" s="72">
        <v>2327</v>
      </c>
      <c r="P3338" s="26"/>
    </row>
    <row r="3339" spans="1:16" ht="14.5">
      <c r="A3339" s="3" t="s">
        <v>255</v>
      </c>
      <c r="B3339" s="12" t="s">
        <v>2858</v>
      </c>
      <c r="C3339" s="49" t="s">
        <v>7236</v>
      </c>
      <c r="D3339" s="41" t="str">
        <f ca="1">IFERROR(__xludf.DUMMYFUNCTION("IFERROR(ARRAYFORMULA(REGEXEXTRACT(C3339,""^(?:https?:\/\/)?(?:[^@\n]+@)?(?:www\.)?([^:\/\n]+)"")),"""")"),"financialsamurai.com")</f>
        <v>financialsamurai.com</v>
      </c>
      <c r="E3339" s="26" t="str">
        <f ca="1">IFERROR(__xludf.DUMMYFUNCTION("""COMPUTED_VALUE"""),"New")</f>
        <v>New</v>
      </c>
      <c r="F3339" s="72">
        <v>71</v>
      </c>
      <c r="G3339" s="72">
        <v>17197</v>
      </c>
      <c r="H3339" s="27" t="s">
        <v>7237</v>
      </c>
      <c r="I3339" s="75" t="s">
        <v>7238</v>
      </c>
      <c r="K3339" s="27" t="s">
        <v>7239</v>
      </c>
      <c r="L3339" s="112"/>
      <c r="M3339" s="27" t="s">
        <v>3715</v>
      </c>
      <c r="N3339" s="83">
        <v>46062</v>
      </c>
      <c r="O3339" s="83">
        <v>46073</v>
      </c>
      <c r="P3339" s="26"/>
    </row>
    <row r="3340" spans="1:16" ht="14.5">
      <c r="A3340" s="3" t="s">
        <v>255</v>
      </c>
      <c r="B3340" s="12" t="s">
        <v>2858</v>
      </c>
      <c r="C3340" s="46" t="s">
        <v>7240</v>
      </c>
      <c r="D3340" s="41" t="str">
        <f ca="1">IFERROR(__xludf.DUMMYFUNCTION("IFERROR(ARRAYFORMULA(REGEXEXTRACT(C3340,""^(?:https?:\/\/)?(?:[^@\n]+@)?(?:www\.)?([^:\/\n]+)"")),"""")"),"blog.itscovered.com")</f>
        <v>blog.itscovered.com</v>
      </c>
      <c r="E3340" s="26" t="str">
        <f ca="1">IFERROR(__xludf.DUMMYFUNCTION("""COMPUTED_VALUE"""),"New")</f>
        <v>New</v>
      </c>
      <c r="F3340" s="72">
        <v>36</v>
      </c>
      <c r="G3340" s="72">
        <v>1333</v>
      </c>
      <c r="P3340" s="26"/>
    </row>
    <row r="3341" spans="1:16" ht="14.5" hidden="1">
      <c r="A3341" s="3" t="s">
        <v>255</v>
      </c>
      <c r="B3341" s="12" t="s">
        <v>2858</v>
      </c>
      <c r="C3341" s="46" t="s">
        <v>7241</v>
      </c>
      <c r="D3341" s="41" t="str">
        <f ca="1">IFERROR(__xludf.DUMMYFUNCTION("IFERROR(ARRAYFORMULA(REGEXEXTRACT(C3341,""^(?:https?:\/\/)?(?:[^@\n]+@)?(?:www\.)?([^:\/\n]+)"")),"""")"),"benzinga.com")</f>
        <v>benzinga.com</v>
      </c>
      <c r="E3341" s="26" t="str">
        <f ca="1">IFERROR(__xludf.DUMMYFUNCTION("""COMPUTED_VALUE"""),"Already Exists")</f>
        <v>Already Exists</v>
      </c>
      <c r="F3341" s="72">
        <v>86</v>
      </c>
      <c r="G3341" s="72">
        <v>1332327</v>
      </c>
      <c r="P3341" s="26"/>
    </row>
    <row r="3342" spans="1:16" ht="14.5" hidden="1">
      <c r="A3342" s="3" t="s">
        <v>255</v>
      </c>
      <c r="B3342" s="12" t="s">
        <v>2858</v>
      </c>
      <c r="C3342" s="49" t="s">
        <v>7242</v>
      </c>
      <c r="D3342" s="41" t="str">
        <f ca="1">IFERROR(__xludf.DUMMYFUNCTION("IFERROR(ARRAYFORMULA(REGEXEXTRACT(C3342,""^(?:https?:\/\/)?(?:[^@\n]+@)?(?:www\.)?([^:\/\n]+)"")),"""")"),"huliq.com")</f>
        <v>huliq.com</v>
      </c>
      <c r="E3342" s="26" t="str">
        <f ca="1">IFERROR(__xludf.DUMMYFUNCTION("""COMPUTED_VALUE"""),"Already Exists")</f>
        <v>Already Exists</v>
      </c>
      <c r="F3342" s="72">
        <v>55</v>
      </c>
      <c r="G3342" s="72">
        <v>13317</v>
      </c>
      <c r="H3342" s="27" t="s">
        <v>3145</v>
      </c>
      <c r="I3342" s="27" t="s">
        <v>7243</v>
      </c>
      <c r="J3342" s="27" t="s">
        <v>7244</v>
      </c>
      <c r="K3342" s="27" t="s">
        <v>3839</v>
      </c>
      <c r="L3342" s="112"/>
      <c r="M3342" s="27" t="s">
        <v>3715</v>
      </c>
      <c r="N3342" s="83">
        <v>46062</v>
      </c>
      <c r="O3342" s="83">
        <v>46073</v>
      </c>
      <c r="P3342" s="26"/>
    </row>
    <row r="3343" spans="1:16" ht="14.5" hidden="1">
      <c r="A3343" s="3" t="s">
        <v>255</v>
      </c>
      <c r="B3343" s="12" t="s">
        <v>2858</v>
      </c>
      <c r="C3343" s="46" t="s">
        <v>7245</v>
      </c>
      <c r="D3343" s="41" t="str">
        <f ca="1">IFERROR(__xludf.DUMMYFUNCTION("IFERROR(ARRAYFORMULA(REGEXEXTRACT(C3343,""^(?:https?:\/\/)?(?:[^@\n]+@)?(?:www\.)?([^:\/\n]+)"")),"""")"),"bkreader.com")</f>
        <v>bkreader.com</v>
      </c>
      <c r="E3343" s="26" t="str">
        <f ca="1">IFERROR(__xludf.DUMMYFUNCTION("""COMPUTED_VALUE"""),"Already Exists")</f>
        <v>Already Exists</v>
      </c>
      <c r="F3343" s="72">
        <v>72</v>
      </c>
      <c r="G3343" s="72">
        <v>2790</v>
      </c>
      <c r="P3343" s="26"/>
    </row>
    <row r="3344" spans="1:16" ht="14.5">
      <c r="A3344" s="3" t="s">
        <v>255</v>
      </c>
      <c r="B3344" s="17" t="s">
        <v>2859</v>
      </c>
      <c r="C3344" s="46" t="s">
        <v>7246</v>
      </c>
      <c r="D3344" s="41" t="str">
        <f ca="1">IFERROR(__xludf.DUMMYFUNCTION("IFERROR(ARRAYFORMULA(REGEXEXTRACT(C3344,""^(?:https?:\/\/)?(?:[^@\n]+@)?(?:www\.)?([^:\/\n]+)"")),"""")"),"trianglelawns.com")</f>
        <v>trianglelawns.com</v>
      </c>
      <c r="E3344" s="26" t="str">
        <f ca="1">IFERROR(__xludf.DUMMYFUNCTION("""COMPUTED_VALUE"""),"New")</f>
        <v>New</v>
      </c>
      <c r="F3344" s="72">
        <v>22</v>
      </c>
      <c r="G3344" s="72">
        <v>1769</v>
      </c>
      <c r="P3344" s="26"/>
    </row>
    <row r="3345" spans="1:16" ht="14.5">
      <c r="A3345" s="3" t="s">
        <v>255</v>
      </c>
      <c r="B3345" s="12" t="s">
        <v>2859</v>
      </c>
      <c r="C3345" s="46" t="s">
        <v>7247</v>
      </c>
      <c r="D3345" s="41" t="str">
        <f ca="1">IFERROR(__xludf.DUMMYFUNCTION("IFERROR(ARRAYFORMULA(REGEXEXTRACT(C3345,""^(?:https?:\/\/)?(?:[^@\n]+@)?(?:www\.)?([^:\/\n]+)"")),"""")"),"myfox8.com")</f>
        <v>myfox8.com</v>
      </c>
      <c r="E3345" s="26" t="str">
        <f ca="1">IFERROR(__xludf.DUMMYFUNCTION("""COMPUTED_VALUE"""),"New")</f>
        <v>New</v>
      </c>
      <c r="F3345" s="72">
        <v>76</v>
      </c>
      <c r="G3345" s="72">
        <v>243897</v>
      </c>
      <c r="P3345" s="26"/>
    </row>
    <row r="3346" spans="1:16" ht="14.5">
      <c r="A3346" s="3" t="s">
        <v>255</v>
      </c>
      <c r="B3346" s="12" t="s">
        <v>2859</v>
      </c>
      <c r="C3346" s="46" t="s">
        <v>7248</v>
      </c>
      <c r="D3346" s="41" t="str">
        <f ca="1">IFERROR(__xludf.DUMMYFUNCTION("IFERROR(ARRAYFORMULA(REGEXEXTRACT(C3346,""^(?:https?:\/\/)?(?:[^@\n]+@)?(?:www\.)?([^:\/\n]+)"")),"""")"),"bestbeebrothers.com")</f>
        <v>bestbeebrothers.com</v>
      </c>
      <c r="E3346" s="26" t="str">
        <f ca="1">IFERROR(__xludf.DUMMYFUNCTION("""COMPUTED_VALUE"""),"New")</f>
        <v>New</v>
      </c>
      <c r="F3346" s="72">
        <v>36</v>
      </c>
      <c r="G3346" s="72">
        <v>22522</v>
      </c>
      <c r="P3346" s="26"/>
    </row>
    <row r="3347" spans="1:16" ht="14.5">
      <c r="A3347" s="3" t="s">
        <v>255</v>
      </c>
      <c r="B3347" s="12" t="s">
        <v>2859</v>
      </c>
      <c r="C3347" s="46" t="s">
        <v>7249</v>
      </c>
      <c r="D3347" s="41" t="str">
        <f ca="1">IFERROR(__xludf.DUMMYFUNCTION("IFERROR(ARRAYFORMULA(REGEXEXTRACT(C3347,""^(?:https?:\/\/)?(?:[^@\n]+@)?(?:www\.)?([^:\/\n]+)"")),"""")"),"web.raleighchamber.org")</f>
        <v>web.raleighchamber.org</v>
      </c>
      <c r="E3347" s="26" t="str">
        <f ca="1">IFERROR(__xludf.DUMMYFUNCTION("""COMPUTED_VALUE"""),"New")</f>
        <v>New</v>
      </c>
      <c r="F3347" s="72">
        <v>57</v>
      </c>
      <c r="G3347" s="72">
        <v>10057</v>
      </c>
      <c r="P3347" s="26"/>
    </row>
    <row r="3348" spans="1:16" ht="14.5">
      <c r="A3348" s="3" t="s">
        <v>255</v>
      </c>
      <c r="B3348" s="12" t="s">
        <v>2859</v>
      </c>
      <c r="C3348" s="46" t="s">
        <v>7250</v>
      </c>
      <c r="D3348" s="41" t="str">
        <f ca="1">IFERROR(__xludf.DUMMYFUNCTION("IFERROR(ARRAYFORMULA(REGEXEXTRACT(C3348,""^(?:https?:\/\/)?(?:[^@\n]+@)?(?:www\.)?([^:\/\n]+)"")),"""")"),"freshysites.com")</f>
        <v>freshysites.com</v>
      </c>
      <c r="E3348" s="26" t="str">
        <f ca="1">IFERROR(__xludf.DUMMYFUNCTION("""COMPUTED_VALUE"""),"New")</f>
        <v>New</v>
      </c>
      <c r="F3348" s="72">
        <v>78</v>
      </c>
      <c r="G3348" s="72">
        <v>29630</v>
      </c>
      <c r="P3348" s="26"/>
    </row>
    <row r="3349" spans="1:16" ht="14.5">
      <c r="A3349" s="3" t="s">
        <v>255</v>
      </c>
      <c r="B3349" s="12" t="s">
        <v>2859</v>
      </c>
      <c r="C3349" s="46" t="s">
        <v>7251</v>
      </c>
      <c r="D3349" s="41" t="str">
        <f ca="1">IFERROR(__xludf.DUMMYFUNCTION("IFERROR(ARRAYFORMULA(REGEXEXTRACT(C3349,""^(?:https?:\/\/)?(?:[^@\n]+@)?(?:www\.)?([^:\/\n]+)"")),"""")"),"mypmp.net")</f>
        <v>mypmp.net</v>
      </c>
      <c r="E3349" s="26" t="str">
        <f ca="1">IFERROR(__xludf.DUMMYFUNCTION("""COMPUTED_VALUE"""),"New")</f>
        <v>New</v>
      </c>
      <c r="F3349" s="72">
        <v>56</v>
      </c>
      <c r="G3349" s="72">
        <v>2471</v>
      </c>
      <c r="P3349" s="26"/>
    </row>
    <row r="3350" spans="1:16" ht="14.5">
      <c r="A3350" s="3" t="s">
        <v>255</v>
      </c>
      <c r="B3350" s="12" t="s">
        <v>2859</v>
      </c>
      <c r="C3350" s="46" t="s">
        <v>7252</v>
      </c>
      <c r="D3350" s="41" t="str">
        <f ca="1">IFERROR(__xludf.DUMMYFUNCTION("IFERROR(ARRAYFORMULA(REGEXEXTRACT(C3350,""^(?:https?:\/\/)?(?:[^@\n]+@)?(?:www\.)?([^:\/\n]+)"")),"""")"),"pctonline.com")</f>
        <v>pctonline.com</v>
      </c>
      <c r="E3350" s="26" t="str">
        <f ca="1">IFERROR(__xludf.DUMMYFUNCTION("""COMPUTED_VALUE"""),"New")</f>
        <v>New</v>
      </c>
      <c r="F3350" s="72">
        <v>71</v>
      </c>
      <c r="G3350" s="72">
        <v>13536</v>
      </c>
      <c r="P3350" s="26"/>
    </row>
    <row r="3351" spans="1:16" ht="14.5" hidden="1">
      <c r="A3351" s="3" t="s">
        <v>255</v>
      </c>
      <c r="B3351" s="12" t="s">
        <v>2859</v>
      </c>
      <c r="C3351" s="46" t="s">
        <v>7253</v>
      </c>
      <c r="D3351" s="41" t="str">
        <f ca="1">IFERROR(__xludf.DUMMYFUNCTION("IFERROR(ARRAYFORMULA(REGEXEXTRACT(C3351,""^(?:https?:\/\/)?(?:[^@\n]+@)?(?:www\.)?([^:\/\n]+)"")),"""")"),"athleisuremag.com")</f>
        <v>athleisuremag.com</v>
      </c>
      <c r="E3351" s="26" t="str">
        <f ca="1">IFERROR(__xludf.DUMMYFUNCTION("""COMPUTED_VALUE"""),"Already Exists")</f>
        <v>Already Exists</v>
      </c>
      <c r="F3351" s="72">
        <v>48</v>
      </c>
      <c r="G3351" s="72">
        <v>1656</v>
      </c>
      <c r="P3351" s="26"/>
    </row>
    <row r="3352" spans="1:16" ht="14.5">
      <c r="A3352" s="3" t="s">
        <v>255</v>
      </c>
      <c r="B3352" s="12" t="s">
        <v>2859</v>
      </c>
      <c r="C3352" s="46" t="s">
        <v>7254</v>
      </c>
      <c r="D3352" s="41" t="str">
        <f ca="1">IFERROR(__xludf.DUMMYFUNCTION("IFERROR(ARRAYFORMULA(REGEXEXTRACT(C3352,""^(?:https?:\/\/)?(?:[^@\n]+@)?(?:www\.)?([^:\/\n]+)"")),"""")"),"myliberla.com")</f>
        <v>myliberla.com</v>
      </c>
      <c r="E3352" s="26" t="str">
        <f ca="1">IFERROR(__xludf.DUMMYFUNCTION("""COMPUTED_VALUE"""),"New")</f>
        <v>New</v>
      </c>
      <c r="F3352" s="72">
        <v>75</v>
      </c>
      <c r="G3352" s="72">
        <v>19556</v>
      </c>
      <c r="P3352" s="26"/>
    </row>
    <row r="3353" spans="1:16" ht="14.5">
      <c r="A3353" s="3" t="s">
        <v>255</v>
      </c>
      <c r="B3353" s="12" t="s">
        <v>2859</v>
      </c>
      <c r="C3353" s="46" t="s">
        <v>7255</v>
      </c>
      <c r="D3353" s="41" t="str">
        <f ca="1">IFERROR(__xludf.DUMMYFUNCTION("IFERROR(ARRAYFORMULA(REGEXEXTRACT(C3353,""^(?:https?:\/\/)?(?:[^@\n]+@)?(?:www\.)?([^:\/\n]+)"")),"""")"),"expertteamname.com")</f>
        <v>expertteamname.com</v>
      </c>
      <c r="E3353" s="26" t="str">
        <f ca="1">IFERROR(__xludf.DUMMYFUNCTION("""COMPUTED_VALUE"""),"New")</f>
        <v>New</v>
      </c>
      <c r="F3353" s="72">
        <v>64</v>
      </c>
      <c r="G3353" s="72">
        <v>1265</v>
      </c>
      <c r="P3353" s="26"/>
    </row>
    <row r="3354" spans="1:16" ht="14.5">
      <c r="A3354" s="3" t="s">
        <v>255</v>
      </c>
      <c r="B3354" s="12" t="s">
        <v>2859</v>
      </c>
      <c r="C3354" s="46" t="s">
        <v>7256</v>
      </c>
      <c r="D3354" s="41" t="str">
        <f ca="1">IFERROR(__xludf.DUMMYFUNCTION("IFERROR(ARRAYFORMULA(REGEXEXTRACT(C3354,""^(?:https?:\/\/)?(?:[^@\n]+@)?(?:www\.)?([^:\/\n]+)"")),"""")"),"ibusinessfunding.com")</f>
        <v>ibusinessfunding.com</v>
      </c>
      <c r="E3354" s="26" t="str">
        <f ca="1">IFERROR(__xludf.DUMMYFUNCTION("""COMPUTED_VALUE"""),"New")</f>
        <v>New</v>
      </c>
      <c r="F3354" s="72">
        <v>30</v>
      </c>
      <c r="G3354" s="72">
        <v>1077</v>
      </c>
      <c r="P3354" s="26"/>
    </row>
    <row r="3355" spans="1:16" ht="14.5">
      <c r="A3355" s="3" t="s">
        <v>255</v>
      </c>
      <c r="B3355" s="12" t="s">
        <v>2859</v>
      </c>
      <c r="C3355" s="46" t="s">
        <v>7257</v>
      </c>
      <c r="D3355" s="41" t="str">
        <f ca="1">IFERROR(__xludf.DUMMYFUNCTION("IFERROR(ARRAYFORMULA(REGEXEXTRACT(C3355,""^(?:https?:\/\/)?(?:[^@\n]+@)?(?:www\.)?([^:\/\n]+)"")),"""")"),"socosy.co.uk")</f>
        <v>socosy.co.uk</v>
      </c>
      <c r="E3355" s="26" t="str">
        <f ca="1">IFERROR(__xludf.DUMMYFUNCTION("""COMPUTED_VALUE"""),"New")</f>
        <v>New</v>
      </c>
      <c r="F3355" s="72">
        <v>32</v>
      </c>
      <c r="G3355" s="72">
        <v>3518</v>
      </c>
      <c r="P3355" s="26"/>
    </row>
    <row r="3356" spans="1:16" ht="14.5">
      <c r="A3356" s="3" t="s">
        <v>255</v>
      </c>
      <c r="B3356" s="12" t="s">
        <v>2859</v>
      </c>
      <c r="C3356" s="46" t="s">
        <v>7258</v>
      </c>
      <c r="D3356" s="41" t="str">
        <f ca="1">IFERROR(__xludf.DUMMYFUNCTION("IFERROR(ARRAYFORMULA(REGEXEXTRACT(C3356,""^(?:https?:\/\/)?(?:[^@\n]+@)?(?:www\.)?([^:\/\n]+)"")),"""")"),"moz.com")</f>
        <v>moz.com</v>
      </c>
      <c r="E3356" s="26" t="str">
        <f ca="1">IFERROR(__xludf.DUMMYFUNCTION("""COMPUTED_VALUE"""),"New")</f>
        <v>New</v>
      </c>
      <c r="F3356" s="72">
        <v>91</v>
      </c>
      <c r="G3356" s="72">
        <v>1339253</v>
      </c>
      <c r="P3356" s="26"/>
    </row>
    <row r="3357" spans="1:16" ht="14.5">
      <c r="A3357" s="3" t="s">
        <v>255</v>
      </c>
      <c r="B3357" s="12" t="s">
        <v>2859</v>
      </c>
      <c r="C3357" s="46" t="s">
        <v>7259</v>
      </c>
      <c r="D3357" s="41" t="str">
        <f ca="1">IFERROR(__xludf.DUMMYFUNCTION("IFERROR(ARRAYFORMULA(REGEXEXTRACT(C3357,""^(?:https?:\/\/)?(?:[^@\n]+@)?(?:www\.)?([^:\/\n]+)"")),"""")"),"pepperjoe.com")</f>
        <v>pepperjoe.com</v>
      </c>
      <c r="E3357" s="26" t="str">
        <f ca="1">IFERROR(__xludf.DUMMYFUNCTION("""COMPUTED_VALUE"""),"New")</f>
        <v>New</v>
      </c>
      <c r="F3357" s="72">
        <v>48</v>
      </c>
      <c r="G3357" s="72">
        <v>50596</v>
      </c>
      <c r="P3357" s="26"/>
    </row>
    <row r="3358" spans="1:16" ht="14.5">
      <c r="A3358" s="3" t="s">
        <v>255</v>
      </c>
      <c r="B3358" s="12" t="s">
        <v>2859</v>
      </c>
      <c r="C3358" s="46" t="s">
        <v>7260</v>
      </c>
      <c r="D3358" s="41" t="str">
        <f ca="1">IFERROR(__xludf.DUMMYFUNCTION("IFERROR(ARRAYFORMULA(REGEXEXTRACT(C3358,""^(?:https?:\/\/)?(?:[^@\n]+@)?(?:www\.)?([^:\/\n]+)"")),"""")"),"miraclehill.org")</f>
        <v>miraclehill.org</v>
      </c>
      <c r="E3358" s="26" t="str">
        <f ca="1">IFERROR(__xludf.DUMMYFUNCTION("""COMPUTED_VALUE"""),"New")</f>
        <v>New</v>
      </c>
      <c r="F3358" s="72">
        <v>52</v>
      </c>
      <c r="G3358" s="72">
        <v>2701</v>
      </c>
      <c r="P3358" s="26"/>
    </row>
    <row r="3359" spans="1:16" ht="14.5">
      <c r="A3359" s="3" t="s">
        <v>255</v>
      </c>
      <c r="B3359" s="12" t="s">
        <v>2859</v>
      </c>
      <c r="C3359" s="46" t="s">
        <v>7261</v>
      </c>
      <c r="D3359" s="41" t="str">
        <f ca="1">IFERROR(__xludf.DUMMYFUNCTION("IFERROR(ARRAYFORMULA(REGEXEXTRACT(C3359,""^(?:https?:\/\/)?(?:[^@\n]+@)?(?:www\.)?([^:\/\n]+)"")),"""")"),"joe.co.uk")</f>
        <v>joe.co.uk</v>
      </c>
      <c r="E3359" s="26" t="str">
        <f ca="1">IFERROR(__xludf.DUMMYFUNCTION("""COMPUTED_VALUE"""),"New")</f>
        <v>New</v>
      </c>
      <c r="F3359" s="72">
        <v>69</v>
      </c>
      <c r="G3359" s="72">
        <v>19164</v>
      </c>
      <c r="P3359" s="26"/>
    </row>
    <row r="3360" spans="1:16" ht="14.5">
      <c r="A3360" s="3" t="s">
        <v>255</v>
      </c>
      <c r="B3360" s="12" t="s">
        <v>2859</v>
      </c>
      <c r="C3360" s="46" t="s">
        <v>7262</v>
      </c>
      <c r="D3360" s="41" t="str">
        <f ca="1">IFERROR(__xludf.DUMMYFUNCTION("IFERROR(ARRAYFORMULA(REGEXEXTRACT(C3360,""^(?:https?:\/\/)?(?:[^@\n]+@)?(?:www\.)?([^:\/\n]+)"")),"""")"),"kimmie-smith-nn7n.squarespace.com")</f>
        <v>kimmie-smith-nn7n.squarespace.com</v>
      </c>
      <c r="E3360" s="26" t="str">
        <f ca="1">IFERROR(__xludf.DUMMYFUNCTION("""COMPUTED_VALUE"""),"New")</f>
        <v>New</v>
      </c>
      <c r="F3360" s="72">
        <v>95</v>
      </c>
      <c r="G3360" s="72">
        <v>3891906</v>
      </c>
      <c r="P3360" s="26"/>
    </row>
    <row r="3361" spans="1:16" ht="14.5">
      <c r="A3361" s="3" t="s">
        <v>255</v>
      </c>
      <c r="B3361" s="12" t="s">
        <v>2859</v>
      </c>
      <c r="C3361" s="46" t="s">
        <v>7263</v>
      </c>
      <c r="D3361" s="41" t="str">
        <f ca="1">IFERROR(__xludf.DUMMYFUNCTION("IFERROR(ARRAYFORMULA(REGEXEXTRACT(C3361,""^(?:https?:\/\/)?(?:[^@\n]+@)?(?:www\.)?([^:\/\n]+)"")),"""")"),"newznav.com")</f>
        <v>newznav.com</v>
      </c>
      <c r="E3361" s="26" t="str">
        <f ca="1">IFERROR(__xludf.DUMMYFUNCTION("""COMPUTED_VALUE"""),"New")</f>
        <v>New</v>
      </c>
      <c r="F3361" s="72">
        <v>75</v>
      </c>
      <c r="G3361" s="72">
        <v>9351</v>
      </c>
      <c r="P3361" s="26"/>
    </row>
    <row r="3362" spans="1:16" ht="14.5">
      <c r="A3362" s="3" t="s">
        <v>255</v>
      </c>
      <c r="B3362" s="12" t="s">
        <v>2859</v>
      </c>
      <c r="C3362" s="49" t="s">
        <v>7264</v>
      </c>
      <c r="D3362" s="41" t="str">
        <f ca="1">IFERROR(__xludf.DUMMYFUNCTION("IFERROR(ARRAYFORMULA(REGEXEXTRACT(C3362,""^(?:https?:\/\/)?(?:[^@\n]+@)?(?:www\.)?([^:\/\n]+)"")),"""")"),"raleighmag.com")</f>
        <v>raleighmag.com</v>
      </c>
      <c r="E3362" s="26" t="str">
        <f ca="1">IFERROR(__xludf.DUMMYFUNCTION("""COMPUTED_VALUE"""),"New")</f>
        <v>New</v>
      </c>
      <c r="F3362" s="72">
        <v>63</v>
      </c>
      <c r="G3362" s="72">
        <v>5995</v>
      </c>
      <c r="H3362" s="27" t="s">
        <v>7265</v>
      </c>
      <c r="I3362" s="27" t="s">
        <v>7266</v>
      </c>
      <c r="J3362" s="27" t="s">
        <v>7267</v>
      </c>
      <c r="K3362" s="27" t="s">
        <v>3772</v>
      </c>
      <c r="L3362" s="112"/>
      <c r="M3362" s="27" t="s">
        <v>3715</v>
      </c>
      <c r="N3362" s="83">
        <v>46062</v>
      </c>
      <c r="O3362" s="70">
        <v>46086</v>
      </c>
      <c r="P3362" s="26"/>
    </row>
    <row r="3363" spans="1:16" ht="14.5">
      <c r="A3363" s="3" t="s">
        <v>255</v>
      </c>
      <c r="B3363" s="12" t="s">
        <v>2859</v>
      </c>
      <c r="C3363" s="46" t="s">
        <v>7268</v>
      </c>
      <c r="D3363" s="41" t="str">
        <f ca="1">IFERROR(__xludf.DUMMYFUNCTION("IFERROR(ARRAYFORMULA(REGEXEXTRACT(C3363,""^(?:https?:\/\/)?(?:[^@\n]+@)?(?:www\.)?([^:\/\n]+)"")),"""")"),"worldwidesciencestories.com")</f>
        <v>worldwidesciencestories.com</v>
      </c>
      <c r="E3363" s="26" t="str">
        <f ca="1">IFERROR(__xludf.DUMMYFUNCTION("""COMPUTED_VALUE"""),"New")</f>
        <v>New</v>
      </c>
      <c r="F3363" s="72">
        <v>75</v>
      </c>
      <c r="G3363" s="72">
        <v>17660</v>
      </c>
      <c r="P3363" s="26"/>
    </row>
    <row r="3364" spans="1:16" ht="14.5">
      <c r="A3364" s="3" t="s">
        <v>255</v>
      </c>
      <c r="B3364" s="12" t="s">
        <v>2859</v>
      </c>
      <c r="C3364" s="46" t="s">
        <v>7269</v>
      </c>
      <c r="D3364" s="41" t="str">
        <f ca="1">IFERROR(__xludf.DUMMYFUNCTION("IFERROR(ARRAYFORMULA(REGEXEXTRACT(C3364,""^(?:https?:\/\/)?(?:[^@\n]+@)?(?:www\.)?([^:\/\n]+)"")),"""")"),"insightpest.com")</f>
        <v>insightpest.com</v>
      </c>
      <c r="E3364" s="26" t="str">
        <f ca="1">IFERROR(__xludf.DUMMYFUNCTION("""COMPUTED_VALUE"""),"New")</f>
        <v>New</v>
      </c>
      <c r="F3364" s="72">
        <v>45</v>
      </c>
      <c r="G3364" s="72">
        <v>9354</v>
      </c>
      <c r="P3364" s="26"/>
    </row>
    <row r="3365" spans="1:16" ht="14.5">
      <c r="A3365" s="3" t="s">
        <v>255</v>
      </c>
      <c r="B3365" s="12" t="s">
        <v>2859</v>
      </c>
      <c r="C3365" s="46" t="s">
        <v>7270</v>
      </c>
      <c r="D3365" s="41" t="str">
        <f ca="1">IFERROR(__xludf.DUMMYFUNCTION("IFERROR(ARRAYFORMULA(REGEXEXTRACT(C3365,""^(?:https?:\/\/)?(?:[^@\n]+@)?(?:www\.)?([^:\/\n]+)"")),"""")"),"lawnandlandscape.com")</f>
        <v>lawnandlandscape.com</v>
      </c>
      <c r="E3365" s="26" t="str">
        <f ca="1">IFERROR(__xludf.DUMMYFUNCTION("""COMPUTED_VALUE"""),"New")</f>
        <v>New</v>
      </c>
      <c r="F3365" s="72">
        <v>69</v>
      </c>
      <c r="G3365" s="72">
        <v>8340</v>
      </c>
      <c r="P3365" s="26"/>
    </row>
    <row r="3366" spans="1:16" ht="14.5">
      <c r="A3366" s="3" t="s">
        <v>255</v>
      </c>
      <c r="B3366" s="12" t="s">
        <v>2859</v>
      </c>
      <c r="C3366" s="49" t="s">
        <v>7271</v>
      </c>
      <c r="D3366" s="41" t="str">
        <f ca="1">IFERROR(__xludf.DUMMYFUNCTION("IFERROR(ARRAYFORMULA(REGEXEXTRACT(C3366,""^(?:https?:\/\/)?(?:[^@\n]+@)?(?:www\.)?([^:\/\n]+)"")),"""")"),"bobgunn.com.au")</f>
        <v>bobgunn.com.au</v>
      </c>
      <c r="E3366" s="26" t="str">
        <f ca="1">IFERROR(__xludf.DUMMYFUNCTION("""COMPUTED_VALUE"""),"New")</f>
        <v>New</v>
      </c>
      <c r="F3366" s="72">
        <v>28</v>
      </c>
      <c r="G3366" s="72">
        <v>1081</v>
      </c>
      <c r="J3366" s="27" t="s">
        <v>7272</v>
      </c>
      <c r="K3366" s="27" t="s">
        <v>7273</v>
      </c>
      <c r="L3366" s="112"/>
      <c r="M3366" s="27" t="s">
        <v>3715</v>
      </c>
      <c r="N3366" s="83">
        <v>46062</v>
      </c>
      <c r="O3366" s="70">
        <v>46086</v>
      </c>
      <c r="P3366" s="26"/>
    </row>
    <row r="3367" spans="1:16" ht="14.5">
      <c r="A3367" s="3" t="s">
        <v>255</v>
      </c>
      <c r="B3367" s="12" t="s">
        <v>2859</v>
      </c>
      <c r="C3367" s="46" t="s">
        <v>7274</v>
      </c>
      <c r="D3367" s="41" t="str">
        <f ca="1">IFERROR(__xludf.DUMMYFUNCTION("IFERROR(ARRAYFORMULA(REGEXEXTRACT(C3367,""^(?:https?:\/\/)?(?:[^@\n]+@)?(?:www\.)?([^:\/\n]+)"")),"""")"),"numberlina.com")</f>
        <v>numberlina.com</v>
      </c>
      <c r="E3367" s="26" t="str">
        <f ca="1">IFERROR(__xludf.DUMMYFUNCTION("""COMPUTED_VALUE"""),"New")</f>
        <v>New</v>
      </c>
      <c r="F3367" s="72">
        <v>75</v>
      </c>
      <c r="G3367" s="72">
        <v>39880</v>
      </c>
      <c r="P3367" s="26"/>
    </row>
    <row r="3368" spans="1:16" ht="14.5">
      <c r="A3368" s="3" t="s">
        <v>255</v>
      </c>
      <c r="B3368" s="12" t="s">
        <v>2859</v>
      </c>
      <c r="C3368" s="46" t="s">
        <v>7275</v>
      </c>
      <c r="D3368" s="41" t="str">
        <f ca="1">IFERROR(__xludf.DUMMYFUNCTION("IFERROR(ARRAYFORMULA(REGEXEXTRACT(C3368,""^(?:https?:\/\/)?(?:[^@\n]+@)?(?:www\.)?([^:\/\n]+)"")),"""")"),"thomaspestservices.com")</f>
        <v>thomaspestservices.com</v>
      </c>
      <c r="E3368" s="26" t="str">
        <f ca="1">IFERROR(__xludf.DUMMYFUNCTION("""COMPUTED_VALUE"""),"New")</f>
        <v>New</v>
      </c>
      <c r="F3368" s="72">
        <v>22</v>
      </c>
      <c r="G3368" s="72">
        <v>4420</v>
      </c>
      <c r="P3368" s="26"/>
    </row>
    <row r="3369" spans="1:16" ht="14.5">
      <c r="A3369" s="3" t="s">
        <v>255</v>
      </c>
      <c r="B3369" s="12" t="s">
        <v>2859</v>
      </c>
      <c r="C3369" s="46" t="s">
        <v>7276</v>
      </c>
      <c r="D3369" s="41" t="str">
        <f ca="1">IFERROR(__xludf.DUMMYFUNCTION("IFERROR(ARRAYFORMULA(REGEXEXTRACT(C3369,""^(?:https?:\/\/)?(?:[^@\n]+@)?(?:www\.)?([^:\/\n]+)"")),"""")"),"unbelievable-facts.com")</f>
        <v>unbelievable-facts.com</v>
      </c>
      <c r="E3369" s="26" t="str">
        <f ca="1">IFERROR(__xludf.DUMMYFUNCTION("""COMPUTED_VALUE"""),"New")</f>
        <v>New</v>
      </c>
      <c r="F3369" s="72">
        <v>39</v>
      </c>
      <c r="G3369" s="72">
        <v>2237</v>
      </c>
      <c r="P3369" s="26"/>
    </row>
    <row r="3370" spans="1:16" ht="14.5">
      <c r="A3370" s="3" t="s">
        <v>255</v>
      </c>
      <c r="B3370" s="12" t="s">
        <v>2859</v>
      </c>
      <c r="C3370" s="46" t="s">
        <v>7277</v>
      </c>
      <c r="D3370" s="41" t="str">
        <f ca="1">IFERROR(__xludf.DUMMYFUNCTION("IFERROR(ARRAYFORMULA(REGEXEXTRACT(C3370,""^(?:https?:\/\/)?(?:[^@\n]+@)?(?:www\.)?([^:\/\n]+)"")),"""")"),"qclife.wbtv.com")</f>
        <v>qclife.wbtv.com</v>
      </c>
      <c r="E3370" s="26" t="str">
        <f ca="1">IFERROR(__xludf.DUMMYFUNCTION("""COMPUTED_VALUE"""),"New")</f>
        <v>New</v>
      </c>
      <c r="F3370" s="72">
        <v>77</v>
      </c>
      <c r="G3370" s="72">
        <v>120270</v>
      </c>
      <c r="P3370" s="26"/>
    </row>
    <row r="3371" spans="1:16" ht="14.5">
      <c r="A3371" s="3" t="s">
        <v>255</v>
      </c>
      <c r="B3371" s="12" t="s">
        <v>2859</v>
      </c>
      <c r="C3371" s="46" t="s">
        <v>7278</v>
      </c>
      <c r="D3371" s="41" t="str">
        <f ca="1">IFERROR(__xludf.DUMMYFUNCTION("IFERROR(ARRAYFORMULA(REGEXEXTRACT(C3371,""^(?:https?:\/\/)?(?:[^@\n]+@)?(?:www\.)?([^:\/\n]+)"")),"""")"),"pruittijaqtkyaht.page.tl")</f>
        <v>pruittijaqtkyaht.page.tl</v>
      </c>
      <c r="E3371" s="26" t="str">
        <f ca="1">IFERROR(__xludf.DUMMYFUNCTION("""COMPUTED_VALUE"""),"New")</f>
        <v>New</v>
      </c>
      <c r="F3371" s="72">
        <v>72</v>
      </c>
      <c r="G3371" s="72">
        <v>9205</v>
      </c>
      <c r="P3371" s="26"/>
    </row>
    <row r="3372" spans="1:16" ht="14.5">
      <c r="A3372" s="3" t="s">
        <v>255</v>
      </c>
      <c r="B3372" s="12" t="s">
        <v>2859</v>
      </c>
      <c r="C3372" s="46" t="s">
        <v>7279</v>
      </c>
      <c r="D3372" s="41" t="str">
        <f ca="1">IFERROR(__xludf.DUMMYFUNCTION("IFERROR(ARRAYFORMULA(REGEXEXTRACT(C3372,""^(?:https?:\/\/)?(?:[^@\n]+@)?(?:www\.)?([^:\/\n]+)"")),"""")"),"goodmooddotcom.com")</f>
        <v>goodmooddotcom.com</v>
      </c>
      <c r="E3372" s="26" t="str">
        <f ca="1">IFERROR(__xludf.DUMMYFUNCTION("""COMPUTED_VALUE"""),"New")</f>
        <v>New</v>
      </c>
      <c r="F3372" s="72">
        <v>75</v>
      </c>
      <c r="G3372" s="72">
        <v>20970</v>
      </c>
      <c r="P3372" s="26"/>
    </row>
    <row r="3373" spans="1:16" ht="14.5">
      <c r="A3373" s="3" t="s">
        <v>255</v>
      </c>
      <c r="B3373" s="12" t="s">
        <v>2859</v>
      </c>
      <c r="C3373" s="46" t="s">
        <v>7280</v>
      </c>
      <c r="D3373" s="41" t="str">
        <f ca="1">IFERROR(__xludf.DUMMYFUNCTION("IFERROR(ARRAYFORMULA(REGEXEXTRACT(C3373,""^(?:https?:\/\/)?(?:[^@\n]+@)?(?:www\.)?([^:\/\n]+)"")),"""")"),"thecooldown.com")</f>
        <v>thecooldown.com</v>
      </c>
      <c r="E3373" s="26" t="str">
        <f ca="1">IFERROR(__xludf.DUMMYFUNCTION("""COMPUTED_VALUE"""),"New")</f>
        <v>New</v>
      </c>
      <c r="F3373" s="72">
        <v>73</v>
      </c>
      <c r="G3373" s="72">
        <v>42001</v>
      </c>
      <c r="P3373" s="26"/>
    </row>
    <row r="3374" spans="1:16" ht="14.5">
      <c r="A3374" s="3" t="s">
        <v>255</v>
      </c>
      <c r="B3374" s="12" t="s">
        <v>2859</v>
      </c>
      <c r="C3374" s="46" t="s">
        <v>7281</v>
      </c>
      <c r="D3374" s="41" t="str">
        <f ca="1">IFERROR(__xludf.DUMMYFUNCTION("IFERROR(ARRAYFORMULA(REGEXEXTRACT(C3374,""^(?:https?:\/\/)?(?:[^@\n]+@)?(?:www\.)?([^:\/\n]+)"")),"""")"),"wccbcharlotte.com")</f>
        <v>wccbcharlotte.com</v>
      </c>
      <c r="E3374" s="26" t="str">
        <f ca="1">IFERROR(__xludf.DUMMYFUNCTION("""COMPUTED_VALUE"""),"New")</f>
        <v>New</v>
      </c>
      <c r="F3374" s="72">
        <v>70</v>
      </c>
      <c r="G3374" s="72">
        <v>15512</v>
      </c>
      <c r="P3374" s="26"/>
    </row>
    <row r="3375" spans="1:16" ht="14.5">
      <c r="A3375" s="3" t="s">
        <v>255</v>
      </c>
      <c r="B3375" s="12" t="s">
        <v>2859</v>
      </c>
      <c r="C3375" s="46" t="s">
        <v>7282</v>
      </c>
      <c r="D3375" s="41" t="str">
        <f ca="1">IFERROR(__xludf.DUMMYFUNCTION("IFERROR(ARRAYFORMULA(REGEXEXTRACT(C3375,""^(?:https?:\/\/)?(?:[^@\n]+@)?(?:www\.)?([^:\/\n]+)"")),"""")"),"a-moz.groupbuyseo.org")</f>
        <v>a-moz.groupbuyseo.org</v>
      </c>
      <c r="E3375" s="26" t="str">
        <f ca="1">IFERROR(__xludf.DUMMYFUNCTION("""COMPUTED_VALUE"""),"New")</f>
        <v>New</v>
      </c>
      <c r="F3375" s="72">
        <v>31</v>
      </c>
      <c r="G3375" s="72">
        <v>2500</v>
      </c>
      <c r="P3375" s="26"/>
    </row>
    <row r="3376" spans="1:16" ht="14.5">
      <c r="A3376" s="3" t="s">
        <v>255</v>
      </c>
      <c r="B3376" s="12" t="s">
        <v>2859</v>
      </c>
      <c r="C3376" s="46" t="s">
        <v>7283</v>
      </c>
      <c r="D3376" s="41" t="str">
        <f ca="1">IFERROR(__xludf.DUMMYFUNCTION("IFERROR(ARRAYFORMULA(REGEXEXTRACT(C3376,""^(?:https?:\/\/)?(?:[^@\n]+@)?(?:www\.)?([^:\/\n]+)"")),"""")"),"gardenculturemagazine.com")</f>
        <v>gardenculturemagazine.com</v>
      </c>
      <c r="E3376" s="26" t="str">
        <f ca="1">IFERROR(__xludf.DUMMYFUNCTION("""COMPUTED_VALUE"""),"New")</f>
        <v>New</v>
      </c>
      <c r="F3376" s="72">
        <v>46</v>
      </c>
      <c r="G3376" s="72">
        <v>2364</v>
      </c>
      <c r="P3376" s="26"/>
    </row>
    <row r="3377" spans="1:16" ht="14.5">
      <c r="A3377" s="3" t="s">
        <v>255</v>
      </c>
      <c r="B3377" s="12" t="s">
        <v>2859</v>
      </c>
      <c r="C3377" s="46" t="s">
        <v>7284</v>
      </c>
      <c r="D3377" s="41" t="str">
        <f ca="1">IFERROR(__xludf.DUMMYFUNCTION("IFERROR(ARRAYFORMULA(REGEXEXTRACT(C3377,""^(?:https?:\/\/)?(?:[^@\n]+@)?(?:www\.)?([^:\/\n]+)"")),"""")"),"politicser.com")</f>
        <v>politicser.com</v>
      </c>
      <c r="E3377" s="26" t="str">
        <f ca="1">IFERROR(__xludf.DUMMYFUNCTION("""COMPUTED_VALUE"""),"New")</f>
        <v>New</v>
      </c>
      <c r="F3377" s="72">
        <v>75</v>
      </c>
      <c r="G3377" s="72">
        <v>14428</v>
      </c>
      <c r="P3377" s="26"/>
    </row>
    <row r="3378" spans="1:16" ht="14.5">
      <c r="A3378" s="3" t="s">
        <v>255</v>
      </c>
      <c r="B3378" s="12" t="s">
        <v>2859</v>
      </c>
      <c r="C3378" s="46" t="s">
        <v>7285</v>
      </c>
      <c r="D3378" s="41" t="str">
        <f ca="1">IFERROR(__xludf.DUMMYFUNCTION("IFERROR(ARRAYFORMULA(REGEXEXTRACT(C3378,""^(?:https?:\/\/)?(?:[^@\n]+@)?(?:www\.)?([^:\/\n]+)"")),"""")"),"quotela.net")</f>
        <v>quotela.net</v>
      </c>
      <c r="E3378" s="26" t="str">
        <f ca="1">IFERROR(__xludf.DUMMYFUNCTION("""COMPUTED_VALUE"""),"New")</f>
        <v>New</v>
      </c>
      <c r="F3378" s="72">
        <v>57</v>
      </c>
      <c r="G3378" s="72">
        <v>19730</v>
      </c>
      <c r="P3378" s="26"/>
    </row>
    <row r="3379" spans="1:16" ht="14.5">
      <c r="A3379" s="3" t="s">
        <v>255</v>
      </c>
      <c r="B3379" s="57" t="s">
        <v>2860</v>
      </c>
      <c r="C3379" s="46" t="s">
        <v>7286</v>
      </c>
      <c r="D3379" s="41" t="str">
        <f ca="1">IFERROR(__xludf.DUMMYFUNCTION("IFERROR(ARRAYFORMULA(REGEXEXTRACT(C3379,""^(?:https?:\/\/)?(?:[^@\n]+@)?(?:www\.)?([^:\/\n]+)"")),"""")"),"gorillaoverview.com")</f>
        <v>gorillaoverview.com</v>
      </c>
      <c r="E3379" s="26" t="str">
        <f ca="1">IFERROR(__xludf.DUMMYFUNCTION("""COMPUTED_VALUE"""),"New")</f>
        <v>New</v>
      </c>
      <c r="F3379" s="72">
        <v>47</v>
      </c>
      <c r="G3379" s="72">
        <v>2923</v>
      </c>
      <c r="P3379" s="26"/>
    </row>
    <row r="3380" spans="1:16" ht="14.5">
      <c r="A3380" s="3" t="s">
        <v>255</v>
      </c>
      <c r="B3380" s="12" t="s">
        <v>2860</v>
      </c>
      <c r="C3380" s="46" t="s">
        <v>7287</v>
      </c>
      <c r="D3380" s="41" t="str">
        <f ca="1">IFERROR(__xludf.DUMMYFUNCTION("IFERROR(ARRAYFORMULA(REGEXEXTRACT(C3380,""^(?:https?:\/\/)?(?:[^@\n]+@)?(?:www\.)?([^:\/\n]+)"")),"""")"),"fluxmagazine.co.uk")</f>
        <v>fluxmagazine.co.uk</v>
      </c>
      <c r="E3380" s="26" t="str">
        <f ca="1">IFERROR(__xludf.DUMMYFUNCTION("""COMPUTED_VALUE"""),"New")</f>
        <v>New</v>
      </c>
      <c r="F3380" s="72">
        <v>46</v>
      </c>
      <c r="G3380" s="72">
        <v>5808</v>
      </c>
      <c r="P3380" s="26"/>
    </row>
    <row r="3381" spans="1:16" ht="14.5">
      <c r="A3381" s="3" t="s">
        <v>255</v>
      </c>
      <c r="B3381" s="12" t="s">
        <v>2860</v>
      </c>
      <c r="C3381" s="47" t="s">
        <v>7288</v>
      </c>
      <c r="D3381" s="41" t="str">
        <f ca="1">IFERROR(__xludf.DUMMYFUNCTION("IFERROR(ARRAYFORMULA(REGEXEXTRACT(C3381,""^(?:https?:\/\/)?(?:[^@\n]+@)?(?:www\.)?([^:\/\n]+)"")),"""")"),"infodailybuzz.com")</f>
        <v>infodailybuzz.com</v>
      </c>
      <c r="E3381" s="26" t="str">
        <f ca="1">IFERROR(__xludf.DUMMYFUNCTION("""COMPUTED_VALUE"""),"New")</f>
        <v>New</v>
      </c>
      <c r="F3381" s="72">
        <v>43</v>
      </c>
      <c r="G3381" s="72">
        <v>1524</v>
      </c>
      <c r="J3381" s="27" t="s">
        <v>7289</v>
      </c>
      <c r="K3381" s="27" t="s">
        <v>3756</v>
      </c>
      <c r="L3381" s="112"/>
      <c r="M3381" s="27" t="s">
        <v>7290</v>
      </c>
      <c r="N3381" s="83">
        <v>46062</v>
      </c>
      <c r="P3381" s="27" t="s">
        <v>3201</v>
      </c>
    </row>
    <row r="3382" spans="1:16" ht="14.5">
      <c r="A3382" s="3" t="s">
        <v>255</v>
      </c>
      <c r="B3382" s="12" t="s">
        <v>2860</v>
      </c>
      <c r="C3382" s="46" t="s">
        <v>7291</v>
      </c>
      <c r="D3382" s="41" t="str">
        <f ca="1">IFERROR(__xludf.DUMMYFUNCTION("IFERROR(ARRAYFORMULA(REGEXEXTRACT(C3382,""^(?:https?:\/\/)?(?:[^@\n]+@)?(?:www\.)?([^:\/\n]+)"")),"""")"),"blogpioneer.co.uk")</f>
        <v>blogpioneer.co.uk</v>
      </c>
      <c r="E3382" s="26" t="str">
        <f ca="1">IFERROR(__xludf.DUMMYFUNCTION("""COMPUTED_VALUE"""),"New")</f>
        <v>New</v>
      </c>
      <c r="F3382" s="72">
        <v>52</v>
      </c>
      <c r="G3382" s="72">
        <v>4487</v>
      </c>
      <c r="P3382" s="26"/>
    </row>
    <row r="3383" spans="1:16" ht="14.5">
      <c r="A3383" s="3" t="s">
        <v>255</v>
      </c>
      <c r="B3383" s="12" t="s">
        <v>2860</v>
      </c>
      <c r="C3383" s="49" t="s">
        <v>7292</v>
      </c>
      <c r="D3383" s="41" t="str">
        <f ca="1">IFERROR(__xludf.DUMMYFUNCTION("IFERROR(ARRAYFORMULA(REGEXEXTRACT(C3383,""^(?:https?:\/\/)?(?:[^@\n]+@)?(?:www\.)?([^:\/\n]+)"")),"""")"),"goldenmagazine.co.uk")</f>
        <v>goldenmagazine.co.uk</v>
      </c>
      <c r="E3383" s="26" t="str">
        <f ca="1">IFERROR(__xludf.DUMMYFUNCTION("""COMPUTED_VALUE"""),"New")</f>
        <v>New</v>
      </c>
      <c r="F3383" s="72">
        <v>54</v>
      </c>
      <c r="G3383" s="72">
        <v>1126</v>
      </c>
      <c r="J3383" s="27" t="s">
        <v>7293</v>
      </c>
      <c r="K3383" s="27" t="s">
        <v>3756</v>
      </c>
      <c r="L3383" s="112"/>
      <c r="M3383" s="27" t="s">
        <v>7290</v>
      </c>
      <c r="N3383" s="83">
        <v>46062</v>
      </c>
      <c r="P3383" s="26"/>
    </row>
    <row r="3384" spans="1:16" ht="14.5">
      <c r="A3384" s="3" t="s">
        <v>255</v>
      </c>
      <c r="B3384" s="12" t="s">
        <v>2860</v>
      </c>
      <c r="C3384" s="84" t="s">
        <v>7294</v>
      </c>
      <c r="D3384" s="41" t="str">
        <f ca="1">IFERROR(__xludf.DUMMYFUNCTION("IFERROR(ARRAYFORMULA(REGEXEXTRACT(C3384,""^(?:https?:\/\/)?(?:[^@\n]+@)?(?:www\.)?([^:\/\n]+)"")),"""")"),"doopermagazine.co.uk")</f>
        <v>doopermagazine.co.uk</v>
      </c>
      <c r="E3384" s="26" t="str">
        <f ca="1">IFERROR(__xludf.DUMMYFUNCTION("""COMPUTED_VALUE"""),"New")</f>
        <v>New</v>
      </c>
      <c r="F3384" s="72">
        <v>60</v>
      </c>
      <c r="G3384" s="72">
        <v>4971</v>
      </c>
      <c r="J3384" s="27" t="s">
        <v>7295</v>
      </c>
      <c r="K3384" s="27" t="s">
        <v>3756</v>
      </c>
      <c r="L3384" s="112"/>
      <c r="M3384" s="27" t="s">
        <v>7290</v>
      </c>
      <c r="N3384" s="83">
        <v>46062</v>
      </c>
      <c r="P3384" s="27" t="s">
        <v>3201</v>
      </c>
    </row>
    <row r="3385" spans="1:16" ht="14.5">
      <c r="A3385" s="3" t="s">
        <v>255</v>
      </c>
      <c r="B3385" s="12" t="s">
        <v>2860</v>
      </c>
      <c r="C3385" s="49" t="s">
        <v>7296</v>
      </c>
      <c r="D3385" s="41" t="str">
        <f ca="1">IFERROR(__xludf.DUMMYFUNCTION("IFERROR(ARRAYFORMULA(REGEXEXTRACT(C3385,""^(?:https?:\/\/)?(?:[^@\n]+@)?(?:www\.)?([^:\/\n]+)"")),"""")"),"r6marketplace.ca")</f>
        <v>r6marketplace.ca</v>
      </c>
      <c r="E3385" s="26" t="str">
        <f ca="1">IFERROR(__xludf.DUMMYFUNCTION("""COMPUTED_VALUE"""),"New")</f>
        <v>New</v>
      </c>
      <c r="F3385" s="72">
        <v>37</v>
      </c>
      <c r="G3385" s="72">
        <v>59449</v>
      </c>
      <c r="J3385" s="27" t="s">
        <v>7297</v>
      </c>
      <c r="K3385" s="27" t="s">
        <v>3756</v>
      </c>
      <c r="L3385" s="112"/>
      <c r="M3385" s="27" t="s">
        <v>7290</v>
      </c>
      <c r="N3385" s="83">
        <v>46062</v>
      </c>
      <c r="P3385" s="26"/>
    </row>
    <row r="3386" spans="1:16" ht="14.5">
      <c r="A3386" s="3" t="s">
        <v>255</v>
      </c>
      <c r="B3386" s="12" t="s">
        <v>2860</v>
      </c>
      <c r="C3386" s="46" t="s">
        <v>7298</v>
      </c>
      <c r="D3386" s="41" t="str">
        <f ca="1">IFERROR(__xludf.DUMMYFUNCTION("IFERROR(ARRAYFORMULA(REGEXEXTRACT(C3386,""^(?:https?:\/\/)?(?:[^@\n]+@)?(?:www\.)?([^:\/\n]+)"")),"""")"),"ukrtime.co.ua")</f>
        <v>ukrtime.co.ua</v>
      </c>
      <c r="E3386" s="26" t="str">
        <f ca="1">IFERROR(__xludf.DUMMYFUNCTION("""COMPUTED_VALUE"""),"New")</f>
        <v>New</v>
      </c>
      <c r="F3386" s="72">
        <v>81</v>
      </c>
      <c r="G3386" s="72">
        <v>593801</v>
      </c>
      <c r="P3386" s="26"/>
    </row>
    <row r="3387" spans="1:16" ht="14.5">
      <c r="A3387" s="3" t="s">
        <v>255</v>
      </c>
      <c r="B3387" s="12" t="s">
        <v>2860</v>
      </c>
      <c r="C3387" s="46" t="s">
        <v>7299</v>
      </c>
      <c r="D3387" s="41" t="str">
        <f ca="1">IFERROR(__xludf.DUMMYFUNCTION("IFERROR(ARRAYFORMULA(REGEXEXTRACT(C3387,""^(?:https?:\/\/)?(?:[^@\n]+@)?(?:www\.)?([^:\/\n]+)"")),"""")"),"techimaging.co.uk")</f>
        <v>techimaging.co.uk</v>
      </c>
      <c r="E3387" s="26" t="str">
        <f ca="1">IFERROR(__xludf.DUMMYFUNCTION("""COMPUTED_VALUE"""),"New")</f>
        <v>New</v>
      </c>
      <c r="F3387" s="72">
        <v>43</v>
      </c>
      <c r="G3387" s="72">
        <v>2577</v>
      </c>
      <c r="P3387" s="26"/>
    </row>
    <row r="3388" spans="1:16" ht="14.5">
      <c r="A3388" s="3" t="s">
        <v>255</v>
      </c>
      <c r="B3388" s="12" t="s">
        <v>2860</v>
      </c>
      <c r="C3388" s="46" t="s">
        <v>7300</v>
      </c>
      <c r="D3388" s="41" t="str">
        <f ca="1">IFERROR(__xludf.DUMMYFUNCTION("IFERROR(ARRAYFORMULA(REGEXEXTRACT(C3388,""^(?:https?:\/\/)?(?:[^@\n]+@)?(?:www\.)?([^:\/\n]+)"")),"""")"),"utdplug.co.uk")</f>
        <v>utdplug.co.uk</v>
      </c>
      <c r="E3388" s="26" t="str">
        <f ca="1">IFERROR(__xludf.DUMMYFUNCTION("""COMPUTED_VALUE"""),"New")</f>
        <v>New</v>
      </c>
      <c r="F3388" s="72">
        <v>66</v>
      </c>
      <c r="G3388" s="72">
        <v>8632</v>
      </c>
      <c r="P3388" s="26"/>
    </row>
    <row r="3389" spans="1:16" ht="14.5">
      <c r="A3389" s="3" t="s">
        <v>255</v>
      </c>
      <c r="B3389" s="12" t="s">
        <v>2860</v>
      </c>
      <c r="C3389" s="46" t="s">
        <v>7301</v>
      </c>
      <c r="D3389" s="41" t="str">
        <f ca="1">IFERROR(__xludf.DUMMYFUNCTION("IFERROR(ARRAYFORMULA(REGEXEXTRACT(C3389,""^(?:https?:\/\/)?(?:[^@\n]+@)?(?:www\.)?([^:\/\n]+)"")),"""")"),"study4sure.com")</f>
        <v>study4sure.com</v>
      </c>
      <c r="E3389" s="26" t="str">
        <f ca="1">IFERROR(__xludf.DUMMYFUNCTION("""COMPUTED_VALUE"""),"New")</f>
        <v>New</v>
      </c>
      <c r="F3389" s="72">
        <v>23</v>
      </c>
      <c r="G3389" s="72">
        <v>1354</v>
      </c>
      <c r="P3389" s="26"/>
    </row>
    <row r="3390" spans="1:16" ht="14.5" hidden="1">
      <c r="A3390" s="3" t="s">
        <v>255</v>
      </c>
      <c r="B3390" s="12" t="s">
        <v>2860</v>
      </c>
      <c r="C3390" s="47" t="s">
        <v>7302</v>
      </c>
      <c r="D3390" s="41" t="str">
        <f ca="1">IFERROR(__xludf.DUMMYFUNCTION("IFERROR(ARRAYFORMULA(REGEXEXTRACT(C3390,""^(?:https?:\/\/)?(?:[^@\n]+@)?(?:www\.)?([^:\/\n]+)"")),"""")"),"viralfeed.uk")</f>
        <v>viralfeed.uk</v>
      </c>
      <c r="E3390" s="26" t="str">
        <f ca="1">IFERROR(__xludf.DUMMYFUNCTION("""COMPUTED_VALUE"""),"Already Exists")</f>
        <v>Already Exists</v>
      </c>
      <c r="F3390" s="72">
        <v>22</v>
      </c>
      <c r="G3390" s="72">
        <v>5954</v>
      </c>
      <c r="J3390" s="27" t="s">
        <v>7303</v>
      </c>
      <c r="K3390" s="27" t="s">
        <v>3756</v>
      </c>
      <c r="L3390" s="112"/>
      <c r="M3390" s="27" t="s">
        <v>7290</v>
      </c>
      <c r="N3390" s="83">
        <v>46062</v>
      </c>
      <c r="P3390" s="27" t="s">
        <v>3201</v>
      </c>
    </row>
    <row r="3391" spans="1:16" ht="14.5">
      <c r="A3391" s="3" t="s">
        <v>255</v>
      </c>
      <c r="B3391" s="12" t="s">
        <v>2860</v>
      </c>
      <c r="C3391" s="46" t="s">
        <v>7304</v>
      </c>
      <c r="D3391" s="41" t="str">
        <f ca="1">IFERROR(__xludf.DUMMYFUNCTION("IFERROR(ARRAYFORMULA(REGEXEXTRACT(C3391,""^(?:https?:\/\/)?(?:[^@\n]+@)?(?:www\.)?([^:\/\n]+)"")),"""")"),"braflix.org.uk")</f>
        <v>braflix.org.uk</v>
      </c>
      <c r="E3391" s="26" t="str">
        <f ca="1">IFERROR(__xludf.DUMMYFUNCTION("""COMPUTED_VALUE"""),"New")</f>
        <v>New</v>
      </c>
      <c r="F3391" s="72">
        <v>30</v>
      </c>
      <c r="G3391" s="72">
        <v>2116</v>
      </c>
      <c r="P3391" s="26"/>
    </row>
    <row r="3392" spans="1:16" ht="14.5">
      <c r="A3392" s="3" t="s">
        <v>255</v>
      </c>
      <c r="B3392" s="12" t="s">
        <v>2860</v>
      </c>
      <c r="C3392" s="46" t="s">
        <v>7305</v>
      </c>
      <c r="D3392" s="41" t="str">
        <f ca="1">IFERROR(__xludf.DUMMYFUNCTION("IFERROR(ARRAYFORMULA(REGEXEXTRACT(C3392,""^(?:https?:\/\/)?(?:[^@\n]+@)?(?:www\.)?([^:\/\n]+)"")),"""")"),"loveregards.com")</f>
        <v>loveregards.com</v>
      </c>
      <c r="E3392" s="26" t="str">
        <f ca="1">IFERROR(__xludf.DUMMYFUNCTION("""COMPUTED_VALUE"""),"New")</f>
        <v>New</v>
      </c>
      <c r="F3392" s="72">
        <v>53</v>
      </c>
      <c r="G3392" s="72">
        <v>1025</v>
      </c>
      <c r="P3392" s="26"/>
    </row>
    <row r="3393" spans="1:16" ht="14.5">
      <c r="A3393" s="3" t="s">
        <v>255</v>
      </c>
      <c r="B3393" s="12" t="s">
        <v>2860</v>
      </c>
      <c r="C3393" s="47" t="s">
        <v>7306</v>
      </c>
      <c r="D3393" s="41" t="str">
        <f ca="1">IFERROR(__xludf.DUMMYFUNCTION("IFERROR(ARRAYFORMULA(REGEXEXTRACT(C3393,""^(?:https?:\/\/)?(?:[^@\n]+@)?(?:www\.)?([^:\/\n]+)"")),"""")"),"glowyp.com")</f>
        <v>glowyp.com</v>
      </c>
      <c r="E3393" s="26" t="str">
        <f ca="1">IFERROR(__xludf.DUMMYFUNCTION("""COMPUTED_VALUE"""),"New")</f>
        <v>New</v>
      </c>
      <c r="F3393" s="72">
        <v>36</v>
      </c>
      <c r="G3393" s="72">
        <v>12484</v>
      </c>
      <c r="J3393" s="27" t="s">
        <v>7307</v>
      </c>
      <c r="K3393" s="27" t="s">
        <v>3756</v>
      </c>
      <c r="L3393" s="112"/>
      <c r="M3393" s="27" t="s">
        <v>7290</v>
      </c>
      <c r="N3393" s="83">
        <v>46062</v>
      </c>
      <c r="P3393" s="27" t="s">
        <v>3201</v>
      </c>
    </row>
    <row r="3394" spans="1:16" ht="14.5">
      <c r="A3394" s="3" t="s">
        <v>255</v>
      </c>
      <c r="B3394" s="12" t="s">
        <v>2860</v>
      </c>
      <c r="C3394" s="46" t="s">
        <v>7308</v>
      </c>
      <c r="D3394" s="41" t="str">
        <f ca="1">IFERROR(__xludf.DUMMYFUNCTION("IFERROR(ARRAYFORMULA(REGEXEXTRACT(C3394,""^(?:https?:\/\/)?(?:[^@\n]+@)?(?:www\.)?([^:\/\n]+)"")),"""")"),"namescastle.com")</f>
        <v>namescastle.com</v>
      </c>
      <c r="E3394" s="26" t="str">
        <f ca="1">IFERROR(__xludf.DUMMYFUNCTION("""COMPUTED_VALUE"""),"New")</f>
        <v>New</v>
      </c>
      <c r="F3394" s="72">
        <v>71</v>
      </c>
      <c r="G3394" s="72">
        <v>5640</v>
      </c>
      <c r="P3394" s="26"/>
    </row>
    <row r="3395" spans="1:16" ht="14.5" hidden="1">
      <c r="A3395" s="3" t="s">
        <v>255</v>
      </c>
      <c r="B3395" s="12" t="s">
        <v>2860</v>
      </c>
      <c r="C3395" s="47" t="s">
        <v>7309</v>
      </c>
      <c r="D3395" s="41" t="str">
        <f ca="1">IFERROR(__xludf.DUMMYFUNCTION("IFERROR(ARRAYFORMULA(REGEXEXTRACT(C3395,""^(?:https?:\/\/)?(?:[^@\n]+@)?(?:www\.)?([^:\/\n]+)"")),"""")"),"themomentsmag.com")</f>
        <v>themomentsmag.com</v>
      </c>
      <c r="E3395" s="26" t="str">
        <f ca="1">IFERROR(__xludf.DUMMYFUNCTION("""COMPUTED_VALUE"""),"Already Exists")</f>
        <v>Already Exists</v>
      </c>
      <c r="F3395" s="72">
        <v>47</v>
      </c>
      <c r="G3395" s="72">
        <v>10007</v>
      </c>
      <c r="J3395" s="27" t="s">
        <v>7310</v>
      </c>
      <c r="K3395" s="27" t="s">
        <v>3756</v>
      </c>
      <c r="L3395" s="112"/>
      <c r="M3395" s="27" t="s">
        <v>7290</v>
      </c>
      <c r="N3395" s="83">
        <v>46062</v>
      </c>
      <c r="P3395" s="27" t="s">
        <v>3201</v>
      </c>
    </row>
    <row r="3396" spans="1:16" ht="14.5">
      <c r="A3396" s="3" t="s">
        <v>255</v>
      </c>
      <c r="B3396" s="12" t="s">
        <v>2860</v>
      </c>
      <c r="C3396" s="47" t="s">
        <v>7311</v>
      </c>
      <c r="D3396" s="41" t="str">
        <f ca="1">IFERROR(__xludf.DUMMYFUNCTION("IFERROR(ARRAYFORMULA(REGEXEXTRACT(C3396,""^(?:https?:\/\/)?(?:[^@\n]+@)?(?:www\.)?([^:\/\n]+)"")),"""")"),"speculativechic.com")</f>
        <v>speculativechic.com</v>
      </c>
      <c r="E3396" s="26" t="str">
        <f ca="1">IFERROR(__xludf.DUMMYFUNCTION("""COMPUTED_VALUE"""),"New")</f>
        <v>New</v>
      </c>
      <c r="F3396" s="72">
        <v>26</v>
      </c>
      <c r="G3396" s="72">
        <v>1670</v>
      </c>
      <c r="J3396" s="27" t="s">
        <v>7312</v>
      </c>
      <c r="K3396" s="27" t="s">
        <v>3756</v>
      </c>
      <c r="L3396" s="112"/>
      <c r="M3396" s="27" t="s">
        <v>7290</v>
      </c>
      <c r="N3396" s="83">
        <v>46062</v>
      </c>
      <c r="P3396" s="27" t="s">
        <v>3201</v>
      </c>
    </row>
    <row r="3397" spans="1:16" ht="14.5">
      <c r="A3397" s="3" t="s">
        <v>255</v>
      </c>
      <c r="B3397" s="12" t="s">
        <v>2860</v>
      </c>
      <c r="C3397" s="46" t="s">
        <v>7313</v>
      </c>
      <c r="D3397" s="41" t="str">
        <f ca="1">IFERROR(__xludf.DUMMYFUNCTION("IFERROR(ARRAYFORMULA(REGEXEXTRACT(C3397,""^(?:https?:\/\/)?(?:[^@\n]+@)?(?:www\.)?([^:\/\n]+)"")),"""")"),"visacheckqatar.com")</f>
        <v>visacheckqatar.com</v>
      </c>
      <c r="E3397" s="26" t="str">
        <f ca="1">IFERROR(__xludf.DUMMYFUNCTION("""COMPUTED_VALUE"""),"New")</f>
        <v>New</v>
      </c>
      <c r="F3397" s="72">
        <v>62</v>
      </c>
      <c r="G3397" s="72">
        <v>51185</v>
      </c>
      <c r="P3397" s="26"/>
    </row>
    <row r="3398" spans="1:16" ht="14.5">
      <c r="A3398" s="3" t="s">
        <v>255</v>
      </c>
      <c r="B3398" s="12" t="s">
        <v>2860</v>
      </c>
      <c r="C3398" s="46" t="s">
        <v>7314</v>
      </c>
      <c r="D3398" s="41" t="str">
        <f ca="1">IFERROR(__xludf.DUMMYFUNCTION("IFERROR(ARRAYFORMULA(REGEXEXTRACT(C3398,""^(?:https?:\/\/)?(?:[^@\n]+@)?(?:www\.)?([^:\/\n]+)"")),"""")"),"grammarpaths.com")</f>
        <v>grammarpaths.com</v>
      </c>
      <c r="E3398" s="26" t="str">
        <f ca="1">IFERROR(__xludf.DUMMYFUNCTION("""COMPUTED_VALUE"""),"New")</f>
        <v>New</v>
      </c>
      <c r="F3398" s="72">
        <v>71</v>
      </c>
      <c r="G3398" s="72">
        <v>2047</v>
      </c>
      <c r="P3398" s="26"/>
    </row>
    <row r="3399" spans="1:16" ht="14.5">
      <c r="A3399" s="3" t="s">
        <v>255</v>
      </c>
      <c r="B3399" s="12" t="s">
        <v>2860</v>
      </c>
      <c r="C3399" s="84" t="s">
        <v>7315</v>
      </c>
      <c r="D3399" s="41" t="str">
        <f ca="1">IFERROR(__xludf.DUMMYFUNCTION("IFERROR(ARRAYFORMULA(REGEXEXTRACT(C3399,""^(?:https?:\/\/)?(?:[^@\n]+@)?(?:www\.)?([^:\/\n]+)"")),"""")"),"easygrader.net")</f>
        <v>easygrader.net</v>
      </c>
      <c r="E3399" s="26" t="str">
        <f ca="1">IFERROR(__xludf.DUMMYFUNCTION("""COMPUTED_VALUE"""),"New")</f>
        <v>New</v>
      </c>
      <c r="F3399" s="72">
        <v>59</v>
      </c>
      <c r="G3399" s="72">
        <v>1821</v>
      </c>
      <c r="J3399" s="27" t="s">
        <v>7316</v>
      </c>
      <c r="K3399" s="27" t="s">
        <v>3756</v>
      </c>
      <c r="L3399" s="112"/>
      <c r="M3399" s="27" t="s">
        <v>7290</v>
      </c>
      <c r="N3399" s="83">
        <v>46062</v>
      </c>
      <c r="P3399" s="27" t="s">
        <v>3201</v>
      </c>
    </row>
    <row r="3400" spans="1:16" ht="14.5" hidden="1">
      <c r="A3400" s="3" t="s">
        <v>255</v>
      </c>
      <c r="B3400" s="12" t="s">
        <v>2860</v>
      </c>
      <c r="C3400" s="47" t="s">
        <v>7317</v>
      </c>
      <c r="D3400" s="41" t="str">
        <f ca="1">IFERROR(__xludf.DUMMYFUNCTION("IFERROR(ARRAYFORMULA(REGEXEXTRACT(C3400,""^(?:https?:\/\/)?(?:[^@\n]+@)?(?:www\.)?([^:\/\n]+)"")),"""")"),"idiomsinsider.com")</f>
        <v>idiomsinsider.com</v>
      </c>
      <c r="E3400" s="26" t="str">
        <f ca="1">IFERROR(__xludf.DUMMYFUNCTION("""COMPUTED_VALUE"""),"Already Exists")</f>
        <v>Already Exists</v>
      </c>
      <c r="F3400" s="72">
        <v>34</v>
      </c>
      <c r="G3400" s="72">
        <v>8833</v>
      </c>
      <c r="J3400" s="27" t="s">
        <v>7318</v>
      </c>
      <c r="K3400" s="27" t="s">
        <v>3756</v>
      </c>
      <c r="L3400" s="112"/>
      <c r="M3400" s="27" t="s">
        <v>7290</v>
      </c>
      <c r="N3400" s="83">
        <v>46063</v>
      </c>
      <c r="P3400" s="27" t="s">
        <v>3201</v>
      </c>
    </row>
    <row r="3401" spans="1:16" ht="14.5">
      <c r="A3401" s="3" t="s">
        <v>255</v>
      </c>
      <c r="B3401" s="12" t="s">
        <v>2860</v>
      </c>
      <c r="C3401" s="46" t="s">
        <v>7319</v>
      </c>
      <c r="D3401" s="41" t="str">
        <f ca="1">IFERROR(__xludf.DUMMYFUNCTION("IFERROR(ARRAYFORMULA(REGEXEXTRACT(C3401,""^(?:https?:\/\/)?(?:[^@\n]+@)?(?:www\.)?([^:\/\n]+)"")),"""")"),"pepper0.com")</f>
        <v>pepper0.com</v>
      </c>
      <c r="E3401" s="26" t="str">
        <f ca="1">IFERROR(__xludf.DUMMYFUNCTION("""COMPUTED_VALUE"""),"New")</f>
        <v>New</v>
      </c>
      <c r="F3401" s="72">
        <v>34</v>
      </c>
      <c r="G3401" s="72">
        <v>5516</v>
      </c>
      <c r="P3401" s="26"/>
    </row>
    <row r="3402" spans="1:16" ht="14.5">
      <c r="A3402" s="3" t="s">
        <v>255</v>
      </c>
      <c r="B3402" s="12" t="s">
        <v>2860</v>
      </c>
      <c r="C3402" s="46" t="s">
        <v>7320</v>
      </c>
      <c r="D3402" s="41" t="str">
        <f ca="1">IFERROR(__xludf.DUMMYFUNCTION("IFERROR(ARRAYFORMULA(REGEXEXTRACT(C3402,""^(?:https?:\/\/)?(?:[^@\n]+@)?(?:www\.)?([^:\/\n]+)"")),"""")"),"reelsmedia.co.uk")</f>
        <v>reelsmedia.co.uk</v>
      </c>
      <c r="E3402" s="26" t="str">
        <f ca="1">IFERROR(__xludf.DUMMYFUNCTION("""COMPUTED_VALUE"""),"New")</f>
        <v>New</v>
      </c>
      <c r="F3402" s="72">
        <v>64</v>
      </c>
      <c r="G3402" s="72">
        <v>4166</v>
      </c>
      <c r="P3402" s="26"/>
    </row>
    <row r="3403" spans="1:16" ht="14.5">
      <c r="A3403" s="3" t="s">
        <v>255</v>
      </c>
      <c r="B3403" s="12" t="s">
        <v>2860</v>
      </c>
      <c r="C3403" s="46" t="s">
        <v>7321</v>
      </c>
      <c r="D3403" s="41" t="str">
        <f ca="1">IFERROR(__xludf.DUMMYFUNCTION("IFERROR(ARRAYFORMULA(REGEXEXTRACT(C3403,""^(?:https?:\/\/)?(?:[^@\n]+@)?(?:www\.)?([^:\/\n]+)"")),"""")"),"tribune.co.com")</f>
        <v>tribune.co.com</v>
      </c>
      <c r="E3403" s="26" t="str">
        <f ca="1">IFERROR(__xludf.DUMMYFUNCTION("""COMPUTED_VALUE"""),"New")</f>
        <v>New</v>
      </c>
      <c r="F3403" s="72">
        <v>90</v>
      </c>
      <c r="G3403" s="72">
        <v>6782144</v>
      </c>
      <c r="P3403" s="26"/>
    </row>
    <row r="3404" spans="1:16" ht="14.5" hidden="1">
      <c r="A3404" s="3" t="s">
        <v>255</v>
      </c>
      <c r="B3404" s="12" t="s">
        <v>2860</v>
      </c>
      <c r="C3404" s="46" t="s">
        <v>7322</v>
      </c>
      <c r="D3404" s="41" t="str">
        <f ca="1">IFERROR(__xludf.DUMMYFUNCTION("IFERROR(ARRAYFORMULA(REGEXEXTRACT(C3404,""^(?:https?:\/\/)?(?:[^@\n]+@)?(?:www\.)?([^:\/\n]+)"")),"""")"),"greenrecord.co.uk")</f>
        <v>greenrecord.co.uk</v>
      </c>
      <c r="E3404" s="26" t="str">
        <f ca="1">IFERROR(__xludf.DUMMYFUNCTION("""COMPUTED_VALUE"""),"Already Exists")</f>
        <v>Already Exists</v>
      </c>
      <c r="F3404" s="72">
        <v>72</v>
      </c>
      <c r="G3404" s="72">
        <v>6161</v>
      </c>
      <c r="P3404" s="26"/>
    </row>
    <row r="3405" spans="1:16" ht="14.5">
      <c r="A3405" s="3" t="s">
        <v>255</v>
      </c>
      <c r="B3405" s="12" t="s">
        <v>2860</v>
      </c>
      <c r="C3405" s="46" t="s">
        <v>7323</v>
      </c>
      <c r="D3405" s="41" t="str">
        <f ca="1">IFERROR(__xludf.DUMMYFUNCTION("IFERROR(ARRAYFORMULA(REGEXEXTRACT(C3405,""^(?:https?:\/\/)?(?:[^@\n]+@)?(?:www\.)?([^:\/\n]+)"")),"""")"),"buzzcutofficial.com")</f>
        <v>buzzcutofficial.com</v>
      </c>
      <c r="E3405" s="26" t="str">
        <f ca="1">IFERROR(__xludf.DUMMYFUNCTION("""COMPUTED_VALUE"""),"New")</f>
        <v>New</v>
      </c>
      <c r="F3405" s="72">
        <v>44</v>
      </c>
      <c r="G3405" s="72">
        <v>3792</v>
      </c>
      <c r="P3405" s="26"/>
    </row>
    <row r="3406" spans="1:16" ht="14.5">
      <c r="A3406" s="3" t="s">
        <v>255</v>
      </c>
      <c r="B3406" s="12" t="s">
        <v>2860</v>
      </c>
      <c r="C3406" s="46" t="s">
        <v>7324</v>
      </c>
      <c r="D3406" s="41" t="str">
        <f ca="1">IFERROR(__xludf.DUMMYFUNCTION("IFERROR(ARRAYFORMULA(REGEXEXTRACT(C3406,""^(?:https?:\/\/)?(?:[^@\n]+@)?(?:www\.)?([^:\/\n]+)"")),"""")"),"rapidmagazine.co.uk")</f>
        <v>rapidmagazine.co.uk</v>
      </c>
      <c r="E3406" s="26" t="str">
        <f ca="1">IFERROR(__xludf.DUMMYFUNCTION("""COMPUTED_VALUE"""),"New")</f>
        <v>New</v>
      </c>
      <c r="F3406" s="72">
        <v>30</v>
      </c>
      <c r="G3406" s="72">
        <v>2712</v>
      </c>
      <c r="P3406" s="26"/>
    </row>
    <row r="3407" spans="1:16" ht="14.5">
      <c r="A3407" s="3" t="s">
        <v>255</v>
      </c>
      <c r="B3407" s="12" t="s">
        <v>2860</v>
      </c>
      <c r="C3407" s="46" t="s">
        <v>7325</v>
      </c>
      <c r="D3407" s="41" t="str">
        <f ca="1">IFERROR(__xludf.DUMMYFUNCTION("IFERROR(ARRAYFORMULA(REGEXEXTRACT(C3407,""^(?:https?:\/\/)?(?:[^@\n]+@)?(?:www\.)?([^:\/\n]+)"")),"""")"),"incestflox.net")</f>
        <v>incestflox.net</v>
      </c>
      <c r="E3407" s="26" t="str">
        <f ca="1">IFERROR(__xludf.DUMMYFUNCTION("""COMPUTED_VALUE"""),"New")</f>
        <v>New</v>
      </c>
      <c r="F3407" s="72">
        <v>30</v>
      </c>
      <c r="G3407" s="72">
        <v>4737</v>
      </c>
      <c r="P3407" s="26"/>
    </row>
    <row r="3408" spans="1:16" ht="14.5">
      <c r="A3408" s="3" t="s">
        <v>255</v>
      </c>
      <c r="B3408" s="12" t="s">
        <v>2860</v>
      </c>
      <c r="C3408" s="46" t="s">
        <v>7326</v>
      </c>
      <c r="D3408" s="41" t="str">
        <f ca="1">IFERROR(__xludf.DUMMYFUNCTION("IFERROR(ARRAYFORMULA(REGEXEXTRACT(C3408,""^(?:https?:\/\/)?(?:[^@\n]+@)?(?:www\.)?([^:\/\n]+)"")),"""")"),"blogbuz.co.uk")</f>
        <v>blogbuz.co.uk</v>
      </c>
      <c r="E3408" s="26" t="str">
        <f ca="1">IFERROR(__xludf.DUMMYFUNCTION("""COMPUTED_VALUE"""),"New")</f>
        <v>New</v>
      </c>
      <c r="F3408" s="72">
        <v>56</v>
      </c>
      <c r="G3408" s="72">
        <v>8256</v>
      </c>
      <c r="P3408" s="26"/>
    </row>
    <row r="3409" spans="1:16" ht="14.5" hidden="1">
      <c r="A3409" s="3" t="s">
        <v>255</v>
      </c>
      <c r="B3409" s="12" t="s">
        <v>2860</v>
      </c>
      <c r="C3409" s="46" t="s">
        <v>7327</v>
      </c>
      <c r="D3409" s="41" t="str">
        <f ca="1">IFERROR(__xludf.DUMMYFUNCTION("IFERROR(ARRAYFORMULA(REGEXEXTRACT(C3409,""^(?:https?:\/\/)?(?:[^@\n]+@)?(?:www\.)?([^:\/\n]+)"")),"""")"),"solutionhow.com")</f>
        <v>solutionhow.com</v>
      </c>
      <c r="E3409" s="26" t="str">
        <f ca="1">IFERROR(__xludf.DUMMYFUNCTION("""COMPUTED_VALUE"""),"Already Exists")</f>
        <v>Already Exists</v>
      </c>
      <c r="F3409" s="72">
        <v>41</v>
      </c>
      <c r="G3409" s="72">
        <v>6724</v>
      </c>
      <c r="P3409" s="26"/>
    </row>
    <row r="3410" spans="1:16" ht="14.5">
      <c r="A3410" s="3" t="s">
        <v>255</v>
      </c>
      <c r="B3410" s="12" t="s">
        <v>2860</v>
      </c>
      <c r="C3410" s="46" t="s">
        <v>7328</v>
      </c>
      <c r="D3410" s="41" t="str">
        <f ca="1">IFERROR(__xludf.DUMMYFUNCTION("IFERROR(ARRAYFORMULA(REGEXEXTRACT(C3410,""^(?:https?:\/\/)?(?:[^@\n]+@)?(?:www\.)?([^:\/\n]+)"")),"""")"),"ourcodeworld.com")</f>
        <v>ourcodeworld.com</v>
      </c>
      <c r="E3410" s="26" t="str">
        <f ca="1">IFERROR(__xludf.DUMMYFUNCTION("""COMPUTED_VALUE"""),"New")</f>
        <v>New</v>
      </c>
      <c r="F3410" s="72">
        <v>56</v>
      </c>
      <c r="G3410" s="72">
        <v>3360</v>
      </c>
      <c r="P3410" s="26"/>
    </row>
    <row r="3411" spans="1:16" ht="14.5" hidden="1">
      <c r="A3411" s="3" t="s">
        <v>255</v>
      </c>
      <c r="B3411" s="12" t="s">
        <v>2860</v>
      </c>
      <c r="C3411" s="46" t="s">
        <v>7329</v>
      </c>
      <c r="D3411" s="41" t="str">
        <f ca="1">IFERROR(__xludf.DUMMYFUNCTION("IFERROR(ARRAYFORMULA(REGEXEXTRACT(C3411,""^(?:https?:\/\/)?(?:[^@\n]+@)?(?:www\.)?([^:\/\n]+)"")),"""")"),"newsdipper.co.uk")</f>
        <v>newsdipper.co.uk</v>
      </c>
      <c r="E3411" s="26" t="str">
        <f ca="1">IFERROR(__xludf.DUMMYFUNCTION("""COMPUTED_VALUE"""),"Already Exists")</f>
        <v>Already Exists</v>
      </c>
      <c r="F3411" s="72">
        <v>48</v>
      </c>
      <c r="G3411" s="72">
        <v>1181</v>
      </c>
      <c r="P3411" s="26"/>
    </row>
    <row r="3412" spans="1:16" ht="14.5">
      <c r="A3412" s="3" t="s">
        <v>255</v>
      </c>
      <c r="B3412" s="12" t="s">
        <v>2860</v>
      </c>
      <c r="C3412" s="46" t="s">
        <v>7330</v>
      </c>
      <c r="D3412" s="41" t="str">
        <f ca="1">IFERROR(__xludf.DUMMYFUNCTION("IFERROR(ARRAYFORMULA(REGEXEXTRACT(C3412,""^(?:https?:\/\/)?(?:[^@\n]+@)?(?:www\.)?([^:\/\n]+)"")),"""")"),"aijourn.com")</f>
        <v>aijourn.com</v>
      </c>
      <c r="E3412" s="26" t="str">
        <f ca="1">IFERROR(__xludf.DUMMYFUNCTION("""COMPUTED_VALUE"""),"New")</f>
        <v>New</v>
      </c>
      <c r="F3412" s="72">
        <v>77</v>
      </c>
      <c r="G3412" s="72">
        <v>85147</v>
      </c>
      <c r="H3412" s="39"/>
      <c r="P3412" s="26"/>
    </row>
    <row r="3413" spans="1:16" ht="14.5">
      <c r="A3413" s="3" t="s">
        <v>255</v>
      </c>
      <c r="B3413" s="12" t="s">
        <v>2860</v>
      </c>
      <c r="C3413" s="46" t="s">
        <v>7331</v>
      </c>
      <c r="D3413" s="41" t="str">
        <f ca="1">IFERROR(__xludf.DUMMYFUNCTION("IFERROR(ARRAYFORMULA(REGEXEXTRACT(C3413,""^(?:https?:\/\/)?(?:[^@\n]+@)?(?:www\.)?([^:\/\n]+)"")),"""")"),"beststartupstory.com")</f>
        <v>beststartupstory.com</v>
      </c>
      <c r="E3413" s="26" t="str">
        <f ca="1">IFERROR(__xludf.DUMMYFUNCTION("""COMPUTED_VALUE"""),"New")</f>
        <v>New</v>
      </c>
      <c r="F3413" s="72">
        <v>33</v>
      </c>
      <c r="G3413" s="72">
        <v>6843</v>
      </c>
      <c r="P3413" s="26"/>
    </row>
    <row r="3414" spans="1:16" ht="14.5">
      <c r="A3414" s="3" t="s">
        <v>255</v>
      </c>
      <c r="B3414" s="12" t="s">
        <v>2860</v>
      </c>
      <c r="C3414" s="47" t="s">
        <v>7332</v>
      </c>
      <c r="D3414" s="41" t="str">
        <f ca="1">IFERROR(__xludf.DUMMYFUNCTION("IFERROR(ARRAYFORMULA(REGEXEXTRACT(C3414,""^(?:https?:\/\/)?(?:[^@\n]+@)?(?:www\.)?([^:\/\n]+)"")),"""")"),"dailyodyssey.co.uk")</f>
        <v>dailyodyssey.co.uk</v>
      </c>
      <c r="E3414" s="26" t="str">
        <f ca="1">IFERROR(__xludf.DUMMYFUNCTION("""COMPUTED_VALUE"""),"New")</f>
        <v>New</v>
      </c>
      <c r="F3414" s="72">
        <v>49</v>
      </c>
      <c r="G3414" s="72">
        <v>1034</v>
      </c>
      <c r="J3414" s="27" t="s">
        <v>7333</v>
      </c>
      <c r="K3414" s="27" t="s">
        <v>3756</v>
      </c>
      <c r="L3414" s="112"/>
      <c r="M3414" s="27" t="s">
        <v>7290</v>
      </c>
      <c r="N3414" s="83">
        <v>46063</v>
      </c>
      <c r="P3414" s="27" t="s">
        <v>3201</v>
      </c>
    </row>
    <row r="3415" spans="1:16" ht="14.5">
      <c r="A3415" s="3" t="s">
        <v>255</v>
      </c>
      <c r="B3415" s="12" t="s">
        <v>2860</v>
      </c>
      <c r="C3415" s="46" t="s">
        <v>7334</v>
      </c>
      <c r="D3415" s="41" t="str">
        <f ca="1">IFERROR(__xludf.DUMMYFUNCTION("IFERROR(ARRAYFORMULA(REGEXEXTRACT(C3415,""^(?:https?:\/\/)?(?:[^@\n]+@)?(?:www\.)?([^:\/\n]+)"")),"""")"),"newscooper.co.uk")</f>
        <v>newscooper.co.uk</v>
      </c>
      <c r="E3415" s="26" t="str">
        <f ca="1">IFERROR(__xludf.DUMMYFUNCTION("""COMPUTED_VALUE"""),"New")</f>
        <v>New</v>
      </c>
      <c r="F3415" s="72">
        <v>54</v>
      </c>
      <c r="G3415" s="72">
        <v>3237</v>
      </c>
      <c r="P3415" s="26"/>
    </row>
    <row r="3416" spans="1:16" ht="14.5">
      <c r="A3416" s="3" t="s">
        <v>255</v>
      </c>
      <c r="B3416" s="12" t="s">
        <v>2860</v>
      </c>
      <c r="C3416" s="46" t="s">
        <v>7335</v>
      </c>
      <c r="D3416" s="41" t="str">
        <f ca="1">IFERROR(__xludf.DUMMYFUNCTION("IFERROR(ARRAYFORMULA(REGEXEXTRACT(C3416,""^(?:https?:\/\/)?(?:[^@\n]+@)?(?:www\.)?([^:\/\n]+)"")),"""")"),"primejournal.co.uk")</f>
        <v>primejournal.co.uk</v>
      </c>
      <c r="E3416" s="26" t="str">
        <f ca="1">IFERROR(__xludf.DUMMYFUNCTION("""COMPUTED_VALUE"""),"New")</f>
        <v>New</v>
      </c>
      <c r="F3416" s="72">
        <v>37</v>
      </c>
      <c r="G3416" s="72">
        <v>43237</v>
      </c>
      <c r="P3416" s="26"/>
    </row>
    <row r="3417" spans="1:16" ht="14.5">
      <c r="A3417" s="3" t="s">
        <v>255</v>
      </c>
      <c r="B3417" s="12" t="s">
        <v>2860</v>
      </c>
      <c r="C3417" s="46" t="s">
        <v>7336</v>
      </c>
      <c r="D3417" s="41" t="str">
        <f ca="1">IFERROR(__xludf.DUMMYFUNCTION("IFERROR(ARRAYFORMULA(REGEXEXTRACT(C3417,""^(?:https?:\/\/)?(?:[^@\n]+@)?(?:www\.)?([^:\/\n]+)"")),"""")"),"instander-official.com")</f>
        <v>instander-official.com</v>
      </c>
      <c r="E3417" s="26" t="str">
        <f ca="1">IFERROR(__xludf.DUMMYFUNCTION("""COMPUTED_VALUE"""),"New")</f>
        <v>New</v>
      </c>
      <c r="F3417" s="72">
        <v>70</v>
      </c>
      <c r="G3417" s="72">
        <v>12815</v>
      </c>
      <c r="P3417" s="26"/>
    </row>
    <row r="3418" spans="1:16" ht="14.5">
      <c r="A3418" s="3" t="s">
        <v>255</v>
      </c>
      <c r="B3418" s="12" t="s">
        <v>2860</v>
      </c>
      <c r="C3418" s="46" t="s">
        <v>7337</v>
      </c>
      <c r="D3418" s="41" t="str">
        <f ca="1">IFERROR(__xludf.DUMMYFUNCTION("IFERROR(ARRAYFORMULA(REGEXEXTRACT(C3418,""^(?:https?:\/\/)?(?:[^@\n]+@)?(?:www\.)?([^:\/\n]+)"")),"""")"),"learnlaughspeak.com")</f>
        <v>learnlaughspeak.com</v>
      </c>
      <c r="E3418" s="26" t="str">
        <f ca="1">IFERROR(__xludf.DUMMYFUNCTION("""COMPUTED_VALUE"""),"New")</f>
        <v>New</v>
      </c>
      <c r="F3418" s="72">
        <v>64</v>
      </c>
      <c r="G3418" s="72">
        <v>5478</v>
      </c>
      <c r="P3418" s="26"/>
    </row>
    <row r="3419" spans="1:16" ht="14.5">
      <c r="A3419" s="3" t="s">
        <v>255</v>
      </c>
      <c r="B3419" s="12" t="s">
        <v>2860</v>
      </c>
      <c r="C3419" s="46" t="s">
        <v>7338</v>
      </c>
      <c r="D3419" s="41" t="str">
        <f ca="1">IFERROR(__xludf.DUMMYFUNCTION("IFERROR(ARRAYFORMULA(REGEXEXTRACT(C3419,""^(?:https?:\/\/)?(?:[^@\n]+@)?(?:www\.)?([^:\/\n]+)"")),"""")"),"vegassweeps.io")</f>
        <v>vegassweeps.io</v>
      </c>
      <c r="E3419" s="26" t="str">
        <f ca="1">IFERROR(__xludf.DUMMYFUNCTION("""COMPUTED_VALUE"""),"New")</f>
        <v>New</v>
      </c>
      <c r="F3419" s="72">
        <v>70</v>
      </c>
      <c r="G3419" s="72">
        <v>2269</v>
      </c>
      <c r="P3419" s="26"/>
    </row>
    <row r="3420" spans="1:16" ht="14.5" hidden="1">
      <c r="A3420" s="3" t="s">
        <v>255</v>
      </c>
      <c r="B3420" s="12" t="s">
        <v>2860</v>
      </c>
      <c r="C3420" s="47" t="s">
        <v>7339</v>
      </c>
      <c r="D3420" s="41" t="str">
        <f ca="1">IFERROR(__xludf.DUMMYFUNCTION("IFERROR(ARRAYFORMULA(REGEXEXTRACT(C3420,""^(?:https?:\/\/)?(?:[^@\n]+@)?(?:www\.)?([^:\/\n]+)"")),"""")"),"starbucks-menus.com")</f>
        <v>starbucks-menus.com</v>
      </c>
      <c r="E3420" s="26" t="str">
        <f ca="1">IFERROR(__xludf.DUMMYFUNCTION("""COMPUTED_VALUE"""),"Already Exists")</f>
        <v>Already Exists</v>
      </c>
      <c r="F3420" s="72">
        <v>63</v>
      </c>
      <c r="G3420" s="72">
        <v>10214</v>
      </c>
      <c r="J3420" s="27" t="s">
        <v>7340</v>
      </c>
      <c r="K3420" s="27" t="s">
        <v>3756</v>
      </c>
      <c r="L3420" s="112"/>
      <c r="M3420" s="27" t="s">
        <v>7290</v>
      </c>
      <c r="N3420" s="83">
        <v>46063</v>
      </c>
      <c r="P3420" s="27" t="s">
        <v>3201</v>
      </c>
    </row>
    <row r="3421" spans="1:16" ht="14.5">
      <c r="A3421" s="3" t="s">
        <v>255</v>
      </c>
      <c r="B3421" s="12" t="s">
        <v>2860</v>
      </c>
      <c r="C3421" s="46" t="s">
        <v>7341</v>
      </c>
      <c r="D3421" s="41" t="str">
        <f ca="1">IFERROR(__xludf.DUMMYFUNCTION("IFERROR(ARRAYFORMULA(REGEXEXTRACT(C3421,""^(?:https?:\/\/)?(?:[^@\n]+@)?(?:www\.)?([^:\/\n]+)"")),"""")"),"punzify.com")</f>
        <v>punzify.com</v>
      </c>
      <c r="E3421" s="26" t="str">
        <f ca="1">IFERROR(__xludf.DUMMYFUNCTION("""COMPUTED_VALUE"""),"New")</f>
        <v>New</v>
      </c>
      <c r="F3421" s="72">
        <v>73</v>
      </c>
      <c r="G3421" s="72">
        <v>3257</v>
      </c>
      <c r="P3421" s="26"/>
    </row>
    <row r="3422" spans="1:16" ht="14.5">
      <c r="A3422" s="3" t="s">
        <v>255</v>
      </c>
      <c r="B3422" s="12" t="s">
        <v>2860</v>
      </c>
      <c r="C3422" s="46" t="s">
        <v>7342</v>
      </c>
      <c r="D3422" s="41" t="str">
        <f ca="1">IFERROR(__xludf.DUMMYFUNCTION("IFERROR(ARRAYFORMULA(REGEXEXTRACT(C3422,""^(?:https?:\/\/)?(?:[^@\n]+@)?(?:www\.)?([^:\/\n]+)"")),"""")"),"theblockdfw.com")</f>
        <v>theblockdfw.com</v>
      </c>
      <c r="E3422" s="26" t="str">
        <f ca="1">IFERROR(__xludf.DUMMYFUNCTION("""COMPUTED_VALUE"""),"New")</f>
        <v>New</v>
      </c>
      <c r="F3422" s="72">
        <v>53</v>
      </c>
      <c r="G3422" s="72">
        <v>31856</v>
      </c>
      <c r="P3422" s="26"/>
    </row>
    <row r="3423" spans="1:16" ht="14.5">
      <c r="A3423" s="3" t="s">
        <v>255</v>
      </c>
      <c r="B3423" s="12" t="s">
        <v>2860</v>
      </c>
      <c r="C3423" s="46" t="s">
        <v>7343</v>
      </c>
      <c r="D3423" s="41" t="str">
        <f ca="1">IFERROR(__xludf.DUMMYFUNCTION("IFERROR(ARRAYFORMULA(REGEXEXTRACT(C3423,""^(?:https?:\/\/)?(?:[^@\n]+@)?(?:www\.)?([^:\/\n]+)"")),"""")"),"nameslection.com")</f>
        <v>nameslection.com</v>
      </c>
      <c r="E3423" s="26" t="str">
        <f ca="1">IFERROR(__xludf.DUMMYFUNCTION("""COMPUTED_VALUE"""),"New")</f>
        <v>New</v>
      </c>
      <c r="F3423" s="72">
        <v>55</v>
      </c>
      <c r="G3423" s="72">
        <v>1480</v>
      </c>
      <c r="P3423" s="26"/>
    </row>
    <row r="3424" spans="1:16" ht="14.5">
      <c r="A3424" s="3" t="s">
        <v>255</v>
      </c>
      <c r="B3424" s="12" t="s">
        <v>2860</v>
      </c>
      <c r="C3424" s="46" t="s">
        <v>7344</v>
      </c>
      <c r="D3424" s="41" t="str">
        <f ca="1">IFERROR(__xludf.DUMMYFUNCTION("IFERROR(ARRAYFORMULA(REGEXEXTRACT(C3424,""^(?:https?:\/\/)?(?:[^@\n]+@)?(?:www\.)?([^:\/\n]+)"")),"""")"),"iocmkt.com")</f>
        <v>iocmkt.com</v>
      </c>
      <c r="E3424" s="26" t="str">
        <f ca="1">IFERROR(__xludf.DUMMYFUNCTION("""COMPUTED_VALUE"""),"New")</f>
        <v>New</v>
      </c>
      <c r="F3424" s="72">
        <v>56</v>
      </c>
      <c r="G3424" s="72">
        <v>13012</v>
      </c>
      <c r="P3424" s="26"/>
    </row>
    <row r="3425" spans="1:16" ht="14.5">
      <c r="A3425" s="3" t="s">
        <v>255</v>
      </c>
      <c r="B3425" s="12" t="s">
        <v>2860</v>
      </c>
      <c r="C3425" s="46" t="s">
        <v>7345</v>
      </c>
      <c r="D3425" s="41" t="str">
        <f ca="1">IFERROR(__xludf.DUMMYFUNCTION("IFERROR(ARRAYFORMULA(REGEXEXTRACT(C3425,""^(?:https?:\/\/)?(?:[^@\n]+@)?(?:www\.)?([^:\/\n]+)"")),"""")"),"baddieshub.co.uk")</f>
        <v>baddieshub.co.uk</v>
      </c>
      <c r="E3425" s="26" t="str">
        <f ca="1">IFERROR(__xludf.DUMMYFUNCTION("""COMPUTED_VALUE"""),"New")</f>
        <v>New</v>
      </c>
      <c r="F3425" s="72">
        <v>32</v>
      </c>
      <c r="G3425" s="72">
        <v>1225</v>
      </c>
      <c r="P3425" s="26"/>
    </row>
    <row r="3426" spans="1:16" ht="14.5">
      <c r="A3426" s="3" t="s">
        <v>255</v>
      </c>
      <c r="B3426" s="12" t="s">
        <v>2860</v>
      </c>
      <c r="C3426" s="46" t="s">
        <v>7346</v>
      </c>
      <c r="D3426" s="41" t="str">
        <f ca="1">IFERROR(__xludf.DUMMYFUNCTION("IFERROR(ARRAYFORMULA(REGEXEXTRACT(C3426,""^(?:https?:\/\/)?(?:[^@\n]+@)?(?:www\.)?([^:\/\n]+)"")),"""")"),"kucingapk.id")</f>
        <v>kucingapk.id</v>
      </c>
      <c r="E3426" s="26" t="str">
        <f ca="1">IFERROR(__xludf.DUMMYFUNCTION("""COMPUTED_VALUE"""),"New")</f>
        <v>New</v>
      </c>
      <c r="F3426" s="72">
        <v>68</v>
      </c>
      <c r="G3426" s="72">
        <v>7410</v>
      </c>
      <c r="P3426" s="26"/>
    </row>
    <row r="3427" spans="1:16" ht="14.5">
      <c r="A3427" s="3" t="s">
        <v>255</v>
      </c>
      <c r="B3427" s="12" t="s">
        <v>2860</v>
      </c>
      <c r="C3427" s="46" t="s">
        <v>7347</v>
      </c>
      <c r="D3427" s="41" t="str">
        <f ca="1">IFERROR(__xludf.DUMMYFUNCTION("IFERROR(ARRAYFORMULA(REGEXEXTRACT(C3427,""^(?:https?:\/\/)?(?:[^@\n]+@)?(?:www\.)?([^:\/\n]+)"")),"""")"),"technivorz.com")</f>
        <v>technivorz.com</v>
      </c>
      <c r="E3427" s="26" t="str">
        <f ca="1">IFERROR(__xludf.DUMMYFUNCTION("""COMPUTED_VALUE"""),"New")</f>
        <v>New</v>
      </c>
      <c r="F3427" s="72">
        <v>38</v>
      </c>
      <c r="G3427" s="72">
        <v>1224</v>
      </c>
      <c r="P3427" s="26"/>
    </row>
    <row r="3428" spans="1:16" ht="14.5">
      <c r="A3428" s="3" t="s">
        <v>255</v>
      </c>
      <c r="B3428" s="12" t="s">
        <v>2860</v>
      </c>
      <c r="C3428" s="46" t="s">
        <v>7348</v>
      </c>
      <c r="D3428" s="41" t="str">
        <f ca="1">IFERROR(__xludf.DUMMYFUNCTION("IFERROR(ARRAYFORMULA(REGEXEXTRACT(C3428,""^(?:https?:\/\/)?(?:[^@\n]+@)?(?:www\.)?([^:\/\n]+)"")),"""")"),"baddiehub.org.uk")</f>
        <v>baddiehub.org.uk</v>
      </c>
      <c r="E3428" s="26" t="str">
        <f ca="1">IFERROR(__xludf.DUMMYFUNCTION("""COMPUTED_VALUE"""),"New")</f>
        <v>New</v>
      </c>
      <c r="F3428" s="72">
        <v>53</v>
      </c>
      <c r="G3428" s="72">
        <v>2265</v>
      </c>
      <c r="P3428" s="26"/>
    </row>
    <row r="3429" spans="1:16" ht="14.5">
      <c r="A3429" s="3" t="s">
        <v>255</v>
      </c>
      <c r="B3429" s="12" t="s">
        <v>2860</v>
      </c>
      <c r="C3429" s="46" t="s">
        <v>7349</v>
      </c>
      <c r="D3429" s="41" t="str">
        <f ca="1">IFERROR(__xludf.DUMMYFUNCTION("IFERROR(ARRAYFORMULA(REGEXEXTRACT(C3429,""^(?:https?:\/\/)?(?:[^@\n]+@)?(?:www\.)?([^:\/\n]+)"")),"""")"),"socialmediagirlsforum.co.uk")</f>
        <v>socialmediagirlsforum.co.uk</v>
      </c>
      <c r="E3429" s="26" t="str">
        <f ca="1">IFERROR(__xludf.DUMMYFUNCTION("""COMPUTED_VALUE"""),"New")</f>
        <v>New</v>
      </c>
      <c r="F3429" s="72">
        <v>54</v>
      </c>
      <c r="G3429" s="72">
        <v>6574</v>
      </c>
      <c r="P3429" s="26"/>
    </row>
    <row r="3430" spans="1:16" ht="14.5">
      <c r="A3430" s="3" t="s">
        <v>255</v>
      </c>
      <c r="B3430" s="12" t="s">
        <v>2860</v>
      </c>
      <c r="C3430" s="47" t="s">
        <v>7350</v>
      </c>
      <c r="D3430" s="41" t="str">
        <f ca="1">IFERROR(__xludf.DUMMYFUNCTION("IFERROR(ARRAYFORMULA(REGEXEXTRACT(C3430,""^(?:https?:\/\/)?(?:[^@\n]+@)?(?:www\.)?([^:\/\n]+)"")),"""")"),"dotmagazine.co.uk")</f>
        <v>dotmagazine.co.uk</v>
      </c>
      <c r="E3430" s="26" t="str">
        <f ca="1">IFERROR(__xludf.DUMMYFUNCTION("""COMPUTED_VALUE"""),"New")</f>
        <v>New</v>
      </c>
      <c r="F3430" s="72">
        <v>62</v>
      </c>
      <c r="G3430" s="72">
        <v>1461</v>
      </c>
      <c r="J3430" s="27" t="s">
        <v>7351</v>
      </c>
      <c r="K3430" s="27" t="s">
        <v>3756</v>
      </c>
      <c r="L3430" s="112"/>
      <c r="M3430" s="27" t="s">
        <v>7290</v>
      </c>
      <c r="N3430" s="83">
        <v>46063</v>
      </c>
      <c r="P3430" s="27" t="s">
        <v>3201</v>
      </c>
    </row>
    <row r="3431" spans="1:16" ht="14.5">
      <c r="A3431" s="3" t="s">
        <v>255</v>
      </c>
      <c r="B3431" s="12" t="s">
        <v>2860</v>
      </c>
      <c r="C3431" s="46" t="s">
        <v>7352</v>
      </c>
      <c r="D3431" s="41" t="str">
        <f ca="1">IFERROR(__xludf.DUMMYFUNCTION("IFERROR(ARRAYFORMULA(REGEXEXTRACT(C3431,""^(?:https?:\/\/)?(?:[^@\n]+@)?(?:www\.)?([^:\/\n]+)"")),"""")"),"indiacsr.in")</f>
        <v>indiacsr.in</v>
      </c>
      <c r="E3431" s="26" t="str">
        <f ca="1">IFERROR(__xludf.DUMMYFUNCTION("""COMPUTED_VALUE"""),"New")</f>
        <v>New</v>
      </c>
      <c r="F3431" s="72">
        <v>66</v>
      </c>
      <c r="G3431" s="72">
        <v>131823</v>
      </c>
      <c r="P3431" s="26"/>
    </row>
    <row r="3432" spans="1:16" ht="14.5">
      <c r="A3432" s="3" t="s">
        <v>255</v>
      </c>
      <c r="B3432" s="12" t="s">
        <v>2860</v>
      </c>
      <c r="C3432" s="46" t="s">
        <v>7353</v>
      </c>
      <c r="D3432" s="41" t="str">
        <f ca="1">IFERROR(__xludf.DUMMYFUNCTION("IFERROR(ARRAYFORMULA(REGEXEXTRACT(C3432,""^(?:https?:\/\/)?(?:[^@\n]+@)?(?:www\.)?([^:\/\n]+)"")),"""")"),"onpattison.com")</f>
        <v>onpattison.com</v>
      </c>
      <c r="E3432" s="26" t="str">
        <f ca="1">IFERROR(__xludf.DUMMYFUNCTION("""COMPUTED_VALUE"""),"New")</f>
        <v>New</v>
      </c>
      <c r="F3432" s="72">
        <v>57</v>
      </c>
      <c r="G3432" s="72">
        <v>80943</v>
      </c>
      <c r="P3432" s="26"/>
    </row>
    <row r="3433" spans="1:16" ht="14.5">
      <c r="A3433" s="3" t="s">
        <v>255</v>
      </c>
      <c r="B3433" s="12" t="s">
        <v>2860</v>
      </c>
      <c r="C3433" s="46" t="s">
        <v>7354</v>
      </c>
      <c r="D3433" s="41" t="str">
        <f ca="1">IFERROR(__xludf.DUMMYFUNCTION("IFERROR(ARRAYFORMULA(REGEXEXTRACT(C3433,""^(?:https?:\/\/)?(?:[^@\n]+@)?(?:www\.)?([^:\/\n]+)"")),"""")"),"lifestylenetworth.com")</f>
        <v>lifestylenetworth.com</v>
      </c>
      <c r="E3433" s="26" t="str">
        <f ca="1">IFERROR(__xludf.DUMMYFUNCTION("""COMPUTED_VALUE"""),"New")</f>
        <v>New</v>
      </c>
      <c r="F3433" s="72">
        <v>50</v>
      </c>
      <c r="G3433" s="72">
        <v>1149</v>
      </c>
      <c r="P3433" s="26"/>
    </row>
    <row r="3434" spans="1:16" ht="14.5">
      <c r="A3434" s="3" t="s">
        <v>255</v>
      </c>
      <c r="B3434" s="12" t="s">
        <v>2860</v>
      </c>
      <c r="C3434" s="46" t="s">
        <v>7355</v>
      </c>
      <c r="D3434" s="41" t="str">
        <f ca="1">IFERROR(__xludf.DUMMYFUNCTION("IFERROR(ARRAYFORMULA(REGEXEXTRACT(C3434,""^(?:https?:\/\/)?(?:[^@\n]+@)?(?:www\.)?([^:\/\n]+)"")),"""")"),"fontsarena.com")</f>
        <v>fontsarena.com</v>
      </c>
      <c r="E3434" s="26" t="str">
        <f ca="1">IFERROR(__xludf.DUMMYFUNCTION("""COMPUTED_VALUE"""),"New")</f>
        <v>New</v>
      </c>
      <c r="F3434" s="72">
        <v>70</v>
      </c>
      <c r="G3434" s="72">
        <v>17401</v>
      </c>
      <c r="P3434" s="26"/>
    </row>
    <row r="3435" spans="1:16" ht="14.5">
      <c r="A3435" s="3" t="s">
        <v>255</v>
      </c>
      <c r="B3435" s="12" t="s">
        <v>2860</v>
      </c>
      <c r="C3435" s="46" t="s">
        <v>7356</v>
      </c>
      <c r="D3435" s="41" t="str">
        <f ca="1">IFERROR(__xludf.DUMMYFUNCTION("IFERROR(ARRAYFORMULA(REGEXEXTRACT(C3435,""^(?:https?:\/\/)?(?:[^@\n]+@)?(?:www\.)?([^:\/\n]+)"")),"""")"),"lakelandcurrents.com")</f>
        <v>lakelandcurrents.com</v>
      </c>
      <c r="E3435" s="26" t="str">
        <f ca="1">IFERROR(__xludf.DUMMYFUNCTION("""COMPUTED_VALUE"""),"New")</f>
        <v>New</v>
      </c>
      <c r="F3435" s="72">
        <v>43</v>
      </c>
      <c r="G3435" s="72">
        <v>1325</v>
      </c>
      <c r="P3435" s="26"/>
    </row>
    <row r="3436" spans="1:16" ht="14.5">
      <c r="A3436" s="3" t="s">
        <v>255</v>
      </c>
      <c r="B3436" s="12" t="s">
        <v>2860</v>
      </c>
      <c r="C3436" s="46" t="s">
        <v>7357</v>
      </c>
      <c r="D3436" s="41" t="str">
        <f ca="1">IFERROR(__xludf.DUMMYFUNCTION("IFERROR(ARRAYFORMULA(REGEXEXTRACT(C3436,""^(?:https?:\/\/)?(?:[^@\n]+@)?(?:www\.)?([^:\/\n]+)"")),"""")"),"simileking.com")</f>
        <v>simileking.com</v>
      </c>
      <c r="E3436" s="26" t="str">
        <f ca="1">IFERROR(__xludf.DUMMYFUNCTION("""COMPUTED_VALUE"""),"New")</f>
        <v>New</v>
      </c>
      <c r="F3436" s="72">
        <v>55</v>
      </c>
      <c r="G3436" s="72">
        <v>1049</v>
      </c>
      <c r="P3436" s="26"/>
    </row>
    <row r="3437" spans="1:16" ht="14.5">
      <c r="A3437" s="3" t="s">
        <v>255</v>
      </c>
      <c r="B3437" s="12" t="s">
        <v>2860</v>
      </c>
      <c r="C3437" s="46" t="s">
        <v>7358</v>
      </c>
      <c r="D3437" s="41" t="str">
        <f ca="1">IFERROR(__xludf.DUMMYFUNCTION("IFERROR(ARRAYFORMULA(REGEXEXTRACT(C3437,""^(?:https?:\/\/)?(?:[^@\n]+@)?(?:www\.)?([^:\/\n]+)"")),"""")"),"hydrogenexec.com")</f>
        <v>hydrogenexec.com</v>
      </c>
      <c r="E3437" s="26" t="str">
        <f ca="1">IFERROR(__xludf.DUMMYFUNCTION("""COMPUTED_VALUE"""),"New")</f>
        <v>New</v>
      </c>
      <c r="F3437" s="72">
        <v>67</v>
      </c>
      <c r="G3437" s="72">
        <v>1265</v>
      </c>
      <c r="P3437" s="26"/>
    </row>
    <row r="3438" spans="1:16" ht="14.5">
      <c r="A3438" s="3" t="s">
        <v>255</v>
      </c>
      <c r="B3438" s="12" t="s">
        <v>2860</v>
      </c>
      <c r="C3438" s="46" t="s">
        <v>7359</v>
      </c>
      <c r="D3438" s="41" t="str">
        <f ca="1">IFERROR(__xludf.DUMMYFUNCTION("IFERROR(ARRAYFORMULA(REGEXEXTRACT(C3438,""^(?:https?:\/\/)?(?:[^@\n]+@)?(?:www\.)?([^:\/\n]+)"")),"""")"),"appkod.com")</f>
        <v>appkod.com</v>
      </c>
      <c r="E3438" s="26" t="str">
        <f ca="1">IFERROR(__xludf.DUMMYFUNCTION("""COMPUTED_VALUE"""),"New")</f>
        <v>New</v>
      </c>
      <c r="F3438" s="72">
        <v>54</v>
      </c>
      <c r="G3438" s="72">
        <v>22860</v>
      </c>
      <c r="P3438" s="26"/>
    </row>
    <row r="3439" spans="1:16" ht="14.5">
      <c r="A3439" s="3" t="s">
        <v>255</v>
      </c>
      <c r="B3439" s="12" t="s">
        <v>2860</v>
      </c>
      <c r="C3439" s="46" t="s">
        <v>7360</v>
      </c>
      <c r="D3439" s="41" t="str">
        <f ca="1">IFERROR(__xludf.DUMMYFUNCTION("IFERROR(ARRAYFORMULA(REGEXEXTRACT(C3439,""^(?:https?:\/\/)?(?:[^@\n]+@)?(?:www\.)?([^:\/\n]+)"")),"""")"),"winsetupfromusb.org")</f>
        <v>winsetupfromusb.org</v>
      </c>
      <c r="E3439" s="26" t="str">
        <f ca="1">IFERROR(__xludf.DUMMYFUNCTION("""COMPUTED_VALUE"""),"New")</f>
        <v>New</v>
      </c>
      <c r="F3439" s="72">
        <v>60</v>
      </c>
      <c r="G3439" s="72">
        <v>1583</v>
      </c>
      <c r="P3439" s="26"/>
    </row>
    <row r="3440" spans="1:16" ht="14.5">
      <c r="A3440" s="3" t="s">
        <v>255</v>
      </c>
      <c r="B3440" s="12" t="s">
        <v>2860</v>
      </c>
      <c r="C3440" s="46" t="s">
        <v>7361</v>
      </c>
      <c r="D3440" s="41" t="str">
        <f ca="1">IFERROR(__xludf.DUMMYFUNCTION("IFERROR(ARRAYFORMULA(REGEXEXTRACT(C3440,""^(?:https?:\/\/)?(?:[^@\n]+@)?(?:www\.)?([^:\/\n]+)"")),"""")"),"toonsgod.com.dream.website")</f>
        <v>toonsgod.com.dream.website</v>
      </c>
      <c r="E3440" s="26" t="str">
        <f ca="1">IFERROR(__xludf.DUMMYFUNCTION("""COMPUTED_VALUE"""),"New")</f>
        <v>New</v>
      </c>
      <c r="F3440" s="72">
        <v>77</v>
      </c>
      <c r="G3440" s="72">
        <v>1330</v>
      </c>
      <c r="P3440" s="26"/>
    </row>
    <row r="3441" spans="1:16" ht="14.5">
      <c r="A3441" s="3" t="s">
        <v>255</v>
      </c>
      <c r="B3441" s="12" t="s">
        <v>2860</v>
      </c>
      <c r="C3441" s="46" t="s">
        <v>7362</v>
      </c>
      <c r="D3441" s="41" t="str">
        <f ca="1">IFERROR(__xludf.DUMMYFUNCTION("IFERROR(ARRAYFORMULA(REGEXEXTRACT(C3441,""^(?:https?:\/\/)?(?:[^@\n]+@)?(?:www\.)?([^:\/\n]+)"")),"""")"),"englishleaflet.com")</f>
        <v>englishleaflet.com</v>
      </c>
      <c r="E3441" s="26" t="str">
        <f ca="1">IFERROR(__xludf.DUMMYFUNCTION("""COMPUTED_VALUE"""),"New")</f>
        <v>New</v>
      </c>
      <c r="F3441" s="72">
        <v>54</v>
      </c>
      <c r="G3441" s="72">
        <v>8706</v>
      </c>
      <c r="P3441" s="26"/>
    </row>
    <row r="3442" spans="1:16" ht="14.5">
      <c r="A3442" s="3" t="s">
        <v>255</v>
      </c>
      <c r="B3442" s="12" t="s">
        <v>2860</v>
      </c>
      <c r="C3442" s="46" t="s">
        <v>7363</v>
      </c>
      <c r="D3442" s="41" t="str">
        <f ca="1">IFERROR(__xludf.DUMMYFUNCTION("IFERROR(ARRAYFORMULA(REGEXEXTRACT(C3442,""^(?:https?:\/\/)?(?:[^@\n]+@)?(?:www\.)?([^:\/\n]+)"")),"""")"),"kongotech.org")</f>
        <v>kongotech.org</v>
      </c>
      <c r="E3442" s="26" t="str">
        <f ca="1">IFERROR(__xludf.DUMMYFUNCTION("""COMPUTED_VALUE"""),"New")</f>
        <v>New</v>
      </c>
      <c r="F3442" s="72">
        <v>66</v>
      </c>
      <c r="G3442" s="72">
        <v>1053522</v>
      </c>
      <c r="P3442" s="26"/>
    </row>
    <row r="3443" spans="1:16" ht="14.5">
      <c r="A3443" s="3" t="s">
        <v>255</v>
      </c>
      <c r="B3443" s="12" t="s">
        <v>2860</v>
      </c>
      <c r="C3443" s="46" t="s">
        <v>7364</v>
      </c>
      <c r="D3443" s="41" t="str">
        <f ca="1">IFERROR(__xludf.DUMMYFUNCTION("IFERROR(ARRAYFORMULA(REGEXEXTRACT(C3443,""^(?:https?:\/\/)?(?:[^@\n]+@)?(?:www\.)?([^:\/\n]+)"")),"""")"),"albertleatribune.com")</f>
        <v>albertleatribune.com</v>
      </c>
      <c r="E3443" s="26" t="str">
        <f ca="1">IFERROR(__xludf.DUMMYFUNCTION("""COMPUTED_VALUE"""),"New")</f>
        <v>New</v>
      </c>
      <c r="F3443" s="72">
        <v>66</v>
      </c>
      <c r="G3443" s="72">
        <v>2710</v>
      </c>
      <c r="P3443" s="26"/>
    </row>
    <row r="3444" spans="1:16" ht="14.5">
      <c r="A3444" s="3" t="s">
        <v>255</v>
      </c>
      <c r="B3444" s="12" t="s">
        <v>2860</v>
      </c>
      <c r="C3444" s="46" t="s">
        <v>7365</v>
      </c>
      <c r="D3444" s="41" t="str">
        <f ca="1">IFERROR(__xludf.DUMMYFUNCTION("IFERROR(ARRAYFORMULA(REGEXEXTRACT(C3444,""^(?:https?:\/\/)?(?:[^@\n]+@)?(?:www\.)?([^:\/\n]+)"")),"""")"),"puremagazine.co.uk")</f>
        <v>puremagazine.co.uk</v>
      </c>
      <c r="E3444" s="26" t="str">
        <f ca="1">IFERROR(__xludf.DUMMYFUNCTION("""COMPUTED_VALUE"""),"New")</f>
        <v>New</v>
      </c>
      <c r="F3444" s="72">
        <v>54</v>
      </c>
      <c r="G3444" s="72">
        <v>4697</v>
      </c>
      <c r="P3444" s="26"/>
    </row>
    <row r="3445" spans="1:16" ht="14.5">
      <c r="A3445" s="3" t="s">
        <v>255</v>
      </c>
      <c r="B3445" s="12" t="s">
        <v>2860</v>
      </c>
      <c r="C3445" s="46" t="s">
        <v>7366</v>
      </c>
      <c r="D3445" s="41" t="str">
        <f ca="1">IFERROR(__xludf.DUMMYFUNCTION("IFERROR(ARRAYFORMULA(REGEXEXTRACT(C3445,""^(?:https?:\/\/)?(?:[^@\n]+@)?(?:www\.)?([^:\/\n]+)"")),"""")"),"howmany-ofme.com")</f>
        <v>howmany-ofme.com</v>
      </c>
      <c r="E3445" s="26" t="str">
        <f ca="1">IFERROR(__xludf.DUMMYFUNCTION("""COMPUTED_VALUE"""),"New")</f>
        <v>New</v>
      </c>
      <c r="F3445" s="72">
        <v>69</v>
      </c>
      <c r="G3445" s="72">
        <v>4530</v>
      </c>
      <c r="P3445" s="26"/>
    </row>
    <row r="3446" spans="1:16" ht="14.5">
      <c r="A3446" s="3" t="s">
        <v>255</v>
      </c>
      <c r="B3446" s="12" t="s">
        <v>2860</v>
      </c>
      <c r="C3446" s="46" t="s">
        <v>7367</v>
      </c>
      <c r="D3446" s="41" t="str">
        <f ca="1">IFERROR(__xludf.DUMMYFUNCTION("IFERROR(ARRAYFORMULA(REGEXEXTRACT(C3446,""^(?:https?:\/\/)?(?:[^@\n]+@)?(?:www\.)?([^:\/\n]+)"")),"""")"),"todayblessings.com")</f>
        <v>todayblessings.com</v>
      </c>
      <c r="E3446" s="26" t="str">
        <f ca="1">IFERROR(__xludf.DUMMYFUNCTION("""COMPUTED_VALUE"""),"New")</f>
        <v>New</v>
      </c>
      <c r="F3446" s="72">
        <v>68</v>
      </c>
      <c r="G3446" s="72">
        <v>1054</v>
      </c>
      <c r="P3446" s="26"/>
    </row>
    <row r="3447" spans="1:16" ht="14.5">
      <c r="A3447" s="3" t="s">
        <v>255</v>
      </c>
      <c r="B3447" s="12" t="s">
        <v>2860</v>
      </c>
      <c r="C3447" s="46" t="s">
        <v>7368</v>
      </c>
      <c r="D3447" s="41" t="str">
        <f ca="1">IFERROR(__xludf.DUMMYFUNCTION("IFERROR(ARRAYFORMULA(REGEXEXTRACT(C3447,""^(?:https?:\/\/)?(?:[^@\n]+@)?(?:www\.)?([^:\/\n]+)"")),"""")"),"taskbarx.org")</f>
        <v>taskbarx.org</v>
      </c>
      <c r="E3447" s="26" t="str">
        <f ca="1">IFERROR(__xludf.DUMMYFUNCTION("""COMPUTED_VALUE"""),"New")</f>
        <v>New</v>
      </c>
      <c r="F3447" s="72">
        <v>60</v>
      </c>
      <c r="G3447" s="72">
        <v>5335</v>
      </c>
      <c r="P3447" s="26"/>
    </row>
    <row r="3448" spans="1:16" ht="14.5">
      <c r="A3448" s="3" t="s">
        <v>255</v>
      </c>
      <c r="B3448" s="12" t="s">
        <v>2860</v>
      </c>
      <c r="C3448" s="46" t="s">
        <v>7369</v>
      </c>
      <c r="D3448" s="41" t="str">
        <f ca="1">IFERROR(__xludf.DUMMYFUNCTION("IFERROR(ARRAYFORMULA(REGEXEXTRACT(C3448,""^(?:https?:\/\/)?(?:[^@\n]+@)?(?:www\.)?([^:\/\n]+)"")),"""")"),"magazineblogs.co.uk")</f>
        <v>magazineblogs.co.uk</v>
      </c>
      <c r="E3448" s="26" t="str">
        <f ca="1">IFERROR(__xludf.DUMMYFUNCTION("""COMPUTED_VALUE"""),"New")</f>
        <v>New</v>
      </c>
      <c r="F3448" s="72">
        <v>23</v>
      </c>
      <c r="G3448" s="72">
        <v>1219</v>
      </c>
      <c r="P3448" s="26"/>
    </row>
    <row r="3449" spans="1:16" ht="14.5">
      <c r="A3449" s="3" t="s">
        <v>255</v>
      </c>
      <c r="B3449" s="12" t="s">
        <v>2860</v>
      </c>
      <c r="C3449" s="46" t="s">
        <v>7370</v>
      </c>
      <c r="D3449" s="41" t="str">
        <f ca="1">IFERROR(__xludf.DUMMYFUNCTION("IFERROR(ARRAYFORMULA(REGEXEXTRACT(C3449,""^(?:https?:\/\/)?(?:[^@\n]+@)?(?:www\.)?([^:\/\n]+)"")),"""")"),"influencersgonewildcom.com")</f>
        <v>influencersgonewildcom.com</v>
      </c>
      <c r="E3449" s="26" t="str">
        <f ca="1">IFERROR(__xludf.DUMMYFUNCTION("""COMPUTED_VALUE"""),"New")</f>
        <v>New</v>
      </c>
      <c r="F3449" s="72">
        <v>60</v>
      </c>
      <c r="G3449" s="72">
        <v>2257</v>
      </c>
      <c r="P3449" s="26"/>
    </row>
    <row r="3450" spans="1:16" ht="14.5">
      <c r="A3450" s="3" t="s">
        <v>255</v>
      </c>
      <c r="B3450" s="12" t="s">
        <v>2860</v>
      </c>
      <c r="C3450" s="46" t="s">
        <v>7371</v>
      </c>
      <c r="D3450" s="41" t="str">
        <f ca="1">IFERROR(__xludf.DUMMYFUNCTION("IFERROR(ARRAYFORMULA(REGEXEXTRACT(C3450,""^(?:https?:\/\/)?(?:[^@\n]+@)?(?:www\.)?([^:\/\n]+)"")),"""")"),"redinv.upel.edu.ve")</f>
        <v>redinv.upel.edu.ve</v>
      </c>
      <c r="E3450" s="26" t="str">
        <f ca="1">IFERROR(__xludf.DUMMYFUNCTION("""COMPUTED_VALUE"""),"New")</f>
        <v>New</v>
      </c>
      <c r="F3450" s="72">
        <v>49</v>
      </c>
      <c r="G3450" s="72">
        <v>8463</v>
      </c>
      <c r="P3450" s="26"/>
    </row>
    <row r="3451" spans="1:16" ht="14.5">
      <c r="A3451" s="3" t="s">
        <v>255</v>
      </c>
      <c r="B3451" s="12" t="s">
        <v>2860</v>
      </c>
      <c r="C3451" s="46" t="s">
        <v>7372</v>
      </c>
      <c r="D3451" s="41" t="str">
        <f ca="1">IFERROR(__xludf.DUMMYFUNCTION("IFERROR(ARRAYFORMULA(REGEXEXTRACT(C3451,""^(?:https?:\/\/)?(?:[^@\n]+@)?(?:www\.)?([^:\/\n]+)"")),"""")"),"team-namespot.com")</f>
        <v>team-namespot.com</v>
      </c>
      <c r="E3451" s="26" t="str">
        <f ca="1">IFERROR(__xludf.DUMMYFUNCTION("""COMPUTED_VALUE"""),"New")</f>
        <v>New</v>
      </c>
      <c r="F3451" s="72">
        <v>63</v>
      </c>
      <c r="G3451" s="72">
        <v>10028</v>
      </c>
      <c r="P3451" s="26"/>
    </row>
    <row r="3452" spans="1:16" ht="14.5" hidden="1">
      <c r="A3452" s="3" t="s">
        <v>255</v>
      </c>
      <c r="B3452" s="12" t="s">
        <v>2860</v>
      </c>
      <c r="C3452" s="47" t="s">
        <v>7373</v>
      </c>
      <c r="D3452" s="41" t="str">
        <f ca="1">IFERROR(__xludf.DUMMYFUNCTION("IFERROR(ARRAYFORMULA(REGEXEXTRACT(C3452,""^(?:https?:\/\/)?(?:[^@\n]+@)?(?:www\.)?([^:\/\n]+)"")),"""")"),"exploreclarion.co.uk")</f>
        <v>exploreclarion.co.uk</v>
      </c>
      <c r="E3452" s="26" t="str">
        <f ca="1">IFERROR(__xludf.DUMMYFUNCTION("""COMPUTED_VALUE"""),"Already Exists")</f>
        <v>Already Exists</v>
      </c>
      <c r="F3452" s="72">
        <v>50</v>
      </c>
      <c r="G3452" s="72">
        <v>1398</v>
      </c>
      <c r="J3452" s="27" t="s">
        <v>7374</v>
      </c>
      <c r="K3452" s="27" t="s">
        <v>3756</v>
      </c>
      <c r="L3452" s="112"/>
      <c r="M3452" s="27" t="s">
        <v>7290</v>
      </c>
      <c r="N3452" s="83">
        <v>46063</v>
      </c>
      <c r="P3452" s="27" t="s">
        <v>3201</v>
      </c>
    </row>
    <row r="3453" spans="1:16" ht="14.5">
      <c r="A3453" s="3" t="s">
        <v>255</v>
      </c>
      <c r="B3453" s="12" t="s">
        <v>2860</v>
      </c>
      <c r="C3453" s="46" t="s">
        <v>7375</v>
      </c>
      <c r="D3453" s="41" t="str">
        <f ca="1">IFERROR(__xludf.DUMMYFUNCTION("IFERROR(ARRAYFORMULA(REGEXEXTRACT(C3453,""^(?:https?:\/\/)?(?:[^@\n]+@)?(?:www\.)?([^:\/\n]+)"")),"""")"),"presscenter.com")</f>
        <v>presscenter.com</v>
      </c>
      <c r="E3453" s="26" t="str">
        <f ca="1">IFERROR(__xludf.DUMMYFUNCTION("""COMPUTED_VALUE"""),"New")</f>
        <v>New</v>
      </c>
      <c r="F3453" s="72">
        <v>38</v>
      </c>
      <c r="G3453" s="72">
        <v>3251</v>
      </c>
      <c r="P3453" s="26"/>
    </row>
    <row r="3454" spans="1:16" ht="14.5">
      <c r="A3454" s="3" t="s">
        <v>255</v>
      </c>
      <c r="B3454" s="12" t="s">
        <v>2860</v>
      </c>
      <c r="C3454" s="46" t="s">
        <v>7376</v>
      </c>
      <c r="D3454" s="41" t="str">
        <f ca="1">IFERROR(__xludf.DUMMYFUNCTION("IFERROR(ARRAYFORMULA(REGEXEXTRACT(C3454,""^(?:https?:\/\/)?(?:[^@\n]+@)?(?:www\.)?([^:\/\n]+)"")),"""")"),"baddies-hub.com")</f>
        <v>baddies-hub.com</v>
      </c>
      <c r="E3454" s="26" t="str">
        <f ca="1">IFERROR(__xludf.DUMMYFUNCTION("""COMPUTED_VALUE"""),"New")</f>
        <v>New</v>
      </c>
      <c r="F3454" s="72">
        <v>54</v>
      </c>
      <c r="G3454" s="72">
        <v>4146</v>
      </c>
      <c r="P3454" s="26"/>
    </row>
    <row r="3455" spans="1:16" ht="14.5">
      <c r="A3455" s="3" t="s">
        <v>255</v>
      </c>
      <c r="B3455" s="12" t="s">
        <v>2860</v>
      </c>
      <c r="C3455" s="46" t="s">
        <v>7377</v>
      </c>
      <c r="D3455" s="41" t="str">
        <f ca="1">IFERROR(__xludf.DUMMYFUNCTION("IFERROR(ARRAYFORMULA(REGEXEXTRACT(C3455,""^(?:https?:\/\/)?(?:[^@\n]+@)?(?:www\.)?([^:\/\n]+)"")),"""")"),"teatimeresults.co")</f>
        <v>teatimeresults.co</v>
      </c>
      <c r="E3455" s="26" t="str">
        <f ca="1">IFERROR(__xludf.DUMMYFUNCTION("""COMPUTED_VALUE"""),"New")</f>
        <v>New</v>
      </c>
      <c r="F3455" s="72">
        <v>29</v>
      </c>
      <c r="G3455" s="72">
        <v>3974</v>
      </c>
      <c r="P3455" s="26"/>
    </row>
    <row r="3456" spans="1:16" ht="14.5">
      <c r="A3456" s="3" t="s">
        <v>255</v>
      </c>
      <c r="B3456" s="12" t="s">
        <v>2860</v>
      </c>
      <c r="C3456" s="46" t="s">
        <v>7378</v>
      </c>
      <c r="D3456" s="41" t="str">
        <f ca="1">IFERROR(__xludf.DUMMYFUNCTION("IFERROR(ARRAYFORMULA(REGEXEXTRACT(C3456,""^(?:https?:\/\/)?(?:[^@\n]+@)?(?:www\.)?([^:\/\n]+)"")),"""")"),"broadwayworld.com")</f>
        <v>broadwayworld.com</v>
      </c>
      <c r="E3456" s="26" t="str">
        <f ca="1">IFERROR(__xludf.DUMMYFUNCTION("""COMPUTED_VALUE"""),"New")</f>
        <v>New</v>
      </c>
      <c r="F3456" s="72">
        <v>88</v>
      </c>
      <c r="G3456" s="72">
        <v>450532</v>
      </c>
      <c r="P3456" s="26"/>
    </row>
    <row r="3457" spans="1:16" ht="14.5">
      <c r="A3457" s="3" t="s">
        <v>255</v>
      </c>
      <c r="B3457" s="12" t="s">
        <v>2860</v>
      </c>
      <c r="C3457" s="46" t="s">
        <v>7379</v>
      </c>
      <c r="D3457" s="41" t="str">
        <f ca="1">IFERROR(__xludf.DUMMYFUNCTION("IFERROR(ARRAYFORMULA(REGEXEXTRACT(C3457,""^(?:https?:\/\/)?(?:[^@\n]+@)?(?:www\.)?([^:\/\n]+)"")),"""")"),"talksknow.com")</f>
        <v>talksknow.com</v>
      </c>
      <c r="E3457" s="26" t="str">
        <f ca="1">IFERROR(__xludf.DUMMYFUNCTION("""COMPUTED_VALUE"""),"New")</f>
        <v>New</v>
      </c>
      <c r="F3457" s="72">
        <v>71</v>
      </c>
      <c r="G3457" s="72">
        <v>2416</v>
      </c>
      <c r="P3457" s="26"/>
    </row>
    <row r="3458" spans="1:16" ht="14.5">
      <c r="A3458" s="3" t="s">
        <v>255</v>
      </c>
      <c r="B3458" s="12" t="s">
        <v>2860</v>
      </c>
      <c r="C3458" s="46" t="s">
        <v>7380</v>
      </c>
      <c r="D3458" s="41" t="str">
        <f ca="1">IFERROR(__xludf.DUMMYFUNCTION("IFERROR(ARRAYFORMULA(REGEXEXTRACT(C3458,""^(?:https?:\/\/)?(?:[^@\n]+@)?(?:www\.)?([^:\/\n]+)"")),"""")"),"thehansindia.com")</f>
        <v>thehansindia.com</v>
      </c>
      <c r="E3458" s="26" t="str">
        <f ca="1">IFERROR(__xludf.DUMMYFUNCTION("""COMPUTED_VALUE"""),"New")</f>
        <v>New</v>
      </c>
      <c r="F3458" s="72">
        <v>76</v>
      </c>
      <c r="G3458" s="72">
        <v>244764</v>
      </c>
      <c r="P3458" s="26"/>
    </row>
    <row r="3459" spans="1:16" ht="14.5">
      <c r="A3459" s="3" t="s">
        <v>255</v>
      </c>
      <c r="B3459" s="12" t="s">
        <v>2860</v>
      </c>
      <c r="C3459" s="46" t="s">
        <v>7381</v>
      </c>
      <c r="D3459" s="41" t="str">
        <f ca="1">IFERROR(__xludf.DUMMYFUNCTION("IFERROR(ARRAYFORMULA(REGEXEXTRACT(C3459,""^(?:https?:\/\/)?(?:[^@\n]+@)?(?:www\.)?([^:\/\n]+)"")),"""")"),"guiformat.com")</f>
        <v>guiformat.com</v>
      </c>
      <c r="E3459" s="26" t="str">
        <f ca="1">IFERROR(__xludf.DUMMYFUNCTION("""COMPUTED_VALUE"""),"New")</f>
        <v>New</v>
      </c>
      <c r="F3459" s="72">
        <v>30</v>
      </c>
      <c r="G3459" s="72">
        <v>15249</v>
      </c>
      <c r="P3459" s="26"/>
    </row>
    <row r="3460" spans="1:16" ht="14.5">
      <c r="A3460" s="3" t="s">
        <v>255</v>
      </c>
      <c r="B3460" s="12" t="s">
        <v>2860</v>
      </c>
      <c r="C3460" s="46" t="s">
        <v>7382</v>
      </c>
      <c r="D3460" s="41" t="str">
        <f ca="1">IFERROR(__xludf.DUMMYFUNCTION("IFERROR(ARRAYFORMULA(REGEXEXTRACT(C3460,""^(?:https?:\/\/)?(?:[^@\n]+@)?(?:www\.)?([^:\/\n]+)"")),"""")"),"droidkit.org")</f>
        <v>droidkit.org</v>
      </c>
      <c r="E3460" s="26" t="str">
        <f ca="1">IFERROR(__xludf.DUMMYFUNCTION("""COMPUTED_VALUE"""),"New")</f>
        <v>New</v>
      </c>
      <c r="F3460" s="72">
        <v>61</v>
      </c>
      <c r="G3460" s="72">
        <v>6110</v>
      </c>
      <c r="P3460" s="26"/>
    </row>
    <row r="3461" spans="1:16" ht="14.5">
      <c r="A3461" s="3" t="s">
        <v>255</v>
      </c>
      <c r="B3461" s="12" t="s">
        <v>2860</v>
      </c>
      <c r="C3461" s="46" t="s">
        <v>7383</v>
      </c>
      <c r="D3461" s="41" t="str">
        <f ca="1">IFERROR(__xludf.DUMMYFUNCTION("IFERROR(ARRAYFORMULA(REGEXEXTRACT(C3461,""^(?:https?:\/\/)?(?:[^@\n]+@)?(?:www\.)?([^:\/\n]+)"")),"""")"),"freezemagazine.co.uk")</f>
        <v>freezemagazine.co.uk</v>
      </c>
      <c r="E3461" s="26" t="str">
        <f ca="1">IFERROR(__xludf.DUMMYFUNCTION("""COMPUTED_VALUE"""),"New")</f>
        <v>New</v>
      </c>
      <c r="F3461" s="72">
        <v>55</v>
      </c>
      <c r="G3461" s="72">
        <v>56124</v>
      </c>
      <c r="P3461" s="26"/>
    </row>
    <row r="3462" spans="1:16" ht="14.5">
      <c r="A3462" s="3" t="s">
        <v>255</v>
      </c>
      <c r="B3462" s="12" t="s">
        <v>2860</v>
      </c>
      <c r="C3462" s="46" t="s">
        <v>7384</v>
      </c>
      <c r="D3462" s="41" t="str">
        <f ca="1">IFERROR(__xludf.DUMMYFUNCTION("IFERROR(ARRAYFORMULA(REGEXEXTRACT(C3462,""^(?:https?:\/\/)?(?:[^@\n]+@)?(?:www\.)?([^:\/\n]+)"")),"""")"),"stocks.observer-reporter.com")</f>
        <v>stocks.observer-reporter.com</v>
      </c>
      <c r="E3462" s="26" t="str">
        <f ca="1">IFERROR(__xludf.DUMMYFUNCTION("""COMPUTED_VALUE"""),"New")</f>
        <v>New</v>
      </c>
      <c r="F3462" s="72">
        <v>72</v>
      </c>
      <c r="G3462" s="72">
        <v>15535</v>
      </c>
      <c r="P3462" s="26"/>
    </row>
    <row r="3463" spans="1:16" ht="14.5">
      <c r="A3463" s="3" t="s">
        <v>255</v>
      </c>
      <c r="B3463" s="12" t="s">
        <v>2860</v>
      </c>
      <c r="C3463" s="46" t="s">
        <v>7385</v>
      </c>
      <c r="D3463" s="41" t="str">
        <f ca="1">IFERROR(__xludf.DUMMYFUNCTION("IFERROR(ARRAYFORMULA(REGEXEXTRACT(C3463,""^(?:https?:\/\/)?(?:[^@\n]+@)?(?:www\.)?([^:\/\n]+)"")),"""")"),"technewstop.org")</f>
        <v>technewstop.org</v>
      </c>
      <c r="E3463" s="26" t="str">
        <f ca="1">IFERROR(__xludf.DUMMYFUNCTION("""COMPUTED_VALUE"""),"New")</f>
        <v>New</v>
      </c>
      <c r="F3463" s="72">
        <v>30</v>
      </c>
      <c r="G3463" s="72">
        <v>20094</v>
      </c>
      <c r="P3463" s="26"/>
    </row>
    <row r="3464" spans="1:16" ht="14.5">
      <c r="A3464" s="3" t="s">
        <v>255</v>
      </c>
      <c r="B3464" s="12" t="s">
        <v>2860</v>
      </c>
      <c r="C3464" s="46" t="s">
        <v>7386</v>
      </c>
      <c r="D3464" s="41" t="str">
        <f ca="1">IFERROR(__xludf.DUMMYFUNCTION("IFERROR(ARRAYFORMULA(REGEXEXTRACT(C3464,""^(?:https?:\/\/)?(?:[^@\n]+@)?(?:www\.)?([^:\/\n]+)"")),"""")"),"digitalnewsalerts.org")</f>
        <v>digitalnewsalerts.org</v>
      </c>
      <c r="E3464" s="26" t="str">
        <f ca="1">IFERROR(__xludf.DUMMYFUNCTION("""COMPUTED_VALUE"""),"New")</f>
        <v>New</v>
      </c>
      <c r="F3464" s="72">
        <v>29</v>
      </c>
      <c r="G3464" s="72">
        <v>3311</v>
      </c>
      <c r="P3464" s="26"/>
    </row>
    <row r="3465" spans="1:16" ht="14.5">
      <c r="A3465" s="3" t="s">
        <v>255</v>
      </c>
      <c r="B3465" s="12" t="s">
        <v>2860</v>
      </c>
      <c r="C3465" s="46" t="s">
        <v>7387</v>
      </c>
      <c r="D3465" s="41" t="str">
        <f ca="1">IFERROR(__xludf.DUMMYFUNCTION("IFERROR(ARRAYFORMULA(REGEXEXTRACT(C3465,""^(?:https?:\/\/)?(?:[^@\n]+@)?(?:www\.)?([^:\/\n]+)"")),"""")"),"psbios.com")</f>
        <v>psbios.com</v>
      </c>
      <c r="E3465" s="26" t="str">
        <f ca="1">IFERROR(__xludf.DUMMYFUNCTION("""COMPUTED_VALUE"""),"New")</f>
        <v>New</v>
      </c>
      <c r="F3465" s="72">
        <v>64</v>
      </c>
      <c r="G3465" s="72">
        <v>31894</v>
      </c>
      <c r="P3465" s="26"/>
    </row>
    <row r="3466" spans="1:16" ht="14.5">
      <c r="A3466" s="3" t="s">
        <v>255</v>
      </c>
      <c r="B3466" s="12" t="s">
        <v>2860</v>
      </c>
      <c r="C3466" s="47" t="s">
        <v>7388</v>
      </c>
      <c r="D3466" s="41" t="str">
        <f ca="1">IFERROR(__xludf.DUMMYFUNCTION("IFERROR(ARRAYFORMULA(REGEXEXTRACT(C3466,""^(?:https?:\/\/)?(?:[^@\n]+@)?(?:www\.)?([^:\/\n]+)"")),"""")"),"punscraze.com")</f>
        <v>punscraze.com</v>
      </c>
      <c r="E3466" s="26" t="str">
        <f ca="1">IFERROR(__xludf.DUMMYFUNCTION("""COMPUTED_VALUE"""),"New")</f>
        <v>New</v>
      </c>
      <c r="F3466" s="72">
        <v>37</v>
      </c>
      <c r="G3466" s="72">
        <v>1073</v>
      </c>
      <c r="J3466" s="27" t="s">
        <v>7389</v>
      </c>
      <c r="K3466" s="27" t="s">
        <v>3756</v>
      </c>
      <c r="L3466" s="112"/>
      <c r="M3466" s="27" t="s">
        <v>7390</v>
      </c>
      <c r="N3466" s="48">
        <v>46084</v>
      </c>
      <c r="P3466" s="27" t="s">
        <v>3201</v>
      </c>
    </row>
    <row r="3467" spans="1:16" ht="14.5">
      <c r="A3467" s="3" t="s">
        <v>255</v>
      </c>
      <c r="B3467" s="12" t="s">
        <v>2860</v>
      </c>
      <c r="C3467" s="46" t="s">
        <v>7391</v>
      </c>
      <c r="D3467" s="41" t="str">
        <f ca="1">IFERROR(__xludf.DUMMYFUNCTION("IFERROR(ARRAYFORMULA(REGEXEXTRACT(C3467,""^(?:https?:\/\/)?(?:[^@\n]+@)?(?:www\.)?([^:\/\n]+)"")),"""")"),"wordleweb.io")</f>
        <v>wordleweb.io</v>
      </c>
      <c r="E3467" s="26" t="str">
        <f ca="1">IFERROR(__xludf.DUMMYFUNCTION("""COMPUTED_VALUE"""),"New")</f>
        <v>New</v>
      </c>
      <c r="F3467" s="72">
        <v>49</v>
      </c>
      <c r="G3467" s="72">
        <v>1177</v>
      </c>
      <c r="P3467" s="26"/>
    </row>
    <row r="3468" spans="1:16" ht="14.5">
      <c r="A3468" s="3" t="s">
        <v>255</v>
      </c>
      <c r="B3468" s="12" t="s">
        <v>2860</v>
      </c>
      <c r="C3468" s="46" t="s">
        <v>7392</v>
      </c>
      <c r="D3468" s="41" t="str">
        <f ca="1">IFERROR(__xludf.DUMMYFUNCTION("IFERROR(ARRAYFORMULA(REGEXEXTRACT(C3468,""^(?:https?:\/\/)?(?:[^@\n]+@)?(?:www\.)?([^:\/\n]+)"")),"""")"),"creaminstaller.com")</f>
        <v>creaminstaller.com</v>
      </c>
      <c r="E3468" s="26" t="str">
        <f ca="1">IFERROR(__xludf.DUMMYFUNCTION("""COMPUTED_VALUE"""),"New")</f>
        <v>New</v>
      </c>
      <c r="F3468" s="72">
        <v>28</v>
      </c>
      <c r="G3468" s="72">
        <v>7303</v>
      </c>
      <c r="P3468" s="26"/>
    </row>
    <row r="3469" spans="1:16" ht="14.5">
      <c r="A3469" s="3" t="s">
        <v>255</v>
      </c>
      <c r="B3469" s="12" t="s">
        <v>2860</v>
      </c>
      <c r="C3469" s="46" t="s">
        <v>7393</v>
      </c>
      <c r="D3469" s="41" t="str">
        <f ca="1">IFERROR(__xludf.DUMMYFUNCTION("IFERROR(ARRAYFORMULA(REGEXEXTRACT(C3469,""^(?:https?:\/\/)?(?:[^@\n]+@)?(?:www\.)?([^:\/\n]+)"")),"""")"),"erafame.com")</f>
        <v>erafame.com</v>
      </c>
      <c r="E3469" s="26" t="str">
        <f ca="1">IFERROR(__xludf.DUMMYFUNCTION("""COMPUTED_VALUE"""),"New")</f>
        <v>New</v>
      </c>
      <c r="F3469" s="72">
        <v>69</v>
      </c>
      <c r="G3469" s="72">
        <v>1311</v>
      </c>
      <c r="P3469" s="26"/>
    </row>
    <row r="3470" spans="1:16" ht="14.5">
      <c r="A3470" s="3" t="s">
        <v>255</v>
      </c>
      <c r="B3470" s="12" t="s">
        <v>2860</v>
      </c>
      <c r="C3470" s="46" t="s">
        <v>7394</v>
      </c>
      <c r="D3470" s="41" t="str">
        <f ca="1">IFERROR(__xludf.DUMMYFUNCTION("IFERROR(ARRAYFORMULA(REGEXEXTRACT(C3470,""^(?:https?:\/\/)?(?:[^@\n]+@)?(?:www\.)?([^:\/\n]+)"")),"""")"),"englishilm.com")</f>
        <v>englishilm.com</v>
      </c>
      <c r="E3470" s="26" t="str">
        <f ca="1">IFERROR(__xludf.DUMMYFUNCTION("""COMPUTED_VALUE"""),"New")</f>
        <v>New</v>
      </c>
      <c r="F3470" s="72">
        <v>72</v>
      </c>
      <c r="G3470" s="72">
        <v>3138</v>
      </c>
      <c r="P3470" s="26"/>
    </row>
    <row r="3471" spans="1:16" ht="14.5" hidden="1">
      <c r="A3471" s="3" t="s">
        <v>255</v>
      </c>
      <c r="B3471" s="57" t="s">
        <v>2861</v>
      </c>
      <c r="C3471" s="46" t="s">
        <v>7395</v>
      </c>
      <c r="D3471" s="41" t="str">
        <f ca="1">IFERROR(__xludf.DUMMYFUNCTION("IFERROR(ARRAYFORMULA(REGEXEXTRACT(C3471,""^(?:https?:\/\/)?(?:[^@\n]+@)?(?:www\.)?([^:\/\n]+)"")),"""")"),"boorooandtiggertoo.com")</f>
        <v>boorooandtiggertoo.com</v>
      </c>
      <c r="E3471" s="26" t="str">
        <f ca="1">IFERROR(__xludf.DUMMYFUNCTION("""COMPUTED_VALUE"""),"Already Exists")</f>
        <v>Already Exists</v>
      </c>
      <c r="F3471" s="72">
        <v>39</v>
      </c>
      <c r="G3471" s="72">
        <v>1552</v>
      </c>
      <c r="P3471" s="26"/>
    </row>
    <row r="3472" spans="1:16" ht="14.5">
      <c r="A3472" s="3" t="s">
        <v>255</v>
      </c>
      <c r="B3472" s="12" t="s">
        <v>2861</v>
      </c>
      <c r="C3472" s="46" t="s">
        <v>7396</v>
      </c>
      <c r="D3472" s="41" t="str">
        <f ca="1">IFERROR(__xludf.DUMMYFUNCTION("IFERROR(ARRAYFORMULA(REGEXEXTRACT(C3472,""^(?:https?:\/\/)?(?:[^@\n]+@)?(?:www\.)?([^:\/\n]+)"")),"""")"),"thedenverhousewife.com")</f>
        <v>thedenverhousewife.com</v>
      </c>
      <c r="E3472" s="26" t="str">
        <f ca="1">IFERROR(__xludf.DUMMYFUNCTION("""COMPUTED_VALUE"""),"New")</f>
        <v>New</v>
      </c>
      <c r="F3472" s="72">
        <v>40</v>
      </c>
      <c r="G3472" s="72">
        <v>1139</v>
      </c>
      <c r="P3472" s="26"/>
    </row>
    <row r="3473" spans="1:16" ht="14.5">
      <c r="A3473" s="3" t="s">
        <v>255</v>
      </c>
      <c r="B3473" s="57" t="s">
        <v>2863</v>
      </c>
      <c r="C3473" s="46" t="s">
        <v>7397</v>
      </c>
      <c r="D3473" s="41" t="str">
        <f ca="1">IFERROR(__xludf.DUMMYFUNCTION("IFERROR(ARRAYFORMULA(REGEXEXTRACT(C3473,""^(?:https?:\/\/)?(?:[^@\n]+@)?(?:www\.)?([^:\/\n]+)"")),"""")"),"structville.com")</f>
        <v>structville.com</v>
      </c>
      <c r="E3473" s="26" t="str">
        <f ca="1">IFERROR(__xludf.DUMMYFUNCTION("""COMPUTED_VALUE"""),"New")</f>
        <v>New</v>
      </c>
      <c r="F3473" s="72">
        <v>27</v>
      </c>
      <c r="G3473" s="72">
        <v>2064</v>
      </c>
      <c r="P3473" s="26"/>
    </row>
    <row r="3474" spans="1:16" ht="14.5">
      <c r="A3474" s="3" t="s">
        <v>255</v>
      </c>
      <c r="B3474" s="12" t="s">
        <v>2863</v>
      </c>
      <c r="C3474" s="46" t="s">
        <v>7398</v>
      </c>
      <c r="D3474" s="41" t="str">
        <f ca="1">IFERROR(__xludf.DUMMYFUNCTION("IFERROR(ARRAYFORMULA(REGEXEXTRACT(C3474,""^(?:https?:\/\/)?(?:[^@\n]+@)?(?:www\.)?([^:\/\n]+)"")),"""")"),"ontoplist.com")</f>
        <v>ontoplist.com</v>
      </c>
      <c r="E3474" s="26" t="str">
        <f ca="1">IFERROR(__xludf.DUMMYFUNCTION("""COMPUTED_VALUE"""),"New")</f>
        <v>New</v>
      </c>
      <c r="F3474" s="72">
        <v>75</v>
      </c>
      <c r="G3474" s="72">
        <v>1126</v>
      </c>
      <c r="P3474" s="26"/>
    </row>
    <row r="3475" spans="1:16" ht="14.5">
      <c r="A3475" s="3" t="s">
        <v>255</v>
      </c>
      <c r="B3475" s="12" t="s">
        <v>2863</v>
      </c>
      <c r="C3475" s="49" t="s">
        <v>7399</v>
      </c>
      <c r="D3475" s="41" t="str">
        <f ca="1">IFERROR(__xludf.DUMMYFUNCTION("IFERROR(ARRAYFORMULA(REGEXEXTRACT(C3475,""^(?:https?:\/\/)?(?:[^@\n]+@)?(?:www\.)?([^:\/\n]+)"")),"""")"),"facilityexecutive.com")</f>
        <v>facilityexecutive.com</v>
      </c>
      <c r="E3475" s="26" t="str">
        <f ca="1">IFERROR(__xludf.DUMMYFUNCTION("""COMPUTED_VALUE"""),"New")</f>
        <v>New</v>
      </c>
      <c r="F3475" s="72">
        <v>74</v>
      </c>
      <c r="G3475" s="72">
        <v>1127</v>
      </c>
      <c r="H3475" s="27" t="s">
        <v>7400</v>
      </c>
      <c r="I3475" s="27" t="s">
        <v>7401</v>
      </c>
      <c r="J3475" s="27" t="s">
        <v>7402</v>
      </c>
      <c r="K3475" s="27" t="s">
        <v>3772</v>
      </c>
      <c r="L3475" s="112"/>
      <c r="M3475" s="27" t="s">
        <v>7390</v>
      </c>
      <c r="N3475" s="48">
        <v>46084</v>
      </c>
      <c r="P3475" s="26"/>
    </row>
    <row r="3476" spans="1:16" ht="14.5">
      <c r="A3476" s="3" t="s">
        <v>255</v>
      </c>
      <c r="B3476" s="12" t="s">
        <v>2863</v>
      </c>
      <c r="C3476" s="46" t="s">
        <v>7403</v>
      </c>
      <c r="D3476" s="41" t="str">
        <f ca="1">IFERROR(__xludf.DUMMYFUNCTION("IFERROR(ARRAYFORMULA(REGEXEXTRACT(C3476,""^(?:https?:\/\/)?(?:[^@\n]+@)?(?:www\.)?([^:\/\n]+)"")),"""")"),"rooferscoffeeshop.com")</f>
        <v>rooferscoffeeshop.com</v>
      </c>
      <c r="E3476" s="26" t="str">
        <f ca="1">IFERROR(__xludf.DUMMYFUNCTION("""COMPUTED_VALUE"""),"New")</f>
        <v>New</v>
      </c>
      <c r="F3476" s="72">
        <v>61</v>
      </c>
      <c r="G3476" s="72">
        <v>5261</v>
      </c>
      <c r="P3476" s="26"/>
    </row>
    <row r="3477" spans="1:16" ht="14.5">
      <c r="A3477" s="3" t="s">
        <v>255</v>
      </c>
      <c r="B3477" s="57" t="s">
        <v>2864</v>
      </c>
      <c r="C3477" s="46" t="s">
        <v>7404</v>
      </c>
      <c r="D3477" s="41" t="str">
        <f ca="1">IFERROR(__xludf.DUMMYFUNCTION("IFERROR(ARRAYFORMULA(REGEXEXTRACT(C3477,""^(?:https?:\/\/)?(?:[^@\n]+@)?(?:www\.)?([^:\/\n]+)"")),"""")"),"thelocalproject.com.au")</f>
        <v>thelocalproject.com.au</v>
      </c>
      <c r="E3477" s="26" t="str">
        <f ca="1">IFERROR(__xludf.DUMMYFUNCTION("""COMPUTED_VALUE"""),"New")</f>
        <v>New</v>
      </c>
      <c r="F3477" s="72">
        <v>76</v>
      </c>
      <c r="G3477" s="72">
        <v>19953</v>
      </c>
      <c r="P3477" s="26"/>
    </row>
    <row r="3478" spans="1:16" ht="14.5">
      <c r="A3478" s="3" t="s">
        <v>255</v>
      </c>
      <c r="B3478" s="12" t="s">
        <v>2864</v>
      </c>
      <c r="C3478" s="46" t="s">
        <v>7405</v>
      </c>
      <c r="D3478" s="41" t="str">
        <f ca="1">IFERROR(__xludf.DUMMYFUNCTION("IFERROR(ARRAYFORMULA(REGEXEXTRACT(C3478,""^(?:https?:\/\/)?(?:[^@\n]+@)?(?:www\.)?([^:\/\n]+)"")),"""")"),"mbqld.com.au")</f>
        <v>mbqld.com.au</v>
      </c>
      <c r="E3478" s="26" t="str">
        <f ca="1">IFERROR(__xludf.DUMMYFUNCTION("""COMPUTED_VALUE"""),"New")</f>
        <v>New</v>
      </c>
      <c r="F3478" s="72">
        <v>71</v>
      </c>
      <c r="G3478" s="72">
        <v>6900</v>
      </c>
      <c r="P3478" s="26"/>
    </row>
    <row r="3479" spans="1:16" ht="14.5">
      <c r="A3479" s="3" t="s">
        <v>255</v>
      </c>
      <c r="B3479" s="12" t="s">
        <v>2864</v>
      </c>
      <c r="C3479" s="46" t="s">
        <v>7406</v>
      </c>
      <c r="D3479" s="41" t="str">
        <f ca="1">IFERROR(__xludf.DUMMYFUNCTION("IFERROR(ARRAYFORMULA(REGEXEXTRACT(C3479,""^(?:https?:\/\/)?(?:[^@\n]+@)?(?:www\.)?([^:\/\n]+)"")),"""")"),"seek.com.au")</f>
        <v>seek.com.au</v>
      </c>
      <c r="E3479" s="26" t="str">
        <f ca="1">IFERROR(__xludf.DUMMYFUNCTION("""COMPUTED_VALUE"""),"New")</f>
        <v>New</v>
      </c>
      <c r="F3479" s="72">
        <v>87</v>
      </c>
      <c r="G3479" s="72">
        <v>5472654</v>
      </c>
      <c r="P3479" s="26"/>
    </row>
    <row r="3480" spans="1:16" ht="14.5">
      <c r="A3480" s="3" t="s">
        <v>255</v>
      </c>
      <c r="B3480" s="12" t="s">
        <v>2864</v>
      </c>
      <c r="C3480" s="46" t="s">
        <v>7407</v>
      </c>
      <c r="D3480" s="41" t="str">
        <f ca="1">IFERROR(__xludf.DUMMYFUNCTION("IFERROR(ARRAYFORMULA(REGEXEXTRACT(C3480,""^(?:https?:\/\/)?(?:[^@\n]+@)?(?:www\.)?([^:\/\n]+)"")),"""")"),"whitepages.com.au")</f>
        <v>whitepages.com.au</v>
      </c>
      <c r="E3480" s="26" t="str">
        <f ca="1">IFERROR(__xludf.DUMMYFUNCTION("""COMPUTED_VALUE"""),"New")</f>
        <v>New</v>
      </c>
      <c r="F3480" s="72">
        <v>72</v>
      </c>
      <c r="G3480" s="72">
        <v>336812</v>
      </c>
      <c r="P3480" s="26"/>
    </row>
    <row r="3481" spans="1:16" ht="14.5">
      <c r="A3481" s="3" t="s">
        <v>255</v>
      </c>
      <c r="B3481" s="12" t="s">
        <v>2864</v>
      </c>
      <c r="C3481" s="46" t="s">
        <v>7408</v>
      </c>
      <c r="D3481" s="41" t="str">
        <f ca="1">IFERROR(__xludf.DUMMYFUNCTION("IFERROR(ARRAYFORMULA(REGEXEXTRACT(C3481,""^(?:https?:\/\/)?(?:[^@\n]+@)?(?:www\.)?([^:\/\n]+)"")),"""")"),"eco-outdoor.com")</f>
        <v>eco-outdoor.com</v>
      </c>
      <c r="E3481" s="26" t="str">
        <f ca="1">IFERROR(__xludf.DUMMYFUNCTION("""COMPUTED_VALUE"""),"New")</f>
        <v>New</v>
      </c>
      <c r="F3481" s="72">
        <v>56</v>
      </c>
      <c r="G3481" s="72">
        <v>18813</v>
      </c>
      <c r="P3481" s="26"/>
    </row>
    <row r="3482" spans="1:16" ht="14.5">
      <c r="A3482" s="3" t="s">
        <v>255</v>
      </c>
      <c r="B3482" s="17" t="s">
        <v>2865</v>
      </c>
      <c r="C3482" s="46" t="s">
        <v>7409</v>
      </c>
      <c r="D3482" s="41" t="str">
        <f ca="1">IFERROR(__xludf.DUMMYFUNCTION("IFERROR(ARRAYFORMULA(REGEXEXTRACT(C3482,""^(?:https?:\/\/)?(?:[^@\n]+@)?(?:www\.)?([^:\/\n]+)"")),"""")"),"nadca.com")</f>
        <v>nadca.com</v>
      </c>
      <c r="E3482" s="26" t="str">
        <f ca="1">IFERROR(__xludf.DUMMYFUNCTION("""COMPUTED_VALUE"""),"New")</f>
        <v>New</v>
      </c>
      <c r="F3482" s="72">
        <v>77</v>
      </c>
      <c r="G3482" s="72">
        <v>41776</v>
      </c>
      <c r="P3482" s="26"/>
    </row>
    <row r="3483" spans="1:16" ht="14.5">
      <c r="A3483" s="3" t="s">
        <v>255</v>
      </c>
      <c r="B3483" s="12" t="s">
        <v>2865</v>
      </c>
      <c r="C3483" s="46" t="s">
        <v>7410</v>
      </c>
      <c r="D3483" s="41" t="str">
        <f ca="1">IFERROR(__xludf.DUMMYFUNCTION("IFERROR(ARRAYFORMULA(REGEXEXTRACT(C3483,""^(?:https?:\/\/)?(?:[^@\n]+@)?(?:www\.)?([^:\/\n]+)"")),"""")"),"pinay-flix.com")</f>
        <v>pinay-flix.com</v>
      </c>
      <c r="E3483" s="26" t="str">
        <f ca="1">IFERROR(__xludf.DUMMYFUNCTION("""COMPUTED_VALUE"""),"New")</f>
        <v>New</v>
      </c>
      <c r="F3483" s="72">
        <v>31</v>
      </c>
      <c r="G3483" s="72">
        <v>6149</v>
      </c>
      <c r="P3483" s="26"/>
    </row>
    <row r="3484" spans="1:16" ht="14.5">
      <c r="A3484" s="3" t="s">
        <v>255</v>
      </c>
      <c r="B3484" s="12" t="s">
        <v>2865</v>
      </c>
      <c r="C3484" s="46" t="s">
        <v>7411</v>
      </c>
      <c r="D3484" s="41" t="str">
        <f ca="1">IFERROR(__xludf.DUMMYFUNCTION("IFERROR(ARRAYFORMULA(REGEXEXTRACT(C3484,""^(?:https?:\/\/)?(?:[^@\n]+@)?(?:www\.)?([^:\/\n]+)"")),"""")"),"blogsternation.com")</f>
        <v>blogsternation.com</v>
      </c>
      <c r="E3484" s="26" t="str">
        <f ca="1">IFERROR(__xludf.DUMMYFUNCTION("""COMPUTED_VALUE"""),"New")</f>
        <v>New</v>
      </c>
      <c r="F3484" s="72">
        <v>45</v>
      </c>
      <c r="G3484" s="72">
        <v>2945</v>
      </c>
      <c r="P3484" s="26"/>
    </row>
    <row r="3485" spans="1:16" ht="14.5" hidden="1">
      <c r="A3485" s="3" t="s">
        <v>255</v>
      </c>
      <c r="B3485" s="12" t="s">
        <v>2865</v>
      </c>
      <c r="C3485" s="47" t="s">
        <v>7412</v>
      </c>
      <c r="D3485" s="41" t="str">
        <f ca="1">IFERROR(__xludf.DUMMYFUNCTION("IFERROR(ARRAYFORMULA(REGEXEXTRACT(C3485,""^(?:https?:\/\/)?(?:[^@\n]+@)?(?:www\.)?([^:\/\n]+)"")),"""")"),"metromsk.com")</f>
        <v>metromsk.com</v>
      </c>
      <c r="E3485" s="26" t="str">
        <f ca="1">IFERROR(__xludf.DUMMYFUNCTION("""COMPUTED_VALUE"""),"Already Exists")</f>
        <v>Already Exists</v>
      </c>
      <c r="F3485" s="72">
        <v>51</v>
      </c>
      <c r="G3485" s="72">
        <v>34828</v>
      </c>
      <c r="J3485" s="27" t="s">
        <v>7413</v>
      </c>
      <c r="K3485" s="27" t="s">
        <v>3756</v>
      </c>
      <c r="L3485" s="112"/>
      <c r="M3485" s="27" t="s">
        <v>7390</v>
      </c>
      <c r="N3485" s="48">
        <v>46084</v>
      </c>
      <c r="P3485" s="27" t="s">
        <v>3201</v>
      </c>
    </row>
    <row r="3486" spans="1:16" ht="14.5" hidden="1">
      <c r="A3486" s="3" t="s">
        <v>255</v>
      </c>
      <c r="B3486" s="12" t="s">
        <v>2865</v>
      </c>
      <c r="C3486" s="46" t="s">
        <v>7414</v>
      </c>
      <c r="D3486" s="41" t="str">
        <f ca="1">IFERROR(__xludf.DUMMYFUNCTION("IFERROR(ARRAYFORMULA(REGEXEXTRACT(C3486,""^(?:https?:\/\/)?(?:[^@\n]+@)?(?:www\.)?([^:\/\n]+)"")),"""")"),"bloggingheros.com")</f>
        <v>bloggingheros.com</v>
      </c>
      <c r="E3486" s="26" t="str">
        <f ca="1">IFERROR(__xludf.DUMMYFUNCTION("""COMPUTED_VALUE"""),"Already Exists")</f>
        <v>Already Exists</v>
      </c>
      <c r="F3486" s="72">
        <v>26</v>
      </c>
      <c r="G3486" s="72">
        <v>4721</v>
      </c>
      <c r="P3486" s="26"/>
    </row>
    <row r="3487" spans="1:16" ht="14.5">
      <c r="A3487" s="3" t="s">
        <v>255</v>
      </c>
      <c r="B3487" s="17" t="s">
        <v>2866</v>
      </c>
      <c r="C3487" s="46" t="s">
        <v>7415</v>
      </c>
      <c r="D3487" s="41" t="str">
        <f ca="1">IFERROR(__xludf.DUMMYFUNCTION("IFERROR(ARRAYFORMULA(REGEXEXTRACT(C3487,""^(?:https?:\/\/)?(?:[^@\n]+@)?(?:www\.)?([^:\/\n]+)"")),"""")"),"trulogsiding.com")</f>
        <v>trulogsiding.com</v>
      </c>
      <c r="E3487" s="26" t="str">
        <f ca="1">IFERROR(__xludf.DUMMYFUNCTION("""COMPUTED_VALUE"""),"New")</f>
        <v>New</v>
      </c>
      <c r="F3487" s="72">
        <v>44</v>
      </c>
      <c r="G3487" s="72">
        <v>10172</v>
      </c>
      <c r="P3487" s="26"/>
    </row>
    <row r="3488" spans="1:16" ht="14.5">
      <c r="A3488" s="3" t="s">
        <v>255</v>
      </c>
      <c r="B3488" s="12" t="s">
        <v>2866</v>
      </c>
      <c r="C3488" s="46" t="s">
        <v>7416</v>
      </c>
      <c r="D3488" s="41" t="str">
        <f ca="1">IFERROR(__xludf.DUMMYFUNCTION("IFERROR(ARRAYFORMULA(REGEXEXTRACT(C3488,""^(?:https?:\/\/)?(?:[^@\n]+@)?(?:www\.)?([^:\/\n]+)"")),"""")"),"thisisbarry.com")</f>
        <v>thisisbarry.com</v>
      </c>
      <c r="E3488" s="26" t="str">
        <f ca="1">IFERROR(__xludf.DUMMYFUNCTION("""COMPUTED_VALUE"""),"New")</f>
        <v>New</v>
      </c>
      <c r="F3488" s="72">
        <v>29</v>
      </c>
      <c r="G3488" s="72">
        <v>8778</v>
      </c>
      <c r="P3488" s="26"/>
    </row>
    <row r="3489" spans="1:16" ht="14.5">
      <c r="A3489" s="3" t="s">
        <v>255</v>
      </c>
      <c r="B3489" s="12" t="s">
        <v>2866</v>
      </c>
      <c r="C3489" s="46" t="s">
        <v>7417</v>
      </c>
      <c r="D3489" s="41" t="str">
        <f ca="1">IFERROR(__xludf.DUMMYFUNCTION("IFERROR(ARRAYFORMULA(REGEXEXTRACT(C3489,""^(?:https?:\/\/)?(?:[^@\n]+@)?(?:www\.)?([^:\/\n]+)"")),"""")"),"homenspice.com")</f>
        <v>homenspice.com</v>
      </c>
      <c r="E3489" s="26" t="str">
        <f ca="1">IFERROR(__xludf.DUMMYFUNCTION("""COMPUTED_VALUE"""),"New")</f>
        <v>New</v>
      </c>
      <c r="F3489" s="72">
        <v>37</v>
      </c>
      <c r="G3489" s="72">
        <v>33186</v>
      </c>
      <c r="P3489" s="26"/>
    </row>
    <row r="3490" spans="1:16" ht="14.5">
      <c r="A3490" s="3" t="s">
        <v>255</v>
      </c>
      <c r="B3490" s="12" t="s">
        <v>2866</v>
      </c>
      <c r="C3490" s="49" t="s">
        <v>7418</v>
      </c>
      <c r="D3490" s="41" t="str">
        <f ca="1">IFERROR(__xludf.DUMMYFUNCTION("IFERROR(ARRAYFORMULA(REGEXEXTRACT(C3490,""^(?:https?:\/\/)?(?:[^@\n]+@)?(?:www\.)?([^:\/\n]+)"")),"""")"),"davinciroofscapes.com")</f>
        <v>davinciroofscapes.com</v>
      </c>
      <c r="E3490" s="26" t="str">
        <f ca="1">IFERROR(__xludf.DUMMYFUNCTION("""COMPUTED_VALUE"""),"New")</f>
        <v>New</v>
      </c>
      <c r="F3490" s="72">
        <v>68</v>
      </c>
      <c r="G3490" s="72">
        <v>3365</v>
      </c>
      <c r="J3490" s="27" t="s">
        <v>7419</v>
      </c>
      <c r="K3490" s="27" t="s">
        <v>3844</v>
      </c>
      <c r="L3490" s="112"/>
      <c r="M3490" s="27" t="s">
        <v>7390</v>
      </c>
      <c r="N3490" s="48">
        <v>46084</v>
      </c>
      <c r="P3490" s="26"/>
    </row>
    <row r="3491" spans="1:16" ht="14.5">
      <c r="A3491" s="3" t="s">
        <v>255</v>
      </c>
      <c r="B3491" s="12" t="s">
        <v>2866</v>
      </c>
      <c r="C3491" s="46" t="s">
        <v>7420</v>
      </c>
      <c r="D3491" s="41" t="str">
        <f ca="1">IFERROR(__xludf.DUMMYFUNCTION("IFERROR(ARRAYFORMULA(REGEXEXTRACT(C3491,""^(?:https?:\/\/)?(?:[^@\n]+@)?(?:www\.)?([^:\/\n]+)"")),"""")"),"thegreenfortune.com")</f>
        <v>thegreenfortune.com</v>
      </c>
      <c r="E3491" s="26" t="str">
        <f ca="1">IFERROR(__xludf.DUMMYFUNCTION("""COMPUTED_VALUE"""),"New")</f>
        <v>New</v>
      </c>
      <c r="F3491" s="72">
        <v>31</v>
      </c>
      <c r="G3491" s="72">
        <v>126850</v>
      </c>
      <c r="P3491" s="26"/>
    </row>
    <row r="3492" spans="1:16" ht="14.5">
      <c r="A3492" s="3" t="s">
        <v>255</v>
      </c>
      <c r="B3492" s="17" t="s">
        <v>2867</v>
      </c>
      <c r="C3492" s="46" t="s">
        <v>7421</v>
      </c>
      <c r="D3492" s="41" t="str">
        <f ca="1">IFERROR(__xludf.DUMMYFUNCTION("IFERROR(ARRAYFORMULA(REGEXEXTRACT(C3492,""^(?:https?:\/\/)?(?:[^@\n]+@)?(?:www\.)?([^:\/\n]+)"")),"""")"),"floraly.com.au")</f>
        <v>floraly.com.au</v>
      </c>
      <c r="E3492" s="26" t="str">
        <f ca="1">IFERROR(__xludf.DUMMYFUNCTION("""COMPUTED_VALUE"""),"New")</f>
        <v>New</v>
      </c>
      <c r="F3492" s="72">
        <v>39</v>
      </c>
      <c r="G3492" s="72">
        <v>122064</v>
      </c>
      <c r="P3492" s="26"/>
    </row>
    <row r="3493" spans="1:16" ht="14.5">
      <c r="A3493" s="3" t="s">
        <v>255</v>
      </c>
      <c r="B3493" s="12" t="s">
        <v>2867</v>
      </c>
      <c r="C3493" s="46" t="s">
        <v>7422</v>
      </c>
      <c r="D3493" s="41" t="str">
        <f ca="1">IFERROR(__xludf.DUMMYFUNCTION("IFERROR(ARRAYFORMULA(REGEXEXTRACT(C3493,""^(?:https?:\/\/)?(?:[^@\n]+@)?(?:www\.)?([^:\/\n]+)"")),"""")"),"dewesoft.com")</f>
        <v>dewesoft.com</v>
      </c>
      <c r="E3493" s="26" t="str">
        <f ca="1">IFERROR(__xludf.DUMMYFUNCTION("""COMPUTED_VALUE"""),"New")</f>
        <v>New</v>
      </c>
      <c r="F3493" s="72">
        <v>66</v>
      </c>
      <c r="G3493" s="72">
        <v>61271</v>
      </c>
      <c r="P3493" s="26"/>
    </row>
    <row r="3494" spans="1:16" ht="14.5">
      <c r="A3494" s="3" t="s">
        <v>255</v>
      </c>
      <c r="B3494" s="12" t="s">
        <v>2867</v>
      </c>
      <c r="C3494" s="46" t="s">
        <v>7423</v>
      </c>
      <c r="D3494" s="41" t="str">
        <f ca="1">IFERROR(__xludf.DUMMYFUNCTION("IFERROR(ARRAYFORMULA(REGEXEXTRACT(C3494,""^(?:https?:\/\/)?(?:[^@\n]+@)?(?:www\.)?([^:\/\n]+)"")),"""")"),"weareteachers.com")</f>
        <v>weareteachers.com</v>
      </c>
      <c r="E3494" s="26" t="str">
        <f ca="1">IFERROR(__xludf.DUMMYFUNCTION("""COMPUTED_VALUE"""),"New")</f>
        <v>New</v>
      </c>
      <c r="F3494" s="72">
        <v>79</v>
      </c>
      <c r="G3494" s="72">
        <v>390065</v>
      </c>
      <c r="P3494" s="26"/>
    </row>
    <row r="3495" spans="1:16" ht="14.5">
      <c r="A3495" s="3" t="s">
        <v>255</v>
      </c>
      <c r="B3495" s="12" t="s">
        <v>2867</v>
      </c>
      <c r="C3495" s="46" t="s">
        <v>7424</v>
      </c>
      <c r="D3495" s="41" t="str">
        <f ca="1">IFERROR(__xludf.DUMMYFUNCTION("IFERROR(ARRAYFORMULA(REGEXEXTRACT(C3495,""^(?:https?:\/\/)?(?:[^@\n]+@)?(?:www\.)?([^:\/\n]+)"")),"""")"),"nist.gov")</f>
        <v>nist.gov</v>
      </c>
      <c r="E3495" s="26" t="str">
        <f ca="1">IFERROR(__xludf.DUMMYFUNCTION("""COMPUTED_VALUE"""),"New")</f>
        <v>New</v>
      </c>
      <c r="F3495" s="72">
        <v>92</v>
      </c>
      <c r="G3495" s="72">
        <v>1269858</v>
      </c>
      <c r="P3495" s="26"/>
    </row>
    <row r="3496" spans="1:16" ht="14.5">
      <c r="A3496" s="3" t="s">
        <v>255</v>
      </c>
      <c r="B3496" s="12" t="s">
        <v>2867</v>
      </c>
      <c r="C3496" s="46" t="s">
        <v>7425</v>
      </c>
      <c r="D3496" s="41" t="str">
        <f ca="1">IFERROR(__xludf.DUMMYFUNCTION("IFERROR(ARRAYFORMULA(REGEXEXTRACT(C3496,""^(?:https?:\/\/)?(?:[^@\n]+@)?(?:www\.)?([^:\/\n]+)"")),"""")"),"chemicals.co.uk")</f>
        <v>chemicals.co.uk</v>
      </c>
      <c r="E3496" s="26" t="str">
        <f ca="1">IFERROR(__xludf.DUMMYFUNCTION("""COMPUTED_VALUE"""),"New")</f>
        <v>New</v>
      </c>
      <c r="F3496" s="72">
        <v>49</v>
      </c>
      <c r="G3496" s="72">
        <v>219089</v>
      </c>
      <c r="P3496" s="26"/>
    </row>
    <row r="3497" spans="1:16" ht="14.5">
      <c r="A3497" s="3" t="s">
        <v>255</v>
      </c>
      <c r="B3497" s="12" t="s">
        <v>2867</v>
      </c>
      <c r="C3497" s="46" t="s">
        <v>7426</v>
      </c>
      <c r="D3497" s="41" t="str">
        <f ca="1">IFERROR(__xludf.DUMMYFUNCTION("IFERROR(ARRAYFORMULA(REGEXEXTRACT(C3497,""^(?:https?:\/\/)?(?:[^@\n]+@)?(?:www\.)?([^:\/\n]+)"")),"""")"),"iko.com")</f>
        <v>iko.com</v>
      </c>
      <c r="E3497" s="26" t="str">
        <f ca="1">IFERROR(__xludf.DUMMYFUNCTION("""COMPUTED_VALUE"""),"New")</f>
        <v>New</v>
      </c>
      <c r="F3497" s="72">
        <v>79</v>
      </c>
      <c r="G3497" s="72">
        <v>125826</v>
      </c>
      <c r="P3497" s="26"/>
    </row>
    <row r="3498" spans="1:16" ht="14.5">
      <c r="A3498" s="3" t="s">
        <v>255</v>
      </c>
      <c r="B3498" s="12" t="s">
        <v>2867</v>
      </c>
      <c r="C3498" s="46" t="s">
        <v>7427</v>
      </c>
      <c r="D3498" s="41" t="str">
        <f ca="1">IFERROR(__xludf.DUMMYFUNCTION("IFERROR(ARRAYFORMULA(REGEXEXTRACT(C3498,""^(?:https?:\/\/)?(?:[^@\n]+@)?(?:www\.)?([^:\/\n]+)"")),"""")"),"seaperch.org")</f>
        <v>seaperch.org</v>
      </c>
      <c r="E3498" s="26" t="str">
        <f ca="1">IFERROR(__xludf.DUMMYFUNCTION("""COMPUTED_VALUE"""),"New")</f>
        <v>New</v>
      </c>
      <c r="F3498" s="72">
        <v>50</v>
      </c>
      <c r="G3498" s="72">
        <v>2183</v>
      </c>
      <c r="P3498" s="26"/>
    </row>
    <row r="3499" spans="1:16" ht="14.5">
      <c r="A3499" s="3" t="s">
        <v>255</v>
      </c>
      <c r="B3499" s="12" t="s">
        <v>2867</v>
      </c>
      <c r="C3499" s="46" t="s">
        <v>7428</v>
      </c>
      <c r="D3499" s="41" t="str">
        <f ca="1">IFERROR(__xludf.DUMMYFUNCTION("IFERROR(ARRAYFORMULA(REGEXEXTRACT(C3499,""^(?:https?:\/\/)?(?:[^@\n]+@)?(?:www\.)?([^:\/\n]+)"")),"""")"),"inventorsoftomorrow.com")</f>
        <v>inventorsoftomorrow.com</v>
      </c>
      <c r="E3499" s="26" t="str">
        <f ca="1">IFERROR(__xludf.DUMMYFUNCTION("""COMPUTED_VALUE"""),"New")</f>
        <v>New</v>
      </c>
      <c r="F3499" s="72">
        <v>26</v>
      </c>
      <c r="G3499" s="72">
        <v>4399</v>
      </c>
      <c r="P3499" s="26"/>
    </row>
    <row r="3500" spans="1:16" ht="14.5">
      <c r="A3500" s="3" t="s">
        <v>255</v>
      </c>
      <c r="B3500" s="12" t="s">
        <v>2867</v>
      </c>
      <c r="C3500" s="46" t="s">
        <v>7429</v>
      </c>
      <c r="D3500" s="41" t="str">
        <f ca="1">IFERROR(__xludf.DUMMYFUNCTION("IFERROR(ARRAYFORMULA(REGEXEXTRACT(C3500,""^(?:https?:\/\/)?(?:[^@\n]+@)?(?:www\.)?([^:\/\n]+)"")),"""")"),"sciencelearn.org.nz")</f>
        <v>sciencelearn.org.nz</v>
      </c>
      <c r="E3500" s="26" t="str">
        <f ca="1">IFERROR(__xludf.DUMMYFUNCTION("""COMPUTED_VALUE"""),"New")</f>
        <v>New</v>
      </c>
      <c r="F3500" s="72">
        <v>73</v>
      </c>
      <c r="G3500" s="72">
        <v>201320</v>
      </c>
      <c r="P3500" s="26"/>
    </row>
    <row r="3501" spans="1:16" ht="14.5">
      <c r="A3501" s="3" t="s">
        <v>255</v>
      </c>
      <c r="B3501" s="12" t="s">
        <v>2867</v>
      </c>
      <c r="C3501" s="46" t="s">
        <v>7430</v>
      </c>
      <c r="D3501" s="41" t="str">
        <f ca="1">IFERROR(__xludf.DUMMYFUNCTION("IFERROR(ARRAYFORMULA(REGEXEXTRACT(C3501,""^(?:https?:\/\/)?(?:[^@\n]+@)?(?:www\.)?([^:\/\n]+)"")),"""")"),"sphero.com")</f>
        <v>sphero.com</v>
      </c>
      <c r="E3501" s="26" t="str">
        <f ca="1">IFERROR(__xludf.DUMMYFUNCTION("""COMPUTED_VALUE"""),"New")</f>
        <v>New</v>
      </c>
      <c r="F3501" s="72">
        <v>77</v>
      </c>
      <c r="G3501" s="72">
        <v>67930</v>
      </c>
      <c r="P3501" s="26"/>
    </row>
    <row r="3502" spans="1:16" ht="14.5">
      <c r="A3502" s="3" t="s">
        <v>255</v>
      </c>
      <c r="B3502" s="12" t="s">
        <v>2867</v>
      </c>
      <c r="C3502" s="46" t="s">
        <v>7431</v>
      </c>
      <c r="D3502" s="41" t="str">
        <f ca="1">IFERROR(__xludf.DUMMYFUNCTION("IFERROR(ARRAYFORMULA(REGEXEXTRACT(C3502,""^(?:https?:\/\/)?(?:[^@\n]+@)?(?:www\.)?([^:\/\n]+)"")),"""")"),"sciencefacts.net")</f>
        <v>sciencefacts.net</v>
      </c>
      <c r="E3502" s="26" t="str">
        <f ca="1">IFERROR(__xludf.DUMMYFUNCTION("""COMPUTED_VALUE"""),"New")</f>
        <v>New</v>
      </c>
      <c r="F3502" s="72">
        <v>45</v>
      </c>
      <c r="G3502" s="72">
        <v>51558</v>
      </c>
      <c r="P3502" s="26"/>
    </row>
    <row r="3503" spans="1:16" ht="14.5">
      <c r="A3503" s="3" t="s">
        <v>255</v>
      </c>
      <c r="B3503" s="12" t="s">
        <v>2867</v>
      </c>
      <c r="C3503" s="46" t="s">
        <v>7432</v>
      </c>
      <c r="D3503" s="41" t="str">
        <f ca="1">IFERROR(__xludf.DUMMYFUNCTION("IFERROR(ARRAYFORMULA(REGEXEXTRACT(C3503,""^(?:https?:\/\/)?(?:[^@\n]+@)?(?:www\.)?([^:\/\n]+)"")),"""")"),"cadencepetroleum.com")</f>
        <v>cadencepetroleum.com</v>
      </c>
      <c r="E3503" s="26" t="str">
        <f ca="1">IFERROR(__xludf.DUMMYFUNCTION("""COMPUTED_VALUE"""),"New")</f>
        <v>New</v>
      </c>
      <c r="F3503" s="72">
        <v>40</v>
      </c>
      <c r="G3503" s="72">
        <v>20149</v>
      </c>
      <c r="P3503" s="26"/>
    </row>
    <row r="3504" spans="1:16" ht="14.5">
      <c r="A3504" s="3" t="s">
        <v>255</v>
      </c>
      <c r="B3504" s="12" t="s">
        <v>2867</v>
      </c>
      <c r="C3504" s="46" t="s">
        <v>7433</v>
      </c>
      <c r="D3504" s="41" t="str">
        <f ca="1">IFERROR(__xludf.DUMMYFUNCTION("IFERROR(ARRAYFORMULA(REGEXEXTRACT(C3504,""^(?:https?:\/\/)?(?:[^@\n]+@)?(?:www\.)?([^:\/\n]+)"")),"""")"),"youtube.com")</f>
        <v>youtube.com</v>
      </c>
      <c r="E3504" s="26" t="str">
        <f ca="1">IFERROR(__xludf.DUMMYFUNCTION("""COMPUTED_VALUE"""),"New")</f>
        <v>New</v>
      </c>
      <c r="F3504" s="72">
        <v>99</v>
      </c>
      <c r="G3504" s="74">
        <v>2250000000</v>
      </c>
      <c r="P3504" s="26"/>
    </row>
    <row r="3505" spans="1:16" ht="14.5">
      <c r="A3505" s="3" t="s">
        <v>255</v>
      </c>
      <c r="B3505" s="12" t="s">
        <v>2867</v>
      </c>
      <c r="C3505" s="46" t="s">
        <v>7434</v>
      </c>
      <c r="D3505" s="41" t="str">
        <f ca="1">IFERROR(__xludf.DUMMYFUNCTION("IFERROR(ARRAYFORMULA(REGEXEXTRACT(C3505,""^(?:https?:\/\/)?(?:[^@\n]+@)?(?:www\.)?([^:\/\n]+)"")),"""")"),"livescience.com")</f>
        <v>livescience.com</v>
      </c>
      <c r="E3505" s="26" t="str">
        <f ca="1">IFERROR(__xludf.DUMMYFUNCTION("""COMPUTED_VALUE"""),"New")</f>
        <v>New</v>
      </c>
      <c r="F3505" s="72">
        <v>90</v>
      </c>
      <c r="G3505" s="72">
        <v>1113118</v>
      </c>
      <c r="P3505" s="26"/>
    </row>
    <row r="3506" spans="1:16" ht="14.5">
      <c r="A3506" s="3" t="s">
        <v>255</v>
      </c>
      <c r="B3506" s="12" t="s">
        <v>2867</v>
      </c>
      <c r="C3506" s="46" t="s">
        <v>7435</v>
      </c>
      <c r="D3506" s="41" t="str">
        <f ca="1">IFERROR(__xludf.DUMMYFUNCTION("IFERROR(ARRAYFORMULA(REGEXEXTRACT(C3506,""^(?:https?:\/\/)?(?:[^@\n]+@)?(?:www\.)?([^:\/\n]+)"")),"""")"),"ncwit.org")</f>
        <v>ncwit.org</v>
      </c>
      <c r="E3506" s="26" t="str">
        <f ca="1">IFERROR(__xludf.DUMMYFUNCTION("""COMPUTED_VALUE"""),"New")</f>
        <v>New</v>
      </c>
      <c r="F3506" s="72">
        <v>75</v>
      </c>
      <c r="G3506" s="72">
        <v>1810</v>
      </c>
      <c r="P3506" s="26"/>
    </row>
    <row r="3507" spans="1:16" ht="14.5">
      <c r="A3507" s="3" t="s">
        <v>255</v>
      </c>
      <c r="B3507" s="12" t="s">
        <v>2867</v>
      </c>
      <c r="C3507" s="46" t="s">
        <v>7436</v>
      </c>
      <c r="D3507" s="41" t="str">
        <f ca="1">IFERROR(__xludf.DUMMYFUNCTION("IFERROR(ARRAYFORMULA(REGEXEXTRACT(C3507,""^(?:https?:\/\/)?(?:[^@\n]+@)?(?:www\.)?([^:\/\n]+)"")),"""")"),"wikihow.com")</f>
        <v>wikihow.com</v>
      </c>
      <c r="E3507" s="26" t="str">
        <f ca="1">IFERROR(__xludf.DUMMYFUNCTION("""COMPUTED_VALUE"""),"New")</f>
        <v>New</v>
      </c>
      <c r="F3507" s="72">
        <v>91</v>
      </c>
      <c r="G3507" s="72">
        <v>13061239</v>
      </c>
      <c r="P3507" s="26"/>
    </row>
    <row r="3508" spans="1:16" ht="14.5">
      <c r="A3508" s="3" t="s">
        <v>255</v>
      </c>
      <c r="B3508" s="12" t="s">
        <v>2867</v>
      </c>
      <c r="C3508" s="46" t="s">
        <v>7437</v>
      </c>
      <c r="D3508" s="41" t="str">
        <f ca="1">IFERROR(__xludf.DUMMYFUNCTION("IFERROR(ARRAYFORMULA(REGEXEXTRACT(C3508,""^(?:https?:\/\/)?(?:[^@\n]+@)?(?:www\.)?([^:\/\n]+)"")),"""")"),"earthsciweek.org")</f>
        <v>earthsciweek.org</v>
      </c>
      <c r="E3508" s="26" t="str">
        <f ca="1">IFERROR(__xludf.DUMMYFUNCTION("""COMPUTED_VALUE"""),"New")</f>
        <v>New</v>
      </c>
      <c r="F3508" s="72">
        <v>60</v>
      </c>
      <c r="G3508" s="72">
        <v>2127</v>
      </c>
      <c r="P3508" s="26"/>
    </row>
    <row r="3509" spans="1:16" ht="14.5">
      <c r="A3509" s="3" t="s">
        <v>255</v>
      </c>
      <c r="B3509" s="12" t="s">
        <v>2867</v>
      </c>
      <c r="C3509" s="46" t="s">
        <v>7438</v>
      </c>
      <c r="D3509" s="41" t="str">
        <f ca="1">IFERROR(__xludf.DUMMYFUNCTION("IFERROR(ARRAYFORMULA(REGEXEXTRACT(C3509,""^(?:https?:\/\/)?(?:[^@\n]+@)?(?:www\.)?([^:\/\n]+)"")),"""")"),"sciencefriday.com")</f>
        <v>sciencefriday.com</v>
      </c>
      <c r="E3509" s="26" t="str">
        <f ca="1">IFERROR(__xludf.DUMMYFUNCTION("""COMPUTED_VALUE"""),"New")</f>
        <v>New</v>
      </c>
      <c r="F3509" s="72">
        <v>78</v>
      </c>
      <c r="G3509" s="72">
        <v>26503</v>
      </c>
      <c r="P3509" s="26"/>
    </row>
    <row r="3510" spans="1:16" ht="14.5">
      <c r="A3510" s="3" t="s">
        <v>255</v>
      </c>
      <c r="B3510" s="12" t="s">
        <v>2867</v>
      </c>
      <c r="C3510" s="46" t="s">
        <v>7439</v>
      </c>
      <c r="D3510" s="41" t="str">
        <f ca="1">IFERROR(__xludf.DUMMYFUNCTION("IFERROR(ARRAYFORMULA(REGEXEXTRACT(C3510,""^(?:https?:\/\/)?(?:[^@\n]+@)?(?:www\.)?([^:\/\n]+)"")),"""")"),"veritasai.com")</f>
        <v>veritasai.com</v>
      </c>
      <c r="E3510" s="26" t="str">
        <f ca="1">IFERROR(__xludf.DUMMYFUNCTION("""COMPUTED_VALUE"""),"New")</f>
        <v>New</v>
      </c>
      <c r="F3510" s="72">
        <v>31</v>
      </c>
      <c r="G3510" s="72">
        <v>4092</v>
      </c>
      <c r="P3510" s="26"/>
    </row>
    <row r="3511" spans="1:16" ht="14.5">
      <c r="A3511" s="3" t="s">
        <v>255</v>
      </c>
      <c r="B3511" s="12" t="s">
        <v>2867</v>
      </c>
      <c r="C3511" s="46" t="s">
        <v>7440</v>
      </c>
      <c r="D3511" s="41" t="str">
        <f ca="1">IFERROR(__xludf.DUMMYFUNCTION("IFERROR(ARRAYFORMULA(REGEXEXTRACT(C3511,""^(?:https?:\/\/)?(?:[^@\n]+@)?(?:www\.)?([^:\/\n]+)"")),"""")"),"blog.acceleratelearning.com")</f>
        <v>blog.acceleratelearning.com</v>
      </c>
      <c r="E3511" s="26" t="str">
        <f ca="1">IFERROR(__xludf.DUMMYFUNCTION("""COMPUTED_VALUE"""),"New")</f>
        <v>New</v>
      </c>
      <c r="F3511" s="72">
        <v>63</v>
      </c>
      <c r="G3511" s="72">
        <v>40433</v>
      </c>
      <c r="P3511" s="26"/>
    </row>
    <row r="3512" spans="1:16" ht="14.5">
      <c r="A3512" s="3" t="s">
        <v>255</v>
      </c>
      <c r="B3512" s="12" t="s">
        <v>2867</v>
      </c>
      <c r="C3512" s="46" t="s">
        <v>7441</v>
      </c>
      <c r="D3512" s="41" t="str">
        <f ca="1">IFERROR(__xludf.DUMMYFUNCTION("IFERROR(ARRAYFORMULA(REGEXEXTRACT(C3512,""^(?:https?:\/\/)?(?:[^@\n]+@)?(?:www\.)?([^:\/\n]+)"")),"""")"),"thehomeschoolscientist.com")</f>
        <v>thehomeschoolscientist.com</v>
      </c>
      <c r="E3512" s="26" t="str">
        <f ca="1">IFERROR(__xludf.DUMMYFUNCTION("""COMPUTED_VALUE"""),"New")</f>
        <v>New</v>
      </c>
      <c r="F3512" s="72">
        <v>51</v>
      </c>
      <c r="G3512" s="72">
        <v>3700</v>
      </c>
      <c r="P3512" s="26"/>
    </row>
    <row r="3513" spans="1:16" ht="14.5">
      <c r="A3513" s="3" t="s">
        <v>255</v>
      </c>
      <c r="B3513" s="12" t="s">
        <v>2867</v>
      </c>
      <c r="C3513" s="46" t="s">
        <v>7442</v>
      </c>
      <c r="D3513" s="41" t="str">
        <f ca="1">IFERROR(__xludf.DUMMYFUNCTION("IFERROR(ARRAYFORMULA(REGEXEXTRACT(C3513,""^(?:https?:\/\/)?(?:[^@\n]+@)?(?:www\.)?([^:\/\n]+)"")),"""")"),"pitsco.com")</f>
        <v>pitsco.com</v>
      </c>
      <c r="E3513" s="26" t="str">
        <f ca="1">IFERROR(__xludf.DUMMYFUNCTION("""COMPUTED_VALUE"""),"New")</f>
        <v>New</v>
      </c>
      <c r="F3513" s="72">
        <v>59</v>
      </c>
      <c r="G3513" s="72">
        <v>10273</v>
      </c>
      <c r="P3513" s="26"/>
    </row>
    <row r="3514" spans="1:16" ht="14.5">
      <c r="A3514" s="3" t="s">
        <v>255</v>
      </c>
      <c r="B3514" s="12" t="s">
        <v>2867</v>
      </c>
      <c r="C3514" s="46" t="s">
        <v>7443</v>
      </c>
      <c r="D3514" s="41" t="str">
        <f ca="1">IFERROR(__xludf.DUMMYFUNCTION("IFERROR(ARRAYFORMULA(REGEXEXTRACT(C3514,""^(?:https?:\/\/)?(?:[^@\n]+@)?(?:www\.)?([^:\/\n]+)"")),"""")"),"journeyhomeschoolacademy.com")</f>
        <v>journeyhomeschoolacademy.com</v>
      </c>
      <c r="E3514" s="26" t="str">
        <f ca="1">IFERROR(__xludf.DUMMYFUNCTION("""COMPUTED_VALUE"""),"New")</f>
        <v>New</v>
      </c>
      <c r="F3514" s="72">
        <v>28</v>
      </c>
      <c r="G3514" s="72">
        <v>6502</v>
      </c>
      <c r="P3514" s="26"/>
    </row>
    <row r="3515" spans="1:16" ht="14.5">
      <c r="A3515" s="3" t="s">
        <v>255</v>
      </c>
      <c r="B3515" s="12" t="s">
        <v>2867</v>
      </c>
      <c r="C3515" s="46" t="s">
        <v>7444</v>
      </c>
      <c r="D3515" s="41" t="str">
        <f ca="1">IFERROR(__xludf.DUMMYFUNCTION("IFERROR(ARRAYFORMULA(REGEXEXTRACT(C3515,""^(?:https?:\/\/)?(?:[^@\n]+@)?(?:www\.)?([^:\/\n]+)"")),"""")"),"commonsense.org")</f>
        <v>commonsense.org</v>
      </c>
      <c r="E3515" s="26" t="str">
        <f ca="1">IFERROR(__xludf.DUMMYFUNCTION("""COMPUTED_VALUE"""),"New")</f>
        <v>New</v>
      </c>
      <c r="F3515" s="72">
        <v>80</v>
      </c>
      <c r="G3515" s="72">
        <v>153837</v>
      </c>
      <c r="P3515" s="26"/>
    </row>
    <row r="3516" spans="1:16" ht="14.5">
      <c r="A3516" s="3" t="s">
        <v>255</v>
      </c>
      <c r="B3516" s="12" t="s">
        <v>2867</v>
      </c>
      <c r="C3516" s="46" t="s">
        <v>7445</v>
      </c>
      <c r="D3516" s="41" t="str">
        <f ca="1">IFERROR(__xludf.DUMMYFUNCTION("IFERROR(ARRAYFORMULA(REGEXEXTRACT(C3516,""^(?:https?:\/\/)?(?:[^@\n]+@)?(?:www\.)?([^:\/\n]+)"")),"""")"),"collegetransitions.com")</f>
        <v>collegetransitions.com</v>
      </c>
      <c r="E3516" s="26" t="str">
        <f ca="1">IFERROR(__xludf.DUMMYFUNCTION("""COMPUTED_VALUE"""),"New")</f>
        <v>New</v>
      </c>
      <c r="F3516" s="72">
        <v>61</v>
      </c>
      <c r="G3516" s="72">
        <v>231859</v>
      </c>
      <c r="P3516" s="26"/>
    </row>
    <row r="3517" spans="1:16" ht="14.5">
      <c r="A3517" s="3" t="s">
        <v>255</v>
      </c>
      <c r="B3517" s="12" t="s">
        <v>2867</v>
      </c>
      <c r="C3517" s="46" t="s">
        <v>7446</v>
      </c>
      <c r="D3517" s="41" t="str">
        <f ca="1">IFERROR(__xludf.DUMMYFUNCTION("IFERROR(ARRAYFORMULA(REGEXEXTRACT(C3517,""^(?:https?:\/\/)?(?:[^@\n]+@)?(?:www\.)?([^:\/\n]+)"")),"""")"),"freedomhomeschooling.com")</f>
        <v>freedomhomeschooling.com</v>
      </c>
      <c r="E3517" s="26" t="str">
        <f ca="1">IFERROR(__xludf.DUMMYFUNCTION("""COMPUTED_VALUE"""),"New")</f>
        <v>New</v>
      </c>
      <c r="F3517" s="72">
        <v>44</v>
      </c>
      <c r="G3517" s="72">
        <v>15696</v>
      </c>
      <c r="P3517" s="26"/>
    </row>
    <row r="3518" spans="1:16" ht="14.5">
      <c r="A3518" s="3" t="s">
        <v>255</v>
      </c>
      <c r="B3518" s="12" t="s">
        <v>2867</v>
      </c>
      <c r="C3518" s="46" t="s">
        <v>7447</v>
      </c>
      <c r="D3518" s="41" t="str">
        <f ca="1">IFERROR(__xludf.DUMMYFUNCTION("IFERROR(ARRAYFORMULA(REGEXEXTRACT(C3518,""^(?:https?:\/\/)?(?:[^@\n]+@)?(?:www\.)?([^:\/\n]+)"")),"""")"),"next.cc")</f>
        <v>next.cc</v>
      </c>
      <c r="E3518" s="26" t="str">
        <f ca="1">IFERROR(__xludf.DUMMYFUNCTION("""COMPUTED_VALUE"""),"New")</f>
        <v>New</v>
      </c>
      <c r="F3518" s="72">
        <v>27</v>
      </c>
      <c r="G3518" s="72">
        <v>1083</v>
      </c>
      <c r="P3518" s="26"/>
    </row>
    <row r="3519" spans="1:16" ht="14.5">
      <c r="A3519" s="3" t="s">
        <v>255</v>
      </c>
      <c r="B3519" s="12" t="s">
        <v>2867</v>
      </c>
      <c r="C3519" s="46" t="s">
        <v>7448</v>
      </c>
      <c r="D3519" s="41" t="str">
        <f ca="1">IFERROR(__xludf.DUMMYFUNCTION("IFERROR(ARRAYFORMULA(REGEXEXTRACT(C3519,""^(?:https?:\/\/)?(?:[^@\n]+@)?(?:www\.)?([^:\/\n]+)"")),"""")"),"eclipse.montana.edu")</f>
        <v>eclipse.montana.edu</v>
      </c>
      <c r="E3519" s="26" t="str">
        <f ca="1">IFERROR(__xludf.DUMMYFUNCTION("""COMPUTED_VALUE"""),"New")</f>
        <v>New</v>
      </c>
      <c r="F3519" s="72">
        <v>82</v>
      </c>
      <c r="G3519" s="72">
        <v>200014</v>
      </c>
      <c r="P3519" s="26"/>
    </row>
    <row r="3520" spans="1:16" ht="14.5">
      <c r="A3520" s="3" t="s">
        <v>255</v>
      </c>
      <c r="B3520" s="12" t="s">
        <v>2867</v>
      </c>
      <c r="C3520" s="46" t="s">
        <v>7449</v>
      </c>
      <c r="D3520" s="41" t="str">
        <f ca="1">IFERROR(__xludf.DUMMYFUNCTION("IFERROR(ARRAYFORMULA(REGEXEXTRACT(C3520,""^(?:https?:\/\/)?(?:[^@\n]+@)?(?:www\.)?([^:\/\n]+)"")),"""")"),"soinc.org")</f>
        <v>soinc.org</v>
      </c>
      <c r="E3520" s="26" t="str">
        <f ca="1">IFERROR(__xludf.DUMMYFUNCTION("""COMPUTED_VALUE"""),"New")</f>
        <v>New</v>
      </c>
      <c r="F3520" s="72">
        <v>69</v>
      </c>
      <c r="G3520" s="72">
        <v>22220</v>
      </c>
      <c r="P3520" s="26"/>
    </row>
    <row r="3521" spans="1:28" ht="14.5">
      <c r="A3521" s="3" t="s">
        <v>255</v>
      </c>
      <c r="B3521" s="12" t="s">
        <v>2867</v>
      </c>
      <c r="C3521" s="46" t="s">
        <v>7450</v>
      </c>
      <c r="D3521" s="41" t="str">
        <f ca="1">IFERROR(__xludf.DUMMYFUNCTION("IFERROR(ARRAYFORMULA(REGEXEXTRACT(C3521,""^(?:https?:\/\/)?(?:[^@\n]+@)?(?:www\.)?([^:\/\n]+)"")),"""")"),"lgcypower.com")</f>
        <v>lgcypower.com</v>
      </c>
      <c r="E3521" s="26" t="str">
        <f ca="1">IFERROR(__xludf.DUMMYFUNCTION("""COMPUTED_VALUE"""),"New")</f>
        <v>New</v>
      </c>
      <c r="F3521" s="72">
        <v>37</v>
      </c>
      <c r="G3521" s="72">
        <v>5113</v>
      </c>
      <c r="P3521" s="26"/>
    </row>
    <row r="3522" spans="1:28" ht="14.5">
      <c r="A3522" s="12" t="s">
        <v>255</v>
      </c>
      <c r="B3522" s="12" t="s">
        <v>2867</v>
      </c>
      <c r="C3522" s="67" t="s">
        <v>7451</v>
      </c>
      <c r="D3522" s="68" t="str">
        <f ca="1">IFERROR(__xludf.DUMMYFUNCTION("IFERROR(ARRAYFORMULA(REGEXEXTRACT(C3522,""^(?:https?:\/\/)?(?:[^@\n]+@)?(?:www\.)?([^:\/\n]+)"")),"""")"),"steampoweredfamily.com")</f>
        <v>steampoweredfamily.com</v>
      </c>
      <c r="E3522" s="39" t="str">
        <f ca="1">IFERROR(__xludf.DUMMYFUNCTION("""COMPUTED_VALUE"""),"New")</f>
        <v>New</v>
      </c>
      <c r="F3522" s="78">
        <v>62</v>
      </c>
      <c r="G3522" s="78">
        <v>13750</v>
      </c>
      <c r="H3522" s="39"/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  <c r="AA3522" s="39"/>
      <c r="AB3522" s="39"/>
    </row>
    <row r="3523" spans="1:28" ht="14.5">
      <c r="A3523" s="3" t="s">
        <v>255</v>
      </c>
      <c r="B3523" s="12" t="s">
        <v>2867</v>
      </c>
      <c r="C3523" s="46" t="s">
        <v>7452</v>
      </c>
      <c r="D3523" s="41" t="str">
        <f ca="1">IFERROR(__xludf.DUMMYFUNCTION("IFERROR(ARRAYFORMULA(REGEXEXTRACT(C3523,""^(?:https?:\/\/)?(?:[^@\n]+@)?(?:www\.)?([^:\/\n]+)"")),"""")"),"create-learn.us")</f>
        <v>create-learn.us</v>
      </c>
      <c r="E3523" s="26" t="str">
        <f ca="1">IFERROR(__xludf.DUMMYFUNCTION("""COMPUTED_VALUE"""),"New")</f>
        <v>New</v>
      </c>
      <c r="F3523" s="72">
        <v>56</v>
      </c>
      <c r="G3523" s="72">
        <v>29800</v>
      </c>
      <c r="P3523" s="26"/>
    </row>
    <row r="3524" spans="1:28" ht="14.5">
      <c r="A3524" s="3" t="s">
        <v>255</v>
      </c>
      <c r="B3524" s="12" t="s">
        <v>2867</v>
      </c>
      <c r="C3524" s="46" t="s">
        <v>7453</v>
      </c>
      <c r="D3524" s="41" t="str">
        <f ca="1">IFERROR(__xludf.DUMMYFUNCTION("IFERROR(ARRAYFORMULA(REGEXEXTRACT(C3524,""^(?:https?:\/\/)?(?:[^@\n]+@)?(?:www\.)?([^:\/\n]+)"")),"""")"),"themuddypuddleteacher.co.uk")</f>
        <v>themuddypuddleteacher.co.uk</v>
      </c>
      <c r="E3524" s="26" t="str">
        <f ca="1">IFERROR(__xludf.DUMMYFUNCTION("""COMPUTED_VALUE"""),"New")</f>
        <v>New</v>
      </c>
      <c r="F3524" s="72">
        <v>28</v>
      </c>
      <c r="G3524" s="72">
        <v>1378</v>
      </c>
      <c r="P3524" s="26"/>
    </row>
    <row r="3525" spans="1:28" ht="14.5">
      <c r="A3525" s="3" t="s">
        <v>255</v>
      </c>
      <c r="B3525" s="12" t="s">
        <v>2867</v>
      </c>
      <c r="C3525" s="46" t="s">
        <v>7454</v>
      </c>
      <c r="D3525" s="41" t="str">
        <f ca="1">IFERROR(__xludf.DUMMYFUNCTION("IFERROR(ARRAYFORMULA(REGEXEXTRACT(C3525,""^(?:https?:\/\/)?(?:[^@\n]+@)?(?:www\.)?([^:\/\n]+)"")),"""")"),"allinonehomeschool.com")</f>
        <v>allinonehomeschool.com</v>
      </c>
      <c r="E3525" s="26" t="str">
        <f ca="1">IFERROR(__xludf.DUMMYFUNCTION("""COMPUTED_VALUE"""),"New")</f>
        <v>New</v>
      </c>
      <c r="F3525" s="72">
        <v>59</v>
      </c>
      <c r="G3525" s="72">
        <v>79893</v>
      </c>
      <c r="P3525" s="26"/>
    </row>
    <row r="3526" spans="1:28" ht="14.5">
      <c r="A3526" s="3" t="s">
        <v>255</v>
      </c>
      <c r="B3526" s="12" t="s">
        <v>2867</v>
      </c>
      <c r="C3526" s="46" t="s">
        <v>7455</v>
      </c>
      <c r="D3526" s="41" t="str">
        <f ca="1">IFERROR(__xludf.DUMMYFUNCTION("IFERROR(ARRAYFORMULA(REGEXEXTRACT(C3526,""^(?:https?:\/\/)?(?:[^@\n]+@)?(?:www\.)?([^:\/\n]+)"")),"""")"),"artsintegration.com")</f>
        <v>artsintegration.com</v>
      </c>
      <c r="E3526" s="26" t="str">
        <f ca="1">IFERROR(__xludf.DUMMYFUNCTION("""COMPUTED_VALUE"""),"New")</f>
        <v>New</v>
      </c>
      <c r="F3526" s="72">
        <v>60</v>
      </c>
      <c r="G3526" s="72">
        <v>17824</v>
      </c>
      <c r="P3526" s="26"/>
    </row>
    <row r="3527" spans="1:28" ht="14.5">
      <c r="A3527" s="3" t="s">
        <v>255</v>
      </c>
      <c r="B3527" s="12" t="s">
        <v>2867</v>
      </c>
      <c r="C3527" s="46" t="s">
        <v>7456</v>
      </c>
      <c r="D3527" s="41" t="str">
        <f ca="1">IFERROR(__xludf.DUMMYFUNCTION("IFERROR(ARRAYFORMULA(REGEXEXTRACT(C3527,""^(?:https?:\/\/)?(?:[^@\n]+@)?(?:www\.)?([^:\/\n]+)"")),"""")"),"lumiere-education.com")</f>
        <v>lumiere-education.com</v>
      </c>
      <c r="E3527" s="26" t="str">
        <f ca="1">IFERROR(__xludf.DUMMYFUNCTION("""COMPUTED_VALUE"""),"New")</f>
        <v>New</v>
      </c>
      <c r="F3527" s="72">
        <v>48</v>
      </c>
      <c r="G3527" s="72">
        <v>44873</v>
      </c>
      <c r="P3527" s="26"/>
    </row>
    <row r="3528" spans="1:28" ht="14.5">
      <c r="A3528" s="3" t="s">
        <v>255</v>
      </c>
      <c r="B3528" s="12" t="s">
        <v>2867</v>
      </c>
      <c r="C3528" s="49" t="s">
        <v>7457</v>
      </c>
      <c r="D3528" s="41" t="str">
        <f ca="1">IFERROR(__xludf.DUMMYFUNCTION("IFERROR(ARRAYFORMULA(REGEXEXTRACT(C3528,""^(?:https?:\/\/)?(?:[^@\n]+@)?(?:www\.)?([^:\/\n]+)"")),"""")"),"rooflife-oregon.com")</f>
        <v>rooflife-oregon.com</v>
      </c>
      <c r="E3528" s="26" t="str">
        <f ca="1">IFERROR(__xludf.DUMMYFUNCTION("""COMPUTED_VALUE"""),"New")</f>
        <v>New</v>
      </c>
      <c r="F3528" s="72">
        <v>25</v>
      </c>
      <c r="G3528" s="72">
        <v>2479</v>
      </c>
      <c r="H3528" s="27" t="s">
        <v>7458</v>
      </c>
      <c r="I3528" s="27" t="s">
        <v>7459</v>
      </c>
      <c r="J3528" s="27" t="s">
        <v>7460</v>
      </c>
      <c r="K3528" s="27" t="s">
        <v>3844</v>
      </c>
      <c r="L3528" s="112"/>
      <c r="M3528" s="27" t="s">
        <v>7390</v>
      </c>
      <c r="N3528" s="48">
        <v>46084</v>
      </c>
      <c r="P3528" s="26"/>
    </row>
    <row r="3529" spans="1:28" ht="14.5">
      <c r="A3529" s="3" t="s">
        <v>255</v>
      </c>
      <c r="B3529" s="12" t="s">
        <v>2867</v>
      </c>
      <c r="C3529" s="46" t="s">
        <v>7461</v>
      </c>
      <c r="D3529" s="41" t="str">
        <f ca="1">IFERROR(__xludf.DUMMYFUNCTION("IFERROR(ARRAYFORMULA(REGEXEXTRACT(C3529,""^(?:https?:\/\/)?(?:[^@\n]+@)?(?:www\.)?([^:\/\n]+)"")),"""")"),"sciencing.com")</f>
        <v>sciencing.com</v>
      </c>
      <c r="E3529" s="26" t="str">
        <f ca="1">IFERROR(__xludf.DUMMYFUNCTION("""COMPUTED_VALUE"""),"New")</f>
        <v>New</v>
      </c>
      <c r="F3529" s="72">
        <v>79</v>
      </c>
      <c r="G3529" s="72">
        <v>91448</v>
      </c>
      <c r="P3529" s="26"/>
    </row>
    <row r="3530" spans="1:28" ht="14.5">
      <c r="A3530" s="3" t="s">
        <v>255</v>
      </c>
      <c r="B3530" s="12" t="s">
        <v>2867</v>
      </c>
      <c r="C3530" s="46" t="s">
        <v>7462</v>
      </c>
      <c r="D3530" s="41" t="str">
        <f ca="1">IFERROR(__xludf.DUMMYFUNCTION("IFERROR(ARRAYFORMULA(REGEXEXTRACT(C3530,""^(?:https?:\/\/)?(?:[^@\n]+@)?(?:www\.)?([^:\/\n]+)"")),"""")"),"sciencejournalforkids.org")</f>
        <v>sciencejournalforkids.org</v>
      </c>
      <c r="E3530" s="26" t="str">
        <f ca="1">IFERROR(__xludf.DUMMYFUNCTION("""COMPUTED_VALUE"""),"New")</f>
        <v>New</v>
      </c>
      <c r="F3530" s="72">
        <v>60</v>
      </c>
      <c r="G3530" s="72">
        <v>7811</v>
      </c>
      <c r="P3530" s="26"/>
    </row>
    <row r="3531" spans="1:28" ht="14.5">
      <c r="A3531" s="3" t="s">
        <v>255</v>
      </c>
      <c r="B3531" s="12" t="s">
        <v>2867</v>
      </c>
      <c r="C3531" s="46" t="s">
        <v>7463</v>
      </c>
      <c r="D3531" s="41" t="str">
        <f ca="1">IFERROR(__xludf.DUMMYFUNCTION("IFERROR(ARRAYFORMULA(REGEXEXTRACT(C3531,""^(?:https?:\/\/)?(?:[^@\n]+@)?(?:www\.)?([^:\/\n]+)"")),"""")"),"scouts.ca")</f>
        <v>scouts.ca</v>
      </c>
      <c r="E3531" s="26" t="str">
        <f ca="1">IFERROR(__xludf.DUMMYFUNCTION("""COMPUTED_VALUE"""),"New")</f>
        <v>New</v>
      </c>
      <c r="F3531" s="72">
        <v>71</v>
      </c>
      <c r="G3531" s="72">
        <v>8942</v>
      </c>
      <c r="P3531" s="26"/>
    </row>
    <row r="3532" spans="1:28" ht="14.5">
      <c r="A3532" s="3" t="s">
        <v>255</v>
      </c>
      <c r="B3532" s="12" t="s">
        <v>2867</v>
      </c>
      <c r="C3532" s="46" t="s">
        <v>7464</v>
      </c>
      <c r="D3532" s="41" t="str">
        <f ca="1">IFERROR(__xludf.DUMMYFUNCTION("IFERROR(ARRAYFORMULA(REGEXEXTRACT(C3532,""^(?:https?:\/\/)?(?:[^@\n]+@)?(?:www\.)?([^:\/\n]+)"")),"""")"),"engineeringonline.ucr.edu")</f>
        <v>engineeringonline.ucr.edu</v>
      </c>
      <c r="E3532" s="26" t="str">
        <f ca="1">IFERROR(__xludf.DUMMYFUNCTION("""COMPUTED_VALUE"""),"New")</f>
        <v>New</v>
      </c>
      <c r="F3532" s="72">
        <v>85</v>
      </c>
      <c r="G3532" s="72">
        <v>269825</v>
      </c>
      <c r="P3532" s="26"/>
    </row>
    <row r="3533" spans="1:28" ht="14.5">
      <c r="A3533" s="3" t="s">
        <v>255</v>
      </c>
      <c r="B3533" s="12" t="s">
        <v>2867</v>
      </c>
      <c r="C3533" s="46" t="s">
        <v>7465</v>
      </c>
      <c r="D3533" s="41" t="str">
        <f ca="1">IFERROR(__xludf.DUMMYFUNCTION("IFERROR(ARRAYFORMULA(REGEXEXTRACT(C3533,""^(?:https?:\/\/)?(?:[^@\n]+@)?(?:www\.)?([^:\/\n]+)"")),"""")"),"everfi.com")</f>
        <v>everfi.com</v>
      </c>
      <c r="E3533" s="26" t="str">
        <f ca="1">IFERROR(__xludf.DUMMYFUNCTION("""COMPUTED_VALUE"""),"New")</f>
        <v>New</v>
      </c>
      <c r="F3533" s="72">
        <v>75</v>
      </c>
      <c r="G3533" s="72">
        <v>357836</v>
      </c>
      <c r="P3533" s="26"/>
    </row>
    <row r="3534" spans="1:28" ht="14.5">
      <c r="A3534" s="3" t="s">
        <v>255</v>
      </c>
      <c r="B3534" s="12" t="s">
        <v>2867</v>
      </c>
      <c r="C3534" s="46" t="s">
        <v>7466</v>
      </c>
      <c r="D3534" s="41" t="str">
        <f ca="1">IFERROR(__xludf.DUMMYFUNCTION("IFERROR(ARRAYFORMULA(REGEXEXTRACT(C3534,""^(?:https?:\/\/)?(?:[^@\n]+@)?(?:www\.)?([^:\/\n]+)"")),"""")"),"itlp.colorado.edu")</f>
        <v>itlp.colorado.edu</v>
      </c>
      <c r="E3534" s="26" t="str">
        <f ca="1">IFERROR(__xludf.DUMMYFUNCTION("""COMPUTED_VALUE"""),"New")</f>
        <v>New</v>
      </c>
      <c r="F3534" s="72">
        <v>89</v>
      </c>
      <c r="G3534" s="72">
        <v>1246726</v>
      </c>
      <c r="P3534" s="26"/>
    </row>
    <row r="3535" spans="1:28" ht="14.5">
      <c r="A3535" s="3" t="s">
        <v>255</v>
      </c>
      <c r="B3535" s="12" t="s">
        <v>2867</v>
      </c>
      <c r="C3535" s="46" t="s">
        <v>7467</v>
      </c>
      <c r="D3535" s="41" t="str">
        <f ca="1">IFERROR(__xludf.DUMMYFUNCTION("IFERROR(ARRAYFORMULA(REGEXEXTRACT(C3535,""^(?:https?:\/\/)?(?:[^@\n]+@)?(?:www\.)?([^:\/\n]+)"")),"""")"),"sciencetrek.org")</f>
        <v>sciencetrek.org</v>
      </c>
      <c r="E3535" s="26" t="str">
        <f ca="1">IFERROR(__xludf.DUMMYFUNCTION("""COMPUTED_VALUE"""),"New")</f>
        <v>New</v>
      </c>
      <c r="F3535" s="72">
        <v>42</v>
      </c>
      <c r="G3535" s="72">
        <v>26650</v>
      </c>
      <c r="P3535" s="26"/>
    </row>
    <row r="3536" spans="1:28" ht="14.5">
      <c r="A3536" s="3" t="s">
        <v>255</v>
      </c>
      <c r="B3536" s="12" t="s">
        <v>2867</v>
      </c>
      <c r="C3536" s="46" t="s">
        <v>7468</v>
      </c>
      <c r="D3536" s="41" t="str">
        <f ca="1">IFERROR(__xludf.DUMMYFUNCTION("IFERROR(ARRAYFORMULA(REGEXEXTRACT(C3536,""^(?:https?:\/\/)?(?:[^@\n]+@)?(?:www\.)?([^:\/\n]+)"")),"""")"),"cde.ca.gov")</f>
        <v>cde.ca.gov</v>
      </c>
      <c r="E3536" s="26" t="str">
        <f ca="1">IFERROR(__xludf.DUMMYFUNCTION("""COMPUTED_VALUE"""),"New")</f>
        <v>New</v>
      </c>
      <c r="F3536" s="72">
        <v>93</v>
      </c>
      <c r="G3536" s="72">
        <v>15997313</v>
      </c>
      <c r="P3536" s="26"/>
    </row>
    <row r="3537" spans="1:16" ht="14.5">
      <c r="A3537" s="3" t="s">
        <v>255</v>
      </c>
      <c r="B3537" s="12" t="s">
        <v>2867</v>
      </c>
      <c r="C3537" s="46" t="s">
        <v>7469</v>
      </c>
      <c r="D3537" s="41" t="str">
        <f ca="1">IFERROR(__xludf.DUMMYFUNCTION("IFERROR(ARRAYFORMULA(REGEXEXTRACT(C3537,""^(?:https?:\/\/)?(?:[^@\n]+@)?(?:www\.)?([^:\/\n]+)"")),"""")"),"edutopia.org")</f>
        <v>edutopia.org</v>
      </c>
      <c r="E3537" s="26" t="str">
        <f ca="1">IFERROR(__xludf.DUMMYFUNCTION("""COMPUTED_VALUE"""),"New")</f>
        <v>New</v>
      </c>
      <c r="F3537" s="72">
        <v>84</v>
      </c>
      <c r="G3537" s="72">
        <v>228409</v>
      </c>
      <c r="P3537" s="26"/>
    </row>
    <row r="3538" spans="1:16" ht="14.5">
      <c r="A3538" s="3" t="s">
        <v>255</v>
      </c>
      <c r="B3538" s="12" t="s">
        <v>2867</v>
      </c>
      <c r="C3538" s="46" t="s">
        <v>7470</v>
      </c>
      <c r="D3538" s="41" t="str">
        <f ca="1">IFERROR(__xludf.DUMMYFUNCTION("IFERROR(ARRAYFORMULA(REGEXEXTRACT(C3538,""^(?:https?:\/\/)?(?:[^@\n]+@)?(?:www\.)?([^:\/\n]+)"")),"""")"),"calacademy.org")</f>
        <v>calacademy.org</v>
      </c>
      <c r="E3538" s="26" t="str">
        <f ca="1">IFERROR(__xludf.DUMMYFUNCTION("""COMPUTED_VALUE"""),"New")</f>
        <v>New</v>
      </c>
      <c r="F3538" s="72">
        <v>79</v>
      </c>
      <c r="G3538" s="72">
        <v>181342</v>
      </c>
      <c r="P3538" s="26"/>
    </row>
    <row r="3539" spans="1:16" ht="14.5">
      <c r="A3539" s="3" t="s">
        <v>255</v>
      </c>
      <c r="B3539" s="12" t="s">
        <v>2867</v>
      </c>
      <c r="C3539" s="46" t="s">
        <v>7471</v>
      </c>
      <c r="D3539" s="41" t="str">
        <f ca="1">IFERROR(__xludf.DUMMYFUNCTION("IFERROR(ARRAYFORMULA(REGEXEXTRACT(C3539,""^(?:https?:\/\/)?(?:[^@\n]+@)?(?:www\.)?([^:\/\n]+)"")),"""")"),"solarguyspro.com")</f>
        <v>solarguyspro.com</v>
      </c>
      <c r="E3539" s="26" t="str">
        <f ca="1">IFERROR(__xludf.DUMMYFUNCTION("""COMPUTED_VALUE"""),"New")</f>
        <v>New</v>
      </c>
      <c r="F3539" s="72">
        <v>27</v>
      </c>
      <c r="G3539" s="72">
        <v>1249</v>
      </c>
      <c r="P3539" s="26"/>
    </row>
    <row r="3540" spans="1:16" ht="14.5">
      <c r="A3540" s="3" t="s">
        <v>255</v>
      </c>
      <c r="B3540" s="12" t="s">
        <v>2867</v>
      </c>
      <c r="C3540" s="46" t="s">
        <v>7472</v>
      </c>
      <c r="D3540" s="41" t="str">
        <f ca="1">IFERROR(__xludf.DUMMYFUNCTION("IFERROR(ARRAYFORMULA(REGEXEXTRACT(C3540,""^(?:https?:\/\/)?(?:[^@\n]+@)?(?:www\.)?([^:\/\n]+)"")),"""")"),"resilienteducator.com")</f>
        <v>resilienteducator.com</v>
      </c>
      <c r="E3540" s="26" t="str">
        <f ca="1">IFERROR(__xludf.DUMMYFUNCTION("""COMPUTED_VALUE"""),"New")</f>
        <v>New</v>
      </c>
      <c r="F3540" s="72">
        <v>62</v>
      </c>
      <c r="G3540" s="72">
        <v>6965</v>
      </c>
      <c r="P3540" s="26"/>
    </row>
    <row r="3541" spans="1:16" ht="14.5">
      <c r="A3541" s="3" t="s">
        <v>255</v>
      </c>
      <c r="B3541" s="12" t="s">
        <v>2867</v>
      </c>
      <c r="C3541" s="46" t="s">
        <v>7473</v>
      </c>
      <c r="D3541" s="41" t="str">
        <f ca="1">IFERROR(__xludf.DUMMYFUNCTION("IFERROR(ARRAYFORMULA(REGEXEXTRACT(C3541,""^(?:https?:\/\/)?(?:[^@\n]+@)?(?:www\.)?([^:\/\n]+)"")),"""")"),"njalternateroute.rutgers.edu")</f>
        <v>njalternateroute.rutgers.edu</v>
      </c>
      <c r="E3541" s="26" t="str">
        <f ca="1">IFERROR(__xludf.DUMMYFUNCTION("""COMPUTED_VALUE"""),"New")</f>
        <v>New</v>
      </c>
      <c r="F3541" s="72">
        <v>90</v>
      </c>
      <c r="G3541" s="72">
        <v>963432</v>
      </c>
      <c r="P3541" s="26"/>
    </row>
    <row r="3542" spans="1:16" ht="14.5">
      <c r="A3542" s="3" t="s">
        <v>255</v>
      </c>
      <c r="B3542" s="12" t="s">
        <v>2867</v>
      </c>
      <c r="C3542" s="46" t="s">
        <v>7474</v>
      </c>
      <c r="D3542" s="41" t="str">
        <f ca="1">IFERROR(__xludf.DUMMYFUNCTION("IFERROR(ARRAYFORMULA(REGEXEXTRACT(C3542,""^(?:https?:\/\/)?(?:[^@\n]+@)?(?:www\.)?([^:\/\n]+)"")),"""")"),"blog.definedlearning.com")</f>
        <v>blog.definedlearning.com</v>
      </c>
      <c r="E3542" s="26" t="str">
        <f ca="1">IFERROR(__xludf.DUMMYFUNCTION("""COMPUTED_VALUE"""),"New")</f>
        <v>New</v>
      </c>
      <c r="F3542" s="72">
        <v>51</v>
      </c>
      <c r="G3542" s="72">
        <v>10890</v>
      </c>
      <c r="P3542" s="26"/>
    </row>
    <row r="3543" spans="1:16" ht="14.5">
      <c r="A3543" s="3" t="s">
        <v>255</v>
      </c>
      <c r="B3543" s="12" t="s">
        <v>2867</v>
      </c>
      <c r="C3543" s="46" t="s">
        <v>7475</v>
      </c>
      <c r="D3543" s="41" t="str">
        <f ca="1">IFERROR(__xludf.DUMMYFUNCTION("IFERROR(ARRAYFORMULA(REGEXEXTRACT(C3543,""^(?:https?:\/\/)?(?:[^@\n]+@)?(?:www\.)?([^:\/\n]+)"")),"""")"),"shpe.org")</f>
        <v>shpe.org</v>
      </c>
      <c r="E3543" s="26" t="str">
        <f ca="1">IFERROR(__xludf.DUMMYFUNCTION("""COMPUTED_VALUE"""),"New")</f>
        <v>New</v>
      </c>
      <c r="F3543" s="72">
        <v>71</v>
      </c>
      <c r="G3543" s="72">
        <v>3389</v>
      </c>
      <c r="P3543" s="26"/>
    </row>
    <row r="3544" spans="1:16" ht="14.5">
      <c r="A3544" s="3" t="s">
        <v>255</v>
      </c>
      <c r="B3544" s="12" t="s">
        <v>2867</v>
      </c>
      <c r="C3544" s="46" t="s">
        <v>7476</v>
      </c>
      <c r="D3544" s="41" t="str">
        <f ca="1">IFERROR(__xludf.DUMMYFUNCTION("IFERROR(ARRAYFORMULA(REGEXEXTRACT(C3544,""^(?:https?:\/\/)?(?:[^@\n]+@)?(?:www\.)?([^:\/\n]+)"")),"""")"),"kyscience.org")</f>
        <v>kyscience.org</v>
      </c>
      <c r="E3544" s="26" t="str">
        <f ca="1">IFERROR(__xludf.DUMMYFUNCTION("""COMPUTED_VALUE"""),"New")</f>
        <v>New</v>
      </c>
      <c r="F3544" s="72">
        <v>28</v>
      </c>
      <c r="G3544" s="72">
        <v>1221</v>
      </c>
      <c r="P3544" s="26"/>
    </row>
    <row r="3545" spans="1:16" ht="14.5">
      <c r="A3545" s="3" t="s">
        <v>255</v>
      </c>
      <c r="B3545" s="12" t="s">
        <v>2867</v>
      </c>
      <c r="C3545" s="46" t="s">
        <v>7477</v>
      </c>
      <c r="D3545" s="41" t="str">
        <f ca="1">IFERROR(__xludf.DUMMYFUNCTION("IFERROR(ARRAYFORMULA(REGEXEXTRACT(C3545,""^(?:https?:\/\/)?(?:[^@\n]+@)?(?:www\.)?([^:\/\n]+)"")),"""")"),"science-sparks.com")</f>
        <v>science-sparks.com</v>
      </c>
      <c r="E3545" s="26" t="str">
        <f ca="1">IFERROR(__xludf.DUMMYFUNCTION("""COMPUTED_VALUE"""),"New")</f>
        <v>New</v>
      </c>
      <c r="F3545" s="72">
        <v>65</v>
      </c>
      <c r="G3545" s="72">
        <v>30121</v>
      </c>
      <c r="H3545" s="39"/>
      <c r="P3545" s="26"/>
    </row>
    <row r="3546" spans="1:16" ht="14.5">
      <c r="A3546" s="3" t="s">
        <v>255</v>
      </c>
      <c r="B3546" s="12" t="s">
        <v>2867</v>
      </c>
      <c r="C3546" s="46" t="s">
        <v>7478</v>
      </c>
      <c r="D3546" s="41" t="str">
        <f ca="1">IFERROR(__xludf.DUMMYFUNCTION("IFERROR(ARRAYFORMULA(REGEXEXTRACT(C3546,""^(?:https?:\/\/)?(?:[^@\n]+@)?(?:www\.)?([^:\/\n]+)"")),"""")"),"blog.alliancegator.com")</f>
        <v>blog.alliancegator.com</v>
      </c>
      <c r="E3546" s="26" t="str">
        <f ca="1">IFERROR(__xludf.DUMMYFUNCTION("""COMPUTED_VALUE"""),"New")</f>
        <v>New</v>
      </c>
      <c r="F3546" s="72">
        <v>61</v>
      </c>
      <c r="G3546" s="72">
        <v>4494</v>
      </c>
      <c r="P3546" s="26"/>
    </row>
    <row r="3547" spans="1:16" ht="14.5">
      <c r="A3547" s="3" t="s">
        <v>255</v>
      </c>
      <c r="B3547" s="12" t="s">
        <v>2867</v>
      </c>
      <c r="C3547" s="46" t="s">
        <v>7479</v>
      </c>
      <c r="D3547" s="41" t="str">
        <f ca="1">IFERROR(__xludf.DUMMYFUNCTION("IFERROR(ARRAYFORMULA(REGEXEXTRACT(C3547,""^(?:https?:\/\/)?(?:[^@\n]+@)?(?:www\.)?([^:\/\n]+)"")),"""")"),"lovetoknow.com")</f>
        <v>lovetoknow.com</v>
      </c>
      <c r="E3547" s="26" t="str">
        <f ca="1">IFERROR(__xludf.DUMMYFUNCTION("""COMPUTED_VALUE"""),"New")</f>
        <v>New</v>
      </c>
      <c r="F3547" s="72">
        <v>80</v>
      </c>
      <c r="G3547" s="72">
        <v>600799</v>
      </c>
      <c r="P3547" s="26"/>
    </row>
    <row r="3548" spans="1:16" ht="14.5">
      <c r="A3548" s="3" t="s">
        <v>255</v>
      </c>
      <c r="B3548" s="12" t="s">
        <v>2867</v>
      </c>
      <c r="C3548" s="46" t="s">
        <v>7480</v>
      </c>
      <c r="D3548" s="41" t="str">
        <f ca="1">IFERROR(__xludf.DUMMYFUNCTION("IFERROR(ARRAYFORMULA(REGEXEXTRACT(C3548,""^(?:https?:\/\/)?(?:[^@\n]+@)?(?:www\.)?([^:\/\n]+)"")),"""")"),"schooloutfitters.com")</f>
        <v>schooloutfitters.com</v>
      </c>
      <c r="E3548" s="26" t="str">
        <f ca="1">IFERROR(__xludf.DUMMYFUNCTION("""COMPUTED_VALUE"""),"New")</f>
        <v>New</v>
      </c>
      <c r="F3548" s="72">
        <v>47</v>
      </c>
      <c r="G3548" s="72">
        <v>31152</v>
      </c>
      <c r="P3548" s="26"/>
    </row>
    <row r="3549" spans="1:16" ht="14.5">
      <c r="A3549" s="3" t="s">
        <v>255</v>
      </c>
      <c r="B3549" s="12" t="s">
        <v>2867</v>
      </c>
      <c r="C3549" s="46" t="s">
        <v>7481</v>
      </c>
      <c r="D3549" s="41" t="str">
        <f ca="1">IFERROR(__xludf.DUMMYFUNCTION("IFERROR(ARRAYFORMULA(REGEXEXTRACT(C3549,""^(?:https?:\/\/)?(?:[^@\n]+@)?(?:www\.)?([^:\/\n]+)"")),"""")"),"educationcorner.com")</f>
        <v>educationcorner.com</v>
      </c>
      <c r="E3549" s="26" t="str">
        <f ca="1">IFERROR(__xludf.DUMMYFUNCTION("""COMPUTED_VALUE"""),"New")</f>
        <v>New</v>
      </c>
      <c r="F3549" s="72">
        <v>71</v>
      </c>
      <c r="G3549" s="72">
        <v>10786</v>
      </c>
      <c r="P3549" s="26"/>
    </row>
    <row r="3550" spans="1:16" ht="14.5">
      <c r="A3550" s="3" t="s">
        <v>255</v>
      </c>
      <c r="B3550" s="12" t="s">
        <v>2867</v>
      </c>
      <c r="C3550" s="46" t="s">
        <v>7482</v>
      </c>
      <c r="D3550" s="41" t="str">
        <f ca="1">IFERROR(__xludf.DUMMYFUNCTION("IFERROR(ARRAYFORMULA(REGEXEXTRACT(C3550,""^(?:https?:\/\/)?(?:[^@\n]+@)?(?:www\.)?([^:\/\n]+)"")),"""")"),"coolscience.org")</f>
        <v>coolscience.org</v>
      </c>
      <c r="E3550" s="26" t="str">
        <f ca="1">IFERROR(__xludf.DUMMYFUNCTION("""COMPUTED_VALUE"""),"New")</f>
        <v>New</v>
      </c>
      <c r="F3550" s="72">
        <v>33</v>
      </c>
      <c r="G3550" s="72">
        <v>1168</v>
      </c>
      <c r="P3550" s="26"/>
    </row>
    <row r="3551" spans="1:16" ht="14.5">
      <c r="A3551" s="3" t="s">
        <v>255</v>
      </c>
      <c r="B3551" s="12" t="s">
        <v>2867</v>
      </c>
      <c r="C3551" s="46" t="s">
        <v>7483</v>
      </c>
      <c r="D3551" s="41" t="str">
        <f ca="1">IFERROR(__xludf.DUMMYFUNCTION("IFERROR(ARRAYFORMULA(REGEXEXTRACT(C3551,""^(?:https?:\/\/)?(?:[^@\n]+@)?(?:www\.)?([^:\/\n]+)"")),"""")"),"designnews.com")</f>
        <v>designnews.com</v>
      </c>
      <c r="E3551" s="26" t="str">
        <f ca="1">IFERROR(__xludf.DUMMYFUNCTION("""COMPUTED_VALUE"""),"New")</f>
        <v>New</v>
      </c>
      <c r="F3551" s="72">
        <v>75</v>
      </c>
      <c r="G3551" s="72">
        <v>20365</v>
      </c>
      <c r="P3551" s="26"/>
    </row>
    <row r="3552" spans="1:16" ht="14.5">
      <c r="A3552" s="3" t="s">
        <v>255</v>
      </c>
      <c r="B3552" s="12" t="s">
        <v>2867</v>
      </c>
      <c r="C3552" s="46" t="s">
        <v>7484</v>
      </c>
      <c r="D3552" s="41" t="str">
        <f ca="1">IFERROR(__xludf.DUMMYFUNCTION("IFERROR(ARRAYFORMULA(REGEXEXTRACT(C3552,""^(?:https?:\/\/)?(?:[^@\n]+@)?(?:www\.)?([^:\/\n]+)"")),"""")"),"theteacherscorner.net")</f>
        <v>theteacherscorner.net</v>
      </c>
      <c r="E3552" s="26" t="str">
        <f ca="1">IFERROR(__xludf.DUMMYFUNCTION("""COMPUTED_VALUE"""),"New")</f>
        <v>New</v>
      </c>
      <c r="F3552" s="72">
        <v>55</v>
      </c>
      <c r="G3552" s="72">
        <v>44825</v>
      </c>
      <c r="P3552" s="26"/>
    </row>
    <row r="3553" spans="1:16" ht="14.5">
      <c r="A3553" s="3" t="s">
        <v>255</v>
      </c>
      <c r="B3553" s="12" t="s">
        <v>2867</v>
      </c>
      <c r="C3553" s="46" t="s">
        <v>7485</v>
      </c>
      <c r="D3553" s="41" t="str">
        <f ca="1">IFERROR(__xludf.DUMMYFUNCTION("IFERROR(ARRAYFORMULA(REGEXEXTRACT(C3553,""^(?:https?:\/\/)?(?:[^@\n]+@)?(?:www\.)?([^:\/\n]+)"")),"""")"),"ucf.edu")</f>
        <v>ucf.edu</v>
      </c>
      <c r="E3553" s="26" t="str">
        <f ca="1">IFERROR(__xludf.DUMMYFUNCTION("""COMPUTED_VALUE"""),"New")</f>
        <v>New</v>
      </c>
      <c r="F3553" s="72">
        <v>85</v>
      </c>
      <c r="G3553" s="72">
        <v>632503</v>
      </c>
      <c r="P3553" s="26"/>
    </row>
    <row r="3554" spans="1:16" ht="14.5">
      <c r="A3554" s="3" t="s">
        <v>255</v>
      </c>
      <c r="B3554" s="12" t="s">
        <v>2867</v>
      </c>
      <c r="C3554" s="46" t="s">
        <v>7486</v>
      </c>
      <c r="D3554" s="41" t="str">
        <f ca="1">IFERROR(__xludf.DUMMYFUNCTION("IFERROR(ARRAYFORMULA(REGEXEXTRACT(C3554,""^(?:https?:\/\/)?(?:[^@\n]+@)?(?:www\.)?([^:\/\n]+)"")),"""")"),"outforia.com")</f>
        <v>outforia.com</v>
      </c>
      <c r="E3554" s="26" t="str">
        <f ca="1">IFERROR(__xludf.DUMMYFUNCTION("""COMPUTED_VALUE"""),"New")</f>
        <v>New</v>
      </c>
      <c r="F3554" s="72">
        <v>50</v>
      </c>
      <c r="G3554" s="72">
        <v>8932</v>
      </c>
      <c r="P3554" s="26"/>
    </row>
    <row r="3555" spans="1:16" ht="14.5">
      <c r="A3555" s="3" t="s">
        <v>255</v>
      </c>
      <c r="B3555" s="12" t="s">
        <v>2867</v>
      </c>
      <c r="C3555" s="46" t="s">
        <v>7487</v>
      </c>
      <c r="D3555" s="41" t="str">
        <f ca="1">IFERROR(__xludf.DUMMYFUNCTION("IFERROR(ARRAYFORMULA(REGEXEXTRACT(C3555,""^(?:https?:\/\/)?(?:[^@\n]+@)?(?:www\.)?([^:\/\n]+)"")),"""")"),"littlemedicalschool.com")</f>
        <v>littlemedicalschool.com</v>
      </c>
      <c r="E3555" s="26" t="str">
        <f ca="1">IFERROR(__xludf.DUMMYFUNCTION("""COMPUTED_VALUE"""),"New")</f>
        <v>New</v>
      </c>
      <c r="F3555" s="72">
        <v>39</v>
      </c>
      <c r="G3555" s="72">
        <v>3503</v>
      </c>
      <c r="P3555" s="26"/>
    </row>
    <row r="3556" spans="1:16" ht="14.5">
      <c r="A3556" s="3" t="s">
        <v>255</v>
      </c>
      <c r="B3556" s="12" t="s">
        <v>2867</v>
      </c>
      <c r="C3556" s="46" t="s">
        <v>7488</v>
      </c>
      <c r="D3556" s="41" t="str">
        <f ca="1">IFERROR(__xludf.DUMMYFUNCTION("IFERROR(ARRAYFORMULA(REGEXEXTRACT(C3556,""^(?:https?:\/\/)?(?:[^@\n]+@)?(?:www\.)?([^:\/\n]+)"")),"""")"),"physicsclassroom.com")</f>
        <v>physicsclassroom.com</v>
      </c>
      <c r="E3556" s="26" t="str">
        <f ca="1">IFERROR(__xludf.DUMMYFUNCTION("""COMPUTED_VALUE"""),"New")</f>
        <v>New</v>
      </c>
      <c r="F3556" s="72">
        <v>74</v>
      </c>
      <c r="G3556" s="72">
        <v>376506</v>
      </c>
      <c r="P3556" s="26"/>
    </row>
    <row r="3557" spans="1:16" ht="14.5">
      <c r="A3557" s="3" t="s">
        <v>255</v>
      </c>
      <c r="B3557" s="12" t="s">
        <v>2867</v>
      </c>
      <c r="C3557" s="46" t="s">
        <v>7489</v>
      </c>
      <c r="D3557" s="41" t="str">
        <f ca="1">IFERROR(__xludf.DUMMYFUNCTION("IFERROR(ARRAYFORMULA(REGEXEXTRACT(C3557,""^(?:https?:\/\/)?(?:[^@\n]+@)?(?:www\.)?([^:\/\n]+)"")),"""")"),"disher.com")</f>
        <v>disher.com</v>
      </c>
      <c r="E3557" s="26" t="str">
        <f ca="1">IFERROR(__xludf.DUMMYFUNCTION("""COMPUTED_VALUE"""),"New")</f>
        <v>New</v>
      </c>
      <c r="F3557" s="72">
        <v>37</v>
      </c>
      <c r="G3557" s="72">
        <v>1875</v>
      </c>
      <c r="P3557" s="26"/>
    </row>
    <row r="3558" spans="1:16" ht="14.5">
      <c r="A3558" s="3" t="s">
        <v>255</v>
      </c>
      <c r="B3558" s="12" t="s">
        <v>2867</v>
      </c>
      <c r="C3558" s="46" t="s">
        <v>7490</v>
      </c>
      <c r="D3558" s="41" t="str">
        <f ca="1">IFERROR(__xludf.DUMMYFUNCTION("IFERROR(ARRAYFORMULA(REGEXEXTRACT(C3558,""^(?:https?:\/\/)?(?:[^@\n]+@)?(?:www\.)?([^:\/\n]+)"")),"""")"),"willygoat.com")</f>
        <v>willygoat.com</v>
      </c>
      <c r="E3558" s="26" t="str">
        <f ca="1">IFERROR(__xludf.DUMMYFUNCTION("""COMPUTED_VALUE"""),"New")</f>
        <v>New</v>
      </c>
      <c r="F3558" s="72">
        <v>42</v>
      </c>
      <c r="G3558" s="72">
        <v>23589</v>
      </c>
      <c r="P3558" s="26"/>
    </row>
    <row r="3559" spans="1:16" ht="14.5">
      <c r="A3559" s="3" t="s">
        <v>255</v>
      </c>
      <c r="B3559" s="12" t="s">
        <v>2867</v>
      </c>
      <c r="C3559" s="46" t="s">
        <v>7491</v>
      </c>
      <c r="D3559" s="41" t="str">
        <f ca="1">IFERROR(__xludf.DUMMYFUNCTION("IFERROR(ARRAYFORMULA(REGEXEXTRACT(C3559,""^(?:https?:\/\/)?(?:[^@\n]+@)?(?:www\.)?([^:\/\n]+)"")),"""")"),"explorelearning.com")</f>
        <v>explorelearning.com</v>
      </c>
      <c r="E3559" s="26" t="str">
        <f ca="1">IFERROR(__xludf.DUMMYFUNCTION("""COMPUTED_VALUE"""),"New")</f>
        <v>New</v>
      </c>
      <c r="F3559" s="72">
        <v>71</v>
      </c>
      <c r="G3559" s="72">
        <v>1406023</v>
      </c>
      <c r="P3559" s="26"/>
    </row>
    <row r="3560" spans="1:16" ht="14.5">
      <c r="A3560" s="3" t="s">
        <v>255</v>
      </c>
      <c r="B3560" s="12" t="s">
        <v>2867</v>
      </c>
      <c r="C3560" s="46" t="s">
        <v>7492</v>
      </c>
      <c r="D3560" s="41" t="str">
        <f ca="1">IFERROR(__xludf.DUMMYFUNCTION("IFERROR(ARRAYFORMULA(REGEXEXTRACT(C3560,""^(?:https?:\/\/)?(?:[^@\n]+@)?(?:www\.)?([^:\/\n]+)"")),"""")"),"gcu.edu")</f>
        <v>gcu.edu</v>
      </c>
      <c r="E3560" s="26" t="str">
        <f ca="1">IFERROR(__xludf.DUMMYFUNCTION("""COMPUTED_VALUE"""),"New")</f>
        <v>New</v>
      </c>
      <c r="F3560" s="72">
        <v>76</v>
      </c>
      <c r="G3560" s="72">
        <v>782465</v>
      </c>
      <c r="P3560" s="26"/>
    </row>
    <row r="3561" spans="1:16" ht="14.5">
      <c r="A3561" s="3" t="s">
        <v>255</v>
      </c>
      <c r="B3561" s="12" t="s">
        <v>2867</v>
      </c>
      <c r="C3561" s="46" t="s">
        <v>7493</v>
      </c>
      <c r="D3561" s="41" t="str">
        <f ca="1">IFERROR(__xludf.DUMMYFUNCTION("IFERROR(ARRAYFORMULA(REGEXEXTRACT(C3561,""^(?:https?:\/\/)?(?:[^@\n]+@)?(?:www\.)?([^:\/\n]+)"")),"""")"),"populationeducation.org")</f>
        <v>populationeducation.org</v>
      </c>
      <c r="E3561" s="26" t="str">
        <f ca="1">IFERROR(__xludf.DUMMYFUNCTION("""COMPUTED_VALUE"""),"New")</f>
        <v>New</v>
      </c>
      <c r="F3561" s="72">
        <v>57</v>
      </c>
      <c r="G3561" s="72">
        <v>65295</v>
      </c>
      <c r="P3561" s="26"/>
    </row>
    <row r="3562" spans="1:16" ht="14.5">
      <c r="A3562" s="3" t="s">
        <v>255</v>
      </c>
      <c r="B3562" s="12" t="s">
        <v>2867</v>
      </c>
      <c r="C3562" s="46" t="s">
        <v>7494</v>
      </c>
      <c r="D3562" s="41" t="str">
        <f ca="1">IFERROR(__xludf.DUMMYFUNCTION("IFERROR(ARRAYFORMULA(REGEXEXTRACT(C3562,""^(?:https?:\/\/)?(?:[^@\n]+@)?(?:www\.)?([^:\/\n]+)"")),"""")"),"ssec.si.edu")</f>
        <v>ssec.si.edu</v>
      </c>
      <c r="E3562" s="26" t="str">
        <f ca="1">IFERROR(__xludf.DUMMYFUNCTION("""COMPUTED_VALUE"""),"New")</f>
        <v>New</v>
      </c>
      <c r="F3562" s="72">
        <v>91</v>
      </c>
      <c r="G3562" s="72">
        <v>3980983</v>
      </c>
      <c r="P3562" s="26"/>
    </row>
    <row r="3563" spans="1:16" ht="14.5">
      <c r="A3563" s="3" t="s">
        <v>255</v>
      </c>
      <c r="B3563" s="12" t="s">
        <v>2867</v>
      </c>
      <c r="C3563" s="46" t="s">
        <v>7495</v>
      </c>
      <c r="D3563" s="41" t="str">
        <f ca="1">IFERROR(__xludf.DUMMYFUNCTION("IFERROR(ARRAYFORMULA(REGEXEXTRACT(C3563,""^(?:https?:\/\/)?(?:[^@\n]+@)?(?:www\.)?([^:\/\n]+)"")),"""")"),"edweek.org")</f>
        <v>edweek.org</v>
      </c>
      <c r="E3563" s="26" t="str">
        <f ca="1">IFERROR(__xludf.DUMMYFUNCTION("""COMPUTED_VALUE"""),"New")</f>
        <v>New</v>
      </c>
      <c r="F3563" s="72">
        <v>86</v>
      </c>
      <c r="G3563" s="72">
        <v>165034</v>
      </c>
      <c r="P3563" s="26"/>
    </row>
    <row r="3564" spans="1:16" ht="14.5">
      <c r="A3564" s="3" t="s">
        <v>255</v>
      </c>
      <c r="B3564" s="12" t="s">
        <v>2867</v>
      </c>
      <c r="C3564" s="46" t="s">
        <v>7496</v>
      </c>
      <c r="D3564" s="41" t="str">
        <f ca="1">IFERROR(__xludf.DUMMYFUNCTION("IFERROR(ARRAYFORMULA(REGEXEXTRACT(C3564,""^(?:https?:\/\/)?(?:[^@\n]+@)?(?:www\.)?([^:\/\n]+)"")),"""")"),"pi-top.com")</f>
        <v>pi-top.com</v>
      </c>
      <c r="E3564" s="26" t="str">
        <f ca="1">IFERROR(__xludf.DUMMYFUNCTION("""COMPUTED_VALUE"""),"New")</f>
        <v>New</v>
      </c>
      <c r="F3564" s="72">
        <v>54</v>
      </c>
      <c r="G3564" s="72">
        <v>1583</v>
      </c>
      <c r="P3564" s="26"/>
    </row>
    <row r="3565" spans="1:16" ht="14.5">
      <c r="A3565" s="3" t="s">
        <v>255</v>
      </c>
      <c r="B3565" s="12" t="s">
        <v>2867</v>
      </c>
      <c r="C3565" s="46" t="s">
        <v>7497</v>
      </c>
      <c r="D3565" s="41" t="str">
        <f ca="1">IFERROR(__xludf.DUMMYFUNCTION("IFERROR(ARRAYFORMULA(REGEXEXTRACT(C3565,""^(?:https?:\/\/)?(?:[^@\n]+@)?(?:www\.)?([^:\/\n]+)"")),"""")"),"practicetestgeeks.com")</f>
        <v>practicetestgeeks.com</v>
      </c>
      <c r="E3565" s="26" t="str">
        <f ca="1">IFERROR(__xludf.DUMMYFUNCTION("""COMPUTED_VALUE"""),"New")</f>
        <v>New</v>
      </c>
      <c r="F3565" s="72">
        <v>66</v>
      </c>
      <c r="G3565" s="72">
        <v>8385</v>
      </c>
      <c r="P3565" s="26"/>
    </row>
    <row r="3566" spans="1:16" ht="14.5">
      <c r="A3566" s="3" t="s">
        <v>255</v>
      </c>
      <c r="B3566" s="12" t="s">
        <v>2867</v>
      </c>
      <c r="C3566" s="46" t="s">
        <v>7498</v>
      </c>
      <c r="D3566" s="41" t="str">
        <f ca="1">IFERROR(__xludf.DUMMYFUNCTION("IFERROR(ARRAYFORMULA(REGEXEXTRACT(C3566,""^(?:https?:\/\/)?(?:[^@\n]+@)?(?:www\.)?([^:\/\n]+)"")),"""")"),"nvcc.edu")</f>
        <v>nvcc.edu</v>
      </c>
      <c r="E3566" s="26" t="str">
        <f ca="1">IFERROR(__xludf.DUMMYFUNCTION("""COMPUTED_VALUE"""),"New")</f>
        <v>New</v>
      </c>
      <c r="F3566" s="72">
        <v>73</v>
      </c>
      <c r="G3566" s="72">
        <v>85742</v>
      </c>
      <c r="P3566" s="26"/>
    </row>
    <row r="3567" spans="1:16" ht="14.5">
      <c r="A3567" s="3" t="s">
        <v>255</v>
      </c>
      <c r="B3567" s="12" t="s">
        <v>2867</v>
      </c>
      <c r="C3567" s="46" t="s">
        <v>7499</v>
      </c>
      <c r="D3567" s="41" t="str">
        <f ca="1">IFERROR(__xludf.DUMMYFUNCTION("IFERROR(ARRAYFORMULA(REGEXEXTRACT(C3567,""^(?:https?:\/\/)?(?:[^@\n]+@)?(?:www\.)?([^:\/\n]+)"")),"""")"),"mothermag.com")</f>
        <v>mothermag.com</v>
      </c>
      <c r="E3567" s="26" t="str">
        <f ca="1">IFERROR(__xludf.DUMMYFUNCTION("""COMPUTED_VALUE"""),"New")</f>
        <v>New</v>
      </c>
      <c r="F3567" s="72">
        <v>67</v>
      </c>
      <c r="G3567" s="72">
        <v>9725</v>
      </c>
      <c r="P3567" s="26"/>
    </row>
    <row r="3568" spans="1:16" ht="14.5">
      <c r="A3568" s="3" t="s">
        <v>255</v>
      </c>
      <c r="B3568" s="12" t="s">
        <v>2867</v>
      </c>
      <c r="C3568" s="46" t="s">
        <v>7500</v>
      </c>
      <c r="D3568" s="41" t="str">
        <f ca="1">IFERROR(__xludf.DUMMYFUNCTION("IFERROR(ARRAYFORMULA(REGEXEXTRACT(C3568,""^(?:https?:\/\/)?(?:[^@\n]+@)?(?:www\.)?([^:\/\n]+)"")),"""")"),"sciencespot.net")</f>
        <v>sciencespot.net</v>
      </c>
      <c r="E3568" s="26" t="str">
        <f ca="1">IFERROR(__xludf.DUMMYFUNCTION("""COMPUTED_VALUE"""),"New")</f>
        <v>New</v>
      </c>
      <c r="F3568" s="72">
        <v>46</v>
      </c>
      <c r="G3568" s="72">
        <v>9632</v>
      </c>
      <c r="P3568" s="26"/>
    </row>
    <row r="3569" spans="1:16" ht="14.5">
      <c r="A3569" s="3" t="s">
        <v>255</v>
      </c>
      <c r="B3569" s="12" t="s">
        <v>2867</v>
      </c>
      <c r="C3569" s="46" t="s">
        <v>7501</v>
      </c>
      <c r="D3569" s="41" t="str">
        <f ca="1">IFERROR(__xludf.DUMMYFUNCTION("IFERROR(ARRAYFORMULA(REGEXEXTRACT(C3569,""^(?:https?:\/\/)?(?:[^@\n]+@)?(?:www\.)?([^:\/\n]+)"")),"""")"),"nfpa.com")</f>
        <v>nfpa.com</v>
      </c>
      <c r="E3569" s="26" t="str">
        <f ca="1">IFERROR(__xludf.DUMMYFUNCTION("""COMPUTED_VALUE"""),"New")</f>
        <v>New</v>
      </c>
      <c r="F3569" s="72">
        <v>67</v>
      </c>
      <c r="G3569" s="72">
        <v>1328</v>
      </c>
      <c r="P3569" s="26"/>
    </row>
    <row r="3570" spans="1:16" ht="14.5">
      <c r="A3570" s="3" t="s">
        <v>255</v>
      </c>
      <c r="B3570" s="12" t="s">
        <v>2867</v>
      </c>
      <c r="C3570" s="46" t="s">
        <v>7502</v>
      </c>
      <c r="D3570" s="41" t="str">
        <f ca="1">IFERROR(__xludf.DUMMYFUNCTION("IFERROR(ARRAYFORMULA(REGEXEXTRACT(C3570,""^(?:https?:\/\/)?(?:[^@\n]+@)?(?:www\.)?([^:\/\n]+)"")),"""")"),"swimjim.com")</f>
        <v>swimjim.com</v>
      </c>
      <c r="E3570" s="26" t="str">
        <f ca="1">IFERROR(__xludf.DUMMYFUNCTION("""COMPUTED_VALUE"""),"New")</f>
        <v>New</v>
      </c>
      <c r="F3570" s="72">
        <v>38</v>
      </c>
      <c r="G3570" s="72">
        <v>21338</v>
      </c>
      <c r="P3570" s="26"/>
    </row>
    <row r="3571" spans="1:16" ht="14.5">
      <c r="A3571" s="3" t="s">
        <v>255</v>
      </c>
      <c r="B3571" s="12" t="s">
        <v>2867</v>
      </c>
      <c r="C3571" s="46" t="s">
        <v>7503</v>
      </c>
      <c r="D3571" s="41" t="str">
        <f ca="1">IFERROR(__xludf.DUMMYFUNCTION("IFERROR(ARRAYFORMULA(REGEXEXTRACT(C3571,""^(?:https?:\/\/)?(?:[^@\n]+@)?(?:www\.)?([^:\/\n]+)"")),"""")"),"idtech.com")</f>
        <v>idtech.com</v>
      </c>
      <c r="E3571" s="26" t="str">
        <f ca="1">IFERROR(__xludf.DUMMYFUNCTION("""COMPUTED_VALUE"""),"New")</f>
        <v>New</v>
      </c>
      <c r="F3571" s="72">
        <v>71</v>
      </c>
      <c r="G3571" s="72">
        <v>116826</v>
      </c>
      <c r="P3571" s="26"/>
    </row>
    <row r="3572" spans="1:16" ht="14.5">
      <c r="A3572" s="3" t="s">
        <v>255</v>
      </c>
      <c r="B3572" s="12" t="s">
        <v>2867</v>
      </c>
      <c r="C3572" s="46" t="s">
        <v>7504</v>
      </c>
      <c r="D3572" s="41" t="str">
        <f ca="1">IFERROR(__xludf.DUMMYFUNCTION("IFERROR(ARRAYFORMULA(REGEXEXTRACT(C3572,""^(?:https?:\/\/)?(?:[^@\n]+@)?(?:www\.)?([^:\/\n]+)"")),"""")"),"carinterior.alibaba.com")</f>
        <v>carinterior.alibaba.com</v>
      </c>
      <c r="E3572" s="26" t="str">
        <f ca="1">IFERROR(__xludf.DUMMYFUNCTION("""COMPUTED_VALUE"""),"New")</f>
        <v>New</v>
      </c>
      <c r="F3572" s="72">
        <v>92</v>
      </c>
      <c r="G3572" s="72">
        <v>7073126</v>
      </c>
      <c r="P3572" s="26"/>
    </row>
    <row r="3573" spans="1:16" ht="14.5">
      <c r="A3573" s="3" t="s">
        <v>255</v>
      </c>
      <c r="B3573" s="12" t="s">
        <v>2867</v>
      </c>
      <c r="C3573" s="46" t="s">
        <v>7505</v>
      </c>
      <c r="D3573" s="41" t="str">
        <f ca="1">IFERROR(__xludf.DUMMYFUNCTION("IFERROR(ARRAYFORMULA(REGEXEXTRACT(C3573,""^(?:https?:\/\/)?(?:[^@\n]+@)?(?:www\.)?([^:\/\n]+)"")),"""")"),"thoughtco.com")</f>
        <v>thoughtco.com</v>
      </c>
      <c r="E3573" s="26" t="str">
        <f ca="1">IFERROR(__xludf.DUMMYFUNCTION("""COMPUTED_VALUE"""),"New")</f>
        <v>New</v>
      </c>
      <c r="F3573" s="72">
        <v>89</v>
      </c>
      <c r="G3573" s="72">
        <v>2047477</v>
      </c>
      <c r="P3573" s="26"/>
    </row>
    <row r="3574" spans="1:16" ht="14.5">
      <c r="A3574" s="3" t="s">
        <v>255</v>
      </c>
      <c r="B3574" s="12" t="s">
        <v>2867</v>
      </c>
      <c r="C3574" s="46" t="s">
        <v>7506</v>
      </c>
      <c r="D3574" s="41" t="str">
        <f ca="1">IFERROR(__xludf.DUMMYFUNCTION("IFERROR(ARRAYFORMULA(REGEXEXTRACT(C3574,""^(?:https?:\/\/)?(?:[^@\n]+@)?(?:www\.)?([^:\/\n]+)"")),"""")"),"smithsonianmag.com")</f>
        <v>smithsonianmag.com</v>
      </c>
      <c r="E3574" s="26" t="str">
        <f ca="1">IFERROR(__xludf.DUMMYFUNCTION("""COMPUTED_VALUE"""),"New")</f>
        <v>New</v>
      </c>
      <c r="F3574" s="72">
        <v>90</v>
      </c>
      <c r="G3574" s="72">
        <v>579667</v>
      </c>
      <c r="P3574" s="26"/>
    </row>
    <row r="3575" spans="1:16" ht="14.5">
      <c r="A3575" s="3" t="s">
        <v>255</v>
      </c>
      <c r="B3575" s="12" t="s">
        <v>2867</v>
      </c>
      <c r="C3575" s="46" t="s">
        <v>7507</v>
      </c>
      <c r="D3575" s="41" t="str">
        <f ca="1">IFERROR(__xludf.DUMMYFUNCTION("IFERROR(ARRAYFORMULA(REGEXEXTRACT(C3575,""^(?:https?:\/\/)?(?:[^@\n]+@)?(?:www\.)?([^:\/\n]+)"")),"""")"),"crimsoneducation.org")</f>
        <v>crimsoneducation.org</v>
      </c>
      <c r="E3575" s="26" t="str">
        <f ca="1">IFERROR(__xludf.DUMMYFUNCTION("""COMPUTED_VALUE"""),"New")</f>
        <v>New</v>
      </c>
      <c r="F3575" s="72">
        <v>69</v>
      </c>
      <c r="G3575" s="72">
        <v>134006</v>
      </c>
      <c r="P3575" s="26"/>
    </row>
    <row r="3576" spans="1:16" ht="14.5">
      <c r="A3576" s="3" t="s">
        <v>255</v>
      </c>
      <c r="B3576" s="12" t="s">
        <v>2867</v>
      </c>
      <c r="C3576" s="46" t="s">
        <v>7508</v>
      </c>
      <c r="D3576" s="41" t="str">
        <f ca="1">IFERROR(__xludf.DUMMYFUNCTION("IFERROR(ARRAYFORMULA(REGEXEXTRACT(C3576,""^(?:https?:\/\/)?(?:[^@\n]+@)?(?:www\.)?([^:\/\n]+)"")),"""")"),"whatihavelearnedteaching.com")</f>
        <v>whatihavelearnedteaching.com</v>
      </c>
      <c r="E3576" s="26" t="str">
        <f ca="1">IFERROR(__xludf.DUMMYFUNCTION("""COMPUTED_VALUE"""),"New")</f>
        <v>New</v>
      </c>
      <c r="F3576" s="72">
        <v>43</v>
      </c>
      <c r="G3576" s="72">
        <v>2406</v>
      </c>
      <c r="P3576" s="26"/>
    </row>
    <row r="3577" spans="1:16" ht="14.5">
      <c r="A3577" s="3" t="s">
        <v>255</v>
      </c>
      <c r="B3577" s="12" t="s">
        <v>2867</v>
      </c>
      <c r="C3577" s="46" t="s">
        <v>7509</v>
      </c>
      <c r="D3577" s="41" t="str">
        <f ca="1">IFERROR(__xludf.DUMMYFUNCTION("IFERROR(ARRAYFORMULA(REGEXEXTRACT(C3577,""^(?:https?:\/\/)?(?:[^@\n]+@)?(?:www\.)?([^:\/\n]+)"")),"""")"),"asme.org")</f>
        <v>asme.org</v>
      </c>
      <c r="E3577" s="26" t="str">
        <f ca="1">IFERROR(__xludf.DUMMYFUNCTION("""COMPUTED_VALUE"""),"New")</f>
        <v>New</v>
      </c>
      <c r="F3577" s="72">
        <v>86</v>
      </c>
      <c r="G3577" s="72">
        <v>77695</v>
      </c>
      <c r="P3577" s="26"/>
    </row>
    <row r="3578" spans="1:16" ht="14.5">
      <c r="A3578" s="3" t="s">
        <v>255</v>
      </c>
      <c r="B3578" s="12" t="s">
        <v>2867</v>
      </c>
      <c r="C3578" s="46" t="s">
        <v>7510</v>
      </c>
      <c r="D3578" s="41" t="str">
        <f ca="1">IFERROR(__xludf.DUMMYFUNCTION("IFERROR(ARRAYFORMULA(REGEXEXTRACT(C3578,""^(?:https?:\/\/)?(?:[^@\n]+@)?(?:www\.)?([^:\/\n]+)"")),"""")"),"codewizardshq.com")</f>
        <v>codewizardshq.com</v>
      </c>
      <c r="E3578" s="26" t="str">
        <f ca="1">IFERROR(__xludf.DUMMYFUNCTION("""COMPUTED_VALUE"""),"New")</f>
        <v>New</v>
      </c>
      <c r="F3578" s="72">
        <v>61</v>
      </c>
      <c r="G3578" s="72">
        <v>21862</v>
      </c>
      <c r="P3578" s="26"/>
    </row>
    <row r="3579" spans="1:16" ht="14.5">
      <c r="A3579" s="3" t="s">
        <v>255</v>
      </c>
      <c r="B3579" s="12" t="s">
        <v>2867</v>
      </c>
      <c r="C3579" s="46" t="s">
        <v>7511</v>
      </c>
      <c r="D3579" s="41" t="str">
        <f ca="1">IFERROR(__xludf.DUMMYFUNCTION("IFERROR(ARRAYFORMULA(REGEXEXTRACT(C3579,""^(?:https?:\/\/)?(?:[^@\n]+@)?(?:www\.)?([^:\/\n]+)"")),"""")"),"studiesweekly.com")</f>
        <v>studiesweekly.com</v>
      </c>
      <c r="E3579" s="26" t="str">
        <f ca="1">IFERROR(__xludf.DUMMYFUNCTION("""COMPUTED_VALUE"""),"New")</f>
        <v>New</v>
      </c>
      <c r="F3579" s="72">
        <v>54</v>
      </c>
      <c r="G3579" s="72">
        <v>105039</v>
      </c>
      <c r="P3579" s="26"/>
    </row>
    <row r="3580" spans="1:16" ht="14.5">
      <c r="A3580" s="3" t="s">
        <v>255</v>
      </c>
      <c r="B3580" s="12" t="s">
        <v>2867</v>
      </c>
      <c r="C3580" s="46" t="s">
        <v>7512</v>
      </c>
      <c r="D3580" s="41" t="str">
        <f ca="1">IFERROR(__xludf.DUMMYFUNCTION("IFERROR(ARRAYFORMULA(REGEXEXTRACT(C3580,""^(?:https?:\/\/)?(?:[^@\n]+@)?(?:www\.)?([^:\/\n]+)"")),"""")"),"outreach.engineering.utoronto.ca")</f>
        <v>outreach.engineering.utoronto.ca</v>
      </c>
      <c r="E3580" s="26" t="str">
        <f ca="1">IFERROR(__xludf.DUMMYFUNCTION("""COMPUTED_VALUE"""),"New")</f>
        <v>New</v>
      </c>
      <c r="F3580" s="72">
        <v>90</v>
      </c>
      <c r="G3580" s="72">
        <v>1490288</v>
      </c>
      <c r="P3580" s="26"/>
    </row>
    <row r="3581" spans="1:16" ht="14.5">
      <c r="A3581" s="3" t="s">
        <v>255</v>
      </c>
      <c r="B3581" s="12" t="s">
        <v>2867</v>
      </c>
      <c r="C3581" s="46" t="s">
        <v>7513</v>
      </c>
      <c r="D3581" s="41" t="str">
        <f ca="1">IFERROR(__xludf.DUMMYFUNCTION("IFERROR(ARRAYFORMULA(REGEXEXTRACT(C3581,""^(?:https?:\/\/)?(?:[^@\n]+@)?(?:www\.)?([^:\/\n]+)"")),"""")"),"research.rice.edu")</f>
        <v>research.rice.edu</v>
      </c>
      <c r="E3581" s="26" t="str">
        <f ca="1">IFERROR(__xludf.DUMMYFUNCTION("""COMPUTED_VALUE"""),"New")</f>
        <v>New</v>
      </c>
      <c r="F3581" s="72">
        <v>86</v>
      </c>
      <c r="G3581" s="72">
        <v>465908</v>
      </c>
      <c r="P3581" s="26"/>
    </row>
    <row r="3582" spans="1:16" ht="14.5">
      <c r="A3582" s="3" t="s">
        <v>255</v>
      </c>
      <c r="B3582" s="12" t="s">
        <v>2867</v>
      </c>
      <c r="C3582" s="46" t="s">
        <v>7514</v>
      </c>
      <c r="D3582" s="41" t="str">
        <f ca="1">IFERROR(__xludf.DUMMYFUNCTION("IFERROR(ARRAYFORMULA(REGEXEXTRACT(C3582,""^(?:https?:\/\/)?(?:[^@\n]+@)?(?:www\.)?([^:\/\n]+)"")),"""")"),"frugalfun4boys.com")</f>
        <v>frugalfun4boys.com</v>
      </c>
      <c r="E3582" s="26" t="str">
        <f ca="1">IFERROR(__xludf.DUMMYFUNCTION("""COMPUTED_VALUE"""),"New")</f>
        <v>New</v>
      </c>
      <c r="F3582" s="72">
        <v>70</v>
      </c>
      <c r="G3582" s="72">
        <v>29663</v>
      </c>
      <c r="P3582" s="26"/>
    </row>
    <row r="3583" spans="1:16" ht="14.5">
      <c r="A3583" s="3" t="s">
        <v>255</v>
      </c>
      <c r="B3583" s="12" t="s">
        <v>2867</v>
      </c>
      <c r="C3583" s="46" t="s">
        <v>7515</v>
      </c>
      <c r="D3583" s="41" t="str">
        <f ca="1">IFERROR(__xludf.DUMMYFUNCTION("IFERROR(ARRAYFORMULA(REGEXEXTRACT(C3583,""^(?:https?:\/\/)?(?:[^@\n]+@)?(?:www\.)?([^:\/\n]+)"")),"""")"),"afterschoolalliance.org")</f>
        <v>afterschoolalliance.org</v>
      </c>
      <c r="E3583" s="26" t="str">
        <f ca="1">IFERROR(__xludf.DUMMYFUNCTION("""COMPUTED_VALUE"""),"New")</f>
        <v>New</v>
      </c>
      <c r="F3583" s="72">
        <v>74</v>
      </c>
      <c r="G3583" s="72">
        <v>7788</v>
      </c>
      <c r="P3583" s="26"/>
    </row>
    <row r="3584" spans="1:16" ht="14.5">
      <c r="A3584" s="3" t="s">
        <v>255</v>
      </c>
      <c r="B3584" s="12" t="s">
        <v>2867</v>
      </c>
      <c r="C3584" s="46" t="s">
        <v>7516</v>
      </c>
      <c r="D3584" s="41" t="str">
        <f ca="1">IFERROR(__xludf.DUMMYFUNCTION("IFERROR(ARRAYFORMULA(REGEXEXTRACT(C3584,""^(?:https?:\/\/)?(?:[^@\n]+@)?(?:www\.)?([^:\/\n]+)"")),"""")"),"aroundthekampfire.com")</f>
        <v>aroundthekampfire.com</v>
      </c>
      <c r="E3584" s="26" t="str">
        <f ca="1">IFERROR(__xludf.DUMMYFUNCTION("""COMPUTED_VALUE"""),"New")</f>
        <v>New</v>
      </c>
      <c r="F3584" s="72">
        <v>37</v>
      </c>
      <c r="G3584" s="72">
        <v>2026</v>
      </c>
      <c r="P3584" s="26"/>
    </row>
    <row r="3585" spans="1:16" ht="14.5">
      <c r="A3585" s="3" t="s">
        <v>255</v>
      </c>
      <c r="B3585" s="12" t="s">
        <v>2867</v>
      </c>
      <c r="C3585" s="46" t="s">
        <v>7517</v>
      </c>
      <c r="D3585" s="41" t="str">
        <f ca="1">IFERROR(__xludf.DUMMYFUNCTION("IFERROR(ARRAYFORMULA(REGEXEXTRACT(C3585,""^(?:https?:\/\/)?(?:[^@\n]+@)?(?:www\.)?([^:\/\n]+)"")),"""")"),"indyschild.com")</f>
        <v>indyschild.com</v>
      </c>
      <c r="E3585" s="26" t="str">
        <f ca="1">IFERROR(__xludf.DUMMYFUNCTION("""COMPUTED_VALUE"""),"New")</f>
        <v>New</v>
      </c>
      <c r="F3585" s="72">
        <v>52</v>
      </c>
      <c r="G3585" s="72">
        <v>21666</v>
      </c>
      <c r="P3585" s="26"/>
    </row>
    <row r="3586" spans="1:16" ht="14.5">
      <c r="A3586" s="3" t="s">
        <v>255</v>
      </c>
      <c r="B3586" s="12" t="s">
        <v>2867</v>
      </c>
      <c r="C3586" s="46" t="s">
        <v>7518</v>
      </c>
      <c r="D3586" s="41" t="str">
        <f ca="1">IFERROR(__xludf.DUMMYFUNCTION("IFERROR(ARRAYFORMULA(REGEXEXTRACT(C3586,""^(?:https?:\/\/)?(?:[^@\n]+@)?(?:www\.)?([^:\/\n]+)"")),"""")"),"thecanadianhomeschooler.com")</f>
        <v>thecanadianhomeschooler.com</v>
      </c>
      <c r="E3586" s="26" t="str">
        <f ca="1">IFERROR(__xludf.DUMMYFUNCTION("""COMPUTED_VALUE"""),"New")</f>
        <v>New</v>
      </c>
      <c r="F3586" s="72">
        <v>40</v>
      </c>
      <c r="G3586" s="72">
        <v>2601</v>
      </c>
      <c r="P3586" s="26"/>
    </row>
    <row r="3587" spans="1:16" ht="14.5">
      <c r="A3587" s="3" t="s">
        <v>255</v>
      </c>
      <c r="B3587" s="12" t="s">
        <v>2867</v>
      </c>
      <c r="C3587" s="46" t="s">
        <v>7519</v>
      </c>
      <c r="D3587" s="41" t="str">
        <f ca="1">IFERROR(__xludf.DUMMYFUNCTION("IFERROR(ARRAYFORMULA(REGEXEXTRACT(C3587,""^(?:https?:\/\/)?(?:[^@\n]+@)?(?:www\.)?([^:\/\n]+)"")),"""")"),"inspiritai.com")</f>
        <v>inspiritai.com</v>
      </c>
      <c r="E3587" s="26" t="str">
        <f ca="1">IFERROR(__xludf.DUMMYFUNCTION("""COMPUTED_VALUE"""),"New")</f>
        <v>New</v>
      </c>
      <c r="F3587" s="72">
        <v>52</v>
      </c>
      <c r="G3587" s="72">
        <v>40026</v>
      </c>
      <c r="P3587" s="26"/>
    </row>
    <row r="3588" spans="1:16" ht="14.5">
      <c r="A3588" s="3" t="s">
        <v>255</v>
      </c>
      <c r="B3588" s="12" t="s">
        <v>2867</v>
      </c>
      <c r="C3588" s="46" t="s">
        <v>7520</v>
      </c>
      <c r="D3588" s="41" t="str">
        <f ca="1">IFERROR(__xludf.DUMMYFUNCTION("IFERROR(ARRAYFORMULA(REGEXEXTRACT(C3588,""^(?:https?:\/\/)?(?:[^@\n]+@)?(?:www\.)?([^:\/\n]+)"")),"""")"),"aceonline.org")</f>
        <v>aceonline.org</v>
      </c>
      <c r="E3588" s="26" t="str">
        <f ca="1">IFERROR(__xludf.DUMMYFUNCTION("""COMPUTED_VALUE"""),"New")</f>
        <v>New</v>
      </c>
      <c r="F3588" s="72">
        <v>51</v>
      </c>
      <c r="G3588" s="72">
        <v>1526</v>
      </c>
      <c r="P3588" s="26"/>
    </row>
    <row r="3589" spans="1:16" ht="14.5">
      <c r="A3589" s="3" t="s">
        <v>255</v>
      </c>
      <c r="B3589" s="12" t="s">
        <v>2867</v>
      </c>
      <c r="C3589" s="46" t="s">
        <v>7521</v>
      </c>
      <c r="D3589" s="41" t="str">
        <f ca="1">IFERROR(__xludf.DUMMYFUNCTION("IFERROR(ARRAYFORMULA(REGEXEXTRACT(C3589,""^(?:https?:\/\/)?(?:[^@\n]+@)?(?:www\.)?([^:\/\n]+)"")),"""")"),"artsandscience.usask.ca")</f>
        <v>artsandscience.usask.ca</v>
      </c>
      <c r="E3589" s="26" t="str">
        <f ca="1">IFERROR(__xludf.DUMMYFUNCTION("""COMPUTED_VALUE"""),"New")</f>
        <v>New</v>
      </c>
      <c r="F3589" s="72">
        <v>82</v>
      </c>
      <c r="G3589" s="72">
        <v>164623</v>
      </c>
      <c r="P3589" s="26"/>
    </row>
    <row r="3590" spans="1:16" ht="14.5">
      <c r="A3590" s="3" t="s">
        <v>255</v>
      </c>
      <c r="B3590" s="12" t="s">
        <v>2867</v>
      </c>
      <c r="C3590" s="46" t="s">
        <v>7522</v>
      </c>
      <c r="D3590" s="41" t="str">
        <f ca="1">IFERROR(__xludf.DUMMYFUNCTION("IFERROR(ARRAYFORMULA(REGEXEXTRACT(C3590,""^(?:https?:\/\/)?(?:[^@\n]+@)?(?:www\.)?([^:\/\n]+)"")),"""")"),"gosciencegirls.com")</f>
        <v>gosciencegirls.com</v>
      </c>
      <c r="E3590" s="26" t="str">
        <f ca="1">IFERROR(__xludf.DUMMYFUNCTION("""COMPUTED_VALUE"""),"New")</f>
        <v>New</v>
      </c>
      <c r="F3590" s="72">
        <v>48</v>
      </c>
      <c r="G3590" s="72">
        <v>5485</v>
      </c>
      <c r="P3590" s="26"/>
    </row>
    <row r="3591" spans="1:16" ht="14.5">
      <c r="A3591" s="3" t="s">
        <v>255</v>
      </c>
      <c r="B3591" s="12" t="s">
        <v>2867</v>
      </c>
      <c r="C3591" s="46" t="s">
        <v>7523</v>
      </c>
      <c r="D3591" s="41" t="str">
        <f ca="1">IFERROR(__xludf.DUMMYFUNCTION("IFERROR(ARRAYFORMULA(REGEXEXTRACT(C3591,""^(?:https?:\/\/)?(?:[^@\n]+@)?(?:www\.)?([^:\/\n]+)"")),"""")"),"mapcon.com")</f>
        <v>mapcon.com</v>
      </c>
      <c r="E3591" s="26" t="str">
        <f ca="1">IFERROR(__xludf.DUMMYFUNCTION("""COMPUTED_VALUE"""),"New")</f>
        <v>New</v>
      </c>
      <c r="F3591" s="72">
        <v>56</v>
      </c>
      <c r="G3591" s="72">
        <v>2782</v>
      </c>
      <c r="P3591" s="26"/>
    </row>
    <row r="3592" spans="1:16" ht="14.5">
      <c r="A3592" s="3" t="s">
        <v>255</v>
      </c>
      <c r="B3592" s="12" t="s">
        <v>2867</v>
      </c>
      <c r="C3592" s="46" t="s">
        <v>7524</v>
      </c>
      <c r="D3592" s="41" t="str">
        <f ca="1">IFERROR(__xludf.DUMMYFUNCTION("IFERROR(ARRAYFORMULA(REGEXEXTRACT(C3592,""^(?:https?:\/\/)?(?:[^@\n]+@)?(?:www\.)?([^:\/\n]+)"")),"""")"),"spaceweather.ssl.berkeley.edu")</f>
        <v>spaceweather.ssl.berkeley.edu</v>
      </c>
      <c r="E3592" s="26" t="str">
        <f ca="1">IFERROR(__xludf.DUMMYFUNCTION("""COMPUTED_VALUE"""),"New")</f>
        <v>New</v>
      </c>
      <c r="F3592" s="72">
        <v>91</v>
      </c>
      <c r="G3592" s="72">
        <v>40435240</v>
      </c>
      <c r="P3592" s="26"/>
    </row>
    <row r="3593" spans="1:16" ht="14.5">
      <c r="A3593" s="3" t="s">
        <v>255</v>
      </c>
      <c r="B3593" s="12" t="s">
        <v>2867</v>
      </c>
      <c r="C3593" s="46" t="s">
        <v>7525</v>
      </c>
      <c r="D3593" s="41" t="str">
        <f ca="1">IFERROR(__xludf.DUMMYFUNCTION("IFERROR(ARRAYFORMULA(REGEXEXTRACT(C3593,""^(?:https?:\/\/)?(?:[^@\n]+@)?(?:www\.)?([^:\/\n]+)"")),"""")"),"wpi.edu")</f>
        <v>wpi.edu</v>
      </c>
      <c r="E3593" s="26" t="str">
        <f ca="1">IFERROR(__xludf.DUMMYFUNCTION("""COMPUTED_VALUE"""),"New")</f>
        <v>New</v>
      </c>
      <c r="F3593" s="72">
        <v>80</v>
      </c>
      <c r="G3593" s="72">
        <v>53867</v>
      </c>
      <c r="P3593" s="26"/>
    </row>
    <row r="3594" spans="1:16" ht="14.5">
      <c r="A3594" s="3" t="s">
        <v>255</v>
      </c>
      <c r="B3594" s="12" t="s">
        <v>2867</v>
      </c>
      <c r="C3594" s="46" t="s">
        <v>7526</v>
      </c>
      <c r="D3594" s="41" t="str">
        <f ca="1">IFERROR(__xludf.DUMMYFUNCTION("IFERROR(ARRAYFORMULA(REGEXEXTRACT(C3594,""^(?:https?:\/\/)?(?:[^@\n]+@)?(?:www\.)?([^:\/\n]+)"")),"""")"),"hessunacademy.com")</f>
        <v>hessunacademy.com</v>
      </c>
      <c r="E3594" s="26" t="str">
        <f ca="1">IFERROR(__xludf.DUMMYFUNCTION("""COMPUTED_VALUE"""),"New")</f>
        <v>New</v>
      </c>
      <c r="F3594" s="72">
        <v>40</v>
      </c>
      <c r="G3594" s="72">
        <v>2000</v>
      </c>
      <c r="P3594" s="26"/>
    </row>
    <row r="3595" spans="1:16" ht="14.5">
      <c r="A3595" s="3" t="s">
        <v>255</v>
      </c>
      <c r="B3595" s="12" t="s">
        <v>2867</v>
      </c>
      <c r="C3595" s="46" t="s">
        <v>7527</v>
      </c>
      <c r="D3595" s="41" t="str">
        <f ca="1">IFERROR(__xludf.DUMMYFUNCTION("IFERROR(ARRAYFORMULA(REGEXEXTRACT(C3595,""^(?:https?:\/\/)?(?:[^@\n]+@)?(?:www\.)?([^:\/\n]+)"")),"""")"),"classic.csunplugged.org")</f>
        <v>classic.csunplugged.org</v>
      </c>
      <c r="E3595" s="26" t="str">
        <f ca="1">IFERROR(__xludf.DUMMYFUNCTION("""COMPUTED_VALUE"""),"New")</f>
        <v>New</v>
      </c>
      <c r="F3595" s="72">
        <v>69</v>
      </c>
      <c r="G3595" s="72">
        <v>2267</v>
      </c>
      <c r="P3595" s="26"/>
    </row>
    <row r="3596" spans="1:16" ht="14.5">
      <c r="A3596" s="3" t="s">
        <v>255</v>
      </c>
      <c r="B3596" s="12" t="s">
        <v>2867</v>
      </c>
      <c r="C3596" s="46" t="s">
        <v>7528</v>
      </c>
      <c r="D3596" s="41" t="str">
        <f ca="1">IFERROR(__xludf.DUMMYFUNCTION("IFERROR(ARRAYFORMULA(REGEXEXTRACT(C3596,""^(?:https?:\/\/)?(?:[^@\n]+@)?(?:www\.)?([^:\/\n]+)"")),"""")"),"middleweb.com")</f>
        <v>middleweb.com</v>
      </c>
      <c r="E3596" s="26" t="str">
        <f ca="1">IFERROR(__xludf.DUMMYFUNCTION("""COMPUTED_VALUE"""),"New")</f>
        <v>New</v>
      </c>
      <c r="F3596" s="72">
        <v>61</v>
      </c>
      <c r="G3596" s="72">
        <v>4193</v>
      </c>
      <c r="P3596" s="26"/>
    </row>
    <row r="3597" spans="1:16" ht="14.5">
      <c r="A3597" s="3" t="s">
        <v>255</v>
      </c>
      <c r="B3597" s="12" t="s">
        <v>2867</v>
      </c>
      <c r="C3597" s="46" t="s">
        <v>7529</v>
      </c>
      <c r="D3597" s="41" t="str">
        <f ca="1">IFERROR(__xludf.DUMMYFUNCTION("IFERROR(ARRAYFORMULA(REGEXEXTRACT(C3597,""^(?:https?:\/\/)?(?:[^@\n]+@)?(?:www\.)?([^:\/\n]+)"")),"""")"),"open.ocolearnok.org")</f>
        <v>open.ocolearnok.org</v>
      </c>
      <c r="E3597" s="26" t="str">
        <f ca="1">IFERROR(__xludf.DUMMYFUNCTION("""COMPUTED_VALUE"""),"New")</f>
        <v>New</v>
      </c>
      <c r="F3597" s="72">
        <v>38</v>
      </c>
      <c r="G3597" s="72">
        <v>3295</v>
      </c>
      <c r="P3597" s="26"/>
    </row>
    <row r="3598" spans="1:16" ht="14.5">
      <c r="A3598" s="3" t="s">
        <v>255</v>
      </c>
      <c r="B3598" s="12" t="s">
        <v>2867</v>
      </c>
      <c r="C3598" s="46" t="s">
        <v>7530</v>
      </c>
      <c r="D3598" s="41" t="str">
        <f ca="1">IFERROR(__xludf.DUMMYFUNCTION("IFERROR(ARRAYFORMULA(REGEXEXTRACT(C3598,""^(?:https?:\/\/)?(?:[^@\n]+@)?(?:www\.)?([^:\/\n]+)"")),"""")"),"spark.iop.org")</f>
        <v>spark.iop.org</v>
      </c>
      <c r="E3598" s="26" t="str">
        <f ca="1">IFERROR(__xludf.DUMMYFUNCTION("""COMPUTED_VALUE"""),"New")</f>
        <v>New</v>
      </c>
      <c r="F3598" s="72">
        <v>90</v>
      </c>
      <c r="G3598" s="72">
        <v>149670</v>
      </c>
      <c r="P3598" s="26"/>
    </row>
    <row r="3599" spans="1:16" ht="14.5">
      <c r="A3599" s="3" t="s">
        <v>255</v>
      </c>
      <c r="B3599" s="12" t="s">
        <v>2867</v>
      </c>
      <c r="C3599" s="46" t="s">
        <v>7531</v>
      </c>
      <c r="D3599" s="41" t="str">
        <f ca="1">IFERROR(__xludf.DUMMYFUNCTION("IFERROR(ARRAYFORMULA(REGEXEXTRACT(C3599,""^(?:https?:\/\/)?(?:[^@\n]+@)?(?:www\.)?([^:\/\n]+)"")),"""")"),"acs.org")</f>
        <v>acs.org</v>
      </c>
      <c r="E3599" s="26" t="str">
        <f ca="1">IFERROR(__xludf.DUMMYFUNCTION("""COMPUTED_VALUE"""),"New")</f>
        <v>New</v>
      </c>
      <c r="F3599" s="72">
        <v>91</v>
      </c>
      <c r="G3599" s="72">
        <v>1512481</v>
      </c>
      <c r="P3599" s="26"/>
    </row>
    <row r="3600" spans="1:16" ht="14.5">
      <c r="A3600" s="3" t="s">
        <v>255</v>
      </c>
      <c r="B3600" s="12" t="s">
        <v>2867</v>
      </c>
      <c r="C3600" s="46" t="s">
        <v>7532</v>
      </c>
      <c r="D3600" s="41" t="str">
        <f ca="1">IFERROR(__xludf.DUMMYFUNCTION("IFERROR(ARRAYFORMULA(REGEXEXTRACT(C3600,""^(?:https?:\/\/)?(?:[^@\n]+@)?(?:www\.)?([^:\/\n]+)"")),"""")"),"blog.planbook.com")</f>
        <v>blog.planbook.com</v>
      </c>
      <c r="E3600" s="26" t="str">
        <f ca="1">IFERROR(__xludf.DUMMYFUNCTION("""COMPUTED_VALUE"""),"New")</f>
        <v>New</v>
      </c>
      <c r="F3600" s="72">
        <v>55</v>
      </c>
      <c r="G3600" s="72">
        <v>47344</v>
      </c>
      <c r="P3600" s="26"/>
    </row>
    <row r="3601" spans="1:16" ht="14.5">
      <c r="A3601" s="3" t="s">
        <v>255</v>
      </c>
      <c r="B3601" s="12" t="s">
        <v>2867</v>
      </c>
      <c r="C3601" s="46" t="s">
        <v>7533</v>
      </c>
      <c r="D3601" s="41" t="str">
        <f ca="1">IFERROR(__xludf.DUMMYFUNCTION("IFERROR(ARRAYFORMULA(REGEXEXTRACT(C3601,""^(?:https?:\/\/)?(?:[^@\n]+@)?(?:www\.)?([^:\/\n]+)"")),"""")"),"blog.teachersource.com")</f>
        <v>blog.teachersource.com</v>
      </c>
      <c r="E3601" s="26" t="str">
        <f ca="1">IFERROR(__xludf.DUMMYFUNCTION("""COMPUTED_VALUE"""),"New")</f>
        <v>New</v>
      </c>
      <c r="F3601" s="72">
        <v>56</v>
      </c>
      <c r="G3601" s="72">
        <v>13259</v>
      </c>
      <c r="P3601" s="26"/>
    </row>
    <row r="3602" spans="1:16" ht="14.5">
      <c r="A3602" s="3" t="s">
        <v>255</v>
      </c>
      <c r="B3602" s="12" t="s">
        <v>2867</v>
      </c>
      <c r="C3602" s="46" t="s">
        <v>7534</v>
      </c>
      <c r="D3602" s="41" t="str">
        <f ca="1">IFERROR(__xludf.DUMMYFUNCTION("IFERROR(ARRAYFORMULA(REGEXEXTRACT(C3602,""^(?:https?:\/\/)?(?:[^@\n]+@)?(?:www\.)?([^:\/\n]+)"")),"""")"),"icnetwork.org")</f>
        <v>icnetwork.org</v>
      </c>
      <c r="E3602" s="26" t="str">
        <f ca="1">IFERROR(__xludf.DUMMYFUNCTION("""COMPUTED_VALUE"""),"New")</f>
        <v>New</v>
      </c>
      <c r="F3602" s="72">
        <v>55</v>
      </c>
      <c r="G3602" s="72">
        <v>1410</v>
      </c>
      <c r="P3602" s="26"/>
    </row>
    <row r="3603" spans="1:16" ht="14.5">
      <c r="A3603" s="3" t="s">
        <v>255</v>
      </c>
      <c r="B3603" s="12" t="s">
        <v>2867</v>
      </c>
      <c r="C3603" s="46" t="s">
        <v>7535</v>
      </c>
      <c r="D3603" s="41" t="str">
        <f ca="1">IFERROR(__xludf.DUMMYFUNCTION("IFERROR(ARRAYFORMULA(REGEXEXTRACT(C3603,""^(?:https?:\/\/)?(?:[^@\n]+@)?(?:www\.)?([^:\/\n]+)"")),"""")"),"cleanet.org")</f>
        <v>cleanet.org</v>
      </c>
      <c r="E3603" s="26" t="str">
        <f ca="1">IFERROR(__xludf.DUMMYFUNCTION("""COMPUTED_VALUE"""),"New")</f>
        <v>New</v>
      </c>
      <c r="F3603" s="72">
        <v>62</v>
      </c>
      <c r="G3603" s="72">
        <v>3699</v>
      </c>
      <c r="P3603" s="26"/>
    </row>
    <row r="3604" spans="1:16" ht="14.5">
      <c r="A3604" s="3" t="s">
        <v>255</v>
      </c>
      <c r="B3604" s="12" t="s">
        <v>2867</v>
      </c>
      <c r="C3604" s="46" t="s">
        <v>7536</v>
      </c>
      <c r="D3604" s="41" t="str">
        <f ca="1">IFERROR(__xludf.DUMMYFUNCTION("IFERROR(ARRAYFORMULA(REGEXEXTRACT(C3604,""^(?:https?:\/\/)?(?:[^@\n]+@)?(?:www\.)?([^:\/\n]+)"")),"""")"),"kidsdiscover.com")</f>
        <v>kidsdiscover.com</v>
      </c>
      <c r="E3604" s="26" t="str">
        <f ca="1">IFERROR(__xludf.DUMMYFUNCTION("""COMPUTED_VALUE"""),"New")</f>
        <v>New</v>
      </c>
      <c r="F3604" s="72">
        <v>63</v>
      </c>
      <c r="G3604" s="72">
        <v>33305</v>
      </c>
      <c r="P3604" s="26"/>
    </row>
    <row r="3605" spans="1:16" ht="14.5">
      <c r="A3605" s="3" t="s">
        <v>255</v>
      </c>
      <c r="B3605" s="12" t="s">
        <v>2867</v>
      </c>
      <c r="C3605" s="46" t="s">
        <v>7537</v>
      </c>
      <c r="D3605" s="41" t="str">
        <f ca="1">IFERROR(__xludf.DUMMYFUNCTION("IFERROR(ARRAYFORMULA(REGEXEXTRACT(C3605,""^(?:https?:\/\/)?(?:[^@\n]+@)?(?:www\.)?([^:\/\n]+)"")),"""")"),"renewsysworld.com")</f>
        <v>renewsysworld.com</v>
      </c>
      <c r="E3605" s="26" t="str">
        <f ca="1">IFERROR(__xludf.DUMMYFUNCTION("""COMPUTED_VALUE"""),"New")</f>
        <v>New</v>
      </c>
      <c r="F3605" s="72">
        <v>35</v>
      </c>
      <c r="G3605" s="72">
        <v>3327</v>
      </c>
      <c r="P3605" s="26"/>
    </row>
    <row r="3606" spans="1:16" ht="14.5">
      <c r="A3606" s="3" t="s">
        <v>255</v>
      </c>
      <c r="B3606" s="12" t="s">
        <v>2867</v>
      </c>
      <c r="C3606" s="46" t="s">
        <v>7538</v>
      </c>
      <c r="D3606" s="41" t="str">
        <f ca="1">IFERROR(__xludf.DUMMYFUNCTION("IFERROR(ARRAYFORMULA(REGEXEXTRACT(C3606,""^(?:https?:\/\/)?(?:[^@\n]+@)?(?:www\.)?([^:\/\n]+)"")),"""")"),"thewonderofscience.com")</f>
        <v>thewonderofscience.com</v>
      </c>
      <c r="E3606" s="26" t="str">
        <f ca="1">IFERROR(__xludf.DUMMYFUNCTION("""COMPUTED_VALUE"""),"New")</f>
        <v>New</v>
      </c>
      <c r="F3606" s="72">
        <v>50</v>
      </c>
      <c r="G3606" s="72">
        <v>11067</v>
      </c>
      <c r="P3606" s="26"/>
    </row>
    <row r="3607" spans="1:16" ht="14.5">
      <c r="A3607" s="3" t="s">
        <v>255</v>
      </c>
      <c r="B3607" s="12" t="s">
        <v>2867</v>
      </c>
      <c r="C3607" s="46" t="s">
        <v>7539</v>
      </c>
      <c r="D3607" s="41" t="str">
        <f ca="1">IFERROR(__xludf.DUMMYFUNCTION("IFERROR(ARRAYFORMULA(REGEXEXTRACT(C3607,""^(?:https?:\/\/)?(?:[^@\n]+@)?(?:www\.)?([^:\/\n]+)"")),"""")"),"home-elevator.net")</f>
        <v>home-elevator.net</v>
      </c>
      <c r="E3607" s="26" t="str">
        <f ca="1">IFERROR(__xludf.DUMMYFUNCTION("""COMPUTED_VALUE"""),"New")</f>
        <v>New</v>
      </c>
      <c r="F3607" s="72">
        <v>28</v>
      </c>
      <c r="G3607" s="72">
        <v>1776</v>
      </c>
      <c r="P3607" s="26"/>
    </row>
    <row r="3608" spans="1:16" ht="14.5">
      <c r="A3608" s="3" t="s">
        <v>255</v>
      </c>
      <c r="B3608" s="12" t="s">
        <v>2867</v>
      </c>
      <c r="C3608" s="46" t="s">
        <v>7540</v>
      </c>
      <c r="D3608" s="41" t="str">
        <f ca="1">IFERROR(__xludf.DUMMYFUNCTION("IFERROR(ARRAYFORMULA(REGEXEXTRACT(C3608,""^(?:https?:\/\/)?(?:[^@\n]+@)?(?:www\.)?([^:\/\n]+)"")),"""")"),"easyteacherworksheets.com")</f>
        <v>easyteacherworksheets.com</v>
      </c>
      <c r="E3608" s="26" t="str">
        <f ca="1">IFERROR(__xludf.DUMMYFUNCTION("""COMPUTED_VALUE"""),"New")</f>
        <v>New</v>
      </c>
      <c r="F3608" s="72">
        <v>39</v>
      </c>
      <c r="G3608" s="72">
        <v>51733</v>
      </c>
      <c r="P3608" s="26"/>
    </row>
    <row r="3609" spans="1:16" ht="14.5">
      <c r="A3609" s="3" t="s">
        <v>255</v>
      </c>
      <c r="B3609" s="12" t="s">
        <v>2867</v>
      </c>
      <c r="C3609" s="46" t="s">
        <v>7541</v>
      </c>
      <c r="D3609" s="41" t="str">
        <f ca="1">IFERROR(__xludf.DUMMYFUNCTION("IFERROR(ARRAYFORMULA(REGEXEXTRACT(C3609,""^(?:https?:\/\/)?(?:[^@\n]+@)?(?:www\.)?([^:\/\n]+)"")),"""")"),"mathworks.com")</f>
        <v>mathworks.com</v>
      </c>
      <c r="E3609" s="26" t="str">
        <f ca="1">IFERROR(__xludf.DUMMYFUNCTION("""COMPUTED_VALUE"""),"New")</f>
        <v>New</v>
      </c>
      <c r="F3609" s="72">
        <v>86</v>
      </c>
      <c r="G3609" s="72">
        <v>1616506</v>
      </c>
      <c r="P3609" s="26"/>
    </row>
    <row r="3610" spans="1:16" ht="14.5">
      <c r="A3610" s="3" t="s">
        <v>255</v>
      </c>
      <c r="B3610" s="12" t="s">
        <v>2867</v>
      </c>
      <c r="C3610" s="46" t="s">
        <v>7542</v>
      </c>
      <c r="D3610" s="41" t="str">
        <f ca="1">IFERROR(__xludf.DUMMYFUNCTION("IFERROR(ARRAYFORMULA(REGEXEXTRACT(C3610,""^(?:https?:\/\/)?(?:[^@\n]+@)?(?:www\.)?([^:\/\n]+)"")),"""")"),"link.springer.com")</f>
        <v>link.springer.com</v>
      </c>
      <c r="E3610" s="26" t="str">
        <f ca="1">IFERROR(__xludf.DUMMYFUNCTION("""COMPUTED_VALUE"""),"New")</f>
        <v>New</v>
      </c>
      <c r="F3610" s="72">
        <v>93</v>
      </c>
      <c r="G3610" s="72">
        <v>1750360</v>
      </c>
      <c r="P3610" s="26"/>
    </row>
    <row r="3611" spans="1:16" ht="14.5">
      <c r="A3611" s="3" t="s">
        <v>255</v>
      </c>
      <c r="B3611" s="12" t="s">
        <v>2867</v>
      </c>
      <c r="C3611" s="46" t="s">
        <v>7543</v>
      </c>
      <c r="D3611" s="41" t="str">
        <f ca="1">IFERROR(__xludf.DUMMYFUNCTION("IFERROR(ARRAYFORMULA(REGEXEXTRACT(C3611,""^(?:https?:\/\/)?(?:[^@\n]+@)?(?:www\.)?([^:\/\n]+)"")),"""")"),"kidsparkeducation.org")</f>
        <v>kidsparkeducation.org</v>
      </c>
      <c r="E3611" s="26" t="str">
        <f ca="1">IFERROR(__xludf.DUMMYFUNCTION("""COMPUTED_VALUE"""),"New")</f>
        <v>New</v>
      </c>
      <c r="F3611" s="72">
        <v>43</v>
      </c>
      <c r="G3611" s="72">
        <v>1308</v>
      </c>
      <c r="P3611" s="26"/>
    </row>
    <row r="3612" spans="1:16" ht="14.5">
      <c r="A3612" s="3" t="s">
        <v>255</v>
      </c>
      <c r="B3612" s="12" t="s">
        <v>2867</v>
      </c>
      <c r="C3612" s="46" t="s">
        <v>7544</v>
      </c>
      <c r="D3612" s="41" t="str">
        <f ca="1">IFERROR(__xludf.DUMMYFUNCTION("IFERROR(ARRAYFORMULA(REGEXEXTRACT(C3612,""^(?:https?:\/\/)?(?:[^@\n]+@)?(?:www\.)?([^:\/\n]+)"")),"""")"),"sreb.org")</f>
        <v>sreb.org</v>
      </c>
      <c r="E3612" s="26" t="str">
        <f ca="1">IFERROR(__xludf.DUMMYFUNCTION("""COMPUTED_VALUE"""),"New")</f>
        <v>New</v>
      </c>
      <c r="F3612" s="72">
        <v>71</v>
      </c>
      <c r="G3612" s="72">
        <v>3915</v>
      </c>
      <c r="P3612" s="26"/>
    </row>
    <row r="3613" spans="1:16" ht="14.5">
      <c r="A3613" s="3" t="s">
        <v>255</v>
      </c>
      <c r="B3613" s="12" t="s">
        <v>2867</v>
      </c>
      <c r="C3613" s="46" t="s">
        <v>7545</v>
      </c>
      <c r="D3613" s="41" t="str">
        <f ca="1">IFERROR(__xludf.DUMMYFUNCTION("IFERROR(ARRAYFORMULA(REGEXEXTRACT(C3613,""^(?:https?:\/\/)?(?:[^@\n]+@)?(?:www\.)?([^:\/\n]+)"")),"""")"),"simplyspecialed.com")</f>
        <v>simplyspecialed.com</v>
      </c>
      <c r="E3613" s="26" t="str">
        <f ca="1">IFERROR(__xludf.DUMMYFUNCTION("""COMPUTED_VALUE"""),"New")</f>
        <v>New</v>
      </c>
      <c r="F3613" s="72">
        <v>31</v>
      </c>
      <c r="G3613" s="72">
        <v>5631</v>
      </c>
      <c r="P3613" s="26"/>
    </row>
    <row r="3614" spans="1:16" ht="14.5">
      <c r="A3614" s="3" t="s">
        <v>255</v>
      </c>
      <c r="B3614" s="12" t="s">
        <v>2867</v>
      </c>
      <c r="C3614" s="46" t="s">
        <v>7546</v>
      </c>
      <c r="D3614" s="41" t="str">
        <f ca="1">IFERROR(__xludf.DUMMYFUNCTION("IFERROR(ARRAYFORMULA(REGEXEXTRACT(C3614,""^(?:https?:\/\/)?(?:[^@\n]+@)?(?:www\.)?([^:\/\n]+)"")),"""")"),"clearinghouse.starnetlibraries.org")</f>
        <v>clearinghouse.starnetlibraries.org</v>
      </c>
      <c r="E3614" s="26" t="str">
        <f ca="1">IFERROR(__xludf.DUMMYFUNCTION("""COMPUTED_VALUE"""),"New")</f>
        <v>New</v>
      </c>
      <c r="F3614" s="72">
        <v>59</v>
      </c>
      <c r="G3614" s="72">
        <v>2656</v>
      </c>
      <c r="P3614" s="26"/>
    </row>
    <row r="3615" spans="1:16" ht="14.5">
      <c r="A3615" s="3" t="s">
        <v>255</v>
      </c>
      <c r="B3615" s="12" t="s">
        <v>2867</v>
      </c>
      <c r="C3615" s="46" t="s">
        <v>7547</v>
      </c>
      <c r="D3615" s="41" t="str">
        <f ca="1">IFERROR(__xludf.DUMMYFUNCTION("IFERROR(ARRAYFORMULA(REGEXEXTRACT(C3615,""^(?:https?:\/\/)?(?:[^@\n]+@)?(?:www\.)?([^:\/\n]+)"")),"""")"),"thetech.org")</f>
        <v>thetech.org</v>
      </c>
      <c r="E3615" s="26" t="str">
        <f ca="1">IFERROR(__xludf.DUMMYFUNCTION("""COMPUTED_VALUE"""),"New")</f>
        <v>New</v>
      </c>
      <c r="F3615" s="72">
        <v>75</v>
      </c>
      <c r="G3615" s="72">
        <v>43147</v>
      </c>
      <c r="P3615" s="26"/>
    </row>
    <row r="3616" spans="1:16" ht="14.5">
      <c r="A3616" s="3" t="s">
        <v>255</v>
      </c>
      <c r="B3616" s="12" t="s">
        <v>2867</v>
      </c>
      <c r="C3616" s="46" t="s">
        <v>7548</v>
      </c>
      <c r="D3616" s="41" t="str">
        <f ca="1">IFERROR(__xludf.DUMMYFUNCTION("IFERROR(ARRAYFORMULA(REGEXEXTRACT(C3616,""^(?:https?:\/\/)?(?:[^@\n]+@)?(?:www\.)?([^:\/\n]+)"")),"""")"),"discovere.org")</f>
        <v>discovere.org</v>
      </c>
      <c r="E3616" s="26" t="str">
        <f ca="1">IFERROR(__xludf.DUMMYFUNCTION("""COMPUTED_VALUE"""),"New")</f>
        <v>New</v>
      </c>
      <c r="F3616" s="72">
        <v>69</v>
      </c>
      <c r="G3616" s="72">
        <v>8134</v>
      </c>
      <c r="P3616" s="26"/>
    </row>
    <row r="3617" spans="1:16" ht="14.5">
      <c r="A3617" s="3" t="s">
        <v>255</v>
      </c>
      <c r="B3617" s="12" t="s">
        <v>2867</v>
      </c>
      <c r="C3617" s="46" t="s">
        <v>7549</v>
      </c>
      <c r="D3617" s="41" t="str">
        <f ca="1">IFERROR(__xludf.DUMMYFUNCTION("IFERROR(ARRAYFORMULA(REGEXEXTRACT(C3617,""^(?:https?:\/\/)?(?:[^@\n]+@)?(?:www\.)?([^:\/\n]+)"")),"""")"),"snexplores.org")</f>
        <v>snexplores.org</v>
      </c>
      <c r="E3617" s="26" t="str">
        <f ca="1">IFERROR(__xludf.DUMMYFUNCTION("""COMPUTED_VALUE"""),"New")</f>
        <v>New</v>
      </c>
      <c r="F3617" s="72">
        <v>75</v>
      </c>
      <c r="G3617" s="72">
        <v>57886</v>
      </c>
      <c r="P3617" s="26"/>
    </row>
    <row r="3618" spans="1:16" ht="14.5">
      <c r="A3618" s="3" t="s">
        <v>255</v>
      </c>
      <c r="B3618" s="12" t="s">
        <v>2867</v>
      </c>
      <c r="C3618" s="46" t="s">
        <v>7550</v>
      </c>
      <c r="D3618" s="41" t="str">
        <f ca="1">IFERROR(__xludf.DUMMYFUNCTION("IFERROR(ARRAYFORMULA(REGEXEXTRACT(C3618,""^(?:https?:\/\/)?(?:[^@\n]+@)?(?:www\.)?([^:\/\n]+)"")),"""")"),"mhelpdesk.com")</f>
        <v>mhelpdesk.com</v>
      </c>
      <c r="E3618" s="26" t="str">
        <f ca="1">IFERROR(__xludf.DUMMYFUNCTION("""COMPUTED_VALUE"""),"New")</f>
        <v>New</v>
      </c>
      <c r="F3618" s="72">
        <v>61</v>
      </c>
      <c r="G3618" s="72">
        <v>4347</v>
      </c>
      <c r="P3618" s="26"/>
    </row>
    <row r="3619" spans="1:16" ht="14.5">
      <c r="A3619" s="3" t="s">
        <v>255</v>
      </c>
      <c r="B3619" s="12" t="s">
        <v>2867</v>
      </c>
      <c r="C3619" s="46" t="s">
        <v>7551</v>
      </c>
      <c r="D3619" s="41" t="str">
        <f ca="1">IFERROR(__xludf.DUMMYFUNCTION("IFERROR(ARRAYFORMULA(REGEXEXTRACT(C3619,""^(?:https?:\/\/)?(?:[^@\n]+@)?(?:www\.)?([^:\/\n]+)"")),"""")"),"kiwico.com")</f>
        <v>kiwico.com</v>
      </c>
      <c r="E3619" s="26" t="str">
        <f ca="1">IFERROR(__xludf.DUMMYFUNCTION("""COMPUTED_VALUE"""),"New")</f>
        <v>New</v>
      </c>
      <c r="F3619" s="72">
        <v>74</v>
      </c>
      <c r="G3619" s="72">
        <v>125689</v>
      </c>
      <c r="P3619" s="26"/>
    </row>
    <row r="3620" spans="1:16" ht="14.5">
      <c r="A3620" s="3" t="s">
        <v>255</v>
      </c>
      <c r="B3620" s="12" t="s">
        <v>2867</v>
      </c>
      <c r="C3620" s="46" t="s">
        <v>7552</v>
      </c>
      <c r="D3620" s="41" t="str">
        <f ca="1">IFERROR(__xludf.DUMMYFUNCTION("IFERROR(ARRAYFORMULA(REGEXEXTRACT(C3620,""^(?:https?:\/\/)?(?:[^@\n]+@)?(?:www\.)?([^:\/\n]+)"")),"""")"),"technomaxme.com")</f>
        <v>technomaxme.com</v>
      </c>
      <c r="E3620" s="26" t="str">
        <f ca="1">IFERROR(__xludf.DUMMYFUNCTION("""COMPUTED_VALUE"""),"New")</f>
        <v>New</v>
      </c>
      <c r="F3620" s="72">
        <v>20</v>
      </c>
      <c r="G3620" s="72">
        <v>3307</v>
      </c>
      <c r="P3620" s="26"/>
    </row>
    <row r="3621" spans="1:16" ht="14.5">
      <c r="A3621" s="3" t="s">
        <v>255</v>
      </c>
      <c r="B3621" s="12" t="s">
        <v>2867</v>
      </c>
      <c r="C3621" s="46" t="s">
        <v>7553</v>
      </c>
      <c r="D3621" s="41" t="str">
        <f ca="1">IFERROR(__xludf.DUMMYFUNCTION("IFERROR(ARRAYFORMULA(REGEXEXTRACT(C3621,""^(?:https?:\/\/)?(?:[^@\n]+@)?(?:www\.)?([^:\/\n]+)"")),"""")"),"teachchemistry.org")</f>
        <v>teachchemistry.org</v>
      </c>
      <c r="E3621" s="26" t="str">
        <f ca="1">IFERROR(__xludf.DUMMYFUNCTION("""COMPUTED_VALUE"""),"New")</f>
        <v>New</v>
      </c>
      <c r="F3621" s="72">
        <v>56</v>
      </c>
      <c r="G3621" s="72">
        <v>5839</v>
      </c>
      <c r="P3621" s="26"/>
    </row>
    <row r="3622" spans="1:16" ht="14.5">
      <c r="A3622" s="3" t="s">
        <v>255</v>
      </c>
      <c r="B3622" s="12" t="s">
        <v>2867</v>
      </c>
      <c r="C3622" s="46" t="s">
        <v>7554</v>
      </c>
      <c r="D3622" s="41" t="str">
        <f ca="1">IFERROR(__xludf.DUMMYFUNCTION("IFERROR(ARRAYFORMULA(REGEXEXTRACT(C3622,""^(?:https?:\/\/)?(?:[^@\n]+@)?(?:www\.)?([^:\/\n]+)"")),"""")"),"vet.tufts.edu")</f>
        <v>vet.tufts.edu</v>
      </c>
      <c r="E3622" s="26" t="str">
        <f ca="1">IFERROR(__xludf.DUMMYFUNCTION("""COMPUTED_VALUE"""),"New")</f>
        <v>New</v>
      </c>
      <c r="F3622" s="72">
        <v>89</v>
      </c>
      <c r="G3622" s="72">
        <v>8489647</v>
      </c>
      <c r="P3622" s="26"/>
    </row>
    <row r="3623" spans="1:16" ht="14.5">
      <c r="A3623" s="3" t="s">
        <v>255</v>
      </c>
      <c r="B3623" s="12" t="s">
        <v>2867</v>
      </c>
      <c r="C3623" s="46" t="s">
        <v>7555</v>
      </c>
      <c r="D3623" s="41" t="str">
        <f ca="1">IFERROR(__xludf.DUMMYFUNCTION("IFERROR(ARRAYFORMULA(REGEXEXTRACT(C3623,""^(?:https?:\/\/)?(?:[^@\n]+@)?(?:www\.)?([^:\/\n]+)"")),"""")"),"nstem.org")</f>
        <v>nstem.org</v>
      </c>
      <c r="E3623" s="26" t="str">
        <f ca="1">IFERROR(__xludf.DUMMYFUNCTION("""COMPUTED_VALUE"""),"New")</f>
        <v>New</v>
      </c>
      <c r="F3623" s="72">
        <v>33</v>
      </c>
      <c r="G3623" s="72">
        <v>1401</v>
      </c>
      <c r="P3623" s="26"/>
    </row>
    <row r="3624" spans="1:16" ht="14.5">
      <c r="A3624" s="3" t="s">
        <v>255</v>
      </c>
      <c r="B3624" s="12" t="s">
        <v>2867</v>
      </c>
      <c r="C3624" s="46" t="s">
        <v>7556</v>
      </c>
      <c r="D3624" s="41" t="str">
        <f ca="1">IFERROR(__xludf.DUMMYFUNCTION("IFERROR(ARRAYFORMULA(REGEXEXTRACT(C3624,""^(?:https?:\/\/)?(?:[^@\n]+@)?(?:www\.)?([^:\/\n]+)"")),"""")"),"invent.org")</f>
        <v>invent.org</v>
      </c>
      <c r="E3624" s="26" t="str">
        <f ca="1">IFERROR(__xludf.DUMMYFUNCTION("""COMPUTED_VALUE"""),"New")</f>
        <v>New</v>
      </c>
      <c r="F3624" s="72">
        <v>76</v>
      </c>
      <c r="G3624" s="72">
        <v>109138</v>
      </c>
      <c r="P3624" s="26"/>
    </row>
    <row r="3625" spans="1:16" ht="14.5">
      <c r="A3625" s="3" t="s">
        <v>255</v>
      </c>
      <c r="B3625" s="12" t="s">
        <v>2867</v>
      </c>
      <c r="C3625" s="46" t="s">
        <v>7557</v>
      </c>
      <c r="D3625" s="41" t="str">
        <f ca="1">IFERROR(__xludf.DUMMYFUNCTION("IFERROR(ARRAYFORMULA(REGEXEXTRACT(C3625,""^(?:https?:\/\/)?(?:[^@\n]+@)?(?:www\.)?([^:\/\n]+)"")),"""")"),"sciencebuddies.org")</f>
        <v>sciencebuddies.org</v>
      </c>
      <c r="E3625" s="26" t="str">
        <f ca="1">IFERROR(__xludf.DUMMYFUNCTION("""COMPUTED_VALUE"""),"New")</f>
        <v>New</v>
      </c>
      <c r="F3625" s="72">
        <v>75</v>
      </c>
      <c r="G3625" s="72">
        <v>541322</v>
      </c>
      <c r="P3625" s="26"/>
    </row>
    <row r="3626" spans="1:16" ht="14.5">
      <c r="A3626" s="3" t="s">
        <v>255</v>
      </c>
      <c r="B3626" s="12" t="s">
        <v>2867</v>
      </c>
      <c r="C3626" s="46" t="s">
        <v>7558</v>
      </c>
      <c r="D3626" s="41" t="str">
        <f ca="1">IFERROR(__xludf.DUMMYFUNCTION("IFERROR(ARRAYFORMULA(REGEXEXTRACT(C3626,""^(?:https?:\/\/)?(?:[^@\n]+@)?(?:www\.)?([^:\/\n]+)"")),"""")"),"bsky.app")</f>
        <v>bsky.app</v>
      </c>
      <c r="E3626" s="26" t="str">
        <f ca="1">IFERROR(__xludf.DUMMYFUNCTION("""COMPUTED_VALUE"""),"New")</f>
        <v>New</v>
      </c>
      <c r="F3626" s="72">
        <v>94</v>
      </c>
      <c r="G3626" s="72">
        <v>1381773</v>
      </c>
      <c r="P3626" s="26"/>
    </row>
    <row r="3627" spans="1:16" ht="14.5">
      <c r="A3627" s="3" t="s">
        <v>255</v>
      </c>
      <c r="B3627" s="12" t="s">
        <v>2867</v>
      </c>
      <c r="C3627" s="46" t="s">
        <v>7559</v>
      </c>
      <c r="D3627" s="41" t="str">
        <f ca="1">IFERROR(__xludf.DUMMYFUNCTION("IFERROR(ARRAYFORMULA(REGEXEXTRACT(C3627,""^(?:https?:\/\/)?(?:[^@\n]+@)?(?:www\.)?([^:\/\n]+)"")),"""")"),"open.oregonstate.education")</f>
        <v>open.oregonstate.education</v>
      </c>
      <c r="E3627" s="26" t="str">
        <f ca="1">IFERROR(__xludf.DUMMYFUNCTION("""COMPUTED_VALUE"""),"New")</f>
        <v>New</v>
      </c>
      <c r="F3627" s="72">
        <v>65</v>
      </c>
      <c r="G3627" s="72">
        <v>83762</v>
      </c>
      <c r="P3627" s="26"/>
    </row>
    <row r="3628" spans="1:16" ht="14.5">
      <c r="A3628" s="3" t="s">
        <v>255</v>
      </c>
      <c r="B3628" s="12" t="s">
        <v>2867</v>
      </c>
      <c r="C3628" s="46" t="s">
        <v>7560</v>
      </c>
      <c r="D3628" s="41" t="str">
        <f ca="1">IFERROR(__xludf.DUMMYFUNCTION("IFERROR(ARRAYFORMULA(REGEXEXTRACT(C3628,""^(?:https?:\/\/)?(?:[^@\n]+@)?(?:www\.)?([^:\/\n]+)"")),"""")"),"ceramics.org")</f>
        <v>ceramics.org</v>
      </c>
      <c r="E3628" s="26" t="str">
        <f ca="1">IFERROR(__xludf.DUMMYFUNCTION("""COMPUTED_VALUE"""),"New")</f>
        <v>New</v>
      </c>
      <c r="F3628" s="72">
        <v>72</v>
      </c>
      <c r="G3628" s="72">
        <v>17077</v>
      </c>
      <c r="P3628" s="26"/>
    </row>
    <row r="3629" spans="1:16" ht="14.5">
      <c r="A3629" s="3" t="s">
        <v>255</v>
      </c>
      <c r="B3629" s="12" t="s">
        <v>2867</v>
      </c>
      <c r="C3629" s="46" t="s">
        <v>7561</v>
      </c>
      <c r="D3629" s="41" t="str">
        <f ca="1">IFERROR(__xludf.DUMMYFUNCTION("IFERROR(ARRAYFORMULA(REGEXEXTRACT(C3629,""^(?:https?:\/\/)?(?:[^@\n]+@)?(?:www\.)?([^:\/\n]+)"")),"""")"),"neefusa.org")</f>
        <v>neefusa.org</v>
      </c>
      <c r="E3629" s="26" t="str">
        <f ca="1">IFERROR(__xludf.DUMMYFUNCTION("""COMPUTED_VALUE"""),"New")</f>
        <v>New</v>
      </c>
      <c r="F3629" s="72">
        <v>74</v>
      </c>
      <c r="G3629" s="72">
        <v>8923</v>
      </c>
      <c r="P3629" s="26"/>
    </row>
    <row r="3630" spans="1:16" ht="14.5">
      <c r="A3630" s="3" t="s">
        <v>255</v>
      </c>
      <c r="B3630" s="12" t="s">
        <v>2867</v>
      </c>
      <c r="C3630" s="46" t="s">
        <v>7562</v>
      </c>
      <c r="D3630" s="41" t="str">
        <f ca="1">IFERROR(__xludf.DUMMYFUNCTION("IFERROR(ARRAYFORMULA(REGEXEXTRACT(C3630,""^(?:https?:\/\/)?(?:[^@\n]+@)?(?:www\.)?([^:\/\n]+)"")),"""")"),"uen.org")</f>
        <v>uen.org</v>
      </c>
      <c r="E3630" s="26" t="str">
        <f ca="1">IFERROR(__xludf.DUMMYFUNCTION("""COMPUTED_VALUE"""),"New")</f>
        <v>New</v>
      </c>
      <c r="F3630" s="72">
        <v>72</v>
      </c>
      <c r="G3630" s="72">
        <v>24988</v>
      </c>
      <c r="P3630" s="26"/>
    </row>
    <row r="3631" spans="1:16" ht="14.5">
      <c r="A3631" s="3" t="s">
        <v>255</v>
      </c>
      <c r="B3631" s="12" t="s">
        <v>2867</v>
      </c>
      <c r="C3631" s="46" t="s">
        <v>7563</v>
      </c>
      <c r="D3631" s="41" t="str">
        <f ca="1">IFERROR(__xludf.DUMMYFUNCTION("IFERROR(ARRAYFORMULA(REGEXEXTRACT(C3631,""^(?:https?:\/\/)?(?:[^@\n]+@)?(?:www\.)?([^:\/\n]+)"")),"""")"),"cod.edu")</f>
        <v>cod.edu</v>
      </c>
      <c r="E3631" s="26" t="str">
        <f ca="1">IFERROR(__xludf.DUMMYFUNCTION("""COMPUTED_VALUE"""),"New")</f>
        <v>New</v>
      </c>
      <c r="F3631" s="72">
        <v>74</v>
      </c>
      <c r="G3631" s="72">
        <v>64683</v>
      </c>
      <c r="P3631" s="26"/>
    </row>
    <row r="3632" spans="1:16" ht="14.5">
      <c r="A3632" s="3" t="s">
        <v>255</v>
      </c>
      <c r="B3632" s="12" t="s">
        <v>2867</v>
      </c>
      <c r="C3632" s="46" t="s">
        <v>7564</v>
      </c>
      <c r="D3632" s="41" t="str">
        <f ca="1">IFERROR(__xludf.DUMMYFUNCTION("IFERROR(ARRAYFORMULA(REGEXEXTRACT(C3632,""^(?:https?:\/\/)?(?:[^@\n]+@)?(?:www\.)?([^:\/\n]+)"")),"""")"),"zenadrone.com")</f>
        <v>zenadrone.com</v>
      </c>
      <c r="E3632" s="26" t="str">
        <f ca="1">IFERROR(__xludf.DUMMYFUNCTION("""COMPUTED_VALUE"""),"New")</f>
        <v>New</v>
      </c>
      <c r="F3632" s="72">
        <v>39</v>
      </c>
      <c r="G3632" s="72">
        <v>2218</v>
      </c>
      <c r="P3632" s="26"/>
    </row>
    <row r="3633" spans="1:16" ht="14.5">
      <c r="A3633" s="3" t="s">
        <v>255</v>
      </c>
      <c r="B3633" s="12" t="s">
        <v>2867</v>
      </c>
      <c r="C3633" s="46" t="s">
        <v>7565</v>
      </c>
      <c r="D3633" s="41" t="str">
        <f ca="1">IFERROR(__xludf.DUMMYFUNCTION("IFERROR(ARRAYFORMULA(REGEXEXTRACT(C3633,""^(?:https?:\/\/)?(?:[^@\n]+@)?(?:www\.)?([^:\/\n]+)"")),"""")"),"kidsclubaba.com")</f>
        <v>kidsclubaba.com</v>
      </c>
      <c r="E3633" s="26" t="str">
        <f ca="1">IFERROR(__xludf.DUMMYFUNCTION("""COMPUTED_VALUE"""),"New")</f>
        <v>New</v>
      </c>
      <c r="F3633" s="72">
        <v>29</v>
      </c>
      <c r="G3633" s="72">
        <v>4600</v>
      </c>
      <c r="P3633" s="26"/>
    </row>
    <row r="3634" spans="1:16" ht="14.5">
      <c r="A3634" s="3" t="s">
        <v>255</v>
      </c>
      <c r="B3634" s="12" t="s">
        <v>2867</v>
      </c>
      <c r="C3634" s="46" t="s">
        <v>7566</v>
      </c>
      <c r="D3634" s="41" t="str">
        <f ca="1">IFERROR(__xludf.DUMMYFUNCTION("IFERROR(ARRAYFORMULA(REGEXEXTRACT(C3634,""^(?:https?:\/\/)?(?:[^@\n]+@)?(?:www\.)?([^:\/\n]+)"")),"""")"),"nisenet.org")</f>
        <v>nisenet.org</v>
      </c>
      <c r="E3634" s="26" t="str">
        <f ca="1">IFERROR(__xludf.DUMMYFUNCTION("""COMPUTED_VALUE"""),"New")</f>
        <v>New</v>
      </c>
      <c r="F3634" s="72">
        <v>61</v>
      </c>
      <c r="G3634" s="72">
        <v>7123</v>
      </c>
      <c r="P3634" s="26"/>
    </row>
    <row r="3635" spans="1:16" ht="14.5">
      <c r="A3635" s="3" t="s">
        <v>255</v>
      </c>
      <c r="B3635" s="12" t="s">
        <v>2867</v>
      </c>
      <c r="C3635" s="46" t="s">
        <v>7567</v>
      </c>
      <c r="D3635" s="41" t="str">
        <f ca="1">IFERROR(__xludf.DUMMYFUNCTION("IFERROR(ARRAYFORMULA(REGEXEXTRACT(C3635,""^(?:https?:\/\/)?(?:[^@\n]+@)?(?:www\.)?([^:\/\n]+)"")),"""")"),"weather.gov")</f>
        <v>weather.gov</v>
      </c>
      <c r="E3635" s="26" t="str">
        <f ca="1">IFERROR(__xludf.DUMMYFUNCTION("""COMPUTED_VALUE"""),"New")</f>
        <v>New</v>
      </c>
      <c r="F3635" s="72">
        <v>91</v>
      </c>
      <c r="G3635" s="72">
        <v>9963831</v>
      </c>
      <c r="P3635" s="26"/>
    </row>
    <row r="3636" spans="1:16" ht="14.5">
      <c r="A3636" s="3" t="s">
        <v>255</v>
      </c>
      <c r="B3636" s="12" t="s">
        <v>2867</v>
      </c>
      <c r="C3636" s="46" t="s">
        <v>7568</v>
      </c>
      <c r="D3636" s="41" t="str">
        <f ca="1">IFERROR(__xludf.DUMMYFUNCTION("IFERROR(ARRAYFORMULA(REGEXEXTRACT(C3636,""^(?:https?:\/\/)?(?:[^@\n]+@)?(?:www\.)?([^:\/\n]+)"")),"""")"),"sciencelessonsthatrock.com")</f>
        <v>sciencelessonsthatrock.com</v>
      </c>
      <c r="E3636" s="26" t="str">
        <f ca="1">IFERROR(__xludf.DUMMYFUNCTION("""COMPUTED_VALUE"""),"New")</f>
        <v>New</v>
      </c>
      <c r="F3636" s="72">
        <v>25</v>
      </c>
      <c r="G3636" s="72">
        <v>3886</v>
      </c>
      <c r="P3636" s="26"/>
    </row>
    <row r="3637" spans="1:16" ht="14.5">
      <c r="A3637" s="3" t="s">
        <v>255</v>
      </c>
      <c r="B3637" s="12" t="s">
        <v>2867</v>
      </c>
      <c r="C3637" s="46" t="s">
        <v>7569</v>
      </c>
      <c r="D3637" s="41" t="str">
        <f ca="1">IFERROR(__xludf.DUMMYFUNCTION("IFERROR(ARRAYFORMULA(REGEXEXTRACT(C3637,""^(?:https?:\/\/)?(?:[^@\n]+@)?(?:www\.)?([^:\/\n]+)"")),"""")"),"getintoenergy.org")</f>
        <v>getintoenergy.org</v>
      </c>
      <c r="E3637" s="26" t="str">
        <f ca="1">IFERROR(__xludf.DUMMYFUNCTION("""COMPUTED_VALUE"""),"New")</f>
        <v>New</v>
      </c>
      <c r="F3637" s="72">
        <v>48</v>
      </c>
      <c r="G3637" s="72">
        <v>4230</v>
      </c>
      <c r="P3637" s="26"/>
    </row>
    <row r="3638" spans="1:16" ht="14.5">
      <c r="A3638" s="3" t="s">
        <v>255</v>
      </c>
      <c r="B3638" s="12" t="s">
        <v>2867</v>
      </c>
      <c r="C3638" s="46" t="s">
        <v>7570</v>
      </c>
      <c r="D3638" s="41" t="str">
        <f ca="1">IFERROR(__xludf.DUMMYFUNCTION("IFERROR(ARRAYFORMULA(REGEXEXTRACT(C3638,""^(?:https?:\/\/)?(?:[^@\n]+@)?(?:www\.)?([^:\/\n]+)"")),"""")"),"eng.umd.edu")</f>
        <v>eng.umd.edu</v>
      </c>
      <c r="E3638" s="26" t="str">
        <f ca="1">IFERROR(__xludf.DUMMYFUNCTION("""COMPUTED_VALUE"""),"New")</f>
        <v>New</v>
      </c>
      <c r="F3638" s="72">
        <v>90</v>
      </c>
      <c r="G3638" s="72">
        <v>836163</v>
      </c>
      <c r="P3638" s="26"/>
    </row>
    <row r="3639" spans="1:16" ht="14.5">
      <c r="A3639" s="3" t="s">
        <v>255</v>
      </c>
      <c r="B3639" s="12" t="s">
        <v>2867</v>
      </c>
      <c r="C3639" s="46" t="s">
        <v>7571</v>
      </c>
      <c r="D3639" s="41" t="str">
        <f ca="1">IFERROR(__xludf.DUMMYFUNCTION("IFERROR(ARRAYFORMULA(REGEXEXTRACT(C3639,""^(?:https?:\/\/)?(?:[^@\n]+@)?(?:www\.)?([^:\/\n]+)"")),"""")"),"ext.vt.edu")</f>
        <v>ext.vt.edu</v>
      </c>
      <c r="E3639" s="26" t="str">
        <f ca="1">IFERROR(__xludf.DUMMYFUNCTION("""COMPUTED_VALUE"""),"New")</f>
        <v>New</v>
      </c>
      <c r="F3639" s="72">
        <v>88</v>
      </c>
      <c r="G3639" s="72">
        <v>561451</v>
      </c>
      <c r="P3639" s="26"/>
    </row>
    <row r="3640" spans="1:16" ht="14.5">
      <c r="A3640" s="3" t="s">
        <v>255</v>
      </c>
      <c r="B3640" s="12" t="s">
        <v>2867</v>
      </c>
      <c r="C3640" s="46" t="s">
        <v>7572</v>
      </c>
      <c r="D3640" s="41" t="str">
        <f ca="1">IFERROR(__xludf.DUMMYFUNCTION("IFERROR(ARRAYFORMULA(REGEXEXTRACT(C3640,""^(?:https?:\/\/)?(?:[^@\n]+@)?(?:www\.)?([^:\/\n]+)"")),"""")"),"seagrant.whoi.edu")</f>
        <v>seagrant.whoi.edu</v>
      </c>
      <c r="E3640" s="26" t="str">
        <f ca="1">IFERROR(__xludf.DUMMYFUNCTION("""COMPUTED_VALUE"""),"New")</f>
        <v>New</v>
      </c>
      <c r="F3640" s="72">
        <v>80</v>
      </c>
      <c r="G3640" s="72">
        <v>122144</v>
      </c>
      <c r="P3640" s="26"/>
    </row>
    <row r="3641" spans="1:16" ht="14.5">
      <c r="A3641" s="3" t="s">
        <v>255</v>
      </c>
      <c r="B3641" s="12" t="s">
        <v>2867</v>
      </c>
      <c r="C3641" s="46" t="s">
        <v>7573</v>
      </c>
      <c r="D3641" s="41" t="str">
        <f ca="1">IFERROR(__xludf.DUMMYFUNCTION("IFERROR(ARRAYFORMULA(REGEXEXTRACT(C3641,""^(?:https?:\/\/)?(?:[^@\n]+@)?(?:www\.)?([^:\/\n]+)"")),"""")"),"dcwater.com")</f>
        <v>dcwater.com</v>
      </c>
      <c r="E3641" s="26" t="str">
        <f ca="1">IFERROR(__xludf.DUMMYFUNCTION("""COMPUTED_VALUE"""),"New")</f>
        <v>New</v>
      </c>
      <c r="F3641" s="72">
        <v>67</v>
      </c>
      <c r="G3641" s="72">
        <v>9177</v>
      </c>
      <c r="P3641" s="26"/>
    </row>
    <row r="3642" spans="1:16" ht="14.5">
      <c r="A3642" s="3" t="s">
        <v>255</v>
      </c>
      <c r="B3642" s="12" t="s">
        <v>2867</v>
      </c>
      <c r="C3642" s="46" t="s">
        <v>7574</v>
      </c>
      <c r="D3642" s="41" t="str">
        <f ca="1">IFERROR(__xludf.DUMMYFUNCTION("IFERROR(ARRAYFORMULA(REGEXEXTRACT(C3642,""^(?:https?:\/\/)?(?:[^@\n]+@)?(?:www\.)?([^:\/\n]+)"")),"""")"),"hbgdiocese.org")</f>
        <v>hbgdiocese.org</v>
      </c>
      <c r="E3642" s="26" t="str">
        <f ca="1">IFERROR(__xludf.DUMMYFUNCTION("""COMPUTED_VALUE"""),"New")</f>
        <v>New</v>
      </c>
      <c r="F3642" s="72">
        <v>53</v>
      </c>
      <c r="G3642" s="72">
        <v>6904</v>
      </c>
      <c r="P3642" s="26"/>
    </row>
    <row r="3643" spans="1:16" ht="14.5">
      <c r="A3643" s="3" t="s">
        <v>255</v>
      </c>
      <c r="B3643" s="12" t="s">
        <v>2867</v>
      </c>
      <c r="C3643" s="46" t="s">
        <v>7575</v>
      </c>
      <c r="D3643" s="41" t="str">
        <f ca="1">IFERROR(__xludf.DUMMYFUNCTION("IFERROR(ARRAYFORMULA(REGEXEXTRACT(C3643,""^(?:https?:\/\/)?(?:[^@\n]+@)?(?:www\.)?([^:\/\n]+)"")),"""")"),"stelar.edc.org")</f>
        <v>stelar.edc.org</v>
      </c>
      <c r="E3643" s="26" t="str">
        <f ca="1">IFERROR(__xludf.DUMMYFUNCTION("""COMPUTED_VALUE"""),"New")</f>
        <v>New</v>
      </c>
      <c r="F3643" s="72">
        <v>78</v>
      </c>
      <c r="G3643" s="72">
        <v>57009</v>
      </c>
      <c r="P3643" s="26"/>
    </row>
    <row r="3644" spans="1:16" ht="14.5">
      <c r="A3644" s="3" t="s">
        <v>255</v>
      </c>
      <c r="B3644" s="12" t="s">
        <v>2867</v>
      </c>
      <c r="C3644" s="46" t="s">
        <v>7576</v>
      </c>
      <c r="D3644" s="41" t="str">
        <f ca="1">IFERROR(__xludf.DUMMYFUNCTION("IFERROR(ARRAYFORMULA(REGEXEXTRACT(C3644,""^(?:https?:\/\/)?(?:[^@\n]+@)?(?:www\.)?([^:\/\n]+)"")),"""")"),"particle.scitech.org.au")</f>
        <v>particle.scitech.org.au</v>
      </c>
      <c r="E3644" s="26" t="str">
        <f ca="1">IFERROR(__xludf.DUMMYFUNCTION("""COMPUTED_VALUE"""),"New")</f>
        <v>New</v>
      </c>
      <c r="F3644" s="72">
        <v>62</v>
      </c>
      <c r="G3644" s="72">
        <v>22316</v>
      </c>
      <c r="P3644" s="26"/>
    </row>
    <row r="3645" spans="1:16" ht="14.5">
      <c r="A3645" s="3" t="s">
        <v>255</v>
      </c>
      <c r="B3645" s="12" t="s">
        <v>2867</v>
      </c>
      <c r="C3645" s="46" t="s">
        <v>7577</v>
      </c>
      <c r="D3645" s="41" t="str">
        <f ca="1">IFERROR(__xludf.DUMMYFUNCTION("IFERROR(ARRAYFORMULA(REGEXEXTRACT(C3645,""^(?:https?:\/\/)?(?:[^@\n]+@)?(?:www\.)?([^:\/\n]+)"")),"""")"),"asn.desire2learn.com")</f>
        <v>asn.desire2learn.com</v>
      </c>
      <c r="E3645" s="26" t="str">
        <f ca="1">IFERROR(__xludf.DUMMYFUNCTION("""COMPUTED_VALUE"""),"New")</f>
        <v>New</v>
      </c>
      <c r="F3645" s="72">
        <v>64</v>
      </c>
      <c r="G3645" s="72">
        <v>86420</v>
      </c>
      <c r="P3645" s="26"/>
    </row>
    <row r="3646" spans="1:16" ht="14.5">
      <c r="A3646" s="3" t="s">
        <v>255</v>
      </c>
      <c r="B3646" s="12" t="s">
        <v>2867</v>
      </c>
      <c r="C3646" s="46" t="s">
        <v>7578</v>
      </c>
      <c r="D3646" s="41" t="str">
        <f ca="1">IFERROR(__xludf.DUMMYFUNCTION("IFERROR(ARRAYFORMULA(REGEXEXTRACT(C3646,""^(?:https?:\/\/)?(?:[^@\n]+@)?(?:www\.)?([^:\/\n]+)"")),"""")"),"layers-of-learning.com")</f>
        <v>layers-of-learning.com</v>
      </c>
      <c r="E3646" s="26" t="str">
        <f ca="1">IFERROR(__xludf.DUMMYFUNCTION("""COMPUTED_VALUE"""),"New")</f>
        <v>New</v>
      </c>
      <c r="F3646" s="72">
        <v>33</v>
      </c>
      <c r="G3646" s="72">
        <v>5395</v>
      </c>
      <c r="P3646" s="26"/>
    </row>
    <row r="3647" spans="1:16" ht="14.5">
      <c r="A3647" s="3" t="s">
        <v>255</v>
      </c>
      <c r="B3647" s="12" t="s">
        <v>2867</v>
      </c>
      <c r="C3647" s="46" t="s">
        <v>7579</v>
      </c>
      <c r="D3647" s="41" t="str">
        <f ca="1">IFERROR(__xludf.DUMMYFUNCTION("IFERROR(ARRAYFORMULA(REGEXEXTRACT(C3647,""^(?:https?:\/\/)?(?:[^@\n]+@)?(?:www\.)?([^:\/\n]+)"")),"""")"),"participatelearning.com")</f>
        <v>participatelearning.com</v>
      </c>
      <c r="E3647" s="26" t="str">
        <f ca="1">IFERROR(__xludf.DUMMYFUNCTION("""COMPUTED_VALUE"""),"New")</f>
        <v>New</v>
      </c>
      <c r="F3647" s="72">
        <v>54</v>
      </c>
      <c r="G3647" s="72">
        <v>5217</v>
      </c>
      <c r="P3647" s="26"/>
    </row>
    <row r="3648" spans="1:16" ht="14.5">
      <c r="A3648" s="3" t="s">
        <v>255</v>
      </c>
      <c r="B3648" s="12" t="s">
        <v>2867</v>
      </c>
      <c r="C3648" s="46" t="s">
        <v>7580</v>
      </c>
      <c r="D3648" s="41" t="str">
        <f ca="1">IFERROR(__xludf.DUMMYFUNCTION("IFERROR(ARRAYFORMULA(REGEXEXTRACT(C3648,""^(?:https?:\/\/)?(?:[^@\n]+@)?(?:www\.)?([^:\/\n]+)"")),"""")"),"susnano.wisc.edu")</f>
        <v>susnano.wisc.edu</v>
      </c>
      <c r="E3648" s="26" t="str">
        <f ca="1">IFERROR(__xludf.DUMMYFUNCTION("""COMPUTED_VALUE"""),"New")</f>
        <v>New</v>
      </c>
      <c r="F3648" s="72">
        <v>91</v>
      </c>
      <c r="G3648" s="72">
        <v>2072058</v>
      </c>
      <c r="P3648" s="26"/>
    </row>
    <row r="3649" spans="1:16" ht="14.5">
      <c r="A3649" s="3" t="s">
        <v>255</v>
      </c>
      <c r="B3649" s="12" t="s">
        <v>2867</v>
      </c>
      <c r="C3649" s="46" t="s">
        <v>7581</v>
      </c>
      <c r="D3649" s="41" t="str">
        <f ca="1">IFERROR(__xludf.DUMMYFUNCTION("IFERROR(ARRAYFORMULA(REGEXEXTRACT(C3649,""^(?:https?:\/\/)?(?:[^@\n]+@)?(?:www\.)?([^:\/\n]+)"")),"""")"),"echovermont.org")</f>
        <v>echovermont.org</v>
      </c>
      <c r="E3649" s="26" t="str">
        <f ca="1">IFERROR(__xludf.DUMMYFUNCTION("""COMPUTED_VALUE"""),"New")</f>
        <v>New</v>
      </c>
      <c r="F3649" s="72">
        <v>57</v>
      </c>
      <c r="G3649" s="72">
        <v>4438</v>
      </c>
      <c r="P3649" s="26"/>
    </row>
    <row r="3650" spans="1:16" ht="14.5">
      <c r="A3650" s="3" t="s">
        <v>255</v>
      </c>
      <c r="B3650" s="12" t="s">
        <v>2867</v>
      </c>
      <c r="C3650" s="46" t="s">
        <v>7582</v>
      </c>
      <c r="D3650" s="41" t="str">
        <f ca="1">IFERROR(__xludf.DUMMYFUNCTION("IFERROR(ARRAYFORMULA(REGEXEXTRACT(C3650,""^(?:https?:\/\/)?(?:[^@\n]+@)?(?:www\.)?([^:\/\n]+)"")),"""")"),"brittanywashburn.com")</f>
        <v>brittanywashburn.com</v>
      </c>
      <c r="E3650" s="26" t="str">
        <f ca="1">IFERROR(__xludf.DUMMYFUNCTION("""COMPUTED_VALUE"""),"New")</f>
        <v>New</v>
      </c>
      <c r="F3650" s="72">
        <v>31</v>
      </c>
      <c r="G3650" s="72">
        <v>1096</v>
      </c>
      <c r="P3650" s="26"/>
    </row>
    <row r="3651" spans="1:16" ht="14.5">
      <c r="A3651" s="3" t="s">
        <v>255</v>
      </c>
      <c r="B3651" s="12" t="s">
        <v>2867</v>
      </c>
      <c r="C3651" s="46" t="s">
        <v>7583</v>
      </c>
      <c r="D3651" s="41" t="str">
        <f ca="1">IFERROR(__xludf.DUMMYFUNCTION("IFERROR(ARRAYFORMULA(REGEXEXTRACT(C3651,""^(?:https?:\/\/)?(?:[^@\n]+@)?(?:www\.)?([^:\/\n]+)"")),"""")"),"asor.org")</f>
        <v>asor.org</v>
      </c>
      <c r="E3651" s="26" t="str">
        <f ca="1">IFERROR(__xludf.DUMMYFUNCTION("""COMPUTED_VALUE"""),"New")</f>
        <v>New</v>
      </c>
      <c r="F3651" s="72">
        <v>62</v>
      </c>
      <c r="G3651" s="72">
        <v>3892</v>
      </c>
      <c r="P3651" s="26"/>
    </row>
    <row r="3652" spans="1:16" ht="14.5">
      <c r="A3652" s="3" t="s">
        <v>255</v>
      </c>
      <c r="B3652" s="12" t="s">
        <v>2867</v>
      </c>
      <c r="C3652" s="46" t="s">
        <v>7584</v>
      </c>
      <c r="D3652" s="41" t="str">
        <f ca="1">IFERROR(__xludf.DUMMYFUNCTION("IFERROR(ARRAYFORMULA(REGEXEXTRACT(C3652,""^(?:https?:\/\/)?(?:[^@\n]+@)?(?:www\.)?([^:\/\n]+)"")),"""")"),"cemb.upenn.edu")</f>
        <v>cemb.upenn.edu</v>
      </c>
      <c r="E3652" s="26" t="str">
        <f ca="1">IFERROR(__xludf.DUMMYFUNCTION("""COMPUTED_VALUE"""),"New")</f>
        <v>New</v>
      </c>
      <c r="F3652" s="72">
        <v>91</v>
      </c>
      <c r="G3652" s="72">
        <v>1423785</v>
      </c>
      <c r="P3652" s="26"/>
    </row>
    <row r="3653" spans="1:16" ht="14.5">
      <c r="A3653" s="3" t="s">
        <v>255</v>
      </c>
      <c r="B3653" s="12" t="s">
        <v>2867</v>
      </c>
      <c r="C3653" s="46" t="s">
        <v>7585</v>
      </c>
      <c r="D3653" s="41" t="str">
        <f ca="1">IFERROR(__xludf.DUMMYFUNCTION("IFERROR(ARRAYFORMULA(REGEXEXTRACT(C3653,""^(?:https?:\/\/)?(?:[^@\n]+@)?(?:www\.)?([^:\/\n]+)"")),"""")"),"salinity.oceansciences.org")</f>
        <v>salinity.oceansciences.org</v>
      </c>
      <c r="E3653" s="26" t="str">
        <f ca="1">IFERROR(__xludf.DUMMYFUNCTION("""COMPUTED_VALUE"""),"New")</f>
        <v>New</v>
      </c>
      <c r="F3653" s="72">
        <v>54</v>
      </c>
      <c r="G3653" s="72">
        <v>6854</v>
      </c>
      <c r="P3653" s="26"/>
    </row>
    <row r="3654" spans="1:16" ht="14.5">
      <c r="A3654" s="3" t="s">
        <v>255</v>
      </c>
      <c r="B3654" s="12" t="s">
        <v>2867</v>
      </c>
      <c r="C3654" s="46" t="s">
        <v>7586</v>
      </c>
      <c r="D3654" s="41" t="str">
        <f ca="1">IFERROR(__xludf.DUMMYFUNCTION("IFERROR(ARRAYFORMULA(REGEXEXTRACT(C3654,""^(?:https?:\/\/)?(?:[^@\n]+@)?(?:www\.)?([^:\/\n]+)"")),"""")"),"mommymaestra.com")</f>
        <v>mommymaestra.com</v>
      </c>
      <c r="E3654" s="26" t="str">
        <f ca="1">IFERROR(__xludf.DUMMYFUNCTION("""COMPUTED_VALUE"""),"New")</f>
        <v>New</v>
      </c>
      <c r="F3654" s="72">
        <v>41</v>
      </c>
      <c r="G3654" s="72">
        <v>1108</v>
      </c>
      <c r="P3654" s="26"/>
    </row>
    <row r="3655" spans="1:16" ht="14.5">
      <c r="A3655" s="3" t="s">
        <v>255</v>
      </c>
      <c r="B3655" s="12" t="s">
        <v>2867</v>
      </c>
      <c r="C3655" s="46" t="s">
        <v>7587</v>
      </c>
      <c r="D3655" s="41" t="str">
        <f ca="1">IFERROR(__xludf.DUMMYFUNCTION("IFERROR(ARRAYFORMULA(REGEXEXTRACT(C3655,""^(?:https?:\/\/)?(?:[^@\n]+@)?(?:www\.)?([^:\/\n]+)"")),"""")"),"nasaeclips.arc.nasa.gov")</f>
        <v>nasaeclips.arc.nasa.gov</v>
      </c>
      <c r="E3655" s="26" t="str">
        <f ca="1">IFERROR(__xludf.DUMMYFUNCTION("""COMPUTED_VALUE"""),"New")</f>
        <v>New</v>
      </c>
      <c r="F3655" s="72">
        <v>92</v>
      </c>
      <c r="G3655" s="72">
        <v>10955358</v>
      </c>
      <c r="P3655" s="26"/>
    </row>
    <row r="3656" spans="1:16" ht="14.5">
      <c r="A3656" s="3" t="s">
        <v>255</v>
      </c>
      <c r="B3656" s="12" t="s">
        <v>2867</v>
      </c>
      <c r="C3656" s="46" t="s">
        <v>7588</v>
      </c>
      <c r="D3656" s="41" t="str">
        <f ca="1">IFERROR(__xludf.DUMMYFUNCTION("IFERROR(ARRAYFORMULA(REGEXEXTRACT(C3656,""^(?:https?:\/\/)?(?:[^@\n]+@)?(?:www\.)?([^:\/\n]+)"")),"""")"),"easc.osu.edu")</f>
        <v>easc.osu.edu</v>
      </c>
      <c r="E3656" s="26" t="str">
        <f ca="1">IFERROR(__xludf.DUMMYFUNCTION("""COMPUTED_VALUE"""),"New")</f>
        <v>New</v>
      </c>
      <c r="F3656" s="72">
        <v>90</v>
      </c>
      <c r="G3656" s="72">
        <v>1645910</v>
      </c>
      <c r="P3656" s="26"/>
    </row>
    <row r="3657" spans="1:16" ht="14.5">
      <c r="A3657" s="3" t="s">
        <v>255</v>
      </c>
      <c r="B3657" s="12" t="s">
        <v>2867</v>
      </c>
      <c r="C3657" s="46" t="s">
        <v>7589</v>
      </c>
      <c r="D3657" s="41" t="str">
        <f ca="1">IFERROR(__xludf.DUMMYFUNCTION("IFERROR(ARRAYFORMULA(REGEXEXTRACT(C3657,""^(?:https?:\/\/)?(?:[^@\n]+@)?(?:www\.)?([^:\/\n]+)"")),"""")"),"ash.naf.org")</f>
        <v>ash.naf.org</v>
      </c>
      <c r="E3657" s="26" t="str">
        <f ca="1">IFERROR(__xludf.DUMMYFUNCTION("""COMPUTED_VALUE"""),"New")</f>
        <v>New</v>
      </c>
      <c r="F3657" s="72">
        <v>63</v>
      </c>
      <c r="G3657" s="72">
        <v>3223</v>
      </c>
      <c r="P3657" s="26"/>
    </row>
    <row r="3658" spans="1:16" ht="14.5">
      <c r="A3658" s="3" t="s">
        <v>255</v>
      </c>
      <c r="B3658" s="12" t="s">
        <v>2867</v>
      </c>
      <c r="C3658" s="46" t="s">
        <v>7590</v>
      </c>
      <c r="D3658" s="41" t="str">
        <f ca="1">IFERROR(__xludf.DUMMYFUNCTION("IFERROR(ARRAYFORMULA(REGEXEXTRACT(C3658,""^(?:https?:\/\/)?(?:[^@\n]+@)?(?:www\.)?([^:\/\n]+)"")),"""")"),"remc.org")</f>
        <v>remc.org</v>
      </c>
      <c r="E3658" s="26" t="str">
        <f ca="1">IFERROR(__xludf.DUMMYFUNCTION("""COMPUTED_VALUE"""),"New")</f>
        <v>New</v>
      </c>
      <c r="F3658" s="72">
        <v>40</v>
      </c>
      <c r="G3658" s="72">
        <v>2865</v>
      </c>
      <c r="P3658" s="26"/>
    </row>
    <row r="3659" spans="1:16" ht="14.5">
      <c r="A3659" s="3" t="s">
        <v>255</v>
      </c>
      <c r="B3659" s="12" t="s">
        <v>2867</v>
      </c>
      <c r="C3659" s="46" t="s">
        <v>7591</v>
      </c>
      <c r="D3659" s="41" t="str">
        <f ca="1">IFERROR(__xludf.DUMMYFUNCTION("IFERROR(ARRAYFORMULA(REGEXEXTRACT(C3659,""^(?:https?:\/\/)?(?:[^@\n]+@)?(?:www\.)?([^:\/\n]+)"")),"""")"),"azmesa.arizona.edu")</f>
        <v>azmesa.arizona.edu</v>
      </c>
      <c r="E3659" s="26" t="str">
        <f ca="1">IFERROR(__xludf.DUMMYFUNCTION("""COMPUTED_VALUE"""),"New")</f>
        <v>New</v>
      </c>
      <c r="F3659" s="72">
        <v>89</v>
      </c>
      <c r="G3659" s="72">
        <v>1788406</v>
      </c>
      <c r="P3659" s="26"/>
    </row>
    <row r="3660" spans="1:16" ht="14.5">
      <c r="A3660" s="3" t="s">
        <v>255</v>
      </c>
      <c r="B3660" s="12" t="s">
        <v>2867</v>
      </c>
      <c r="C3660" s="46" t="s">
        <v>7592</v>
      </c>
      <c r="D3660" s="41" t="str">
        <f ca="1">IFERROR(__xludf.DUMMYFUNCTION("IFERROR(ARRAYFORMULA(REGEXEXTRACT(C3660,""^(?:https?:\/\/)?(?:[^@\n]+@)?(?:www\.)?([^:\/\n]+)"")),"""")"),"feedinghk.org")</f>
        <v>feedinghk.org</v>
      </c>
      <c r="E3660" s="26" t="str">
        <f ca="1">IFERROR(__xludf.DUMMYFUNCTION("""COMPUTED_VALUE"""),"New")</f>
        <v>New</v>
      </c>
      <c r="F3660" s="72">
        <v>54</v>
      </c>
      <c r="G3660" s="72">
        <v>2795</v>
      </c>
      <c r="P3660" s="26"/>
    </row>
    <row r="3661" spans="1:16" ht="14.5">
      <c r="A3661" s="3" t="s">
        <v>255</v>
      </c>
      <c r="B3661" s="12" t="s">
        <v>2867</v>
      </c>
      <c r="C3661" s="46" t="s">
        <v>7593</v>
      </c>
      <c r="D3661" s="41" t="str">
        <f ca="1">IFERROR(__xludf.DUMMYFUNCTION("IFERROR(ARRAYFORMULA(REGEXEXTRACT(C3661,""^(?:https?:\/\/)?(?:[^@\n]+@)?(?:www\.)?([^:\/\n]+)"")),"""")"),"seedstosuccess.com")</f>
        <v>seedstosuccess.com</v>
      </c>
      <c r="E3661" s="26" t="str">
        <f ca="1">IFERROR(__xludf.DUMMYFUNCTION("""COMPUTED_VALUE"""),"New")</f>
        <v>New</v>
      </c>
      <c r="F3661" s="72">
        <v>25</v>
      </c>
      <c r="G3661" s="72">
        <v>2910</v>
      </c>
      <c r="P3661" s="26"/>
    </row>
    <row r="3662" spans="1:16" ht="14.5">
      <c r="A3662" s="3" t="s">
        <v>255</v>
      </c>
      <c r="B3662" s="12" t="s">
        <v>2867</v>
      </c>
      <c r="C3662" s="46" t="s">
        <v>7594</v>
      </c>
      <c r="D3662" s="41" t="str">
        <f ca="1">IFERROR(__xludf.DUMMYFUNCTION("IFERROR(ARRAYFORMULA(REGEXEXTRACT(C3662,""^(?:https?:\/\/)?(?:[^@\n]+@)?(?:www\.)?([^:\/\n]+)"")),"""")"),"homeschoolof1.com")</f>
        <v>homeschoolof1.com</v>
      </c>
      <c r="E3662" s="26" t="str">
        <f ca="1">IFERROR(__xludf.DUMMYFUNCTION("""COMPUTED_VALUE"""),"New")</f>
        <v>New</v>
      </c>
      <c r="F3662" s="72">
        <v>38</v>
      </c>
      <c r="G3662" s="72">
        <v>4417</v>
      </c>
      <c r="P3662" s="26"/>
    </row>
    <row r="3663" spans="1:16" ht="14.5">
      <c r="A3663" s="3" t="s">
        <v>255</v>
      </c>
      <c r="B3663" s="12" t="s">
        <v>2867</v>
      </c>
      <c r="C3663" s="46" t="s">
        <v>7595</v>
      </c>
      <c r="D3663" s="41" t="str">
        <f ca="1">IFERROR(__xludf.DUMMYFUNCTION("IFERROR(ARRAYFORMULA(REGEXEXTRACT(C3663,""^(?:https?:\/\/)?(?:[^@\n]+@)?(?:www\.)?([^:\/\n]+)"")),"""")"),"asknature.org")</f>
        <v>asknature.org</v>
      </c>
      <c r="E3663" s="26" t="str">
        <f ca="1">IFERROR(__xludf.DUMMYFUNCTION("""COMPUTED_VALUE"""),"New")</f>
        <v>New</v>
      </c>
      <c r="F3663" s="72">
        <v>71</v>
      </c>
      <c r="G3663" s="72">
        <v>12854</v>
      </c>
      <c r="P3663" s="26"/>
    </row>
    <row r="3664" spans="1:16" ht="14.5">
      <c r="A3664" s="3" t="s">
        <v>255</v>
      </c>
      <c r="B3664" s="12" t="s">
        <v>2867</v>
      </c>
      <c r="C3664" s="46" t="s">
        <v>7596</v>
      </c>
      <c r="D3664" s="41" t="str">
        <f ca="1">IFERROR(__xludf.DUMMYFUNCTION("IFERROR(ARRAYFORMULA(REGEXEXTRACT(C3664,""^(?:https?:\/\/)?(?:[^@\n]+@)?(?:www\.)?([^:\/\n]+)"")),"""")"),"hu.gatech.edu")</f>
        <v>hu.gatech.edu</v>
      </c>
      <c r="E3664" s="26" t="str">
        <f ca="1">IFERROR(__xludf.DUMMYFUNCTION("""COMPUTED_VALUE"""),"New")</f>
        <v>New</v>
      </c>
      <c r="F3664" s="72">
        <v>88</v>
      </c>
      <c r="G3664" s="72">
        <v>604092</v>
      </c>
      <c r="P3664" s="26"/>
    </row>
    <row r="3665" spans="1:16" ht="14.5">
      <c r="A3665" s="3" t="s">
        <v>255</v>
      </c>
      <c r="B3665" s="12" t="s">
        <v>2867</v>
      </c>
      <c r="C3665" s="46" t="s">
        <v>7597</v>
      </c>
      <c r="D3665" s="41" t="str">
        <f ca="1">IFERROR(__xludf.DUMMYFUNCTION("IFERROR(ARRAYFORMULA(REGEXEXTRACT(C3665,""^(?:https?:\/\/)?(?:[^@\n]+@)?(?:www\.)?([^:\/\n]+)"")),"""")"),"sparkfuneducation.com")</f>
        <v>sparkfuneducation.com</v>
      </c>
      <c r="E3665" s="26" t="str">
        <f ca="1">IFERROR(__xludf.DUMMYFUNCTION("""COMPUTED_VALUE"""),"New")</f>
        <v>New</v>
      </c>
      <c r="F3665" s="72">
        <v>33</v>
      </c>
      <c r="G3665" s="72">
        <v>1400</v>
      </c>
      <c r="P3665" s="26"/>
    </row>
    <row r="3666" spans="1:16" ht="14.5">
      <c r="A3666" s="3" t="s">
        <v>255</v>
      </c>
      <c r="B3666" s="12" t="s">
        <v>2867</v>
      </c>
      <c r="C3666" s="46" t="s">
        <v>7598</v>
      </c>
      <c r="D3666" s="41" t="str">
        <f ca="1">IFERROR(__xludf.DUMMYFUNCTION("IFERROR(ARRAYFORMULA(REGEXEXTRACT(C3666,""^(?:https?:\/\/)?(?:[^@\n]+@)?(?:www\.)?([^:\/\n]+)"")),"""")"),"compadre.org")</f>
        <v>compadre.org</v>
      </c>
      <c r="E3666" s="26" t="str">
        <f ca="1">IFERROR(__xludf.DUMMYFUNCTION("""COMPUTED_VALUE"""),"New")</f>
        <v>New</v>
      </c>
      <c r="F3666" s="72">
        <v>64</v>
      </c>
      <c r="G3666" s="72">
        <v>9412</v>
      </c>
      <c r="P3666" s="26"/>
    </row>
    <row r="3667" spans="1:16" ht="14.5">
      <c r="A3667" s="3" t="s">
        <v>255</v>
      </c>
      <c r="B3667" s="12" t="s">
        <v>2867</v>
      </c>
      <c r="C3667" s="46" t="s">
        <v>7599</v>
      </c>
      <c r="D3667" s="41" t="str">
        <f ca="1">IFERROR(__xludf.DUMMYFUNCTION("IFERROR(ARRAYFORMULA(REGEXEXTRACT(C3667,""^(?:https?:\/\/)?(?:[^@\n]+@)?(?:www\.)?([^:\/\n]+)"")),"""")"),"simplybeyondherbs.com")</f>
        <v>simplybeyondherbs.com</v>
      </c>
      <c r="E3667" s="26" t="str">
        <f ca="1">IFERROR(__xludf.DUMMYFUNCTION("""COMPUTED_VALUE"""),"New")</f>
        <v>New</v>
      </c>
      <c r="F3667" s="72">
        <v>51</v>
      </c>
      <c r="G3667" s="72">
        <v>17753</v>
      </c>
      <c r="P3667" s="26"/>
    </row>
    <row r="3668" spans="1:16" ht="14.5">
      <c r="A3668" s="3" t="s">
        <v>255</v>
      </c>
      <c r="B3668" s="12" t="s">
        <v>2867</v>
      </c>
      <c r="C3668" s="46" t="s">
        <v>7600</v>
      </c>
      <c r="D3668" s="41" t="str">
        <f ca="1">IFERROR(__xludf.DUMMYFUNCTION("IFERROR(ARRAYFORMULA(REGEXEXTRACT(C3668,""^(?:https?:\/\/)?(?:[^@\n]+@)?(?:www\.)?([^:\/\n]+)"")),"""")"),"projectwet.georgia.gov")</f>
        <v>projectwet.georgia.gov</v>
      </c>
      <c r="E3668" s="26" t="str">
        <f ca="1">IFERROR(__xludf.DUMMYFUNCTION("""COMPUTED_VALUE"""),"New")</f>
        <v>New</v>
      </c>
      <c r="F3668" s="72">
        <v>89</v>
      </c>
      <c r="G3668" s="72">
        <v>1813852</v>
      </c>
      <c r="P3668" s="26"/>
    </row>
    <row r="3669" spans="1:16" ht="14.5">
      <c r="A3669" s="3" t="s">
        <v>255</v>
      </c>
      <c r="B3669" s="12" t="s">
        <v>2867</v>
      </c>
      <c r="C3669" s="46" t="s">
        <v>7601</v>
      </c>
      <c r="D3669" s="41" t="str">
        <f ca="1">IFERROR(__xludf.DUMMYFUNCTION("IFERROR(ARRAYFORMULA(REGEXEXTRACT(C3669,""^(?:https?:\/\/)?(?:[^@\n]+@)?(?:www\.)?([^:\/\n]+)"")),"""")"),"cde.state.co.us")</f>
        <v>cde.state.co.us</v>
      </c>
      <c r="E3669" s="26" t="str">
        <f ca="1">IFERROR(__xludf.DUMMYFUNCTION("""COMPUTED_VALUE"""),"New")</f>
        <v>New</v>
      </c>
      <c r="F3669" s="72">
        <v>87</v>
      </c>
      <c r="G3669" s="72">
        <v>473553</v>
      </c>
      <c r="P3669" s="26"/>
    </row>
    <row r="3670" spans="1:16" ht="14.5">
      <c r="A3670" s="3" t="s">
        <v>255</v>
      </c>
      <c r="B3670" s="12" t="s">
        <v>2867</v>
      </c>
      <c r="C3670" s="46" t="s">
        <v>7602</v>
      </c>
      <c r="D3670" s="41" t="str">
        <f ca="1">IFERROR(__xludf.DUMMYFUNCTION("IFERROR(ARRAYFORMULA(REGEXEXTRACT(C3670,""^(?:https?:\/\/)?(?:[^@\n]+@)?(?:www\.)?([^:\/\n]+)"")),"""")"),"sfu.ca")</f>
        <v>sfu.ca</v>
      </c>
      <c r="E3670" s="26" t="str">
        <f ca="1">IFERROR(__xludf.DUMMYFUNCTION("""COMPUTED_VALUE"""),"New")</f>
        <v>New</v>
      </c>
      <c r="F3670" s="72">
        <v>90</v>
      </c>
      <c r="G3670" s="72">
        <v>341747</v>
      </c>
      <c r="P3670" s="26"/>
    </row>
    <row r="3671" spans="1:16" ht="14.5">
      <c r="A3671" s="3" t="s">
        <v>255</v>
      </c>
      <c r="B3671" s="12" t="s">
        <v>2867</v>
      </c>
      <c r="C3671" s="46" t="s">
        <v>7603</v>
      </c>
      <c r="D3671" s="41" t="str">
        <f ca="1">IFERROR(__xludf.DUMMYFUNCTION("IFERROR(ARRAYFORMULA(REGEXEXTRACT(C3671,""^(?:https?:\/\/)?(?:[^@\n]+@)?(?:www\.)?([^:\/\n]+)"")),"""")"),"mylearning.org")</f>
        <v>mylearning.org</v>
      </c>
      <c r="E3671" s="26" t="str">
        <f ca="1">IFERROR(__xludf.DUMMYFUNCTION("""COMPUTED_VALUE"""),"New")</f>
        <v>New</v>
      </c>
      <c r="F3671" s="72">
        <v>52</v>
      </c>
      <c r="G3671" s="72">
        <v>29718</v>
      </c>
      <c r="P3671" s="26"/>
    </row>
    <row r="3672" spans="1:16" ht="14.5">
      <c r="A3672" s="3" t="s">
        <v>255</v>
      </c>
      <c r="B3672" s="12" t="s">
        <v>2867</v>
      </c>
      <c r="C3672" s="46" t="s">
        <v>7604</v>
      </c>
      <c r="D3672" s="41" t="str">
        <f ca="1">IFERROR(__xludf.DUMMYFUNCTION("IFERROR(ARRAYFORMULA(REGEXEXTRACT(C3672,""^(?:https?:\/\/)?(?:[^@\n]+@)?(?:www\.)?([^:\/\n]+)"")),"""")"),"iu17.org")</f>
        <v>iu17.org</v>
      </c>
      <c r="E3672" s="26" t="str">
        <f ca="1">IFERROR(__xludf.DUMMYFUNCTION("""COMPUTED_VALUE"""),"New")</f>
        <v>New</v>
      </c>
      <c r="F3672" s="72">
        <v>43</v>
      </c>
      <c r="G3672" s="72">
        <v>4254</v>
      </c>
      <c r="P3672" s="26"/>
    </row>
    <row r="3673" spans="1:16" ht="14.5">
      <c r="A3673" s="3" t="s">
        <v>255</v>
      </c>
      <c r="B3673" s="12" t="s">
        <v>2867</v>
      </c>
      <c r="C3673" s="46" t="s">
        <v>7605</v>
      </c>
      <c r="D3673" s="41" t="str">
        <f ca="1">IFERROR(__xludf.DUMMYFUNCTION("IFERROR(ARRAYFORMULA(REGEXEXTRACT(C3673,""^(?:https?:\/\/)?(?:[^@\n]+@)?(?:www\.)?([^:\/\n]+)"")),"""")"),"geeringup.apsc.ubc.ca")</f>
        <v>geeringup.apsc.ubc.ca</v>
      </c>
      <c r="E3673" s="26" t="str">
        <f ca="1">IFERROR(__xludf.DUMMYFUNCTION("""COMPUTED_VALUE"""),"New")</f>
        <v>New</v>
      </c>
      <c r="F3673" s="72">
        <v>90</v>
      </c>
      <c r="G3673" s="72">
        <v>786885</v>
      </c>
      <c r="P3673" s="26"/>
    </row>
    <row r="3674" spans="1:16" ht="14.5">
      <c r="A3674" s="3" t="s">
        <v>255</v>
      </c>
      <c r="B3674" s="12" t="s">
        <v>2867</v>
      </c>
      <c r="C3674" s="46" t="s">
        <v>7606</v>
      </c>
      <c r="D3674" s="41" t="str">
        <f ca="1">IFERROR(__xludf.DUMMYFUNCTION("IFERROR(ARRAYFORMULA(REGEXEXTRACT(C3674,""^(?:https?:\/\/)?(?:[^@\n]+@)?(?:www\.)?([^:\/\n]+)"")),"""")"),"qz.com")</f>
        <v>qz.com</v>
      </c>
      <c r="E3674" s="26" t="str">
        <f ca="1">IFERROR(__xludf.DUMMYFUNCTION("""COMPUTED_VALUE"""),"New")</f>
        <v>New</v>
      </c>
      <c r="F3674" s="72">
        <v>90</v>
      </c>
      <c r="G3674" s="72">
        <v>105483</v>
      </c>
      <c r="P3674" s="26"/>
    </row>
    <row r="3675" spans="1:16" ht="14.5">
      <c r="A3675" s="3" t="s">
        <v>255</v>
      </c>
      <c r="B3675" s="12" t="s">
        <v>2867</v>
      </c>
      <c r="C3675" s="46" t="s">
        <v>7607</v>
      </c>
      <c r="D3675" s="41" t="str">
        <f ca="1">IFERROR(__xludf.DUMMYFUNCTION("IFERROR(ARRAYFORMULA(REGEXEXTRACT(C3675,""^(?:https?:\/\/)?(?:[^@\n]+@)?(?:www\.)?([^:\/\n]+)"")),"""")"),"donnaisd.net")</f>
        <v>donnaisd.net</v>
      </c>
      <c r="E3675" s="26" t="str">
        <f ca="1">IFERROR(__xludf.DUMMYFUNCTION("""COMPUTED_VALUE"""),"New")</f>
        <v>New</v>
      </c>
      <c r="F3675" s="72">
        <v>26</v>
      </c>
      <c r="G3675" s="72">
        <v>4843</v>
      </c>
      <c r="P3675" s="26"/>
    </row>
    <row r="3676" spans="1:16" ht="14.5">
      <c r="A3676" s="3" t="s">
        <v>255</v>
      </c>
      <c r="B3676" s="12" t="s">
        <v>2867</v>
      </c>
      <c r="C3676" s="46" t="s">
        <v>7608</v>
      </c>
      <c r="D3676" s="41" t="str">
        <f ca="1">IFERROR(__xludf.DUMMYFUNCTION("IFERROR(ARRAYFORMULA(REGEXEXTRACT(C3676,""^(?:https?:\/\/)?(?:[^@\n]+@)?(?:www\.)?([^:\/\n]+)"")),"""")"),"repository.rec.gov.bt")</f>
        <v>repository.rec.gov.bt</v>
      </c>
      <c r="E3676" s="26" t="str">
        <f ca="1">IFERROR(__xludf.DUMMYFUNCTION("""COMPUTED_VALUE"""),"New")</f>
        <v>New</v>
      </c>
      <c r="F3676" s="72">
        <v>28</v>
      </c>
      <c r="G3676" s="72">
        <v>5634</v>
      </c>
      <c r="P3676" s="26"/>
    </row>
    <row r="3677" spans="1:16" ht="14.5">
      <c r="A3677" s="3" t="s">
        <v>255</v>
      </c>
      <c r="B3677" s="12" t="s">
        <v>2867</v>
      </c>
      <c r="C3677" s="46" t="s">
        <v>7609</v>
      </c>
      <c r="D3677" s="41" t="str">
        <f ca="1">IFERROR(__xludf.DUMMYFUNCTION("IFERROR(ARRAYFORMULA(REGEXEXTRACT(C3677,""^(?:https?:\/\/)?(?:[^@\n]+@)?(?:www\.)?([^:\/\n]+)"")),"""")"),"restaurantify.com")</f>
        <v>restaurantify.com</v>
      </c>
      <c r="E3677" s="26" t="str">
        <f ca="1">IFERROR(__xludf.DUMMYFUNCTION("""COMPUTED_VALUE"""),"New")</f>
        <v>New</v>
      </c>
      <c r="F3677" s="72">
        <v>51</v>
      </c>
      <c r="G3677" s="72">
        <v>6476</v>
      </c>
      <c r="P3677" s="26"/>
    </row>
    <row r="3678" spans="1:16" ht="14.5">
      <c r="A3678" s="3" t="s">
        <v>255</v>
      </c>
      <c r="B3678" s="12" t="s">
        <v>2867</v>
      </c>
      <c r="C3678" s="46" t="s">
        <v>7610</v>
      </c>
      <c r="D3678" s="41" t="str">
        <f ca="1">IFERROR(__xludf.DUMMYFUNCTION("IFERROR(ARRAYFORMULA(REGEXEXTRACT(C3678,""^(?:https?:\/\/)?(?:[^@\n]+@)?(?:www\.)?([^:\/\n]+)"")),"""")"),"stride.ce.ufl.edu")</f>
        <v>stride.ce.ufl.edu</v>
      </c>
      <c r="E3678" s="26" t="str">
        <f ca="1">IFERROR(__xludf.DUMMYFUNCTION("""COMPUTED_VALUE"""),"New")</f>
        <v>New</v>
      </c>
      <c r="F3678" s="72">
        <v>90</v>
      </c>
      <c r="G3678" s="72">
        <v>4012364</v>
      </c>
      <c r="P3678" s="26"/>
    </row>
    <row r="3679" spans="1:16" ht="14.5">
      <c r="A3679" s="3" t="s">
        <v>255</v>
      </c>
      <c r="B3679" s="12" t="s">
        <v>2867</v>
      </c>
      <c r="C3679" s="46" t="s">
        <v>7611</v>
      </c>
      <c r="D3679" s="41" t="str">
        <f ca="1">IFERROR(__xludf.DUMMYFUNCTION("IFERROR(ARRAYFORMULA(REGEXEXTRACT(C3679,""^(?:https?:\/\/)?(?:[^@\n]+@)?(?:www\.)?([^:\/\n]+)"")),"""")"),"mem-c.washington.edu")</f>
        <v>mem-c.washington.edu</v>
      </c>
      <c r="E3679" s="26" t="str">
        <f ca="1">IFERROR(__xludf.DUMMYFUNCTION("""COMPUTED_VALUE"""),"New")</f>
        <v>New</v>
      </c>
      <c r="F3679" s="72">
        <v>91</v>
      </c>
      <c r="G3679" s="72">
        <v>1137609</v>
      </c>
      <c r="P3679" s="26"/>
    </row>
    <row r="3680" spans="1:16" ht="14.5">
      <c r="A3680" s="3" t="s">
        <v>255</v>
      </c>
      <c r="B3680" s="12" t="s">
        <v>2867</v>
      </c>
      <c r="C3680" s="46" t="s">
        <v>7612</v>
      </c>
      <c r="D3680" s="41" t="str">
        <f ca="1">IFERROR(__xludf.DUMMYFUNCTION("IFERROR(ARRAYFORMULA(REGEXEXTRACT(C3680,""^(?:https?:\/\/)?(?:[^@\n]+@)?(?:www\.)?([^:\/\n]+)"")),"""")"),"engineering.jhu.edu")</f>
        <v>engineering.jhu.edu</v>
      </c>
      <c r="E3680" s="26" t="str">
        <f ca="1">IFERROR(__xludf.DUMMYFUNCTION("""COMPUTED_VALUE"""),"New")</f>
        <v>New</v>
      </c>
      <c r="F3680" s="72">
        <v>91</v>
      </c>
      <c r="G3680" s="72">
        <v>1201677</v>
      </c>
      <c r="P3680" s="26"/>
    </row>
    <row r="3681" spans="1:16" ht="14.5">
      <c r="A3681" s="3" t="s">
        <v>255</v>
      </c>
      <c r="B3681" s="12" t="s">
        <v>2867</v>
      </c>
      <c r="C3681" s="46" t="s">
        <v>7613</v>
      </c>
      <c r="D3681" s="41" t="str">
        <f ca="1">IFERROR(__xludf.DUMMYFUNCTION("IFERROR(ARRAYFORMULA(REGEXEXTRACT(C3681,""^(?:https?:\/\/)?(?:[^@\n]+@)?(?:www\.)?([^:\/\n]+)"")),"""")"),"cstem.charlotte.edu")</f>
        <v>cstem.charlotte.edu</v>
      </c>
      <c r="E3681" s="26" t="str">
        <f ca="1">IFERROR(__xludf.DUMMYFUNCTION("""COMPUTED_VALUE"""),"New")</f>
        <v>New</v>
      </c>
      <c r="F3681" s="72">
        <v>79</v>
      </c>
      <c r="G3681" s="72">
        <v>360728</v>
      </c>
      <c r="P3681" s="26"/>
    </row>
    <row r="3682" spans="1:16" ht="14.5">
      <c r="A3682" s="3" t="s">
        <v>255</v>
      </c>
      <c r="B3682" s="12" t="s">
        <v>2867</v>
      </c>
      <c r="C3682" s="46" t="s">
        <v>7614</v>
      </c>
      <c r="D3682" s="41" t="str">
        <f ca="1">IFERROR(__xludf.DUMMYFUNCTION("IFERROR(ARRAYFORMULA(REGEXEXTRACT(C3682,""^(?:https?:\/\/)?(?:[^@\n]+@)?(?:www\.)?([^:\/\n]+)"")),"""")"),"boisestate.edu")</f>
        <v>boisestate.edu</v>
      </c>
      <c r="E3682" s="26" t="str">
        <f ca="1">IFERROR(__xludf.DUMMYFUNCTION("""COMPUTED_VALUE"""),"New")</f>
        <v>New</v>
      </c>
      <c r="F3682" s="72">
        <v>79</v>
      </c>
      <c r="G3682" s="72">
        <v>102071</v>
      </c>
      <c r="P3682" s="26"/>
    </row>
    <row r="3683" spans="1:16" ht="14.5">
      <c r="A3683" s="3" t="s">
        <v>255</v>
      </c>
      <c r="B3683" s="12" t="s">
        <v>2867</v>
      </c>
      <c r="C3683" s="46" t="s">
        <v>7615</v>
      </c>
      <c r="D3683" s="41" t="str">
        <f ca="1">IFERROR(__xludf.DUMMYFUNCTION("IFERROR(ARRAYFORMULA(REGEXEXTRACT(C3683,""^(?:https?:\/\/)?(?:[^@\n]+@)?(?:www\.)?([^:\/\n]+)"")),"""")"),"pilgrimsoul.com")</f>
        <v>pilgrimsoul.com</v>
      </c>
      <c r="E3683" s="26" t="str">
        <f ca="1">IFERROR(__xludf.DUMMYFUNCTION("""COMPUTED_VALUE"""),"New")</f>
        <v>New</v>
      </c>
      <c r="F3683" s="72">
        <v>33</v>
      </c>
      <c r="G3683" s="72">
        <v>1280</v>
      </c>
      <c r="P3683" s="26"/>
    </row>
    <row r="3684" spans="1:16" ht="14.5">
      <c r="A3684" s="3" t="s">
        <v>255</v>
      </c>
      <c r="B3684" s="12" t="s">
        <v>2867</v>
      </c>
      <c r="C3684" s="46" t="s">
        <v>7616</v>
      </c>
      <c r="D3684" s="41" t="str">
        <f ca="1">IFERROR(__xludf.DUMMYFUNCTION("IFERROR(ARRAYFORMULA(REGEXEXTRACT(C3684,""^(?:https?:\/\/)?(?:[^@\n]+@)?(?:www\.)?([^:\/\n]+)"")),"""")"),"leftbraincraftbrain.com")</f>
        <v>leftbraincraftbrain.com</v>
      </c>
      <c r="E3684" s="26" t="str">
        <f ca="1">IFERROR(__xludf.DUMMYFUNCTION("""COMPUTED_VALUE"""),"New")</f>
        <v>New</v>
      </c>
      <c r="F3684" s="72">
        <v>59</v>
      </c>
      <c r="G3684" s="72">
        <v>2804</v>
      </c>
      <c r="P3684" s="26"/>
    </row>
    <row r="3685" spans="1:16" ht="14.5">
      <c r="A3685" s="3" t="s">
        <v>255</v>
      </c>
      <c r="B3685" s="12" t="s">
        <v>2867</v>
      </c>
      <c r="C3685" s="46" t="s">
        <v>7617</v>
      </c>
      <c r="D3685" s="41" t="str">
        <f ca="1">IFERROR(__xludf.DUMMYFUNCTION("IFERROR(ARRAYFORMULA(REGEXEXTRACT(C3685,""^(?:https?:\/\/)?(?:[^@\n]+@)?(?:www\.)?([^:\/\n]+)"")),"""")"),"unbc.ca")</f>
        <v>unbc.ca</v>
      </c>
      <c r="E3685" s="26" t="str">
        <f ca="1">IFERROR(__xludf.DUMMYFUNCTION("""COMPUTED_VALUE"""),"New")</f>
        <v>New</v>
      </c>
      <c r="F3685" s="72">
        <v>73</v>
      </c>
      <c r="G3685" s="72">
        <v>19980</v>
      </c>
      <c r="P3685" s="26"/>
    </row>
    <row r="3686" spans="1:16" ht="14.5">
      <c r="A3686" s="3" t="s">
        <v>255</v>
      </c>
      <c r="B3686" s="12" t="s">
        <v>2867</v>
      </c>
      <c r="C3686" s="46" t="s">
        <v>7618</v>
      </c>
      <c r="D3686" s="41" t="str">
        <f ca="1">IFERROR(__xludf.DUMMYFUNCTION("IFERROR(ARRAYFORMULA(REGEXEXTRACT(C3686,""^(?:https?:\/\/)?(?:[^@\n]+@)?(?:www\.)?([^:\/\n]+)"")),"""")"),"gustavus.edu")</f>
        <v>gustavus.edu</v>
      </c>
      <c r="E3686" s="26" t="str">
        <f ca="1">IFERROR(__xludf.DUMMYFUNCTION("""COMPUTED_VALUE"""),"New")</f>
        <v>New</v>
      </c>
      <c r="F3686" s="72">
        <v>71</v>
      </c>
      <c r="G3686" s="72">
        <v>28318</v>
      </c>
      <c r="P3686" s="26"/>
    </row>
    <row r="3687" spans="1:16" ht="14.5">
      <c r="A3687" s="3" t="s">
        <v>255</v>
      </c>
      <c r="B3687" s="12" t="s">
        <v>2867</v>
      </c>
      <c r="C3687" s="46" t="s">
        <v>7619</v>
      </c>
      <c r="D3687" s="41" t="str">
        <f ca="1">IFERROR(__xludf.DUMMYFUNCTION("IFERROR(ARRAYFORMULA(REGEXEXTRACT(C3687,""^(?:https?:\/\/)?(?:[^@\n]+@)?(?:www\.)?([^:\/\n]+)"")),"""")"),"blog.tcea.org")</f>
        <v>blog.tcea.org</v>
      </c>
      <c r="E3687" s="26" t="str">
        <f ca="1">IFERROR(__xludf.DUMMYFUNCTION("""COMPUTED_VALUE"""),"New")</f>
        <v>New</v>
      </c>
      <c r="F3687" s="72">
        <v>70</v>
      </c>
      <c r="G3687" s="72">
        <v>18301</v>
      </c>
      <c r="P3687" s="26"/>
    </row>
    <row r="3688" spans="1:16" ht="14.5">
      <c r="A3688" s="3" t="s">
        <v>255</v>
      </c>
      <c r="B3688" s="12" t="s">
        <v>2867</v>
      </c>
      <c r="C3688" s="46" t="s">
        <v>7620</v>
      </c>
      <c r="D3688" s="41" t="str">
        <f ca="1">IFERROR(__xludf.DUMMYFUNCTION("IFERROR(ARRAYFORMULA(REGEXEXTRACT(C3688,""^(?:https?:\/\/)?(?:[^@\n]+@)?(?:www\.)?([^:\/\n]+)"")),"""")"),"eng.auburn.edu")</f>
        <v>eng.auburn.edu</v>
      </c>
      <c r="E3688" s="26" t="str">
        <f ca="1">IFERROR(__xludf.DUMMYFUNCTION("""COMPUTED_VALUE"""),"New")</f>
        <v>New</v>
      </c>
      <c r="F3688" s="72">
        <v>83</v>
      </c>
      <c r="G3688" s="72">
        <v>212954</v>
      </c>
      <c r="P3688" s="26"/>
    </row>
    <row r="3689" spans="1:16" ht="14.5">
      <c r="A3689" s="3" t="s">
        <v>255</v>
      </c>
      <c r="B3689" s="12" t="s">
        <v>2867</v>
      </c>
      <c r="C3689" s="46" t="s">
        <v>7621</v>
      </c>
      <c r="D3689" s="41" t="str">
        <f ca="1">IFERROR(__xludf.DUMMYFUNCTION("IFERROR(ARRAYFORMULA(REGEXEXTRACT(C3689,""^(?:https?:\/\/)?(?:[^@\n]+@)?(?:www\.)?([^:\/\n]+)"")),"""")"),"go-outdoors.caltech.edu")</f>
        <v>go-outdoors.caltech.edu</v>
      </c>
      <c r="E3689" s="26" t="str">
        <f ca="1">IFERROR(__xludf.DUMMYFUNCTION("""COMPUTED_VALUE"""),"New")</f>
        <v>New</v>
      </c>
      <c r="F3689" s="72">
        <v>87</v>
      </c>
      <c r="G3689" s="72">
        <v>395601</v>
      </c>
      <c r="P3689" s="26"/>
    </row>
    <row r="3690" spans="1:16" ht="14.5">
      <c r="A3690" s="3" t="s">
        <v>255</v>
      </c>
      <c r="B3690" s="12" t="s">
        <v>2867</v>
      </c>
      <c r="C3690" s="46" t="s">
        <v>7622</v>
      </c>
      <c r="D3690" s="41" t="str">
        <f ca="1">IFERROR(__xludf.DUMMYFUNCTION("IFERROR(ARRAYFORMULA(REGEXEXTRACT(C3690,""^(?:https?:\/\/)?(?:[^@\n]+@)?(?:www\.)?([^:\/\n]+)"")),"""")"),"asd5.org")</f>
        <v>asd5.org</v>
      </c>
      <c r="E3690" s="26" t="str">
        <f ca="1">IFERROR(__xludf.DUMMYFUNCTION("""COMPUTED_VALUE"""),"New")</f>
        <v>New</v>
      </c>
      <c r="F3690" s="72">
        <v>28</v>
      </c>
      <c r="G3690" s="72">
        <v>2341</v>
      </c>
      <c r="P3690" s="26"/>
    </row>
    <row r="3691" spans="1:16" ht="14.5">
      <c r="A3691" s="3" t="s">
        <v>255</v>
      </c>
      <c r="B3691" s="12" t="s">
        <v>2867</v>
      </c>
      <c r="C3691" s="46" t="s">
        <v>7623</v>
      </c>
      <c r="D3691" s="41" t="str">
        <f ca="1">IFERROR(__xludf.DUMMYFUNCTION("IFERROR(ARRAYFORMULA(REGEXEXTRACT(C3691,""^(?:https?:\/\/)?(?:[^@\n]+@)?(?:www\.)?([^:\/\n]+)"")),"""")"),"helpteaching.com")</f>
        <v>helpteaching.com</v>
      </c>
      <c r="E3691" s="26" t="str">
        <f ca="1">IFERROR(__xludf.DUMMYFUNCTION("""COMPUTED_VALUE"""),"New")</f>
        <v>New</v>
      </c>
      <c r="F3691" s="72">
        <v>51</v>
      </c>
      <c r="G3691" s="72">
        <v>12615</v>
      </c>
      <c r="P3691" s="26"/>
    </row>
    <row r="3692" spans="1:16" ht="14.5">
      <c r="A3692" s="3" t="s">
        <v>255</v>
      </c>
      <c r="B3692" s="12" t="s">
        <v>2867</v>
      </c>
      <c r="C3692" s="46" t="s">
        <v>7624</v>
      </c>
      <c r="D3692" s="41" t="str">
        <f ca="1">IFERROR(__xludf.DUMMYFUNCTION("IFERROR(ARRAYFORMULA(REGEXEXTRACT(C3692,""^(?:https?:\/\/)?(?:[^@\n]+@)?(?:www\.)?([^:\/\n]+)"")),"""")"),"tbeerc.tn.edu.tw")</f>
        <v>tbeerc.tn.edu.tw</v>
      </c>
      <c r="E3692" s="26" t="str">
        <f ca="1">IFERROR(__xludf.DUMMYFUNCTION("""COMPUTED_VALUE"""),"New")</f>
        <v>New</v>
      </c>
      <c r="F3692" s="72">
        <v>71</v>
      </c>
      <c r="G3692" s="72">
        <v>204219</v>
      </c>
      <c r="P3692" s="26"/>
    </row>
    <row r="3693" spans="1:16" ht="14.5">
      <c r="A3693" s="3" t="s">
        <v>255</v>
      </c>
      <c r="B3693" s="12" t="s">
        <v>2867</v>
      </c>
      <c r="C3693" s="46" t="s">
        <v>7625</v>
      </c>
      <c r="D3693" s="41" t="str">
        <f ca="1">IFERROR(__xludf.DUMMYFUNCTION("IFERROR(ARRAYFORMULA(REGEXEXTRACT(C3693,""^(?:https?:\/\/)?(?:[^@\n]+@)?(?:www\.)?([^:\/\n]+)"")),"""")"),"onlypassionatecuriosity.com")</f>
        <v>onlypassionatecuriosity.com</v>
      </c>
      <c r="E3693" s="26" t="str">
        <f ca="1">IFERROR(__xludf.DUMMYFUNCTION("""COMPUTED_VALUE"""),"New")</f>
        <v>New</v>
      </c>
      <c r="F3693" s="72">
        <v>38</v>
      </c>
      <c r="G3693" s="72">
        <v>3909</v>
      </c>
      <c r="P3693" s="26"/>
    </row>
    <row r="3694" spans="1:16" ht="14.5">
      <c r="A3694" s="3" t="s">
        <v>255</v>
      </c>
      <c r="B3694" s="12" t="s">
        <v>2867</v>
      </c>
      <c r="C3694" s="46" t="s">
        <v>7626</v>
      </c>
      <c r="D3694" s="41" t="str">
        <f ca="1">IFERROR(__xludf.DUMMYFUNCTION("IFERROR(ARRAYFORMULA(REGEXEXTRACT(C3694,""^(?:https?:\/\/)?(?:[^@\n]+@)?(?:www\.)?([^:\/\n]+)"")),"""")"),"nps.gov")</f>
        <v>nps.gov</v>
      </c>
      <c r="E3694" s="26" t="str">
        <f ca="1">IFERROR(__xludf.DUMMYFUNCTION("""COMPUTED_VALUE"""),"New")</f>
        <v>New</v>
      </c>
      <c r="F3694" s="72">
        <v>92</v>
      </c>
      <c r="G3694" s="72">
        <v>7193540</v>
      </c>
      <c r="P3694" s="26"/>
    </row>
    <row r="3695" spans="1:16" ht="14.5">
      <c r="A3695" s="3" t="s">
        <v>255</v>
      </c>
      <c r="B3695" s="12" t="s">
        <v>2867</v>
      </c>
      <c r="C3695" s="46" t="s">
        <v>7627</v>
      </c>
      <c r="D3695" s="41" t="str">
        <f ca="1">IFERROR(__xludf.DUMMYFUNCTION("IFERROR(ARRAYFORMULA(REGEXEXTRACT(C3695,""^(?:https?:\/\/)?(?:[^@\n]+@)?(?:www\.)?([^:\/\n]+)"")),"""")"),"joulefellows.engr.uconn.edu")</f>
        <v>joulefellows.engr.uconn.edu</v>
      </c>
      <c r="E3695" s="26" t="str">
        <f ca="1">IFERROR(__xludf.DUMMYFUNCTION("""COMPUTED_VALUE"""),"New")</f>
        <v>New</v>
      </c>
      <c r="F3695" s="72">
        <v>86</v>
      </c>
      <c r="G3695" s="72">
        <v>626544</v>
      </c>
      <c r="P3695" s="26"/>
    </row>
    <row r="3696" spans="1:16" ht="14.5">
      <c r="A3696" s="3" t="s">
        <v>255</v>
      </c>
      <c r="B3696" s="12" t="s">
        <v>2867</v>
      </c>
      <c r="C3696" s="46" t="s">
        <v>7628</v>
      </c>
      <c r="D3696" s="41" t="str">
        <f ca="1">IFERROR(__xludf.DUMMYFUNCTION("IFERROR(ARRAYFORMULA(REGEXEXTRACT(C3696,""^(?:https?:\/\/)?(?:[^@\n]+@)?(?:www\.)?([^:\/\n]+)"")),"""")"),"gentlemansflair.com")</f>
        <v>gentlemansflair.com</v>
      </c>
      <c r="E3696" s="26" t="str">
        <f ca="1">IFERROR(__xludf.DUMMYFUNCTION("""COMPUTED_VALUE"""),"New")</f>
        <v>New</v>
      </c>
      <c r="F3696" s="72">
        <v>24</v>
      </c>
      <c r="G3696" s="72">
        <v>1510</v>
      </c>
      <c r="P3696" s="26"/>
    </row>
    <row r="3697" spans="1:16" ht="14.5">
      <c r="A3697" s="3" t="s">
        <v>255</v>
      </c>
      <c r="B3697" s="12" t="s">
        <v>2867</v>
      </c>
      <c r="C3697" s="46" t="s">
        <v>7629</v>
      </c>
      <c r="D3697" s="41" t="str">
        <f ca="1">IFERROR(__xludf.DUMMYFUNCTION("IFERROR(ARRAYFORMULA(REGEXEXTRACT(C3697,""^(?:https?:\/\/)?(?:[^@\n]+@)?(?:www\.)?([^:\/\n]+)"")),"""")"),"tusd.org")</f>
        <v>tusd.org</v>
      </c>
      <c r="E3697" s="26" t="str">
        <f ca="1">IFERROR(__xludf.DUMMYFUNCTION("""COMPUTED_VALUE"""),"New")</f>
        <v>New</v>
      </c>
      <c r="F3697" s="72">
        <v>51</v>
      </c>
      <c r="G3697" s="72">
        <v>21081</v>
      </c>
      <c r="P3697" s="26"/>
    </row>
    <row r="3698" spans="1:16" ht="14.5">
      <c r="A3698" s="3" t="s">
        <v>255</v>
      </c>
      <c r="B3698" s="12" t="s">
        <v>2867</v>
      </c>
      <c r="C3698" s="46" t="s">
        <v>7630</v>
      </c>
      <c r="D3698" s="41" t="str">
        <f ca="1">IFERROR(__xludf.DUMMYFUNCTION("IFERROR(ARRAYFORMULA(REGEXEXTRACT(C3698,""^(?:https?:\/\/)?(?:[^@\n]+@)?(?:www\.)?([^:\/\n]+)"")),"""")"),"aspire.usu.edu")</f>
        <v>aspire.usu.edu</v>
      </c>
      <c r="E3698" s="26" t="str">
        <f ca="1">IFERROR(__xludf.DUMMYFUNCTION("""COMPUTED_VALUE"""),"New")</f>
        <v>New</v>
      </c>
      <c r="F3698" s="72">
        <v>85</v>
      </c>
      <c r="G3698" s="72">
        <v>332960</v>
      </c>
      <c r="P3698" s="26"/>
    </row>
    <row r="3699" spans="1:16" ht="14.5">
      <c r="A3699" s="3" t="s">
        <v>255</v>
      </c>
      <c r="B3699" s="12" t="s">
        <v>2867</v>
      </c>
      <c r="C3699" s="46" t="s">
        <v>7631</v>
      </c>
      <c r="D3699" s="41" t="str">
        <f ca="1">IFERROR(__xludf.DUMMYFUNCTION("IFERROR(ARRAYFORMULA(REGEXEXTRACT(C3699,""^(?:https?:\/\/)?(?:[^@\n]+@)?(?:www\.)?([^:\/\n]+)"")),"""")"),"wiki.ezvid.com")</f>
        <v>wiki.ezvid.com</v>
      </c>
      <c r="E3699" s="26" t="str">
        <f ca="1">IFERROR(__xludf.DUMMYFUNCTION("""COMPUTED_VALUE"""),"New")</f>
        <v>New</v>
      </c>
      <c r="F3699" s="72">
        <v>73</v>
      </c>
      <c r="G3699" s="72">
        <v>1304</v>
      </c>
      <c r="P3699" s="26"/>
    </row>
    <row r="3700" spans="1:16" ht="14.5">
      <c r="A3700" s="3" t="s">
        <v>255</v>
      </c>
      <c r="B3700" s="12" t="s">
        <v>2867</v>
      </c>
      <c r="C3700" s="46" t="s">
        <v>7632</v>
      </c>
      <c r="D3700" s="41" t="str">
        <f ca="1">IFERROR(__xludf.DUMMYFUNCTION("IFERROR(ARRAYFORMULA(REGEXEXTRACT(C3700,""^(?:https?:\/\/)?(?:[^@\n]+@)?(?:www\.)?([^:\/\n]+)"")),"""")"),"swe-rms.swe.org")</f>
        <v>swe-rms.swe.org</v>
      </c>
      <c r="E3700" s="26" t="str">
        <f ca="1">IFERROR(__xludf.DUMMYFUNCTION("""COMPUTED_VALUE"""),"New")</f>
        <v>New</v>
      </c>
      <c r="F3700" s="72">
        <v>78</v>
      </c>
      <c r="G3700" s="72">
        <v>26144</v>
      </c>
      <c r="P3700" s="26"/>
    </row>
    <row r="3701" spans="1:16" ht="14.5">
      <c r="A3701" s="3" t="s">
        <v>255</v>
      </c>
      <c r="B3701" s="12" t="s">
        <v>2867</v>
      </c>
      <c r="C3701" s="46" t="s">
        <v>7633</v>
      </c>
      <c r="D3701" s="41" t="str">
        <f ca="1">IFERROR(__xludf.DUMMYFUNCTION("IFERROR(ARRAYFORMULA(REGEXEXTRACT(C3701,""^(?:https?:\/\/)?(?:[^@\n]+@)?(?:www\.)?([^:\/\n]+)"")),"""")"),"codrey.com")</f>
        <v>codrey.com</v>
      </c>
      <c r="E3701" s="26" t="str">
        <f ca="1">IFERROR(__xludf.DUMMYFUNCTION("""COMPUTED_VALUE"""),"New")</f>
        <v>New</v>
      </c>
      <c r="F3701" s="72">
        <v>33</v>
      </c>
      <c r="G3701" s="72">
        <v>2231</v>
      </c>
      <c r="P3701" s="26"/>
    </row>
    <row r="3702" spans="1:16" ht="14.5">
      <c r="A3702" s="3" t="s">
        <v>255</v>
      </c>
      <c r="B3702" s="12" t="s">
        <v>2867</v>
      </c>
      <c r="C3702" s="46" t="s">
        <v>7634</v>
      </c>
      <c r="D3702" s="41" t="str">
        <f ca="1">IFERROR(__xludf.DUMMYFUNCTION("IFERROR(ARRAYFORMULA(REGEXEXTRACT(C3702,""^(?:https?:\/\/)?(?:[^@\n]+@)?(?:www\.)?([^:\/\n]+)"")),"""")"),"nysed.gov")</f>
        <v>nysed.gov</v>
      </c>
      <c r="E3702" s="26" t="str">
        <f ca="1">IFERROR(__xludf.DUMMYFUNCTION("""COMPUTED_VALUE"""),"New")</f>
        <v>New</v>
      </c>
      <c r="F3702" s="72">
        <v>84</v>
      </c>
      <c r="G3702" s="72">
        <v>401712</v>
      </c>
      <c r="P3702" s="26"/>
    </row>
    <row r="3703" spans="1:16" ht="14.5">
      <c r="A3703" s="3" t="s">
        <v>255</v>
      </c>
      <c r="B3703" s="12" t="s">
        <v>2867</v>
      </c>
      <c r="C3703" s="46" t="s">
        <v>7635</v>
      </c>
      <c r="D3703" s="41" t="str">
        <f ca="1">IFERROR(__xludf.DUMMYFUNCTION("IFERROR(ARRAYFORMULA(REGEXEXTRACT(C3703,""^(?:https?:\/\/)?(?:[^@\n]+@)?(?:www\.)?([^:\/\n]+)"")),"""")"),"science.guhsd.net")</f>
        <v>science.guhsd.net</v>
      </c>
      <c r="E3703" s="26" t="str">
        <f ca="1">IFERROR(__xludf.DUMMYFUNCTION("""COMPUTED_VALUE"""),"New")</f>
        <v>New</v>
      </c>
      <c r="F3703" s="72">
        <v>50</v>
      </c>
      <c r="G3703" s="72">
        <v>14758</v>
      </c>
      <c r="P3703" s="26"/>
    </row>
    <row r="3704" spans="1:16" ht="14.5">
      <c r="A3704" s="3" t="s">
        <v>255</v>
      </c>
      <c r="B3704" s="12" t="s">
        <v>2867</v>
      </c>
      <c r="C3704" s="46" t="s">
        <v>7636</v>
      </c>
      <c r="D3704" s="41" t="str">
        <f ca="1">IFERROR(__xludf.DUMMYFUNCTION("IFERROR(ARRAYFORMULA(REGEXEXTRACT(C3704,""^(?:https?:\/\/)?(?:[^@\n]+@)?(?:www\.)?([^:\/\n]+)"")),"""")"),"caeser.memphis.edu")</f>
        <v>caeser.memphis.edu</v>
      </c>
      <c r="E3704" s="26" t="str">
        <f ca="1">IFERROR(__xludf.DUMMYFUNCTION("""COMPUTED_VALUE"""),"New")</f>
        <v>New</v>
      </c>
      <c r="F3704" s="72">
        <v>78</v>
      </c>
      <c r="G3704" s="72">
        <v>79248</v>
      </c>
      <c r="P3704" s="26"/>
    </row>
    <row r="3705" spans="1:16" ht="14.5">
      <c r="A3705" s="3" t="s">
        <v>255</v>
      </c>
      <c r="B3705" s="12" t="s">
        <v>2867</v>
      </c>
      <c r="C3705" s="46" t="s">
        <v>7637</v>
      </c>
      <c r="D3705" s="41" t="str">
        <f ca="1">IFERROR(__xludf.DUMMYFUNCTION("IFERROR(ARRAYFORMULA(REGEXEXTRACT(C3705,""^(?:https?:\/\/)?(?:[^@\n]+@)?(?:www\.)?([^:\/\n]+)"")),"""")"),"lifeovercs.com")</f>
        <v>lifeovercs.com</v>
      </c>
      <c r="E3705" s="26" t="str">
        <f ca="1">IFERROR(__xludf.DUMMYFUNCTION("""COMPUTED_VALUE"""),"New")</f>
        <v>New</v>
      </c>
      <c r="F3705" s="72">
        <v>57</v>
      </c>
      <c r="G3705" s="72">
        <v>6906</v>
      </c>
      <c r="P3705" s="26"/>
    </row>
    <row r="3706" spans="1:16" ht="14.5">
      <c r="A3706" s="3" t="s">
        <v>255</v>
      </c>
      <c r="B3706" s="12" t="s">
        <v>2867</v>
      </c>
      <c r="C3706" s="46" t="s">
        <v>7638</v>
      </c>
      <c r="D3706" s="41" t="str">
        <f ca="1">IFERROR(__xludf.DUMMYFUNCTION("IFERROR(ARRAYFORMULA(REGEXEXTRACT(C3706,""^(?:https?:\/\/)?(?:[^@\n]+@)?(?:www\.)?([^:\/\n]+)"")),"""")"),"littlebinsforlittlehands.com")</f>
        <v>littlebinsforlittlehands.com</v>
      </c>
      <c r="E3706" s="26" t="str">
        <f ca="1">IFERROR(__xludf.DUMMYFUNCTION("""COMPUTED_VALUE"""),"New")</f>
        <v>New</v>
      </c>
      <c r="F3706" s="72">
        <v>73</v>
      </c>
      <c r="G3706" s="72">
        <v>62991</v>
      </c>
      <c r="P3706" s="26"/>
    </row>
    <row r="3707" spans="1:16" ht="14.5">
      <c r="A3707" s="3" t="s">
        <v>255</v>
      </c>
      <c r="B3707" s="12" t="s">
        <v>2867</v>
      </c>
      <c r="C3707" s="46" t="s">
        <v>7639</v>
      </c>
      <c r="D3707" s="41" t="str">
        <f ca="1">IFERROR(__xludf.DUMMYFUNCTION("IFERROR(ARRAYFORMULA(REGEXEXTRACT(C3707,""^(?:https?:\/\/)?(?:[^@\n]+@)?(?:www\.)?([^:\/\n]+)"")),"""")"),"keystonetutors.com")</f>
        <v>keystonetutors.com</v>
      </c>
      <c r="E3707" s="26" t="str">
        <f ca="1">IFERROR(__xludf.DUMMYFUNCTION("""COMPUTED_VALUE"""),"New")</f>
        <v>New</v>
      </c>
      <c r="F3707" s="72">
        <v>39</v>
      </c>
      <c r="G3707" s="72">
        <v>6071</v>
      </c>
      <c r="P3707" s="26"/>
    </row>
    <row r="3708" spans="1:16" ht="14.5">
      <c r="A3708" s="3" t="s">
        <v>255</v>
      </c>
      <c r="B3708" s="12" t="s">
        <v>2867</v>
      </c>
      <c r="C3708" s="46" t="s">
        <v>7640</v>
      </c>
      <c r="D3708" s="41" t="str">
        <f ca="1">IFERROR(__xludf.DUMMYFUNCTION("IFERROR(ARRAYFORMULA(REGEXEXTRACT(C3708,""^(?:https?:\/\/)?(?:[^@\n]+@)?(?:www\.)?([^:\/\n]+)"")),"""")"),"stem.aurorak12.org")</f>
        <v>stem.aurorak12.org</v>
      </c>
      <c r="E3708" s="26" t="str">
        <f ca="1">IFERROR(__xludf.DUMMYFUNCTION("""COMPUTED_VALUE"""),"New")</f>
        <v>New</v>
      </c>
      <c r="F3708" s="72">
        <v>58</v>
      </c>
      <c r="G3708" s="72">
        <v>22783</v>
      </c>
      <c r="P3708" s="26"/>
    </row>
    <row r="3709" spans="1:16" ht="14.5">
      <c r="A3709" s="3" t="s">
        <v>255</v>
      </c>
      <c r="B3709" s="12" t="s">
        <v>2867</v>
      </c>
      <c r="C3709" s="46" t="s">
        <v>7641</v>
      </c>
      <c r="D3709" s="41" t="str">
        <f ca="1">IFERROR(__xludf.DUMMYFUNCTION("IFERROR(ARRAYFORMULA(REGEXEXTRACT(C3709,""^(?:https?:\/\/)?(?:[^@\n]+@)?(?:www\.)?([^:\/\n]+)"")),"""")"),"res.tvusd.k12.ca.us")</f>
        <v>res.tvusd.k12.ca.us</v>
      </c>
      <c r="E3709" s="26" t="str">
        <f ca="1">IFERROR(__xludf.DUMMYFUNCTION("""COMPUTED_VALUE"""),"New")</f>
        <v>New</v>
      </c>
      <c r="F3709" s="72">
        <v>46</v>
      </c>
      <c r="G3709" s="72">
        <v>17016</v>
      </c>
      <c r="P3709" s="26"/>
    </row>
    <row r="3710" spans="1:16" ht="14.5">
      <c r="A3710" s="3" t="s">
        <v>255</v>
      </c>
      <c r="B3710" s="12" t="s">
        <v>2867</v>
      </c>
      <c r="C3710" s="46" t="s">
        <v>7642</v>
      </c>
      <c r="D3710" s="41" t="str">
        <f ca="1">IFERROR(__xludf.DUMMYFUNCTION("IFERROR(ARRAYFORMULA(REGEXEXTRACT(C3710,""^(?:https?:\/\/)?(?:[^@\n]+@)?(?:www\.)?([^:\/\n]+)"")),"""")"),"clas.ucdenver.edu")</f>
        <v>clas.ucdenver.edu</v>
      </c>
      <c r="E3710" s="26" t="str">
        <f ca="1">IFERROR(__xludf.DUMMYFUNCTION("""COMPUTED_VALUE"""),"New")</f>
        <v>New</v>
      </c>
      <c r="F3710" s="72">
        <v>80</v>
      </c>
      <c r="G3710" s="72">
        <v>165349</v>
      </c>
      <c r="P3710" s="26"/>
    </row>
    <row r="3711" spans="1:16" ht="14.5">
      <c r="A3711" s="3" t="s">
        <v>255</v>
      </c>
      <c r="B3711" s="12" t="s">
        <v>2867</v>
      </c>
      <c r="C3711" s="46" t="s">
        <v>7643</v>
      </c>
      <c r="D3711" s="41" t="str">
        <f ca="1">IFERROR(__xludf.DUMMYFUNCTION("IFERROR(ARRAYFORMULA(REGEXEXTRACT(C3711,""^(?:https?:\/\/)?(?:[^@\n]+@)?(?:www\.)?([^:\/\n]+)"")),"""")"),"edusites.uregina.ca")</f>
        <v>edusites.uregina.ca</v>
      </c>
      <c r="E3711" s="26" t="str">
        <f ca="1">IFERROR(__xludf.DUMMYFUNCTION("""COMPUTED_VALUE"""),"New")</f>
        <v>New</v>
      </c>
      <c r="F3711" s="72">
        <v>76</v>
      </c>
      <c r="G3711" s="72">
        <v>100343</v>
      </c>
      <c r="P3711" s="26"/>
    </row>
    <row r="3712" spans="1:16" ht="14.5">
      <c r="A3712" s="3" t="s">
        <v>255</v>
      </c>
      <c r="B3712" s="12" t="s">
        <v>2867</v>
      </c>
      <c r="C3712" s="46" t="s">
        <v>7644</v>
      </c>
      <c r="D3712" s="41" t="str">
        <f ca="1">IFERROR(__xludf.DUMMYFUNCTION("IFERROR(ARRAYFORMULA(REGEXEXTRACT(C3712,""^(?:https?:\/\/)?(?:[^@\n]+@)?(?:www\.)?([^:\/\n]+)"")),"""")"),"engineering.cmu.edu")</f>
        <v>engineering.cmu.edu</v>
      </c>
      <c r="E3712" s="26" t="str">
        <f ca="1">IFERROR(__xludf.DUMMYFUNCTION("""COMPUTED_VALUE"""),"New")</f>
        <v>New</v>
      </c>
      <c r="F3712" s="72">
        <v>91</v>
      </c>
      <c r="G3712" s="72">
        <v>468106</v>
      </c>
      <c r="P3712" s="26"/>
    </row>
    <row r="3713" spans="1:16" ht="14.5">
      <c r="A3713" s="3" t="s">
        <v>255</v>
      </c>
      <c r="B3713" s="12" t="s">
        <v>2867</v>
      </c>
      <c r="C3713" s="46" t="s">
        <v>7645</v>
      </c>
      <c r="D3713" s="41" t="str">
        <f ca="1">IFERROR(__xludf.DUMMYFUNCTION("IFERROR(ARRAYFORMULA(REGEXEXTRACT(C3713,""^(?:https?:\/\/)?(?:[^@\n]+@)?(?:www\.)?([^:\/\n]+)"")),"""")"),"galepages.com")</f>
        <v>galepages.com</v>
      </c>
      <c r="E3713" s="26" t="str">
        <f ca="1">IFERROR(__xludf.DUMMYFUNCTION("""COMPUTED_VALUE"""),"New")</f>
        <v>New</v>
      </c>
      <c r="F3713" s="72">
        <v>65</v>
      </c>
      <c r="G3713" s="72">
        <v>1976</v>
      </c>
      <c r="P3713" s="26"/>
    </row>
    <row r="3714" spans="1:16" ht="14.5">
      <c r="A3714" s="3" t="s">
        <v>255</v>
      </c>
      <c r="B3714" s="12" t="s">
        <v>2867</v>
      </c>
      <c r="C3714" s="46" t="s">
        <v>7646</v>
      </c>
      <c r="D3714" s="41" t="str">
        <f ca="1">IFERROR(__xludf.DUMMYFUNCTION("IFERROR(ARRAYFORMULA(REGEXEXTRACT(C3714,""^(?:https?:\/\/)?(?:[^@\n]+@)?(?:www\.)?([^:\/\n]+)"")),"""")"),"scoutmasterbucky.com")</f>
        <v>scoutmasterbucky.com</v>
      </c>
      <c r="E3714" s="26" t="str">
        <f ca="1">IFERROR(__xludf.DUMMYFUNCTION("""COMPUTED_VALUE"""),"New")</f>
        <v>New</v>
      </c>
      <c r="F3714" s="72">
        <v>41</v>
      </c>
      <c r="G3714" s="72">
        <v>1037</v>
      </c>
      <c r="P3714" s="26"/>
    </row>
    <row r="3715" spans="1:16" ht="14.5">
      <c r="A3715" s="3" t="s">
        <v>255</v>
      </c>
      <c r="B3715" s="12" t="s">
        <v>2867</v>
      </c>
      <c r="C3715" s="46" t="s">
        <v>7647</v>
      </c>
      <c r="D3715" s="41" t="str">
        <f ca="1">IFERROR(__xludf.DUMMYFUNCTION("IFERROR(ARRAYFORMULA(REGEXEXTRACT(C3715,""^(?:https?:\/\/)?(?:[^@\n]+@)?(?:www\.)?([^:\/\n]+)"")),"""")"),"discoveryaba.com")</f>
        <v>discoveryaba.com</v>
      </c>
      <c r="E3715" s="26" t="str">
        <f ca="1">IFERROR(__xludf.DUMMYFUNCTION("""COMPUTED_VALUE"""),"New")</f>
        <v>New</v>
      </c>
      <c r="F3715" s="72">
        <v>52</v>
      </c>
      <c r="G3715" s="72">
        <v>41787</v>
      </c>
      <c r="P3715" s="26"/>
    </row>
    <row r="3716" spans="1:16" ht="14.5">
      <c r="A3716" s="3" t="s">
        <v>255</v>
      </c>
      <c r="B3716" s="12" t="s">
        <v>2867</v>
      </c>
      <c r="C3716" s="46" t="s">
        <v>7648</v>
      </c>
      <c r="D3716" s="41" t="str">
        <f ca="1">IFERROR(__xludf.DUMMYFUNCTION("IFERROR(ARRAYFORMULA(REGEXEXTRACT(C3716,""^(?:https?:\/\/)?(?:[^@\n]+@)?(?:www\.)?([^:\/\n]+)"")),"""")"),"montessori-academy.com")</f>
        <v>montessori-academy.com</v>
      </c>
      <c r="E3716" s="26" t="str">
        <f ca="1">IFERROR(__xludf.DUMMYFUNCTION("""COMPUTED_VALUE"""),"New")</f>
        <v>New</v>
      </c>
      <c r="F3716" s="72">
        <v>40</v>
      </c>
      <c r="G3716" s="72">
        <v>4226</v>
      </c>
      <c r="P3716" s="26"/>
    </row>
    <row r="3717" spans="1:16" ht="14.5">
      <c r="A3717" s="3" t="s">
        <v>255</v>
      </c>
      <c r="B3717" s="12" t="s">
        <v>2867</v>
      </c>
      <c r="C3717" s="46" t="s">
        <v>7649</v>
      </c>
      <c r="D3717" s="41" t="str">
        <f ca="1">IFERROR(__xludf.DUMMYFUNCTION("IFERROR(ARRAYFORMULA(REGEXEXTRACT(C3717,""^(?:https?:\/\/)?(?:[^@\n]+@)?(?:www\.)?([^:\/\n]+)"")),"""")"),"css.umich.edu")</f>
        <v>css.umich.edu</v>
      </c>
      <c r="E3717" s="26" t="str">
        <f ca="1">IFERROR(__xludf.DUMMYFUNCTION("""COMPUTED_VALUE"""),"New")</f>
        <v>New</v>
      </c>
      <c r="F3717" s="72">
        <v>91</v>
      </c>
      <c r="G3717" s="72">
        <v>1981448</v>
      </c>
      <c r="P3717" s="26"/>
    </row>
    <row r="3718" spans="1:16" ht="14.5">
      <c r="A3718" s="3" t="s">
        <v>255</v>
      </c>
      <c r="B3718" s="12" t="s">
        <v>2867</v>
      </c>
      <c r="C3718" s="46" t="s">
        <v>7650</v>
      </c>
      <c r="D3718" s="41" t="str">
        <f ca="1">IFERROR(__xludf.DUMMYFUNCTION("IFERROR(ARRAYFORMULA(REGEXEXTRACT(C3718,""^(?:https?:\/\/)?(?:[^@\n]+@)?(?:www\.)?([^:\/\n]+)"")),"""")"),"creativity.psu.edu")</f>
        <v>creativity.psu.edu</v>
      </c>
      <c r="E3718" s="26" t="str">
        <f ca="1">IFERROR(__xludf.DUMMYFUNCTION("""COMPUTED_VALUE"""),"New")</f>
        <v>New</v>
      </c>
      <c r="F3718" s="72">
        <v>91</v>
      </c>
      <c r="G3718" s="72">
        <v>1776913</v>
      </c>
      <c r="P3718" s="26"/>
    </row>
    <row r="3719" spans="1:16" ht="14.5">
      <c r="A3719" s="3" t="s">
        <v>255</v>
      </c>
      <c r="B3719" s="12" t="s">
        <v>2867</v>
      </c>
      <c r="C3719" s="46" t="s">
        <v>7651</v>
      </c>
      <c r="D3719" s="41" t="str">
        <f ca="1">IFERROR(__xludf.DUMMYFUNCTION("IFERROR(ARRAYFORMULA(REGEXEXTRACT(C3719,""^(?:https?:\/\/)?(?:[^@\n]+@)?(?:www\.)?([^:\/\n]+)"")),"""")"),"ehrhardt.egusd.net")</f>
        <v>ehrhardt.egusd.net</v>
      </c>
      <c r="E3719" s="26" t="str">
        <f ca="1">IFERROR(__xludf.DUMMYFUNCTION("""COMPUTED_VALUE"""),"New")</f>
        <v>New</v>
      </c>
      <c r="F3719" s="72">
        <v>55</v>
      </c>
      <c r="G3719" s="72">
        <v>37510</v>
      </c>
      <c r="P3719" s="26"/>
    </row>
    <row r="3720" spans="1:16" ht="14.5">
      <c r="A3720" s="3" t="s">
        <v>255</v>
      </c>
      <c r="B3720" s="12" t="s">
        <v>2867</v>
      </c>
      <c r="C3720" s="46" t="s">
        <v>7652</v>
      </c>
      <c r="D3720" s="41" t="str">
        <f ca="1">IFERROR(__xludf.DUMMYFUNCTION("IFERROR(ARRAYFORMULA(REGEXEXTRACT(C3720,""^(?:https?:\/\/)?(?:[^@\n]+@)?(?:www\.)?([^:\/\n]+)"")),"""")"),"cms.casdonline.org")</f>
        <v>cms.casdonline.org</v>
      </c>
      <c r="E3720" s="26" t="str">
        <f ca="1">IFERROR(__xludf.DUMMYFUNCTION("""COMPUTED_VALUE"""),"New")</f>
        <v>New</v>
      </c>
      <c r="F3720" s="72">
        <v>26</v>
      </c>
      <c r="G3720" s="72">
        <v>3065</v>
      </c>
      <c r="P3720" s="26"/>
    </row>
    <row r="3721" spans="1:16" ht="14.5">
      <c r="A3721" s="3" t="s">
        <v>255</v>
      </c>
      <c r="B3721" s="12" t="s">
        <v>2867</v>
      </c>
      <c r="C3721" s="46" t="s">
        <v>7653</v>
      </c>
      <c r="D3721" s="41" t="str">
        <f ca="1">IFERROR(__xludf.DUMMYFUNCTION("IFERROR(ARRAYFORMULA(REGEXEXTRACT(C3721,""^(?:https?:\/\/)?(?:[^@\n]+@)?(?:www\.)?([^:\/\n]+)"")),"""")"),"sites.asee.org")</f>
        <v>sites.asee.org</v>
      </c>
      <c r="E3721" s="26" t="str">
        <f ca="1">IFERROR(__xludf.DUMMYFUNCTION("""COMPUTED_VALUE"""),"New")</f>
        <v>New</v>
      </c>
      <c r="F3721" s="72">
        <v>76</v>
      </c>
      <c r="G3721" s="72">
        <v>4029</v>
      </c>
      <c r="P3721" s="26"/>
    </row>
    <row r="3722" spans="1:16" ht="14.5">
      <c r="A3722" s="3" t="s">
        <v>255</v>
      </c>
      <c r="B3722" s="12" t="s">
        <v>2867</v>
      </c>
      <c r="C3722" s="46" t="s">
        <v>7654</v>
      </c>
      <c r="D3722" s="41" t="str">
        <f ca="1">IFERROR(__xludf.DUMMYFUNCTION("IFERROR(ARRAYFORMULA(REGEXEXTRACT(C3722,""^(?:https?:\/\/)?(?:[^@\n]+@)?(?:www\.)?([^:\/\n]+)"")),"""")"),"jonesinfortaste.com")</f>
        <v>jonesinfortaste.com</v>
      </c>
      <c r="E3722" s="26" t="str">
        <f ca="1">IFERROR(__xludf.DUMMYFUNCTION("""COMPUTED_VALUE"""),"New")</f>
        <v>New</v>
      </c>
      <c r="F3722" s="72">
        <v>36</v>
      </c>
      <c r="G3722" s="72">
        <v>1942</v>
      </c>
      <c r="P3722" s="26"/>
    </row>
    <row r="3723" spans="1:16" ht="14.5">
      <c r="A3723" s="3" t="s">
        <v>255</v>
      </c>
      <c r="B3723" s="12" t="s">
        <v>2867</v>
      </c>
      <c r="C3723" s="46" t="s">
        <v>7655</v>
      </c>
      <c r="D3723" s="41" t="str">
        <f ca="1">IFERROR(__xludf.DUMMYFUNCTION("IFERROR(ARRAYFORMULA(REGEXEXTRACT(C3723,""^(?:https?:\/\/)?(?:[^@\n]+@)?(?:www\.)?([^:\/\n]+)"")),"""")"),"oml.web.unc.edu")</f>
        <v>oml.web.unc.edu</v>
      </c>
      <c r="E3723" s="26" t="str">
        <f ca="1">IFERROR(__xludf.DUMMYFUNCTION("""COMPUTED_VALUE"""),"New")</f>
        <v>New</v>
      </c>
      <c r="F3723" s="72">
        <v>90</v>
      </c>
      <c r="G3723" s="72">
        <v>1975360</v>
      </c>
      <c r="P3723" s="26"/>
    </row>
    <row r="3724" spans="1:16" ht="14.5">
      <c r="A3724" s="3" t="s">
        <v>255</v>
      </c>
      <c r="B3724" s="12" t="s">
        <v>2867</v>
      </c>
      <c r="C3724" s="46" t="s">
        <v>7656</v>
      </c>
      <c r="D3724" s="41" t="str">
        <f ca="1">IFERROR(__xludf.DUMMYFUNCTION("IFERROR(ARRAYFORMULA(REGEXEXTRACT(C3724,""^(?:https?:\/\/)?(?:[^@\n]+@)?(?:www\.)?([^:\/\n]+)"")),"""")"),"ryan.houstonisd.org")</f>
        <v>ryan.houstonisd.org</v>
      </c>
      <c r="E3724" s="26" t="str">
        <f ca="1">IFERROR(__xludf.DUMMYFUNCTION("""COMPUTED_VALUE"""),"New")</f>
        <v>New</v>
      </c>
      <c r="F3724" s="72">
        <v>73</v>
      </c>
      <c r="G3724" s="72">
        <v>128086</v>
      </c>
      <c r="P3724" s="26"/>
    </row>
    <row r="3725" spans="1:16" ht="14.5">
      <c r="A3725" s="3" t="s">
        <v>255</v>
      </c>
      <c r="B3725" s="12" t="s">
        <v>2867</v>
      </c>
      <c r="C3725" s="46" t="s">
        <v>7657</v>
      </c>
      <c r="D3725" s="41" t="str">
        <f ca="1">IFERROR(__xludf.DUMMYFUNCTION("IFERROR(ARRAYFORMULA(REGEXEXTRACT(C3725,""^(?:https?:\/\/)?(?:[^@\n]+@)?(?:www\.)?([^:\/\n]+)"")),"""")"),"greentumble.com")</f>
        <v>greentumble.com</v>
      </c>
      <c r="E3725" s="26" t="str">
        <f ca="1">IFERROR(__xludf.DUMMYFUNCTION("""COMPUTED_VALUE"""),"New")</f>
        <v>New</v>
      </c>
      <c r="F3725" s="72">
        <v>55</v>
      </c>
      <c r="G3725" s="72">
        <v>2423</v>
      </c>
      <c r="P3725" s="26"/>
    </row>
    <row r="3726" spans="1:16" ht="14.5">
      <c r="A3726" s="3" t="s">
        <v>255</v>
      </c>
      <c r="B3726" s="12" t="s">
        <v>2867</v>
      </c>
      <c r="C3726" s="46" t="s">
        <v>7658</v>
      </c>
      <c r="D3726" s="41" t="str">
        <f ca="1">IFERROR(__xludf.DUMMYFUNCTION("IFERROR(ARRAYFORMULA(REGEXEXTRACT(C3726,""^(?:https?:\/\/)?(?:[^@\n]+@)?(?:www\.)?([^:\/\n]+)"")),"""")"),"education.rowan.edu")</f>
        <v>education.rowan.edu</v>
      </c>
      <c r="E3726" s="26" t="str">
        <f ca="1">IFERROR(__xludf.DUMMYFUNCTION("""COMPUTED_VALUE"""),"New")</f>
        <v>New</v>
      </c>
      <c r="F3726" s="72">
        <v>77</v>
      </c>
      <c r="G3726" s="72">
        <v>90449</v>
      </c>
      <c r="P3726" s="26"/>
    </row>
    <row r="3727" spans="1:16" ht="14.5">
      <c r="A3727" s="3" t="s">
        <v>255</v>
      </c>
      <c r="B3727" s="12" t="s">
        <v>2867</v>
      </c>
      <c r="C3727" s="46" t="s">
        <v>7659</v>
      </c>
      <c r="D3727" s="41" t="str">
        <f ca="1">IFERROR(__xludf.DUMMYFUNCTION("IFERROR(ARRAYFORMULA(REGEXEXTRACT(C3727,""^(?:https?:\/\/)?(?:[^@\n]+@)?(?:www\.)?([^:\/\n]+)"")),"""")"),"welcome.stevensonschool.org")</f>
        <v>welcome.stevensonschool.org</v>
      </c>
      <c r="E3727" s="26" t="str">
        <f ca="1">IFERROR(__xludf.DUMMYFUNCTION("""COMPUTED_VALUE"""),"New")</f>
        <v>New</v>
      </c>
      <c r="F3727" s="72">
        <v>42</v>
      </c>
      <c r="G3727" s="72">
        <v>1764</v>
      </c>
      <c r="P3727" s="26"/>
    </row>
    <row r="3728" spans="1:16" ht="14.5">
      <c r="A3728" s="3" t="s">
        <v>255</v>
      </c>
      <c r="B3728" s="12" t="s">
        <v>2867</v>
      </c>
      <c r="C3728" s="46" t="s">
        <v>7660</v>
      </c>
      <c r="D3728" s="41" t="str">
        <f ca="1">IFERROR(__xludf.DUMMYFUNCTION("IFERROR(ARRAYFORMULA(REGEXEXTRACT(C3728,""^(?:https?:\/\/)?(?:[^@\n]+@)?(?:www\.)?([^:\/\n]+)"")),"""")"),"clowns.com")</f>
        <v>clowns.com</v>
      </c>
      <c r="E3728" s="26" t="str">
        <f ca="1">IFERROR(__xludf.DUMMYFUNCTION("""COMPUTED_VALUE"""),"New")</f>
        <v>New</v>
      </c>
      <c r="F3728" s="72">
        <v>31</v>
      </c>
      <c r="G3728" s="72">
        <v>2242</v>
      </c>
      <c r="P3728" s="26"/>
    </row>
    <row r="3729" spans="1:16" ht="14.5">
      <c r="A3729" s="3" t="s">
        <v>255</v>
      </c>
      <c r="B3729" s="12" t="s">
        <v>2867</v>
      </c>
      <c r="C3729" s="46" t="s">
        <v>7661</v>
      </c>
      <c r="D3729" s="41" t="str">
        <f ca="1">IFERROR(__xludf.DUMMYFUNCTION("IFERROR(ARRAYFORMULA(REGEXEXTRACT(C3729,""^(?:https?:\/\/)?(?:[^@\n]+@)?(?:www\.)?([^:\/\n]+)"")),"""")"),"blog.uclm.es")</f>
        <v>blog.uclm.es</v>
      </c>
      <c r="E3729" s="26" t="str">
        <f ca="1">IFERROR(__xludf.DUMMYFUNCTION("""COMPUTED_VALUE"""),"New")</f>
        <v>New</v>
      </c>
      <c r="F3729" s="72">
        <v>77</v>
      </c>
      <c r="G3729" s="72">
        <v>80487</v>
      </c>
      <c r="P3729" s="26"/>
    </row>
    <row r="3730" spans="1:16" ht="14.5">
      <c r="A3730" s="3" t="s">
        <v>255</v>
      </c>
      <c r="B3730" s="12" t="s">
        <v>2867</v>
      </c>
      <c r="C3730" s="46" t="s">
        <v>7662</v>
      </c>
      <c r="D3730" s="41" t="str">
        <f ca="1">IFERROR(__xludf.DUMMYFUNCTION("IFERROR(ARRAYFORMULA(REGEXEXTRACT(C3730,""^(?:https?:\/\/)?(?:[^@\n]+@)?(?:www\.)?([^:\/\n]+)"")),"""")"),"metlink.org")</f>
        <v>metlink.org</v>
      </c>
      <c r="E3730" s="26" t="str">
        <f ca="1">IFERROR(__xludf.DUMMYFUNCTION("""COMPUTED_VALUE"""),"New")</f>
        <v>New</v>
      </c>
      <c r="F3730" s="72">
        <v>56</v>
      </c>
      <c r="G3730" s="72">
        <v>3864</v>
      </c>
      <c r="P3730" s="26"/>
    </row>
    <row r="3731" spans="1:16" ht="14.5">
      <c r="A3731" s="3" t="s">
        <v>255</v>
      </c>
      <c r="B3731" s="12" t="s">
        <v>2867</v>
      </c>
      <c r="C3731" s="46" t="s">
        <v>7663</v>
      </c>
      <c r="D3731" s="41" t="str">
        <f ca="1">IFERROR(__xludf.DUMMYFUNCTION("IFERROR(ARRAYFORMULA(REGEXEXTRACT(C3731,""^(?:https?:\/\/)?(?:[^@\n]+@)?(?:www\.)?([^:\/\n]+)"")),"""")"),"scienceinschool.org")</f>
        <v>scienceinschool.org</v>
      </c>
      <c r="E3731" s="26" t="str">
        <f ca="1">IFERROR(__xludf.DUMMYFUNCTION("""COMPUTED_VALUE"""),"New")</f>
        <v>New</v>
      </c>
      <c r="F3731" s="72">
        <v>65</v>
      </c>
      <c r="G3731" s="72">
        <v>10663</v>
      </c>
      <c r="P3731" s="26"/>
    </row>
    <row r="3732" spans="1:16" ht="14.5">
      <c r="A3732" s="3" t="s">
        <v>255</v>
      </c>
      <c r="B3732" s="12" t="s">
        <v>2867</v>
      </c>
      <c r="C3732" s="46" t="s">
        <v>7664</v>
      </c>
      <c r="D3732" s="41" t="str">
        <f ca="1">IFERROR(__xludf.DUMMYFUNCTION("IFERROR(ARRAYFORMULA(REGEXEXTRACT(C3732,""^(?:https?:\/\/)?(?:[^@\n]+@)?(?:www\.)?([^:\/\n]+)"")),"""")"),"thepocketlab.com")</f>
        <v>thepocketlab.com</v>
      </c>
      <c r="E3732" s="26" t="str">
        <f ca="1">IFERROR(__xludf.DUMMYFUNCTION("""COMPUTED_VALUE"""),"New")</f>
        <v>New</v>
      </c>
      <c r="F3732" s="72">
        <v>57</v>
      </c>
      <c r="G3732" s="72">
        <v>9171</v>
      </c>
      <c r="P3732" s="26"/>
    </row>
    <row r="3733" spans="1:16" ht="14.5">
      <c r="A3733" s="3" t="s">
        <v>255</v>
      </c>
      <c r="B3733" s="12" t="s">
        <v>2867</v>
      </c>
      <c r="C3733" s="46" t="s">
        <v>7665</v>
      </c>
      <c r="D3733" s="41" t="str">
        <f ca="1">IFERROR(__xludf.DUMMYFUNCTION("IFERROR(ARRAYFORMULA(REGEXEXTRACT(C3733,""^(?:https?:\/\/)?(?:[^@\n]+@)?(?:www\.)?([^:\/\n]+)"")),"""")"),"techlearning.com")</f>
        <v>techlearning.com</v>
      </c>
      <c r="E3733" s="26" t="str">
        <f ca="1">IFERROR(__xludf.DUMMYFUNCTION("""COMPUTED_VALUE"""),"New")</f>
        <v>New</v>
      </c>
      <c r="F3733" s="72">
        <v>75</v>
      </c>
      <c r="G3733" s="72">
        <v>41150</v>
      </c>
      <c r="P3733" s="26"/>
    </row>
    <row r="3734" spans="1:16" ht="14.5">
      <c r="A3734" s="3" t="s">
        <v>255</v>
      </c>
      <c r="B3734" s="12" t="s">
        <v>2867</v>
      </c>
      <c r="C3734" s="46" t="s">
        <v>7666</v>
      </c>
      <c r="D3734" s="41" t="str">
        <f ca="1">IFERROR(__xludf.DUMMYFUNCTION("IFERROR(ARRAYFORMULA(REGEXEXTRACT(C3734,""^(?:https?:\/\/)?(?:[^@\n]+@)?(?:www\.)?([^:\/\n]+)"")),"""")"),"gvsu.edu")</f>
        <v>gvsu.edu</v>
      </c>
      <c r="E3734" s="26" t="str">
        <f ca="1">IFERROR(__xludf.DUMMYFUNCTION("""COMPUTED_VALUE"""),"New")</f>
        <v>New</v>
      </c>
      <c r="F3734" s="72">
        <v>80</v>
      </c>
      <c r="G3734" s="72">
        <v>110540</v>
      </c>
      <c r="P3734" s="26"/>
    </row>
    <row r="3735" spans="1:16" ht="14.5">
      <c r="A3735" s="3" t="s">
        <v>255</v>
      </c>
      <c r="B3735" s="12" t="s">
        <v>2867</v>
      </c>
      <c r="C3735" s="46" t="s">
        <v>7667</v>
      </c>
      <c r="D3735" s="41" t="str">
        <f ca="1">IFERROR(__xludf.DUMMYFUNCTION("IFERROR(ARRAYFORMULA(REGEXEXTRACT(C3735,""^(?:https?:\/\/)?(?:[^@\n]+@)?(?:www\.)?([^:\/\n]+)"")),"""")"),"openlab.citytech.cuny.edu")</f>
        <v>openlab.citytech.cuny.edu</v>
      </c>
      <c r="E3735" s="26" t="str">
        <f ca="1">IFERROR(__xludf.DUMMYFUNCTION("""COMPUTED_VALUE"""),"New")</f>
        <v>New</v>
      </c>
      <c r="F3735" s="72">
        <v>88</v>
      </c>
      <c r="G3735" s="72">
        <v>1912611</v>
      </c>
      <c r="P3735" s="26"/>
    </row>
    <row r="3736" spans="1:16" ht="14.5">
      <c r="A3736" s="3" t="s">
        <v>255</v>
      </c>
      <c r="B3736" s="12" t="s">
        <v>2867</v>
      </c>
      <c r="C3736" s="46" t="s">
        <v>7668</v>
      </c>
      <c r="D3736" s="41" t="str">
        <f ca="1">IFERROR(__xludf.DUMMYFUNCTION("IFERROR(ARRAYFORMULA(REGEXEXTRACT(C3736,""^(?:https?:\/\/)?(?:[^@\n]+@)?(?:www\.)?([^:\/\n]+)"")),"""")"),"pathways.mste.illinois.edu")</f>
        <v>pathways.mste.illinois.edu</v>
      </c>
      <c r="E3736" s="26" t="str">
        <f ca="1">IFERROR(__xludf.DUMMYFUNCTION("""COMPUTED_VALUE"""),"New")</f>
        <v>New</v>
      </c>
      <c r="F3736" s="72">
        <v>90</v>
      </c>
      <c r="G3736" s="72">
        <v>1226225</v>
      </c>
      <c r="P3736" s="26"/>
    </row>
    <row r="3737" spans="1:16" ht="14.5">
      <c r="A3737" s="3" t="s">
        <v>255</v>
      </c>
      <c r="B3737" s="12" t="s">
        <v>2867</v>
      </c>
      <c r="C3737" s="46" t="s">
        <v>7669</v>
      </c>
      <c r="D3737" s="41" t="str">
        <f ca="1">IFERROR(__xludf.DUMMYFUNCTION("IFERROR(ARRAYFORMULA(REGEXEXTRACT(C3737,""^(?:https?:\/\/)?(?:[^@\n]+@)?(?:www\.)?([^:\/\n]+)"")),"""")"),"energypedia.info")</f>
        <v>energypedia.info</v>
      </c>
      <c r="E3737" s="26" t="str">
        <f ca="1">IFERROR(__xludf.DUMMYFUNCTION("""COMPUTED_VALUE"""),"New")</f>
        <v>New</v>
      </c>
      <c r="F3737" s="72">
        <v>66</v>
      </c>
      <c r="G3737" s="72">
        <v>11256</v>
      </c>
      <c r="P3737" s="26"/>
    </row>
    <row r="3738" spans="1:16" ht="14.5">
      <c r="A3738" s="3" t="s">
        <v>255</v>
      </c>
      <c r="B3738" s="12" t="s">
        <v>2867</v>
      </c>
      <c r="C3738" s="46" t="s">
        <v>7670</v>
      </c>
      <c r="D3738" s="41" t="str">
        <f ca="1">IFERROR(__xludf.DUMMYFUNCTION("IFERROR(ARRAYFORMULA(REGEXEXTRACT(C3738,""^(?:https?:\/\/)?(?:[^@\n]+@)?(?:www\.)?([^:\/\n]+)"")),"""")"),"adventuretourscostarica.com")</f>
        <v>adventuretourscostarica.com</v>
      </c>
      <c r="E3738" s="26" t="str">
        <f ca="1">IFERROR(__xludf.DUMMYFUNCTION("""COMPUTED_VALUE"""),"New")</f>
        <v>New</v>
      </c>
      <c r="F3738" s="72">
        <v>31</v>
      </c>
      <c r="G3738" s="72">
        <v>5222</v>
      </c>
      <c r="P3738" s="26"/>
    </row>
    <row r="3739" spans="1:16" ht="14.5">
      <c r="A3739" s="3" t="s">
        <v>255</v>
      </c>
      <c r="B3739" s="12" t="s">
        <v>2867</v>
      </c>
      <c r="C3739" s="46" t="s">
        <v>7671</v>
      </c>
      <c r="D3739" s="41" t="str">
        <f ca="1">IFERROR(__xludf.DUMMYFUNCTION("IFERROR(ARRAYFORMULA(REGEXEXTRACT(C3739,""^(?:https?:\/\/)?(?:[^@\n]+@)?(?:www\.)?([^:\/\n]+)"")),"""")"),"ctl.mesacc.edu")</f>
        <v>ctl.mesacc.edu</v>
      </c>
      <c r="E3739" s="26" t="str">
        <f ca="1">IFERROR(__xludf.DUMMYFUNCTION("""COMPUTED_VALUE"""),"New")</f>
        <v>New</v>
      </c>
      <c r="F3739" s="72">
        <v>68</v>
      </c>
      <c r="G3739" s="72">
        <v>25429</v>
      </c>
      <c r="P3739" s="26"/>
    </row>
    <row r="3740" spans="1:16" ht="14.5">
      <c r="A3740" s="3" t="s">
        <v>255</v>
      </c>
      <c r="B3740" s="12" t="s">
        <v>2867</v>
      </c>
      <c r="C3740" s="46" t="s">
        <v>7672</v>
      </c>
      <c r="D3740" s="41" t="str">
        <f ca="1">IFERROR(__xludf.DUMMYFUNCTION("IFERROR(ARRAYFORMULA(REGEXEXTRACT(C3740,""^(?:https?:\/\/)?(?:[^@\n]+@)?(?:www\.)?([^:\/\n]+)"")),"""")"),"appropedia.org")</f>
        <v>appropedia.org</v>
      </c>
      <c r="E3740" s="26" t="str">
        <f ca="1">IFERROR(__xludf.DUMMYFUNCTION("""COMPUTED_VALUE"""),"New")</f>
        <v>New</v>
      </c>
      <c r="F3740" s="72">
        <v>74</v>
      </c>
      <c r="G3740" s="72">
        <v>8338</v>
      </c>
      <c r="P3740" s="26"/>
    </row>
    <row r="3741" spans="1:16" ht="14.5">
      <c r="A3741" s="3" t="s">
        <v>255</v>
      </c>
      <c r="B3741" s="12" t="s">
        <v>2867</v>
      </c>
      <c r="C3741" s="46" t="s">
        <v>7673</v>
      </c>
      <c r="D3741" s="41" t="str">
        <f ca="1">IFERROR(__xludf.DUMMYFUNCTION("IFERROR(ARRAYFORMULA(REGEXEXTRACT(C3741,""^(?:https?:\/\/)?(?:[^@\n]+@)?(?:www\.)?([^:\/\n]+)"")),"""")"),"theowlteacher.com")</f>
        <v>theowlteacher.com</v>
      </c>
      <c r="E3741" s="26" t="str">
        <f ca="1">IFERROR(__xludf.DUMMYFUNCTION("""COMPUTED_VALUE"""),"New")</f>
        <v>New</v>
      </c>
      <c r="F3741" s="72">
        <v>43</v>
      </c>
      <c r="G3741" s="72">
        <v>1519</v>
      </c>
      <c r="P3741" s="26"/>
    </row>
    <row r="3742" spans="1:16" ht="14.5">
      <c r="A3742" s="3" t="s">
        <v>255</v>
      </c>
      <c r="B3742" s="12" t="s">
        <v>2867</v>
      </c>
      <c r="C3742" s="46" t="s">
        <v>7674</v>
      </c>
      <c r="D3742" s="41" t="str">
        <f ca="1">IFERROR(__xludf.DUMMYFUNCTION("IFERROR(ARRAYFORMULA(REGEXEXTRACT(C3742,""^(?:https?:\/\/)?(?:[^@\n]+@)?(?:www\.)?([^:\/\n]+)"")),"""")"),"teachthought.com")</f>
        <v>teachthought.com</v>
      </c>
      <c r="E3742" s="26" t="str">
        <f ca="1">IFERROR(__xludf.DUMMYFUNCTION("""COMPUTED_VALUE"""),"New")</f>
        <v>New</v>
      </c>
      <c r="F3742" s="72">
        <v>77</v>
      </c>
      <c r="G3742" s="72">
        <v>37959</v>
      </c>
      <c r="P3742" s="26"/>
    </row>
    <row r="3743" spans="1:16" ht="14.5">
      <c r="A3743" s="3" t="s">
        <v>255</v>
      </c>
      <c r="B3743" s="12" t="s">
        <v>2867</v>
      </c>
      <c r="C3743" s="46" t="s">
        <v>7675</v>
      </c>
      <c r="D3743" s="41" t="str">
        <f ca="1">IFERROR(__xludf.DUMMYFUNCTION("IFERROR(ARRAYFORMULA(REGEXEXTRACT(C3743,""^(?:https?:\/\/)?(?:[^@\n]+@)?(?:www\.)?([^:\/\n]+)"")),"""")"),"imperialmovers.com")</f>
        <v>imperialmovers.com</v>
      </c>
      <c r="E3743" s="26" t="str">
        <f ca="1">IFERROR(__xludf.DUMMYFUNCTION("""COMPUTED_VALUE"""),"New")</f>
        <v>New</v>
      </c>
      <c r="F3743" s="72">
        <v>21</v>
      </c>
      <c r="G3743" s="72">
        <v>2684</v>
      </c>
      <c r="P3743" s="26"/>
    </row>
    <row r="3744" spans="1:16" ht="14.5">
      <c r="A3744" s="3" t="s">
        <v>255</v>
      </c>
      <c r="B3744" s="12" t="s">
        <v>2867</v>
      </c>
      <c r="C3744" s="46" t="s">
        <v>7676</v>
      </c>
      <c r="D3744" s="41" t="str">
        <f ca="1">IFERROR(__xludf.DUMMYFUNCTION("IFERROR(ARRAYFORMULA(REGEXEXTRACT(C3744,""^(?:https?:\/\/)?(?:[^@\n]+@)?(?:www\.)?([^:\/\n]+)"")),"""")"),"nap.nationalacademies.org")</f>
        <v>nap.nationalacademies.org</v>
      </c>
      <c r="E3744" s="26" t="str">
        <f ca="1">IFERROR(__xludf.DUMMYFUNCTION("""COMPUTED_VALUE"""),"New")</f>
        <v>New</v>
      </c>
      <c r="F3744" s="72">
        <v>90</v>
      </c>
      <c r="G3744" s="72">
        <v>52358</v>
      </c>
      <c r="P3744" s="26"/>
    </row>
    <row r="3745" spans="1:16" ht="14.5">
      <c r="A3745" s="3" t="s">
        <v>255</v>
      </c>
      <c r="B3745" s="12" t="s">
        <v>2867</v>
      </c>
      <c r="C3745" s="46" t="s">
        <v>7677</v>
      </c>
      <c r="D3745" s="41" t="str">
        <f ca="1">IFERROR(__xludf.DUMMYFUNCTION("IFERROR(ARRAYFORMULA(REGEXEXTRACT(C3745,""^(?:https?:\/\/)?(?:[^@\n]+@)?(?:www\.)?([^:\/\n]+)"")),"""")"),"usm.maine.edu")</f>
        <v>usm.maine.edu</v>
      </c>
      <c r="E3745" s="26" t="str">
        <f ca="1">IFERROR(__xludf.DUMMYFUNCTION("""COMPUTED_VALUE"""),"New")</f>
        <v>New</v>
      </c>
      <c r="F3745" s="72">
        <v>79</v>
      </c>
      <c r="G3745" s="72">
        <v>56351</v>
      </c>
      <c r="P3745" s="26"/>
    </row>
    <row r="3746" spans="1:16" ht="14.5">
      <c r="A3746" s="3" t="s">
        <v>255</v>
      </c>
      <c r="B3746" s="12" t="s">
        <v>2867</v>
      </c>
      <c r="C3746" s="46" t="s">
        <v>7678</v>
      </c>
      <c r="D3746" s="41" t="str">
        <f ca="1">IFERROR(__xludf.DUMMYFUNCTION("IFERROR(ARRAYFORMULA(REGEXEXTRACT(C3746,""^(?:https?:\/\/)?(?:[^@\n]+@)?(?:www\.)?([^:\/\n]+)"")),"""")"),"24houranswers.com")</f>
        <v>24houranswers.com</v>
      </c>
      <c r="E3746" s="26" t="str">
        <f ca="1">IFERROR(__xludf.DUMMYFUNCTION("""COMPUTED_VALUE"""),"New")</f>
        <v>New</v>
      </c>
      <c r="F3746" s="72">
        <v>35</v>
      </c>
      <c r="G3746" s="72">
        <v>6403</v>
      </c>
      <c r="P3746" s="26"/>
    </row>
    <row r="3747" spans="1:16" ht="14.5">
      <c r="A3747" s="3" t="s">
        <v>255</v>
      </c>
      <c r="B3747" s="12" t="s">
        <v>2867</v>
      </c>
      <c r="C3747" s="46" t="s">
        <v>7679</v>
      </c>
      <c r="D3747" s="41" t="str">
        <f ca="1">IFERROR(__xludf.DUMMYFUNCTION("IFERROR(ARRAYFORMULA(REGEXEXTRACT(C3747,""^(?:https?:\/\/)?(?:[^@\n]+@)?(?:www\.)?([^:\/\n]+)"")),"""")"),"rosehill.jmcss.org")</f>
        <v>rosehill.jmcss.org</v>
      </c>
      <c r="E3747" s="26" t="str">
        <f ca="1">IFERROR(__xludf.DUMMYFUNCTION("""COMPUTED_VALUE"""),"New")</f>
        <v>New</v>
      </c>
      <c r="F3747" s="72">
        <v>29</v>
      </c>
      <c r="G3747" s="72">
        <v>5697</v>
      </c>
      <c r="P3747" s="26"/>
    </row>
    <row r="3748" spans="1:16" ht="14.5">
      <c r="A3748" s="3" t="s">
        <v>255</v>
      </c>
      <c r="B3748" s="12" t="s">
        <v>2867</v>
      </c>
      <c r="C3748" s="46" t="s">
        <v>7680</v>
      </c>
      <c r="D3748" s="41" t="str">
        <f ca="1">IFERROR(__xludf.DUMMYFUNCTION("IFERROR(ARRAYFORMULA(REGEXEXTRACT(C3748,""^(?:https?:\/\/)?(?:[^@\n]+@)?(?:www\.)?([^:\/\n]+)"")),"""")"),"goodnoees.crsd.org")</f>
        <v>goodnoees.crsd.org</v>
      </c>
      <c r="E3748" s="26" t="str">
        <f ca="1">IFERROR(__xludf.DUMMYFUNCTION("""COMPUTED_VALUE"""),"New")</f>
        <v>New</v>
      </c>
      <c r="F3748" s="72">
        <v>45</v>
      </c>
      <c r="G3748" s="72">
        <v>10557</v>
      </c>
      <c r="P3748" s="26"/>
    </row>
    <row r="3749" spans="1:16" ht="14.5">
      <c r="A3749" s="3" t="s">
        <v>255</v>
      </c>
      <c r="B3749" s="12" t="s">
        <v>2867</v>
      </c>
      <c r="C3749" s="46" t="s">
        <v>7681</v>
      </c>
      <c r="D3749" s="41" t="str">
        <f ca="1">IFERROR(__xludf.DUMMYFUNCTION("IFERROR(ARRAYFORMULA(REGEXEXTRACT(C3749,""^(?:https?:\/\/)?(?:[^@\n]+@)?(?:www\.)?([^:\/\n]+)"")),"""")"),"news.tempest.earth")</f>
        <v>news.tempest.earth</v>
      </c>
      <c r="E3749" s="26" t="str">
        <f ca="1">IFERROR(__xludf.DUMMYFUNCTION("""COMPUTED_VALUE"""),"New")</f>
        <v>New</v>
      </c>
      <c r="F3749" s="72">
        <v>67</v>
      </c>
      <c r="G3749" s="72">
        <v>27708</v>
      </c>
      <c r="P3749" s="26"/>
    </row>
    <row r="3750" spans="1:16" ht="14.5">
      <c r="A3750" s="3" t="s">
        <v>255</v>
      </c>
      <c r="B3750" s="12" t="s">
        <v>2867</v>
      </c>
      <c r="C3750" s="46" t="s">
        <v>7682</v>
      </c>
      <c r="D3750" s="41" t="str">
        <f ca="1">IFERROR(__xludf.DUMMYFUNCTION("IFERROR(ARRAYFORMULA(REGEXEXTRACT(C3750,""^(?:https?:\/\/)?(?:[^@\n]+@)?(?:www\.)?([^:\/\n]+)"")),"""")"),"ideas.pixton.com")</f>
        <v>ideas.pixton.com</v>
      </c>
      <c r="E3750" s="26" t="str">
        <f ca="1">IFERROR(__xludf.DUMMYFUNCTION("""COMPUTED_VALUE"""),"New")</f>
        <v>New</v>
      </c>
      <c r="F3750" s="72">
        <v>68</v>
      </c>
      <c r="G3750" s="72">
        <v>207393</v>
      </c>
      <c r="P3750" s="26"/>
    </row>
    <row r="3751" spans="1:16" ht="14.5">
      <c r="A3751" s="3" t="s">
        <v>255</v>
      </c>
      <c r="B3751" s="12" t="s">
        <v>2867</v>
      </c>
      <c r="C3751" s="46" t="s">
        <v>7683</v>
      </c>
      <c r="D3751" s="41" t="str">
        <f ca="1">IFERROR(__xludf.DUMMYFUNCTION("IFERROR(ARRAYFORMULA(REGEXEXTRACT(C3751,""^(?:https?:\/\/)?(?:[^@\n]+@)?(?:www\.)?([^:\/\n]+)"")),"""")"),"vivify-stem.squarespace.com")</f>
        <v>vivify-stem.squarespace.com</v>
      </c>
      <c r="E3751" s="26" t="str">
        <f ca="1">IFERROR(__xludf.DUMMYFUNCTION("""COMPUTED_VALUE"""),"New")</f>
        <v>New</v>
      </c>
      <c r="F3751" s="72">
        <v>95</v>
      </c>
      <c r="G3751" s="72">
        <v>3932236</v>
      </c>
      <c r="P3751" s="26"/>
    </row>
    <row r="3752" spans="1:16" ht="14.5">
      <c r="A3752" s="3" t="s">
        <v>255</v>
      </c>
      <c r="B3752" s="12" t="s">
        <v>2867</v>
      </c>
      <c r="C3752" s="46" t="s">
        <v>7684</v>
      </c>
      <c r="D3752" s="41" t="str">
        <f ca="1">IFERROR(__xludf.DUMMYFUNCTION("IFERROR(ARRAYFORMULA(REGEXEXTRACT(C3752,""^(?:https?:\/\/)?(?:[^@\n]+@)?(?:www\.)?([^:\/\n]+)"")),"""")"),"flightschoolusa.com")</f>
        <v>flightschoolusa.com</v>
      </c>
      <c r="E3752" s="26" t="str">
        <f ca="1">IFERROR(__xludf.DUMMYFUNCTION("""COMPUTED_VALUE"""),"New")</f>
        <v>New</v>
      </c>
      <c r="F3752" s="72">
        <v>49</v>
      </c>
      <c r="G3752" s="72">
        <v>2470</v>
      </c>
      <c r="P3752" s="26"/>
    </row>
    <row r="3753" spans="1:16" ht="14.5">
      <c r="A3753" s="3" t="s">
        <v>255</v>
      </c>
      <c r="B3753" s="12" t="s">
        <v>2867</v>
      </c>
      <c r="C3753" s="46" t="s">
        <v>7685</v>
      </c>
      <c r="D3753" s="41" t="str">
        <f ca="1">IFERROR(__xludf.DUMMYFUNCTION("IFERROR(ARRAYFORMULA(REGEXEXTRACT(C3753,""^(?:https?:\/\/)?(?:[^@\n]+@)?(?:www\.)?([^:\/\n]+)"")),"""")"),"itp.nyu.edu")</f>
        <v>itp.nyu.edu</v>
      </c>
      <c r="E3753" s="26" t="str">
        <f ca="1">IFERROR(__xludf.DUMMYFUNCTION("""COMPUTED_VALUE"""),"New")</f>
        <v>New</v>
      </c>
      <c r="F3753" s="72">
        <v>91</v>
      </c>
      <c r="G3753" s="72">
        <v>1152232</v>
      </c>
      <c r="P3753" s="26"/>
    </row>
    <row r="3754" spans="1:16" ht="14.5">
      <c r="A3754" s="3" t="s">
        <v>255</v>
      </c>
      <c r="B3754" s="12" t="s">
        <v>2867</v>
      </c>
      <c r="C3754" s="46" t="s">
        <v>7686</v>
      </c>
      <c r="D3754" s="41" t="str">
        <f ca="1">IFERROR(__xludf.DUMMYFUNCTION("IFERROR(ARRAYFORMULA(REGEXEXTRACT(C3754,""^(?:https?:\/\/)?(?:[^@\n]+@)?(?:www\.)?([^:\/\n]+)"")),"""")"),"codakid.com")</f>
        <v>codakid.com</v>
      </c>
      <c r="E3754" s="26" t="str">
        <f ca="1">IFERROR(__xludf.DUMMYFUNCTION("""COMPUTED_VALUE"""),"New")</f>
        <v>New</v>
      </c>
      <c r="F3754" s="72">
        <v>54</v>
      </c>
      <c r="G3754" s="72">
        <v>22675</v>
      </c>
      <c r="P3754" s="26"/>
    </row>
    <row r="3755" spans="1:16" ht="14.5">
      <c r="A3755" s="3" t="s">
        <v>255</v>
      </c>
      <c r="B3755" s="12" t="s">
        <v>2867</v>
      </c>
      <c r="C3755" s="46" t="s">
        <v>7687</v>
      </c>
      <c r="D3755" s="41" t="str">
        <f ca="1">IFERROR(__xludf.DUMMYFUNCTION("IFERROR(ARRAYFORMULA(REGEXEXTRACT(C3755,""^(?:https?:\/\/)?(?:[^@\n]+@)?(?:www\.)?([^:\/\n]+)"")),"""")"),"elevators.com")</f>
        <v>elevators.com</v>
      </c>
      <c r="E3755" s="26" t="str">
        <f ca="1">IFERROR(__xludf.DUMMYFUNCTION("""COMPUTED_VALUE"""),"New")</f>
        <v>New</v>
      </c>
      <c r="F3755" s="72">
        <v>59</v>
      </c>
      <c r="G3755" s="72">
        <v>11890</v>
      </c>
      <c r="P3755" s="26"/>
    </row>
    <row r="3756" spans="1:16" ht="14.5">
      <c r="A3756" s="3" t="s">
        <v>255</v>
      </c>
      <c r="B3756" s="12" t="s">
        <v>2867</v>
      </c>
      <c r="C3756" s="46" t="s">
        <v>7688</v>
      </c>
      <c r="D3756" s="41" t="str">
        <f ca="1">IFERROR(__xludf.DUMMYFUNCTION("IFERROR(ARRAYFORMULA(REGEXEXTRACT(C3756,""^(?:https?:\/\/)?(?:[^@\n]+@)?(?:www\.)?([^:\/\n]+)"")),"""")"),"ilpi.com")</f>
        <v>ilpi.com</v>
      </c>
      <c r="E3756" s="26" t="str">
        <f ca="1">IFERROR(__xludf.DUMMYFUNCTION("""COMPUTED_VALUE"""),"New")</f>
        <v>New</v>
      </c>
      <c r="F3756" s="72">
        <v>64</v>
      </c>
      <c r="G3756" s="72">
        <v>5296</v>
      </c>
      <c r="P3756" s="26"/>
    </row>
    <row r="3757" spans="1:16" ht="14.5">
      <c r="A3757" s="3" t="s">
        <v>255</v>
      </c>
      <c r="B3757" s="12" t="s">
        <v>2867</v>
      </c>
      <c r="C3757" s="46" t="s">
        <v>7689</v>
      </c>
      <c r="D3757" s="41" t="str">
        <f ca="1">IFERROR(__xludf.DUMMYFUNCTION("IFERROR(ARRAYFORMULA(REGEXEXTRACT(C3757,""^(?:https?:\/\/)?(?:[^@\n]+@)?(?:www\.)?([^:\/\n]+)"")),"""")"),"nhaschools.com")</f>
        <v>nhaschools.com</v>
      </c>
      <c r="E3757" s="26" t="str">
        <f ca="1">IFERROR(__xludf.DUMMYFUNCTION("""COMPUTED_VALUE"""),"New")</f>
        <v>New</v>
      </c>
      <c r="F3757" s="72">
        <v>55</v>
      </c>
      <c r="G3757" s="72">
        <v>86631</v>
      </c>
      <c r="P3757" s="26"/>
    </row>
    <row r="3758" spans="1:16" ht="14.5">
      <c r="A3758" s="3" t="s">
        <v>255</v>
      </c>
      <c r="B3758" s="12" t="s">
        <v>2867</v>
      </c>
      <c r="C3758" s="46" t="s">
        <v>7690</v>
      </c>
      <c r="D3758" s="41" t="str">
        <f ca="1">IFERROR(__xludf.DUMMYFUNCTION("IFERROR(ARRAYFORMULA(REGEXEXTRACT(C3758,""^(?:https?:\/\/)?(?:[^@\n]+@)?(?:www\.)?([^:\/\n]+)"")),"""")"),"sciencemill.org")</f>
        <v>sciencemill.org</v>
      </c>
      <c r="E3758" s="26" t="str">
        <f ca="1">IFERROR(__xludf.DUMMYFUNCTION("""COMPUTED_VALUE"""),"New")</f>
        <v>New</v>
      </c>
      <c r="F3758" s="72">
        <v>42</v>
      </c>
      <c r="G3758" s="72">
        <v>4098</v>
      </c>
      <c r="P3758" s="26"/>
    </row>
    <row r="3759" spans="1:16" ht="14.5">
      <c r="A3759" s="3" t="s">
        <v>255</v>
      </c>
      <c r="B3759" s="12" t="s">
        <v>2867</v>
      </c>
      <c r="C3759" s="46" t="s">
        <v>7691</v>
      </c>
      <c r="D3759" s="41" t="str">
        <f ca="1">IFERROR(__xludf.DUMMYFUNCTION("IFERROR(ARRAYFORMULA(REGEXEXTRACT(C3759,""^(?:https?:\/\/)?(?:[^@\n]+@)?(?:www\.)?([^:\/\n]+)"")),"""")"),"edgewaterpublic.vcsedu.org")</f>
        <v>edgewaterpublic.vcsedu.org</v>
      </c>
      <c r="E3759" s="26" t="str">
        <f ca="1">IFERROR(__xludf.DUMMYFUNCTION("""COMPUTED_VALUE"""),"New")</f>
        <v>New</v>
      </c>
      <c r="F3759" s="72">
        <v>54</v>
      </c>
      <c r="G3759" s="72">
        <v>180932</v>
      </c>
      <c r="P3759" s="26"/>
    </row>
    <row r="3760" spans="1:16" ht="14.5">
      <c r="A3760" s="3" t="s">
        <v>255</v>
      </c>
      <c r="B3760" s="12" t="s">
        <v>2867</v>
      </c>
      <c r="C3760" s="46" t="s">
        <v>7692</v>
      </c>
      <c r="D3760" s="41" t="str">
        <f ca="1">IFERROR(__xludf.DUMMYFUNCTION("IFERROR(ARRAYFORMULA(REGEXEXTRACT(C3760,""^(?:https?:\/\/)?(?:[^@\n]+@)?(?:www\.)?([^:\/\n]+)"")),"""")"),"smartish.com")</f>
        <v>smartish.com</v>
      </c>
      <c r="E3760" s="26" t="str">
        <f ca="1">IFERROR(__xludf.DUMMYFUNCTION("""COMPUTED_VALUE"""),"New")</f>
        <v>New</v>
      </c>
      <c r="F3760" s="72">
        <v>42</v>
      </c>
      <c r="G3760" s="72">
        <v>39116</v>
      </c>
      <c r="P3760" s="26"/>
    </row>
    <row r="3761" spans="1:16" ht="14.5">
      <c r="A3761" s="3" t="s">
        <v>255</v>
      </c>
      <c r="B3761" s="12" t="s">
        <v>2867</v>
      </c>
      <c r="C3761" s="46" t="s">
        <v>7693</v>
      </c>
      <c r="D3761" s="41" t="str">
        <f ca="1">IFERROR(__xludf.DUMMYFUNCTION("IFERROR(ARRAYFORMULA(REGEXEXTRACT(C3761,""^(?:https?:\/\/)?(?:[^@\n]+@)?(?:www\.)?([^:\/\n]+)"")),"""")"),"bookunitsteacher.com")</f>
        <v>bookunitsteacher.com</v>
      </c>
      <c r="E3761" s="26" t="str">
        <f ca="1">IFERROR(__xludf.DUMMYFUNCTION("""COMPUTED_VALUE"""),"New")</f>
        <v>New</v>
      </c>
      <c r="F3761" s="72">
        <v>23</v>
      </c>
      <c r="G3761" s="72">
        <v>15266</v>
      </c>
      <c r="P3761" s="26"/>
    </row>
    <row r="3762" spans="1:16" ht="14.5">
      <c r="A3762" s="3" t="s">
        <v>255</v>
      </c>
      <c r="B3762" s="12" t="s">
        <v>2867</v>
      </c>
      <c r="C3762" s="46" t="s">
        <v>7694</v>
      </c>
      <c r="D3762" s="41" t="str">
        <f ca="1">IFERROR(__xludf.DUMMYFUNCTION("IFERROR(ARRAYFORMULA(REGEXEXTRACT(C3762,""^(?:https?:\/\/)?(?:[^@\n]+@)?(?:www\.)?([^:\/\n]+)"")),"""")"),"nextgenscience.org")</f>
        <v>nextgenscience.org</v>
      </c>
      <c r="E3762" s="26" t="str">
        <f ca="1">IFERROR(__xludf.DUMMYFUNCTION("""COMPUTED_VALUE"""),"New")</f>
        <v>New</v>
      </c>
      <c r="F3762" s="72">
        <v>77</v>
      </c>
      <c r="G3762" s="72">
        <v>41079</v>
      </c>
      <c r="P3762" s="26"/>
    </row>
    <row r="3763" spans="1:16" ht="14.5">
      <c r="A3763" s="3" t="s">
        <v>255</v>
      </c>
      <c r="B3763" s="12" t="s">
        <v>2867</v>
      </c>
      <c r="C3763" s="46" t="s">
        <v>7695</v>
      </c>
      <c r="D3763" s="41" t="str">
        <f ca="1">IFERROR(__xludf.DUMMYFUNCTION("IFERROR(ARRAYFORMULA(REGEXEXTRACT(C3763,""^(?:https?:\/\/)?(?:[^@\n]+@)?(?:www\.)?([^:\/\n]+)"")),"""")"),"globalspec.com")</f>
        <v>globalspec.com</v>
      </c>
      <c r="E3763" s="26" t="str">
        <f ca="1">IFERROR(__xludf.DUMMYFUNCTION("""COMPUTED_VALUE"""),"New")</f>
        <v>New</v>
      </c>
      <c r="F3763" s="72">
        <v>78</v>
      </c>
      <c r="G3763" s="72">
        <v>25776</v>
      </c>
      <c r="P3763" s="26"/>
    </row>
    <row r="3764" spans="1:16" ht="14.5">
      <c r="A3764" s="3" t="s">
        <v>255</v>
      </c>
      <c r="B3764" s="12" t="s">
        <v>2867</v>
      </c>
      <c r="C3764" s="46" t="s">
        <v>7696</v>
      </c>
      <c r="D3764" s="41" t="str">
        <f ca="1">IFERROR(__xludf.DUMMYFUNCTION("IFERROR(ARRAYFORMULA(REGEXEXTRACT(C3764,""^(?:https?:\/\/)?(?:[^@\n]+@)?(?:www\.)?([^:\/\n]+)"")),"""")"),"mysteryscience.com")</f>
        <v>mysteryscience.com</v>
      </c>
      <c r="E3764" s="26" t="str">
        <f ca="1">IFERROR(__xludf.DUMMYFUNCTION("""COMPUTED_VALUE"""),"New")</f>
        <v>New</v>
      </c>
      <c r="F3764" s="72">
        <v>71</v>
      </c>
      <c r="G3764" s="72">
        <v>82023</v>
      </c>
      <c r="P3764" s="26"/>
    </row>
    <row r="3765" spans="1:16" ht="14.5">
      <c r="A3765" s="3" t="s">
        <v>255</v>
      </c>
      <c r="B3765" s="12" t="s">
        <v>2867</v>
      </c>
      <c r="C3765" s="46" t="s">
        <v>7697</v>
      </c>
      <c r="D3765" s="41" t="str">
        <f ca="1">IFERROR(__xludf.DUMMYFUNCTION("IFERROR(ARRAYFORMULA(REGEXEXTRACT(C3765,""^(?:https?:\/\/)?(?:[^@\n]+@)?(?:www\.)?([^:\/\n]+)"")),"""")"),"coss.egr.uh.edu")</f>
        <v>coss.egr.uh.edu</v>
      </c>
      <c r="E3765" s="26" t="str">
        <f ca="1">IFERROR(__xludf.DUMMYFUNCTION("""COMPUTED_VALUE"""),"New")</f>
        <v>New</v>
      </c>
      <c r="F3765" s="72">
        <v>84</v>
      </c>
      <c r="G3765" s="72">
        <v>720725</v>
      </c>
      <c r="P3765" s="26"/>
    </row>
    <row r="3766" spans="1:16" ht="14.5">
      <c r="A3766" s="3" t="s">
        <v>255</v>
      </c>
      <c r="B3766" s="12" t="s">
        <v>2867</v>
      </c>
      <c r="C3766" s="46" t="s">
        <v>7698</v>
      </c>
      <c r="D3766" s="41" t="str">
        <f ca="1">IFERROR(__xludf.DUMMYFUNCTION("IFERROR(ARRAYFORMULA(REGEXEXTRACT(C3766,""^(?:https?:\/\/)?(?:[^@\n]+@)?(?:www\.)?([^:\/\n]+)"")),"""")"),"buffalorivertruss.com")</f>
        <v>buffalorivertruss.com</v>
      </c>
      <c r="E3766" s="26" t="str">
        <f ca="1">IFERROR(__xludf.DUMMYFUNCTION("""COMPUTED_VALUE"""),"New")</f>
        <v>New</v>
      </c>
      <c r="F3766" s="72">
        <v>24</v>
      </c>
      <c r="G3766" s="72">
        <v>2346</v>
      </c>
      <c r="P3766" s="26"/>
    </row>
    <row r="3767" spans="1:16" ht="14.5">
      <c r="A3767" s="3" t="s">
        <v>255</v>
      </c>
      <c r="B3767" s="12" t="s">
        <v>2867</v>
      </c>
      <c r="C3767" s="46" t="s">
        <v>7699</v>
      </c>
      <c r="D3767" s="41" t="str">
        <f ca="1">IFERROR(__xludf.DUMMYFUNCTION("IFERROR(ARRAYFORMULA(REGEXEXTRACT(C3767,""^(?:https?:\/\/)?(?:[^@\n]+@)?(?:www\.)?([^:\/\n]+)"")),"""")"),"commodity.com")</f>
        <v>commodity.com</v>
      </c>
      <c r="E3767" s="26" t="str">
        <f ca="1">IFERROR(__xludf.DUMMYFUNCTION("""COMPUTED_VALUE"""),"New")</f>
        <v>New</v>
      </c>
      <c r="F3767" s="72">
        <v>62</v>
      </c>
      <c r="G3767" s="72">
        <v>23112</v>
      </c>
      <c r="P3767" s="26"/>
    </row>
    <row r="3768" spans="1:16" ht="14.5">
      <c r="A3768" s="3" t="s">
        <v>255</v>
      </c>
      <c r="B3768" s="12" t="s">
        <v>2867</v>
      </c>
      <c r="C3768" s="46" t="s">
        <v>7700</v>
      </c>
      <c r="D3768" s="41" t="str">
        <f ca="1">IFERROR(__xludf.DUMMYFUNCTION("IFERROR(ARRAYFORMULA(REGEXEXTRACT(C3768,""^(?:https?:\/\/)?(?:[^@\n]+@)?(?:www\.)?([^:\/\n]+)"")),"""")"),"activity-mom.com")</f>
        <v>activity-mom.com</v>
      </c>
      <c r="E3768" s="26" t="str">
        <f ca="1">IFERROR(__xludf.DUMMYFUNCTION("""COMPUTED_VALUE"""),"New")</f>
        <v>New</v>
      </c>
      <c r="F3768" s="72">
        <v>44</v>
      </c>
      <c r="G3768" s="72">
        <v>1572</v>
      </c>
      <c r="P3768" s="26"/>
    </row>
    <row r="3769" spans="1:16" ht="14.5">
      <c r="A3769" s="3" t="s">
        <v>255</v>
      </c>
      <c r="B3769" s="12" t="s">
        <v>2867</v>
      </c>
      <c r="C3769" s="46" t="s">
        <v>7701</v>
      </c>
      <c r="D3769" s="41" t="str">
        <f ca="1">IFERROR(__xludf.DUMMYFUNCTION("IFERROR(ARRAYFORMULA(REGEXEXTRACT(C3769,""^(?:https?:\/\/)?(?:[^@\n]+@)?(?:www\.)?([^:\/\n]+)"")),"""")"),"sedonasouladventures.com")</f>
        <v>sedonasouladventures.com</v>
      </c>
      <c r="E3769" s="26" t="str">
        <f ca="1">IFERROR(__xludf.DUMMYFUNCTION("""COMPUTED_VALUE"""),"New")</f>
        <v>New</v>
      </c>
      <c r="F3769" s="72">
        <v>46</v>
      </c>
      <c r="G3769" s="72">
        <v>1093</v>
      </c>
      <c r="P3769" s="26"/>
    </row>
    <row r="3770" spans="1:16" ht="14.5">
      <c r="A3770" s="3" t="s">
        <v>255</v>
      </c>
      <c r="B3770" s="12" t="s">
        <v>2867</v>
      </c>
      <c r="C3770" s="46" t="s">
        <v>7702</v>
      </c>
      <c r="D3770" s="41" t="str">
        <f ca="1">IFERROR(__xludf.DUMMYFUNCTION("IFERROR(ARRAYFORMULA(REGEXEXTRACT(C3770,""^(?:https?:\/\/)?(?:[^@\n]+@)?(?:www\.)?([^:\/\n]+)"")),"""")"),"physics.stackexchange.com")</f>
        <v>physics.stackexchange.com</v>
      </c>
      <c r="E3770" s="26" t="str">
        <f ca="1">IFERROR(__xludf.DUMMYFUNCTION("""COMPUTED_VALUE"""),"New")</f>
        <v>New</v>
      </c>
      <c r="F3770" s="72">
        <v>91</v>
      </c>
      <c r="G3770" s="72">
        <v>8578410</v>
      </c>
      <c r="P3770" s="26"/>
    </row>
    <row r="3771" spans="1:16" ht="14.5">
      <c r="A3771" s="3" t="s">
        <v>255</v>
      </c>
      <c r="B3771" s="12" t="s">
        <v>2867</v>
      </c>
      <c r="C3771" s="46" t="s">
        <v>7703</v>
      </c>
      <c r="D3771" s="41" t="str">
        <f ca="1">IFERROR(__xludf.DUMMYFUNCTION("IFERROR(ARRAYFORMULA(REGEXEXTRACT(C3771,""^(?:https?:\/\/)?(?:[^@\n]+@)?(?:www\.)?([^:\/\n]+)"")),"""")"),"homeschoolgiveaways.com")</f>
        <v>homeschoolgiveaways.com</v>
      </c>
      <c r="E3771" s="26" t="str">
        <f ca="1">IFERROR(__xludf.DUMMYFUNCTION("""COMPUTED_VALUE"""),"New")</f>
        <v>New</v>
      </c>
      <c r="F3771" s="72">
        <v>41</v>
      </c>
      <c r="G3771" s="72">
        <v>4626</v>
      </c>
      <c r="P3771" s="26"/>
    </row>
    <row r="3772" spans="1:16" ht="14.5">
      <c r="A3772" s="3" t="s">
        <v>255</v>
      </c>
      <c r="B3772" s="12" t="s">
        <v>2867</v>
      </c>
      <c r="C3772" s="46" t="s">
        <v>7704</v>
      </c>
      <c r="D3772" s="41" t="str">
        <f ca="1">IFERROR(__xludf.DUMMYFUNCTION("IFERROR(ARRAYFORMULA(REGEXEXTRACT(C3772,""^(?:https?:\/\/)?(?:[^@\n]+@)?(?:www\.)?([^:\/\n]+)"")),"""")"),"rus.hazelwoodschools.org")</f>
        <v>rus.hazelwoodschools.org</v>
      </c>
      <c r="E3772" s="26" t="str">
        <f ca="1">IFERROR(__xludf.DUMMYFUNCTION("""COMPUTED_VALUE"""),"New")</f>
        <v>New</v>
      </c>
      <c r="F3772" s="72">
        <v>38</v>
      </c>
      <c r="G3772" s="72">
        <v>7236</v>
      </c>
      <c r="P3772" s="26"/>
    </row>
    <row r="3773" spans="1:16" ht="14.5">
      <c r="A3773" s="3" t="s">
        <v>255</v>
      </c>
      <c r="B3773" s="12" t="s">
        <v>2867</v>
      </c>
      <c r="C3773" s="46" t="s">
        <v>7705</v>
      </c>
      <c r="D3773" s="41" t="str">
        <f ca="1">IFERROR(__xludf.DUMMYFUNCTION("IFERROR(ARRAYFORMULA(REGEXEXTRACT(C3773,""^(?:https?:\/\/)?(?:[^@\n]+@)?(?:www\.)?([^:\/\n]+)"")),"""")"),"schoolposterprinters.com")</f>
        <v>schoolposterprinters.com</v>
      </c>
      <c r="E3773" s="26" t="str">
        <f ca="1">IFERROR(__xludf.DUMMYFUNCTION("""COMPUTED_VALUE"""),"New")</f>
        <v>New</v>
      </c>
      <c r="F3773" s="72">
        <v>27</v>
      </c>
      <c r="G3773" s="72">
        <v>1427</v>
      </c>
      <c r="P3773" s="26"/>
    </row>
    <row r="3774" spans="1:16" ht="14.5">
      <c r="A3774" s="3" t="s">
        <v>255</v>
      </c>
      <c r="B3774" s="12" t="s">
        <v>2867</v>
      </c>
      <c r="C3774" s="46" t="s">
        <v>7706</v>
      </c>
      <c r="D3774" s="41" t="str">
        <f ca="1">IFERROR(__xludf.DUMMYFUNCTION("IFERROR(ARRAYFORMULA(REGEXEXTRACT(C3774,""^(?:https?:\/\/)?(?:[^@\n]+@)?(?:www\.)?([^:\/\n]+)"")),"""")"),"nea.org")</f>
        <v>nea.org</v>
      </c>
      <c r="E3774" s="26" t="str">
        <f ca="1">IFERROR(__xludf.DUMMYFUNCTION("""COMPUTED_VALUE"""),"New")</f>
        <v>New</v>
      </c>
      <c r="F3774" s="72">
        <v>83</v>
      </c>
      <c r="G3774" s="72">
        <v>195353</v>
      </c>
      <c r="P3774" s="26"/>
    </row>
    <row r="3775" spans="1:16" ht="14.5">
      <c r="A3775" s="3" t="s">
        <v>255</v>
      </c>
      <c r="B3775" s="12" t="s">
        <v>2867</v>
      </c>
      <c r="C3775" s="46" t="s">
        <v>7707</v>
      </c>
      <c r="D3775" s="41" t="str">
        <f ca="1">IFERROR(__xludf.DUMMYFUNCTION("IFERROR(ARRAYFORMULA(REGEXEXTRACT(C3775,""^(?:https?:\/\/)?(?:[^@\n]+@)?(?:www\.)?([^:\/\n]+)"")),"""")"),"dealnews.com")</f>
        <v>dealnews.com</v>
      </c>
      <c r="E3775" s="26" t="str">
        <f ca="1">IFERROR(__xludf.DUMMYFUNCTION("""COMPUTED_VALUE"""),"New")</f>
        <v>New</v>
      </c>
      <c r="F3775" s="72">
        <v>73</v>
      </c>
      <c r="G3775" s="72">
        <v>193461</v>
      </c>
      <c r="P3775" s="26"/>
    </row>
    <row r="3776" spans="1:16" ht="14.5">
      <c r="A3776" s="3" t="s">
        <v>255</v>
      </c>
      <c r="B3776" s="12" t="s">
        <v>2867</v>
      </c>
      <c r="C3776" s="46" t="s">
        <v>7708</v>
      </c>
      <c r="D3776" s="41" t="str">
        <f ca="1">IFERROR(__xludf.DUMMYFUNCTION("IFERROR(ARRAYFORMULA(REGEXEXTRACT(C3776,""^(?:https?:\/\/)?(?:[^@\n]+@)?(?:www\.)?([^:\/\n]+)"")),"""")"),"vjes.vnies.edu.vn")</f>
        <v>vjes.vnies.edu.vn</v>
      </c>
      <c r="E3776" s="26" t="str">
        <f ca="1">IFERROR(__xludf.DUMMYFUNCTION("""COMPUTED_VALUE"""),"New")</f>
        <v>New</v>
      </c>
      <c r="F3776" s="72">
        <v>42</v>
      </c>
      <c r="G3776" s="72">
        <v>5481</v>
      </c>
      <c r="P3776" s="26"/>
    </row>
    <row r="3777" spans="1:16" ht="14.5">
      <c r="A3777" s="3" t="s">
        <v>255</v>
      </c>
      <c r="B3777" s="12" t="s">
        <v>2867</v>
      </c>
      <c r="C3777" s="46" t="s">
        <v>7709</v>
      </c>
      <c r="D3777" s="41" t="str">
        <f ca="1">IFERROR(__xludf.DUMMYFUNCTION("IFERROR(ARRAYFORMULA(REGEXEXTRACT(C3777,""^(?:https?:\/\/)?(?:[^@\n]+@)?(?:www\.)?([^:\/\n]+)"")),"""")"),"texadasoftware.com")</f>
        <v>texadasoftware.com</v>
      </c>
      <c r="E3777" s="26" t="str">
        <f ca="1">IFERROR(__xludf.DUMMYFUNCTION("""COMPUTED_VALUE"""),"New")</f>
        <v>New</v>
      </c>
      <c r="F3777" s="72">
        <v>49</v>
      </c>
      <c r="G3777" s="72">
        <v>1588</v>
      </c>
      <c r="P3777" s="26"/>
    </row>
    <row r="3778" spans="1:16" ht="14.5">
      <c r="A3778" s="3" t="s">
        <v>255</v>
      </c>
      <c r="B3778" s="12" t="s">
        <v>2867</v>
      </c>
      <c r="C3778" s="46" t="s">
        <v>7710</v>
      </c>
      <c r="D3778" s="41" t="str">
        <f ca="1">IFERROR(__xludf.DUMMYFUNCTION("IFERROR(ARRAYFORMULA(REGEXEXTRACT(C3778,""^(?:https?:\/\/)?(?:[^@\n]+@)?(?:www\.)?([^:\/\n]+)"")),"""")"),"shesc.asu.edu")</f>
        <v>shesc.asu.edu</v>
      </c>
      <c r="E3778" s="26" t="str">
        <f ca="1">IFERROR(__xludf.DUMMYFUNCTION("""COMPUTED_VALUE"""),"New")</f>
        <v>New</v>
      </c>
      <c r="F3778" s="72">
        <v>90</v>
      </c>
      <c r="G3778" s="72">
        <v>1920337</v>
      </c>
      <c r="P3778" s="26"/>
    </row>
    <row r="3779" spans="1:16" ht="14.5">
      <c r="A3779" s="3" t="s">
        <v>255</v>
      </c>
      <c r="B3779" s="12" t="s">
        <v>2867</v>
      </c>
      <c r="C3779" s="46" t="s">
        <v>7711</v>
      </c>
      <c r="D3779" s="41" t="str">
        <f ca="1">IFERROR(__xludf.DUMMYFUNCTION("IFERROR(ARRAYFORMULA(REGEXEXTRACT(C3779,""^(?:https?:\/\/)?(?:[^@\n]+@)?(?:www\.)?([^:\/\n]+)"")),"""")"),"arduino.cc")</f>
        <v>arduino.cc</v>
      </c>
      <c r="E3779" s="26" t="str">
        <f ca="1">IFERROR(__xludf.DUMMYFUNCTION("""COMPUTED_VALUE"""),"New")</f>
        <v>New</v>
      </c>
      <c r="F3779" s="72">
        <v>88</v>
      </c>
      <c r="G3779" s="72">
        <v>1631242</v>
      </c>
      <c r="P3779" s="26"/>
    </row>
    <row r="3780" spans="1:16" ht="14.5">
      <c r="A3780" s="3" t="s">
        <v>255</v>
      </c>
      <c r="B3780" s="12" t="s">
        <v>2867</v>
      </c>
      <c r="C3780" s="46" t="s">
        <v>7712</v>
      </c>
      <c r="D3780" s="41" t="str">
        <f ca="1">IFERROR(__xludf.DUMMYFUNCTION("IFERROR(ARRAYFORMULA(REGEXEXTRACT(C3780,""^(?:https?:\/\/)?(?:[^@\n]+@)?(?:www\.)?([^:\/\n]+)"")),"""")"),"science.adventisteducation.org")</f>
        <v>science.adventisteducation.org</v>
      </c>
      <c r="E3780" s="26" t="str">
        <f ca="1">IFERROR(__xludf.DUMMYFUNCTION("""COMPUTED_VALUE"""),"New")</f>
        <v>New</v>
      </c>
      <c r="F3780" s="72">
        <v>62</v>
      </c>
      <c r="G3780" s="72">
        <v>1657</v>
      </c>
      <c r="P3780" s="26"/>
    </row>
    <row r="3781" spans="1:16" ht="14.5">
      <c r="A3781" s="3" t="s">
        <v>255</v>
      </c>
      <c r="B3781" s="12" t="s">
        <v>2867</v>
      </c>
      <c r="C3781" s="46" t="s">
        <v>7713</v>
      </c>
      <c r="D3781" s="41" t="str">
        <f ca="1">IFERROR(__xludf.DUMMYFUNCTION("IFERROR(ARRAYFORMULA(REGEXEXTRACT(C3781,""^(?:https?:\/\/)?(?:[^@\n]+@)?(?:www\.)?([^:\/\n]+)"")),"""")"),"langleypl.okpls.org")</f>
        <v>langleypl.okpls.org</v>
      </c>
      <c r="E3781" s="26" t="str">
        <f ca="1">IFERROR(__xludf.DUMMYFUNCTION("""COMPUTED_VALUE"""),"New")</f>
        <v>New</v>
      </c>
      <c r="F3781" s="72">
        <v>56</v>
      </c>
      <c r="G3781" s="72">
        <v>2032</v>
      </c>
      <c r="P3781" s="26"/>
    </row>
    <row r="3782" spans="1:16" ht="14.5">
      <c r="A3782" s="3" t="s">
        <v>255</v>
      </c>
      <c r="B3782" s="12" t="s">
        <v>2867</v>
      </c>
      <c r="C3782" s="46" t="s">
        <v>7714</v>
      </c>
      <c r="D3782" s="41" t="str">
        <f ca="1">IFERROR(__xludf.DUMMYFUNCTION("IFERROR(ARRAYFORMULA(REGEXEXTRACT(C3782,""^(?:https?:\/\/)?(?:[^@\n]+@)?(?:www\.)?([^:\/\n]+)"")),"""")"),"tbp.org")</f>
        <v>tbp.org</v>
      </c>
      <c r="E3782" s="26" t="str">
        <f ca="1">IFERROR(__xludf.DUMMYFUNCTION("""COMPUTED_VALUE"""),"New")</f>
        <v>New</v>
      </c>
      <c r="F3782" s="72">
        <v>59</v>
      </c>
      <c r="G3782" s="72">
        <v>4641</v>
      </c>
      <c r="P3782" s="26"/>
    </row>
    <row r="3783" spans="1:16" ht="14.5">
      <c r="A3783" s="3" t="s">
        <v>255</v>
      </c>
      <c r="B3783" s="12" t="s">
        <v>2867</v>
      </c>
      <c r="C3783" s="46" t="s">
        <v>7715</v>
      </c>
      <c r="D3783" s="41" t="str">
        <f ca="1">IFERROR(__xludf.DUMMYFUNCTION("IFERROR(ARRAYFORMULA(REGEXEXTRACT(C3783,""^(?:https?:\/\/)?(?:[^@\n]+@)?(?:www\.)?([^:\/\n]+)"")),"""")"),"ceoe.nesinc.com")</f>
        <v>ceoe.nesinc.com</v>
      </c>
      <c r="E3783" s="26" t="str">
        <f ca="1">IFERROR(__xludf.DUMMYFUNCTION("""COMPUTED_VALUE"""),"New")</f>
        <v>New</v>
      </c>
      <c r="F3783" s="72">
        <v>70</v>
      </c>
      <c r="G3783" s="72">
        <v>144616</v>
      </c>
      <c r="P3783" s="26"/>
    </row>
    <row r="3784" spans="1:16" ht="14.5">
      <c r="A3784" s="3" t="s">
        <v>255</v>
      </c>
      <c r="B3784" s="12" t="s">
        <v>2867</v>
      </c>
      <c r="C3784" s="46" t="s">
        <v>7716</v>
      </c>
      <c r="D3784" s="41" t="str">
        <f ca="1">IFERROR(__xludf.DUMMYFUNCTION("IFERROR(ARRAYFORMULA(REGEXEXTRACT(C3784,""^(?:https?:\/\/)?(?:[^@\n]+@)?(?:www\.)?([^:\/\n]+)"")),"""")"),"csulb.edu")</f>
        <v>csulb.edu</v>
      </c>
      <c r="E3784" s="26" t="str">
        <f ca="1">IFERROR(__xludf.DUMMYFUNCTION("""COMPUTED_VALUE"""),"New")</f>
        <v>New</v>
      </c>
      <c r="F3784" s="72">
        <v>79</v>
      </c>
      <c r="G3784" s="72">
        <v>197523</v>
      </c>
      <c r="P3784" s="26"/>
    </row>
    <row r="3785" spans="1:16" ht="14.5">
      <c r="A3785" s="3" t="s">
        <v>255</v>
      </c>
      <c r="B3785" s="12" t="s">
        <v>2867</v>
      </c>
      <c r="C3785" s="46" t="s">
        <v>7717</v>
      </c>
      <c r="D3785" s="41" t="str">
        <f ca="1">IFERROR(__xludf.DUMMYFUNCTION("IFERROR(ARRAYFORMULA(REGEXEXTRACT(C3785,""^(?:https?:\/\/)?(?:[^@\n]+@)?(?:www\.)?([^:\/\n]+)"")),"""")"),"accgov.com")</f>
        <v>accgov.com</v>
      </c>
      <c r="E3785" s="26" t="str">
        <f ca="1">IFERROR(__xludf.DUMMYFUNCTION("""COMPUTED_VALUE"""),"New")</f>
        <v>New</v>
      </c>
      <c r="F3785" s="72">
        <v>69</v>
      </c>
      <c r="G3785" s="72">
        <v>22758</v>
      </c>
      <c r="P3785" s="26"/>
    </row>
    <row r="3786" spans="1:16" ht="14.5">
      <c r="A3786" s="3" t="s">
        <v>255</v>
      </c>
      <c r="B3786" s="12" t="s">
        <v>2867</v>
      </c>
      <c r="C3786" s="46" t="s">
        <v>7718</v>
      </c>
      <c r="D3786" s="41" t="str">
        <f ca="1">IFERROR(__xludf.DUMMYFUNCTION("IFERROR(ARRAYFORMULA(REGEXEXTRACT(C3786,""^(?:https?:\/\/)?(?:[^@\n]+@)?(?:www\.)?([^:\/\n]+)"")),"""")"),"calstatela.edu")</f>
        <v>calstatela.edu</v>
      </c>
      <c r="E3786" s="26" t="str">
        <f ca="1">IFERROR(__xludf.DUMMYFUNCTION("""COMPUTED_VALUE"""),"New")</f>
        <v>New</v>
      </c>
      <c r="F3786" s="72">
        <v>75</v>
      </c>
      <c r="G3786" s="72">
        <v>86892</v>
      </c>
      <c r="P3786" s="26"/>
    </row>
    <row r="3787" spans="1:16" ht="14.5">
      <c r="A3787" s="3" t="s">
        <v>255</v>
      </c>
      <c r="B3787" s="12" t="s">
        <v>2867</v>
      </c>
      <c r="C3787" s="46" t="s">
        <v>7719</v>
      </c>
      <c r="D3787" s="41" t="str">
        <f ca="1">IFERROR(__xludf.DUMMYFUNCTION("IFERROR(ARRAYFORMULA(REGEXEXTRACT(C3787,""^(?:https?:\/\/)?(?:[^@\n]+@)?(?:www\.)?([^:\/\n]+)"")),"""")"),"theteachertreasury.com")</f>
        <v>theteachertreasury.com</v>
      </c>
      <c r="E3787" s="26" t="str">
        <f ca="1">IFERROR(__xludf.DUMMYFUNCTION("""COMPUTED_VALUE"""),"New")</f>
        <v>New</v>
      </c>
      <c r="F3787" s="72">
        <v>30</v>
      </c>
      <c r="G3787" s="72">
        <v>1059</v>
      </c>
      <c r="P3787" s="26"/>
    </row>
    <row r="3788" spans="1:16" ht="14.5">
      <c r="A3788" s="3" t="s">
        <v>255</v>
      </c>
      <c r="B3788" s="12" t="s">
        <v>2867</v>
      </c>
      <c r="C3788" s="46" t="s">
        <v>7720</v>
      </c>
      <c r="D3788" s="41" t="str">
        <f ca="1">IFERROR(__xludf.DUMMYFUNCTION("IFERROR(ARRAYFORMULA(REGEXEXTRACT(C3788,""^(?:https?:\/\/)?(?:[^@\n]+@)?(?:www\.)?([^:\/\n]+)"")),"""")"),"engineeringmanagementinstitute.org")</f>
        <v>engineeringmanagementinstitute.org</v>
      </c>
      <c r="E3788" s="26" t="str">
        <f ca="1">IFERROR(__xludf.DUMMYFUNCTION("""COMPUTED_VALUE"""),"New")</f>
        <v>New</v>
      </c>
      <c r="F3788" s="72">
        <v>54</v>
      </c>
      <c r="G3788" s="72">
        <v>1224</v>
      </c>
      <c r="P3788" s="26"/>
    </row>
    <row r="3789" spans="1:16" ht="14.5">
      <c r="A3789" s="3" t="s">
        <v>255</v>
      </c>
      <c r="B3789" s="12" t="s">
        <v>2867</v>
      </c>
      <c r="C3789" s="46" t="s">
        <v>7721</v>
      </c>
      <c r="D3789" s="41" t="str">
        <f ca="1">IFERROR(__xludf.DUMMYFUNCTION("IFERROR(ARRAYFORMULA(REGEXEXTRACT(C3789,""^(?:https?:\/\/)?(?:[^@\n]+@)?(?:www\.)?([^:\/\n]+)"")),"""")"),"marshall.edu")</f>
        <v>marshall.edu</v>
      </c>
      <c r="E3789" s="26" t="str">
        <f ca="1">IFERROR(__xludf.DUMMYFUNCTION("""COMPUTED_VALUE"""),"New")</f>
        <v>New</v>
      </c>
      <c r="F3789" s="72">
        <v>77</v>
      </c>
      <c r="G3789" s="72">
        <v>144072</v>
      </c>
      <c r="P3789" s="26"/>
    </row>
    <row r="3790" spans="1:16" ht="14.5">
      <c r="A3790" s="3" t="s">
        <v>255</v>
      </c>
      <c r="B3790" s="12" t="s">
        <v>2867</v>
      </c>
      <c r="C3790" s="46" t="s">
        <v>7722</v>
      </c>
      <c r="D3790" s="41" t="str">
        <f ca="1">IFERROR(__xludf.DUMMYFUNCTION("IFERROR(ARRAYFORMULA(REGEXEXTRACT(C3790,""^(?:https?:\/\/)?(?:[^@\n]+@)?(?:www\.)?([^:\/\n]+)"")),"""")"),"homebuilding.co.uk")</f>
        <v>homebuilding.co.uk</v>
      </c>
      <c r="E3790" s="26" t="str">
        <f ca="1">IFERROR(__xludf.DUMMYFUNCTION("""COMPUTED_VALUE"""),"New")</f>
        <v>New</v>
      </c>
      <c r="F3790" s="72">
        <v>75</v>
      </c>
      <c r="G3790" s="72">
        <v>150096</v>
      </c>
      <c r="P3790" s="26"/>
    </row>
    <row r="3791" spans="1:16" ht="14.5">
      <c r="A3791" s="3" t="s">
        <v>255</v>
      </c>
      <c r="B3791" s="12" t="s">
        <v>2867</v>
      </c>
      <c r="C3791" s="46" t="s">
        <v>7723</v>
      </c>
      <c r="D3791" s="41" t="str">
        <f ca="1">IFERROR(__xludf.DUMMYFUNCTION("IFERROR(ARRAYFORMULA(REGEXEXTRACT(C3791,""^(?:https?:\/\/)?(?:[^@\n]+@)?(?:www\.)?([^:\/\n]+)"")),"""")"),"sierraview.chicousd.org")</f>
        <v>sierraview.chicousd.org</v>
      </c>
      <c r="E3791" s="26" t="str">
        <f ca="1">IFERROR(__xludf.DUMMYFUNCTION("""COMPUTED_VALUE"""),"New")</f>
        <v>New</v>
      </c>
      <c r="F3791" s="72">
        <v>42</v>
      </c>
      <c r="G3791" s="72">
        <v>6038</v>
      </c>
      <c r="P3791" s="26"/>
    </row>
    <row r="3792" spans="1:16" ht="14.5">
      <c r="A3792" s="3" t="s">
        <v>255</v>
      </c>
      <c r="B3792" s="12" t="s">
        <v>2867</v>
      </c>
      <c r="C3792" s="46" t="s">
        <v>7724</v>
      </c>
      <c r="D3792" s="41" t="str">
        <f ca="1">IFERROR(__xludf.DUMMYFUNCTION("IFERROR(ARRAYFORMULA(REGEXEXTRACT(C3792,""^(?:https?:\/\/)?(?:[^@\n]+@)?(?:www\.)?([^:\/\n]+)"")),"""")"),"avidopenaccess.org")</f>
        <v>avidopenaccess.org</v>
      </c>
      <c r="E3792" s="26" t="str">
        <f ca="1">IFERROR(__xludf.DUMMYFUNCTION("""COMPUTED_VALUE"""),"New")</f>
        <v>New</v>
      </c>
      <c r="F3792" s="72">
        <v>47</v>
      </c>
      <c r="G3792" s="72">
        <v>35473</v>
      </c>
      <c r="P3792" s="26"/>
    </row>
    <row r="3793" spans="1:16" ht="14.5">
      <c r="A3793" s="3" t="s">
        <v>255</v>
      </c>
      <c r="B3793" s="12" t="s">
        <v>2867</v>
      </c>
      <c r="C3793" s="46" t="s">
        <v>7725</v>
      </c>
      <c r="D3793" s="41" t="str">
        <f ca="1">IFERROR(__xludf.DUMMYFUNCTION("IFERROR(ARRAYFORMULA(REGEXEXTRACT(C3793,""^(?:https?:\/\/)?(?:[^@\n]+@)?(?:www\.)?([^:\/\n]+)"")),"""")"),"gettingsmart.com")</f>
        <v>gettingsmart.com</v>
      </c>
      <c r="E3793" s="26" t="str">
        <f ca="1">IFERROR(__xludf.DUMMYFUNCTION("""COMPUTED_VALUE"""),"New")</f>
        <v>New</v>
      </c>
      <c r="F3793" s="72">
        <v>74</v>
      </c>
      <c r="G3793" s="72">
        <v>5781</v>
      </c>
      <c r="P3793" s="26"/>
    </row>
    <row r="3794" spans="1:16" ht="14.5">
      <c r="A3794" s="3" t="s">
        <v>255</v>
      </c>
      <c r="B3794" s="12" t="s">
        <v>2867</v>
      </c>
      <c r="C3794" s="46" t="s">
        <v>7726</v>
      </c>
      <c r="D3794" s="41" t="str">
        <f ca="1">IFERROR(__xludf.DUMMYFUNCTION("IFERROR(ARRAYFORMULA(REGEXEXTRACT(C3794,""^(?:https?:\/\/)?(?:[^@\n]+@)?(?:www\.)?([^:\/\n]+)"")),"""")"),"communityschooling.gseis.ucla.edu")</f>
        <v>communityschooling.gseis.ucla.edu</v>
      </c>
      <c r="E3794" s="26" t="str">
        <f ca="1">IFERROR(__xludf.DUMMYFUNCTION("""COMPUTED_VALUE"""),"New")</f>
        <v>New</v>
      </c>
      <c r="F3794" s="72">
        <v>91</v>
      </c>
      <c r="G3794" s="72">
        <v>1508338</v>
      </c>
      <c r="P3794" s="26"/>
    </row>
    <row r="3795" spans="1:16" ht="14.5">
      <c r="A3795" s="3" t="s">
        <v>255</v>
      </c>
      <c r="B3795" s="12" t="s">
        <v>2867</v>
      </c>
      <c r="C3795" s="46" t="s">
        <v>7727</v>
      </c>
      <c r="D3795" s="41" t="str">
        <f ca="1">IFERROR(__xludf.DUMMYFUNCTION("IFERROR(ARRAYFORMULA(REGEXEXTRACT(C3795,""^(?:https?:\/\/)?(?:[^@\n]+@)?(?:www\.)?([^:\/\n]+)"")),"""")"),"lyricsgoo.com")</f>
        <v>lyricsgoo.com</v>
      </c>
      <c r="E3795" s="26" t="str">
        <f ca="1">IFERROR(__xludf.DUMMYFUNCTION("""COMPUTED_VALUE"""),"New")</f>
        <v>New</v>
      </c>
      <c r="F3795" s="72">
        <v>49</v>
      </c>
      <c r="G3795" s="72">
        <v>34497</v>
      </c>
      <c r="P3795" s="26"/>
    </row>
    <row r="3796" spans="1:16" ht="14.5">
      <c r="A3796" s="3" t="s">
        <v>255</v>
      </c>
      <c r="B3796" s="12" t="s">
        <v>2867</v>
      </c>
      <c r="C3796" s="46" t="s">
        <v>7728</v>
      </c>
      <c r="D3796" s="41" t="str">
        <f ca="1">IFERROR(__xludf.DUMMYFUNCTION("IFERROR(ARRAYFORMULA(REGEXEXTRACT(C3796,""^(?:https?:\/\/)?(?:[^@\n]+@)?(?:www\.)?([^:\/\n]+)"")),"""")"),"chpp.egr.msu.edu")</f>
        <v>chpp.egr.msu.edu</v>
      </c>
      <c r="E3796" s="26" t="str">
        <f ca="1">IFERROR(__xludf.DUMMYFUNCTION("""COMPUTED_VALUE"""),"New")</f>
        <v>New</v>
      </c>
      <c r="F3796" s="72">
        <v>90</v>
      </c>
      <c r="G3796" s="72">
        <v>1116531</v>
      </c>
      <c r="P3796" s="26"/>
    </row>
    <row r="3797" spans="1:16" ht="14.5">
      <c r="A3797" s="3" t="s">
        <v>255</v>
      </c>
      <c r="B3797" s="12" t="s">
        <v>2867</v>
      </c>
      <c r="C3797" s="46" t="s">
        <v>7729</v>
      </c>
      <c r="D3797" s="41" t="str">
        <f ca="1">IFERROR(__xludf.DUMMYFUNCTION("IFERROR(ARRAYFORMULA(REGEXEXTRACT(C3797,""^(?:https?:\/\/)?(?:[^@\n]+@)?(?:www\.)?([^:\/\n]+)"")),"""")"),"curriculum.eleducation.org")</f>
        <v>curriculum.eleducation.org</v>
      </c>
      <c r="E3797" s="26" t="str">
        <f ca="1">IFERROR(__xludf.DUMMYFUNCTION("""COMPUTED_VALUE"""),"New")</f>
        <v>New</v>
      </c>
      <c r="F3797" s="72">
        <v>65</v>
      </c>
      <c r="G3797" s="72">
        <v>19801</v>
      </c>
      <c r="P3797" s="26"/>
    </row>
    <row r="3798" spans="1:16" ht="14.5">
      <c r="A3798" s="3" t="s">
        <v>255</v>
      </c>
      <c r="B3798" s="12" t="s">
        <v>2867</v>
      </c>
      <c r="C3798" s="46" t="s">
        <v>7730</v>
      </c>
      <c r="D3798" s="41" t="str">
        <f ca="1">IFERROR(__xludf.DUMMYFUNCTION("IFERROR(ARRAYFORMULA(REGEXEXTRACT(C3798,""^(?:https?:\/\/)?(?:[^@\n]+@)?(?:www\.)?([^:\/\n]+)"")),"""")"),"kirkwood.edu")</f>
        <v>kirkwood.edu</v>
      </c>
      <c r="E3798" s="26" t="str">
        <f ca="1">IFERROR(__xludf.DUMMYFUNCTION("""COMPUTED_VALUE"""),"New")</f>
        <v>New</v>
      </c>
      <c r="F3798" s="72">
        <v>62</v>
      </c>
      <c r="G3798" s="72">
        <v>25227</v>
      </c>
      <c r="P3798" s="26"/>
    </row>
    <row r="3799" spans="1:16" ht="14.5">
      <c r="A3799" s="3" t="s">
        <v>255</v>
      </c>
      <c r="B3799" s="12" t="s">
        <v>2867</v>
      </c>
      <c r="C3799" s="46" t="s">
        <v>7731</v>
      </c>
      <c r="D3799" s="41" t="str">
        <f ca="1">IFERROR(__xludf.DUMMYFUNCTION("IFERROR(ARRAYFORMULA(REGEXEXTRACT(C3799,""^(?:https?:\/\/)?(?:[^@\n]+@)?(?:www\.)?([^:\/\n]+)"")),"""")"),"theartofeducation.edu")</f>
        <v>theartofeducation.edu</v>
      </c>
      <c r="E3799" s="26" t="str">
        <f ca="1">IFERROR(__xludf.DUMMYFUNCTION("""COMPUTED_VALUE"""),"New")</f>
        <v>New</v>
      </c>
      <c r="F3799" s="72">
        <v>69</v>
      </c>
      <c r="G3799" s="72">
        <v>31510</v>
      </c>
      <c r="P3799" s="26"/>
    </row>
    <row r="3800" spans="1:16" ht="14.5">
      <c r="A3800" s="3" t="s">
        <v>255</v>
      </c>
      <c r="B3800" s="12" t="s">
        <v>2867</v>
      </c>
      <c r="C3800" s="46" t="s">
        <v>7732</v>
      </c>
      <c r="D3800" s="41" t="str">
        <f ca="1">IFERROR(__xludf.DUMMYFUNCTION("IFERROR(ARRAYFORMULA(REGEXEXTRACT(C3800,""^(?:https?:\/\/)?(?:[^@\n]+@)?(?:www\.)?([^:\/\n]+)"")),"""")"),"umb.edu")</f>
        <v>umb.edu</v>
      </c>
      <c r="E3800" s="26" t="str">
        <f ca="1">IFERROR(__xludf.DUMMYFUNCTION("""COMPUTED_VALUE"""),"New")</f>
        <v>New</v>
      </c>
      <c r="F3800" s="72">
        <v>80</v>
      </c>
      <c r="G3800" s="72">
        <v>77242</v>
      </c>
      <c r="P3800" s="26"/>
    </row>
    <row r="3801" spans="1:16" ht="14.5">
      <c r="A3801" s="3" t="s">
        <v>255</v>
      </c>
      <c r="B3801" s="12" t="s">
        <v>2867</v>
      </c>
      <c r="C3801" s="46" t="s">
        <v>7733</v>
      </c>
      <c r="D3801" s="41" t="str">
        <f ca="1">IFERROR(__xludf.DUMMYFUNCTION("IFERROR(ARRAYFORMULA(REGEXEXTRACT(C3801,""^(?:https?:\/\/)?(?:[^@\n]+@)?(?:www\.)?([^:\/\n]+)"")),"""")"),"blog.schoolspecialty.com")</f>
        <v>blog.schoolspecialty.com</v>
      </c>
      <c r="E3801" s="26" t="str">
        <f ca="1">IFERROR(__xludf.DUMMYFUNCTION("""COMPUTED_VALUE"""),"New")</f>
        <v>New</v>
      </c>
      <c r="F3801" s="72">
        <v>72</v>
      </c>
      <c r="G3801" s="72">
        <v>136308</v>
      </c>
      <c r="P3801" s="26"/>
    </row>
    <row r="3802" spans="1:16" ht="14.5">
      <c r="A3802" s="3" t="s">
        <v>255</v>
      </c>
      <c r="B3802" s="12" t="s">
        <v>2867</v>
      </c>
      <c r="C3802" s="46" t="s">
        <v>7734</v>
      </c>
      <c r="D3802" s="41" t="str">
        <f ca="1">IFERROR(__xludf.DUMMYFUNCTION("IFERROR(ARRAYFORMULA(REGEXEXTRACT(C3802,""^(?:https?:\/\/)?(?:[^@\n]+@)?(?:www\.)?([^:\/\n]+)"")),"""")"),"calgaryschild.com")</f>
        <v>calgaryschild.com</v>
      </c>
      <c r="E3802" s="26" t="str">
        <f ca="1">IFERROR(__xludf.DUMMYFUNCTION("""COMPUTED_VALUE"""),"New")</f>
        <v>New</v>
      </c>
      <c r="F3802" s="72">
        <v>44</v>
      </c>
      <c r="G3802" s="72">
        <v>2146</v>
      </c>
      <c r="P3802" s="26"/>
    </row>
    <row r="3803" spans="1:16" ht="14.5">
      <c r="A3803" s="3" t="s">
        <v>255</v>
      </c>
      <c r="B3803" s="12" t="s">
        <v>2867</v>
      </c>
      <c r="C3803" s="46" t="s">
        <v>7735</v>
      </c>
      <c r="D3803" s="41" t="str">
        <f ca="1">IFERROR(__xludf.DUMMYFUNCTION("IFERROR(ARRAYFORMULA(REGEXEXTRACT(C3803,""^(?:https?:\/\/)?(?:[^@\n]+@)?(?:www\.)?([^:\/\n]+)"")),"""")"),"seagrant.sunysb.edu")</f>
        <v>seagrant.sunysb.edu</v>
      </c>
      <c r="E3803" s="26" t="str">
        <f ca="1">IFERROR(__xludf.DUMMYFUNCTION("""COMPUTED_VALUE"""),"New")</f>
        <v>New</v>
      </c>
      <c r="F3803" s="72">
        <v>78</v>
      </c>
      <c r="G3803" s="72">
        <v>11604</v>
      </c>
      <c r="P3803" s="26"/>
    </row>
    <row r="3804" spans="1:16" ht="14.5">
      <c r="A3804" s="3" t="s">
        <v>255</v>
      </c>
      <c r="B3804" s="12" t="s">
        <v>2867</v>
      </c>
      <c r="C3804" s="46" t="s">
        <v>7736</v>
      </c>
      <c r="D3804" s="41" t="str">
        <f ca="1">IFERROR(__xludf.DUMMYFUNCTION("IFERROR(ARRAYFORMULA(REGEXEXTRACT(C3804,""^(?:https?:\/\/)?(?:[^@\n]+@)?(?:www\.)?([^:\/\n]+)"")),"""")"),"doit.illinois.gov")</f>
        <v>doit.illinois.gov</v>
      </c>
      <c r="E3804" s="26" t="str">
        <f ca="1">IFERROR(__xludf.DUMMYFUNCTION("""COMPUTED_VALUE"""),"New")</f>
        <v>New</v>
      </c>
      <c r="F3804" s="72">
        <v>90</v>
      </c>
      <c r="G3804" s="72">
        <v>1887038</v>
      </c>
      <c r="P3804" s="26"/>
    </row>
    <row r="3805" spans="1:16" ht="14.5">
      <c r="A3805" s="3" t="s">
        <v>255</v>
      </c>
      <c r="B3805" s="12" t="s">
        <v>2867</v>
      </c>
      <c r="C3805" s="46" t="s">
        <v>7737</v>
      </c>
      <c r="D3805" s="41" t="str">
        <f ca="1">IFERROR(__xludf.DUMMYFUNCTION("IFERROR(ARRAYFORMULA(REGEXEXTRACT(C3805,""^(?:https?:\/\/)?(?:[^@\n]+@)?(?:www\.)?([^:\/\n]+)"")),"""")"),"iblog.dearbornschools.org")</f>
        <v>iblog.dearbornschools.org</v>
      </c>
      <c r="E3805" s="26" t="str">
        <f ca="1">IFERROR(__xludf.DUMMYFUNCTION("""COMPUTED_VALUE"""),"New")</f>
        <v>New</v>
      </c>
      <c r="F3805" s="72">
        <v>63</v>
      </c>
      <c r="G3805" s="72">
        <v>35217</v>
      </c>
      <c r="P3805" s="26"/>
    </row>
    <row r="3806" spans="1:16" ht="14.5">
      <c r="A3806" s="3" t="s">
        <v>255</v>
      </c>
      <c r="B3806" s="12" t="s">
        <v>2867</v>
      </c>
      <c r="C3806" s="46" t="s">
        <v>7738</v>
      </c>
      <c r="D3806" s="41" t="str">
        <f ca="1">IFERROR(__xludf.DUMMYFUNCTION("IFERROR(ARRAYFORMULA(REGEXEXTRACT(C3806,""^(?:https?:\/\/)?(?:[^@\n]+@)?(?:www\.)?([^:\/\n]+)"")),"""")"),"serc.carleton.edu")</f>
        <v>serc.carleton.edu</v>
      </c>
      <c r="E3806" s="26" t="str">
        <f ca="1">IFERROR(__xludf.DUMMYFUNCTION("""COMPUTED_VALUE"""),"New")</f>
        <v>New</v>
      </c>
      <c r="F3806" s="72">
        <v>79</v>
      </c>
      <c r="G3806" s="72">
        <v>82767</v>
      </c>
      <c r="P3806" s="26"/>
    </row>
    <row r="3807" spans="1:16" ht="14.5">
      <c r="A3807" s="3" t="s">
        <v>255</v>
      </c>
      <c r="B3807" s="12" t="s">
        <v>2867</v>
      </c>
      <c r="C3807" s="46" t="s">
        <v>7739</v>
      </c>
      <c r="D3807" s="41" t="str">
        <f ca="1">IFERROR(__xludf.DUMMYFUNCTION("IFERROR(ARRAYFORMULA(REGEXEXTRACT(C3807,""^(?:https?:\/\/)?(?:[^@\n]+@)?(?:www\.)?([^:\/\n]+)"")),"""")"),"gctlc.org")</f>
        <v>gctlc.org</v>
      </c>
      <c r="E3807" s="26" t="str">
        <f ca="1">IFERROR(__xludf.DUMMYFUNCTION("""COMPUTED_VALUE"""),"New")</f>
        <v>New</v>
      </c>
      <c r="F3807" s="72">
        <v>30</v>
      </c>
      <c r="G3807" s="72">
        <v>1028</v>
      </c>
      <c r="P3807" s="26"/>
    </row>
    <row r="3808" spans="1:16" ht="14.5">
      <c r="A3808" s="3" t="s">
        <v>255</v>
      </c>
      <c r="B3808" s="12" t="s">
        <v>2867</v>
      </c>
      <c r="C3808" s="46" t="s">
        <v>7740</v>
      </c>
      <c r="D3808" s="41" t="str">
        <f ca="1">IFERROR(__xludf.DUMMYFUNCTION("IFERROR(ARRAYFORMULA(REGEXEXTRACT(C3808,""^(?:https?:\/\/)?(?:[^@\n]+@)?(?:www\.)?([^:\/\n]+)"")),"""")"),"towcenter.gitbooks.io")</f>
        <v>towcenter.gitbooks.io</v>
      </c>
      <c r="E3808" s="26" t="str">
        <f ca="1">IFERROR(__xludf.DUMMYFUNCTION("""COMPUTED_VALUE"""),"New")</f>
        <v>New</v>
      </c>
      <c r="F3808" s="72">
        <v>81</v>
      </c>
      <c r="G3808" s="72">
        <v>24491</v>
      </c>
      <c r="P3808" s="26"/>
    </row>
    <row r="3809" spans="1:16" ht="14.5">
      <c r="A3809" s="3" t="s">
        <v>255</v>
      </c>
      <c r="B3809" s="12" t="s">
        <v>2867</v>
      </c>
      <c r="C3809" s="46" t="s">
        <v>7741</v>
      </c>
      <c r="D3809" s="41" t="str">
        <f ca="1">IFERROR(__xludf.DUMMYFUNCTION("IFERROR(ARRAYFORMULA(REGEXEXTRACT(C3809,""^(?:https?:\/\/)?(?:[^@\n]+@)?(?:www\.)?([^:\/\n]+)"")),"""")"),"blogs.glowscotland.org.uk")</f>
        <v>blogs.glowscotland.org.uk</v>
      </c>
      <c r="E3809" s="26" t="str">
        <f ca="1">IFERROR(__xludf.DUMMYFUNCTION("""COMPUTED_VALUE"""),"New")</f>
        <v>New</v>
      </c>
      <c r="F3809" s="72">
        <v>70</v>
      </c>
      <c r="G3809" s="72">
        <v>80406</v>
      </c>
      <c r="P3809" s="26"/>
    </row>
    <row r="3810" spans="1:16" ht="14.5">
      <c r="A3810" s="3" t="s">
        <v>255</v>
      </c>
      <c r="B3810" s="12" t="s">
        <v>2867</v>
      </c>
      <c r="C3810" s="46" t="s">
        <v>7742</v>
      </c>
      <c r="D3810" s="41" t="str">
        <f ca="1">IFERROR(__xludf.DUMMYFUNCTION("IFERROR(ARRAYFORMULA(REGEXEXTRACT(C3810,""^(?:https?:\/\/)?(?:[^@\n]+@)?(?:www\.)?([^:\/\n]+)"")),"""")"),"k12.thoughtfullearning.com")</f>
        <v>k12.thoughtfullearning.com</v>
      </c>
      <c r="E3810" s="26" t="str">
        <f ca="1">IFERROR(__xludf.DUMMYFUNCTION("""COMPUTED_VALUE"""),"New")</f>
        <v>New</v>
      </c>
      <c r="F3810" s="72">
        <v>47</v>
      </c>
      <c r="G3810" s="72">
        <v>42661</v>
      </c>
      <c r="P3810" s="26"/>
    </row>
    <row r="3811" spans="1:16" ht="14.5">
      <c r="A3811" s="3" t="s">
        <v>255</v>
      </c>
      <c r="B3811" s="12" t="s">
        <v>2867</v>
      </c>
      <c r="C3811" s="46" t="s">
        <v>7743</v>
      </c>
      <c r="D3811" s="41" t="str">
        <f ca="1">IFERROR(__xludf.DUMMYFUNCTION("IFERROR(ARRAYFORMULA(REGEXEXTRACT(C3811,""^(?:https?:\/\/)?(?:[^@\n]+@)?(?:www\.)?([^:\/\n]+)"")),"""")"),"pacificmedicaltraining.com")</f>
        <v>pacificmedicaltraining.com</v>
      </c>
      <c r="E3811" s="26" t="str">
        <f ca="1">IFERROR(__xludf.DUMMYFUNCTION("""COMPUTED_VALUE"""),"New")</f>
        <v>New</v>
      </c>
      <c r="F3811" s="72">
        <v>62</v>
      </c>
      <c r="G3811" s="72">
        <v>5648</v>
      </c>
      <c r="P3811" s="26"/>
    </row>
    <row r="3812" spans="1:16" ht="14.5">
      <c r="A3812" s="3" t="s">
        <v>255</v>
      </c>
      <c r="B3812" s="12" t="s">
        <v>2867</v>
      </c>
      <c r="C3812" s="46" t="s">
        <v>7744</v>
      </c>
      <c r="D3812" s="41" t="str">
        <f ca="1">IFERROR(__xludf.DUMMYFUNCTION("IFERROR(ARRAYFORMULA(REGEXEXTRACT(C3812,""^(?:https?:\/\/)?(?:[^@\n]+@)?(?:www\.)?([^:\/\n]+)"")),"""")"),"stemeducationjournal.springeropen.com")</f>
        <v>stemeducationjournal.springeropen.com</v>
      </c>
      <c r="E3812" s="26" t="str">
        <f ca="1">IFERROR(__xludf.DUMMYFUNCTION("""COMPUTED_VALUE"""),"New")</f>
        <v>New</v>
      </c>
      <c r="F3812" s="72">
        <v>89</v>
      </c>
      <c r="G3812" s="72">
        <v>13124</v>
      </c>
      <c r="P3812" s="26"/>
    </row>
    <row r="3813" spans="1:16" ht="14.5">
      <c r="A3813" s="3" t="s">
        <v>255</v>
      </c>
      <c r="B3813" s="12" t="s">
        <v>2867</v>
      </c>
      <c r="C3813" s="46" t="s">
        <v>7745</v>
      </c>
      <c r="D3813" s="41" t="str">
        <f ca="1">IFERROR(__xludf.DUMMYFUNCTION("IFERROR(ARRAYFORMULA(REGEXEXTRACT(C3813,""^(?:https?:\/\/)?(?:[^@\n]+@)?(?:www\.)?([^:\/\n]+)"")),"""")"),"montclair.edu")</f>
        <v>montclair.edu</v>
      </c>
      <c r="E3813" s="26" t="str">
        <f ca="1">IFERROR(__xludf.DUMMYFUNCTION("""COMPUTED_VALUE"""),"New")</f>
        <v>New</v>
      </c>
      <c r="F3813" s="72">
        <v>78</v>
      </c>
      <c r="G3813" s="72">
        <v>97962</v>
      </c>
      <c r="P3813" s="26"/>
    </row>
    <row r="3814" spans="1:16" ht="14.5">
      <c r="A3814" s="3" t="s">
        <v>255</v>
      </c>
      <c r="B3814" s="12" t="s">
        <v>2867</v>
      </c>
      <c r="C3814" s="46" t="s">
        <v>7746</v>
      </c>
      <c r="D3814" s="41" t="str">
        <f ca="1">IFERROR(__xludf.DUMMYFUNCTION("IFERROR(ARRAYFORMULA(REGEXEXTRACT(C3814,""^(?:https?:\/\/)?(?:[^@\n]+@)?(?:www\.)?([^:\/\n]+)"")),"""")"),"thehalallife.co.uk")</f>
        <v>thehalallife.co.uk</v>
      </c>
      <c r="E3814" s="26" t="str">
        <f ca="1">IFERROR(__xludf.DUMMYFUNCTION("""COMPUTED_VALUE"""),"New")</f>
        <v>New</v>
      </c>
      <c r="F3814" s="72">
        <v>20</v>
      </c>
      <c r="G3814" s="72">
        <v>19815</v>
      </c>
      <c r="P3814" s="26"/>
    </row>
    <row r="3815" spans="1:16" ht="14.5">
      <c r="A3815" s="3" t="s">
        <v>255</v>
      </c>
      <c r="B3815" s="12" t="s">
        <v>2867</v>
      </c>
      <c r="C3815" s="46" t="s">
        <v>7747</v>
      </c>
      <c r="D3815" s="41" t="str">
        <f ca="1">IFERROR(__xludf.DUMMYFUNCTION("IFERROR(ARRAYFORMULA(REGEXEXTRACT(C3815,""^(?:https?:\/\/)?(?:[^@\n]+@)?(?:www\.)?([^:\/\n]+)"")),"""")"),"scoutsvictoria.com.au")</f>
        <v>scoutsvictoria.com.au</v>
      </c>
      <c r="E3815" s="26" t="str">
        <f ca="1">IFERROR(__xludf.DUMMYFUNCTION("""COMPUTED_VALUE"""),"New")</f>
        <v>New</v>
      </c>
      <c r="F3815" s="72">
        <v>63</v>
      </c>
      <c r="G3815" s="72">
        <v>1949</v>
      </c>
      <c r="P3815" s="26"/>
    </row>
    <row r="3816" spans="1:16" ht="14.5">
      <c r="A3816" s="3" t="s">
        <v>255</v>
      </c>
      <c r="B3816" s="12" t="s">
        <v>2867</v>
      </c>
      <c r="C3816" s="46" t="s">
        <v>7748</v>
      </c>
      <c r="D3816" s="41" t="str">
        <f ca="1">IFERROR(__xludf.DUMMYFUNCTION("IFERROR(ARRAYFORMULA(REGEXEXTRACT(C3816,""^(?:https?:\/\/)?(?:[^@\n]+@)?(?:www\.)?([^:\/\n]+)"")),"""")"),"blog.hope-education.co.uk")</f>
        <v>blog.hope-education.co.uk</v>
      </c>
      <c r="E3816" s="26" t="str">
        <f ca="1">IFERROR(__xludf.DUMMYFUNCTION("""COMPUTED_VALUE"""),"New")</f>
        <v>New</v>
      </c>
      <c r="F3816" s="72">
        <v>49</v>
      </c>
      <c r="G3816" s="72">
        <v>41877</v>
      </c>
      <c r="P3816" s="26"/>
    </row>
    <row r="3817" spans="1:16" ht="14.5">
      <c r="A3817" s="3" t="s">
        <v>255</v>
      </c>
      <c r="B3817" s="12" t="s">
        <v>2867</v>
      </c>
      <c r="C3817" s="46" t="s">
        <v>7749</v>
      </c>
      <c r="D3817" s="41" t="str">
        <f ca="1">IFERROR(__xludf.DUMMYFUNCTION("IFERROR(ARRAYFORMULA(REGEXEXTRACT(C3817,""^(?:https?:\/\/)?(?:[^@\n]+@)?(?:www\.)?([^:\/\n]+)"")),"""")"),"alsc.ala.org")</f>
        <v>alsc.ala.org</v>
      </c>
      <c r="E3817" s="26" t="str">
        <f ca="1">IFERROR(__xludf.DUMMYFUNCTION("""COMPUTED_VALUE"""),"New")</f>
        <v>New</v>
      </c>
      <c r="F3817" s="72">
        <v>86</v>
      </c>
      <c r="G3817" s="72">
        <v>173079</v>
      </c>
      <c r="P3817" s="26"/>
    </row>
    <row r="3818" spans="1:16" ht="14.5">
      <c r="A3818" s="3" t="s">
        <v>255</v>
      </c>
      <c r="B3818" s="12" t="s">
        <v>2867</v>
      </c>
      <c r="C3818" s="46" t="s">
        <v>7750</v>
      </c>
      <c r="D3818" s="41" t="str">
        <f ca="1">IFERROR(__xludf.DUMMYFUNCTION("IFERROR(ARRAYFORMULA(REGEXEXTRACT(C3818,""^(?:https?:\/\/)?(?:[^@\n]+@)?(?:www\.)?([^:\/\n]+)"")),"""")"),"extension.wsu.edu")</f>
        <v>extension.wsu.edu</v>
      </c>
      <c r="E3818" s="26" t="str">
        <f ca="1">IFERROR(__xludf.DUMMYFUNCTION("""COMPUTED_VALUE"""),"New")</f>
        <v>New</v>
      </c>
      <c r="F3818" s="72">
        <v>86</v>
      </c>
      <c r="G3818" s="72">
        <v>505308</v>
      </c>
      <c r="P3818" s="26"/>
    </row>
    <row r="3819" spans="1:16" ht="14.5">
      <c r="A3819" s="3" t="s">
        <v>255</v>
      </c>
      <c r="B3819" s="12" t="s">
        <v>2867</v>
      </c>
      <c r="C3819" s="46" t="s">
        <v>7751</v>
      </c>
      <c r="D3819" s="41" t="str">
        <f ca="1">IFERROR(__xludf.DUMMYFUNCTION("IFERROR(ARRAYFORMULA(REGEXEXTRACT(C3819,""^(?:https?:\/\/)?(?:[^@\n]+@)?(?:www\.)?([^:\/\n]+)"")),"""")"),"blog.riversideinsights.com")</f>
        <v>blog.riversideinsights.com</v>
      </c>
      <c r="E3819" s="26" t="str">
        <f ca="1">IFERROR(__xludf.DUMMYFUNCTION("""COMPUTED_VALUE"""),"New")</f>
        <v>New</v>
      </c>
      <c r="F3819" s="72">
        <v>62</v>
      </c>
      <c r="G3819" s="72">
        <v>25460</v>
      </c>
      <c r="P3819" s="26"/>
    </row>
    <row r="3820" spans="1:16" ht="14.5">
      <c r="A3820" s="3" t="s">
        <v>255</v>
      </c>
      <c r="B3820" s="12" t="s">
        <v>2867</v>
      </c>
      <c r="C3820" s="46" t="s">
        <v>7752</v>
      </c>
      <c r="D3820" s="41" t="str">
        <f ca="1">IFERROR(__xludf.DUMMYFUNCTION("IFERROR(ARRAYFORMULA(REGEXEXTRACT(C3820,""^(?:https?:\/\/)?(?:[^@\n]+@)?(?:www\.)?([^:\/\n]+)"")),"""")"),"iste.org")</f>
        <v>iste.org</v>
      </c>
      <c r="E3820" s="26" t="str">
        <f ca="1">IFERROR(__xludf.DUMMYFUNCTION("""COMPUTED_VALUE"""),"New")</f>
        <v>New</v>
      </c>
      <c r="F3820" s="72">
        <v>80</v>
      </c>
      <c r="G3820" s="72">
        <v>22479</v>
      </c>
      <c r="P3820" s="26"/>
    </row>
    <row r="3821" spans="1:16" ht="14.5">
      <c r="A3821" s="3" t="s">
        <v>255</v>
      </c>
      <c r="B3821" s="12" t="s">
        <v>2867</v>
      </c>
      <c r="C3821" s="46" t="s">
        <v>7753</v>
      </c>
      <c r="D3821" s="41" t="str">
        <f ca="1">IFERROR(__xludf.DUMMYFUNCTION("IFERROR(ARRAYFORMULA(REGEXEXTRACT(C3821,""^(?:https?:\/\/)?(?:[^@\n]+@)?(?:www\.)?([^:\/\n]+)"")),"""")"),"livinglifeandlearning.com")</f>
        <v>livinglifeandlearning.com</v>
      </c>
      <c r="E3821" s="26" t="str">
        <f ca="1">IFERROR(__xludf.DUMMYFUNCTION("""COMPUTED_VALUE"""),"New")</f>
        <v>New</v>
      </c>
      <c r="F3821" s="72">
        <v>49</v>
      </c>
      <c r="G3821" s="72">
        <v>1849</v>
      </c>
      <c r="P3821" s="26"/>
    </row>
    <row r="3822" spans="1:16" ht="14.5">
      <c r="A3822" s="3" t="s">
        <v>255</v>
      </c>
      <c r="B3822" s="12" t="s">
        <v>2867</v>
      </c>
      <c r="C3822" s="46" t="s">
        <v>7754</v>
      </c>
      <c r="D3822" s="41" t="str">
        <f ca="1">IFERROR(__xludf.DUMMYFUNCTION("IFERROR(ARRAYFORMULA(REGEXEXTRACT(C3822,""^(?:https?:\/\/)?(?:[^@\n]+@)?(?:www\.)?([^:\/\n]+)"")),"""")"),"eoncoat.com")</f>
        <v>eoncoat.com</v>
      </c>
      <c r="E3822" s="26" t="str">
        <f ca="1">IFERROR(__xludf.DUMMYFUNCTION("""COMPUTED_VALUE"""),"New")</f>
        <v>New</v>
      </c>
      <c r="F3822" s="72">
        <v>38</v>
      </c>
      <c r="G3822" s="72">
        <v>2464</v>
      </c>
      <c r="P3822" s="26"/>
    </row>
    <row r="3823" spans="1:16" ht="14.5">
      <c r="A3823" s="3" t="s">
        <v>255</v>
      </c>
      <c r="B3823" s="12" t="s">
        <v>2867</v>
      </c>
      <c r="C3823" s="46" t="s">
        <v>7755</v>
      </c>
      <c r="D3823" s="41" t="str">
        <f ca="1">IFERROR(__xludf.DUMMYFUNCTION("IFERROR(ARRAYFORMULA(REGEXEXTRACT(C3823,""^(?:https?:\/\/)?(?:[^@\n]+@)?(?:www\.)?([^:\/\n]+)"")),"""")"),"gk12glacier.bu.edu")</f>
        <v>gk12glacier.bu.edu</v>
      </c>
      <c r="E3823" s="26" t="str">
        <f ca="1">IFERROR(__xludf.DUMMYFUNCTION("""COMPUTED_VALUE"""),"New")</f>
        <v>New</v>
      </c>
      <c r="F3823" s="72">
        <v>90</v>
      </c>
      <c r="G3823" s="72">
        <v>657377</v>
      </c>
      <c r="P3823" s="26"/>
    </row>
    <row r="3824" spans="1:16" ht="14.5">
      <c r="A3824" s="3" t="s">
        <v>255</v>
      </c>
      <c r="B3824" s="12" t="s">
        <v>2867</v>
      </c>
      <c r="C3824" s="46" t="s">
        <v>7756</v>
      </c>
      <c r="D3824" s="41" t="str">
        <f ca="1">IFERROR(__xludf.DUMMYFUNCTION("IFERROR(ARRAYFORMULA(REGEXEXTRACT(C3824,""^(?:https?:\/\/)?(?:[^@\n]+@)?(?:www\.)?([^:\/\n]+)"")),"""")"),"ceat.okstate.edu")</f>
        <v>ceat.okstate.edu</v>
      </c>
      <c r="E3824" s="26" t="str">
        <f ca="1">IFERROR(__xludf.DUMMYFUNCTION("""COMPUTED_VALUE"""),"New")</f>
        <v>New</v>
      </c>
      <c r="F3824" s="72">
        <v>84</v>
      </c>
      <c r="G3824" s="72">
        <v>638138</v>
      </c>
      <c r="P3824" s="26"/>
    </row>
    <row r="3825" spans="1:16" ht="14.5">
      <c r="A3825" s="3" t="s">
        <v>255</v>
      </c>
      <c r="B3825" s="12" t="s">
        <v>2867</v>
      </c>
      <c r="C3825" s="46" t="s">
        <v>7757</v>
      </c>
      <c r="D3825" s="41" t="str">
        <f ca="1">IFERROR(__xludf.DUMMYFUNCTION("IFERROR(ARRAYFORMULA(REGEXEXTRACT(C3825,""^(?:https?:\/\/)?(?:[^@\n]+@)?(?:www\.)?([^:\/\n]+)"")),"""")"),"centerforneurotech.uw.edu")</f>
        <v>centerforneurotech.uw.edu</v>
      </c>
      <c r="E3825" s="26" t="str">
        <f ca="1">IFERROR(__xludf.DUMMYFUNCTION("""COMPUTED_VALUE"""),"New")</f>
        <v>New</v>
      </c>
      <c r="F3825" s="72">
        <v>88</v>
      </c>
      <c r="G3825" s="72">
        <v>730324</v>
      </c>
      <c r="P3825" s="26"/>
    </row>
    <row r="3826" spans="1:16" ht="14.5">
      <c r="A3826" s="3" t="s">
        <v>255</v>
      </c>
      <c r="B3826" s="12" t="s">
        <v>2867</v>
      </c>
      <c r="C3826" s="46" t="s">
        <v>7758</v>
      </c>
      <c r="D3826" s="41" t="str">
        <f ca="1">IFERROR(__xludf.DUMMYFUNCTION("IFERROR(ARRAYFORMULA(REGEXEXTRACT(C3826,""^(?:https?:\/\/)?(?:[^@\n]+@)?(?:www\.)?([^:\/\n]+)"")),"""")"),"ocsb.ca")</f>
        <v>ocsb.ca</v>
      </c>
      <c r="E3826" s="26" t="str">
        <f ca="1">IFERROR(__xludf.DUMMYFUNCTION("""COMPUTED_VALUE"""),"New")</f>
        <v>New</v>
      </c>
      <c r="F3826" s="72">
        <v>60</v>
      </c>
      <c r="G3826" s="72">
        <v>11990</v>
      </c>
      <c r="P3826" s="26"/>
    </row>
    <row r="3827" spans="1:16" ht="14.5">
      <c r="A3827" s="3" t="s">
        <v>255</v>
      </c>
      <c r="B3827" s="12" t="s">
        <v>2867</v>
      </c>
      <c r="C3827" s="46" t="s">
        <v>7759</v>
      </c>
      <c r="D3827" s="41" t="str">
        <f ca="1">IFERROR(__xludf.DUMMYFUNCTION("IFERROR(ARRAYFORMULA(REGEXEXTRACT(C3827,""^(?:https?:\/\/)?(?:[^@\n]+@)?(?:www\.)?([^:\/\n]+)"")),"""")"),"uakron.edu")</f>
        <v>uakron.edu</v>
      </c>
      <c r="E3827" s="26" t="str">
        <f ca="1">IFERROR(__xludf.DUMMYFUNCTION("""COMPUTED_VALUE"""),"New")</f>
        <v>New</v>
      </c>
      <c r="F3827" s="72">
        <v>78</v>
      </c>
      <c r="G3827" s="72">
        <v>82712</v>
      </c>
      <c r="P3827" s="26"/>
    </row>
    <row r="3828" spans="1:16" ht="14.5">
      <c r="A3828" s="3" t="s">
        <v>255</v>
      </c>
      <c r="B3828" s="12" t="s">
        <v>2867</v>
      </c>
      <c r="C3828" s="46" t="s">
        <v>7760</v>
      </c>
      <c r="D3828" s="41" t="str">
        <f ca="1">IFERROR(__xludf.DUMMYFUNCTION("IFERROR(ARRAYFORMULA(REGEXEXTRACT(C3828,""^(?:https?:\/\/)?(?:[^@\n]+@)?(?:www\.)?([^:\/\n]+)"")),"""")"),"911metallurgist.com")</f>
        <v>911metallurgist.com</v>
      </c>
      <c r="E3828" s="26" t="str">
        <f ca="1">IFERROR(__xludf.DUMMYFUNCTION("""COMPUTED_VALUE"""),"New")</f>
        <v>New</v>
      </c>
      <c r="F3828" s="72">
        <v>57</v>
      </c>
      <c r="G3828" s="72">
        <v>12138</v>
      </c>
      <c r="P3828" s="26"/>
    </row>
    <row r="3829" spans="1:16" ht="14.5">
      <c r="A3829" s="3" t="s">
        <v>255</v>
      </c>
      <c r="B3829" s="12" t="s">
        <v>2867</v>
      </c>
      <c r="C3829" s="46" t="s">
        <v>7761</v>
      </c>
      <c r="D3829" s="41" t="str">
        <f ca="1">IFERROR(__xludf.DUMMYFUNCTION("IFERROR(ARRAYFORMULA(REGEXEXTRACT(C3829,""^(?:https?:\/\/)?(?:[^@\n]+@)?(?:www\.)?([^:\/\n]+)"")),"""")"),"trinect.iastate.edu")</f>
        <v>trinect.iastate.edu</v>
      </c>
      <c r="E3829" s="26" t="str">
        <f ca="1">IFERROR(__xludf.DUMMYFUNCTION("""COMPUTED_VALUE"""),"New")</f>
        <v>New</v>
      </c>
      <c r="F3829" s="72">
        <v>88</v>
      </c>
      <c r="G3829" s="72">
        <v>878226</v>
      </c>
      <c r="P3829" s="26"/>
    </row>
    <row r="3830" spans="1:16" ht="14.5">
      <c r="A3830" s="3" t="s">
        <v>255</v>
      </c>
      <c r="B3830" s="12" t="s">
        <v>2867</v>
      </c>
      <c r="C3830" s="46" t="s">
        <v>7762</v>
      </c>
      <c r="D3830" s="41" t="str">
        <f ca="1">IFERROR(__xludf.DUMMYFUNCTION("IFERROR(ARRAYFORMULA(REGEXEXTRACT(C3830,""^(?:https?:\/\/)?(?:[^@\n]+@)?(?:www\.)?([^:\/\n]+)"")),"""")"),"bop-iitk.vlabs.ac.in")</f>
        <v>bop-iitk.vlabs.ac.in</v>
      </c>
      <c r="E3830" s="26" t="str">
        <f ca="1">IFERROR(__xludf.DUMMYFUNCTION("""COMPUTED_VALUE"""),"New")</f>
        <v>New</v>
      </c>
      <c r="F3830" s="72">
        <v>46</v>
      </c>
      <c r="G3830" s="72">
        <v>97451</v>
      </c>
      <c r="P3830" s="26"/>
    </row>
    <row r="3831" spans="1:16" ht="14.5">
      <c r="A3831" s="3" t="s">
        <v>255</v>
      </c>
      <c r="B3831" s="12" t="s">
        <v>2867</v>
      </c>
      <c r="C3831" s="46" t="s">
        <v>7763</v>
      </c>
      <c r="D3831" s="41" t="str">
        <f ca="1">IFERROR(__xludf.DUMMYFUNCTION("IFERROR(ARRAYFORMULA(REGEXEXTRACT(C3831,""^(?:https?:\/\/)?(?:[^@\n]+@)?(?:www\.)?([^:\/\n]+)"")),"""")"),"timberframehq.com")</f>
        <v>timberframehq.com</v>
      </c>
      <c r="E3831" s="26" t="str">
        <f ca="1">IFERROR(__xludf.DUMMYFUNCTION("""COMPUTED_VALUE"""),"New")</f>
        <v>New</v>
      </c>
      <c r="F3831" s="72">
        <v>34</v>
      </c>
      <c r="G3831" s="72">
        <v>28481</v>
      </c>
      <c r="P3831" s="26"/>
    </row>
    <row r="3832" spans="1:16" ht="14.5">
      <c r="A3832" s="3" t="s">
        <v>255</v>
      </c>
      <c r="B3832" s="12" t="s">
        <v>2867</v>
      </c>
      <c r="C3832" s="46" t="s">
        <v>7764</v>
      </c>
      <c r="D3832" s="41" t="str">
        <f ca="1">IFERROR(__xludf.DUMMYFUNCTION("IFERROR(ARRAYFORMULA(REGEXEXTRACT(C3832,""^(?:https?:\/\/)?(?:[^@\n]+@)?(?:www\.)?([^:\/\n]+)"")),"""")"),"psrc.aapt.org")</f>
        <v>psrc.aapt.org</v>
      </c>
      <c r="E3832" s="26" t="str">
        <f ca="1">IFERROR(__xludf.DUMMYFUNCTION("""COMPUTED_VALUE"""),"New")</f>
        <v>New</v>
      </c>
      <c r="F3832" s="72">
        <v>71</v>
      </c>
      <c r="G3832" s="72">
        <v>11151</v>
      </c>
      <c r="P3832" s="26"/>
    </row>
    <row r="3833" spans="1:16" ht="14.5">
      <c r="A3833" s="3" t="s">
        <v>255</v>
      </c>
      <c r="B3833" s="12" t="s">
        <v>2867</v>
      </c>
      <c r="C3833" s="46" t="s">
        <v>7765</v>
      </c>
      <c r="D3833" s="41" t="str">
        <f ca="1">IFERROR(__xludf.DUMMYFUNCTION("IFERROR(ARRAYFORMULA(REGEXEXTRACT(C3833,""^(?:https?:\/\/)?(?:[^@\n]+@)?(?:www\.)?([^:\/\n]+)"")),"""")"),"academicjobs.com")</f>
        <v>academicjobs.com</v>
      </c>
      <c r="E3833" s="26" t="str">
        <f ca="1">IFERROR(__xludf.DUMMYFUNCTION("""COMPUTED_VALUE"""),"New")</f>
        <v>New</v>
      </c>
      <c r="F3833" s="72">
        <v>38</v>
      </c>
      <c r="G3833" s="72">
        <v>12164</v>
      </c>
      <c r="P3833" s="26"/>
    </row>
    <row r="3834" spans="1:16" ht="14.5">
      <c r="A3834" s="3" t="s">
        <v>255</v>
      </c>
      <c r="B3834" s="12" t="s">
        <v>2867</v>
      </c>
      <c r="C3834" s="46" t="s">
        <v>7766</v>
      </c>
      <c r="D3834" s="41" t="str">
        <f ca="1">IFERROR(__xludf.DUMMYFUNCTION("IFERROR(ARRAYFORMULA(REGEXEXTRACT(C3834,""^(?:https?:\/\/)?(?:[^@\n]+@)?(?:www\.)?([^:\/\n]+)"")),"""")"),"reference.com")</f>
        <v>reference.com</v>
      </c>
      <c r="E3834" s="26" t="str">
        <f ca="1">IFERROR(__xludf.DUMMYFUNCTION("""COMPUTED_VALUE"""),"New")</f>
        <v>New</v>
      </c>
      <c r="F3834" s="72">
        <v>84</v>
      </c>
      <c r="G3834" s="72">
        <v>12543</v>
      </c>
      <c r="P3834" s="26"/>
    </row>
    <row r="3835" spans="1:16" ht="14.5">
      <c r="A3835" s="3" t="s">
        <v>255</v>
      </c>
      <c r="B3835" s="12" t="s">
        <v>2867</v>
      </c>
      <c r="C3835" s="46" t="s">
        <v>7767</v>
      </c>
      <c r="D3835" s="41" t="str">
        <f ca="1">IFERROR(__xludf.DUMMYFUNCTION("IFERROR(ARRAYFORMULA(REGEXEXTRACT(C3835,""^(?:https?:\/\/)?(?:[^@\n]+@)?(?:www\.)?([^:\/\n]+)"")),"""")"),"privateschoolreview.com")</f>
        <v>privateschoolreview.com</v>
      </c>
      <c r="E3835" s="26" t="str">
        <f ca="1">IFERROR(__xludf.DUMMYFUNCTION("""COMPUTED_VALUE"""),"New")</f>
        <v>New</v>
      </c>
      <c r="F3835" s="72">
        <v>71</v>
      </c>
      <c r="G3835" s="72">
        <v>20637</v>
      </c>
      <c r="P3835" s="26"/>
    </row>
    <row r="3836" spans="1:16" ht="14.5">
      <c r="A3836" s="3" t="s">
        <v>255</v>
      </c>
      <c r="B3836" s="12" t="s">
        <v>2867</v>
      </c>
      <c r="C3836" s="46" t="s">
        <v>7768</v>
      </c>
      <c r="D3836" s="41" t="str">
        <f ca="1">IFERROR(__xludf.DUMMYFUNCTION("IFERROR(ARRAYFORMULA(REGEXEXTRACT(C3836,""^(?:https?:\/\/)?(?:[^@\n]+@)?(?:www\.)?([^:\/\n]+)"")),"""")"),"extension.purdue.edu")</f>
        <v>extension.purdue.edu</v>
      </c>
      <c r="E3836" s="26" t="str">
        <f ca="1">IFERROR(__xludf.DUMMYFUNCTION("""COMPUTED_VALUE"""),"New")</f>
        <v>New</v>
      </c>
      <c r="F3836" s="72">
        <v>90</v>
      </c>
      <c r="G3836" s="72">
        <v>6578616</v>
      </c>
      <c r="P3836" s="26"/>
    </row>
    <row r="3837" spans="1:16" ht="14.5">
      <c r="A3837" s="3" t="s">
        <v>255</v>
      </c>
      <c r="B3837" s="12" t="s">
        <v>2867</v>
      </c>
      <c r="C3837" s="46" t="s">
        <v>7769</v>
      </c>
      <c r="D3837" s="41" t="str">
        <f ca="1">IFERROR(__xludf.DUMMYFUNCTION("IFERROR(ARRAYFORMULA(REGEXEXTRACT(C3837,""^(?:https?:\/\/)?(?:[^@\n]+@)?(?:www\.)?([^:\/\n]+)"")),"""")"),"engineeringtoolbox.com")</f>
        <v>engineeringtoolbox.com</v>
      </c>
      <c r="E3837" s="26" t="str">
        <f ca="1">IFERROR(__xludf.DUMMYFUNCTION("""COMPUTED_VALUE"""),"New")</f>
        <v>New</v>
      </c>
      <c r="F3837" s="72">
        <v>77</v>
      </c>
      <c r="G3837" s="72">
        <v>228024</v>
      </c>
      <c r="P3837" s="26"/>
    </row>
    <row r="3838" spans="1:16" ht="14.5">
      <c r="A3838" s="3" t="s">
        <v>255</v>
      </c>
      <c r="B3838" s="12" t="s">
        <v>2867</v>
      </c>
      <c r="C3838" s="46" t="s">
        <v>7770</v>
      </c>
      <c r="D3838" s="41" t="str">
        <f ca="1">IFERROR(__xludf.DUMMYFUNCTION("IFERROR(ARRAYFORMULA(REGEXEXTRACT(C3838,""^(?:https?:\/\/)?(?:[^@\n]+@)?(?:www\.)?([^:\/\n]+)"")),"""")"),"ucci.ucop.edu")</f>
        <v>ucci.ucop.edu</v>
      </c>
      <c r="E3838" s="26" t="str">
        <f ca="1">IFERROR(__xludf.DUMMYFUNCTION("""COMPUTED_VALUE"""),"New")</f>
        <v>New</v>
      </c>
      <c r="F3838" s="72">
        <v>79</v>
      </c>
      <c r="G3838" s="72">
        <v>202999</v>
      </c>
      <c r="P3838" s="26"/>
    </row>
    <row r="3839" spans="1:16" ht="14.5">
      <c r="A3839" s="3" t="s">
        <v>255</v>
      </c>
      <c r="B3839" s="12" t="s">
        <v>2867</v>
      </c>
      <c r="C3839" s="46" t="s">
        <v>7771</v>
      </c>
      <c r="D3839" s="41" t="str">
        <f ca="1">IFERROR(__xludf.DUMMYFUNCTION("IFERROR(ARRAYFORMULA(REGEXEXTRACT(C3839,""^(?:https?:\/\/)?(?:[^@\n]+@)?(?:www\.)?([^:\/\n]+)"")),"""")"),"teachersfirst.com")</f>
        <v>teachersfirst.com</v>
      </c>
      <c r="E3839" s="26" t="str">
        <f ca="1">IFERROR(__xludf.DUMMYFUNCTION("""COMPUTED_VALUE"""),"New")</f>
        <v>New</v>
      </c>
      <c r="F3839" s="72">
        <v>59</v>
      </c>
      <c r="G3839" s="72">
        <v>3104</v>
      </c>
      <c r="P3839" s="26"/>
    </row>
    <row r="3840" spans="1:16" ht="14.5">
      <c r="A3840" s="3" t="s">
        <v>255</v>
      </c>
      <c r="B3840" s="12" t="s">
        <v>2867</v>
      </c>
      <c r="C3840" s="46" t="s">
        <v>7772</v>
      </c>
      <c r="D3840" s="41" t="str">
        <f ca="1">IFERROR(__xludf.DUMMYFUNCTION("IFERROR(ARRAYFORMULA(REGEXEXTRACT(C3840,""^(?:https?:\/\/)?(?:[^@\n]+@)?(?:www\.)?([^:\/\n]+)"")),"""")"),"evolution-outreach.biomedcentral.com")</f>
        <v>evolution-outreach.biomedcentral.com</v>
      </c>
      <c r="E3840" s="26" t="str">
        <f ca="1">IFERROR(__xludf.DUMMYFUNCTION("""COMPUTED_VALUE"""),"New")</f>
        <v>New</v>
      </c>
      <c r="F3840" s="72">
        <v>92</v>
      </c>
      <c r="G3840" s="72">
        <v>124812</v>
      </c>
      <c r="P3840" s="26"/>
    </row>
    <row r="3841" spans="1:16" ht="14.5">
      <c r="A3841" s="3" t="s">
        <v>255</v>
      </c>
      <c r="B3841" s="12" t="s">
        <v>2867</v>
      </c>
      <c r="C3841" s="46" t="s">
        <v>7773</v>
      </c>
      <c r="D3841" s="41" t="str">
        <f ca="1">IFERROR(__xludf.DUMMYFUNCTION("IFERROR(ARRAYFORMULA(REGEXEXTRACT(C3841,""^(?:https?:\/\/)?(?:[^@\n]+@)?(?:www\.)?([^:\/\n]+)"")),"""")"),"blog.stem-supplies.com")</f>
        <v>blog.stem-supplies.com</v>
      </c>
      <c r="E3841" s="26" t="str">
        <f ca="1">IFERROR(__xludf.DUMMYFUNCTION("""COMPUTED_VALUE"""),"New")</f>
        <v>New</v>
      </c>
      <c r="F3841" s="72">
        <v>37</v>
      </c>
      <c r="G3841" s="72">
        <v>5276</v>
      </c>
      <c r="P3841" s="26"/>
    </row>
    <row r="3842" spans="1:16" ht="14.5">
      <c r="A3842" s="3" t="s">
        <v>255</v>
      </c>
      <c r="B3842" s="12" t="s">
        <v>2867</v>
      </c>
      <c r="C3842" s="46" t="s">
        <v>7774</v>
      </c>
      <c r="D3842" s="41" t="str">
        <f ca="1">IFERROR(__xludf.DUMMYFUNCTION("IFERROR(ARRAYFORMULA(REGEXEXTRACT(C3842,""^(?:https?:\/\/)?(?:[^@\n]+@)?(?:www\.)?([^:\/\n]+)"")),"""")"),"tbep-tech.github.io")</f>
        <v>tbep-tech.github.io</v>
      </c>
      <c r="E3842" s="26" t="str">
        <f ca="1">IFERROR(__xludf.DUMMYFUNCTION("""COMPUTED_VALUE"""),"New")</f>
        <v>New</v>
      </c>
      <c r="F3842" s="72">
        <v>94</v>
      </c>
      <c r="G3842" s="72">
        <v>11788119</v>
      </c>
      <c r="P3842" s="26"/>
    </row>
    <row r="3843" spans="1:16" ht="14.5">
      <c r="A3843" s="3" t="s">
        <v>255</v>
      </c>
      <c r="B3843" s="12" t="s">
        <v>2867</v>
      </c>
      <c r="C3843" s="46" t="s">
        <v>7775</v>
      </c>
      <c r="D3843" s="41" t="str">
        <f ca="1">IFERROR(__xludf.DUMMYFUNCTION("IFERROR(ARRAYFORMULA(REGEXEXTRACT(C3843,""^(?:https?:\/\/)?(?:[^@\n]+@)?(?:www\.)?([^:\/\n]+)"")),"""")"),"legendsoflearning.com")</f>
        <v>legendsoflearning.com</v>
      </c>
      <c r="E3843" s="26" t="str">
        <f ca="1">IFERROR(__xludf.DUMMYFUNCTION("""COMPUTED_VALUE"""),"New")</f>
        <v>New</v>
      </c>
      <c r="F3843" s="72">
        <v>65</v>
      </c>
      <c r="G3843" s="72">
        <v>441683</v>
      </c>
      <c r="P3843" s="26"/>
    </row>
    <row r="3844" spans="1:16" ht="14.5">
      <c r="A3844" s="3" t="s">
        <v>255</v>
      </c>
      <c r="B3844" s="12" t="s">
        <v>2867</v>
      </c>
      <c r="C3844" s="46" t="s">
        <v>7776</v>
      </c>
      <c r="D3844" s="41" t="str">
        <f ca="1">IFERROR(__xludf.DUMMYFUNCTION("IFERROR(ARRAYFORMULA(REGEXEXTRACT(C3844,""^(?:https?:\/\/)?(?:[^@\n]+@)?(?:www\.)?([^:\/\n]+)"")),"""")"),"windsorpubliclibrary.com")</f>
        <v>windsorpubliclibrary.com</v>
      </c>
      <c r="E3844" s="26" t="str">
        <f ca="1">IFERROR(__xludf.DUMMYFUNCTION("""COMPUTED_VALUE"""),"New")</f>
        <v>New</v>
      </c>
      <c r="F3844" s="72">
        <v>45</v>
      </c>
      <c r="G3844" s="72">
        <v>2249</v>
      </c>
      <c r="P3844" s="26"/>
    </row>
    <row r="3845" spans="1:16" ht="14.5">
      <c r="A3845" s="3" t="s">
        <v>255</v>
      </c>
      <c r="B3845" s="12" t="s">
        <v>2867</v>
      </c>
      <c r="C3845" s="46" t="s">
        <v>7777</v>
      </c>
      <c r="D3845" s="41" t="str">
        <f ca="1">IFERROR(__xludf.DUMMYFUNCTION("IFERROR(ARRAYFORMULA(REGEXEXTRACT(C3845,""^(?:https?:\/\/)?(?:[^@\n]+@)?(?:www\.)?([^:\/\n]+)"")),"""")"),"fabulesslyfrugal.com")</f>
        <v>fabulesslyfrugal.com</v>
      </c>
      <c r="E3845" s="26" t="str">
        <f ca="1">IFERROR(__xludf.DUMMYFUNCTION("""COMPUTED_VALUE"""),"New")</f>
        <v>New</v>
      </c>
      <c r="F3845" s="72">
        <v>55</v>
      </c>
      <c r="G3845" s="72">
        <v>6091</v>
      </c>
      <c r="P3845" s="26"/>
    </row>
    <row r="3846" spans="1:16" ht="14.5">
      <c r="A3846" s="3" t="s">
        <v>255</v>
      </c>
      <c r="B3846" s="12" t="s">
        <v>2867</v>
      </c>
      <c r="C3846" s="46" t="s">
        <v>7778</v>
      </c>
      <c r="D3846" s="41" t="str">
        <f ca="1">IFERROR(__xludf.DUMMYFUNCTION("IFERROR(ARRAYFORMULA(REGEXEXTRACT(C3846,""^(?:https?:\/\/)?(?:[^@\n]+@)?(?:www\.)?([^:\/\n]+)"")),"""")"),"knowledgequest.aasl.org")</f>
        <v>knowledgequest.aasl.org</v>
      </c>
      <c r="E3846" s="26" t="str">
        <f ca="1">IFERROR(__xludf.DUMMYFUNCTION("""COMPUTED_VALUE"""),"New")</f>
        <v>New</v>
      </c>
      <c r="F3846" s="72">
        <v>61</v>
      </c>
      <c r="G3846" s="72">
        <v>1144</v>
      </c>
      <c r="P3846" s="26"/>
    </row>
    <row r="3847" spans="1:16" ht="14.5">
      <c r="A3847" s="3" t="s">
        <v>255</v>
      </c>
      <c r="B3847" s="12" t="s">
        <v>2867</v>
      </c>
      <c r="C3847" s="46" t="s">
        <v>7779</v>
      </c>
      <c r="D3847" s="41" t="str">
        <f ca="1">IFERROR(__xludf.DUMMYFUNCTION("IFERROR(ARRAYFORMULA(REGEXEXTRACT(C3847,""^(?:https?:\/\/)?(?:[^@\n]+@)?(?:www\.)?([^:\/\n]+)"")),"""")"),"chs.camas.wednet.edu")</f>
        <v>chs.camas.wednet.edu</v>
      </c>
      <c r="E3847" s="26" t="str">
        <f ca="1">IFERROR(__xludf.DUMMYFUNCTION("""COMPUTED_VALUE"""),"New")</f>
        <v>New</v>
      </c>
      <c r="F3847" s="72">
        <v>74</v>
      </c>
      <c r="G3847" s="72">
        <v>137130</v>
      </c>
      <c r="P3847" s="26"/>
    </row>
    <row r="3848" spans="1:16" ht="14.5">
      <c r="A3848" s="3" t="s">
        <v>255</v>
      </c>
      <c r="B3848" s="12" t="s">
        <v>2867</v>
      </c>
      <c r="C3848" s="46" t="s">
        <v>7780</v>
      </c>
      <c r="D3848" s="41" t="str">
        <f ca="1">IFERROR(__xludf.DUMMYFUNCTION("IFERROR(ARRAYFORMULA(REGEXEXTRACT(C3848,""^(?:https?:\/\/)?(?:[^@\n]+@)?(?:www\.)?([^:\/\n]+)"")),"""")"),"blog.education.nationalgeographic.org")</f>
        <v>blog.education.nationalgeographic.org</v>
      </c>
      <c r="E3848" s="26" t="str">
        <f ca="1">IFERROR(__xludf.DUMMYFUNCTION("""COMPUTED_VALUE"""),"New")</f>
        <v>New</v>
      </c>
      <c r="F3848" s="72">
        <v>88</v>
      </c>
      <c r="G3848" s="72">
        <v>1948514</v>
      </c>
      <c r="P3848" s="26"/>
    </row>
    <row r="3849" spans="1:16" ht="14.5">
      <c r="A3849" s="3" t="s">
        <v>255</v>
      </c>
      <c r="B3849" s="12" t="s">
        <v>2867</v>
      </c>
      <c r="C3849" s="46" t="s">
        <v>7781</v>
      </c>
      <c r="D3849" s="41" t="str">
        <f ca="1">IFERROR(__xludf.DUMMYFUNCTION("IFERROR(ARRAYFORMULA(REGEXEXTRACT(C3849,""^(?:https?:\/\/)?(?:[^@\n]+@)?(?:www\.)?([^:\/\n]+)"")),"""")"),"teacherplanet.com")</f>
        <v>teacherplanet.com</v>
      </c>
      <c r="E3849" s="26" t="str">
        <f ca="1">IFERROR(__xludf.DUMMYFUNCTION("""COMPUTED_VALUE"""),"New")</f>
        <v>New</v>
      </c>
      <c r="F3849" s="72">
        <v>50</v>
      </c>
      <c r="G3849" s="72">
        <v>8449</v>
      </c>
      <c r="P3849" s="26"/>
    </row>
    <row r="3850" spans="1:16" ht="14.5">
      <c r="A3850" s="3" t="s">
        <v>255</v>
      </c>
      <c r="B3850" s="12" t="s">
        <v>2867</v>
      </c>
      <c r="C3850" s="46" t="s">
        <v>7782</v>
      </c>
      <c r="D3850" s="41" t="str">
        <f ca="1">IFERROR(__xludf.DUMMYFUNCTION("IFERROR(ARRAYFORMULA(REGEXEXTRACT(C3850,""^(?:https?:\/\/)?(?:[^@\n]+@)?(?:www\.)?([^:\/\n]+)"")),"""")"),"eastbrookpto.membershiptoolkit.com")</f>
        <v>eastbrookpto.membershiptoolkit.com</v>
      </c>
      <c r="E3850" s="26" t="str">
        <f ca="1">IFERROR(__xludf.DUMMYFUNCTION("""COMPUTED_VALUE"""),"New")</f>
        <v>New</v>
      </c>
      <c r="F3850" s="72">
        <v>76</v>
      </c>
      <c r="G3850" s="72">
        <v>13680</v>
      </c>
      <c r="P3850" s="26"/>
    </row>
    <row r="3851" spans="1:16" ht="14.5">
      <c r="A3851" s="3" t="s">
        <v>255</v>
      </c>
      <c r="B3851" s="12" t="s">
        <v>2867</v>
      </c>
      <c r="C3851" s="46" t="s">
        <v>7783</v>
      </c>
      <c r="D3851" s="41" t="str">
        <f ca="1">IFERROR(__xludf.DUMMYFUNCTION("IFERROR(ARRAYFORMULA(REGEXEXTRACT(C3851,""^(?:https?:\/\/)?(?:[^@\n]+@)?(?:www\.)?([^:\/\n]+)"")),"""")"),"middleschoolscience.com")</f>
        <v>middleschoolscience.com</v>
      </c>
      <c r="E3851" s="26" t="str">
        <f ca="1">IFERROR(__xludf.DUMMYFUNCTION("""COMPUTED_VALUE"""),"New")</f>
        <v>New</v>
      </c>
      <c r="F3851" s="72">
        <v>27</v>
      </c>
      <c r="G3851" s="72">
        <v>2094</v>
      </c>
      <c r="P3851" s="26"/>
    </row>
    <row r="3852" spans="1:16" ht="14.5">
      <c r="A3852" s="3" t="s">
        <v>255</v>
      </c>
      <c r="B3852" s="12" t="s">
        <v>2867</v>
      </c>
      <c r="C3852" s="46" t="s">
        <v>7784</v>
      </c>
      <c r="D3852" s="41" t="str">
        <f ca="1">IFERROR(__xludf.DUMMYFUNCTION("IFERROR(ARRAYFORMULA(REGEXEXTRACT(C3852,""^(?:https?:\/\/)?(?:[^@\n]+@)?(?:www\.)?([^:\/\n]+)"")),"""")"),"learningmole.com")</f>
        <v>learningmole.com</v>
      </c>
      <c r="E3852" s="26" t="str">
        <f ca="1">IFERROR(__xludf.DUMMYFUNCTION("""COMPUTED_VALUE"""),"New")</f>
        <v>New</v>
      </c>
      <c r="F3852" s="72">
        <v>38</v>
      </c>
      <c r="G3852" s="72">
        <v>3881</v>
      </c>
      <c r="P3852" s="26"/>
    </row>
    <row r="3853" spans="1:16" ht="14.5">
      <c r="A3853" s="3" t="s">
        <v>255</v>
      </c>
      <c r="B3853" s="12" t="s">
        <v>2867</v>
      </c>
      <c r="C3853" s="46" t="s">
        <v>7785</v>
      </c>
      <c r="D3853" s="41" t="str">
        <f ca="1">IFERROR(__xludf.DUMMYFUNCTION("IFERROR(ARRAYFORMULA(REGEXEXTRACT(C3853,""^(?:https?:\/\/)?(?:[^@\n]+@)?(?:www\.)?([^:\/\n]+)"")),"""")"),"takecareoftexas.org")</f>
        <v>takecareoftexas.org</v>
      </c>
      <c r="E3853" s="26" t="str">
        <f ca="1">IFERROR(__xludf.DUMMYFUNCTION("""COMPUTED_VALUE"""),"New")</f>
        <v>New</v>
      </c>
      <c r="F3853" s="72">
        <v>59</v>
      </c>
      <c r="G3853" s="72">
        <v>4011</v>
      </c>
      <c r="P3853" s="26"/>
    </row>
    <row r="3854" spans="1:16" ht="14.5">
      <c r="A3854" s="3" t="s">
        <v>255</v>
      </c>
      <c r="B3854" s="12" t="s">
        <v>2867</v>
      </c>
      <c r="C3854" s="46" t="s">
        <v>7786</v>
      </c>
      <c r="D3854" s="41" t="str">
        <f ca="1">IFERROR(__xludf.DUMMYFUNCTION("IFERROR(ARRAYFORMULA(REGEXEXTRACT(C3854,""^(?:https?:\/\/)?(?:[^@\n]+@)?(?:www\.)?([^:\/\n]+)"")),"""")"),"groups.cs.umass.edu")</f>
        <v>groups.cs.umass.edu</v>
      </c>
      <c r="E3854" s="26" t="str">
        <f ca="1">IFERROR(__xludf.DUMMYFUNCTION("""COMPUTED_VALUE"""),"New")</f>
        <v>New</v>
      </c>
      <c r="F3854" s="72">
        <v>88</v>
      </c>
      <c r="G3854" s="72">
        <v>256941</v>
      </c>
      <c r="P3854" s="26"/>
    </row>
    <row r="3855" spans="1:16" ht="14.5">
      <c r="A3855" s="3" t="s">
        <v>255</v>
      </c>
      <c r="B3855" s="12" t="s">
        <v>2867</v>
      </c>
      <c r="C3855" s="46" t="s">
        <v>7787</v>
      </c>
      <c r="D3855" s="41" t="str">
        <f ca="1">IFERROR(__xludf.DUMMYFUNCTION("IFERROR(ARRAYFORMULA(REGEXEXTRACT(C3855,""^(?:https?:\/\/)?(?:[^@\n]+@)?(?:www\.)?([^:\/\n]+)"")),"""")"),"algaeresearchsupply.com")</f>
        <v>algaeresearchsupply.com</v>
      </c>
      <c r="E3855" s="26" t="str">
        <f ca="1">IFERROR(__xludf.DUMMYFUNCTION("""COMPUTED_VALUE"""),"New")</f>
        <v>New</v>
      </c>
      <c r="F3855" s="72">
        <v>33</v>
      </c>
      <c r="G3855" s="72">
        <v>1559</v>
      </c>
      <c r="P3855" s="26"/>
    </row>
    <row r="3856" spans="1:16" ht="14.5">
      <c r="A3856" s="3" t="s">
        <v>255</v>
      </c>
      <c r="B3856" s="12" t="s">
        <v>2867</v>
      </c>
      <c r="C3856" s="46" t="s">
        <v>7788</v>
      </c>
      <c r="D3856" s="41" t="str">
        <f ca="1">IFERROR(__xludf.DUMMYFUNCTION("IFERROR(ARRAYFORMULA(REGEXEXTRACT(C3856,""^(?:https?:\/\/)?(?:[^@\n]+@)?(?:www\.)?([^:\/\n]+)"")),"""")"),"diyhomeschooler.com")</f>
        <v>diyhomeschooler.com</v>
      </c>
      <c r="E3856" s="26" t="str">
        <f ca="1">IFERROR(__xludf.DUMMYFUNCTION("""COMPUTED_VALUE"""),"New")</f>
        <v>New</v>
      </c>
      <c r="F3856" s="72">
        <v>21</v>
      </c>
      <c r="G3856" s="72">
        <v>1116</v>
      </c>
      <c r="P3856" s="26"/>
    </row>
    <row r="3857" spans="1:16" ht="14.5">
      <c r="A3857" s="3" t="s">
        <v>255</v>
      </c>
      <c r="B3857" s="12" t="s">
        <v>2867</v>
      </c>
      <c r="C3857" s="46" t="s">
        <v>7789</v>
      </c>
      <c r="D3857" s="41" t="str">
        <f ca="1">IFERROR(__xludf.DUMMYFUNCTION("IFERROR(ARRAYFORMULA(REGEXEXTRACT(C3857,""^(?:https?:\/\/)?(?:[^@\n]+@)?(?:www\.)?([^:\/\n]+)"")),"""")"),"dev.epicgames.com")</f>
        <v>dev.epicgames.com</v>
      </c>
      <c r="E3857" s="26" t="str">
        <f ca="1">IFERROR(__xludf.DUMMYFUNCTION("""COMPUTED_VALUE"""),"New")</f>
        <v>New</v>
      </c>
      <c r="F3857" s="72">
        <v>90</v>
      </c>
      <c r="G3857" s="72">
        <v>19871818</v>
      </c>
      <c r="P3857" s="26"/>
    </row>
    <row r="3858" spans="1:16" ht="14.5">
      <c r="A3858" s="3" t="s">
        <v>255</v>
      </c>
      <c r="B3858" s="12" t="s">
        <v>2867</v>
      </c>
      <c r="C3858" s="46" t="s">
        <v>7790</v>
      </c>
      <c r="D3858" s="41" t="str">
        <f ca="1">IFERROR(__xludf.DUMMYFUNCTION("IFERROR(ARRAYFORMULA(REGEXEXTRACT(C3858,""^(?:https?:\/\/)?(?:[^@\n]+@)?(?:www\.)?([^:\/\n]+)"")),"""")"),"blogs.vsb.bc.ca")</f>
        <v>blogs.vsb.bc.ca</v>
      </c>
      <c r="E3858" s="26" t="str">
        <f ca="1">IFERROR(__xludf.DUMMYFUNCTION("""COMPUTED_VALUE"""),"New")</f>
        <v>New</v>
      </c>
      <c r="F3858" s="72">
        <v>68</v>
      </c>
      <c r="G3858" s="72">
        <v>34185</v>
      </c>
      <c r="P3858" s="26"/>
    </row>
    <row r="3859" spans="1:16" ht="14.5">
      <c r="A3859" s="3" t="s">
        <v>255</v>
      </c>
      <c r="B3859" s="12" t="s">
        <v>2867</v>
      </c>
      <c r="C3859" s="46" t="s">
        <v>7791</v>
      </c>
      <c r="D3859" s="41" t="str">
        <f ca="1">IFERROR(__xludf.DUMMYFUNCTION("IFERROR(ARRAYFORMULA(REGEXEXTRACT(C3859,""^(?:https?:\/\/)?(?:[^@\n]+@)?(?:www\.)?([^:\/\n]+)"")),"""")"),"onlinelearning.telkomuniversity.ac.id")</f>
        <v>onlinelearning.telkomuniversity.ac.id</v>
      </c>
      <c r="E3859" s="26" t="str">
        <f ca="1">IFERROR(__xludf.DUMMYFUNCTION("""COMPUTED_VALUE"""),"New")</f>
        <v>New</v>
      </c>
      <c r="F3859" s="72">
        <v>76</v>
      </c>
      <c r="G3859" s="72">
        <v>4517536</v>
      </c>
      <c r="P3859" s="26"/>
    </row>
    <row r="3860" spans="1:16" ht="14.5">
      <c r="A3860" s="3" t="s">
        <v>255</v>
      </c>
      <c r="B3860" s="12" t="s">
        <v>2867</v>
      </c>
      <c r="C3860" s="46" t="s">
        <v>7792</v>
      </c>
      <c r="D3860" s="41" t="str">
        <f ca="1">IFERROR(__xludf.DUMMYFUNCTION("IFERROR(ARRAYFORMULA(REGEXEXTRACT(C3860,""^(?:https?:\/\/)?(?:[^@\n]+@)?(?:www\.)?([^:\/\n]+)"")),"""")"),"blog.utc.edu")</f>
        <v>blog.utc.edu</v>
      </c>
      <c r="E3860" s="26" t="str">
        <f ca="1">IFERROR(__xludf.DUMMYFUNCTION("""COMPUTED_VALUE"""),"New")</f>
        <v>New</v>
      </c>
      <c r="F3860" s="72">
        <v>75</v>
      </c>
      <c r="G3860" s="72">
        <v>71366</v>
      </c>
      <c r="P3860" s="26"/>
    </row>
    <row r="3861" spans="1:16" ht="14.5">
      <c r="A3861" s="3" t="s">
        <v>255</v>
      </c>
      <c r="B3861" s="12" t="s">
        <v>2867</v>
      </c>
      <c r="C3861" s="46" t="s">
        <v>7793</v>
      </c>
      <c r="D3861" s="41" t="str">
        <f ca="1">IFERROR(__xludf.DUMMYFUNCTION("IFERROR(ARRAYFORMULA(REGEXEXTRACT(C3861,""^(?:https?:\/\/)?(?:[^@\n]+@)?(?:www\.)?([^:\/\n]+)"")),"""")"),"qubeshub.org")</f>
        <v>qubeshub.org</v>
      </c>
      <c r="E3861" s="26" t="str">
        <f ca="1">IFERROR(__xludf.DUMMYFUNCTION("""COMPUTED_VALUE"""),"New")</f>
        <v>New</v>
      </c>
      <c r="F3861" s="72">
        <v>66</v>
      </c>
      <c r="G3861" s="72">
        <v>1179</v>
      </c>
      <c r="P3861" s="26"/>
    </row>
    <row r="3862" spans="1:16" ht="14.5">
      <c r="A3862" s="3" t="s">
        <v>255</v>
      </c>
      <c r="B3862" s="12" t="s">
        <v>2867</v>
      </c>
      <c r="C3862" s="46" t="s">
        <v>7794</v>
      </c>
      <c r="D3862" s="41" t="str">
        <f ca="1">IFERROR(__xludf.DUMMYFUNCTION("IFERROR(ARRAYFORMULA(REGEXEXTRACT(C3862,""^(?:https?:\/\/)?(?:[^@\n]+@)?(?:www\.)?([^:\/\n]+)"")),"""")"),"racketboy.com")</f>
        <v>racketboy.com</v>
      </c>
      <c r="E3862" s="26" t="str">
        <f ca="1">IFERROR(__xludf.DUMMYFUNCTION("""COMPUTED_VALUE"""),"New")</f>
        <v>New</v>
      </c>
      <c r="F3862" s="72">
        <v>51</v>
      </c>
      <c r="G3862" s="72">
        <v>10369</v>
      </c>
      <c r="P3862" s="26"/>
    </row>
    <row r="3863" spans="1:16" ht="14.5">
      <c r="A3863" s="3" t="s">
        <v>255</v>
      </c>
      <c r="B3863" s="12" t="s">
        <v>2867</v>
      </c>
      <c r="C3863" s="46" t="s">
        <v>7795</v>
      </c>
      <c r="D3863" s="41" t="str">
        <f ca="1">IFERROR(__xludf.DUMMYFUNCTION("IFERROR(ARRAYFORMULA(REGEXEXTRACT(C3863,""^(?:https?:\/\/)?(?:[^@\n]+@)?(?:www\.)?([^:\/\n]+)"")),"""")"),"knowitall.org")</f>
        <v>knowitall.org</v>
      </c>
      <c r="E3863" s="26" t="str">
        <f ca="1">IFERROR(__xludf.DUMMYFUNCTION("""COMPUTED_VALUE"""),"New")</f>
        <v>New</v>
      </c>
      <c r="F3863" s="72">
        <v>59</v>
      </c>
      <c r="G3863" s="72">
        <v>11472</v>
      </c>
      <c r="P3863" s="26"/>
    </row>
    <row r="3864" spans="1:16" ht="14.5">
      <c r="A3864" s="3" t="s">
        <v>255</v>
      </c>
      <c r="B3864" s="12" t="s">
        <v>2867</v>
      </c>
      <c r="C3864" s="46" t="s">
        <v>7796</v>
      </c>
      <c r="D3864" s="41" t="str">
        <f ca="1">IFERROR(__xludf.DUMMYFUNCTION("IFERROR(ARRAYFORMULA(REGEXEXTRACT(C3864,""^(?:https?:\/\/)?(?:[^@\n]+@)?(?:www\.)?([^:\/\n]+)"")),"""")"),"watereducation.org")</f>
        <v>watereducation.org</v>
      </c>
      <c r="E3864" s="26" t="str">
        <f ca="1">IFERROR(__xludf.DUMMYFUNCTION("""COMPUTED_VALUE"""),"New")</f>
        <v>New</v>
      </c>
      <c r="F3864" s="72">
        <v>70</v>
      </c>
      <c r="G3864" s="72">
        <v>7204</v>
      </c>
      <c r="P3864" s="26"/>
    </row>
    <row r="3865" spans="1:16" ht="14.5">
      <c r="A3865" s="3" t="s">
        <v>255</v>
      </c>
      <c r="B3865" s="12" t="s">
        <v>2867</v>
      </c>
      <c r="C3865" s="46" t="s">
        <v>7797</v>
      </c>
      <c r="D3865" s="41" t="str">
        <f ca="1">IFERROR(__xludf.DUMMYFUNCTION("IFERROR(ARRAYFORMULA(REGEXEXTRACT(C3865,""^(?:https?:\/\/)?(?:[^@\n]+@)?(?:www\.)?([^:\/\n]+)"")),"""")"),"formlabs.com")</f>
        <v>formlabs.com</v>
      </c>
      <c r="E3865" s="26" t="str">
        <f ca="1">IFERROR(__xludf.DUMMYFUNCTION("""COMPUTED_VALUE"""),"New")</f>
        <v>New</v>
      </c>
      <c r="F3865" s="72">
        <v>78</v>
      </c>
      <c r="G3865" s="72">
        <v>283946</v>
      </c>
      <c r="P3865" s="26"/>
    </row>
    <row r="3866" spans="1:16" ht="14.5">
      <c r="A3866" s="3" t="s">
        <v>255</v>
      </c>
      <c r="B3866" s="12" t="s">
        <v>2867</v>
      </c>
      <c r="C3866" s="46" t="s">
        <v>7798</v>
      </c>
      <c r="D3866" s="41" t="str">
        <f ca="1">IFERROR(__xludf.DUMMYFUNCTION("IFERROR(ARRAYFORMULA(REGEXEXTRACT(C3866,""^(?:https?:\/\/)?(?:[^@\n]+@)?(?:www\.)?([^:\/\n]+)"")),"""")"),"obsesi.or.id")</f>
        <v>obsesi.or.id</v>
      </c>
      <c r="E3866" s="26" t="str">
        <f ca="1">IFERROR(__xludf.DUMMYFUNCTION("""COMPUTED_VALUE"""),"New")</f>
        <v>New</v>
      </c>
      <c r="F3866" s="72">
        <v>52</v>
      </c>
      <c r="G3866" s="72">
        <v>4569</v>
      </c>
      <c r="P3866" s="26"/>
    </row>
    <row r="3867" spans="1:16" ht="14.5">
      <c r="A3867" s="3" t="s">
        <v>255</v>
      </c>
      <c r="B3867" s="12" t="s">
        <v>2867</v>
      </c>
      <c r="C3867" s="46" t="s">
        <v>7799</v>
      </c>
      <c r="D3867" s="41" t="str">
        <f ca="1">IFERROR(__xludf.DUMMYFUNCTION("IFERROR(ARRAYFORMULA(REGEXEXTRACT(C3867,""^(?:https?:\/\/)?(?:[^@\n]+@)?(?:www\.)?([^:\/\n]+)"")),"""")"),"computer.org")</f>
        <v>computer.org</v>
      </c>
      <c r="E3867" s="26" t="str">
        <f ca="1">IFERROR(__xludf.DUMMYFUNCTION("""COMPUTED_VALUE"""),"New")</f>
        <v>New</v>
      </c>
      <c r="F3867" s="72">
        <v>85</v>
      </c>
      <c r="G3867" s="72">
        <v>31038</v>
      </c>
      <c r="P3867" s="26"/>
    </row>
    <row r="3868" spans="1:16" ht="14.5">
      <c r="A3868" s="3" t="s">
        <v>255</v>
      </c>
      <c r="B3868" s="12" t="s">
        <v>2867</v>
      </c>
      <c r="C3868" s="46" t="s">
        <v>7800</v>
      </c>
      <c r="D3868" s="41" t="str">
        <f ca="1">IFERROR(__xludf.DUMMYFUNCTION("IFERROR(ARRAYFORMULA(REGEXEXTRACT(C3868,""^(?:https?:\/\/)?(?:[^@\n]+@)?(?:www\.)?([^:\/\n]+)"")),"""")"),"bostonparentspaper.com")</f>
        <v>bostonparentspaper.com</v>
      </c>
      <c r="E3868" s="26" t="str">
        <f ca="1">IFERROR(__xludf.DUMMYFUNCTION("""COMPUTED_VALUE"""),"New")</f>
        <v>New</v>
      </c>
      <c r="F3868" s="72">
        <v>41</v>
      </c>
      <c r="G3868" s="72">
        <v>1608</v>
      </c>
      <c r="P3868" s="26"/>
    </row>
    <row r="3869" spans="1:16" ht="14.5">
      <c r="A3869" s="3" t="s">
        <v>255</v>
      </c>
      <c r="B3869" s="12" t="s">
        <v>2867</v>
      </c>
      <c r="C3869" s="46" t="s">
        <v>7801</v>
      </c>
      <c r="D3869" s="41" t="str">
        <f ca="1">IFERROR(__xludf.DUMMYFUNCTION("IFERROR(ARRAYFORMULA(REGEXEXTRACT(C3869,""^(?:https?:\/\/)?(?:[^@\n]+@)?(?:www\.)?([^:\/\n]+)"")),"""")"),"education.indiana.edu")</f>
        <v>education.indiana.edu</v>
      </c>
      <c r="E3869" s="26" t="str">
        <f ca="1">IFERROR(__xludf.DUMMYFUNCTION("""COMPUTED_VALUE"""),"New")</f>
        <v>New</v>
      </c>
      <c r="F3869" s="72">
        <v>88</v>
      </c>
      <c r="G3869" s="72">
        <v>300885</v>
      </c>
      <c r="P3869" s="26"/>
    </row>
    <row r="3870" spans="1:16" ht="14.5">
      <c r="A3870" s="3" t="s">
        <v>255</v>
      </c>
      <c r="B3870" s="12" t="s">
        <v>2867</v>
      </c>
      <c r="C3870" s="46" t="s">
        <v>7802</v>
      </c>
      <c r="D3870" s="41" t="str">
        <f ca="1">IFERROR(__xludf.DUMMYFUNCTION("IFERROR(ARRAYFORMULA(REGEXEXTRACT(C3870,""^(?:https?:\/\/)?(?:[^@\n]+@)?(?:www\.)?([^:\/\n]+)"")),"""")"),"childcareed.com")</f>
        <v>childcareed.com</v>
      </c>
      <c r="E3870" s="26" t="str">
        <f ca="1">IFERROR(__xludf.DUMMYFUNCTION("""COMPUTED_VALUE"""),"New")</f>
        <v>New</v>
      </c>
      <c r="F3870" s="72">
        <v>31</v>
      </c>
      <c r="G3870" s="72">
        <v>8740</v>
      </c>
      <c r="P3870" s="26"/>
    </row>
    <row r="3871" spans="1:16" ht="14.5">
      <c r="A3871" s="3" t="s">
        <v>255</v>
      </c>
      <c r="B3871" s="12" t="s">
        <v>2867</v>
      </c>
      <c r="C3871" s="46" t="s">
        <v>7803</v>
      </c>
      <c r="D3871" s="41" t="str">
        <f ca="1">IFERROR(__xludf.DUMMYFUNCTION("IFERROR(ARRAYFORMULA(REGEXEXTRACT(C3871,""^(?:https?:\/\/)?(?:[^@\n]+@)?(?:www\.)?([^:\/\n]+)"")),"""")"),"admissionsight.com")</f>
        <v>admissionsight.com</v>
      </c>
      <c r="E3871" s="26" t="str">
        <f ca="1">IFERROR(__xludf.DUMMYFUNCTION("""COMPUTED_VALUE"""),"New")</f>
        <v>New</v>
      </c>
      <c r="F3871" s="72">
        <v>44</v>
      </c>
      <c r="G3871" s="72">
        <v>13726</v>
      </c>
      <c r="P3871" s="26"/>
    </row>
    <row r="3872" spans="1:16" ht="14.5">
      <c r="A3872" s="3" t="s">
        <v>255</v>
      </c>
      <c r="B3872" s="12" t="s">
        <v>2867</v>
      </c>
      <c r="C3872" s="46" t="s">
        <v>7804</v>
      </c>
      <c r="D3872" s="41" t="str">
        <f ca="1">IFERROR(__xludf.DUMMYFUNCTION("IFERROR(ARRAYFORMULA(REGEXEXTRACT(C3872,""^(?:https?:\/\/)?(?:[^@\n]+@)?(?:www\.)?([^:\/\n]+)"")),"""")"),"mccrone.com")</f>
        <v>mccrone.com</v>
      </c>
      <c r="E3872" s="26" t="str">
        <f ca="1">IFERROR(__xludf.DUMMYFUNCTION("""COMPUTED_VALUE"""),"New")</f>
        <v>New</v>
      </c>
      <c r="F3872" s="72">
        <v>46</v>
      </c>
      <c r="G3872" s="72">
        <v>1496</v>
      </c>
      <c r="P3872" s="26"/>
    </row>
    <row r="3873" spans="1:16" ht="14.5">
      <c r="A3873" s="3" t="s">
        <v>255</v>
      </c>
      <c r="B3873" s="12" t="s">
        <v>2867</v>
      </c>
      <c r="C3873" s="46" t="s">
        <v>7805</v>
      </c>
      <c r="D3873" s="41" t="str">
        <f ca="1">IFERROR(__xludf.DUMMYFUNCTION("IFERROR(ARRAYFORMULA(REGEXEXTRACT(C3873,""^(?:https?:\/\/)?(?:[^@\n]+@)?(?:www\.)?([^:\/\n]+)"")),"""")"),"homeschool.com")</f>
        <v>homeschool.com</v>
      </c>
      <c r="E3873" s="26" t="str">
        <f ca="1">IFERROR(__xludf.DUMMYFUNCTION("""COMPUTED_VALUE"""),"New")</f>
        <v>New</v>
      </c>
      <c r="F3873" s="72">
        <v>67</v>
      </c>
      <c r="G3873" s="72">
        <v>19441</v>
      </c>
      <c r="P3873" s="26"/>
    </row>
    <row r="3874" spans="1:16" ht="14.5">
      <c r="A3874" s="3" t="s">
        <v>255</v>
      </c>
      <c r="B3874" s="12" t="s">
        <v>2867</v>
      </c>
      <c r="C3874" s="46" t="s">
        <v>7806</v>
      </c>
      <c r="D3874" s="41" t="str">
        <f ca="1">IFERROR(__xludf.DUMMYFUNCTION("IFERROR(ARRAYFORMULA(REGEXEXTRACT(C3874,""^(?:https?:\/\/)?(?:[^@\n]+@)?(?:www\.)?([^:\/\n]+)"")),"""")"),"scied.ucar.edu")</f>
        <v>scied.ucar.edu</v>
      </c>
      <c r="E3874" s="26" t="str">
        <f ca="1">IFERROR(__xludf.DUMMYFUNCTION("""COMPUTED_VALUE"""),"New")</f>
        <v>New</v>
      </c>
      <c r="F3874" s="72">
        <v>84</v>
      </c>
      <c r="G3874" s="72">
        <v>373085</v>
      </c>
      <c r="P3874" s="26"/>
    </row>
    <row r="3875" spans="1:16" ht="14.5">
      <c r="A3875" s="3" t="s">
        <v>255</v>
      </c>
      <c r="B3875" s="12" t="s">
        <v>2867</v>
      </c>
      <c r="C3875" s="46" t="s">
        <v>7807</v>
      </c>
      <c r="D3875" s="41" t="str">
        <f ca="1">IFERROR(__xludf.DUMMYFUNCTION("IFERROR(ARRAYFORMULA(REGEXEXTRACT(C3875,""^(?:https?:\/\/)?(?:[^@\n]+@)?(?:www\.)?([^:\/\n]+)"")),"""")"),"americanvisionwindows.com")</f>
        <v>americanvisionwindows.com</v>
      </c>
      <c r="E3875" s="26" t="str">
        <f ca="1">IFERROR(__xludf.DUMMYFUNCTION("""COMPUTED_VALUE"""),"New")</f>
        <v>New</v>
      </c>
      <c r="F3875" s="72">
        <v>42</v>
      </c>
      <c r="G3875" s="72">
        <v>1244</v>
      </c>
      <c r="P3875" s="26"/>
    </row>
    <row r="3876" spans="1:16" ht="14.5">
      <c r="A3876" s="3" t="s">
        <v>255</v>
      </c>
      <c r="B3876" s="12" t="s">
        <v>2867</v>
      </c>
      <c r="C3876" s="46" t="s">
        <v>7808</v>
      </c>
      <c r="D3876" s="41" t="str">
        <f ca="1">IFERROR(__xludf.DUMMYFUNCTION("IFERROR(ARRAYFORMULA(REGEXEXTRACT(C3876,""^(?:https?:\/\/)?(?:[^@\n]+@)?(?:www\.)?([^:\/\n]+)"")),"""")"),"fisheries.noaa.gov")</f>
        <v>fisheries.noaa.gov</v>
      </c>
      <c r="E3876" s="26" t="str">
        <f ca="1">IFERROR(__xludf.DUMMYFUNCTION("""COMPUTED_VALUE"""),"New")</f>
        <v>New</v>
      </c>
      <c r="F3876" s="72">
        <v>92</v>
      </c>
      <c r="G3876" s="72">
        <v>7741680</v>
      </c>
      <c r="P3876" s="26"/>
    </row>
    <row r="3877" spans="1:16" ht="14.5">
      <c r="A3877" s="3" t="s">
        <v>255</v>
      </c>
      <c r="B3877" s="12" t="s">
        <v>2867</v>
      </c>
      <c r="C3877" s="46" t="s">
        <v>7809</v>
      </c>
      <c r="D3877" s="41" t="str">
        <f ca="1">IFERROR(__xludf.DUMMYFUNCTION("IFERROR(ARRAYFORMULA(REGEXEXTRACT(C3877,""^(?:https?:\/\/)?(?:[^@\n]+@)?(?:www\.)?([^:\/\n]+)"")),"""")"),"cheezburger.com")</f>
        <v>cheezburger.com</v>
      </c>
      <c r="E3877" s="26" t="str">
        <f ca="1">IFERROR(__xludf.DUMMYFUNCTION("""COMPUTED_VALUE"""),"New")</f>
        <v>New</v>
      </c>
      <c r="F3877" s="72">
        <v>79</v>
      </c>
      <c r="G3877" s="72">
        <v>511410</v>
      </c>
      <c r="P3877" s="26"/>
    </row>
    <row r="3878" spans="1:16" ht="14.5">
      <c r="A3878" s="3" t="s">
        <v>255</v>
      </c>
      <c r="B3878" s="12" t="s">
        <v>2867</v>
      </c>
      <c r="C3878" s="46" t="s">
        <v>7810</v>
      </c>
      <c r="D3878" s="41" t="str">
        <f ca="1">IFERROR(__xludf.DUMMYFUNCTION("IFERROR(ARRAYFORMULA(REGEXEXTRACT(C3878,""^(?:https?:\/\/)?(?:[^@\n]+@)?(?:www\.)?([^:\/\n]+)"")),"""")"),"elementalscience.com")</f>
        <v>elementalscience.com</v>
      </c>
      <c r="E3878" s="26" t="str">
        <f ca="1">IFERROR(__xludf.DUMMYFUNCTION("""COMPUTED_VALUE"""),"New")</f>
        <v>New</v>
      </c>
      <c r="F3878" s="72">
        <v>49</v>
      </c>
      <c r="G3878" s="72">
        <v>4642</v>
      </c>
      <c r="P3878" s="26"/>
    </row>
    <row r="3879" spans="1:16" ht="14.5">
      <c r="A3879" s="3" t="s">
        <v>255</v>
      </c>
      <c r="B3879" s="12" t="s">
        <v>2867</v>
      </c>
      <c r="C3879" s="46" t="s">
        <v>7811</v>
      </c>
      <c r="D3879" s="41" t="str">
        <f ca="1">IFERROR(__xludf.DUMMYFUNCTION("IFERROR(ARRAYFORMULA(REGEXEXTRACT(C3879,""^(?:https?:\/\/)?(?:[^@\n]+@)?(?:www\.)?([^:\/\n]+)"")),"""")"),"wattsupwiththat.com")</f>
        <v>wattsupwiththat.com</v>
      </c>
      <c r="E3879" s="26" t="str">
        <f ca="1">IFERROR(__xludf.DUMMYFUNCTION("""COMPUTED_VALUE"""),"New")</f>
        <v>New</v>
      </c>
      <c r="F3879" s="72">
        <v>71</v>
      </c>
      <c r="G3879" s="72">
        <v>3128</v>
      </c>
      <c r="P3879" s="26"/>
    </row>
    <row r="3880" spans="1:16" ht="14.5">
      <c r="A3880" s="3" t="s">
        <v>255</v>
      </c>
      <c r="B3880" s="12" t="s">
        <v>2867</v>
      </c>
      <c r="C3880" s="46" t="s">
        <v>7812</v>
      </c>
      <c r="D3880" s="41" t="str">
        <f ca="1">IFERROR(__xludf.DUMMYFUNCTION("IFERROR(ARRAYFORMULA(REGEXEXTRACT(C3880,""^(?:https?:\/\/)?(?:[^@\n]+@)?(?:www\.)?([^:\/\n]+)"")),"""")"),"iowapublicradio.org")</f>
        <v>iowapublicradio.org</v>
      </c>
      <c r="E3880" s="26" t="str">
        <f ca="1">IFERROR(__xludf.DUMMYFUNCTION("""COMPUTED_VALUE"""),"New")</f>
        <v>New</v>
      </c>
      <c r="F3880" s="72">
        <v>73</v>
      </c>
      <c r="G3880" s="72">
        <v>28826</v>
      </c>
      <c r="P3880" s="26"/>
    </row>
    <row r="3881" spans="1:16" ht="14.5">
      <c r="A3881" s="3" t="s">
        <v>255</v>
      </c>
      <c r="B3881" s="12" t="s">
        <v>2867</v>
      </c>
      <c r="C3881" s="46" t="s">
        <v>7813</v>
      </c>
      <c r="D3881" s="41" t="str">
        <f ca="1">IFERROR(__xludf.DUMMYFUNCTION("IFERROR(ARRAYFORMULA(REGEXEXTRACT(C3881,""^(?:https?:\/\/)?(?:[^@\n]+@)?(?:www\.)?([^:\/\n]+)"")),"""")"),"ask.metafilter.com")</f>
        <v>ask.metafilter.com</v>
      </c>
      <c r="E3881" s="26" t="str">
        <f ca="1">IFERROR(__xludf.DUMMYFUNCTION("""COMPUTED_VALUE"""),"New")</f>
        <v>New</v>
      </c>
      <c r="F3881" s="72">
        <v>77</v>
      </c>
      <c r="G3881" s="72">
        <v>60917</v>
      </c>
      <c r="P3881" s="26"/>
    </row>
    <row r="3882" spans="1:16" ht="14.5">
      <c r="A3882" s="3" t="s">
        <v>255</v>
      </c>
      <c r="B3882" s="12" t="s">
        <v>2867</v>
      </c>
      <c r="C3882" s="46" t="s">
        <v>7814</v>
      </c>
      <c r="D3882" s="41" t="str">
        <f ca="1">IFERROR(__xludf.DUMMYFUNCTION("IFERROR(ARRAYFORMULA(REGEXEXTRACT(C3882,""^(?:https?:\/\/)?(?:[^@\n]+@)?(?:www\.)?([^:\/\n]+)"")),"""")"),"msichicago.org")</f>
        <v>msichicago.org</v>
      </c>
      <c r="E3882" s="26" t="str">
        <f ca="1">IFERROR(__xludf.DUMMYFUNCTION("""COMPUTED_VALUE"""),"New")</f>
        <v>New</v>
      </c>
      <c r="F3882" s="72">
        <v>75</v>
      </c>
      <c r="G3882" s="72">
        <v>2625</v>
      </c>
      <c r="P3882" s="26"/>
    </row>
    <row r="3883" spans="1:16" ht="14.5">
      <c r="A3883" s="3" t="s">
        <v>255</v>
      </c>
      <c r="B3883" s="12" t="s">
        <v>2867</v>
      </c>
      <c r="C3883" s="46" t="s">
        <v>7815</v>
      </c>
      <c r="D3883" s="41" t="str">
        <f ca="1">IFERROR(__xludf.DUMMYFUNCTION("IFERROR(ARRAYFORMULA(REGEXEXTRACT(C3883,""^(?:https?:\/\/)?(?:[^@\n]+@)?(?:www\.)?([^:\/\n]+)"")),"""")"),"issnationallab.org")</f>
        <v>issnationallab.org</v>
      </c>
      <c r="E3883" s="26" t="str">
        <f ca="1">IFERROR(__xludf.DUMMYFUNCTION("""COMPUTED_VALUE"""),"New")</f>
        <v>New</v>
      </c>
      <c r="F3883" s="72">
        <v>72</v>
      </c>
      <c r="G3883" s="72">
        <v>5999</v>
      </c>
      <c r="P3883" s="26"/>
    </row>
    <row r="3884" spans="1:16" ht="14.5">
      <c r="A3884" s="3" t="s">
        <v>255</v>
      </c>
      <c r="B3884" s="12" t="s">
        <v>2867</v>
      </c>
      <c r="C3884" s="46" t="s">
        <v>7816</v>
      </c>
      <c r="D3884" s="41" t="str">
        <f ca="1">IFERROR(__xludf.DUMMYFUNCTION("IFERROR(ARRAYFORMULA(REGEXEXTRACT(C3884,""^(?:https?:\/\/)?(?:[^@\n]+@)?(?:www\.)?([^:\/\n]+)"")),"""")"),"clemson.edu")</f>
        <v>clemson.edu</v>
      </c>
      <c r="E3884" s="26" t="str">
        <f ca="1">IFERROR(__xludf.DUMMYFUNCTION("""COMPUTED_VALUE"""),"New")</f>
        <v>New</v>
      </c>
      <c r="F3884" s="72">
        <v>85</v>
      </c>
      <c r="G3884" s="72">
        <v>668041</v>
      </c>
      <c r="P3884" s="26"/>
    </row>
    <row r="3885" spans="1:16" ht="14.5">
      <c r="A3885" s="3" t="s">
        <v>255</v>
      </c>
      <c r="B3885" s="12" t="s">
        <v>2867</v>
      </c>
      <c r="C3885" s="46" t="s">
        <v>7817</v>
      </c>
      <c r="D3885" s="41" t="str">
        <f ca="1">IFERROR(__xludf.DUMMYFUNCTION("IFERROR(ARRAYFORMULA(REGEXEXTRACT(C3885,""^(?:https?:\/\/)?(?:[^@\n]+@)?(?:www\.)?([^:\/\n]+)"")),"""")"),"svsu.edu")</f>
        <v>svsu.edu</v>
      </c>
      <c r="E3885" s="26" t="str">
        <f ca="1">IFERROR(__xludf.DUMMYFUNCTION("""COMPUTED_VALUE"""),"New")</f>
        <v>New</v>
      </c>
      <c r="F3885" s="72">
        <v>70</v>
      </c>
      <c r="G3885" s="72">
        <v>18324</v>
      </c>
      <c r="P3885" s="26"/>
    </row>
    <row r="3886" spans="1:16" ht="14.5">
      <c r="A3886" s="3" t="s">
        <v>255</v>
      </c>
      <c r="B3886" s="12" t="s">
        <v>2867</v>
      </c>
      <c r="C3886" s="46" t="s">
        <v>7818</v>
      </c>
      <c r="D3886" s="41" t="str">
        <f ca="1">IFERROR(__xludf.DUMMYFUNCTION("IFERROR(ARRAYFORMULA(REGEXEXTRACT(C3886,""^(?:https?:\/\/)?(?:[^@\n]+@)?(?:www\.)?([^:\/\n]+)"")),"""")"),"hains.rcboe.org")</f>
        <v>hains.rcboe.org</v>
      </c>
      <c r="E3886" s="26" t="str">
        <f ca="1">IFERROR(__xludf.DUMMYFUNCTION("""COMPUTED_VALUE"""),"New")</f>
        <v>New</v>
      </c>
      <c r="F3886" s="72">
        <v>50</v>
      </c>
      <c r="G3886" s="72">
        <v>30060</v>
      </c>
      <c r="P3886" s="26"/>
    </row>
    <row r="3887" spans="1:16" ht="14.5">
      <c r="A3887" s="3" t="s">
        <v>255</v>
      </c>
      <c r="B3887" s="12" t="s">
        <v>2867</v>
      </c>
      <c r="C3887" s="46" t="s">
        <v>7819</v>
      </c>
      <c r="D3887" s="41" t="str">
        <f ca="1">IFERROR(__xludf.DUMMYFUNCTION("IFERROR(ARRAYFORMULA(REGEXEXTRACT(C3887,""^(?:https?:\/\/)?(?:[^@\n]+@)?(?:www\.)?([^:\/\n]+)"")),"""")"),"ms.uky.edu")</f>
        <v>ms.uky.edu</v>
      </c>
      <c r="E3887" s="26" t="str">
        <f ca="1">IFERROR(__xludf.DUMMYFUNCTION("""COMPUTED_VALUE"""),"New")</f>
        <v>New</v>
      </c>
      <c r="F3887" s="72">
        <v>87</v>
      </c>
      <c r="G3887" s="72">
        <v>606432</v>
      </c>
      <c r="P3887" s="26"/>
    </row>
    <row r="3888" spans="1:16" ht="14.5">
      <c r="A3888" s="3" t="s">
        <v>255</v>
      </c>
      <c r="B3888" s="12" t="s">
        <v>2867</v>
      </c>
      <c r="C3888" s="46" t="s">
        <v>7820</v>
      </c>
      <c r="D3888" s="41" t="str">
        <f ca="1">IFERROR(__xludf.DUMMYFUNCTION("IFERROR(ARRAYFORMULA(REGEXEXTRACT(C3888,""^(?:https?:\/\/)?(?:[^@\n]+@)?(?:www\.)?([^:\/\n]+)"")),"""")"),"onlinelibrary.wiley.com")</f>
        <v>onlinelibrary.wiley.com</v>
      </c>
      <c r="E3888" s="26" t="str">
        <f ca="1">IFERROR(__xludf.DUMMYFUNCTION("""COMPUTED_VALUE"""),"New")</f>
        <v>New</v>
      </c>
      <c r="F3888" s="72">
        <v>93</v>
      </c>
      <c r="G3888" s="72">
        <v>4334560</v>
      </c>
      <c r="P3888" s="26"/>
    </row>
    <row r="3889" spans="1:16" ht="14.5">
      <c r="A3889" s="3" t="s">
        <v>255</v>
      </c>
      <c r="B3889" s="12" t="s">
        <v>2867</v>
      </c>
      <c r="C3889" s="46" t="s">
        <v>7821</v>
      </c>
      <c r="D3889" s="41" t="str">
        <f ca="1">IFERROR(__xludf.DUMMYFUNCTION("IFERROR(ARRAYFORMULA(REGEXEXTRACT(C3889,""^(?:https?:\/\/)?(?:[^@\n]+@)?(?:www\.)?([^:\/\n]+)"")),"""")"),"dochub.com")</f>
        <v>dochub.com</v>
      </c>
      <c r="E3889" s="26" t="str">
        <f ca="1">IFERROR(__xludf.DUMMYFUNCTION("""COMPUTED_VALUE"""),"New")</f>
        <v>New</v>
      </c>
      <c r="F3889" s="72">
        <v>74</v>
      </c>
      <c r="G3889" s="72">
        <v>423043</v>
      </c>
      <c r="P3889" s="26"/>
    </row>
    <row r="3890" spans="1:16" ht="14.5">
      <c r="A3890" s="3" t="s">
        <v>255</v>
      </c>
      <c r="B3890" s="12" t="s">
        <v>2867</v>
      </c>
      <c r="C3890" s="46" t="s">
        <v>7822</v>
      </c>
      <c r="D3890" s="41" t="str">
        <f ca="1">IFERROR(__xludf.DUMMYFUNCTION("IFERROR(ARRAYFORMULA(REGEXEXTRACT(C3890,""^(?:https?:\/\/)?(?:[^@\n]+@)?(?:www\.)?([^:\/\n]+)"")),"""")"),"stlpr.org")</f>
        <v>stlpr.org</v>
      </c>
      <c r="E3890" s="26" t="str">
        <f ca="1">IFERROR(__xludf.DUMMYFUNCTION("""COMPUTED_VALUE"""),"New")</f>
        <v>New</v>
      </c>
      <c r="F3890" s="72">
        <v>76</v>
      </c>
      <c r="G3890" s="72">
        <v>57902</v>
      </c>
      <c r="P3890" s="26"/>
    </row>
    <row r="3891" spans="1:16" ht="14.5">
      <c r="A3891" s="3" t="s">
        <v>255</v>
      </c>
      <c r="B3891" s="12" t="s">
        <v>2867</v>
      </c>
      <c r="C3891" s="46" t="s">
        <v>7823</v>
      </c>
      <c r="D3891" s="41" t="str">
        <f ca="1">IFERROR(__xludf.DUMMYFUNCTION("IFERROR(ARRAYFORMULA(REGEXEXTRACT(C3891,""^(?:https?:\/\/)?(?:[^@\n]+@)?(?:www\.)?([^:\/\n]+)"")),"""")"),"intheswim.com")</f>
        <v>intheswim.com</v>
      </c>
      <c r="E3891" s="26" t="str">
        <f ca="1">IFERROR(__xludf.DUMMYFUNCTION("""COMPUTED_VALUE"""),"New")</f>
        <v>New</v>
      </c>
      <c r="F3891" s="72">
        <v>62</v>
      </c>
      <c r="G3891" s="72">
        <v>44304</v>
      </c>
      <c r="P3891" s="26"/>
    </row>
    <row r="3892" spans="1:16" ht="14.5">
      <c r="A3892" s="3" t="s">
        <v>255</v>
      </c>
      <c r="B3892" s="12" t="s">
        <v>2867</v>
      </c>
      <c r="C3892" s="46" t="s">
        <v>7824</v>
      </c>
      <c r="D3892" s="41" t="str">
        <f ca="1">IFERROR(__xludf.DUMMYFUNCTION("IFERROR(ARRAYFORMULA(REGEXEXTRACT(C3892,""^(?:https?:\/\/)?(?:[^@\n]+@)?(?:www\.)?([^:\/\n]+)"")),"""")"),"uaa.alaska.edu")</f>
        <v>uaa.alaska.edu</v>
      </c>
      <c r="E3892" s="26" t="str">
        <f ca="1">IFERROR(__xludf.DUMMYFUNCTION("""COMPUTED_VALUE"""),"New")</f>
        <v>New</v>
      </c>
      <c r="F3892" s="72">
        <v>82</v>
      </c>
      <c r="G3892" s="72">
        <v>349741</v>
      </c>
      <c r="P3892" s="26"/>
    </row>
    <row r="3893" spans="1:16" ht="14.5">
      <c r="A3893" s="3" t="s">
        <v>255</v>
      </c>
      <c r="B3893" s="12" t="s">
        <v>2867</v>
      </c>
      <c r="C3893" s="46" t="s">
        <v>7825</v>
      </c>
      <c r="D3893" s="41" t="str">
        <f ca="1">IFERROR(__xludf.DUMMYFUNCTION("IFERROR(ARRAYFORMULA(REGEXEXTRACT(C3893,""^(?:https?:\/\/)?(?:[^@\n]+@)?(?:www\.)?([^:\/\n]+)"")),"""")"),"wilsonlab.ku.edu")</f>
        <v>wilsonlab.ku.edu</v>
      </c>
      <c r="E3893" s="26" t="str">
        <f ca="1">IFERROR(__xludf.DUMMYFUNCTION("""COMPUTED_VALUE"""),"New")</f>
        <v>New</v>
      </c>
      <c r="F3893" s="72">
        <v>86</v>
      </c>
      <c r="G3893" s="72">
        <v>681666</v>
      </c>
      <c r="P3893" s="26"/>
    </row>
    <row r="3894" spans="1:16" ht="14.5">
      <c r="A3894" s="3" t="s">
        <v>255</v>
      </c>
      <c r="B3894" s="12" t="s">
        <v>2867</v>
      </c>
      <c r="C3894" s="46" t="s">
        <v>7826</v>
      </c>
      <c r="D3894" s="41" t="str">
        <f ca="1">IFERROR(__xludf.DUMMYFUNCTION("IFERROR(ARRAYFORMULA(REGEXEXTRACT(C3894,""^(?:https?:\/\/)?(?:[^@\n]+@)?(?:www\.)?([^:\/\n]+)"")),"""")"),"uslegalforms.com")</f>
        <v>uslegalforms.com</v>
      </c>
      <c r="E3894" s="26" t="str">
        <f ca="1">IFERROR(__xludf.DUMMYFUNCTION("""COMPUTED_VALUE"""),"New")</f>
        <v>New</v>
      </c>
      <c r="F3894" s="72">
        <v>68</v>
      </c>
      <c r="G3894" s="72">
        <v>234435</v>
      </c>
      <c r="P3894" s="26"/>
    </row>
    <row r="3895" spans="1:16" ht="14.5">
      <c r="A3895" s="3" t="s">
        <v>255</v>
      </c>
      <c r="B3895" s="12" t="s">
        <v>2867</v>
      </c>
      <c r="C3895" s="46" t="s">
        <v>7827</v>
      </c>
      <c r="D3895" s="41" t="str">
        <f ca="1">IFERROR(__xludf.DUMMYFUNCTION("IFERROR(ARRAYFORMULA(REGEXEXTRACT(C3895,""^(?:https?:\/\/)?(?:[^@\n]+@)?(?:www\.)?([^:\/\n]+)"")),"""")"),"darksky.org")</f>
        <v>darksky.org</v>
      </c>
      <c r="E3895" s="26" t="str">
        <f ca="1">IFERROR(__xludf.DUMMYFUNCTION("""COMPUTED_VALUE"""),"New")</f>
        <v>New</v>
      </c>
      <c r="F3895" s="72">
        <v>81</v>
      </c>
      <c r="G3895" s="72">
        <v>50311</v>
      </c>
      <c r="P3895" s="26"/>
    </row>
    <row r="3896" spans="1:16" ht="14.5">
      <c r="A3896" s="3" t="s">
        <v>255</v>
      </c>
      <c r="B3896" s="12" t="s">
        <v>2867</v>
      </c>
      <c r="C3896" s="46" t="s">
        <v>7828</v>
      </c>
      <c r="D3896" s="41" t="str">
        <f ca="1">IFERROR(__xludf.DUMMYFUNCTION("IFERROR(ARRAYFORMULA(REGEXEXTRACT(C3896,""^(?:https?:\/\/)?(?:[^@\n]+@)?(?:www\.)?([^:\/\n]+)"")),"""")"),"my.schoolcraft.edu")</f>
        <v>my.schoolcraft.edu</v>
      </c>
      <c r="E3896" s="26" t="str">
        <f ca="1">IFERROR(__xludf.DUMMYFUNCTION("""COMPUTED_VALUE"""),"New")</f>
        <v>New</v>
      </c>
      <c r="F3896" s="72">
        <v>59</v>
      </c>
      <c r="G3896" s="72">
        <v>16203</v>
      </c>
      <c r="P3896" s="26"/>
    </row>
    <row r="3897" spans="1:16" ht="14.5">
      <c r="A3897" s="3" t="s">
        <v>255</v>
      </c>
      <c r="B3897" s="12" t="s">
        <v>2867</v>
      </c>
      <c r="C3897" s="46" t="s">
        <v>7829</v>
      </c>
      <c r="D3897" s="41" t="str">
        <f ca="1">IFERROR(__xludf.DUMMYFUNCTION("IFERROR(ARRAYFORMULA(REGEXEXTRACT(C3897,""^(?:https?:\/\/)?(?:[^@\n]+@)?(?:www\.)?([^:\/\n]+)"")),"""")"),"elizabethtowngas.com")</f>
        <v>elizabethtowngas.com</v>
      </c>
      <c r="E3897" s="26" t="str">
        <f ca="1">IFERROR(__xludf.DUMMYFUNCTION("""COMPUTED_VALUE"""),"New")</f>
        <v>New</v>
      </c>
      <c r="F3897" s="72">
        <v>47</v>
      </c>
      <c r="G3897" s="72">
        <v>11276</v>
      </c>
      <c r="P3897" s="26"/>
    </row>
    <row r="3898" spans="1:16" ht="14.5">
      <c r="A3898" s="3" t="s">
        <v>255</v>
      </c>
      <c r="B3898" s="12" t="s">
        <v>2867</v>
      </c>
      <c r="C3898" s="46" t="s">
        <v>7830</v>
      </c>
      <c r="D3898" s="41" t="str">
        <f ca="1">IFERROR(__xludf.DUMMYFUNCTION("IFERROR(ARRAYFORMULA(REGEXEXTRACT(C3898,""^(?:https?:\/\/)?(?:[^@\n]+@)?(?:www\.)?([^:\/\n]+)"")),"""")"),"candywarehouse.com")</f>
        <v>candywarehouse.com</v>
      </c>
      <c r="E3898" s="26" t="str">
        <f ca="1">IFERROR(__xludf.DUMMYFUNCTION("""COMPUTED_VALUE"""),"New")</f>
        <v>New</v>
      </c>
      <c r="F3898" s="72">
        <v>55</v>
      </c>
      <c r="G3898" s="72">
        <v>143716</v>
      </c>
      <c r="P3898" s="26"/>
    </row>
    <row r="3899" spans="1:16" ht="14.5">
      <c r="A3899" s="3" t="s">
        <v>255</v>
      </c>
      <c r="B3899" s="12" t="s">
        <v>2867</v>
      </c>
      <c r="C3899" s="46" t="s">
        <v>7831</v>
      </c>
      <c r="D3899" s="41" t="str">
        <f ca="1">IFERROR(__xludf.DUMMYFUNCTION("IFERROR(ARRAYFORMULA(REGEXEXTRACT(C3899,""^(?:https?:\/\/)?(?:[^@\n]+@)?(?:www\.)?([^:\/\n]+)"")),"""")"),"grunge.com")</f>
        <v>grunge.com</v>
      </c>
      <c r="E3899" s="26" t="str">
        <f ca="1">IFERROR(__xludf.DUMMYFUNCTION("""COMPUTED_VALUE"""),"New")</f>
        <v>New</v>
      </c>
      <c r="F3899" s="72">
        <v>71</v>
      </c>
      <c r="G3899" s="72">
        <v>69071</v>
      </c>
      <c r="P3899" s="26"/>
    </row>
    <row r="3900" spans="1:16" ht="14.5">
      <c r="A3900" s="3" t="s">
        <v>255</v>
      </c>
      <c r="B3900" s="12" t="s">
        <v>2867</v>
      </c>
      <c r="C3900" s="46" t="s">
        <v>7832</v>
      </c>
      <c r="D3900" s="41" t="str">
        <f ca="1">IFERROR(__xludf.DUMMYFUNCTION("IFERROR(ARRAYFORMULA(REGEXEXTRACT(C3900,""^(?:https?:\/\/)?(?:[^@\n]+@)?(?:www\.)?([^:\/\n]+)"")),"""")"),"hampton.k12.va.us")</f>
        <v>hampton.k12.va.us</v>
      </c>
      <c r="E3900" s="26" t="str">
        <f ca="1">IFERROR(__xludf.DUMMYFUNCTION("""COMPUTED_VALUE"""),"New")</f>
        <v>New</v>
      </c>
      <c r="F3900" s="72">
        <v>50</v>
      </c>
      <c r="G3900" s="72">
        <v>12338</v>
      </c>
      <c r="P3900" s="26"/>
    </row>
    <row r="3901" spans="1:16" ht="14.5">
      <c r="A3901" s="3" t="s">
        <v>255</v>
      </c>
      <c r="B3901" s="12" t="s">
        <v>2867</v>
      </c>
      <c r="C3901" s="46" t="s">
        <v>7833</v>
      </c>
      <c r="D3901" s="41" t="str">
        <f ca="1">IFERROR(__xludf.DUMMYFUNCTION("IFERROR(ARRAYFORMULA(REGEXEXTRACT(C3901,""^(?:https?:\/\/)?(?:[^@\n]+@)?(?:www\.)?([^:\/\n]+)"")),"""")"),"makercamp.make.co")</f>
        <v>makercamp.make.co</v>
      </c>
      <c r="E3901" s="26" t="str">
        <f ca="1">IFERROR(__xludf.DUMMYFUNCTION("""COMPUTED_VALUE"""),"New")</f>
        <v>New</v>
      </c>
      <c r="F3901" s="72">
        <v>62</v>
      </c>
      <c r="G3901" s="72">
        <v>1095</v>
      </c>
      <c r="P3901" s="26"/>
    </row>
    <row r="3902" spans="1:16" ht="14.5">
      <c r="A3902" s="3" t="s">
        <v>255</v>
      </c>
      <c r="B3902" s="12" t="s">
        <v>2867</v>
      </c>
      <c r="C3902" s="46" t="s">
        <v>7834</v>
      </c>
      <c r="D3902" s="41" t="str">
        <f ca="1">IFERROR(__xludf.DUMMYFUNCTION("IFERROR(ARRAYFORMULA(REGEXEXTRACT(C3902,""^(?:https?:\/\/)?(?:[^@\n]+@)?(?:www\.)?([^:\/\n]+)"")),"""")"),"fizzicseducation.com.au")</f>
        <v>fizzicseducation.com.au</v>
      </c>
      <c r="E3902" s="26" t="str">
        <f ca="1">IFERROR(__xludf.DUMMYFUNCTION("""COMPUTED_VALUE"""),"New")</f>
        <v>New</v>
      </c>
      <c r="F3902" s="72">
        <v>47</v>
      </c>
      <c r="G3902" s="72">
        <v>30988</v>
      </c>
      <c r="P3902" s="26"/>
    </row>
    <row r="3903" spans="1:16" ht="14.5">
      <c r="A3903" s="3" t="s">
        <v>255</v>
      </c>
      <c r="B3903" s="12" t="s">
        <v>2867</v>
      </c>
      <c r="C3903" s="46" t="s">
        <v>7835</v>
      </c>
      <c r="D3903" s="41" t="str">
        <f ca="1">IFERROR(__xludf.DUMMYFUNCTION("IFERROR(ARRAYFORMULA(REGEXEXTRACT(C3903,""^(?:https?:\/\/)?(?:[^@\n]+@)?(?:www\.)?([^:\/\n]+)"")),"""")"),"ed.ted.com")</f>
        <v>ed.ted.com</v>
      </c>
      <c r="E3903" s="26" t="str">
        <f ca="1">IFERROR(__xludf.DUMMYFUNCTION("""COMPUTED_VALUE"""),"New")</f>
        <v>New</v>
      </c>
      <c r="F3903" s="72">
        <v>92</v>
      </c>
      <c r="G3903" s="72">
        <v>810628</v>
      </c>
      <c r="P3903" s="26"/>
    </row>
    <row r="3904" spans="1:16" ht="14.5">
      <c r="A3904" s="3" t="s">
        <v>255</v>
      </c>
      <c r="B3904" s="12" t="s">
        <v>2867</v>
      </c>
      <c r="C3904" s="46" t="s">
        <v>7836</v>
      </c>
      <c r="D3904" s="41" t="str">
        <f ca="1">IFERROR(__xludf.DUMMYFUNCTION("IFERROR(ARRAYFORMULA(REGEXEXTRACT(C3904,""^(?:https?:\/\/)?(?:[^@\n]+@)?(?:www\.)?([^:\/\n]+)"")),"""")"),"osse.dc.gov")</f>
        <v>osse.dc.gov</v>
      </c>
      <c r="E3904" s="26" t="str">
        <f ca="1">IFERROR(__xludf.DUMMYFUNCTION("""COMPUTED_VALUE"""),"New")</f>
        <v>New</v>
      </c>
      <c r="F3904" s="72">
        <v>88</v>
      </c>
      <c r="G3904" s="72">
        <v>662226</v>
      </c>
      <c r="P3904" s="26"/>
    </row>
    <row r="3905" spans="1:16" ht="14.5">
      <c r="A3905" s="3" t="s">
        <v>255</v>
      </c>
      <c r="B3905" s="12" t="s">
        <v>2867</v>
      </c>
      <c r="C3905" s="46" t="s">
        <v>7837</v>
      </c>
      <c r="D3905" s="41" t="str">
        <f ca="1">IFERROR(__xludf.DUMMYFUNCTION("IFERROR(ARRAYFORMULA(REGEXEXTRACT(C3905,""^(?:https?:\/\/)?(?:[^@\n]+@)?(?:www\.)?([^:\/\n]+)"")),"""")"),"slj.com")</f>
        <v>slj.com</v>
      </c>
      <c r="E3905" s="26" t="str">
        <f ca="1">IFERROR(__xludf.DUMMYFUNCTION("""COMPUTED_VALUE"""),"New")</f>
        <v>New</v>
      </c>
      <c r="F3905" s="72">
        <v>77</v>
      </c>
      <c r="G3905" s="72">
        <v>15880</v>
      </c>
      <c r="P3905" s="26"/>
    </row>
    <row r="3906" spans="1:16" ht="14.5">
      <c r="A3906" s="3" t="s">
        <v>255</v>
      </c>
      <c r="B3906" s="12" t="s">
        <v>2867</v>
      </c>
      <c r="C3906" s="46" t="s">
        <v>7838</v>
      </c>
      <c r="D3906" s="41" t="str">
        <f ca="1">IFERROR(__xludf.DUMMYFUNCTION("IFERROR(ARRAYFORMULA(REGEXEXTRACT(C3906,""^(?:https?:\/\/)?(?:[^@\n]+@)?(?:www\.)?([^:\/\n]+)"")),"""")"),"fishwildlife.org")</f>
        <v>fishwildlife.org</v>
      </c>
      <c r="E3906" s="26" t="str">
        <f ca="1">IFERROR(__xludf.DUMMYFUNCTION("""COMPUTED_VALUE"""),"New")</f>
        <v>New</v>
      </c>
      <c r="F3906" s="72">
        <v>71</v>
      </c>
      <c r="G3906" s="72">
        <v>3571</v>
      </c>
      <c r="P3906" s="26"/>
    </row>
    <row r="3907" spans="1:16" ht="14.5">
      <c r="A3907" s="3" t="s">
        <v>255</v>
      </c>
      <c r="B3907" s="12" t="s">
        <v>2867</v>
      </c>
      <c r="C3907" s="46" t="s">
        <v>7839</v>
      </c>
      <c r="D3907" s="41" t="str">
        <f ca="1">IFERROR(__xludf.DUMMYFUNCTION("IFERROR(ARRAYFORMULA(REGEXEXTRACT(C3907,""^(?:https?:\/\/)?(?:[^@\n]+@)?(?:www\.)?([^:\/\n]+)"")),"""")"),"chemwatch.net")</f>
        <v>chemwatch.net</v>
      </c>
      <c r="E3907" s="26" t="str">
        <f ca="1">IFERROR(__xludf.DUMMYFUNCTION("""COMPUTED_VALUE"""),"New")</f>
        <v>New</v>
      </c>
      <c r="F3907" s="72">
        <v>65</v>
      </c>
      <c r="G3907" s="72">
        <v>21457</v>
      </c>
      <c r="P3907" s="26"/>
    </row>
    <row r="3908" spans="1:16" ht="14.5">
      <c r="A3908" s="3" t="s">
        <v>255</v>
      </c>
      <c r="B3908" s="12" t="s">
        <v>2867</v>
      </c>
      <c r="C3908" s="46" t="s">
        <v>7840</v>
      </c>
      <c r="D3908" s="41" t="str">
        <f ca="1">IFERROR(__xludf.DUMMYFUNCTION("IFERROR(ARRAYFORMULA(REGEXEXTRACT(C3908,""^(?:https?:\/\/)?(?:[^@\n]+@)?(?:www\.)?([^:\/\n]+)"")),"""")"),"extension.sdstate.edu")</f>
        <v>extension.sdstate.edu</v>
      </c>
      <c r="E3908" s="26" t="str">
        <f ca="1">IFERROR(__xludf.DUMMYFUNCTION("""COMPUTED_VALUE"""),"New")</f>
        <v>New</v>
      </c>
      <c r="F3908" s="72">
        <v>78</v>
      </c>
      <c r="G3908" s="72">
        <v>103047</v>
      </c>
      <c r="P3908" s="26"/>
    </row>
    <row r="3909" spans="1:16" ht="14.5">
      <c r="A3909" s="3" t="s">
        <v>255</v>
      </c>
      <c r="B3909" s="12" t="s">
        <v>2867</v>
      </c>
      <c r="C3909" s="46" t="s">
        <v>7841</v>
      </c>
      <c r="D3909" s="41" t="str">
        <f ca="1">IFERROR(__xludf.DUMMYFUNCTION("IFERROR(ARRAYFORMULA(REGEXEXTRACT(C3909,""^(?:https?:\/\/)?(?:[^@\n]+@)?(?:www\.)?([^:\/\n]+)"")),"""")"),"teachersfirst.org")</f>
        <v>teachersfirst.org</v>
      </c>
      <c r="E3909" s="26" t="str">
        <f ca="1">IFERROR(__xludf.DUMMYFUNCTION("""COMPUTED_VALUE"""),"New")</f>
        <v>New</v>
      </c>
      <c r="F3909" s="72">
        <v>54</v>
      </c>
      <c r="G3909" s="72">
        <v>3489</v>
      </c>
      <c r="P3909" s="26"/>
    </row>
    <row r="3910" spans="1:16" ht="14.5">
      <c r="A3910" s="3" t="s">
        <v>255</v>
      </c>
      <c r="B3910" s="12" t="s">
        <v>2867</v>
      </c>
      <c r="C3910" s="46" t="s">
        <v>7842</v>
      </c>
      <c r="D3910" s="41" t="str">
        <f ca="1">IFERROR(__xludf.DUMMYFUNCTION("IFERROR(ARRAYFORMULA(REGEXEXTRACT(C3910,""^(?:https?:\/\/)?(?:[^@\n]+@)?(?:www\.)?([^:\/\n]+)"")),"""")"),"dos.fl.gov")</f>
        <v>dos.fl.gov</v>
      </c>
      <c r="E3910" s="26" t="str">
        <f ca="1">IFERROR(__xludf.DUMMYFUNCTION("""COMPUTED_VALUE"""),"New")</f>
        <v>New</v>
      </c>
      <c r="F3910" s="72">
        <v>84</v>
      </c>
      <c r="G3910" s="72">
        <v>1125668</v>
      </c>
      <c r="P3910" s="26"/>
    </row>
    <row r="3911" spans="1:16" ht="14.5">
      <c r="A3911" s="3" t="s">
        <v>255</v>
      </c>
      <c r="B3911" s="12" t="s">
        <v>2867</v>
      </c>
      <c r="C3911" s="46" t="s">
        <v>7843</v>
      </c>
      <c r="D3911" s="41" t="str">
        <f ca="1">IFERROR(__xludf.DUMMYFUNCTION("IFERROR(ARRAYFORMULA(REGEXEXTRACT(C3911,""^(?:https?:\/\/)?(?:[^@\n]+@)?(?:www\.)?([^:\/\n]+)"")),"""")"),"outrightcrm.com")</f>
        <v>outrightcrm.com</v>
      </c>
      <c r="E3911" s="26" t="str">
        <f ca="1">IFERROR(__xludf.DUMMYFUNCTION("""COMPUTED_VALUE"""),"New")</f>
        <v>New</v>
      </c>
      <c r="F3911" s="72">
        <v>61</v>
      </c>
      <c r="G3911" s="72">
        <v>73916</v>
      </c>
      <c r="P3911" s="26"/>
    </row>
    <row r="3912" spans="1:16" ht="14.5">
      <c r="A3912" s="3" t="s">
        <v>255</v>
      </c>
      <c r="B3912" s="12" t="s">
        <v>2867</v>
      </c>
      <c r="C3912" s="46" t="s">
        <v>7844</v>
      </c>
      <c r="D3912" s="41" t="str">
        <f ca="1">IFERROR(__xludf.DUMMYFUNCTION("IFERROR(ARRAYFORMULA(REGEXEXTRACT(C3912,""^(?:https?:\/\/)?(?:[^@\n]+@)?(?:www\.)?([^:\/\n]+)"")),"""")"),"ejournals.ph")</f>
        <v>ejournals.ph</v>
      </c>
      <c r="E3912" s="26" t="str">
        <f ca="1">IFERROR(__xludf.DUMMYFUNCTION("""COMPUTED_VALUE"""),"New")</f>
        <v>New</v>
      </c>
      <c r="F3912" s="72">
        <v>59</v>
      </c>
      <c r="G3912" s="72">
        <v>41829</v>
      </c>
      <c r="P3912" s="26"/>
    </row>
    <row r="3913" spans="1:16" ht="14.5">
      <c r="A3913" s="3" t="s">
        <v>255</v>
      </c>
      <c r="B3913" s="12" t="s">
        <v>2867</v>
      </c>
      <c r="C3913" s="46" t="s">
        <v>7845</v>
      </c>
      <c r="D3913" s="41" t="str">
        <f ca="1">IFERROR(__xludf.DUMMYFUNCTION("IFERROR(ARRAYFORMULA(REGEXEXTRACT(C3913,""^(?:https?:\/\/)?(?:[^@\n]+@)?(?:www\.)?([^:\/\n]+)"")),"""")"),"onshape.com")</f>
        <v>onshape.com</v>
      </c>
      <c r="E3913" s="26" t="str">
        <f ca="1">IFERROR(__xludf.DUMMYFUNCTION("""COMPUTED_VALUE"""),"New")</f>
        <v>New</v>
      </c>
      <c r="F3913" s="72">
        <v>78</v>
      </c>
      <c r="G3913" s="72">
        <v>500838</v>
      </c>
      <c r="P3913" s="26"/>
    </row>
    <row r="3914" spans="1:16" ht="14.5">
      <c r="A3914" s="3" t="s">
        <v>255</v>
      </c>
      <c r="B3914" s="12" t="s">
        <v>2867</v>
      </c>
      <c r="C3914" s="46" t="s">
        <v>7846</v>
      </c>
      <c r="D3914" s="41" t="str">
        <f ca="1">IFERROR(__xludf.DUMMYFUNCTION("IFERROR(ARRAYFORMULA(REGEXEXTRACT(C3914,""^(?:https?:\/\/)?(?:[^@\n]+@)?(?:www\.)?([^:\/\n]+)"")),"""")"),"howtofunda.com")</f>
        <v>howtofunda.com</v>
      </c>
      <c r="E3914" s="26" t="str">
        <f ca="1">IFERROR(__xludf.DUMMYFUNCTION("""COMPUTED_VALUE"""),"New")</f>
        <v>New</v>
      </c>
      <c r="F3914" s="72">
        <v>29</v>
      </c>
      <c r="G3914" s="72">
        <v>1979</v>
      </c>
      <c r="P3914" s="26"/>
    </row>
    <row r="3915" spans="1:16" ht="14.5">
      <c r="A3915" s="3" t="s">
        <v>255</v>
      </c>
      <c r="B3915" s="12" t="s">
        <v>2867</v>
      </c>
      <c r="C3915" s="46" t="s">
        <v>7847</v>
      </c>
      <c r="D3915" s="41" t="str">
        <f ca="1">IFERROR(__xludf.DUMMYFUNCTION("IFERROR(ARRAYFORMULA(REGEXEXTRACT(C3915,""^(?:https?:\/\/)?(?:[^@\n]+@)?(?:www\.)?([^:\/\n]+)"")),"""")"),"southjerseygas.com")</f>
        <v>southjerseygas.com</v>
      </c>
      <c r="E3915" s="26" t="str">
        <f ca="1">IFERROR(__xludf.DUMMYFUNCTION("""COMPUTED_VALUE"""),"New")</f>
        <v>New</v>
      </c>
      <c r="F3915" s="72">
        <v>50</v>
      </c>
      <c r="G3915" s="72">
        <v>11925</v>
      </c>
      <c r="P3915" s="26"/>
    </row>
    <row r="3916" spans="1:16" ht="14.5">
      <c r="A3916" s="3" t="s">
        <v>255</v>
      </c>
      <c r="B3916" s="12" t="s">
        <v>2867</v>
      </c>
      <c r="C3916" s="46" t="s">
        <v>7848</v>
      </c>
      <c r="D3916" s="41" t="str">
        <f ca="1">IFERROR(__xludf.DUMMYFUNCTION("IFERROR(ARRAYFORMULA(REGEXEXTRACT(C3916,""^(?:https?:\/\/)?(?:[^@\n]+@)?(?:www\.)?([^:\/\n]+)"")),"""")"),"ww2.mathworks.cn")</f>
        <v>ww2.mathworks.cn</v>
      </c>
      <c r="E3916" s="26" t="str">
        <f ca="1">IFERROR(__xludf.DUMMYFUNCTION("""COMPUTED_VALUE"""),"New")</f>
        <v>New</v>
      </c>
      <c r="F3916" s="72">
        <v>64</v>
      </c>
      <c r="G3916" s="72">
        <v>4443</v>
      </c>
      <c r="P3916" s="26"/>
    </row>
    <row r="3917" spans="1:16" ht="14.5">
      <c r="A3917" s="3" t="s">
        <v>255</v>
      </c>
      <c r="B3917" s="12" t="s">
        <v>2867</v>
      </c>
      <c r="C3917" s="46" t="s">
        <v>7849</v>
      </c>
      <c r="D3917" s="41" t="str">
        <f ca="1">IFERROR(__xludf.DUMMYFUNCTION("IFERROR(ARRAYFORMULA(REGEXEXTRACT(C3917,""^(?:https?:\/\/)?(?:[^@\n]+@)?(?:www\.)?([^:\/\n]+)"")),"""")"),"osaka-gu.ac.jp")</f>
        <v>osaka-gu.ac.jp</v>
      </c>
      <c r="E3917" s="26" t="str">
        <f ca="1">IFERROR(__xludf.DUMMYFUNCTION("""COMPUTED_VALUE"""),"New")</f>
        <v>New</v>
      </c>
      <c r="F3917" s="72">
        <v>52</v>
      </c>
      <c r="G3917" s="72">
        <v>1068</v>
      </c>
      <c r="P3917" s="26"/>
    </row>
    <row r="3918" spans="1:16" ht="14.5">
      <c r="A3918" s="3" t="s">
        <v>255</v>
      </c>
      <c r="B3918" s="12" t="s">
        <v>2867</v>
      </c>
      <c r="C3918" s="46" t="s">
        <v>7850</v>
      </c>
      <c r="D3918" s="41" t="str">
        <f ca="1">IFERROR(__xludf.DUMMYFUNCTION("IFERROR(ARRAYFORMULA(REGEXEXTRACT(C3918,""^(?:https?:\/\/)?(?:[^@\n]+@)?(?:www\.)?([^:\/\n]+)"")),"""")"),"rvalibrary.org")</f>
        <v>rvalibrary.org</v>
      </c>
      <c r="E3918" s="26" t="str">
        <f ca="1">IFERROR(__xludf.DUMMYFUNCTION("""COMPUTED_VALUE"""),"New")</f>
        <v>New</v>
      </c>
      <c r="F3918" s="72">
        <v>51</v>
      </c>
      <c r="G3918" s="72">
        <v>5526</v>
      </c>
      <c r="P3918" s="26"/>
    </row>
    <row r="3919" spans="1:16" ht="14.5">
      <c r="A3919" s="3" t="s">
        <v>255</v>
      </c>
      <c r="B3919" s="12" t="s">
        <v>2867</v>
      </c>
      <c r="C3919" s="46" t="s">
        <v>7851</v>
      </c>
      <c r="D3919" s="41" t="str">
        <f ca="1">IFERROR(__xludf.DUMMYFUNCTION("IFERROR(ARRAYFORMULA(REGEXEXTRACT(C3919,""^(?:https?:\/\/)?(?:[^@\n]+@)?(?:www\.)?([^:\/\n]+)"")),"""")"),"sepco-solarlighting.com")</f>
        <v>sepco-solarlighting.com</v>
      </c>
      <c r="E3919" s="26" t="str">
        <f ca="1">IFERROR(__xludf.DUMMYFUNCTION("""COMPUTED_VALUE"""),"New")</f>
        <v>New</v>
      </c>
      <c r="F3919" s="72">
        <v>45</v>
      </c>
      <c r="G3919" s="72">
        <v>1390</v>
      </c>
      <c r="P3919" s="26"/>
    </row>
    <row r="3920" spans="1:16" ht="14.5">
      <c r="A3920" s="3" t="s">
        <v>255</v>
      </c>
      <c r="B3920" s="12" t="s">
        <v>2867</v>
      </c>
      <c r="C3920" s="46" t="s">
        <v>7852</v>
      </c>
      <c r="D3920" s="41" t="str">
        <f ca="1">IFERROR(__xludf.DUMMYFUNCTION("IFERROR(ARRAYFORMULA(REGEXEXTRACT(C3920,""^(?:https?:\/\/)?(?:[^@\n]+@)?(?:www\.)?([^:\/\n]+)"")),"""")"),"solidprofessor.com")</f>
        <v>solidprofessor.com</v>
      </c>
      <c r="E3920" s="26" t="str">
        <f ca="1">IFERROR(__xludf.DUMMYFUNCTION("""COMPUTED_VALUE"""),"New")</f>
        <v>New</v>
      </c>
      <c r="F3920" s="72">
        <v>46</v>
      </c>
      <c r="G3920" s="72">
        <v>34038</v>
      </c>
      <c r="P3920" s="26"/>
    </row>
    <row r="3921" spans="1:16" ht="14.5">
      <c r="A3921" s="3" t="s">
        <v>255</v>
      </c>
      <c r="B3921" s="12" t="s">
        <v>2867</v>
      </c>
      <c r="C3921" s="46" t="s">
        <v>7853</v>
      </c>
      <c r="D3921" s="41" t="str">
        <f ca="1">IFERROR(__xludf.DUMMYFUNCTION("IFERROR(ARRAYFORMULA(REGEXEXTRACT(C3921,""^(?:https?:\/\/)?(?:[^@\n]+@)?(?:www\.)?([^:\/\n]+)"")),"""")"),"etstatefair.com")</f>
        <v>etstatefair.com</v>
      </c>
      <c r="E3921" s="26" t="str">
        <f ca="1">IFERROR(__xludf.DUMMYFUNCTION("""COMPUTED_VALUE"""),"New")</f>
        <v>New</v>
      </c>
      <c r="F3921" s="72">
        <v>30</v>
      </c>
      <c r="G3921" s="72">
        <v>2472</v>
      </c>
      <c r="P3921" s="26"/>
    </row>
    <row r="3922" spans="1:16" ht="14.5">
      <c r="A3922" s="3" t="s">
        <v>255</v>
      </c>
      <c r="B3922" s="12" t="s">
        <v>2867</v>
      </c>
      <c r="C3922" s="46" t="s">
        <v>7854</v>
      </c>
      <c r="D3922" s="41" t="str">
        <f ca="1">IFERROR(__xludf.DUMMYFUNCTION("IFERROR(ARRAYFORMULA(REGEXEXTRACT(C3922,""^(?:https?:\/\/)?(?:[^@\n]+@)?(?:www\.)?([^:\/\n]+)"")),"""")"),"homeschoolden.com")</f>
        <v>homeschoolden.com</v>
      </c>
      <c r="E3922" s="26" t="str">
        <f ca="1">IFERROR(__xludf.DUMMYFUNCTION("""COMPUTED_VALUE"""),"New")</f>
        <v>New</v>
      </c>
      <c r="F3922" s="72">
        <v>25</v>
      </c>
      <c r="G3922" s="72">
        <v>14334</v>
      </c>
      <c r="P3922" s="26"/>
    </row>
    <row r="3923" spans="1:16" ht="14.5">
      <c r="A3923" s="3" t="s">
        <v>255</v>
      </c>
      <c r="B3923" s="12" t="s">
        <v>2867</v>
      </c>
      <c r="C3923" s="46" t="s">
        <v>7855</v>
      </c>
      <c r="D3923" s="41" t="str">
        <f ca="1">IFERROR(__xludf.DUMMYFUNCTION("IFERROR(ARRAYFORMULA(REGEXEXTRACT(C3923,""^(?:https?:\/\/)?(?:[^@\n]+@)?(?:www\.)?([^:\/\n]+)"")),"""")"),"cceionline.com")</f>
        <v>cceionline.com</v>
      </c>
      <c r="E3923" s="26" t="str">
        <f ca="1">IFERROR(__xludf.DUMMYFUNCTION("""COMPUTED_VALUE"""),"New")</f>
        <v>New</v>
      </c>
      <c r="F3923" s="72">
        <v>55</v>
      </c>
      <c r="G3923" s="72">
        <v>27582</v>
      </c>
      <c r="P3923" s="26"/>
    </row>
    <row r="3924" spans="1:16" ht="14.5">
      <c r="A3924" s="3" t="s">
        <v>255</v>
      </c>
      <c r="B3924" s="12" t="s">
        <v>2867</v>
      </c>
      <c r="C3924" s="46" t="s">
        <v>7856</v>
      </c>
      <c r="D3924" s="41" t="str">
        <f ca="1">IFERROR(__xludf.DUMMYFUNCTION("IFERROR(ARRAYFORMULA(REGEXEXTRACT(C3924,""^(?:https?:\/\/)?(?:[^@\n]+@)?(?:www\.)?([^:\/\n]+)"")),"""")"),"permies.com")</f>
        <v>permies.com</v>
      </c>
      <c r="E3924" s="26" t="str">
        <f ca="1">IFERROR(__xludf.DUMMYFUNCTION("""COMPUTED_VALUE"""),"New")</f>
        <v>New</v>
      </c>
      <c r="F3924" s="72">
        <v>63</v>
      </c>
      <c r="G3924" s="72">
        <v>185847</v>
      </c>
      <c r="P3924" s="26"/>
    </row>
    <row r="3925" spans="1:16" ht="14.5">
      <c r="A3925" s="3" t="s">
        <v>255</v>
      </c>
      <c r="B3925" s="12" t="s">
        <v>2867</v>
      </c>
      <c r="C3925" s="46" t="s">
        <v>7857</v>
      </c>
      <c r="D3925" s="41" t="str">
        <f ca="1">IFERROR(__xludf.DUMMYFUNCTION("IFERROR(ARRAYFORMULA(REGEXEXTRACT(C3925,""^(?:https?:\/\/)?(?:[^@\n]+@)?(?:www\.)?([^:\/\n]+)"")),"""")"),"remc-cdn.fxbrt.com")</f>
        <v>remc-cdn.fxbrt.com</v>
      </c>
      <c r="E3925" s="26" t="str">
        <f ca="1">IFERROR(__xludf.DUMMYFUNCTION("""COMPUTED_VALUE"""),"New")</f>
        <v>New</v>
      </c>
      <c r="F3925" s="72">
        <v>58</v>
      </c>
      <c r="G3925" s="72">
        <v>1365</v>
      </c>
      <c r="P3925" s="26"/>
    </row>
    <row r="3926" spans="1:16" ht="14.5">
      <c r="A3926" s="3" t="s">
        <v>255</v>
      </c>
      <c r="B3926" s="12" t="s">
        <v>2867</v>
      </c>
      <c r="C3926" s="46" t="s">
        <v>7858</v>
      </c>
      <c r="D3926" s="41" t="str">
        <f ca="1">IFERROR(__xludf.DUMMYFUNCTION("IFERROR(ARRAYFORMULA(REGEXEXTRACT(C3926,""^(?:https?:\/\/)?(?:[^@\n]+@)?(?:www\.)?([^:\/\n]+)"")),"""")"),"gallopade.com")</f>
        <v>gallopade.com</v>
      </c>
      <c r="E3926" s="26" t="str">
        <f ca="1">IFERROR(__xludf.DUMMYFUNCTION("""COMPUTED_VALUE"""),"New")</f>
        <v>New</v>
      </c>
      <c r="F3926" s="72">
        <v>37</v>
      </c>
      <c r="G3926" s="72">
        <v>3706</v>
      </c>
      <c r="P3926" s="26"/>
    </row>
    <row r="3927" spans="1:16" ht="14.5">
      <c r="A3927" s="3" t="s">
        <v>255</v>
      </c>
      <c r="B3927" s="12" t="s">
        <v>2867</v>
      </c>
      <c r="C3927" s="46" t="s">
        <v>7859</v>
      </c>
      <c r="D3927" s="41" t="str">
        <f ca="1">IFERROR(__xludf.DUMMYFUNCTION("IFERROR(ARRAYFORMULA(REGEXEXTRACT(C3927,""^(?:https?:\/\/)?(?:[^@\n]+@)?(?:www\.)?([^:\/\n]+)"")),"""")"),"phys.org")</f>
        <v>phys.org</v>
      </c>
      <c r="E3927" s="26" t="str">
        <f ca="1">IFERROR(__xludf.DUMMYFUNCTION("""COMPUTED_VALUE"""),"New")</f>
        <v>New</v>
      </c>
      <c r="F3927" s="72">
        <v>89</v>
      </c>
      <c r="G3927" s="72">
        <v>167811</v>
      </c>
      <c r="P3927" s="26"/>
    </row>
    <row r="3928" spans="1:16" ht="14.5">
      <c r="A3928" s="3" t="s">
        <v>255</v>
      </c>
      <c r="B3928" s="12" t="s">
        <v>2867</v>
      </c>
      <c r="C3928" s="46" t="s">
        <v>7860</v>
      </c>
      <c r="D3928" s="41" t="str">
        <f ca="1">IFERROR(__xludf.DUMMYFUNCTION("IFERROR(ARRAYFORMULA(REGEXEXTRACT(C3928,""^(?:https?:\/\/)?(?:[^@\n]+@)?(?:www\.)?([^:\/\n]+)"")),"""")"),"it.farnell.com")</f>
        <v>it.farnell.com</v>
      </c>
      <c r="E3928" s="26" t="str">
        <f ca="1">IFERROR(__xludf.DUMMYFUNCTION("""COMPUTED_VALUE"""),"New")</f>
        <v>New</v>
      </c>
      <c r="F3928" s="72">
        <v>78</v>
      </c>
      <c r="G3928" s="72">
        <v>556615</v>
      </c>
      <c r="P3928" s="26"/>
    </row>
    <row r="3929" spans="1:16" ht="14.5">
      <c r="A3929" s="3" t="s">
        <v>255</v>
      </c>
      <c r="B3929" s="12" t="s">
        <v>2867</v>
      </c>
      <c r="C3929" s="46" t="s">
        <v>7861</v>
      </c>
      <c r="D3929" s="41" t="str">
        <f ca="1">IFERROR(__xludf.DUMMYFUNCTION("IFERROR(ARRAYFORMULA(REGEXEXTRACT(C3929,""^(?:https?:\/\/)?(?:[^@\n]+@)?(?:www\.)?([^:\/\n]+)"")),"""")"),"crosstalk.cell.com")</f>
        <v>crosstalk.cell.com</v>
      </c>
      <c r="E3929" s="26" t="str">
        <f ca="1">IFERROR(__xludf.DUMMYFUNCTION("""COMPUTED_VALUE"""),"New")</f>
        <v>New</v>
      </c>
      <c r="F3929" s="72">
        <v>90</v>
      </c>
      <c r="G3929" s="72">
        <v>216069</v>
      </c>
      <c r="P3929" s="26"/>
    </row>
    <row r="3930" spans="1:16" ht="14.5">
      <c r="A3930" s="3" t="s">
        <v>255</v>
      </c>
      <c r="B3930" s="12" t="s">
        <v>2867</v>
      </c>
      <c r="C3930" s="46" t="s">
        <v>7862</v>
      </c>
      <c r="D3930" s="41" t="str">
        <f ca="1">IFERROR(__xludf.DUMMYFUNCTION("IFERROR(ARRAYFORMULA(REGEXEXTRACT(C3930,""^(?:https?:\/\/)?(?:[^@\n]+@)?(?:www\.)?([^:\/\n]+)"")),"""")"),"elmhurst.edu")</f>
        <v>elmhurst.edu</v>
      </c>
      <c r="E3930" s="26" t="str">
        <f ca="1">IFERROR(__xludf.DUMMYFUNCTION("""COMPUTED_VALUE"""),"New")</f>
        <v>New</v>
      </c>
      <c r="F3930" s="72">
        <v>72</v>
      </c>
      <c r="G3930" s="72">
        <v>29573</v>
      </c>
      <c r="P3930" s="26"/>
    </row>
    <row r="3931" spans="1:16" ht="14.5">
      <c r="A3931" s="3" t="s">
        <v>255</v>
      </c>
      <c r="B3931" s="12" t="s">
        <v>2867</v>
      </c>
      <c r="C3931" s="46" t="s">
        <v>7863</v>
      </c>
      <c r="D3931" s="41" t="str">
        <f ca="1">IFERROR(__xludf.DUMMYFUNCTION("IFERROR(ARRAYFORMULA(REGEXEXTRACT(C3931,""^(?:https?:\/\/)?(?:[^@\n]+@)?(?:www\.)?([^:\/\n]+)"")),"""")"),"ozobot.com")</f>
        <v>ozobot.com</v>
      </c>
      <c r="E3931" s="26" t="str">
        <f ca="1">IFERROR(__xludf.DUMMYFUNCTION("""COMPUTED_VALUE"""),"New")</f>
        <v>New</v>
      </c>
      <c r="F3931" s="72">
        <v>70</v>
      </c>
      <c r="G3931" s="72">
        <v>14347</v>
      </c>
      <c r="P3931" s="26"/>
    </row>
    <row r="3932" spans="1:16" ht="14.5">
      <c r="A3932" s="3" t="s">
        <v>255</v>
      </c>
      <c r="B3932" s="12" t="s">
        <v>2867</v>
      </c>
      <c r="C3932" s="46" t="s">
        <v>7864</v>
      </c>
      <c r="D3932" s="41" t="str">
        <f ca="1">IFERROR(__xludf.DUMMYFUNCTION("IFERROR(ARRAYFORMULA(REGEXEXTRACT(C3932,""^(?:https?:\/\/)?(?:[^@\n]+@)?(?:www\.)?([^:\/\n]+)"")),"""")"),"faculty.trinity.edu")</f>
        <v>faculty.trinity.edu</v>
      </c>
      <c r="E3932" s="26" t="str">
        <f ca="1">IFERROR(__xludf.DUMMYFUNCTION("""COMPUTED_VALUE"""),"New")</f>
        <v>New</v>
      </c>
      <c r="F3932" s="72">
        <v>74</v>
      </c>
      <c r="G3932" s="72">
        <v>18839</v>
      </c>
      <c r="P3932" s="26"/>
    </row>
    <row r="3933" spans="1:16" ht="14.5">
      <c r="A3933" s="3" t="s">
        <v>255</v>
      </c>
      <c r="B3933" s="12" t="s">
        <v>2867</v>
      </c>
      <c r="C3933" s="46" t="s">
        <v>7865</v>
      </c>
      <c r="D3933" s="41" t="str">
        <f ca="1">IFERROR(__xludf.DUMMYFUNCTION("IFERROR(ARRAYFORMULA(REGEXEXTRACT(C3933,""^(?:https?:\/\/)?(?:[^@\n]+@)?(?:www\.)?([^:\/\n]+)"")),"""")"),"kqed.org")</f>
        <v>kqed.org</v>
      </c>
      <c r="E3933" s="26" t="str">
        <f ca="1">IFERROR(__xludf.DUMMYFUNCTION("""COMPUTED_VALUE"""),"New")</f>
        <v>New</v>
      </c>
      <c r="F3933" s="72">
        <v>86</v>
      </c>
      <c r="G3933" s="72">
        <v>204568</v>
      </c>
      <c r="P3933" s="26"/>
    </row>
    <row r="3934" spans="1:16" ht="14.5">
      <c r="A3934" s="3" t="s">
        <v>255</v>
      </c>
      <c r="B3934" s="12" t="s">
        <v>2867</v>
      </c>
      <c r="C3934" s="46" t="s">
        <v>7866</v>
      </c>
      <c r="D3934" s="41" t="str">
        <f ca="1">IFERROR(__xludf.DUMMYFUNCTION("IFERROR(ARRAYFORMULA(REGEXEXTRACT(C3934,""^(?:https?:\/\/)?(?:[^@\n]+@)?(?:www\.)?([^:\/\n]+)"")),"""")"),"nsta.org")</f>
        <v>nsta.org</v>
      </c>
      <c r="E3934" s="26" t="str">
        <f ca="1">IFERROR(__xludf.DUMMYFUNCTION("""COMPUTED_VALUE"""),"New")</f>
        <v>New</v>
      </c>
      <c r="F3934" s="72">
        <v>78</v>
      </c>
      <c r="G3934" s="72">
        <v>23201</v>
      </c>
      <c r="P3934" s="26"/>
    </row>
    <row r="3935" spans="1:16" ht="14.5">
      <c r="A3935" s="3" t="s">
        <v>255</v>
      </c>
      <c r="B3935" s="12" t="s">
        <v>2867</v>
      </c>
      <c r="C3935" s="46" t="s">
        <v>7867</v>
      </c>
      <c r="D3935" s="41" t="str">
        <f ca="1">IFERROR(__xludf.DUMMYFUNCTION("IFERROR(ARRAYFORMULA(REGEXEXTRACT(C3935,""^(?:https?:\/\/)?(?:[^@\n]+@)?(?:www\.)?([^:\/\n]+)"")),"""")"),"perkins.org")</f>
        <v>perkins.org</v>
      </c>
      <c r="E3935" s="26" t="str">
        <f ca="1">IFERROR(__xludf.DUMMYFUNCTION("""COMPUTED_VALUE"""),"New")</f>
        <v>New</v>
      </c>
      <c r="F3935" s="72">
        <v>76</v>
      </c>
      <c r="G3935" s="72">
        <v>43528</v>
      </c>
      <c r="P3935" s="26"/>
    </row>
    <row r="3936" spans="1:16" ht="14.5">
      <c r="A3936" s="3" t="s">
        <v>255</v>
      </c>
      <c r="B3936" s="12" t="s">
        <v>2867</v>
      </c>
      <c r="C3936" s="46" t="s">
        <v>7868</v>
      </c>
      <c r="D3936" s="41" t="str">
        <f ca="1">IFERROR(__xludf.DUMMYFUNCTION("IFERROR(ARRAYFORMULA(REGEXEXTRACT(C3936,""^(?:https?:\/\/)?(?:[^@\n]+@)?(?:www\.)?([^:\/\n]+)"")),"""")"),"assist.asta.edu.au")</f>
        <v>assist.asta.edu.au</v>
      </c>
      <c r="E3936" s="26" t="str">
        <f ca="1">IFERROR(__xludf.DUMMYFUNCTION("""COMPUTED_VALUE"""),"New")</f>
        <v>New</v>
      </c>
      <c r="F3936" s="72">
        <v>46</v>
      </c>
      <c r="G3936" s="72">
        <v>14745</v>
      </c>
      <c r="P3936" s="26"/>
    </row>
    <row r="3937" spans="1:16" ht="14.5">
      <c r="A3937" s="3" t="s">
        <v>255</v>
      </c>
      <c r="B3937" s="12" t="s">
        <v>2867</v>
      </c>
      <c r="C3937" s="46" t="s">
        <v>7869</v>
      </c>
      <c r="D3937" s="41" t="str">
        <f ca="1">IFERROR(__xludf.DUMMYFUNCTION("IFERROR(ARRAYFORMULA(REGEXEXTRACT(C3937,""^(?:https?:\/\/)?(?:[^@\n]+@)?(?:www\.)?([^:\/\n]+)"")),"""")"),"people.uis.edu")</f>
        <v>people.uis.edu</v>
      </c>
      <c r="E3937" s="26" t="str">
        <f ca="1">IFERROR(__xludf.DUMMYFUNCTION("""COMPUTED_VALUE"""),"New")</f>
        <v>New</v>
      </c>
      <c r="F3937" s="72">
        <v>72</v>
      </c>
      <c r="G3937" s="72">
        <v>66276</v>
      </c>
      <c r="P3937" s="26"/>
    </row>
    <row r="3938" spans="1:16" ht="14.5">
      <c r="A3938" s="3" t="s">
        <v>255</v>
      </c>
      <c r="B3938" s="12" t="s">
        <v>2867</v>
      </c>
      <c r="C3938" s="46" t="s">
        <v>7870</v>
      </c>
      <c r="D3938" s="41" t="str">
        <f ca="1">IFERROR(__xludf.DUMMYFUNCTION("IFERROR(ARRAYFORMULA(REGEXEXTRACT(C3938,""^(?:https?:\/\/)?(?:[^@\n]+@)?(?:www\.)?([^:\/\n]+)"")),"""")"),"m.visitmadison.org")</f>
        <v>m.visitmadison.org</v>
      </c>
      <c r="E3938" s="26" t="str">
        <f ca="1">IFERROR(__xludf.DUMMYFUNCTION("""COMPUTED_VALUE"""),"New")</f>
        <v>New</v>
      </c>
      <c r="F3938" s="72">
        <v>49</v>
      </c>
      <c r="G3938" s="72">
        <v>4938</v>
      </c>
      <c r="P3938" s="26"/>
    </row>
    <row r="3939" spans="1:16" ht="14.5">
      <c r="A3939" s="3" t="s">
        <v>255</v>
      </c>
      <c r="B3939" s="12" t="s">
        <v>2867</v>
      </c>
      <c r="C3939" s="46" t="s">
        <v>7871</v>
      </c>
      <c r="D3939" s="41" t="str">
        <f ca="1">IFERROR(__xludf.DUMMYFUNCTION("IFERROR(ARRAYFORMULA(REGEXEXTRACT(C3939,""^(?:https?:\/\/)?(?:[^@\n]+@)?(?:www\.)?([^:\/\n]+)"")),"""")"),"physics.uoguelph.ca")</f>
        <v>physics.uoguelph.ca</v>
      </c>
      <c r="E3939" s="26" t="str">
        <f ca="1">IFERROR(__xludf.DUMMYFUNCTION("""COMPUTED_VALUE"""),"New")</f>
        <v>New</v>
      </c>
      <c r="F3939" s="72">
        <v>82</v>
      </c>
      <c r="G3939" s="72">
        <v>193427</v>
      </c>
      <c r="P3939" s="26"/>
    </row>
    <row r="3940" spans="1:16" ht="14.5">
      <c r="A3940" s="3" t="s">
        <v>255</v>
      </c>
      <c r="B3940" s="12" t="s">
        <v>2867</v>
      </c>
      <c r="C3940" s="46" t="s">
        <v>7872</v>
      </c>
      <c r="D3940" s="41" t="str">
        <f ca="1">IFERROR(__xludf.DUMMYFUNCTION("IFERROR(ARRAYFORMULA(REGEXEXTRACT(C3940,""^(?:https?:\/\/)?(?:[^@\n]+@)?(?:www\.)?([^:\/\n]+)"")),"""")"),"minerals.nv.gov")</f>
        <v>minerals.nv.gov</v>
      </c>
      <c r="E3940" s="26" t="str">
        <f ca="1">IFERROR(__xludf.DUMMYFUNCTION("""COMPUTED_VALUE"""),"New")</f>
        <v>New</v>
      </c>
      <c r="F3940" s="72">
        <v>88</v>
      </c>
      <c r="G3940" s="72">
        <v>743454</v>
      </c>
      <c r="P3940" s="26"/>
    </row>
    <row r="3941" spans="1:16" ht="14.5">
      <c r="A3941" s="3" t="s">
        <v>255</v>
      </c>
      <c r="B3941" s="12" t="s">
        <v>2867</v>
      </c>
      <c r="C3941" s="46" t="s">
        <v>7873</v>
      </c>
      <c r="D3941" s="41" t="str">
        <f ca="1">IFERROR(__xludf.DUMMYFUNCTION("IFERROR(ARRAYFORMULA(REGEXEXTRACT(C3941,""^(?:https?:\/\/)?(?:[^@\n]+@)?(?:www\.)?([^:\/\n]+)"")),"""")"),"groups.diigo.com")</f>
        <v>groups.diigo.com</v>
      </c>
      <c r="E3941" s="26" t="str">
        <f ca="1">IFERROR(__xludf.DUMMYFUNCTION("""COMPUTED_VALUE"""),"New")</f>
        <v>New</v>
      </c>
      <c r="F3941" s="72">
        <v>82</v>
      </c>
      <c r="G3941" s="72">
        <v>20203</v>
      </c>
      <c r="P3941" s="26"/>
    </row>
    <row r="3942" spans="1:16" ht="14.5">
      <c r="A3942" s="3" t="s">
        <v>255</v>
      </c>
      <c r="B3942" s="12" t="s">
        <v>2867</v>
      </c>
      <c r="C3942" s="46" t="s">
        <v>7874</v>
      </c>
      <c r="D3942" s="41" t="str">
        <f ca="1">IFERROR(__xludf.DUMMYFUNCTION("IFERROR(ARRAYFORMULA(REGEXEXTRACT(C3942,""^(?:https?:\/\/)?(?:[^@\n]+@)?(?:www\.)?([^:\/\n]+)"")),"""")"),"sciencejournalforkids.substack.com")</f>
        <v>sciencejournalforkids.substack.com</v>
      </c>
      <c r="E3942" s="26" t="str">
        <f ca="1">IFERROR(__xludf.DUMMYFUNCTION("""COMPUTED_VALUE"""),"New")</f>
        <v>New</v>
      </c>
      <c r="F3942" s="72">
        <v>93</v>
      </c>
      <c r="G3942" s="72">
        <v>8096660</v>
      </c>
      <c r="P3942" s="26"/>
    </row>
    <row r="3943" spans="1:16" ht="14.5">
      <c r="A3943" s="3" t="s">
        <v>255</v>
      </c>
      <c r="B3943" s="12" t="s">
        <v>2867</v>
      </c>
      <c r="C3943" s="46" t="s">
        <v>7875</v>
      </c>
      <c r="D3943" s="41" t="str">
        <f ca="1">IFERROR(__xludf.DUMMYFUNCTION("IFERROR(ARRAYFORMULA(REGEXEXTRACT(C3943,""^(?:https?:\/\/)?(?:[^@\n]+@)?(?:www\.)?([^:\/\n]+)"")),"""")"),"fema.dhs.gov")</f>
        <v>fema.dhs.gov</v>
      </c>
      <c r="E3943" s="26" t="str">
        <f ca="1">IFERROR(__xludf.DUMMYFUNCTION("""COMPUTED_VALUE"""),"New")</f>
        <v>New</v>
      </c>
      <c r="F3943" s="72">
        <v>91</v>
      </c>
      <c r="G3943" s="72">
        <v>526098</v>
      </c>
      <c r="P3943" s="26"/>
    </row>
    <row r="3944" spans="1:16" ht="14.5">
      <c r="A3944" s="3" t="s">
        <v>255</v>
      </c>
      <c r="B3944" s="12" t="s">
        <v>2867</v>
      </c>
      <c r="C3944" s="46" t="s">
        <v>7876</v>
      </c>
      <c r="D3944" s="41" t="str">
        <f ca="1">IFERROR(__xludf.DUMMYFUNCTION("IFERROR(ARRAYFORMULA(REGEXEXTRACT(C3944,""^(?:https?:\/\/)?(?:[^@\n]+@)?(?:www\.)?([^:\/\n]+)"")),"""")"),"aps.org")</f>
        <v>aps.org</v>
      </c>
      <c r="E3944" s="26" t="str">
        <f ca="1">IFERROR(__xludf.DUMMYFUNCTION("""COMPUTED_VALUE"""),"New")</f>
        <v>New</v>
      </c>
      <c r="F3944" s="72">
        <v>87</v>
      </c>
      <c r="G3944" s="72">
        <v>97973</v>
      </c>
      <c r="P3944" s="26"/>
    </row>
    <row r="3945" spans="1:16" ht="14.5">
      <c r="A3945" s="3" t="s">
        <v>255</v>
      </c>
      <c r="B3945" s="12" t="s">
        <v>2867</v>
      </c>
      <c r="C3945" s="46" t="s">
        <v>7877</v>
      </c>
      <c r="D3945" s="41" t="str">
        <f ca="1">IFERROR(__xludf.DUMMYFUNCTION("IFERROR(ARRAYFORMULA(REGEXEXTRACT(C3945,""^(?:https?:\/\/)?(?:[^@\n]+@)?(?:www\.)?([^:\/\n]+)"")),"""")"),"databot.us.com")</f>
        <v>databot.us.com</v>
      </c>
      <c r="E3945" s="26" t="str">
        <f ca="1">IFERROR(__xludf.DUMMYFUNCTION("""COMPUTED_VALUE"""),"New")</f>
        <v>New</v>
      </c>
      <c r="F3945" s="72">
        <v>91</v>
      </c>
      <c r="G3945" s="72">
        <v>4974082</v>
      </c>
      <c r="P3945" s="26"/>
    </row>
    <row r="3946" spans="1:16" ht="14.5">
      <c r="A3946" s="3" t="s">
        <v>255</v>
      </c>
      <c r="B3946" s="12" t="s">
        <v>2867</v>
      </c>
      <c r="C3946" s="46" t="s">
        <v>7878</v>
      </c>
      <c r="D3946" s="41" t="str">
        <f ca="1">IFERROR(__xludf.DUMMYFUNCTION("IFERROR(ARRAYFORMULA(REGEXEXTRACT(C3946,""^(?:https?:\/\/)?(?:[^@\n]+@)?(?:www\.)?([^:\/\n]+)"")),"""")"),"udayton.edu")</f>
        <v>udayton.edu</v>
      </c>
      <c r="E3946" s="26" t="str">
        <f ca="1">IFERROR(__xludf.DUMMYFUNCTION("""COMPUTED_VALUE"""),"New")</f>
        <v>New</v>
      </c>
      <c r="F3946" s="72">
        <v>78</v>
      </c>
      <c r="G3946" s="72">
        <v>40437</v>
      </c>
      <c r="P3946" s="26"/>
    </row>
    <row r="3947" spans="1:16" ht="14.5">
      <c r="A3947" s="3" t="s">
        <v>255</v>
      </c>
      <c r="B3947" s="12" t="s">
        <v>2867</v>
      </c>
      <c r="C3947" s="46" t="s">
        <v>7879</v>
      </c>
      <c r="D3947" s="41" t="str">
        <f ca="1">IFERROR(__xludf.DUMMYFUNCTION("IFERROR(ARRAYFORMULA(REGEXEXTRACT(C3947,""^(?:https?:\/\/)?(?:[^@\n]+@)?(?:www\.)?([^:\/\n]+)"")),"""")"),"titanfx.com")</f>
        <v>titanfx.com</v>
      </c>
      <c r="E3947" s="26" t="str">
        <f ca="1">IFERROR(__xludf.DUMMYFUNCTION("""COMPUTED_VALUE"""),"New")</f>
        <v>New</v>
      </c>
      <c r="F3947" s="72">
        <v>71</v>
      </c>
      <c r="G3947" s="72">
        <v>22099</v>
      </c>
      <c r="P3947" s="26"/>
    </row>
    <row r="3948" spans="1:16" ht="14.5">
      <c r="A3948" s="3" t="s">
        <v>255</v>
      </c>
      <c r="B3948" s="12" t="s">
        <v>2867</v>
      </c>
      <c r="C3948" s="46" t="s">
        <v>7880</v>
      </c>
      <c r="D3948" s="41" t="str">
        <f ca="1">IFERROR(__xludf.DUMMYFUNCTION("IFERROR(ARRAYFORMULA(REGEXEXTRACT(C3948,""^(?:https?:\/\/)?(?:[^@\n]+@)?(?:www\.)?([^:\/\n]+)"")),"""")"),"springerprofessional.de")</f>
        <v>springerprofessional.de</v>
      </c>
      <c r="E3948" s="26" t="str">
        <f ca="1">IFERROR(__xludf.DUMMYFUNCTION("""COMPUTED_VALUE"""),"New")</f>
        <v>New</v>
      </c>
      <c r="F3948" s="72">
        <v>80</v>
      </c>
      <c r="G3948" s="72">
        <v>50598</v>
      </c>
      <c r="P3948" s="26"/>
    </row>
    <row r="3949" spans="1:16" ht="14.5">
      <c r="A3949" s="3" t="s">
        <v>255</v>
      </c>
      <c r="B3949" s="12" t="s">
        <v>2867</v>
      </c>
      <c r="C3949" s="46" t="s">
        <v>7881</v>
      </c>
      <c r="D3949" s="41" t="str">
        <f ca="1">IFERROR(__xludf.DUMMYFUNCTION("IFERROR(ARRAYFORMULA(REGEXEXTRACT(C3949,""^(?:https?:\/\/)?(?:[^@\n]+@)?(?:www\.)?([^:\/\n]+)"")),"""")"),"ncscienceolympiad.ncsu.edu")</f>
        <v>ncscienceolympiad.ncsu.edu</v>
      </c>
      <c r="E3949" s="26" t="str">
        <f ca="1">IFERROR(__xludf.DUMMYFUNCTION("""COMPUTED_VALUE"""),"New")</f>
        <v>New</v>
      </c>
      <c r="F3949" s="72">
        <v>90</v>
      </c>
      <c r="G3949" s="72">
        <v>1779875</v>
      </c>
      <c r="P3949" s="26"/>
    </row>
    <row r="3950" spans="1:16" ht="14.5">
      <c r="A3950" s="3" t="s">
        <v>255</v>
      </c>
      <c r="B3950" s="12" t="s">
        <v>2867</v>
      </c>
      <c r="C3950" s="46" t="s">
        <v>7882</v>
      </c>
      <c r="D3950" s="41" t="str">
        <f ca="1">IFERROR(__xludf.DUMMYFUNCTION("IFERROR(ARRAYFORMULA(REGEXEXTRACT(C3950,""^(?:https?:\/\/)?(?:[^@\n]+@)?(?:www\.)?([^:\/\n]+)"")),"""")"),"globe.gov")</f>
        <v>globe.gov</v>
      </c>
      <c r="E3950" s="26" t="str">
        <f ca="1">IFERROR(__xludf.DUMMYFUNCTION("""COMPUTED_VALUE"""),"New")</f>
        <v>New</v>
      </c>
      <c r="F3950" s="72">
        <v>74</v>
      </c>
      <c r="G3950" s="72">
        <v>18252</v>
      </c>
      <c r="P3950" s="26"/>
    </row>
    <row r="3951" spans="1:16" ht="14.5">
      <c r="A3951" s="3" t="s">
        <v>255</v>
      </c>
      <c r="B3951" s="12" t="s">
        <v>2867</v>
      </c>
      <c r="C3951" s="46" t="s">
        <v>7883</v>
      </c>
      <c r="D3951" s="41" t="str">
        <f ca="1">IFERROR(__xludf.DUMMYFUNCTION("IFERROR(ARRAYFORMULA(REGEXEXTRACT(C3951,""^(?:https?:\/\/)?(?:[^@\n]+@)?(?:www\.)?([^:\/\n]+)"")),"""")"),"studyworkgrow.com")</f>
        <v>studyworkgrow.com</v>
      </c>
      <c r="E3951" s="26" t="str">
        <f ca="1">IFERROR(__xludf.DUMMYFUNCTION("""COMPUTED_VALUE"""),"New")</f>
        <v>New</v>
      </c>
      <c r="F3951" s="72">
        <v>38</v>
      </c>
      <c r="G3951" s="72">
        <v>11793</v>
      </c>
      <c r="P3951" s="26"/>
    </row>
    <row r="3952" spans="1:16" ht="14.5">
      <c r="A3952" s="3" t="s">
        <v>255</v>
      </c>
      <c r="B3952" s="12" t="s">
        <v>2867</v>
      </c>
      <c r="C3952" s="46" t="s">
        <v>7884</v>
      </c>
      <c r="D3952" s="41" t="str">
        <f ca="1">IFERROR(__xludf.DUMMYFUNCTION("IFERROR(ARRAYFORMULA(REGEXEXTRACT(C3952,""^(?:https?:\/\/)?(?:[^@\n]+@)?(?:www\.)?([^:\/\n]+)"")),"""")"),"www-dev.stem.org.uk")</f>
        <v>www-dev.stem.org.uk</v>
      </c>
      <c r="E3952" s="26" t="str">
        <f ca="1">IFERROR(__xludf.DUMMYFUNCTION("""COMPUTED_VALUE"""),"New")</f>
        <v>New</v>
      </c>
      <c r="F3952" s="72">
        <v>78</v>
      </c>
      <c r="G3952" s="72">
        <v>41647</v>
      </c>
      <c r="P3952" s="26"/>
    </row>
    <row r="3953" spans="1:16" ht="14.5">
      <c r="A3953" s="3" t="s">
        <v>255</v>
      </c>
      <c r="B3953" s="12" t="s">
        <v>2867</v>
      </c>
      <c r="C3953" s="46" t="s">
        <v>7885</v>
      </c>
      <c r="D3953" s="41" t="str">
        <f ca="1">IFERROR(__xludf.DUMMYFUNCTION("IFERROR(ARRAYFORMULA(REGEXEXTRACT(C3953,""^(?:https?:\/\/)?(?:[^@\n]+@)?(?:www\.)?([^:\/\n]+)"")),"""")"),"worldwidevoyage.hokulea.com")</f>
        <v>worldwidevoyage.hokulea.com</v>
      </c>
      <c r="E3953" s="26" t="str">
        <f ca="1">IFERROR(__xludf.DUMMYFUNCTION("""COMPUTED_VALUE"""),"New")</f>
        <v>New</v>
      </c>
      <c r="F3953" s="72">
        <v>70</v>
      </c>
      <c r="G3953" s="72">
        <v>2824</v>
      </c>
      <c r="P3953" s="26"/>
    </row>
    <row r="3954" spans="1:16" ht="14.5">
      <c r="A3954" s="3" t="s">
        <v>255</v>
      </c>
      <c r="B3954" s="12" t="s">
        <v>2867</v>
      </c>
      <c r="C3954" s="46" t="s">
        <v>7886</v>
      </c>
      <c r="D3954" s="41" t="str">
        <f ca="1">IFERROR(__xludf.DUMMYFUNCTION("IFERROR(ARRAYFORMULA(REGEXEXTRACT(C3954,""^(?:https?:\/\/)?(?:[^@\n]+@)?(?:www\.)?([^:\/\n]+)"")),"""")"),"sempersolaris.com")</f>
        <v>sempersolaris.com</v>
      </c>
      <c r="E3954" s="26" t="str">
        <f ca="1">IFERROR(__xludf.DUMMYFUNCTION("""COMPUTED_VALUE"""),"New")</f>
        <v>New</v>
      </c>
      <c r="F3954" s="72">
        <v>48</v>
      </c>
      <c r="G3954" s="72">
        <v>4225</v>
      </c>
      <c r="P3954" s="26"/>
    </row>
    <row r="3955" spans="1:16" ht="14.5">
      <c r="A3955" s="3" t="s">
        <v>255</v>
      </c>
      <c r="B3955" s="12" t="s">
        <v>2867</v>
      </c>
      <c r="C3955" s="46" t="s">
        <v>7887</v>
      </c>
      <c r="D3955" s="41" t="str">
        <f ca="1">IFERROR(__xludf.DUMMYFUNCTION("IFERROR(ARRAYFORMULA(REGEXEXTRACT(C3955,""^(?:https?:\/\/)?(?:[^@\n]+@)?(?:www\.)?([^:\/\n]+)"")),"""")"),"powershow.com")</f>
        <v>powershow.com</v>
      </c>
      <c r="E3955" s="26" t="str">
        <f ca="1">IFERROR(__xludf.DUMMYFUNCTION("""COMPUTED_VALUE"""),"New")</f>
        <v>New</v>
      </c>
      <c r="F3955" s="72">
        <v>55</v>
      </c>
      <c r="G3955" s="72">
        <v>1838</v>
      </c>
      <c r="P3955" s="26"/>
    </row>
    <row r="3956" spans="1:16" ht="14.5">
      <c r="A3956" s="3" t="s">
        <v>255</v>
      </c>
      <c r="B3956" s="12" t="s">
        <v>2867</v>
      </c>
      <c r="C3956" s="46" t="s">
        <v>7888</v>
      </c>
      <c r="D3956" s="41" t="str">
        <f ca="1">IFERROR(__xludf.DUMMYFUNCTION("IFERROR(ARRAYFORMULA(REGEXEXTRACT(C3956,""^(?:https?:\/\/)?(?:[^@\n]+@)?(?:www\.)?([^:\/\n]+)"")),"""")"),"bitcoinparadise")</f>
        <v>bitcoinparadise</v>
      </c>
      <c r="E3956" s="26" t="str">
        <f ca="1">IFERROR(__xludf.DUMMYFUNCTION("""COMPUTED_VALUE"""),"New")</f>
        <v>New</v>
      </c>
      <c r="F3956" s="72">
        <v>81</v>
      </c>
      <c r="G3956" s="72">
        <v>883348</v>
      </c>
      <c r="P3956" s="26"/>
    </row>
    <row r="3957" spans="1:16" ht="14.5">
      <c r="A3957" s="3" t="s">
        <v>255</v>
      </c>
      <c r="B3957" s="12" t="s">
        <v>2867</v>
      </c>
      <c r="C3957" s="46" t="s">
        <v>7889</v>
      </c>
      <c r="D3957" s="41" t="str">
        <f ca="1">IFERROR(__xludf.DUMMYFUNCTION("IFERROR(ARRAYFORMULA(REGEXEXTRACT(C3957,""^(?:https?:\/\/)?(?:[^@\n]+@)?(?:www\.)?([^:\/\n]+)"")),"""")"),"scmp.com")</f>
        <v>scmp.com</v>
      </c>
      <c r="E3957" s="26" t="str">
        <f ca="1">IFERROR(__xludf.DUMMYFUNCTION("""COMPUTED_VALUE"""),"New")</f>
        <v>New</v>
      </c>
      <c r="F3957" s="72">
        <v>89</v>
      </c>
      <c r="G3957" s="72">
        <v>1961338</v>
      </c>
      <c r="P3957" s="26"/>
    </row>
    <row r="3958" spans="1:16" ht="14.5">
      <c r="A3958" s="3" t="s">
        <v>255</v>
      </c>
      <c r="B3958" s="12" t="s">
        <v>2867</v>
      </c>
      <c r="C3958" s="46" t="s">
        <v>7890</v>
      </c>
      <c r="D3958" s="41" t="str">
        <f ca="1">IFERROR(__xludf.DUMMYFUNCTION("IFERROR(ARRAYFORMULA(REGEXEXTRACT(C3958,""^(?:https?:\/\/)?(?:[^@\n]+@)?(?:www\.)?([^:\/\n]+)"")),"""")"),"web.mit.edu")</f>
        <v>web.mit.edu</v>
      </c>
      <c r="E3958" s="26" t="str">
        <f ca="1">IFERROR(__xludf.DUMMYFUNCTION("""COMPUTED_VALUE"""),"New")</f>
        <v>New</v>
      </c>
      <c r="F3958" s="72">
        <v>92</v>
      </c>
      <c r="G3958" s="72">
        <v>15479631</v>
      </c>
      <c r="P3958" s="26"/>
    </row>
    <row r="3959" spans="1:16" ht="14.5">
      <c r="A3959" s="3" t="s">
        <v>255</v>
      </c>
      <c r="B3959" s="12" t="s">
        <v>2867</v>
      </c>
      <c r="C3959" s="46" t="s">
        <v>7891</v>
      </c>
      <c r="D3959" s="41" t="str">
        <f ca="1">IFERROR(__xludf.DUMMYFUNCTION("IFERROR(ARRAYFORMULA(REGEXEXTRACT(C3959,""^(?:https?:\/\/)?(?:[^@\n]+@)?(?:www\.)?([^:\/\n]+)"")),"""")"),"sites.uml.edu")</f>
        <v>sites.uml.edu</v>
      </c>
      <c r="E3959" s="26" t="str">
        <f ca="1">IFERROR(__xludf.DUMMYFUNCTION("""COMPUTED_VALUE"""),"New")</f>
        <v>New</v>
      </c>
      <c r="F3959" s="72">
        <v>79</v>
      </c>
      <c r="G3959" s="72">
        <v>97321</v>
      </c>
      <c r="P3959" s="26"/>
    </row>
    <row r="3960" spans="1:16" ht="14.5">
      <c r="A3960" s="3" t="s">
        <v>255</v>
      </c>
      <c r="B3960" s="12" t="s">
        <v>2867</v>
      </c>
      <c r="C3960" s="46" t="s">
        <v>7892</v>
      </c>
      <c r="D3960" s="41" t="str">
        <f ca="1">IFERROR(__xludf.DUMMYFUNCTION("IFERROR(ARRAYFORMULA(REGEXEXTRACT(C3960,""^(?:https?:\/\/)?(?:[^@\n]+@)?(?:www\.)?([^:\/\n]+)"")),"""")"),"sciencewithart.ijs.si")</f>
        <v>sciencewithart.ijs.si</v>
      </c>
      <c r="E3960" s="26" t="str">
        <f ca="1">IFERROR(__xludf.DUMMYFUNCTION("""COMPUTED_VALUE"""),"New")</f>
        <v>New</v>
      </c>
      <c r="F3960" s="72">
        <v>76</v>
      </c>
      <c r="G3960" s="72">
        <v>1772</v>
      </c>
      <c r="P3960" s="26"/>
    </row>
    <row r="3961" spans="1:16" ht="14.5">
      <c r="A3961" s="3" t="s">
        <v>255</v>
      </c>
      <c r="B3961" s="12" t="s">
        <v>2867</v>
      </c>
      <c r="C3961" s="46" t="s">
        <v>7893</v>
      </c>
      <c r="D3961" s="41" t="str">
        <f ca="1">IFERROR(__xludf.DUMMYFUNCTION("IFERROR(ARRAYFORMULA(REGEXEXTRACT(C3961,""^(?:https?:\/\/)?(?:[^@\n]+@)?(?:www\.)?([^:\/\n]+)"")),"""")"),"forum.tfes.org")</f>
        <v>forum.tfes.org</v>
      </c>
      <c r="E3961" s="26" t="str">
        <f ca="1">IFERROR(__xludf.DUMMYFUNCTION("""COMPUTED_VALUE"""),"New")</f>
        <v>New</v>
      </c>
      <c r="F3961" s="72">
        <v>47</v>
      </c>
      <c r="G3961" s="72">
        <v>4886</v>
      </c>
      <c r="P3961" s="26"/>
    </row>
    <row r="3962" spans="1:16" ht="14.5">
      <c r="A3962" s="3" t="s">
        <v>255</v>
      </c>
      <c r="B3962" s="12" t="s">
        <v>2867</v>
      </c>
      <c r="C3962" s="46" t="s">
        <v>7894</v>
      </c>
      <c r="D3962" s="41" t="str">
        <f ca="1">IFERROR(__xludf.DUMMYFUNCTION("IFERROR(ARRAYFORMULA(REGEXEXTRACT(C3962,""^(?:https?:\/\/)?(?:[^@\n]+@)?(?:www\.)?([^:\/\n]+)"")),"""")"),"mrsec.utexas.edu")</f>
        <v>mrsec.utexas.edu</v>
      </c>
      <c r="E3962" s="26" t="str">
        <f ca="1">IFERROR(__xludf.DUMMYFUNCTION("""COMPUTED_VALUE"""),"New")</f>
        <v>New</v>
      </c>
      <c r="F3962" s="72">
        <v>90</v>
      </c>
      <c r="G3962" s="72">
        <v>1870760</v>
      </c>
      <c r="P3962" s="26"/>
    </row>
    <row r="3963" spans="1:16" ht="14.5">
      <c r="A3963" s="3" t="s">
        <v>255</v>
      </c>
      <c r="B3963" s="12" t="s">
        <v>2867</v>
      </c>
      <c r="C3963" s="46" t="s">
        <v>7895</v>
      </c>
      <c r="D3963" s="41" t="str">
        <f ca="1">IFERROR(__xludf.DUMMYFUNCTION("IFERROR(ARRAYFORMULA(REGEXEXTRACT(C3963,""^(?:https?:\/\/)?(?:[^@\n]+@)?(?:www\.)?([^:\/\n]+)"")),"""")"),"genspark.ai")</f>
        <v>genspark.ai</v>
      </c>
      <c r="E3963" s="26" t="str">
        <f ca="1">IFERROR(__xludf.DUMMYFUNCTION("""COMPUTED_VALUE"""),"New")</f>
        <v>New</v>
      </c>
      <c r="F3963" s="72">
        <v>76</v>
      </c>
      <c r="G3963" s="72">
        <v>498590</v>
      </c>
      <c r="P3963" s="26"/>
    </row>
    <row r="3964" spans="1:16" ht="14.5">
      <c r="A3964" s="3" t="s">
        <v>255</v>
      </c>
      <c r="B3964" s="12" t="s">
        <v>2867</v>
      </c>
      <c r="C3964" s="46" t="s">
        <v>7896</v>
      </c>
      <c r="D3964" s="41" t="str">
        <f ca="1">IFERROR(__xludf.DUMMYFUNCTION("IFERROR(ARRAYFORMULA(REGEXEXTRACT(C3964,""^(?:https?:\/\/)?(?:[^@\n]+@)?(?:www\.)?([^:\/\n]+)"")),"""")"),"ads-coffee-supplies.co.uk")</f>
        <v>ads-coffee-supplies.co.uk</v>
      </c>
      <c r="E3964" s="26" t="str">
        <f ca="1">IFERROR(__xludf.DUMMYFUNCTION("""COMPUTED_VALUE"""),"New")</f>
        <v>New</v>
      </c>
      <c r="F3964" s="72">
        <v>37</v>
      </c>
      <c r="G3964" s="72">
        <v>1276</v>
      </c>
      <c r="P3964" s="26"/>
    </row>
    <row r="3965" spans="1:16" ht="14.5">
      <c r="A3965" s="3" t="s">
        <v>255</v>
      </c>
      <c r="B3965" s="12" t="s">
        <v>2867</v>
      </c>
      <c r="C3965" s="46" t="s">
        <v>7897</v>
      </c>
      <c r="D3965" s="41" t="str">
        <f ca="1">IFERROR(__xludf.DUMMYFUNCTION("IFERROR(ARRAYFORMULA(REGEXEXTRACT(C3965,""^(?:https?:\/\/)?(?:[^@\n]+@)?(?:www\.)?([^:\/\n]+)"")),"""")"),"learn.k20center.ou.edu")</f>
        <v>learn.k20center.ou.edu</v>
      </c>
      <c r="E3965" s="26" t="str">
        <f ca="1">IFERROR(__xludf.DUMMYFUNCTION("""COMPUTED_VALUE"""),"New")</f>
        <v>New</v>
      </c>
      <c r="F3965" s="72">
        <v>83</v>
      </c>
      <c r="G3965" s="72">
        <v>247735</v>
      </c>
      <c r="P3965" s="26"/>
    </row>
    <row r="3966" spans="1:16" ht="14.5">
      <c r="A3966" s="3" t="s">
        <v>255</v>
      </c>
      <c r="B3966" s="12" t="s">
        <v>2867</v>
      </c>
      <c r="C3966" s="46" t="s">
        <v>7898</v>
      </c>
      <c r="D3966" s="41" t="str">
        <f ca="1">IFERROR(__xludf.DUMMYFUNCTION("IFERROR(ARRAYFORMULA(REGEXEXTRACT(C3966,""^(?:https?:\/\/)?(?:[^@\n]+@)?(?:www\.)?([^:\/\n]+)"")),"""")"),"ascd.org")</f>
        <v>ascd.org</v>
      </c>
      <c r="E3966" s="26" t="str">
        <f ca="1">IFERROR(__xludf.DUMMYFUNCTION("""COMPUTED_VALUE"""),"New")</f>
        <v>New</v>
      </c>
      <c r="F3966" s="72">
        <v>80</v>
      </c>
      <c r="G3966" s="72">
        <v>32304</v>
      </c>
      <c r="P3966" s="26"/>
    </row>
    <row r="3967" spans="1:16" ht="14.5">
      <c r="A3967" s="3" t="s">
        <v>255</v>
      </c>
      <c r="B3967" s="12" t="s">
        <v>2867</v>
      </c>
      <c r="C3967" s="46" t="s">
        <v>7899</v>
      </c>
      <c r="D3967" s="41" t="str">
        <f ca="1">IFERROR(__xludf.DUMMYFUNCTION("IFERROR(ARRAYFORMULA(REGEXEXTRACT(C3967,""^(?:https?:\/\/)?(?:[^@\n]+@)?(?:www\.)?([^:\/\n]+)"")),"""")"),"pearltrees.com")</f>
        <v>pearltrees.com</v>
      </c>
      <c r="E3967" s="26" t="str">
        <f ca="1">IFERROR(__xludf.DUMMYFUNCTION("""COMPUTED_VALUE"""),"New")</f>
        <v>New</v>
      </c>
      <c r="F3967" s="72">
        <v>78</v>
      </c>
      <c r="G3967" s="72">
        <v>27759</v>
      </c>
      <c r="P3967" s="26"/>
    </row>
    <row r="3968" spans="1:16" ht="14.5">
      <c r="A3968" s="3" t="s">
        <v>255</v>
      </c>
      <c r="B3968" s="12" t="s">
        <v>2867</v>
      </c>
      <c r="C3968" s="46" t="s">
        <v>7900</v>
      </c>
      <c r="D3968" s="41" t="str">
        <f ca="1">IFERROR(__xludf.DUMMYFUNCTION("IFERROR(ARRAYFORMULA(REGEXEXTRACT(C3968,""^(?:https?:\/\/)?(?:[^@\n]+@)?(?:www\.)?([^:\/\n]+)"")),"""")"),"infento.com")</f>
        <v>infento.com</v>
      </c>
      <c r="E3968" s="26" t="str">
        <f ca="1">IFERROR(__xludf.DUMMYFUNCTION("""COMPUTED_VALUE"""),"New")</f>
        <v>New</v>
      </c>
      <c r="F3968" s="72">
        <v>34</v>
      </c>
      <c r="G3968" s="72">
        <v>2943</v>
      </c>
      <c r="P3968" s="26"/>
    </row>
    <row r="3969" spans="1:16" ht="14.5">
      <c r="A3969" s="3" t="s">
        <v>255</v>
      </c>
      <c r="B3969" s="12" t="s">
        <v>2867</v>
      </c>
      <c r="C3969" s="46" t="s">
        <v>7901</v>
      </c>
      <c r="D3969" s="41" t="str">
        <f ca="1">IFERROR(__xludf.DUMMYFUNCTION("IFERROR(ARRAYFORMULA(REGEXEXTRACT(C3969,""^(?:https?:\/\/)?(?:[^@\n]+@)?(?:www\.)?([^:\/\n]+)"")),"""")"),"teletracnavman.com")</f>
        <v>teletracnavman.com</v>
      </c>
      <c r="E3969" s="26" t="str">
        <f ca="1">IFERROR(__xludf.DUMMYFUNCTION("""COMPUTED_VALUE"""),"New")</f>
        <v>New</v>
      </c>
      <c r="F3969" s="72">
        <v>62</v>
      </c>
      <c r="G3969" s="72">
        <v>16328</v>
      </c>
      <c r="P3969" s="26"/>
    </row>
    <row r="3970" spans="1:16" ht="14.5">
      <c r="A3970" s="3" t="s">
        <v>255</v>
      </c>
      <c r="B3970" s="12" t="s">
        <v>2867</v>
      </c>
      <c r="C3970" s="46" t="s">
        <v>7902</v>
      </c>
      <c r="D3970" s="41" t="str">
        <f ca="1">IFERROR(__xludf.DUMMYFUNCTION("IFERROR(ARRAYFORMULA(REGEXEXTRACT(C3970,""^(?:https?:\/\/)?(?:[^@\n]+@)?(?:www\.)?([^:\/\n]+)"")),"""")"),"stempreacademy.hawaii.edu")</f>
        <v>stempreacademy.hawaii.edu</v>
      </c>
      <c r="E3970" s="26" t="str">
        <f ca="1">IFERROR(__xludf.DUMMYFUNCTION("""COMPUTED_VALUE"""),"New")</f>
        <v>New</v>
      </c>
      <c r="F3970" s="72">
        <v>88</v>
      </c>
      <c r="G3970" s="72">
        <v>695586</v>
      </c>
      <c r="P3970" s="26"/>
    </row>
    <row r="3971" spans="1:16" ht="14.5">
      <c r="A3971" s="3" t="s">
        <v>255</v>
      </c>
      <c r="B3971" s="12" t="s">
        <v>2867</v>
      </c>
      <c r="C3971" s="46" t="s">
        <v>7903</v>
      </c>
      <c r="D3971" s="41" t="str">
        <f ca="1">IFERROR(__xludf.DUMMYFUNCTION("IFERROR(ARRAYFORMULA(REGEXEXTRACT(C3971,""^(?:https?:\/\/)?(?:[^@\n]+@)?(?:www\.)?([^:\/\n]+)"")),"""")"),"routledgetextbooks.com")</f>
        <v>routledgetextbooks.com</v>
      </c>
      <c r="E3971" s="26" t="str">
        <f ca="1">IFERROR(__xludf.DUMMYFUNCTION("""COMPUTED_VALUE"""),"New")</f>
        <v>New</v>
      </c>
      <c r="F3971" s="72">
        <v>66</v>
      </c>
      <c r="G3971" s="72">
        <v>2117</v>
      </c>
      <c r="P3971" s="26"/>
    </row>
    <row r="3972" spans="1:16" ht="14.5">
      <c r="A3972" s="3" t="s">
        <v>255</v>
      </c>
      <c r="B3972" s="12" t="s">
        <v>2867</v>
      </c>
      <c r="C3972" s="46" t="s">
        <v>7904</v>
      </c>
      <c r="D3972" s="41" t="str">
        <f ca="1">IFERROR(__xludf.DUMMYFUNCTION("IFERROR(ARRAYFORMULA(REGEXEXTRACT(C3972,""^(?:https?:\/\/)?(?:[^@\n]+@)?(?:www\.)?([^:\/\n]+)"")),"""")"),"ukclimbing.com")</f>
        <v>ukclimbing.com</v>
      </c>
      <c r="E3972" s="26" t="str">
        <f ca="1">IFERROR(__xludf.DUMMYFUNCTION("""COMPUTED_VALUE"""),"New")</f>
        <v>New</v>
      </c>
      <c r="F3972" s="72">
        <v>72</v>
      </c>
      <c r="G3972" s="72">
        <v>101271</v>
      </c>
      <c r="P3972" s="26"/>
    </row>
    <row r="3973" spans="1:16" ht="14.5">
      <c r="A3973" s="3" t="s">
        <v>255</v>
      </c>
      <c r="B3973" s="12" t="s">
        <v>2867</v>
      </c>
      <c r="C3973" s="46" t="s">
        <v>7905</v>
      </c>
      <c r="D3973" s="41" t="str">
        <f ca="1">IFERROR(__xludf.DUMMYFUNCTION("IFERROR(ARRAYFORMULA(REGEXEXTRACT(C3973,""^(?:https?:\/\/)?(?:[^@\n]+@)?(?:www\.)?([^:\/\n]+)"")),"""")"),"allycestegmansciencemisconception.weebly.com")</f>
        <v>allycestegmansciencemisconception.weebly.com</v>
      </c>
      <c r="E3973" s="26" t="str">
        <f ca="1">IFERROR(__xludf.DUMMYFUNCTION("""COMPUTED_VALUE"""),"New")</f>
        <v>New</v>
      </c>
      <c r="F3973" s="72">
        <v>94</v>
      </c>
      <c r="G3973" s="72">
        <v>4297852</v>
      </c>
      <c r="P3973" s="26"/>
    </row>
    <row r="3974" spans="1:16" ht="14.5">
      <c r="A3974" s="3" t="s">
        <v>255</v>
      </c>
      <c r="B3974" s="12" t="s">
        <v>2867</v>
      </c>
      <c r="C3974" s="46" t="s">
        <v>7906</v>
      </c>
      <c r="D3974" s="41" t="str">
        <f ca="1">IFERROR(__xludf.DUMMYFUNCTION("IFERROR(ARRAYFORMULA(REGEXEXTRACT(C3974,""^(?:https?:\/\/)?(?:[^@\n]+@)?(?:www\.)?([^:\/\n]+)"")),"""")"),"anastasialuc.wixsite.com")</f>
        <v>anastasialuc.wixsite.com</v>
      </c>
      <c r="E3974" s="26" t="str">
        <f ca="1">IFERROR(__xludf.DUMMYFUNCTION("""COMPUTED_VALUE"""),"New")</f>
        <v>New</v>
      </c>
      <c r="F3974" s="72">
        <v>94</v>
      </c>
      <c r="G3974" s="72">
        <v>2028072</v>
      </c>
      <c r="P3974" s="26"/>
    </row>
    <row r="3975" spans="1:16" ht="14.5">
      <c r="A3975" s="3" t="s">
        <v>255</v>
      </c>
      <c r="B3975" s="12" t="s">
        <v>2867</v>
      </c>
      <c r="C3975" s="46" t="s">
        <v>7907</v>
      </c>
      <c r="D3975" s="41" t="str">
        <f ca="1">IFERROR(__xludf.DUMMYFUNCTION("IFERROR(ARRAYFORMULA(REGEXEXTRACT(C3975,""^(?:https?:\/\/)?(?:[^@\n]+@)?(?:www\.)?([^:\/\n]+)"")),"""")"),"publicradioeast.org")</f>
        <v>publicradioeast.org</v>
      </c>
      <c r="E3975" s="26" t="str">
        <f ca="1">IFERROR(__xludf.DUMMYFUNCTION("""COMPUTED_VALUE"""),"New")</f>
        <v>New</v>
      </c>
      <c r="F3975" s="72">
        <v>50</v>
      </c>
      <c r="G3975" s="72">
        <v>1936</v>
      </c>
      <c r="P3975" s="26"/>
    </row>
    <row r="3976" spans="1:16" ht="14.5">
      <c r="A3976" s="3" t="s">
        <v>255</v>
      </c>
      <c r="B3976" s="12" t="s">
        <v>2867</v>
      </c>
      <c r="C3976" s="46" t="s">
        <v>7908</v>
      </c>
      <c r="D3976" s="41" t="str">
        <f ca="1">IFERROR(__xludf.DUMMYFUNCTION("IFERROR(ARRAYFORMULA(REGEXEXTRACT(C3976,""^(?:https?:\/\/)?(?:[^@\n]+@)?(?:www\.)?([^:\/\n]+)"")),"""")"),"freereadingprogram.com")</f>
        <v>freereadingprogram.com</v>
      </c>
      <c r="E3976" s="26" t="str">
        <f ca="1">IFERROR(__xludf.DUMMYFUNCTION("""COMPUTED_VALUE"""),"New")</f>
        <v>New</v>
      </c>
      <c r="F3976" s="72">
        <v>34</v>
      </c>
      <c r="G3976" s="72">
        <v>4419</v>
      </c>
      <c r="P3976" s="26"/>
    </row>
    <row r="3977" spans="1:16" ht="14.5">
      <c r="A3977" s="3" t="s">
        <v>255</v>
      </c>
      <c r="B3977" s="12" t="s">
        <v>2867</v>
      </c>
      <c r="C3977" s="46" t="s">
        <v>7909</v>
      </c>
      <c r="D3977" s="41" t="str">
        <f ca="1">IFERROR(__xludf.DUMMYFUNCTION("IFERROR(ARRAYFORMULA(REGEXEXTRACT(C3977,""^(?:https?:\/\/)?(?:[^@\n]+@)?(?:www\.)?([^:\/\n]+)"")),"""")"),"ztec100.com")</f>
        <v>ztec100.com</v>
      </c>
      <c r="E3977" s="26" t="str">
        <f ca="1">IFERROR(__xludf.DUMMYFUNCTION("""COMPUTED_VALUE"""),"New")</f>
        <v>New</v>
      </c>
      <c r="F3977" s="72">
        <v>38</v>
      </c>
      <c r="G3977" s="72">
        <v>8814</v>
      </c>
      <c r="P3977" s="26"/>
    </row>
    <row r="3978" spans="1:16" ht="14.5">
      <c r="A3978" s="3" t="s">
        <v>255</v>
      </c>
      <c r="B3978" s="12" t="s">
        <v>2867</v>
      </c>
      <c r="C3978" s="46" t="s">
        <v>7910</v>
      </c>
      <c r="D3978" s="41" t="str">
        <f ca="1">IFERROR(__xludf.DUMMYFUNCTION("IFERROR(ARRAYFORMULA(REGEXEXTRACT(C3978,""^(?:https?:\/\/)?(?:[^@\n]+@)?(?:www\.)?([^:\/\n]+)"")),"""")"),"capesteamahead.cargo.site")</f>
        <v>capesteamahead.cargo.site</v>
      </c>
      <c r="E3978" s="26" t="str">
        <f ca="1">IFERROR(__xludf.DUMMYFUNCTION("""COMPUTED_VALUE"""),"New")</f>
        <v>New</v>
      </c>
      <c r="F3978" s="72">
        <v>91</v>
      </c>
      <c r="G3978" s="72">
        <v>50930</v>
      </c>
      <c r="P3978" s="26"/>
    </row>
    <row r="3979" spans="1:16" ht="14.5">
      <c r="A3979" s="3" t="s">
        <v>255</v>
      </c>
      <c r="B3979" s="12" t="s">
        <v>2867</v>
      </c>
      <c r="C3979" s="46" t="s">
        <v>7911</v>
      </c>
      <c r="D3979" s="41" t="str">
        <f ca="1">IFERROR(__xludf.DUMMYFUNCTION("IFERROR(ARRAYFORMULA(REGEXEXTRACT(C3979,""^(?:https?:\/\/)?(?:[^@\n]+@)?(?:www\.)?([^:\/\n]+)"")),"""")"),"metrodetroitmommy.com")</f>
        <v>metrodetroitmommy.com</v>
      </c>
      <c r="E3979" s="26" t="str">
        <f ca="1">IFERROR(__xludf.DUMMYFUNCTION("""COMPUTED_VALUE"""),"New")</f>
        <v>New</v>
      </c>
      <c r="F3979" s="72">
        <v>30</v>
      </c>
      <c r="G3979" s="72">
        <v>1472</v>
      </c>
      <c r="P3979" s="26"/>
    </row>
    <row r="3980" spans="1:16" ht="14.5">
      <c r="A3980" s="3" t="s">
        <v>255</v>
      </c>
      <c r="B3980" s="12" t="s">
        <v>2867</v>
      </c>
      <c r="C3980" s="46" t="s">
        <v>7912</v>
      </c>
      <c r="D3980" s="41" t="str">
        <f ca="1">IFERROR(__xludf.DUMMYFUNCTION("IFERROR(ARRAYFORMULA(REGEXEXTRACT(C3980,""^(?:https?:\/\/)?(?:[^@\n]+@)?(?:www\.)?([^:\/\n]+)"")),"""")"),"knoxtntoday.com")</f>
        <v>knoxtntoday.com</v>
      </c>
      <c r="E3980" s="26" t="str">
        <f ca="1">IFERROR(__xludf.DUMMYFUNCTION("""COMPUTED_VALUE"""),"New")</f>
        <v>New</v>
      </c>
      <c r="F3980" s="72">
        <v>51</v>
      </c>
      <c r="G3980" s="72">
        <v>6854</v>
      </c>
      <c r="P3980" s="26"/>
    </row>
    <row r="3981" spans="1:16" ht="14.5">
      <c r="A3981" s="3" t="s">
        <v>255</v>
      </c>
      <c r="B3981" s="12" t="s">
        <v>2867</v>
      </c>
      <c r="C3981" s="46" t="s">
        <v>7913</v>
      </c>
      <c r="D3981" s="41" t="str">
        <f ca="1">IFERROR(__xludf.DUMMYFUNCTION("IFERROR(ARRAYFORMULA(REGEXEXTRACT(C3981,""^(?:https?:\/\/)?(?:[^@\n]+@)?(?:www\.)?([^:\/\n]+)"")),"""")"),"schoollibraryjournal.com")</f>
        <v>schoollibraryjournal.com</v>
      </c>
      <c r="E3981" s="26" t="str">
        <f ca="1">IFERROR(__xludf.DUMMYFUNCTION("""COMPUTED_VALUE"""),"New")</f>
        <v>New</v>
      </c>
      <c r="F3981" s="72">
        <v>67</v>
      </c>
      <c r="G3981" s="72">
        <v>2421</v>
      </c>
      <c r="P3981" s="26"/>
    </row>
    <row r="3982" spans="1:16" ht="14.5">
      <c r="A3982" s="3" t="s">
        <v>255</v>
      </c>
      <c r="B3982" s="12" t="s">
        <v>2867</v>
      </c>
      <c r="C3982" s="46" t="s">
        <v>7914</v>
      </c>
      <c r="D3982" s="41" t="str">
        <f ca="1">IFERROR(__xludf.DUMMYFUNCTION("IFERROR(ARRAYFORMULA(REGEXEXTRACT(C3982,""^(?:https?:\/\/)?(?:[^@\n]+@)?(?:www\.)?([^:\/\n]+)"")),"""")"),"apu.apus.edu")</f>
        <v>apu.apus.edu</v>
      </c>
      <c r="E3982" s="26" t="str">
        <f ca="1">IFERROR(__xludf.DUMMYFUNCTION("""COMPUTED_VALUE"""),"New")</f>
        <v>New</v>
      </c>
      <c r="F3982" s="72">
        <v>75</v>
      </c>
      <c r="G3982" s="72">
        <v>349327</v>
      </c>
      <c r="P3982" s="26"/>
    </row>
    <row r="3983" spans="1:16" ht="14.5">
      <c r="A3983" s="3" t="s">
        <v>255</v>
      </c>
      <c r="B3983" s="12" t="s">
        <v>2867</v>
      </c>
      <c r="C3983" s="46" t="s">
        <v>7915</v>
      </c>
      <c r="D3983" s="41" t="str">
        <f ca="1">IFERROR(__xludf.DUMMYFUNCTION("IFERROR(ARRAYFORMULA(REGEXEXTRACT(C3983,""^(?:https?:\/\/)?(?:[^@\n]+@)?(?:www\.)?([^:\/\n]+)"")),"""")"),"issuebehalf9.bitbucket.io")</f>
        <v>issuebehalf9.bitbucket.io</v>
      </c>
      <c r="E3983" s="26" t="str">
        <f ca="1">IFERROR(__xludf.DUMMYFUNCTION("""COMPUTED_VALUE"""),"New")</f>
        <v>New</v>
      </c>
      <c r="F3983" s="72">
        <v>78</v>
      </c>
      <c r="G3983" s="72">
        <v>523907</v>
      </c>
      <c r="P3983" s="26"/>
    </row>
    <row r="3984" spans="1:16" ht="14.5">
      <c r="A3984" s="3" t="s">
        <v>255</v>
      </c>
      <c r="B3984" s="12" t="s">
        <v>2867</v>
      </c>
      <c r="C3984" s="46" t="s">
        <v>7916</v>
      </c>
      <c r="D3984" s="41" t="str">
        <f ca="1">IFERROR(__xludf.DUMMYFUNCTION("IFERROR(ARRAYFORMULA(REGEXEXTRACT(C3984,""^(?:https?:\/\/)?(?:[^@\n]+@)?(?:www\.)?([^:\/\n]+)"")),"""")"),"artnglow.com")</f>
        <v>artnglow.com</v>
      </c>
      <c r="E3984" s="26" t="str">
        <f ca="1">IFERROR(__xludf.DUMMYFUNCTION("""COMPUTED_VALUE"""),"New")</f>
        <v>New</v>
      </c>
      <c r="F3984" s="72">
        <v>28</v>
      </c>
      <c r="G3984" s="72">
        <v>5127</v>
      </c>
      <c r="P3984" s="26"/>
    </row>
    <row r="3985" spans="1:16" ht="14.5">
      <c r="A3985" s="3" t="s">
        <v>255</v>
      </c>
      <c r="B3985" s="12" t="s">
        <v>2867</v>
      </c>
      <c r="C3985" s="46" t="s">
        <v>7917</v>
      </c>
      <c r="D3985" s="41" t="str">
        <f ca="1">IFERROR(__xludf.DUMMYFUNCTION("IFERROR(ARRAYFORMULA(REGEXEXTRACT(C3985,""^(?:https?:\/\/)?(?:[^@\n]+@)?(?:www\.)?([^:\/\n]+)"")),"""")"),"crestcapital.com")</f>
        <v>crestcapital.com</v>
      </c>
      <c r="E3985" s="26" t="str">
        <f ca="1">IFERROR(__xludf.DUMMYFUNCTION("""COMPUTED_VALUE"""),"New")</f>
        <v>New</v>
      </c>
      <c r="F3985" s="72">
        <v>70</v>
      </c>
      <c r="G3985" s="72">
        <v>45411</v>
      </c>
      <c r="P3985" s="26"/>
    </row>
    <row r="3986" spans="1:16" ht="14.5">
      <c r="A3986" s="3" t="s">
        <v>255</v>
      </c>
      <c r="B3986" s="12" t="s">
        <v>2867</v>
      </c>
      <c r="C3986" s="46" t="s">
        <v>7918</v>
      </c>
      <c r="D3986" s="41" t="str">
        <f ca="1">IFERROR(__xludf.DUMMYFUNCTION("IFERROR(ARRAYFORMULA(REGEXEXTRACT(C3986,""^(?:https?:\/\/)?(?:[^@\n]+@)?(?:www\.)?([^:\/\n]+)"")),"""")"),"miller.slps.org")</f>
        <v>miller.slps.org</v>
      </c>
      <c r="E3986" s="26" t="str">
        <f ca="1">IFERROR(__xludf.DUMMYFUNCTION("""COMPUTED_VALUE"""),"New")</f>
        <v>New</v>
      </c>
      <c r="F3986" s="72">
        <v>58</v>
      </c>
      <c r="G3986" s="72">
        <v>17693</v>
      </c>
      <c r="P3986" s="26"/>
    </row>
    <row r="3987" spans="1:16" ht="14.5">
      <c r="A3987" s="3" t="s">
        <v>255</v>
      </c>
      <c r="B3987" s="12" t="s">
        <v>2867</v>
      </c>
      <c r="C3987" s="46" t="s">
        <v>7919</v>
      </c>
      <c r="D3987" s="41" t="str">
        <f ca="1">IFERROR(__xludf.DUMMYFUNCTION("IFERROR(ARRAYFORMULA(REGEXEXTRACT(C3987,""^(?:https?:\/\/)?(?:[^@\n]+@)?(?:www\.)?([^:\/\n]+)"")),"""")"),"incubate-learning.kit.com")</f>
        <v>incubate-learning.kit.com</v>
      </c>
      <c r="E3987" s="26" t="str">
        <f ca="1">IFERROR(__xludf.DUMMYFUNCTION("""COMPUTED_VALUE"""),"New")</f>
        <v>New</v>
      </c>
      <c r="F3987" s="72">
        <v>91</v>
      </c>
      <c r="G3987" s="72">
        <v>114692</v>
      </c>
      <c r="P3987" s="26"/>
    </row>
    <row r="3988" spans="1:16" ht="14.5">
      <c r="A3988" s="3" t="s">
        <v>255</v>
      </c>
      <c r="B3988" s="12" t="s">
        <v>2867</v>
      </c>
      <c r="C3988" s="46" t="s">
        <v>7920</v>
      </c>
      <c r="D3988" s="41" t="str">
        <f ca="1">IFERROR(__xludf.DUMMYFUNCTION("IFERROR(ARRAYFORMULA(REGEXEXTRACT(C3988,""^(?:https?:\/\/)?(?:[^@\n]+@)?(?:www\.)?([^:\/\n]+)"")),"""")"),"eepro.naaee.org")</f>
        <v>eepro.naaee.org</v>
      </c>
      <c r="E3988" s="26" t="str">
        <f ca="1">IFERROR(__xludf.DUMMYFUNCTION("""COMPUTED_VALUE"""),"New")</f>
        <v>New</v>
      </c>
      <c r="F3988" s="72">
        <v>72</v>
      </c>
      <c r="G3988" s="72">
        <v>3486</v>
      </c>
      <c r="P3988" s="26"/>
    </row>
    <row r="3989" spans="1:16" ht="14.5">
      <c r="A3989" s="3" t="s">
        <v>255</v>
      </c>
      <c r="B3989" s="12" t="s">
        <v>2867</v>
      </c>
      <c r="C3989" s="46" t="s">
        <v>7921</v>
      </c>
      <c r="D3989" s="41" t="str">
        <f ca="1">IFERROR(__xludf.DUMMYFUNCTION("IFERROR(ARRAYFORMULA(REGEXEXTRACT(C3989,""^(?:https?:\/\/)?(?:[^@\n]+@)?(?:www\.)?([^:\/\n]+)"")),"""")"),"unit.hlc.edu.tw")</f>
        <v>unit.hlc.edu.tw</v>
      </c>
      <c r="E3989" s="26" t="str">
        <f ca="1">IFERROR(__xludf.DUMMYFUNCTION("""COMPUTED_VALUE"""),"New")</f>
        <v>New</v>
      </c>
      <c r="F3989" s="72">
        <v>61</v>
      </c>
      <c r="G3989" s="72">
        <v>45327</v>
      </c>
      <c r="P3989" s="26"/>
    </row>
    <row r="3990" spans="1:16" ht="14.5">
      <c r="A3990" s="3" t="s">
        <v>255</v>
      </c>
      <c r="B3990" s="12" t="s">
        <v>2867</v>
      </c>
      <c r="C3990" s="46" t="s">
        <v>7922</v>
      </c>
      <c r="D3990" s="41" t="str">
        <f ca="1">IFERROR(__xludf.DUMMYFUNCTION("IFERROR(ARRAYFORMULA(REGEXEXTRACT(C3990,""^(?:https?:\/\/)?(?:[^@\n]+@)?(?:www\.)?([^:\/\n]+)"")),"""")"),"teachingchannel.com")</f>
        <v>teachingchannel.com</v>
      </c>
      <c r="E3990" s="26" t="str">
        <f ca="1">IFERROR(__xludf.DUMMYFUNCTION("""COMPUTED_VALUE"""),"New")</f>
        <v>New</v>
      </c>
      <c r="F3990" s="72">
        <v>66</v>
      </c>
      <c r="G3990" s="72">
        <v>40334</v>
      </c>
      <c r="P3990" s="26"/>
    </row>
    <row r="3991" spans="1:16" ht="14.5">
      <c r="A3991" s="3" t="s">
        <v>255</v>
      </c>
      <c r="B3991" s="12" t="s">
        <v>2867</v>
      </c>
      <c r="C3991" s="46" t="s">
        <v>7923</v>
      </c>
      <c r="D3991" s="41" t="str">
        <f ca="1">IFERROR(__xludf.DUMMYFUNCTION("IFERROR(ARRAYFORMULA(REGEXEXTRACT(C3991,""^(?:https?:\/\/)?(?:[^@\n]+@)?(?:www\.)?([^:\/\n]+)"")),"""")"),"jetlearn.com")</f>
        <v>jetlearn.com</v>
      </c>
      <c r="E3991" s="26" t="str">
        <f ca="1">IFERROR(__xludf.DUMMYFUNCTION("""COMPUTED_VALUE"""),"New")</f>
        <v>New</v>
      </c>
      <c r="F3991" s="72">
        <v>45</v>
      </c>
      <c r="G3991" s="72">
        <v>4055</v>
      </c>
      <c r="P3991" s="26"/>
    </row>
    <row r="3992" spans="1:16" ht="14.5">
      <c r="A3992" s="3" t="s">
        <v>255</v>
      </c>
      <c r="B3992" s="12" t="s">
        <v>2867</v>
      </c>
      <c r="C3992" s="46" t="s">
        <v>7924</v>
      </c>
      <c r="D3992" s="41" t="str">
        <f ca="1">IFERROR(__xludf.DUMMYFUNCTION("IFERROR(ARRAYFORMULA(REGEXEXTRACT(C3992,""^(?:https?:\/\/)?(?:[^@\n]+@)?(?:www\.)?([^:\/\n]+)"")),"""")"),"itep.nau.edu")</f>
        <v>itep.nau.edu</v>
      </c>
      <c r="E3992" s="26" t="str">
        <f ca="1">IFERROR(__xludf.DUMMYFUNCTION("""COMPUTED_VALUE"""),"New")</f>
        <v>New</v>
      </c>
      <c r="F3992" s="72">
        <v>81</v>
      </c>
      <c r="G3992" s="72">
        <v>175344</v>
      </c>
      <c r="P3992" s="26"/>
    </row>
    <row r="3993" spans="1:16" ht="14.5">
      <c r="A3993" s="3" t="s">
        <v>255</v>
      </c>
      <c r="B3993" s="12" t="s">
        <v>2867</v>
      </c>
      <c r="C3993" s="46" t="s">
        <v>7925</v>
      </c>
      <c r="D3993" s="41" t="str">
        <f ca="1">IFERROR(__xludf.DUMMYFUNCTION("IFERROR(ARRAYFORMULA(REGEXEXTRACT(C3993,""^(?:https?:\/\/)?(?:[^@\n]+@)?(?:www\.)?([^:\/\n]+)"")),"""")"),"preventionweb.net")</f>
        <v>preventionweb.net</v>
      </c>
      <c r="E3993" s="26" t="str">
        <f ca="1">IFERROR(__xludf.DUMMYFUNCTION("""COMPUTED_VALUE"""),"New")</f>
        <v>New</v>
      </c>
      <c r="F3993" s="72">
        <v>78</v>
      </c>
      <c r="G3993" s="72">
        <v>47286</v>
      </c>
      <c r="P3993" s="26"/>
    </row>
    <row r="3994" spans="1:16" ht="14.5">
      <c r="A3994" s="3" t="s">
        <v>255</v>
      </c>
      <c r="B3994" s="12" t="s">
        <v>2867</v>
      </c>
      <c r="C3994" s="46" t="s">
        <v>7926</v>
      </c>
      <c r="D3994" s="41" t="str">
        <f ca="1">IFERROR(__xludf.DUMMYFUNCTION("IFERROR(ARRAYFORMULA(REGEXEXTRACT(C3994,""^(?:https?:\/\/)?(?:[^@\n]+@)?(?:www\.)?([^:\/\n]+)"")),"""")"),"wardsworld.wardsci.com")</f>
        <v>wardsworld.wardsci.com</v>
      </c>
      <c r="E3994" s="26" t="str">
        <f ca="1">IFERROR(__xludf.DUMMYFUNCTION("""COMPUTED_VALUE"""),"New")</f>
        <v>New</v>
      </c>
      <c r="F3994" s="72">
        <v>58</v>
      </c>
      <c r="G3994" s="72">
        <v>5479</v>
      </c>
      <c r="P3994" s="26"/>
    </row>
    <row r="3995" spans="1:16" ht="14.5">
      <c r="A3995" s="3" t="s">
        <v>255</v>
      </c>
      <c r="B3995" s="12" t="s">
        <v>2867</v>
      </c>
      <c r="C3995" s="46" t="s">
        <v>7927</v>
      </c>
      <c r="D3995" s="41" t="str">
        <f ca="1">IFERROR(__xludf.DUMMYFUNCTION("IFERROR(ARRAYFORMULA(REGEXEXTRACT(C3995,""^(?:https?:\/\/)?(?:[^@\n]+@)?(?:www\.)?([^:\/\n]+)"")),"""")"),"tnstate.edu")</f>
        <v>tnstate.edu</v>
      </c>
      <c r="E3995" s="26" t="str">
        <f ca="1">IFERROR(__xludf.DUMMYFUNCTION("""COMPUTED_VALUE"""),"New")</f>
        <v>New</v>
      </c>
      <c r="F3995" s="72">
        <v>72</v>
      </c>
      <c r="G3995" s="72">
        <v>45761</v>
      </c>
      <c r="P3995" s="26"/>
    </row>
    <row r="3996" spans="1:16" ht="14.5">
      <c r="A3996" s="3" t="s">
        <v>255</v>
      </c>
      <c r="B3996" s="12" t="s">
        <v>2867</v>
      </c>
      <c r="C3996" s="46" t="s">
        <v>7928</v>
      </c>
      <c r="D3996" s="41" t="str">
        <f ca="1">IFERROR(__xludf.DUMMYFUNCTION("IFERROR(ARRAYFORMULA(REGEXEXTRACT(C3996,""^(?:https?:\/\/)?(?:[^@\n]+@)?(?:www\.)?([^:\/\n]+)"")),"""")"),"teq.com")</f>
        <v>teq.com</v>
      </c>
      <c r="E3996" s="26" t="str">
        <f ca="1">IFERROR(__xludf.DUMMYFUNCTION("""COMPUTED_VALUE"""),"New")</f>
        <v>New</v>
      </c>
      <c r="F3996" s="72">
        <v>51</v>
      </c>
      <c r="G3996" s="72">
        <v>4163</v>
      </c>
      <c r="P3996" s="26"/>
    </row>
    <row r="3997" spans="1:16" ht="14.5">
      <c r="A3997" s="3" t="s">
        <v>255</v>
      </c>
      <c r="B3997" s="12" t="s">
        <v>2867</v>
      </c>
      <c r="C3997" s="46" t="s">
        <v>7929</v>
      </c>
      <c r="D3997" s="41" t="str">
        <f ca="1">IFERROR(__xludf.DUMMYFUNCTION("IFERROR(ARRAYFORMULA(REGEXEXTRACT(C3997,""^(?:https?:\/\/)?(?:[^@\n]+@)?(?:www\.)?([^:\/\n]+)"")),"""")"),"mathnasium.com")</f>
        <v>mathnasium.com</v>
      </c>
      <c r="E3997" s="26" t="str">
        <f ca="1">IFERROR(__xludf.DUMMYFUNCTION("""COMPUTED_VALUE"""),"New")</f>
        <v>New</v>
      </c>
      <c r="F3997" s="72">
        <v>72</v>
      </c>
      <c r="G3997" s="72">
        <v>640993</v>
      </c>
      <c r="P3997" s="26"/>
    </row>
    <row r="3998" spans="1:16" ht="14.5">
      <c r="A3998" s="3" t="s">
        <v>255</v>
      </c>
      <c r="B3998" s="12" t="s">
        <v>2867</v>
      </c>
      <c r="C3998" s="46" t="s">
        <v>7930</v>
      </c>
      <c r="D3998" s="41" t="str">
        <f ca="1">IFERROR(__xludf.DUMMYFUNCTION("IFERROR(ARRAYFORMULA(REGEXEXTRACT(C3998,""^(?:https?:\/\/)?(?:[^@\n]+@)?(?:www\.)?([^:\/\n]+)"")),"""")"),"blog.walkingmountains.org")</f>
        <v>blog.walkingmountains.org</v>
      </c>
      <c r="E3998" s="26" t="str">
        <f ca="1">IFERROR(__xludf.DUMMYFUNCTION("""COMPUTED_VALUE"""),"New")</f>
        <v>New</v>
      </c>
      <c r="F3998" s="72">
        <v>52</v>
      </c>
      <c r="G3998" s="72">
        <v>2450</v>
      </c>
      <c r="P3998" s="26"/>
    </row>
    <row r="3999" spans="1:16" ht="14.5">
      <c r="A3999" s="3" t="s">
        <v>255</v>
      </c>
      <c r="B3999" s="12" t="s">
        <v>2867</v>
      </c>
      <c r="C3999" s="46" t="s">
        <v>7931</v>
      </c>
      <c r="D3999" s="41" t="str">
        <f ca="1">IFERROR(__xludf.DUMMYFUNCTION("IFERROR(ARRAYFORMULA(REGEXEXTRACT(C3999,""^(?:https?:\/\/)?(?:[^@\n]+@)?(?:www\.)?([^:\/\n]+)"")),"""")"),"cruisersforum.com")</f>
        <v>cruisersforum.com</v>
      </c>
      <c r="E3999" s="26" t="str">
        <f ca="1">IFERROR(__xludf.DUMMYFUNCTION("""COMPUTED_VALUE"""),"New")</f>
        <v>New</v>
      </c>
      <c r="F3999" s="72">
        <v>56</v>
      </c>
      <c r="G3999" s="72">
        <v>9340</v>
      </c>
      <c r="P3999" s="26"/>
    </row>
    <row r="4000" spans="1:16" ht="14.5">
      <c r="A4000" s="3" t="s">
        <v>255</v>
      </c>
      <c r="B4000" s="12" t="s">
        <v>2867</v>
      </c>
      <c r="C4000" s="46" t="s">
        <v>7932</v>
      </c>
      <c r="D4000" s="41" t="str">
        <f ca="1">IFERROR(__xludf.DUMMYFUNCTION("IFERROR(ARRAYFORMULA(REGEXEXTRACT(C4000,""^(?:https?:\/\/)?(?:[^@\n]+@)?(?:www\.)?([^:\/\n]+)"")),"""")"),"blog.quizalize.com")</f>
        <v>blog.quizalize.com</v>
      </c>
      <c r="E4000" s="26" t="str">
        <f ca="1">IFERROR(__xludf.DUMMYFUNCTION("""COMPUTED_VALUE"""),"New")</f>
        <v>New</v>
      </c>
      <c r="F4000" s="72">
        <v>64</v>
      </c>
      <c r="G4000" s="72">
        <v>27192</v>
      </c>
      <c r="P4000" s="26"/>
    </row>
    <row r="4001" spans="1:16" ht="14.5">
      <c r="A4001" s="3" t="s">
        <v>255</v>
      </c>
      <c r="B4001" s="12" t="s">
        <v>2867</v>
      </c>
      <c r="C4001" s="46" t="s">
        <v>7933</v>
      </c>
      <c r="D4001" s="41" t="str">
        <f ca="1">IFERROR(__xludf.DUMMYFUNCTION("IFERROR(ARRAYFORMULA(REGEXEXTRACT(C4001,""^(?:https?:\/\/)?(?:[^@\n]+@)?(?:www\.)?([^:\/\n]+)"")),"""")"),"blog.frontrange.edu")</f>
        <v>blog.frontrange.edu</v>
      </c>
      <c r="E4001" s="26" t="str">
        <f ca="1">IFERROR(__xludf.DUMMYFUNCTION("""COMPUTED_VALUE"""),"New")</f>
        <v>New</v>
      </c>
      <c r="F4001" s="72">
        <v>61</v>
      </c>
      <c r="G4001" s="72">
        <v>22415</v>
      </c>
      <c r="P4001" s="26"/>
    </row>
    <row r="4002" spans="1:16" ht="14.5">
      <c r="A4002" s="3" t="s">
        <v>255</v>
      </c>
      <c r="B4002" s="12" t="s">
        <v>2867</v>
      </c>
      <c r="C4002" s="46" t="s">
        <v>7934</v>
      </c>
      <c r="D4002" s="41" t="str">
        <f ca="1">IFERROR(__xludf.DUMMYFUNCTION("IFERROR(ARRAYFORMULA(REGEXEXTRACT(C4002,""^(?:https?:\/\/)?(?:[^@\n]+@)?(?:www\.)?([^:\/\n]+)"")),"""")"),"northernpolarbears.com")</f>
        <v>northernpolarbears.com</v>
      </c>
      <c r="E4002" s="26" t="str">
        <f ca="1">IFERROR(__xludf.DUMMYFUNCTION("""COMPUTED_VALUE"""),"New")</f>
        <v>New</v>
      </c>
      <c r="F4002" s="72">
        <v>27</v>
      </c>
      <c r="G4002" s="72">
        <v>1164</v>
      </c>
      <c r="P4002" s="26"/>
    </row>
    <row r="4003" spans="1:16" ht="14.5">
      <c r="A4003" s="3" t="s">
        <v>255</v>
      </c>
      <c r="B4003" s="12" t="s">
        <v>2867</v>
      </c>
      <c r="C4003" s="46" t="s">
        <v>7935</v>
      </c>
      <c r="D4003" s="41" t="str">
        <f ca="1">IFERROR(__xludf.DUMMYFUNCTION("IFERROR(ARRAYFORMULA(REGEXEXTRACT(C4003,""^(?:https?:\/\/)?(?:[^@\n]+@)?(?:www\.)?([^:\/\n]+)"")),"""")"),"oklahoma.gov")</f>
        <v>oklahoma.gov</v>
      </c>
      <c r="E4003" s="26" t="str">
        <f ca="1">IFERROR(__xludf.DUMMYFUNCTION("""COMPUTED_VALUE"""),"New")</f>
        <v>New</v>
      </c>
      <c r="F4003" s="72">
        <v>86</v>
      </c>
      <c r="G4003" s="72">
        <v>504739</v>
      </c>
      <c r="P4003" s="26"/>
    </row>
    <row r="4004" spans="1:16" ht="14.5">
      <c r="A4004" s="3" t="s">
        <v>255</v>
      </c>
      <c r="B4004" s="12" t="s">
        <v>2867</v>
      </c>
      <c r="C4004" s="46" t="s">
        <v>7936</v>
      </c>
      <c r="D4004" s="41" t="str">
        <f ca="1">IFERROR(__xludf.DUMMYFUNCTION("IFERROR(ARRAYFORMULA(REGEXEXTRACT(C4004,""^(?:https?:\/\/)?(?:[^@\n]+@)?(?:www\.)?([^:\/\n]+)"")),"""")"),"newark.com")</f>
        <v>newark.com</v>
      </c>
      <c r="E4004" s="26" t="str">
        <f ca="1">IFERROR(__xludf.DUMMYFUNCTION("""COMPUTED_VALUE"""),"New")</f>
        <v>New</v>
      </c>
      <c r="F4004" s="72">
        <v>74</v>
      </c>
      <c r="G4004" s="72">
        <v>316258</v>
      </c>
      <c r="P4004" s="26"/>
    </row>
    <row r="4005" spans="1:16" ht="14.5">
      <c r="A4005" s="3" t="s">
        <v>255</v>
      </c>
      <c r="B4005" s="12" t="s">
        <v>2867</v>
      </c>
      <c r="C4005" s="46" t="s">
        <v>7937</v>
      </c>
      <c r="D4005" s="41" t="str">
        <f ca="1">IFERROR(__xludf.DUMMYFUNCTION("IFERROR(ARRAYFORMULA(REGEXEXTRACT(C4005,""^(?:https?:\/\/)?(?:[^@\n]+@)?(?:www\.)?([^:\/\n]+)"")),"""")"),"happyplumbing.com")</f>
        <v>happyplumbing.com</v>
      </c>
      <c r="E4005" s="26" t="str">
        <f ca="1">IFERROR(__xludf.DUMMYFUNCTION("""COMPUTED_VALUE"""),"New")</f>
        <v>New</v>
      </c>
      <c r="F4005" s="72">
        <v>30</v>
      </c>
      <c r="G4005" s="72">
        <v>1109</v>
      </c>
      <c r="P4005" s="26"/>
    </row>
    <row r="4006" spans="1:16" ht="14.5">
      <c r="A4006" s="3" t="s">
        <v>255</v>
      </c>
      <c r="B4006" s="12" t="s">
        <v>2867</v>
      </c>
      <c r="C4006" s="46" t="s">
        <v>7938</v>
      </c>
      <c r="D4006" s="41" t="str">
        <f ca="1">IFERROR(__xludf.DUMMYFUNCTION("IFERROR(ARRAYFORMULA(REGEXEXTRACT(C4006,""^(?:https?:\/\/)?(?:[^@\n]+@)?(?:www\.)?([^:\/\n]+)"")),"""")"),"quia.com")</f>
        <v>quia.com</v>
      </c>
      <c r="E4006" s="26" t="str">
        <f ca="1">IFERROR(__xludf.DUMMYFUNCTION("""COMPUTED_VALUE"""),"New")</f>
        <v>New</v>
      </c>
      <c r="F4006" s="72">
        <v>73</v>
      </c>
      <c r="G4006" s="72">
        <v>53132</v>
      </c>
      <c r="P4006" s="26"/>
    </row>
    <row r="4007" spans="1:16" ht="14.5">
      <c r="A4007" s="3" t="s">
        <v>255</v>
      </c>
      <c r="B4007" s="12" t="s">
        <v>2867</v>
      </c>
      <c r="C4007" s="46" t="s">
        <v>7939</v>
      </c>
      <c r="D4007" s="41" t="str">
        <f ca="1">IFERROR(__xludf.DUMMYFUNCTION("IFERROR(ARRAYFORMULA(REGEXEXTRACT(C4007,""^(?:https?:\/\/)?(?:[^@\n]+@)?(?:www\.)?([^:\/\n]+)"")),"""")"),"npr.org")</f>
        <v>npr.org</v>
      </c>
      <c r="E4007" s="26" t="str">
        <f ca="1">IFERROR(__xludf.DUMMYFUNCTION("""COMPUTED_VALUE"""),"New")</f>
        <v>New</v>
      </c>
      <c r="F4007" s="72">
        <v>92</v>
      </c>
      <c r="G4007" s="72">
        <v>7672998</v>
      </c>
      <c r="P4007" s="26"/>
    </row>
    <row r="4008" spans="1:16" ht="14.5">
      <c r="A4008" s="3" t="s">
        <v>255</v>
      </c>
      <c r="B4008" s="12" t="s">
        <v>2867</v>
      </c>
      <c r="C4008" s="46" t="s">
        <v>7940</v>
      </c>
      <c r="D4008" s="41" t="str">
        <f ca="1">IFERROR(__xludf.DUMMYFUNCTION("IFERROR(ARRAYFORMULA(REGEXEXTRACT(C4008,""^(?:https?:\/\/)?(?:[^@\n]+@)?(?:www\.)?([^:\/\n]+)"")),"""")"),"uts.edu.au")</f>
        <v>uts.edu.au</v>
      </c>
      <c r="E4008" s="26" t="str">
        <f ca="1">IFERROR(__xludf.DUMMYFUNCTION("""COMPUTED_VALUE"""),"New")</f>
        <v>New</v>
      </c>
      <c r="F4008" s="72">
        <v>83</v>
      </c>
      <c r="G4008" s="72">
        <v>166508</v>
      </c>
      <c r="P4008" s="26"/>
    </row>
    <row r="4009" spans="1:16" ht="14.5">
      <c r="A4009" s="3" t="s">
        <v>255</v>
      </c>
      <c r="B4009" s="12" t="s">
        <v>2867</v>
      </c>
      <c r="C4009" s="46" t="s">
        <v>7941</v>
      </c>
      <c r="D4009" s="41" t="str">
        <f ca="1">IFERROR(__xludf.DUMMYFUNCTION("IFERROR(ARRAYFORMULA(REGEXEXTRACT(C4009,""^(?:https?:\/\/)?(?:[^@\n]+@)?(?:www\.)?([^:\/\n]+)"")),"""")"),"clarke.k12.va.us")</f>
        <v>clarke.k12.va.us</v>
      </c>
      <c r="E4009" s="26" t="str">
        <f ca="1">IFERROR(__xludf.DUMMYFUNCTION("""COMPUTED_VALUE"""),"New")</f>
        <v>New</v>
      </c>
      <c r="F4009" s="72">
        <v>26</v>
      </c>
      <c r="G4009" s="72">
        <v>1437</v>
      </c>
      <c r="P4009" s="26"/>
    </row>
    <row r="4010" spans="1:16" ht="14.5">
      <c r="A4010" s="3" t="s">
        <v>255</v>
      </c>
      <c r="B4010" s="12" t="s">
        <v>2867</v>
      </c>
      <c r="C4010" s="46" t="s">
        <v>7942</v>
      </c>
      <c r="D4010" s="41" t="str">
        <f ca="1">IFERROR(__xludf.DUMMYFUNCTION("IFERROR(ARRAYFORMULA(REGEXEXTRACT(C4010,""^(?:https?:\/\/)?(?:[^@\n]+@)?(?:www\.)?([^:\/\n]+)"")),"""")"),"nassp.org")</f>
        <v>nassp.org</v>
      </c>
      <c r="E4010" s="26" t="str">
        <f ca="1">IFERROR(__xludf.DUMMYFUNCTION("""COMPUTED_VALUE"""),"New")</f>
        <v>New</v>
      </c>
      <c r="F4010" s="72">
        <v>72</v>
      </c>
      <c r="G4010" s="72">
        <v>10246</v>
      </c>
      <c r="P4010" s="26"/>
    </row>
    <row r="4011" spans="1:16" ht="14.5">
      <c r="A4011" s="3" t="s">
        <v>255</v>
      </c>
      <c r="B4011" s="12" t="s">
        <v>2867</v>
      </c>
      <c r="C4011" s="46" t="s">
        <v>7943</v>
      </c>
      <c r="D4011" s="41" t="str">
        <f ca="1">IFERROR(__xludf.DUMMYFUNCTION("IFERROR(ARRAYFORMULA(REGEXEXTRACT(C4011,""^(?:https?:\/\/)?(?:[^@\n]+@)?(?:www\.)?([^:\/\n]+)"")),"""")"),"bildungsserver.de")</f>
        <v>bildungsserver.de</v>
      </c>
      <c r="E4011" s="26" t="str">
        <f ca="1">IFERROR(__xludf.DUMMYFUNCTION("""COMPUTED_VALUE"""),"New")</f>
        <v>New</v>
      </c>
      <c r="F4011" s="72">
        <v>76</v>
      </c>
      <c r="G4011" s="72">
        <v>97138</v>
      </c>
      <c r="P4011" s="26"/>
    </row>
    <row r="4012" spans="1:16" ht="14.5">
      <c r="A4012" s="3" t="s">
        <v>255</v>
      </c>
      <c r="B4012" s="12" t="s">
        <v>2867</v>
      </c>
      <c r="C4012" s="46" t="s">
        <v>7944</v>
      </c>
      <c r="D4012" s="41" t="str">
        <f ca="1">IFERROR(__xludf.DUMMYFUNCTION("IFERROR(ARRAYFORMULA(REGEXEXTRACT(C4012,""^(?:https?:\/\/)?(?:[^@\n]+@)?(?:www\.)?([^:\/\n]+)"")),"""")"),"intellectdiscover.com")</f>
        <v>intellectdiscover.com</v>
      </c>
      <c r="E4012" s="26" t="str">
        <f ca="1">IFERROR(__xludf.DUMMYFUNCTION("""COMPUTED_VALUE"""),"New")</f>
        <v>New</v>
      </c>
      <c r="F4012" s="72">
        <v>74</v>
      </c>
      <c r="G4012" s="72">
        <v>2546</v>
      </c>
      <c r="P4012" s="26"/>
    </row>
    <row r="4013" spans="1:16" ht="14.5">
      <c r="A4013" s="3" t="s">
        <v>255</v>
      </c>
      <c r="B4013" s="12" t="s">
        <v>2867</v>
      </c>
      <c r="C4013" s="46" t="s">
        <v>7945</v>
      </c>
      <c r="D4013" s="41" t="str">
        <f ca="1">IFERROR(__xludf.DUMMYFUNCTION("IFERROR(ARRAYFORMULA(REGEXEXTRACT(C4013,""^(?:https?:\/\/)?(?:[^@\n]+@)?(?:www\.)?([^:\/\n]+)"")),"""")"),"sciencealert.com")</f>
        <v>sciencealert.com</v>
      </c>
      <c r="E4013" s="26" t="str">
        <f ca="1">IFERROR(__xludf.DUMMYFUNCTION("""COMPUTED_VALUE"""),"New")</f>
        <v>New</v>
      </c>
      <c r="F4013" s="72">
        <v>84</v>
      </c>
      <c r="G4013" s="72">
        <v>187582</v>
      </c>
      <c r="P4013" s="26"/>
    </row>
    <row r="4014" spans="1:16" ht="14.5">
      <c r="A4014" s="3" t="s">
        <v>255</v>
      </c>
      <c r="B4014" s="12" t="s">
        <v>2867</v>
      </c>
      <c r="C4014" s="46" t="s">
        <v>7946</v>
      </c>
      <c r="D4014" s="41" t="str">
        <f ca="1">IFERROR(__xludf.DUMMYFUNCTION("IFERROR(ARRAYFORMULA(REGEXEXTRACT(C4014,""^(?:https?:\/\/)?(?:[^@\n]+@)?(?:www\.)?([^:\/\n]+)"")),"""")"),"see-sciencecenter.org")</f>
        <v>see-sciencecenter.org</v>
      </c>
      <c r="E4014" s="26" t="str">
        <f ca="1">IFERROR(__xludf.DUMMYFUNCTION("""COMPUTED_VALUE"""),"New")</f>
        <v>New</v>
      </c>
      <c r="F4014" s="72">
        <v>42</v>
      </c>
      <c r="G4014" s="72">
        <v>1589</v>
      </c>
      <c r="P4014" s="26"/>
    </row>
    <row r="4015" spans="1:16" ht="14.5">
      <c r="A4015" s="3" t="s">
        <v>255</v>
      </c>
      <c r="B4015" s="12" t="s">
        <v>2867</v>
      </c>
      <c r="C4015" s="46" t="s">
        <v>7947</v>
      </c>
      <c r="D4015" s="41" t="str">
        <f ca="1">IFERROR(__xludf.DUMMYFUNCTION("IFERROR(ARRAYFORMULA(REGEXEXTRACT(C4015,""^(?:https?:\/\/)?(?:[^@\n]+@)?(?:www\.)?([^:\/\n]+)"")),"""")"),"designer-daily.com")</f>
        <v>designer-daily.com</v>
      </c>
      <c r="E4015" s="26" t="str">
        <f ca="1">IFERROR(__xludf.DUMMYFUNCTION("""COMPUTED_VALUE"""),"New")</f>
        <v>New</v>
      </c>
      <c r="F4015" s="72">
        <v>67</v>
      </c>
      <c r="G4015" s="72">
        <v>2022</v>
      </c>
      <c r="P4015" s="26"/>
    </row>
    <row r="4016" spans="1:16" ht="14.5">
      <c r="A4016" s="3" t="s">
        <v>255</v>
      </c>
      <c r="B4016" s="12" t="s">
        <v>2867</v>
      </c>
      <c r="C4016" s="46" t="s">
        <v>7948</v>
      </c>
      <c r="D4016" s="41" t="str">
        <f ca="1">IFERROR(__xludf.DUMMYFUNCTION("IFERROR(ARRAYFORMULA(REGEXEXTRACT(C4016,""^(?:https?:\/\/)?(?:[^@\n]+@)?(?:www\.)?([^:\/\n]+)"")),"""")"),"scetv.org")</f>
        <v>scetv.org</v>
      </c>
      <c r="E4016" s="26" t="str">
        <f ca="1">IFERROR(__xludf.DUMMYFUNCTION("""COMPUTED_VALUE"""),"New")</f>
        <v>New</v>
      </c>
      <c r="F4016" s="72">
        <v>67</v>
      </c>
      <c r="G4016" s="72">
        <v>8251</v>
      </c>
      <c r="P4016" s="26"/>
    </row>
    <row r="4017" spans="1:16" ht="14.5">
      <c r="A4017" s="3" t="s">
        <v>255</v>
      </c>
      <c r="B4017" s="12" t="s">
        <v>2867</v>
      </c>
      <c r="C4017" s="46" t="s">
        <v>7949</v>
      </c>
      <c r="D4017" s="41" t="str">
        <f ca="1">IFERROR(__xludf.DUMMYFUNCTION("IFERROR(ARRAYFORMULA(REGEXEXTRACT(C4017,""^(?:https?:\/\/)?(?:[^@\n]+@)?(?:www\.)?([^:\/\n]+)"")),"""")"),"zenodo.org")</f>
        <v>zenodo.org</v>
      </c>
      <c r="E4017" s="26" t="str">
        <f ca="1">IFERROR(__xludf.DUMMYFUNCTION("""COMPUTED_VALUE"""),"New")</f>
        <v>New</v>
      </c>
      <c r="F4017" s="72">
        <v>90</v>
      </c>
      <c r="G4017" s="72">
        <v>48874</v>
      </c>
      <c r="P4017" s="26"/>
    </row>
    <row r="4018" spans="1:16" ht="14.5">
      <c r="A4018" s="3" t="s">
        <v>255</v>
      </c>
      <c r="B4018" s="12" t="s">
        <v>2867</v>
      </c>
      <c r="C4018" s="46" t="s">
        <v>7950</v>
      </c>
      <c r="D4018" s="41" t="str">
        <f ca="1">IFERROR(__xludf.DUMMYFUNCTION("IFERROR(ARRAYFORMULA(REGEXEXTRACT(C4018,""^(?:https?:\/\/)?(?:[^@\n]+@)?(?:www\.)?([^:\/\n]+)"")),"""")"),"volpe.dot.gov")</f>
        <v>volpe.dot.gov</v>
      </c>
      <c r="E4018" s="26" t="str">
        <f ca="1">IFERROR(__xludf.DUMMYFUNCTION("""COMPUTED_VALUE"""),"New")</f>
        <v>New</v>
      </c>
      <c r="F4018" s="72">
        <v>91</v>
      </c>
      <c r="G4018" s="72">
        <v>2193435</v>
      </c>
      <c r="P4018" s="26"/>
    </row>
    <row r="4019" spans="1:16" ht="14.5">
      <c r="A4019" s="3" t="s">
        <v>255</v>
      </c>
      <c r="B4019" s="12" t="s">
        <v>2867</v>
      </c>
      <c r="C4019" s="46" t="s">
        <v>7951</v>
      </c>
      <c r="D4019" s="41" t="str">
        <f ca="1">IFERROR(__xludf.DUMMYFUNCTION("IFERROR(ARRAYFORMULA(REGEXEXTRACT(C4019,""^(?:https?:\/\/)?(?:[^@\n]+@)?(?:www\.)?([^:\/\n]+)"")),"""")"),"extendedstudies.ucsd.edu")</f>
        <v>extendedstudies.ucsd.edu</v>
      </c>
      <c r="E4019" s="26" t="str">
        <f ca="1">IFERROR(__xludf.DUMMYFUNCTION("""COMPUTED_VALUE"""),"New")</f>
        <v>New</v>
      </c>
      <c r="F4019" s="72">
        <v>90</v>
      </c>
      <c r="G4019" s="72">
        <v>1176132</v>
      </c>
      <c r="P4019" s="26"/>
    </row>
    <row r="4020" spans="1:16" ht="14.5">
      <c r="A4020" s="3" t="s">
        <v>255</v>
      </c>
      <c r="B4020" s="12" t="s">
        <v>2867</v>
      </c>
      <c r="C4020" s="46" t="s">
        <v>7952</v>
      </c>
      <c r="D4020" s="41" t="str">
        <f ca="1">IFERROR(__xludf.DUMMYFUNCTION("IFERROR(ARRAYFORMULA(REGEXEXTRACT(C4020,""^(?:https?:\/\/)?(?:[^@\n]+@)?(?:www\.)?([^:\/\n]+)"")),"""")"),"ocw.tau.edu.ng")</f>
        <v>ocw.tau.edu.ng</v>
      </c>
      <c r="E4020" s="26" t="str">
        <f ca="1">IFERROR(__xludf.DUMMYFUNCTION("""COMPUTED_VALUE"""),"New")</f>
        <v>New</v>
      </c>
      <c r="F4020" s="72">
        <v>43</v>
      </c>
      <c r="G4020" s="72">
        <v>7616</v>
      </c>
      <c r="P4020" s="26"/>
    </row>
    <row r="4021" spans="1:16" ht="14.5">
      <c r="A4021" s="3" t="s">
        <v>255</v>
      </c>
      <c r="B4021" s="12" t="s">
        <v>2867</v>
      </c>
      <c r="C4021" s="46" t="s">
        <v>7953</v>
      </c>
      <c r="D4021" s="41" t="str">
        <f ca="1">IFERROR(__xludf.DUMMYFUNCTION("IFERROR(ARRAYFORMULA(REGEXEXTRACT(C4021,""^(?:https?:\/\/)?(?:[^@\n]+@)?(?:www\.)?([^:\/\n]+)"")),"""")"),"web.uri.edu")</f>
        <v>web.uri.edu</v>
      </c>
      <c r="E4021" s="26" t="str">
        <f ca="1">IFERROR(__xludf.DUMMYFUNCTION("""COMPUTED_VALUE"""),"New")</f>
        <v>New</v>
      </c>
      <c r="F4021" s="72">
        <v>81</v>
      </c>
      <c r="G4021" s="72">
        <v>133638</v>
      </c>
      <c r="P4021" s="26"/>
    </row>
    <row r="4022" spans="1:16" ht="14.5">
      <c r="A4022" s="3" t="s">
        <v>255</v>
      </c>
      <c r="B4022" s="12" t="s">
        <v>2867</v>
      </c>
      <c r="C4022" s="46" t="s">
        <v>7954</v>
      </c>
      <c r="D4022" s="41" t="str">
        <f ca="1">IFERROR(__xludf.DUMMYFUNCTION("IFERROR(ARRAYFORMULA(REGEXEXTRACT(C4022,""^(?:https?:\/\/)?(?:[^@\n]+@)?(?:www\.)?([^:\/\n]+)"")),"""")"),"charlotteparent.com")</f>
        <v>charlotteparent.com</v>
      </c>
      <c r="E4022" s="26" t="str">
        <f ca="1">IFERROR(__xludf.DUMMYFUNCTION("""COMPUTED_VALUE"""),"New")</f>
        <v>New</v>
      </c>
      <c r="F4022" s="72">
        <v>51</v>
      </c>
      <c r="G4022" s="72">
        <v>4094</v>
      </c>
      <c r="P4022" s="26"/>
    </row>
    <row r="4023" spans="1:16" ht="14.5">
      <c r="A4023" s="3" t="s">
        <v>255</v>
      </c>
      <c r="B4023" s="12" t="s">
        <v>2867</v>
      </c>
      <c r="C4023" s="46" t="s">
        <v>7955</v>
      </c>
      <c r="D4023" s="41" t="str">
        <f ca="1">IFERROR(__xludf.DUMMYFUNCTION("IFERROR(ARRAYFORMULA(REGEXEXTRACT(C4023,""^(?:https?:\/\/)?(?:[^@\n]+@)?(?:www\.)?([^:\/\n]+)"")),"""")"),"virtuallibrary.info")</f>
        <v>virtuallibrary.info</v>
      </c>
      <c r="E4023" s="26" t="str">
        <f ca="1">IFERROR(__xludf.DUMMYFUNCTION("""COMPUTED_VALUE"""),"New")</f>
        <v>New</v>
      </c>
      <c r="F4023" s="72">
        <v>39</v>
      </c>
      <c r="G4023" s="72">
        <v>4366</v>
      </c>
      <c r="P4023" s="26"/>
    </row>
    <row r="4024" spans="1:16" ht="14.5">
      <c r="A4024" s="3" t="s">
        <v>255</v>
      </c>
      <c r="B4024" s="12" t="s">
        <v>2867</v>
      </c>
      <c r="C4024" s="46" t="s">
        <v>7956</v>
      </c>
      <c r="D4024" s="41" t="str">
        <f ca="1">IFERROR(__xludf.DUMMYFUNCTION("IFERROR(ARRAYFORMULA(REGEXEXTRACT(C4024,""^(?:https?:\/\/)?(?:[^@\n]+@)?(?:www\.)?([^:\/\n]+)"")),"""")"),"forums.atozteacherstuff.com")</f>
        <v>forums.atozteacherstuff.com</v>
      </c>
      <c r="E4024" s="26" t="str">
        <f ca="1">IFERROR(__xludf.DUMMYFUNCTION("""COMPUTED_VALUE"""),"New")</f>
        <v>New</v>
      </c>
      <c r="F4024" s="72">
        <v>62</v>
      </c>
      <c r="G4024" s="72">
        <v>19952</v>
      </c>
      <c r="P4024" s="26"/>
    </row>
    <row r="4025" spans="1:16" ht="14.5">
      <c r="A4025" s="3" t="s">
        <v>255</v>
      </c>
      <c r="B4025" s="12" t="s">
        <v>2867</v>
      </c>
      <c r="C4025" s="46" t="s">
        <v>7957</v>
      </c>
      <c r="D4025" s="41" t="str">
        <f ca="1">IFERROR(__xludf.DUMMYFUNCTION("IFERROR(ARRAYFORMULA(REGEXEXTRACT(C4025,""^(?:https?:\/\/)?(?:[^@\n]+@)?(?:www\.)?([^:\/\n]+)"")),"""")"),"clixplatform.tiss.edu")</f>
        <v>clixplatform.tiss.edu</v>
      </c>
      <c r="E4025" s="26" t="str">
        <f ca="1">IFERROR(__xludf.DUMMYFUNCTION("""COMPUTED_VALUE"""),"New")</f>
        <v>New</v>
      </c>
      <c r="F4025" s="72">
        <v>71</v>
      </c>
      <c r="G4025" s="72">
        <v>10168</v>
      </c>
      <c r="P4025" s="26"/>
    </row>
    <row r="4026" spans="1:16" ht="14.5">
      <c r="A4026" s="3" t="s">
        <v>255</v>
      </c>
      <c r="B4026" s="12" t="s">
        <v>2867</v>
      </c>
      <c r="C4026" s="46" t="s">
        <v>7958</v>
      </c>
      <c r="D4026" s="41" t="str">
        <f ca="1">IFERROR(__xludf.DUMMYFUNCTION("IFERROR(ARRAYFORMULA(REGEXEXTRACT(C4026,""^(?:https?:\/\/)?(?:[^@\n]+@)?(?:www\.)?([^:\/\n]+)"")),"""")"),"pnnl.gov")</f>
        <v>pnnl.gov</v>
      </c>
      <c r="E4026" s="26" t="str">
        <f ca="1">IFERROR(__xludf.DUMMYFUNCTION("""COMPUTED_VALUE"""),"New")</f>
        <v>New</v>
      </c>
      <c r="F4026" s="72">
        <v>81</v>
      </c>
      <c r="G4026" s="72">
        <v>48276</v>
      </c>
      <c r="P4026" s="26"/>
    </row>
    <row r="4027" spans="1:16" ht="14.5">
      <c r="A4027" s="3" t="s">
        <v>255</v>
      </c>
      <c r="B4027" s="12" t="s">
        <v>2867</v>
      </c>
      <c r="C4027" s="46" t="s">
        <v>7959</v>
      </c>
      <c r="D4027" s="41" t="str">
        <f ca="1">IFERROR(__xludf.DUMMYFUNCTION("IFERROR(ARRAYFORMULA(REGEXEXTRACT(C4027,""^(?:https?:\/\/)?(?:[^@\n]+@)?(?:www\.)?([^:\/\n]+)"")),"""")"),"schoolweb.tdsb.on.ca")</f>
        <v>schoolweb.tdsb.on.ca</v>
      </c>
      <c r="E4027" s="26" t="str">
        <f ca="1">IFERROR(__xludf.DUMMYFUNCTION("""COMPUTED_VALUE"""),"New")</f>
        <v>New</v>
      </c>
      <c r="F4027" s="72">
        <v>75</v>
      </c>
      <c r="G4027" s="72">
        <v>169577</v>
      </c>
      <c r="P4027" s="26"/>
    </row>
    <row r="4028" spans="1:16" ht="14.5">
      <c r="A4028" s="3" t="s">
        <v>255</v>
      </c>
      <c r="B4028" s="12" t="s">
        <v>2867</v>
      </c>
      <c r="C4028" s="46" t="s">
        <v>7960</v>
      </c>
      <c r="D4028" s="41" t="str">
        <f ca="1">IFERROR(__xludf.DUMMYFUNCTION("IFERROR(ARRAYFORMULA(REGEXEXTRACT(C4028,""^(?:https?:\/\/)?(?:[^@\n]+@)?(?:www\.)?([^:\/\n]+)"")),"""")"),"fmri-materials-college.eng.usf.edu")</f>
        <v>fmri-materials-college.eng.usf.edu</v>
      </c>
      <c r="E4028" s="26" t="str">
        <f ca="1">IFERROR(__xludf.DUMMYFUNCTION("""COMPUTED_VALUE"""),"New")</f>
        <v>New</v>
      </c>
      <c r="F4028" s="72">
        <v>86</v>
      </c>
      <c r="G4028" s="72">
        <v>970675</v>
      </c>
      <c r="P4028" s="26"/>
    </row>
    <row r="4029" spans="1:16" ht="14.5">
      <c r="A4029" s="3" t="s">
        <v>255</v>
      </c>
      <c r="B4029" s="12" t="s">
        <v>2867</v>
      </c>
      <c r="C4029" s="46" t="s">
        <v>7961</v>
      </c>
      <c r="D4029" s="41" t="str">
        <f ca="1">IFERROR(__xludf.DUMMYFUNCTION("IFERROR(ARRAYFORMULA(REGEXEXTRACT(C4029,""^(?:https?:\/\/)?(?:[^@\n]+@)?(?:www\.)?([^:\/\n]+)"")),"""")"),"scoutermom.com")</f>
        <v>scoutermom.com</v>
      </c>
      <c r="E4029" s="26" t="str">
        <f ca="1">IFERROR(__xludf.DUMMYFUNCTION("""COMPUTED_VALUE"""),"New")</f>
        <v>New</v>
      </c>
      <c r="F4029" s="72">
        <v>46</v>
      </c>
      <c r="G4029" s="72">
        <v>2098</v>
      </c>
      <c r="P4029" s="26"/>
    </row>
    <row r="4030" spans="1:16" ht="14.5">
      <c r="A4030" s="3" t="s">
        <v>255</v>
      </c>
      <c r="B4030" s="12" t="s">
        <v>2867</v>
      </c>
      <c r="C4030" s="46" t="s">
        <v>7962</v>
      </c>
      <c r="D4030" s="41" t="str">
        <f ca="1">IFERROR(__xludf.DUMMYFUNCTION("IFERROR(ARRAYFORMULA(REGEXEXTRACT(C4030,""^(?:https?:\/\/)?(?:[^@\n]+@)?(?:www\.)?([^:\/\n]+)"")),"""")"),"dl.acm.org")</f>
        <v>dl.acm.org</v>
      </c>
      <c r="E4030" s="26" t="str">
        <f ca="1">IFERROR(__xludf.DUMMYFUNCTION("""COMPUTED_VALUE"""),"New")</f>
        <v>New</v>
      </c>
      <c r="F4030" s="72">
        <v>91</v>
      </c>
      <c r="G4030" s="72">
        <v>269868</v>
      </c>
      <c r="P4030" s="26"/>
    </row>
    <row r="4031" spans="1:16" ht="14.5">
      <c r="A4031" s="3" t="s">
        <v>255</v>
      </c>
      <c r="B4031" s="12" t="s">
        <v>2867</v>
      </c>
      <c r="C4031" s="46" t="s">
        <v>7963</v>
      </c>
      <c r="D4031" s="41" t="str">
        <f ca="1">IFERROR(__xludf.DUMMYFUNCTION("IFERROR(ARRAYFORMULA(REGEXEXTRACT(C4031,""^(?:https?:\/\/)?(?:[^@\n]+@)?(?:www\.)?([^:\/\n]+)"")),"""")"),"blogs.bend.k12.or.us")</f>
        <v>blogs.bend.k12.or.us</v>
      </c>
      <c r="E4031" s="26" t="str">
        <f ca="1">IFERROR(__xludf.DUMMYFUNCTION("""COMPUTED_VALUE"""),"New")</f>
        <v>New</v>
      </c>
      <c r="F4031" s="72">
        <v>51</v>
      </c>
      <c r="G4031" s="72">
        <v>5965</v>
      </c>
      <c r="P4031" s="26"/>
    </row>
    <row r="4032" spans="1:16" ht="14.5">
      <c r="A4032" s="3" t="s">
        <v>255</v>
      </c>
      <c r="B4032" s="12" t="s">
        <v>2867</v>
      </c>
      <c r="C4032" s="46" t="s">
        <v>7964</v>
      </c>
      <c r="D4032" s="41" t="str">
        <f ca="1">IFERROR(__xludf.DUMMYFUNCTION("IFERROR(ARRAYFORMULA(REGEXEXTRACT(C4032,""^(?:https?:\/\/)?(?:[^@\n]+@)?(?:www\.)?([^:\/\n]+)"")),"""")"),"eku.adventist.org")</f>
        <v>eku.adventist.org</v>
      </c>
      <c r="E4032" s="26" t="str">
        <f ca="1">IFERROR(__xludf.DUMMYFUNCTION("""COMPUTED_VALUE"""),"New")</f>
        <v>New</v>
      </c>
      <c r="F4032" s="72">
        <v>79</v>
      </c>
      <c r="G4032" s="72">
        <v>101302</v>
      </c>
      <c r="P4032" s="26"/>
    </row>
    <row r="4033" spans="1:16" ht="14.5">
      <c r="A4033" s="3" t="s">
        <v>255</v>
      </c>
      <c r="B4033" s="12" t="s">
        <v>2867</v>
      </c>
      <c r="C4033" s="46" t="s">
        <v>7965</v>
      </c>
      <c r="D4033" s="41" t="str">
        <f ca="1">IFERROR(__xludf.DUMMYFUNCTION("IFERROR(ARRAYFORMULA(REGEXEXTRACT(C4033,""^(?:https?:\/\/)?(?:[^@\n]+@)?(?:www\.)?([^:\/\n]+)"")),"""")"),"geocaching.com")</f>
        <v>geocaching.com</v>
      </c>
      <c r="E4033" s="26" t="str">
        <f ca="1">IFERROR(__xludf.DUMMYFUNCTION("""COMPUTED_VALUE"""),"New")</f>
        <v>New</v>
      </c>
      <c r="F4033" s="72">
        <v>86</v>
      </c>
      <c r="G4033" s="72">
        <v>120334</v>
      </c>
      <c r="P4033" s="26"/>
    </row>
    <row r="4034" spans="1:16" ht="14.5">
      <c r="A4034" s="3" t="s">
        <v>255</v>
      </c>
      <c r="B4034" s="12" t="s">
        <v>2867</v>
      </c>
      <c r="C4034" s="46" t="s">
        <v>7966</v>
      </c>
      <c r="D4034" s="41" t="str">
        <f ca="1">IFERROR(__xludf.DUMMYFUNCTION("IFERROR(ARRAYFORMULA(REGEXEXTRACT(C4034,""^(?:https?:\/\/)?(?:[^@\n]+@)?(?:www\.)?([^:\/\n]+)"")),"""")"),"fredrick-jodyo7752.firebaseapp.com")</f>
        <v>fredrick-jodyo7752.firebaseapp.com</v>
      </c>
      <c r="E4034" s="26" t="str">
        <f ca="1">IFERROR(__xludf.DUMMYFUNCTION("""COMPUTED_VALUE"""),"New")</f>
        <v>New</v>
      </c>
      <c r="F4034" s="72">
        <v>87</v>
      </c>
      <c r="G4034" s="72">
        <v>63407</v>
      </c>
      <c r="P4034" s="26"/>
    </row>
    <row r="4035" spans="1:16" ht="14.5">
      <c r="A4035" s="3" t="s">
        <v>255</v>
      </c>
      <c r="B4035" s="12" t="s">
        <v>2867</v>
      </c>
      <c r="C4035" s="46" t="s">
        <v>7967</v>
      </c>
      <c r="D4035" s="41" t="str">
        <f ca="1">IFERROR(__xludf.DUMMYFUNCTION("IFERROR(ARRAYFORMULA(REGEXEXTRACT(C4035,""^(?:https?:\/\/)?(?:[^@\n]+@)?(?:www\.)?([^:\/\n]+)"")),"""")"),"nextgov.com")</f>
        <v>nextgov.com</v>
      </c>
      <c r="E4035" s="26" t="str">
        <f ca="1">IFERROR(__xludf.DUMMYFUNCTION("""COMPUTED_VALUE"""),"New")</f>
        <v>New</v>
      </c>
      <c r="F4035" s="72">
        <v>81</v>
      </c>
      <c r="G4035" s="72">
        <v>15865</v>
      </c>
      <c r="P4035" s="26"/>
    </row>
    <row r="4036" spans="1:16" ht="14.5">
      <c r="A4036" s="3" t="s">
        <v>255</v>
      </c>
      <c r="B4036" s="12" t="s">
        <v>2867</v>
      </c>
      <c r="C4036" s="46" t="s">
        <v>7968</v>
      </c>
      <c r="D4036" s="41" t="str">
        <f ca="1">IFERROR(__xludf.DUMMYFUNCTION("IFERROR(ARRAYFORMULA(REGEXEXTRACT(C4036,""^(?:https?:\/\/)?(?:[^@\n]+@)?(?:www\.)?([^:\/\n]+)"")),"""")"),"newsletters.naavi.com")</f>
        <v>newsletters.naavi.com</v>
      </c>
      <c r="E4036" s="26" t="str">
        <f ca="1">IFERROR(__xludf.DUMMYFUNCTION("""COMPUTED_VALUE"""),"New")</f>
        <v>New</v>
      </c>
      <c r="F4036" s="72">
        <v>69</v>
      </c>
      <c r="G4036" s="72">
        <v>5410</v>
      </c>
      <c r="P4036" s="26"/>
    </row>
    <row r="4037" spans="1:16" ht="14.5">
      <c r="A4037" s="3" t="s">
        <v>255</v>
      </c>
      <c r="B4037" s="12" t="s">
        <v>2867</v>
      </c>
      <c r="C4037" s="46" t="s">
        <v>7969</v>
      </c>
      <c r="D4037" s="41" t="str">
        <f ca="1">IFERROR(__xludf.DUMMYFUNCTION("IFERROR(ARRAYFORMULA(REGEXEXTRACT(C4037,""^(?:https?:\/\/)?(?:[^@\n]+@)?(?:www\.)?([^:\/\n]+)"")),"""")"),"shorecrest.org")</f>
        <v>shorecrest.org</v>
      </c>
      <c r="E4037" s="26" t="str">
        <f ca="1">IFERROR(__xludf.DUMMYFUNCTION("""COMPUTED_VALUE"""),"New")</f>
        <v>New</v>
      </c>
      <c r="F4037" s="72">
        <v>40</v>
      </c>
      <c r="G4037" s="72">
        <v>1042</v>
      </c>
      <c r="P4037" s="26"/>
    </row>
    <row r="4038" spans="1:16" ht="14.5">
      <c r="A4038" s="3" t="s">
        <v>255</v>
      </c>
      <c r="B4038" s="12" t="s">
        <v>2867</v>
      </c>
      <c r="C4038" s="46" t="s">
        <v>7970</v>
      </c>
      <c r="D4038" s="41" t="str">
        <f ca="1">IFERROR(__xludf.DUMMYFUNCTION("IFERROR(ARRAYFORMULA(REGEXEXTRACT(C4038,""^(?:https?:\/\/)?(?:[^@\n]+@)?(?:www\.)?([^:\/\n]+)"")),"""")"),"test.mosme.net")</f>
        <v>test.mosme.net</v>
      </c>
      <c r="E4038" s="26" t="str">
        <f ca="1">IFERROR(__xludf.DUMMYFUNCTION("""COMPUTED_VALUE"""),"New")</f>
        <v>New</v>
      </c>
      <c r="F4038" s="72">
        <v>29</v>
      </c>
      <c r="G4038" s="72">
        <v>5929</v>
      </c>
      <c r="P4038" s="26"/>
    </row>
    <row r="4039" spans="1:16" ht="14.5">
      <c r="A4039" s="3" t="s">
        <v>255</v>
      </c>
      <c r="B4039" s="12" t="s">
        <v>2867</v>
      </c>
      <c r="C4039" s="46" t="s">
        <v>7971</v>
      </c>
      <c r="D4039" s="41" t="str">
        <f ca="1">IFERROR(__xludf.DUMMYFUNCTION("IFERROR(ARRAYFORMULA(REGEXEXTRACT(C4039,""^(?:https?:\/\/)?(?:[^@\n]+@)?(?:www\.)?([^:\/\n]+)"")),"""")"),"tuhsphysics.ttsd.k12.or.us")</f>
        <v>tuhsphysics.ttsd.k12.or.us</v>
      </c>
      <c r="E4039" s="26" t="str">
        <f ca="1">IFERROR(__xludf.DUMMYFUNCTION("""COMPUTED_VALUE"""),"New")</f>
        <v>New</v>
      </c>
      <c r="F4039" s="72">
        <v>23</v>
      </c>
      <c r="G4039" s="72">
        <v>3256</v>
      </c>
      <c r="P4039" s="26"/>
    </row>
    <row r="4040" spans="1:16" ht="14.5">
      <c r="A4040" s="3" t="s">
        <v>255</v>
      </c>
      <c r="B4040" s="12" t="s">
        <v>2867</v>
      </c>
      <c r="C4040" s="46" t="s">
        <v>7972</v>
      </c>
      <c r="D4040" s="41" t="str">
        <f ca="1">IFERROR(__xludf.DUMMYFUNCTION("IFERROR(ARRAYFORMULA(REGEXEXTRACT(C4040,""^(?:https?:\/\/)?(?:[^@\n]+@)?(?:www\.)?([^:\/\n]+)"")),"""")"),"soils4teachers.org")</f>
        <v>soils4teachers.org</v>
      </c>
      <c r="E4040" s="26" t="str">
        <f ca="1">IFERROR(__xludf.DUMMYFUNCTION("""COMPUTED_VALUE"""),"New")</f>
        <v>New</v>
      </c>
      <c r="F4040" s="72">
        <v>53</v>
      </c>
      <c r="G4040" s="72">
        <v>25626</v>
      </c>
      <c r="P4040" s="26"/>
    </row>
    <row r="4041" spans="1:16" ht="14.5">
      <c r="A4041" s="3" t="s">
        <v>255</v>
      </c>
      <c r="B4041" s="12" t="s">
        <v>2867</v>
      </c>
      <c r="C4041" s="46" t="s">
        <v>7973</v>
      </c>
      <c r="D4041" s="41" t="str">
        <f ca="1">IFERROR(__xludf.DUMMYFUNCTION("IFERROR(ARRAYFORMULA(REGEXEXTRACT(C4041,""^(?:https?:\/\/)?(?:[^@\n]+@)?(?:www\.)?([^:\/\n]+)"")),"""")"),"envisionexperience.com")</f>
        <v>envisionexperience.com</v>
      </c>
      <c r="E4041" s="26" t="str">
        <f ca="1">IFERROR(__xludf.DUMMYFUNCTION("""COMPUTED_VALUE"""),"New")</f>
        <v>New</v>
      </c>
      <c r="F4041" s="72">
        <v>54</v>
      </c>
      <c r="G4041" s="72">
        <v>24742</v>
      </c>
      <c r="P4041" s="26"/>
    </row>
    <row r="4042" spans="1:16" ht="14.5">
      <c r="A4042" s="3" t="s">
        <v>255</v>
      </c>
      <c r="B4042" s="12" t="s">
        <v>2867</v>
      </c>
      <c r="C4042" s="46" t="s">
        <v>7974</v>
      </c>
      <c r="D4042" s="41" t="str">
        <f ca="1">IFERROR(__xludf.DUMMYFUNCTION("IFERROR(ARRAYFORMULA(REGEXEXTRACT(C4042,""^(?:https?:\/\/)?(?:[^@\n]+@)?(?:www\.)?([^:\/\n]+)"")),"""")"),"dca.learnquebec.ca")</f>
        <v>dca.learnquebec.ca</v>
      </c>
      <c r="E4042" s="26" t="str">
        <f ca="1">IFERROR(__xludf.DUMMYFUNCTION("""COMPUTED_VALUE"""),"New")</f>
        <v>New</v>
      </c>
      <c r="F4042" s="72">
        <v>53</v>
      </c>
      <c r="G4042" s="72">
        <v>2440</v>
      </c>
      <c r="P4042" s="26"/>
    </row>
    <row r="4043" spans="1:16" ht="14.5">
      <c r="A4043" s="3" t="s">
        <v>255</v>
      </c>
      <c r="B4043" s="12" t="s">
        <v>2867</v>
      </c>
      <c r="C4043" s="46" t="s">
        <v>7975</v>
      </c>
      <c r="D4043" s="41" t="str">
        <f ca="1">IFERROR(__xludf.DUMMYFUNCTION("IFERROR(ARRAYFORMULA(REGEXEXTRACT(C4043,""^(?:https?:\/\/)?(?:[^@\n]+@)?(?:www\.)?([^:\/\n]+)"")),"""")"),"so02.tci-thaijo.org")</f>
        <v>so02.tci-thaijo.org</v>
      </c>
      <c r="E4043" s="26" t="str">
        <f ca="1">IFERROR(__xludf.DUMMYFUNCTION("""COMPUTED_VALUE"""),"New")</f>
        <v>New</v>
      </c>
      <c r="F4043" s="72">
        <v>77</v>
      </c>
      <c r="G4043" s="72">
        <v>233662</v>
      </c>
      <c r="P4043" s="26"/>
    </row>
    <row r="4044" spans="1:16" ht="14.5">
      <c r="A4044" s="3" t="s">
        <v>255</v>
      </c>
      <c r="B4044" s="12" t="s">
        <v>2867</v>
      </c>
      <c r="C4044" s="46" t="s">
        <v>7976</v>
      </c>
      <c r="D4044" s="41" t="str">
        <f ca="1">IFERROR(__xludf.DUMMYFUNCTION("IFERROR(ARRAYFORMULA(REGEXEXTRACT(C4044,""^(?:https?:\/\/)?(?:[^@\n]+@)?(?:www\.)?([^:\/\n]+)"")),"""")"),"ncse.ngo")</f>
        <v>ncse.ngo</v>
      </c>
      <c r="E4044" s="26" t="str">
        <f ca="1">IFERROR(__xludf.DUMMYFUNCTION("""COMPUTED_VALUE"""),"New")</f>
        <v>New</v>
      </c>
      <c r="F4044" s="72">
        <v>69</v>
      </c>
      <c r="G4044" s="72">
        <v>17659</v>
      </c>
      <c r="P4044" s="26"/>
    </row>
    <row r="4045" spans="1:16" ht="14.5">
      <c r="A4045" s="3" t="s">
        <v>255</v>
      </c>
      <c r="B4045" s="12" t="s">
        <v>2867</v>
      </c>
      <c r="C4045" s="46" t="s">
        <v>7977</v>
      </c>
      <c r="D4045" s="41" t="str">
        <f ca="1">IFERROR(__xludf.DUMMYFUNCTION("IFERROR(ARRAYFORMULA(REGEXEXTRACT(C4045,""^(?:https?:\/\/)?(?:[^@\n]+@)?(?:www\.)?([^:\/\n]+)"")),"""")"),"mesa.edu.au")</f>
        <v>mesa.edu.au</v>
      </c>
      <c r="E4045" s="26" t="str">
        <f ca="1">IFERROR(__xludf.DUMMYFUNCTION("""COMPUTED_VALUE"""),"New")</f>
        <v>New</v>
      </c>
      <c r="F4045" s="72">
        <v>49</v>
      </c>
      <c r="G4045" s="72">
        <v>5808</v>
      </c>
      <c r="P4045" s="26"/>
    </row>
    <row r="4046" spans="1:16" ht="14.5">
      <c r="A4046" s="3" t="s">
        <v>255</v>
      </c>
      <c r="B4046" s="12" t="s">
        <v>2867</v>
      </c>
      <c r="C4046" s="46" t="s">
        <v>7978</v>
      </c>
      <c r="D4046" s="41" t="str">
        <f ca="1">IFERROR(__xludf.DUMMYFUNCTION("IFERROR(ARRAYFORMULA(REGEXEXTRACT(C4046,""^(?:https?:\/\/)?(?:[^@\n]+@)?(?:www\.)?([^:\/\n]+)"")),"""")"),"profharwood.x10host.com")</f>
        <v>profharwood.x10host.com</v>
      </c>
      <c r="E4046" s="26" t="str">
        <f ca="1">IFERROR(__xludf.DUMMYFUNCTION("""COMPUTED_VALUE"""),"New")</f>
        <v>New</v>
      </c>
      <c r="F4046" s="72">
        <v>73</v>
      </c>
      <c r="G4046" s="72">
        <v>9856</v>
      </c>
      <c r="P4046" s="26"/>
    </row>
    <row r="4047" spans="1:16" ht="14.5">
      <c r="A4047" s="3" t="s">
        <v>255</v>
      </c>
      <c r="B4047" s="12" t="s">
        <v>2867</v>
      </c>
      <c r="C4047" s="46" t="s">
        <v>7979</v>
      </c>
      <c r="D4047" s="41" t="str">
        <f ca="1">IFERROR(__xludf.DUMMYFUNCTION("IFERROR(ARRAYFORMULA(REGEXEXTRACT(C4047,""^(?:https?:\/\/)?(?:[^@\n]+@)?(?:www\.)?([^:\/\n]+)"")),"""")"),"oer.lib.polyu.edu.hk")</f>
        <v>oer.lib.polyu.edu.hk</v>
      </c>
      <c r="E4047" s="26" t="str">
        <f ca="1">IFERROR(__xludf.DUMMYFUNCTION("""COMPUTED_VALUE"""),"New")</f>
        <v>New</v>
      </c>
      <c r="F4047" s="72">
        <v>80</v>
      </c>
      <c r="G4047" s="72">
        <v>102410</v>
      </c>
      <c r="P4047" s="26"/>
    </row>
    <row r="4048" spans="1:16" ht="14.5">
      <c r="A4048" s="3" t="s">
        <v>255</v>
      </c>
      <c r="B4048" s="12" t="s">
        <v>2867</v>
      </c>
      <c r="C4048" s="46" t="s">
        <v>7980</v>
      </c>
      <c r="D4048" s="41" t="str">
        <f ca="1">IFERROR(__xludf.DUMMYFUNCTION("IFERROR(ARRAYFORMULA(REGEXEXTRACT(C4048,""^(?:https?:\/\/)?(?:[^@\n]+@)?(?:www\.)?([^:\/\n]+)"")),"""")"),"localmemphis.com")</f>
        <v>localmemphis.com</v>
      </c>
      <c r="E4048" s="26" t="str">
        <f ca="1">IFERROR(__xludf.DUMMYFUNCTION("""COMPUTED_VALUE"""),"New")</f>
        <v>New</v>
      </c>
      <c r="F4048" s="72">
        <v>73</v>
      </c>
      <c r="G4048" s="72">
        <v>43790</v>
      </c>
      <c r="P4048" s="26"/>
    </row>
    <row r="4049" spans="1:16" ht="14.5">
      <c r="A4049" s="3" t="s">
        <v>255</v>
      </c>
      <c r="B4049" s="12" t="s">
        <v>2867</v>
      </c>
      <c r="C4049" s="46" t="s">
        <v>7981</v>
      </c>
      <c r="D4049" s="41" t="str">
        <f ca="1">IFERROR(__xludf.DUMMYFUNCTION("IFERROR(ARRAYFORMULA(REGEXEXTRACT(C4049,""^(?:https?:\/\/)?(?:[^@\n]+@)?(?:www\.)?([^:\/\n]+)"")),"""")"),"maineaudubon.org")</f>
        <v>maineaudubon.org</v>
      </c>
      <c r="E4049" s="26" t="str">
        <f ca="1">IFERROR(__xludf.DUMMYFUNCTION("""COMPUTED_VALUE"""),"New")</f>
        <v>New</v>
      </c>
      <c r="F4049" s="72">
        <v>65</v>
      </c>
      <c r="G4049" s="72">
        <v>10671</v>
      </c>
      <c r="P4049" s="26"/>
    </row>
    <row r="4050" spans="1:16" ht="14.5">
      <c r="A4050" s="3" t="s">
        <v>255</v>
      </c>
      <c r="B4050" s="12" t="s">
        <v>2867</v>
      </c>
      <c r="C4050" s="46" t="s">
        <v>7982</v>
      </c>
      <c r="D4050" s="41" t="str">
        <f ca="1">IFERROR(__xludf.DUMMYFUNCTION("IFERROR(ARRAYFORMULA(REGEXEXTRACT(C4050,""^(?:https?:\/\/)?(?:[^@\n]+@)?(?:www\.)?([^:\/\n]+)"")),"""")"),"usborne.com")</f>
        <v>usborne.com</v>
      </c>
      <c r="E4050" s="26" t="str">
        <f ca="1">IFERROR(__xludf.DUMMYFUNCTION("""COMPUTED_VALUE"""),"New")</f>
        <v>New</v>
      </c>
      <c r="F4050" s="72">
        <v>72</v>
      </c>
      <c r="G4050" s="72">
        <v>54193</v>
      </c>
      <c r="P4050" s="26"/>
    </row>
    <row r="4051" spans="1:16" ht="14.5">
      <c r="A4051" s="3" t="s">
        <v>255</v>
      </c>
      <c r="B4051" s="12" t="s">
        <v>2867</v>
      </c>
      <c r="C4051" s="46" t="s">
        <v>7983</v>
      </c>
      <c r="D4051" s="41" t="str">
        <f ca="1">IFERROR(__xludf.DUMMYFUNCTION("IFERROR(ARRAYFORMULA(REGEXEXTRACT(C4051,""^(?:https?:\/\/)?(?:[^@\n]+@)?(?:www\.)?([^:\/\n]+)"")),"""")"),"makezine.com")</f>
        <v>makezine.com</v>
      </c>
      <c r="E4051" s="26" t="str">
        <f ca="1">IFERROR(__xludf.DUMMYFUNCTION("""COMPUTED_VALUE"""),"New")</f>
        <v>New</v>
      </c>
      <c r="F4051" s="72">
        <v>81</v>
      </c>
      <c r="G4051" s="72">
        <v>14776</v>
      </c>
      <c r="P4051" s="26"/>
    </row>
    <row r="4052" spans="1:16" ht="14.5">
      <c r="A4052" s="3" t="s">
        <v>255</v>
      </c>
      <c r="B4052" s="12" t="s">
        <v>2867</v>
      </c>
      <c r="C4052" s="46" t="s">
        <v>7984</v>
      </c>
      <c r="D4052" s="41" t="str">
        <f ca="1">IFERROR(__xludf.DUMMYFUNCTION("IFERROR(ARRAYFORMULA(REGEXEXTRACT(C4052,""^(?:https?:\/\/)?(?:[^@\n]+@)?(?:www\.)?([^:\/\n]+)"")),"""")"),"wholesalesuppliesplus.com")</f>
        <v>wholesalesuppliesplus.com</v>
      </c>
      <c r="E4052" s="26" t="str">
        <f ca="1">IFERROR(__xludf.DUMMYFUNCTION("""COMPUTED_VALUE"""),"New")</f>
        <v>New</v>
      </c>
      <c r="F4052" s="72">
        <v>58</v>
      </c>
      <c r="G4052" s="72">
        <v>62347</v>
      </c>
      <c r="P4052" s="26"/>
    </row>
    <row r="4053" spans="1:16" ht="14.5">
      <c r="A4053" s="3" t="s">
        <v>255</v>
      </c>
      <c r="B4053" s="12" t="s">
        <v>2867</v>
      </c>
      <c r="C4053" s="46" t="s">
        <v>7985</v>
      </c>
      <c r="D4053" s="41" t="str">
        <f ca="1">IFERROR(__xludf.DUMMYFUNCTION("IFERROR(ARRAYFORMULA(REGEXEXTRACT(C4053,""^(?:https?:\/\/)?(?:[^@\n]+@)?(?:www\.)?([^:\/\n]+)"")),"""")"),"classwork.com")</f>
        <v>classwork.com</v>
      </c>
      <c r="E4053" s="26" t="str">
        <f ca="1">IFERROR(__xludf.DUMMYFUNCTION("""COMPUTED_VALUE"""),"New")</f>
        <v>New</v>
      </c>
      <c r="F4053" s="72">
        <v>35</v>
      </c>
      <c r="G4053" s="72">
        <v>38554</v>
      </c>
      <c r="P4053" s="26"/>
    </row>
    <row r="4054" spans="1:16" ht="14.5">
      <c r="A4054" s="3" t="s">
        <v>255</v>
      </c>
      <c r="B4054" s="12" t="s">
        <v>2867</v>
      </c>
      <c r="C4054" s="46" t="s">
        <v>7986</v>
      </c>
      <c r="D4054" s="41" t="str">
        <f ca="1">IFERROR(__xludf.DUMMYFUNCTION("IFERROR(ARRAYFORMULA(REGEXEXTRACT(C4054,""^(?:https?:\/\/)?(?:[^@\n]+@)?(?:www\.)?([^:\/\n]+)"")),"""")"),"inverse.com")</f>
        <v>inverse.com</v>
      </c>
      <c r="E4054" s="26" t="str">
        <f ca="1">IFERROR(__xludf.DUMMYFUNCTION("""COMPUTED_VALUE"""),"New")</f>
        <v>New</v>
      </c>
      <c r="F4054" s="72">
        <v>83</v>
      </c>
      <c r="G4054" s="72">
        <v>177719</v>
      </c>
      <c r="P4054" s="26"/>
    </row>
    <row r="4055" spans="1:16" ht="14.5">
      <c r="A4055" s="3" t="s">
        <v>255</v>
      </c>
      <c r="B4055" s="12" t="s">
        <v>2867</v>
      </c>
      <c r="C4055" s="46" t="s">
        <v>7987</v>
      </c>
      <c r="D4055" s="41" t="str">
        <f ca="1">IFERROR(__xludf.DUMMYFUNCTION("IFERROR(ARRAYFORMULA(REGEXEXTRACT(C4055,""^(?:https?:\/\/)?(?:[^@\n]+@)?(?:www\.)?([^:\/\n]+)"")),"""")"),"bassresource.com")</f>
        <v>bassresource.com</v>
      </c>
      <c r="E4055" s="26" t="str">
        <f ca="1">IFERROR(__xludf.DUMMYFUNCTION("""COMPUTED_VALUE"""),"New")</f>
        <v>New</v>
      </c>
      <c r="F4055" s="72">
        <v>58</v>
      </c>
      <c r="G4055" s="72">
        <v>105993</v>
      </c>
      <c r="P4055" s="26"/>
    </row>
    <row r="4056" spans="1:16" ht="14.5">
      <c r="A4056" s="3" t="s">
        <v>255</v>
      </c>
      <c r="B4056" s="12" t="s">
        <v>2867</v>
      </c>
      <c r="C4056" s="46" t="s">
        <v>7988</v>
      </c>
      <c r="D4056" s="41" t="str">
        <f ca="1">IFERROR(__xludf.DUMMYFUNCTION("IFERROR(ARRAYFORMULA(REGEXEXTRACT(C4056,""^(?:https?:\/\/)?(?:[^@\n]+@)?(?:www\.)?([^:\/\n]+)"")),"""")"),"ellenjmchenry.com")</f>
        <v>ellenjmchenry.com</v>
      </c>
      <c r="E4056" s="26" t="str">
        <f ca="1">IFERROR(__xludf.DUMMYFUNCTION("""COMPUTED_VALUE"""),"New")</f>
        <v>New</v>
      </c>
      <c r="F4056" s="72">
        <v>42</v>
      </c>
      <c r="G4056" s="72">
        <v>4278</v>
      </c>
      <c r="P4056" s="26"/>
    </row>
    <row r="4057" spans="1:16" ht="14.5">
      <c r="A4057" s="3" t="s">
        <v>255</v>
      </c>
      <c r="B4057" s="12" t="s">
        <v>2867</v>
      </c>
      <c r="C4057" s="46" t="s">
        <v>7989</v>
      </c>
      <c r="D4057" s="41" t="str">
        <f ca="1">IFERROR(__xludf.DUMMYFUNCTION("IFERROR(ARRAYFORMULA(REGEXEXTRACT(C4057,""^(?:https?:\/\/)?(?:[^@\n]+@)?(?:www\.)?([^:\/\n]+)"")),"""")"),"content.govdelivery.com")</f>
        <v>content.govdelivery.com</v>
      </c>
      <c r="E4057" s="26" t="str">
        <f ca="1">IFERROR(__xludf.DUMMYFUNCTION("""COMPUTED_VALUE"""),"New")</f>
        <v>New</v>
      </c>
      <c r="F4057" s="72">
        <v>90</v>
      </c>
      <c r="G4057" s="72">
        <v>102601</v>
      </c>
      <c r="P4057" s="26"/>
    </row>
    <row r="4058" spans="1:16" ht="14.5">
      <c r="A4058" s="3" t="s">
        <v>255</v>
      </c>
      <c r="B4058" s="12" t="s">
        <v>2867</v>
      </c>
      <c r="C4058" s="46" t="s">
        <v>7990</v>
      </c>
      <c r="D4058" s="41" t="str">
        <f ca="1">IFERROR(__xludf.DUMMYFUNCTION("IFERROR(ARRAYFORMULA(REGEXEXTRACT(C4058,""^(?:https?:\/\/)?(?:[^@\n]+@)?(?:www\.)?([^:\/\n]+)"")),"""")"),"unmc.edu")</f>
        <v>unmc.edu</v>
      </c>
      <c r="E4058" s="26" t="str">
        <f ca="1">IFERROR(__xludf.DUMMYFUNCTION("""COMPUTED_VALUE"""),"New")</f>
        <v>New</v>
      </c>
      <c r="F4058" s="72">
        <v>78</v>
      </c>
      <c r="G4058" s="72">
        <v>102415</v>
      </c>
      <c r="P4058" s="26"/>
    </row>
    <row r="4059" spans="1:16" ht="14.5">
      <c r="A4059" s="3" t="s">
        <v>255</v>
      </c>
      <c r="B4059" s="12" t="s">
        <v>2867</v>
      </c>
      <c r="C4059" s="46" t="s">
        <v>7991</v>
      </c>
      <c r="D4059" s="41" t="str">
        <f ca="1">IFERROR(__xludf.DUMMYFUNCTION("IFERROR(ARRAYFORMULA(REGEXEXTRACT(C4059,""^(?:https?:\/\/)?(?:[^@\n]+@)?(?:www\.)?([^:\/\n]+)"")),"""")"),"hx7.c5f.myftpupload.com")</f>
        <v>hx7.c5f.myftpupload.com</v>
      </c>
      <c r="E4059" s="26" t="str">
        <f ca="1">IFERROR(__xludf.DUMMYFUNCTION("""COMPUTED_VALUE"""),"New")</f>
        <v>New</v>
      </c>
      <c r="F4059" s="72">
        <v>91</v>
      </c>
      <c r="G4059" s="72">
        <v>29218</v>
      </c>
      <c r="P4059" s="26"/>
    </row>
    <row r="4060" spans="1:16" ht="14.5">
      <c r="A4060" s="3" t="s">
        <v>255</v>
      </c>
      <c r="B4060" s="12" t="s">
        <v>2867</v>
      </c>
      <c r="C4060" s="46" t="s">
        <v>7992</v>
      </c>
      <c r="D4060" s="41" t="str">
        <f ca="1">IFERROR(__xludf.DUMMYFUNCTION("IFERROR(ARRAYFORMULA(REGEXEXTRACT(C4060,""^(?:https?:\/\/)?(?:[^@\n]+@)?(?:www\.)?([^:\/\n]+)"")),"""")"),"theepochtimes.com")</f>
        <v>theepochtimes.com</v>
      </c>
      <c r="E4060" s="26" t="str">
        <f ca="1">IFERROR(__xludf.DUMMYFUNCTION("""COMPUTED_VALUE"""),"New")</f>
        <v>New</v>
      </c>
      <c r="F4060" s="72">
        <v>83</v>
      </c>
      <c r="G4060" s="72">
        <v>109403</v>
      </c>
      <c r="P4060" s="26"/>
    </row>
    <row r="4061" spans="1:16" ht="14.5">
      <c r="A4061" s="3" t="s">
        <v>255</v>
      </c>
      <c r="B4061" s="12" t="s">
        <v>2867</v>
      </c>
      <c r="C4061" s="46" t="s">
        <v>7993</v>
      </c>
      <c r="D4061" s="41" t="str">
        <f ca="1">IFERROR(__xludf.DUMMYFUNCTION("IFERROR(ARRAYFORMULA(REGEXEXTRACT(C4061,""^(?:https?:\/\/)?(?:[^@\n]+@)?(?:www\.)?([^:\/\n]+)"")),"""")"),"boydgreenvillems.schoolinsites.com")</f>
        <v>boydgreenvillems.schoolinsites.com</v>
      </c>
      <c r="E4061" s="26" t="str">
        <f ca="1">IFERROR(__xludf.DUMMYFUNCTION("""COMPUTED_VALUE"""),"New")</f>
        <v>New</v>
      </c>
      <c r="F4061" s="72">
        <v>72</v>
      </c>
      <c r="G4061" s="72">
        <v>28536</v>
      </c>
      <c r="P4061" s="26"/>
    </row>
    <row r="4062" spans="1:16" ht="14.5">
      <c r="A4062" s="3" t="s">
        <v>255</v>
      </c>
      <c r="B4062" s="12" t="s">
        <v>2867</v>
      </c>
      <c r="C4062" s="46" t="s">
        <v>7994</v>
      </c>
      <c r="D4062" s="41" t="str">
        <f ca="1">IFERROR(__xludf.DUMMYFUNCTION("IFERROR(ARRAYFORMULA(REGEXEXTRACT(C4062,""^(?:https?:\/\/)?(?:[^@\n]+@)?(?:www\.)?([^:\/\n]+)"")),"""")"),"eeworldonline.com")</f>
        <v>eeworldonline.com</v>
      </c>
      <c r="E4062" s="26" t="str">
        <f ca="1">IFERROR(__xludf.DUMMYFUNCTION("""COMPUTED_VALUE"""),"New")</f>
        <v>New</v>
      </c>
      <c r="F4062" s="72">
        <v>60</v>
      </c>
      <c r="G4062" s="72">
        <v>1167</v>
      </c>
      <c r="P4062" s="26"/>
    </row>
    <row r="4063" spans="1:16" ht="14.5">
      <c r="A4063" s="3" t="s">
        <v>255</v>
      </c>
      <c r="B4063" s="12" t="s">
        <v>2867</v>
      </c>
      <c r="C4063" s="46" t="s">
        <v>7995</v>
      </c>
      <c r="D4063" s="41" t="str">
        <f ca="1">IFERROR(__xludf.DUMMYFUNCTION("IFERROR(ARRAYFORMULA(REGEXEXTRACT(C4063,""^(?:https?:\/\/)?(?:[^@\n]+@)?(?:www\.)?([^:\/\n]+)"")),"""")"),"mathvoices.ams.org")</f>
        <v>mathvoices.ams.org</v>
      </c>
      <c r="E4063" s="26" t="str">
        <f ca="1">IFERROR(__xludf.DUMMYFUNCTION("""COMPUTED_VALUE"""),"New")</f>
        <v>New</v>
      </c>
      <c r="F4063" s="72">
        <v>83</v>
      </c>
      <c r="G4063" s="72">
        <v>22160</v>
      </c>
      <c r="P4063" s="26"/>
    </row>
    <row r="4064" spans="1:16" ht="14.5">
      <c r="A4064" s="3" t="s">
        <v>255</v>
      </c>
      <c r="B4064" s="12" t="s">
        <v>2867</v>
      </c>
      <c r="C4064" s="46" t="s">
        <v>7996</v>
      </c>
      <c r="D4064" s="41" t="str">
        <f ca="1">IFERROR(__xludf.DUMMYFUNCTION("IFERROR(ARRAYFORMULA(REGEXEXTRACT(C4064,""^(?:https?:\/\/)?(?:[^@\n]+@)?(?:www\.)?([^:\/\n]+)"")),"""")"),"robotlab.com")</f>
        <v>robotlab.com</v>
      </c>
      <c r="E4064" s="26" t="str">
        <f ca="1">IFERROR(__xludf.DUMMYFUNCTION("""COMPUTED_VALUE"""),"New")</f>
        <v>New</v>
      </c>
      <c r="F4064" s="72">
        <v>54</v>
      </c>
      <c r="G4064" s="72">
        <v>9032</v>
      </c>
      <c r="P4064" s="26"/>
    </row>
    <row r="4065" spans="1:16" ht="14.5">
      <c r="A4065" s="3" t="s">
        <v>255</v>
      </c>
      <c r="B4065" s="12" t="s">
        <v>2867</v>
      </c>
      <c r="C4065" s="46" t="s">
        <v>7997</v>
      </c>
      <c r="D4065" s="41" t="str">
        <f ca="1">IFERROR(__xludf.DUMMYFUNCTION("IFERROR(ARRAYFORMULA(REGEXEXTRACT(C4065,""^(?:https?:\/\/)?(?:[^@\n]+@)?(?:www\.)?([^:\/\n]+)"")),"""")"),"app.sophia.org")</f>
        <v>app.sophia.org</v>
      </c>
      <c r="E4065" s="26" t="str">
        <f ca="1">IFERROR(__xludf.DUMMYFUNCTION("""COMPUTED_VALUE"""),"New")</f>
        <v>New</v>
      </c>
      <c r="F4065" s="72">
        <v>62</v>
      </c>
      <c r="G4065" s="72">
        <v>65528</v>
      </c>
      <c r="P4065" s="26"/>
    </row>
    <row r="4066" spans="1:16" ht="14.5">
      <c r="A4066" s="3" t="s">
        <v>255</v>
      </c>
      <c r="B4066" s="12" t="s">
        <v>2867</v>
      </c>
      <c r="C4066" s="46" t="s">
        <v>7998</v>
      </c>
      <c r="D4066" s="41" t="str">
        <f ca="1">IFERROR(__xludf.DUMMYFUNCTION("IFERROR(ARRAYFORMULA(REGEXEXTRACT(C4066,""^(?:https?:\/\/)?(?:[^@\n]+@)?(?:www\.)?([^:\/\n]+)"")),"""")"),"search.aol.com")</f>
        <v>search.aol.com</v>
      </c>
      <c r="E4066" s="26" t="str">
        <f ca="1">IFERROR(__xludf.DUMMYFUNCTION("""COMPUTED_VALUE"""),"New")</f>
        <v>New</v>
      </c>
      <c r="F4066" s="72">
        <v>91</v>
      </c>
      <c r="G4066" s="72">
        <v>10410484</v>
      </c>
      <c r="P4066" s="26"/>
    </row>
    <row r="4067" spans="1:16" ht="14.5">
      <c r="A4067" s="3" t="s">
        <v>255</v>
      </c>
      <c r="B4067" s="12" t="s">
        <v>2867</v>
      </c>
      <c r="C4067" s="46" t="s">
        <v>7999</v>
      </c>
      <c r="D4067" s="41" t="str">
        <f ca="1">IFERROR(__xludf.DUMMYFUNCTION("IFERROR(ARRAYFORMULA(REGEXEXTRACT(C4067,""^(?:https?:\/\/)?(?:[^@\n]+@)?(?:www\.)?([^:\/\n]+)"")),"""")"),"journals.iucr.org")</f>
        <v>journals.iucr.org</v>
      </c>
      <c r="E4067" s="26" t="str">
        <f ca="1">IFERROR(__xludf.DUMMYFUNCTION("""COMPUTED_VALUE"""),"New")</f>
        <v>New</v>
      </c>
      <c r="F4067" s="72">
        <v>79</v>
      </c>
      <c r="G4067" s="72">
        <v>7235</v>
      </c>
      <c r="P4067" s="26"/>
    </row>
    <row r="4068" spans="1:16" ht="14.5">
      <c r="A4068" s="3" t="s">
        <v>255</v>
      </c>
      <c r="B4068" s="12" t="s">
        <v>2867</v>
      </c>
      <c r="C4068" s="46" t="s">
        <v>8000</v>
      </c>
      <c r="D4068" s="41" t="str">
        <f ca="1">IFERROR(__xludf.DUMMYFUNCTION("IFERROR(ARRAYFORMULA(REGEXEXTRACT(C4068,""^(?:https?:\/\/)?(?:[^@\n]+@)?(?:www\.)?([^:\/\n]+)"")),"""")"),"thejournal.com")</f>
        <v>thejournal.com</v>
      </c>
      <c r="E4068" s="26" t="str">
        <f ca="1">IFERROR(__xludf.DUMMYFUNCTION("""COMPUTED_VALUE"""),"New")</f>
        <v>New</v>
      </c>
      <c r="F4068" s="72">
        <v>77</v>
      </c>
      <c r="G4068" s="72">
        <v>3520</v>
      </c>
      <c r="P4068" s="26"/>
    </row>
    <row r="4069" spans="1:16" ht="14.5">
      <c r="A4069" s="3" t="s">
        <v>255</v>
      </c>
      <c r="B4069" s="12" t="s">
        <v>2867</v>
      </c>
      <c r="C4069" s="46" t="s">
        <v>8001</v>
      </c>
      <c r="D4069" s="41" t="str">
        <f ca="1">IFERROR(__xludf.DUMMYFUNCTION("IFERROR(ARRAYFORMULA(REGEXEXTRACT(C4069,""^(?:https?:\/\/)?(?:[^@\n]+@)?(?:www\.)?([^:\/\n]+)"")),"""")"),"blog.dsstpublicschools.org")</f>
        <v>blog.dsstpublicschools.org</v>
      </c>
      <c r="E4069" s="26" t="str">
        <f ca="1">IFERROR(__xludf.DUMMYFUNCTION("""COMPUTED_VALUE"""),"New")</f>
        <v>New</v>
      </c>
      <c r="F4069" s="72">
        <v>45</v>
      </c>
      <c r="G4069" s="72">
        <v>2462</v>
      </c>
      <c r="P4069" s="26"/>
    </row>
    <row r="4070" spans="1:16" ht="14.5">
      <c r="A4070" s="3" t="s">
        <v>255</v>
      </c>
      <c r="B4070" s="12" t="s">
        <v>2867</v>
      </c>
      <c r="C4070" s="46" t="s">
        <v>8002</v>
      </c>
      <c r="D4070" s="41" t="str">
        <f ca="1">IFERROR(__xludf.DUMMYFUNCTION("IFERROR(ARRAYFORMULA(REGEXEXTRACT(C4070,""^(?:https?:\/\/)?(?:[^@\n]+@)?(?:www\.)?([^:\/\n]+)"")),"""")"),"subjecttoclimate.org")</f>
        <v>subjecttoclimate.org</v>
      </c>
      <c r="E4070" s="26" t="str">
        <f ca="1">IFERROR(__xludf.DUMMYFUNCTION("""COMPUTED_VALUE"""),"New")</f>
        <v>New</v>
      </c>
      <c r="F4070" s="72">
        <v>53</v>
      </c>
      <c r="G4070" s="72">
        <v>11561</v>
      </c>
      <c r="P4070" s="26"/>
    </row>
    <row r="4071" spans="1:16" ht="14.5">
      <c r="A4071" s="3" t="s">
        <v>255</v>
      </c>
      <c r="B4071" s="12" t="s">
        <v>2867</v>
      </c>
      <c r="C4071" s="46" t="s">
        <v>8003</v>
      </c>
      <c r="D4071" s="41" t="str">
        <f ca="1">IFERROR(__xludf.DUMMYFUNCTION("IFERROR(ARRAYFORMULA(REGEXEXTRACT(C4071,""^(?:https?:\/\/)?(?:[^@\n]+@)?(?:www\.)?([^:\/\n]+)"")),"""")"),"makeymakey.com")</f>
        <v>makeymakey.com</v>
      </c>
      <c r="E4071" s="26" t="str">
        <f ca="1">IFERROR(__xludf.DUMMYFUNCTION("""COMPUTED_VALUE"""),"New")</f>
        <v>New</v>
      </c>
      <c r="F4071" s="72">
        <v>73</v>
      </c>
      <c r="G4071" s="72">
        <v>20157</v>
      </c>
      <c r="P4071" s="26"/>
    </row>
    <row r="4072" spans="1:16" ht="14.5">
      <c r="A4072" s="3" t="s">
        <v>255</v>
      </c>
      <c r="B4072" s="12" t="s">
        <v>2867</v>
      </c>
      <c r="C4072" s="46" t="s">
        <v>8004</v>
      </c>
      <c r="D4072" s="41" t="str">
        <f ca="1">IFERROR(__xludf.DUMMYFUNCTION("IFERROR(ARRAYFORMULA(REGEXEXTRACT(C4072,""^(?:https?:\/\/)?(?:[^@\n]+@)?(?:www\.)?([^:\/\n]+)"")),"""")"),"cleanenergyforum.yale.edu")</f>
        <v>cleanenergyforum.yale.edu</v>
      </c>
      <c r="E4072" s="26" t="str">
        <f ca="1">IFERROR(__xludf.DUMMYFUNCTION("""COMPUTED_VALUE"""),"New")</f>
        <v>New</v>
      </c>
      <c r="F4072" s="72">
        <v>91</v>
      </c>
      <c r="G4072" s="72">
        <v>2338842</v>
      </c>
      <c r="P4072" s="26"/>
    </row>
    <row r="4073" spans="1:16" ht="14.5">
      <c r="A4073" s="3" t="s">
        <v>255</v>
      </c>
      <c r="B4073" s="12" t="s">
        <v>2867</v>
      </c>
      <c r="C4073" s="46" t="s">
        <v>8005</v>
      </c>
      <c r="D4073" s="41" t="str">
        <f ca="1">IFERROR(__xludf.DUMMYFUNCTION("IFERROR(ARRAYFORMULA(REGEXEXTRACT(C4073,""^(?:https?:\/\/)?(?:[^@\n]+@)?(?:www\.)?([^:\/\n]+)"")),"""")"),"elearning.coco-mat.com")</f>
        <v>elearning.coco-mat.com</v>
      </c>
      <c r="E4073" s="26" t="str">
        <f ca="1">IFERROR(__xludf.DUMMYFUNCTION("""COMPUTED_VALUE"""),"New")</f>
        <v>New</v>
      </c>
      <c r="F4073" s="72">
        <v>63</v>
      </c>
      <c r="G4073" s="72">
        <v>13316</v>
      </c>
      <c r="P4073" s="26"/>
    </row>
    <row r="4074" spans="1:16" ht="14.5">
      <c r="A4074" s="3" t="s">
        <v>255</v>
      </c>
      <c r="B4074" s="12" t="s">
        <v>2867</v>
      </c>
      <c r="C4074" s="46" t="s">
        <v>8006</v>
      </c>
      <c r="D4074" s="41" t="str">
        <f ca="1">IFERROR(__xludf.DUMMYFUNCTION("IFERROR(ARRAYFORMULA(REGEXEXTRACT(C4074,""^(?:https?:\/\/)?(?:[^@\n]+@)?(?:www\.)?([^:\/\n]+)"")),"""")"),"imsa.edu")</f>
        <v>imsa.edu</v>
      </c>
      <c r="E4074" s="26" t="str">
        <f ca="1">IFERROR(__xludf.DUMMYFUNCTION("""COMPUTED_VALUE"""),"New")</f>
        <v>New</v>
      </c>
      <c r="F4074" s="72">
        <v>61</v>
      </c>
      <c r="G4074" s="72">
        <v>8479</v>
      </c>
      <c r="P4074" s="26"/>
    </row>
    <row r="4075" spans="1:16" ht="14.5">
      <c r="A4075" s="3" t="s">
        <v>255</v>
      </c>
      <c r="B4075" s="12" t="s">
        <v>2867</v>
      </c>
      <c r="C4075" s="46" t="s">
        <v>8007</v>
      </c>
      <c r="D4075" s="41" t="str">
        <f ca="1">IFERROR(__xludf.DUMMYFUNCTION("IFERROR(ARRAYFORMULA(REGEXEXTRACT(C4075,""^(?:https?:\/\/)?(?:[^@\n]+@)?(?:www\.)?([^:\/\n]+)"")),"""")"),"isaac.exploratorium.edu")</f>
        <v>isaac.exploratorium.edu</v>
      </c>
      <c r="E4075" s="26" t="str">
        <f ca="1">IFERROR(__xludf.DUMMYFUNCTION("""COMPUTED_VALUE"""),"New")</f>
        <v>New</v>
      </c>
      <c r="F4075" s="72">
        <v>81</v>
      </c>
      <c r="G4075" s="72">
        <v>242785</v>
      </c>
      <c r="P4075" s="26"/>
    </row>
    <row r="4076" spans="1:16" ht="14.5">
      <c r="A4076" s="3" t="s">
        <v>255</v>
      </c>
      <c r="B4076" s="12" t="s">
        <v>2867</v>
      </c>
      <c r="C4076" s="46" t="s">
        <v>8008</v>
      </c>
      <c r="D4076" s="41" t="str">
        <f ca="1">IFERROR(__xludf.DUMMYFUNCTION("IFERROR(ARRAYFORMULA(REGEXEXTRACT(C4076,""^(?:https?:\/\/)?(?:[^@\n]+@)?(?:www\.)?([^:\/\n]+)"")),"""")"),"nmt.edu")</f>
        <v>nmt.edu</v>
      </c>
      <c r="E4076" s="26" t="str">
        <f ca="1">IFERROR(__xludf.DUMMYFUNCTION("""COMPUTED_VALUE"""),"New")</f>
        <v>New</v>
      </c>
      <c r="F4076" s="72">
        <v>75</v>
      </c>
      <c r="G4076" s="72">
        <v>10265</v>
      </c>
      <c r="P4076" s="26"/>
    </row>
    <row r="4077" spans="1:16" ht="14.5">
      <c r="A4077" s="3" t="s">
        <v>255</v>
      </c>
      <c r="B4077" s="12" t="s">
        <v>2867</v>
      </c>
      <c r="C4077" s="46" t="s">
        <v>8009</v>
      </c>
      <c r="D4077" s="41" t="str">
        <f ca="1">IFERROR(__xludf.DUMMYFUNCTION("IFERROR(ARRAYFORMULA(REGEXEXTRACT(C4077,""^(?:https?:\/\/)?(?:[^@\n]+@)?(?:www\.)?([^:\/\n]+)"")),"""")"),"drexel.edu")</f>
        <v>drexel.edu</v>
      </c>
      <c r="E4077" s="26" t="str">
        <f ca="1">IFERROR(__xludf.DUMMYFUNCTION("""COMPUTED_VALUE"""),"New")</f>
        <v>New</v>
      </c>
      <c r="F4077" s="72">
        <v>84</v>
      </c>
      <c r="G4077" s="72">
        <v>539036</v>
      </c>
      <c r="P4077" s="26"/>
    </row>
    <row r="4078" spans="1:16" ht="14.5">
      <c r="A4078" s="3" t="s">
        <v>255</v>
      </c>
      <c r="B4078" s="12" t="s">
        <v>2867</v>
      </c>
      <c r="C4078" s="46" t="s">
        <v>8010</v>
      </c>
      <c r="D4078" s="41" t="str">
        <f ca="1">IFERROR(__xludf.DUMMYFUNCTION("IFERROR(ARRAYFORMULA(REGEXEXTRACT(C4078,""^(?:https?:\/\/)?(?:[^@\n]+@)?(?:www\.)?([^:\/\n]+)"")),"""")"),"lessonplanet.com")</f>
        <v>lessonplanet.com</v>
      </c>
      <c r="E4078" s="26" t="str">
        <f ca="1">IFERROR(__xludf.DUMMYFUNCTION("""COMPUTED_VALUE"""),"New")</f>
        <v>New</v>
      </c>
      <c r="F4078" s="72">
        <v>55</v>
      </c>
      <c r="G4078" s="72">
        <v>7235</v>
      </c>
      <c r="P4078" s="26"/>
    </row>
    <row r="4079" spans="1:16" ht="14.5">
      <c r="A4079" s="3" t="s">
        <v>255</v>
      </c>
      <c r="B4079" s="12" t="s">
        <v>2867</v>
      </c>
      <c r="C4079" s="46" t="s">
        <v>8011</v>
      </c>
      <c r="D4079" s="41" t="str">
        <f ca="1">IFERROR(__xludf.DUMMYFUNCTION("IFERROR(ARRAYFORMULA(REGEXEXTRACT(C4079,""^(?:https?:\/\/)?(?:[^@\n]+@)?(?:www\.)?([^:\/\n]+)"")),"""")"),"scienceinschool.web.cern.ch")</f>
        <v>scienceinschool.web.cern.ch</v>
      </c>
      <c r="E4079" s="26" t="str">
        <f ca="1">IFERROR(__xludf.DUMMYFUNCTION("""COMPUTED_VALUE"""),"New")</f>
        <v>New</v>
      </c>
      <c r="F4079" s="72">
        <v>87</v>
      </c>
      <c r="G4079" s="72">
        <v>64346</v>
      </c>
      <c r="P4079" s="26"/>
    </row>
    <row r="4080" spans="1:16" ht="14.5">
      <c r="A4080" s="3" t="s">
        <v>255</v>
      </c>
      <c r="B4080" s="12" t="s">
        <v>2867</v>
      </c>
      <c r="C4080" s="46" t="s">
        <v>8012</v>
      </c>
      <c r="D4080" s="41" t="str">
        <f ca="1">IFERROR(__xludf.DUMMYFUNCTION("IFERROR(ARRAYFORMULA(REGEXEXTRACT(C4080,""^(?:https?:\/\/)?(?:[^@\n]+@)?(?:www\.)?([^:\/\n]+)"")),"""")"),"avo31652.halff.com")</f>
        <v>avo31652.halff.com</v>
      </c>
      <c r="E4080" s="26" t="str">
        <f ca="1">IFERROR(__xludf.DUMMYFUNCTION("""COMPUTED_VALUE"""),"New")</f>
        <v>New</v>
      </c>
      <c r="F4080" s="72">
        <v>54</v>
      </c>
      <c r="G4080" s="72">
        <v>1634</v>
      </c>
      <c r="P4080" s="26"/>
    </row>
    <row r="4081" spans="1:16" ht="14.5">
      <c r="A4081" s="3" t="s">
        <v>255</v>
      </c>
      <c r="B4081" s="12" t="s">
        <v>2867</v>
      </c>
      <c r="C4081" s="46" t="s">
        <v>8013</v>
      </c>
      <c r="D4081" s="41" t="str">
        <f ca="1">IFERROR(__xludf.DUMMYFUNCTION("IFERROR(ARRAYFORMULA(REGEXEXTRACT(C4081,""^(?:https?:\/\/)?(?:[^@\n]+@)?(?:www\.)?([^:\/\n]+)"")),"""")"),"captainplanetfoundation.org")</f>
        <v>captainplanetfoundation.org</v>
      </c>
      <c r="E4081" s="26" t="str">
        <f ca="1">IFERROR(__xludf.DUMMYFUNCTION("""COMPUTED_VALUE"""),"New")</f>
        <v>New</v>
      </c>
      <c r="F4081" s="72">
        <v>61</v>
      </c>
      <c r="G4081" s="72">
        <v>1949</v>
      </c>
      <c r="P4081" s="26"/>
    </row>
    <row r="4082" spans="1:16" ht="14.5">
      <c r="A4082" s="3" t="s">
        <v>255</v>
      </c>
      <c r="B4082" s="12" t="s">
        <v>2867</v>
      </c>
      <c r="C4082" s="46" t="s">
        <v>8014</v>
      </c>
      <c r="D4082" s="41" t="str">
        <f ca="1">IFERROR(__xludf.DUMMYFUNCTION("IFERROR(ARRAYFORMULA(REGEXEXTRACT(C4082,""^(?:https?:\/\/)?(?:[^@\n]+@)?(?:www\.)?([^:\/\n]+)"")),"""")"),"cmstest.pdst.ie")</f>
        <v>cmstest.pdst.ie</v>
      </c>
      <c r="E4082" s="26" t="str">
        <f ca="1">IFERROR(__xludf.DUMMYFUNCTION("""COMPUTED_VALUE"""),"New")</f>
        <v>New</v>
      </c>
      <c r="F4082" s="72">
        <v>62</v>
      </c>
      <c r="G4082" s="72">
        <v>6383</v>
      </c>
      <c r="P4082" s="26"/>
    </row>
    <row r="4083" spans="1:16" ht="14.5">
      <c r="A4083" s="3" t="s">
        <v>255</v>
      </c>
      <c r="B4083" s="12" t="s">
        <v>2867</v>
      </c>
      <c r="C4083" s="46" t="s">
        <v>8015</v>
      </c>
      <c r="D4083" s="41" t="str">
        <f ca="1">IFERROR(__xludf.DUMMYFUNCTION("IFERROR(ARRAYFORMULA(REGEXEXTRACT(C4083,""^(?:https?:\/\/)?(?:[^@\n]+@)?(?:www\.)?([^:\/\n]+)"")),"""")"),"atecentral.net")</f>
        <v>atecentral.net</v>
      </c>
      <c r="E4083" s="26" t="str">
        <f ca="1">IFERROR(__xludf.DUMMYFUNCTION("""COMPUTED_VALUE"""),"New")</f>
        <v>New</v>
      </c>
      <c r="F4083" s="72">
        <v>50</v>
      </c>
      <c r="G4083" s="72">
        <v>1322</v>
      </c>
      <c r="P4083" s="26"/>
    </row>
    <row r="4084" spans="1:16" ht="14.5">
      <c r="A4084" s="3" t="s">
        <v>255</v>
      </c>
      <c r="B4084" s="12" t="s">
        <v>2867</v>
      </c>
      <c r="C4084" s="46" t="s">
        <v>8016</v>
      </c>
      <c r="D4084" s="41" t="str">
        <f ca="1">IFERROR(__xludf.DUMMYFUNCTION("IFERROR(ARRAYFORMULA(REGEXEXTRACT(C4084,""^(?:https?:\/\/)?(?:[^@\n]+@)?(?:www\.)?([^:\/\n]+)"")),"""")"),"archive.iyfglobal.org")</f>
        <v>archive.iyfglobal.org</v>
      </c>
      <c r="E4084" s="26" t="str">
        <f ca="1">IFERROR(__xludf.DUMMYFUNCTION("""COMPUTED_VALUE"""),"New")</f>
        <v>New</v>
      </c>
      <c r="F4084" s="72">
        <v>63</v>
      </c>
      <c r="G4084" s="72">
        <v>8177</v>
      </c>
      <c r="P4084" s="26"/>
    </row>
    <row r="4085" spans="1:16" ht="14.5">
      <c r="A4085" s="3" t="s">
        <v>255</v>
      </c>
      <c r="B4085" s="12" t="s">
        <v>2867</v>
      </c>
      <c r="C4085" s="46" t="s">
        <v>8017</v>
      </c>
      <c r="D4085" s="41" t="str">
        <f ca="1">IFERROR(__xludf.DUMMYFUNCTION("IFERROR(ARRAYFORMULA(REGEXEXTRACT(C4085,""^(?:https?:\/\/)?(?:[^@\n]+@)?(?:www\.)?([^:\/\n]+)"")),"""")"),"teach.com.cach3.com")</f>
        <v>teach.com.cach3.com</v>
      </c>
      <c r="E4085" s="26" t="str">
        <f ca="1">IFERROR(__xludf.DUMMYFUNCTION("""COMPUTED_VALUE"""),"New")</f>
        <v>New</v>
      </c>
      <c r="F4085" s="72">
        <v>41</v>
      </c>
      <c r="G4085" s="72">
        <v>7626</v>
      </c>
      <c r="P4085" s="26"/>
    </row>
    <row r="4086" spans="1:16" ht="14.5">
      <c r="A4086" s="3" t="s">
        <v>255</v>
      </c>
      <c r="B4086" s="12" t="s">
        <v>2867</v>
      </c>
      <c r="C4086" s="46" t="s">
        <v>8018</v>
      </c>
      <c r="D4086" s="41" t="str">
        <f ca="1">IFERROR(__xludf.DUMMYFUNCTION("IFERROR(ARRAYFORMULA(REGEXEXTRACT(C4086,""^(?:https?:\/\/)?(?:[^@\n]+@)?(?:www\.)?([^:\/\n]+)"")),"""")"),"read.bookcreator.com")</f>
        <v>read.bookcreator.com</v>
      </c>
      <c r="E4086" s="26" t="str">
        <f ca="1">IFERROR(__xludf.DUMMYFUNCTION("""COMPUTED_VALUE"""),"New")</f>
        <v>New</v>
      </c>
      <c r="F4086" s="72">
        <v>81</v>
      </c>
      <c r="G4086" s="72">
        <v>424365</v>
      </c>
      <c r="P4086" s="26"/>
    </row>
    <row r="4087" spans="1:16" ht="14.5">
      <c r="A4087" s="3" t="s">
        <v>255</v>
      </c>
      <c r="B4087" s="12" t="s">
        <v>2867</v>
      </c>
      <c r="C4087" s="46" t="s">
        <v>8019</v>
      </c>
      <c r="D4087" s="41" t="str">
        <f ca="1">IFERROR(__xludf.DUMMYFUNCTION("IFERROR(ARRAYFORMULA(REGEXEXTRACT(C4087,""^(?:https?:\/\/)?(?:[^@\n]+@)?(?:www\.)?([^:\/\n]+)"")),"""")"),"library.wyo.gov")</f>
        <v>library.wyo.gov</v>
      </c>
      <c r="E4087" s="26" t="str">
        <f ca="1">IFERROR(__xludf.DUMMYFUNCTION("""COMPUTED_VALUE"""),"New")</f>
        <v>New</v>
      </c>
      <c r="F4087" s="72">
        <v>85</v>
      </c>
      <c r="G4087" s="72">
        <v>189616</v>
      </c>
      <c r="P4087" s="26"/>
    </row>
    <row r="4088" spans="1:16" ht="14.5">
      <c r="A4088" s="3" t="s">
        <v>255</v>
      </c>
      <c r="B4088" s="12" t="s">
        <v>2867</v>
      </c>
      <c r="C4088" s="46" t="s">
        <v>8020</v>
      </c>
      <c r="D4088" s="41" t="str">
        <f ca="1">IFERROR(__xludf.DUMMYFUNCTION("IFERROR(ARRAYFORMULA(REGEXEXTRACT(C4088,""^(?:https?:\/\/)?(?:[^@\n]+@)?(?:www\.)?([^:\/\n]+)"")),"""")"),"faculty.engineering.ucdavis.edu")</f>
        <v>faculty.engineering.ucdavis.edu</v>
      </c>
      <c r="E4088" s="26" t="str">
        <f ca="1">IFERROR(__xludf.DUMMYFUNCTION("""COMPUTED_VALUE"""),"New")</f>
        <v>New</v>
      </c>
      <c r="F4088" s="72">
        <v>90</v>
      </c>
      <c r="G4088" s="72">
        <v>2666808</v>
      </c>
      <c r="P4088" s="26"/>
    </row>
    <row r="4089" spans="1:16" ht="14.5">
      <c r="A4089" s="3" t="s">
        <v>255</v>
      </c>
      <c r="B4089" s="12" t="s">
        <v>2867</v>
      </c>
      <c r="C4089" s="46" t="s">
        <v>8021</v>
      </c>
      <c r="D4089" s="41" t="str">
        <f ca="1">IFERROR(__xludf.DUMMYFUNCTION("IFERROR(ARRAYFORMULA(REGEXEXTRACT(C4089,""^(?:https?:\/\/)?(?:[^@\n]+@)?(?:www\.)?([^:\/\n]+)"")),"""")"),"jerseyyards.org")</f>
        <v>jerseyyards.org</v>
      </c>
      <c r="E4089" s="26" t="str">
        <f ca="1">IFERROR(__xludf.DUMMYFUNCTION("""COMPUTED_VALUE"""),"New")</f>
        <v>New</v>
      </c>
      <c r="F4089" s="72">
        <v>44</v>
      </c>
      <c r="G4089" s="72">
        <v>3108</v>
      </c>
      <c r="P4089" s="26"/>
    </row>
    <row r="4090" spans="1:16" ht="14.5">
      <c r="A4090" s="3" t="s">
        <v>255</v>
      </c>
      <c r="B4090" s="12" t="s">
        <v>2867</v>
      </c>
      <c r="C4090" s="46" t="s">
        <v>8022</v>
      </c>
      <c r="D4090" s="41" t="str">
        <f ca="1">IFERROR(__xludf.DUMMYFUNCTION("IFERROR(ARRAYFORMULA(REGEXEXTRACT(C4090,""^(?:https?:\/\/)?(?:[^@\n]+@)?(?:www\.)?([^:\/\n]+)"")),"""")"),"blog.sparkedu.com")</f>
        <v>blog.sparkedu.com</v>
      </c>
      <c r="E4090" s="26" t="str">
        <f ca="1">IFERROR(__xludf.DUMMYFUNCTION("""COMPUTED_VALUE"""),"New")</f>
        <v>New</v>
      </c>
      <c r="F4090" s="72">
        <v>31</v>
      </c>
      <c r="G4090" s="72">
        <v>1167</v>
      </c>
      <c r="P4090" s="26"/>
    </row>
    <row r="4091" spans="1:16" ht="14.5">
      <c r="A4091" s="3" t="s">
        <v>255</v>
      </c>
      <c r="B4091" s="12" t="s">
        <v>2867</v>
      </c>
      <c r="C4091" s="46" t="s">
        <v>8023</v>
      </c>
      <c r="D4091" s="41" t="str">
        <f ca="1">IFERROR(__xludf.DUMMYFUNCTION("IFERROR(ARRAYFORMULA(REGEXEXTRACT(C4091,""^(?:https?:\/\/)?(?:[^@\n]+@)?(?:www\.)?([^:\/\n]+)"")),"""")"),"gadgetreview.com")</f>
        <v>gadgetreview.com</v>
      </c>
      <c r="E4091" s="26" t="str">
        <f ca="1">IFERROR(__xludf.DUMMYFUNCTION("""COMPUTED_VALUE"""),"New")</f>
        <v>New</v>
      </c>
      <c r="F4091" s="72">
        <v>71</v>
      </c>
      <c r="G4091" s="72">
        <v>5091</v>
      </c>
      <c r="P4091" s="26"/>
    </row>
    <row r="4092" spans="1:16" ht="14.5">
      <c r="A4092" s="3" t="s">
        <v>255</v>
      </c>
      <c r="B4092" s="12" t="s">
        <v>2867</v>
      </c>
      <c r="C4092" s="46" t="s">
        <v>8024</v>
      </c>
      <c r="D4092" s="41" t="str">
        <f ca="1">IFERROR(__xludf.DUMMYFUNCTION("IFERROR(ARRAYFORMULA(REGEXEXTRACT(C4092,""^(?:https?:\/\/)?(?:[^@\n]+@)?(?:www\.)?([^:\/\n]+)"")),"""")"),"jacobpeacock")</f>
        <v>jacobpeacock</v>
      </c>
      <c r="E4092" s="26" t="str">
        <f ca="1">IFERROR(__xludf.DUMMYFUNCTION("""COMPUTED_VALUE"""),"New")</f>
        <v>New</v>
      </c>
      <c r="F4092" s="72">
        <v>63</v>
      </c>
      <c r="G4092" s="72">
        <v>4396</v>
      </c>
      <c r="P4092" s="26"/>
    </row>
    <row r="4093" spans="1:16" ht="14.5">
      <c r="A4093" s="3" t="s">
        <v>255</v>
      </c>
      <c r="B4093" s="12" t="s">
        <v>2867</v>
      </c>
      <c r="C4093" s="46" t="s">
        <v>8025</v>
      </c>
      <c r="D4093" s="41" t="str">
        <f ca="1">IFERROR(__xludf.DUMMYFUNCTION("IFERROR(ARRAYFORMULA(REGEXEXTRACT(C4093,""^(?:https?:\/\/)?(?:[^@\n]+@)?(?:www\.)?([^:\/\n]+)"")),"""")"),"crafters-choice.com")</f>
        <v>crafters-choice.com</v>
      </c>
      <c r="E4093" s="26" t="str">
        <f ca="1">IFERROR(__xludf.DUMMYFUNCTION("""COMPUTED_VALUE"""),"New")</f>
        <v>New</v>
      </c>
      <c r="F4093" s="72">
        <v>26</v>
      </c>
      <c r="G4093" s="72">
        <v>4952</v>
      </c>
      <c r="P4093" s="26"/>
    </row>
    <row r="4094" spans="1:16" ht="14.5">
      <c r="A4094" s="3" t="s">
        <v>255</v>
      </c>
      <c r="B4094" s="12" t="s">
        <v>2867</v>
      </c>
      <c r="C4094" s="46" t="s">
        <v>8026</v>
      </c>
      <c r="D4094" s="41" t="str">
        <f ca="1">IFERROR(__xludf.DUMMYFUNCTION("IFERROR(ARRAYFORMULA(REGEXEXTRACT(C4094,""^(?:https?:\/\/)?(?:[^@\n]+@)?(?:www\.)?([^:\/\n]+)"")),"""")"),"belolaw.com")</f>
        <v>belolaw.com</v>
      </c>
      <c r="E4094" s="26" t="str">
        <f ca="1">IFERROR(__xludf.DUMMYFUNCTION("""COMPUTED_VALUE"""),"New")</f>
        <v>New</v>
      </c>
      <c r="F4094" s="72">
        <v>27</v>
      </c>
      <c r="G4094" s="72">
        <v>1480</v>
      </c>
      <c r="P4094" s="26"/>
    </row>
    <row r="4095" spans="1:16" ht="14.5">
      <c r="A4095" s="3" t="s">
        <v>255</v>
      </c>
      <c r="B4095" s="12" t="s">
        <v>2867</v>
      </c>
      <c r="C4095" s="46" t="s">
        <v>8027</v>
      </c>
      <c r="D4095" s="41" t="str">
        <f ca="1">IFERROR(__xludf.DUMMYFUNCTION("IFERROR(ARRAYFORMULA(REGEXEXTRACT(C4095,""^(?:https?:\/\/)?(?:[^@\n]+@)?(?:www\.)?([^:\/\n]+)"")),"""")"),"nationalchildrensmuseum.org")</f>
        <v>nationalchildrensmuseum.org</v>
      </c>
      <c r="E4095" s="26" t="str">
        <f ca="1">IFERROR(__xludf.DUMMYFUNCTION("""COMPUTED_VALUE"""),"New")</f>
        <v>New</v>
      </c>
      <c r="F4095" s="72">
        <v>58</v>
      </c>
      <c r="G4095" s="72">
        <v>9561</v>
      </c>
      <c r="P4095" s="26"/>
    </row>
    <row r="4096" spans="1:16" ht="14.5">
      <c r="A4096" s="3" t="s">
        <v>255</v>
      </c>
      <c r="B4096" s="12" t="s">
        <v>2867</v>
      </c>
      <c r="C4096" s="46" t="s">
        <v>8028</v>
      </c>
      <c r="D4096" s="41" t="str">
        <f ca="1">IFERROR(__xludf.DUMMYFUNCTION("IFERROR(ARRAYFORMULA(REGEXEXTRACT(C4096,""^(?:https?:\/\/)?(?:[^@\n]+@)?(?:www\.)?([^:\/\n]+)"")),"""")"),"spacedge.nss.org")</f>
        <v>spacedge.nss.org</v>
      </c>
      <c r="E4096" s="26" t="str">
        <f ca="1">IFERROR(__xludf.DUMMYFUNCTION("""COMPUTED_VALUE"""),"New")</f>
        <v>New</v>
      </c>
      <c r="F4096" s="72">
        <v>72</v>
      </c>
      <c r="G4096" s="72">
        <v>6462</v>
      </c>
      <c r="P4096" s="26"/>
    </row>
    <row r="4097" spans="1:16" ht="14.5">
      <c r="A4097" s="3" t="s">
        <v>255</v>
      </c>
      <c r="B4097" s="12" t="s">
        <v>2867</v>
      </c>
      <c r="C4097" s="46" t="s">
        <v>8029</v>
      </c>
      <c r="D4097" s="41" t="str">
        <f ca="1">IFERROR(__xludf.DUMMYFUNCTION("IFERROR(ARRAYFORMULA(REGEXEXTRACT(C4097,""^(?:https?:\/\/)?(?:[^@\n]+@)?(?:www\.)?([^:\/\n]+)"")),"""")"),"nu.edu")</f>
        <v>nu.edu</v>
      </c>
      <c r="E4097" s="26" t="str">
        <f ca="1">IFERROR(__xludf.DUMMYFUNCTION("""COMPUTED_VALUE"""),"New")</f>
        <v>New</v>
      </c>
      <c r="F4097" s="72">
        <v>78</v>
      </c>
      <c r="G4097" s="72">
        <v>654759</v>
      </c>
      <c r="P4097" s="26"/>
    </row>
    <row r="4098" spans="1:16" ht="14.5">
      <c r="A4098" s="3" t="s">
        <v>255</v>
      </c>
      <c r="B4098" s="12" t="s">
        <v>2867</v>
      </c>
      <c r="C4098" s="46" t="s">
        <v>8030</v>
      </c>
      <c r="D4098" s="41" t="str">
        <f ca="1">IFERROR(__xludf.DUMMYFUNCTION("IFERROR(ARRAYFORMULA(REGEXEXTRACT(C4098,""^(?:https?:\/\/)?(?:[^@\n]+@)?(?:www\.)?([^:\/\n]+)"")),"""")"),"nairs.mufaculty.umsystem.edu")</f>
        <v>nairs.mufaculty.umsystem.edu</v>
      </c>
      <c r="E4098" s="26" t="str">
        <f ca="1">IFERROR(__xludf.DUMMYFUNCTION("""COMPUTED_VALUE"""),"New")</f>
        <v>New</v>
      </c>
      <c r="F4098" s="72">
        <v>74</v>
      </c>
      <c r="G4098" s="72">
        <v>83320</v>
      </c>
      <c r="P4098" s="26"/>
    </row>
    <row r="4099" spans="1:16" ht="14.5">
      <c r="A4099" s="3" t="s">
        <v>255</v>
      </c>
      <c r="B4099" s="12" t="s">
        <v>2867</v>
      </c>
      <c r="C4099" s="46" t="s">
        <v>8031</v>
      </c>
      <c r="D4099" s="41" t="str">
        <f ca="1">IFERROR(__xludf.DUMMYFUNCTION("IFERROR(ARRAYFORMULA(REGEXEXTRACT(C4099,""^(?:https?:\/\/)?(?:[^@\n]+@)?(?:www\.)?([^:\/\n]+)"")),"""")"),"en.sorumatik.co")</f>
        <v>en.sorumatik.co</v>
      </c>
      <c r="E4099" s="26" t="str">
        <f ca="1">IFERROR(__xludf.DUMMYFUNCTION("""COMPUTED_VALUE"""),"New")</f>
        <v>New</v>
      </c>
      <c r="F4099" s="72">
        <v>26</v>
      </c>
      <c r="G4099" s="72">
        <v>234079</v>
      </c>
      <c r="P4099" s="26"/>
    </row>
    <row r="4100" spans="1:16" ht="14.5">
      <c r="A4100" s="3" t="s">
        <v>255</v>
      </c>
      <c r="B4100" s="12" t="s">
        <v>2867</v>
      </c>
      <c r="C4100" s="46" t="s">
        <v>8032</v>
      </c>
      <c r="D4100" s="41" t="str">
        <f ca="1">IFERROR(__xludf.DUMMYFUNCTION("IFERROR(ARRAYFORMULA(REGEXEXTRACT(C4100,""^(?:https?:\/\/)?(?:[^@\n]+@)?(?:www\.)?([^:\/\n]+)"")),"""")"),"tu.org")</f>
        <v>tu.org</v>
      </c>
      <c r="E4100" s="26" t="str">
        <f ca="1">IFERROR(__xludf.DUMMYFUNCTION("""COMPUTED_VALUE"""),"New")</f>
        <v>New</v>
      </c>
      <c r="F4100" s="72">
        <v>75</v>
      </c>
      <c r="G4100" s="72">
        <v>10897</v>
      </c>
      <c r="P4100" s="26"/>
    </row>
    <row r="4101" spans="1:16" ht="14.5">
      <c r="A4101" s="3" t="s">
        <v>255</v>
      </c>
      <c r="B4101" s="12" t="s">
        <v>2867</v>
      </c>
      <c r="C4101" s="46" t="s">
        <v>8033</v>
      </c>
      <c r="D4101" s="41" t="str">
        <f ca="1">IFERROR(__xludf.DUMMYFUNCTION("IFERROR(ARRAYFORMULA(REGEXEXTRACT(C4101,""^(?:https?:\/\/)?(?:[^@\n]+@)?(?:www\.)?([^:\/\n]+)"")),"""")"),"sharemylesson.com")</f>
        <v>sharemylesson.com</v>
      </c>
      <c r="E4101" s="26" t="str">
        <f ca="1">IFERROR(__xludf.DUMMYFUNCTION("""COMPUTED_VALUE"""),"New")</f>
        <v>New</v>
      </c>
      <c r="F4101" s="72">
        <v>70</v>
      </c>
      <c r="G4101" s="72">
        <v>8728</v>
      </c>
      <c r="P4101" s="26"/>
    </row>
    <row r="4102" spans="1:16" ht="14.5">
      <c r="A4102" s="3" t="s">
        <v>255</v>
      </c>
      <c r="B4102" s="12" t="s">
        <v>2867</v>
      </c>
      <c r="C4102" s="46" t="s">
        <v>8034</v>
      </c>
      <c r="D4102" s="41" t="str">
        <f ca="1">IFERROR(__xludf.DUMMYFUNCTION("IFERROR(ARRAYFORMULA(REGEXEXTRACT(C4102,""^(?:https?:\/\/)?(?:[^@\n]+@)?(?:www\.)?([^:\/\n]+)"")),"""")"),"awesomecolouringpages.web.app")</f>
        <v>awesomecolouringpages.web.app</v>
      </c>
      <c r="E4102" s="26" t="str">
        <f ca="1">IFERROR(__xludf.DUMMYFUNCTION("""COMPUTED_VALUE"""),"New")</f>
        <v>New</v>
      </c>
      <c r="F4102" s="72">
        <v>91</v>
      </c>
      <c r="G4102" s="72">
        <v>517552</v>
      </c>
      <c r="P4102" s="26"/>
    </row>
    <row r="4103" spans="1:16" ht="14.5">
      <c r="A4103" s="3" t="s">
        <v>255</v>
      </c>
      <c r="B4103" s="12" t="s">
        <v>2867</v>
      </c>
      <c r="C4103" s="46" t="s">
        <v>8035</v>
      </c>
      <c r="D4103" s="41" t="str">
        <f ca="1">IFERROR(__xludf.DUMMYFUNCTION("IFERROR(ARRAYFORMULA(REGEXEXTRACT(C4103,""^(?:https?:\/\/)?(?:[^@\n]+@)?(?:www\.)?([^:\/\n]+)"")),"""")"),"efcnetwork.org")</f>
        <v>efcnetwork.org</v>
      </c>
      <c r="E4103" s="26" t="str">
        <f ca="1">IFERROR(__xludf.DUMMYFUNCTION("""COMPUTED_VALUE"""),"New")</f>
        <v>New</v>
      </c>
      <c r="F4103" s="72">
        <v>47</v>
      </c>
      <c r="G4103" s="72">
        <v>1906</v>
      </c>
      <c r="P4103" s="26"/>
    </row>
    <row r="4104" spans="1:16" ht="14.5">
      <c r="A4104" s="3" t="s">
        <v>255</v>
      </c>
      <c r="B4104" s="12" t="s">
        <v>2867</v>
      </c>
      <c r="C4104" s="46" t="s">
        <v>8036</v>
      </c>
      <c r="D4104" s="41" t="str">
        <f ca="1">IFERROR(__xludf.DUMMYFUNCTION("IFERROR(ARRAYFORMULA(REGEXEXTRACT(C4104,""^(?:https?:\/\/)?(?:[^@\n]+@)?(?:www\.)?([^:\/\n]+)"")),"""")"),"stemfinity.com")</f>
        <v>stemfinity.com</v>
      </c>
      <c r="E4104" s="26" t="str">
        <f ca="1">IFERROR(__xludf.DUMMYFUNCTION("""COMPUTED_VALUE"""),"New")</f>
        <v>New</v>
      </c>
      <c r="F4104" s="72">
        <v>52</v>
      </c>
      <c r="G4104" s="72">
        <v>8388</v>
      </c>
      <c r="P4104" s="26"/>
    </row>
    <row r="4105" spans="1:16" ht="14.5">
      <c r="A4105" s="3" t="s">
        <v>255</v>
      </c>
      <c r="B4105" s="12" t="s">
        <v>2867</v>
      </c>
      <c r="C4105" s="46" t="s">
        <v>8037</v>
      </c>
      <c r="D4105" s="41" t="str">
        <f ca="1">IFERROR(__xludf.DUMMYFUNCTION("IFERROR(ARRAYFORMULA(REGEXEXTRACT(C4105,""^(?:https?:\/\/)?(?:[^@\n]+@)?(?:www\.)?([^:\/\n]+)"")),"""")"),"caeducatorstogether.org")</f>
        <v>caeducatorstogether.org</v>
      </c>
      <c r="E4105" s="26" t="str">
        <f ca="1">IFERROR(__xludf.DUMMYFUNCTION("""COMPUTED_VALUE"""),"New")</f>
        <v>New</v>
      </c>
      <c r="F4105" s="72">
        <v>46</v>
      </c>
      <c r="G4105" s="72">
        <v>3782</v>
      </c>
      <c r="P4105" s="26"/>
    </row>
    <row r="4106" spans="1:16" ht="14.5">
      <c r="A4106" s="3" t="s">
        <v>255</v>
      </c>
      <c r="B4106" s="12" t="s">
        <v>2867</v>
      </c>
      <c r="C4106" s="46" t="s">
        <v>8038</v>
      </c>
      <c r="D4106" s="41" t="str">
        <f ca="1">IFERROR(__xludf.DUMMYFUNCTION("IFERROR(ARRAYFORMULA(REGEXEXTRACT(C4106,""^(?:https?:\/\/)?(?:[^@\n]+@)?(?:www\.)?([^:\/\n]+)"")),"""")"),"listserv.oneonta.edu")</f>
        <v>listserv.oneonta.edu</v>
      </c>
      <c r="E4106" s="26" t="str">
        <f ca="1">IFERROR(__xludf.DUMMYFUNCTION("""COMPUTED_VALUE"""),"New")</f>
        <v>New</v>
      </c>
      <c r="F4106" s="72">
        <v>71</v>
      </c>
      <c r="G4106" s="72">
        <v>31601</v>
      </c>
      <c r="P4106" s="26"/>
    </row>
    <row r="4107" spans="1:16" ht="14.5">
      <c r="A4107" s="3" t="s">
        <v>255</v>
      </c>
      <c r="B4107" s="12" t="s">
        <v>2867</v>
      </c>
      <c r="C4107" s="46" t="s">
        <v>8039</v>
      </c>
      <c r="D4107" s="41" t="str">
        <f ca="1">IFERROR(__xludf.DUMMYFUNCTION("IFERROR(ARRAYFORMULA(REGEXEXTRACT(C4107,""^(?:https?:\/\/)?(?:[^@\n]+@)?(?:www\.)?([^:\/\n]+)"")),"""")"),"youngpostclub.com")</f>
        <v>youngpostclub.com</v>
      </c>
      <c r="E4107" s="26" t="str">
        <f ca="1">IFERROR(__xludf.DUMMYFUNCTION("""COMPUTED_VALUE"""),"New")</f>
        <v>New</v>
      </c>
      <c r="F4107" s="72">
        <v>52</v>
      </c>
      <c r="G4107" s="72">
        <v>3581</v>
      </c>
      <c r="P4107" s="26"/>
    </row>
    <row r="4108" spans="1:16" ht="14.5" hidden="1">
      <c r="A4108" s="5"/>
      <c r="B4108" s="18"/>
      <c r="C4108" s="85"/>
      <c r="D4108" s="41"/>
      <c r="E4108" s="26" t="str">
        <f ca="1">IFERROR(__xludf.DUMMYFUNCTION("""COMPUTED_VALUE"""),"")</f>
        <v/>
      </c>
      <c r="F4108" s="72"/>
      <c r="G4108" s="72"/>
      <c r="P4108" s="26"/>
    </row>
    <row r="4109" spans="1:16" ht="14.5" hidden="1">
      <c r="A4109" s="5"/>
      <c r="B4109" s="18"/>
      <c r="C4109" s="85"/>
      <c r="D4109" s="41"/>
      <c r="E4109" s="26" t="str">
        <f ca="1">IFERROR(__xludf.DUMMYFUNCTION("""COMPUTED_VALUE"""),"")</f>
        <v/>
      </c>
      <c r="F4109" s="72"/>
      <c r="G4109" s="72"/>
      <c r="P4109" s="26"/>
    </row>
    <row r="4110" spans="1:16" ht="14.5" hidden="1">
      <c r="A4110" s="5"/>
      <c r="B4110" s="18"/>
      <c r="C4110" s="85"/>
      <c r="D4110" s="41"/>
      <c r="E4110" s="26" t="str">
        <f ca="1">IFERROR(__xludf.DUMMYFUNCTION("""COMPUTED_VALUE"""),"")</f>
        <v/>
      </c>
      <c r="F4110" s="72"/>
      <c r="G4110" s="72"/>
      <c r="P4110" s="26"/>
    </row>
    <row r="4111" spans="1:16" ht="14.5" hidden="1">
      <c r="A4111" s="5"/>
      <c r="B4111" s="18"/>
      <c r="C4111" s="85"/>
      <c r="D4111" s="41"/>
      <c r="E4111" s="26" t="str">
        <f ca="1">IFERROR(__xludf.DUMMYFUNCTION("""COMPUTED_VALUE"""),"")</f>
        <v/>
      </c>
      <c r="F4111" s="72"/>
      <c r="G4111" s="72"/>
      <c r="P4111" s="26"/>
    </row>
    <row r="4112" spans="1:16" ht="14.5" hidden="1">
      <c r="A4112" s="5"/>
      <c r="B4112" s="18"/>
      <c r="C4112" s="85"/>
      <c r="D4112" s="41"/>
      <c r="E4112" s="26" t="str">
        <f ca="1">IFERROR(__xludf.DUMMYFUNCTION("""COMPUTED_VALUE"""),"")</f>
        <v/>
      </c>
      <c r="F4112" s="72"/>
      <c r="G4112" s="72"/>
      <c r="P4112" s="26"/>
    </row>
    <row r="4113" spans="1:16" ht="14.5" hidden="1">
      <c r="A4113" s="5"/>
      <c r="B4113" s="18"/>
      <c r="C4113" s="85"/>
      <c r="D4113" s="41"/>
      <c r="E4113" s="26" t="str">
        <f ca="1">IFERROR(__xludf.DUMMYFUNCTION("""COMPUTED_VALUE"""),"")</f>
        <v/>
      </c>
      <c r="F4113" s="72"/>
      <c r="G4113" s="72"/>
      <c r="P4113" s="26"/>
    </row>
    <row r="4114" spans="1:16" ht="14.5" hidden="1">
      <c r="A4114" s="5"/>
      <c r="B4114" s="18"/>
      <c r="C4114" s="85"/>
      <c r="D4114" s="41"/>
      <c r="E4114" s="26" t="str">
        <f ca="1">IFERROR(__xludf.DUMMYFUNCTION("""COMPUTED_VALUE"""),"")</f>
        <v/>
      </c>
      <c r="F4114" s="72"/>
      <c r="G4114" s="72"/>
      <c r="P4114" s="26"/>
    </row>
    <row r="4115" spans="1:16" ht="14.5" hidden="1">
      <c r="A4115" s="5"/>
      <c r="B4115" s="18"/>
      <c r="C4115" s="85"/>
      <c r="D4115" s="41"/>
      <c r="E4115" s="26" t="str">
        <f ca="1">IFERROR(__xludf.DUMMYFUNCTION("""COMPUTED_VALUE"""),"")</f>
        <v/>
      </c>
      <c r="F4115" s="72"/>
      <c r="G4115" s="72"/>
      <c r="P4115" s="26"/>
    </row>
    <row r="4116" spans="1:16" ht="14.5" hidden="1">
      <c r="A4116" s="5"/>
      <c r="B4116" s="18"/>
      <c r="C4116" s="85"/>
      <c r="D4116" s="41"/>
      <c r="E4116" s="26" t="str">
        <f ca="1">IFERROR(__xludf.DUMMYFUNCTION("""COMPUTED_VALUE"""),"")</f>
        <v/>
      </c>
      <c r="F4116" s="72"/>
      <c r="G4116" s="72"/>
      <c r="P4116" s="26"/>
    </row>
    <row r="4117" spans="1:16" ht="14.5" hidden="1">
      <c r="A4117" s="5"/>
      <c r="B4117" s="18"/>
      <c r="C4117" s="85"/>
      <c r="D4117" s="41"/>
      <c r="E4117" s="26" t="str">
        <f ca="1">IFERROR(__xludf.DUMMYFUNCTION("""COMPUTED_VALUE"""),"")</f>
        <v/>
      </c>
      <c r="F4117" s="72"/>
      <c r="G4117" s="72"/>
      <c r="P4117" s="26"/>
    </row>
    <row r="4118" spans="1:16" ht="14.5" hidden="1">
      <c r="A4118" s="5"/>
      <c r="B4118" s="18"/>
      <c r="C4118" s="85"/>
      <c r="D4118" s="41"/>
      <c r="E4118" s="26" t="str">
        <f ca="1">IFERROR(__xludf.DUMMYFUNCTION("""COMPUTED_VALUE"""),"")</f>
        <v/>
      </c>
      <c r="F4118" s="72"/>
      <c r="G4118" s="72"/>
      <c r="P4118" s="26"/>
    </row>
    <row r="4119" spans="1:16" ht="14.5" hidden="1">
      <c r="A4119" s="5"/>
      <c r="B4119" s="18"/>
      <c r="C4119" s="85"/>
      <c r="D4119" s="41"/>
      <c r="E4119" s="26" t="str">
        <f ca="1">IFERROR(__xludf.DUMMYFUNCTION("""COMPUTED_VALUE"""),"")</f>
        <v/>
      </c>
      <c r="F4119" s="72"/>
      <c r="G4119" s="72"/>
      <c r="P4119" s="26"/>
    </row>
    <row r="4120" spans="1:16" ht="14.5" hidden="1">
      <c r="A4120" s="5"/>
      <c r="B4120" s="18"/>
      <c r="C4120" s="85"/>
      <c r="D4120" s="41"/>
      <c r="E4120" s="26" t="str">
        <f ca="1">IFERROR(__xludf.DUMMYFUNCTION("""COMPUTED_VALUE"""),"")</f>
        <v/>
      </c>
      <c r="F4120" s="72"/>
      <c r="G4120" s="72"/>
      <c r="P4120" s="26"/>
    </row>
    <row r="4121" spans="1:16" ht="14.5" hidden="1">
      <c r="A4121" s="5"/>
      <c r="B4121" s="18"/>
      <c r="C4121" s="85"/>
      <c r="D4121" s="41"/>
      <c r="E4121" s="26" t="str">
        <f ca="1">IFERROR(__xludf.DUMMYFUNCTION("""COMPUTED_VALUE"""),"")</f>
        <v/>
      </c>
      <c r="F4121" s="72"/>
      <c r="G4121" s="72"/>
      <c r="P4121" s="26"/>
    </row>
    <row r="4122" spans="1:16" ht="14.5" hidden="1">
      <c r="A4122" s="5"/>
      <c r="B4122" s="18"/>
      <c r="C4122" s="85"/>
      <c r="D4122" s="41"/>
      <c r="E4122" s="26" t="str">
        <f ca="1">IFERROR(__xludf.DUMMYFUNCTION("""COMPUTED_VALUE"""),"")</f>
        <v/>
      </c>
      <c r="F4122" s="72"/>
      <c r="G4122" s="72"/>
      <c r="P4122" s="26"/>
    </row>
    <row r="4123" spans="1:16" ht="14.5" hidden="1">
      <c r="A4123" s="5"/>
      <c r="B4123" s="18"/>
      <c r="C4123" s="85"/>
      <c r="D4123" s="41"/>
      <c r="E4123" s="26" t="str">
        <f ca="1">IFERROR(__xludf.DUMMYFUNCTION("""COMPUTED_VALUE"""),"")</f>
        <v/>
      </c>
      <c r="F4123" s="72"/>
      <c r="G4123" s="72"/>
      <c r="P4123" s="26"/>
    </row>
    <row r="4124" spans="1:16" ht="14.5" hidden="1">
      <c r="A4124" s="5"/>
      <c r="B4124" s="18"/>
      <c r="C4124" s="85"/>
      <c r="D4124" s="41"/>
      <c r="E4124" s="26" t="str">
        <f ca="1">IFERROR(__xludf.DUMMYFUNCTION("""COMPUTED_VALUE"""),"")</f>
        <v/>
      </c>
      <c r="F4124" s="72"/>
      <c r="G4124" s="72"/>
      <c r="P4124" s="26"/>
    </row>
    <row r="4125" spans="1:16" ht="14.5" hidden="1">
      <c r="A4125" s="5"/>
      <c r="B4125" s="18"/>
      <c r="C4125" s="85"/>
      <c r="D4125" s="41"/>
      <c r="E4125" s="26" t="str">
        <f ca="1">IFERROR(__xludf.DUMMYFUNCTION("""COMPUTED_VALUE"""),"")</f>
        <v/>
      </c>
      <c r="F4125" s="72"/>
      <c r="G4125" s="72"/>
      <c r="P4125" s="26"/>
    </row>
    <row r="4126" spans="1:16" ht="14.5" hidden="1">
      <c r="A4126" s="5"/>
      <c r="B4126" s="18"/>
      <c r="C4126" s="85"/>
      <c r="D4126" s="41"/>
      <c r="E4126" s="26" t="str">
        <f ca="1">IFERROR(__xludf.DUMMYFUNCTION("""COMPUTED_VALUE"""),"")</f>
        <v/>
      </c>
      <c r="F4126" s="72"/>
      <c r="G4126" s="72"/>
      <c r="P4126" s="26"/>
    </row>
    <row r="4127" spans="1:16" ht="14.5" hidden="1">
      <c r="A4127" s="5"/>
      <c r="B4127" s="18"/>
      <c r="C4127" s="85"/>
      <c r="D4127" s="41"/>
      <c r="E4127" s="26" t="str">
        <f ca="1">IFERROR(__xludf.DUMMYFUNCTION("""COMPUTED_VALUE"""),"")</f>
        <v/>
      </c>
      <c r="F4127" s="72"/>
      <c r="G4127" s="72"/>
      <c r="P4127" s="26"/>
    </row>
    <row r="4128" spans="1:16" ht="14.5" hidden="1">
      <c r="A4128" s="5"/>
      <c r="B4128" s="18"/>
      <c r="C4128" s="85"/>
      <c r="D4128" s="41"/>
      <c r="E4128" s="26" t="str">
        <f ca="1">IFERROR(__xludf.DUMMYFUNCTION("""COMPUTED_VALUE"""),"")</f>
        <v/>
      </c>
      <c r="F4128" s="72"/>
      <c r="G4128" s="72"/>
      <c r="P4128" s="26"/>
    </row>
    <row r="4129" spans="1:16" ht="14.5" hidden="1">
      <c r="A4129" s="5"/>
      <c r="B4129" s="18"/>
      <c r="C4129" s="85"/>
      <c r="D4129" s="41"/>
      <c r="E4129" s="26" t="str">
        <f ca="1">IFERROR(__xludf.DUMMYFUNCTION("""COMPUTED_VALUE"""),"")</f>
        <v/>
      </c>
      <c r="F4129" s="72"/>
      <c r="G4129" s="72"/>
      <c r="P4129" s="26"/>
    </row>
    <row r="4130" spans="1:16" ht="14.5" hidden="1">
      <c r="A4130" s="5"/>
      <c r="B4130" s="18"/>
      <c r="C4130" s="85"/>
      <c r="D4130" s="41"/>
      <c r="E4130" s="26" t="str">
        <f ca="1">IFERROR(__xludf.DUMMYFUNCTION("""COMPUTED_VALUE"""),"")</f>
        <v/>
      </c>
      <c r="F4130" s="72"/>
      <c r="G4130" s="72"/>
      <c r="P4130" s="26"/>
    </row>
    <row r="4131" spans="1:16" ht="14.5" hidden="1">
      <c r="A4131" s="5"/>
      <c r="B4131" s="18"/>
      <c r="C4131" s="85"/>
      <c r="D4131" s="41"/>
      <c r="E4131" s="26" t="str">
        <f ca="1">IFERROR(__xludf.DUMMYFUNCTION("""COMPUTED_VALUE"""),"")</f>
        <v/>
      </c>
      <c r="F4131" s="72"/>
      <c r="G4131" s="72"/>
      <c r="P4131" s="26"/>
    </row>
    <row r="4132" spans="1:16" ht="14.5" hidden="1">
      <c r="A4132" s="5"/>
      <c r="B4132" s="18"/>
      <c r="C4132" s="85"/>
      <c r="D4132" s="41"/>
      <c r="E4132" s="26" t="str">
        <f ca="1">IFERROR(__xludf.DUMMYFUNCTION("""COMPUTED_VALUE"""),"")</f>
        <v/>
      </c>
      <c r="F4132" s="72"/>
      <c r="G4132" s="72"/>
      <c r="P4132" s="26"/>
    </row>
    <row r="4133" spans="1:16" ht="14.5" hidden="1">
      <c r="A4133" s="5"/>
      <c r="B4133" s="18"/>
      <c r="C4133" s="85"/>
      <c r="D4133" s="41"/>
      <c r="E4133" s="26" t="str">
        <f ca="1">IFERROR(__xludf.DUMMYFUNCTION("""COMPUTED_VALUE"""),"")</f>
        <v/>
      </c>
      <c r="F4133" s="72"/>
      <c r="G4133" s="72"/>
      <c r="P4133" s="26"/>
    </row>
    <row r="4134" spans="1:16" ht="14.5" hidden="1">
      <c r="A4134" s="5"/>
      <c r="B4134" s="18"/>
      <c r="C4134" s="85"/>
      <c r="D4134" s="41"/>
      <c r="E4134" s="26" t="str">
        <f ca="1">IFERROR(__xludf.DUMMYFUNCTION("""COMPUTED_VALUE"""),"")</f>
        <v/>
      </c>
      <c r="F4134" s="72"/>
      <c r="G4134" s="72"/>
      <c r="P4134" s="26"/>
    </row>
    <row r="4135" spans="1:16" ht="14.5" hidden="1">
      <c r="A4135" s="5"/>
      <c r="B4135" s="18"/>
      <c r="C4135" s="85"/>
      <c r="D4135" s="41"/>
      <c r="E4135" s="26" t="str">
        <f ca="1">IFERROR(__xludf.DUMMYFUNCTION("""COMPUTED_VALUE"""),"")</f>
        <v/>
      </c>
      <c r="F4135" s="72"/>
      <c r="G4135" s="72"/>
      <c r="P4135" s="26"/>
    </row>
    <row r="4136" spans="1:16" ht="14.5" hidden="1">
      <c r="A4136" s="5"/>
      <c r="B4136" s="18"/>
      <c r="C4136" s="85"/>
      <c r="D4136" s="41"/>
      <c r="E4136" s="26" t="str">
        <f ca="1">IFERROR(__xludf.DUMMYFUNCTION("""COMPUTED_VALUE"""),"")</f>
        <v/>
      </c>
      <c r="F4136" s="72"/>
      <c r="G4136" s="72"/>
      <c r="P4136" s="26"/>
    </row>
    <row r="4137" spans="1:16" ht="14.5" hidden="1">
      <c r="A4137" s="5"/>
      <c r="B4137" s="18"/>
      <c r="C4137" s="85"/>
      <c r="D4137" s="41"/>
      <c r="E4137" s="26" t="str">
        <f ca="1">IFERROR(__xludf.DUMMYFUNCTION("""COMPUTED_VALUE"""),"")</f>
        <v/>
      </c>
      <c r="F4137" s="72"/>
      <c r="G4137" s="72"/>
      <c r="P4137" s="26"/>
    </row>
    <row r="4138" spans="1:16" ht="14.5" hidden="1">
      <c r="A4138" s="5"/>
      <c r="B4138" s="18"/>
      <c r="C4138" s="85"/>
      <c r="D4138" s="41"/>
      <c r="E4138" s="26" t="str">
        <f ca="1">IFERROR(__xludf.DUMMYFUNCTION("""COMPUTED_VALUE"""),"")</f>
        <v/>
      </c>
      <c r="F4138" s="72"/>
      <c r="G4138" s="72"/>
      <c r="P4138" s="26"/>
    </row>
    <row r="4139" spans="1:16" ht="14.5" hidden="1">
      <c r="A4139" s="5"/>
      <c r="B4139" s="18"/>
      <c r="C4139" s="85"/>
      <c r="D4139" s="41"/>
      <c r="E4139" s="26" t="str">
        <f ca="1">IFERROR(__xludf.DUMMYFUNCTION("""COMPUTED_VALUE"""),"")</f>
        <v/>
      </c>
      <c r="F4139" s="72"/>
      <c r="G4139" s="72"/>
      <c r="P4139" s="26"/>
    </row>
    <row r="4140" spans="1:16" ht="14.5" hidden="1">
      <c r="A4140" s="5"/>
      <c r="B4140" s="18"/>
      <c r="C4140" s="85"/>
      <c r="D4140" s="41"/>
      <c r="E4140" s="26" t="str">
        <f ca="1">IFERROR(__xludf.DUMMYFUNCTION("""COMPUTED_VALUE"""),"")</f>
        <v/>
      </c>
      <c r="F4140" s="72"/>
      <c r="G4140" s="72"/>
      <c r="P4140" s="26"/>
    </row>
    <row r="4141" spans="1:16" ht="14.5" hidden="1">
      <c r="A4141" s="5"/>
      <c r="B4141" s="18"/>
      <c r="C4141" s="85"/>
      <c r="D4141" s="41"/>
      <c r="E4141" s="26" t="str">
        <f ca="1">IFERROR(__xludf.DUMMYFUNCTION("""COMPUTED_VALUE"""),"")</f>
        <v/>
      </c>
      <c r="F4141" s="72"/>
      <c r="G4141" s="72"/>
      <c r="P4141" s="26"/>
    </row>
    <row r="4142" spans="1:16" ht="14.5" hidden="1">
      <c r="A4142" s="5"/>
      <c r="B4142" s="18"/>
      <c r="C4142" s="85"/>
      <c r="D4142" s="41"/>
      <c r="E4142" s="26" t="str">
        <f ca="1">IFERROR(__xludf.DUMMYFUNCTION("""COMPUTED_VALUE"""),"")</f>
        <v/>
      </c>
      <c r="F4142" s="72"/>
      <c r="G4142" s="72"/>
      <c r="P4142" s="26"/>
    </row>
    <row r="4143" spans="1:16" ht="14.5" hidden="1">
      <c r="A4143" s="5"/>
      <c r="B4143" s="18"/>
      <c r="C4143" s="85"/>
      <c r="D4143" s="41"/>
      <c r="E4143" s="26" t="str">
        <f ca="1">IFERROR(__xludf.DUMMYFUNCTION("""COMPUTED_VALUE"""),"")</f>
        <v/>
      </c>
      <c r="F4143" s="72"/>
      <c r="G4143" s="72"/>
      <c r="P4143" s="26"/>
    </row>
    <row r="4144" spans="1:16" ht="14.5" hidden="1">
      <c r="A4144" s="5"/>
      <c r="B4144" s="18"/>
      <c r="C4144" s="85"/>
      <c r="D4144" s="41"/>
      <c r="E4144" s="26" t="str">
        <f ca="1">IFERROR(__xludf.DUMMYFUNCTION("""COMPUTED_VALUE"""),"")</f>
        <v/>
      </c>
      <c r="F4144" s="72"/>
      <c r="G4144" s="72"/>
      <c r="P4144" s="26"/>
    </row>
    <row r="4145" spans="1:16" ht="14.5" hidden="1">
      <c r="A4145" s="5"/>
      <c r="B4145" s="18"/>
      <c r="C4145" s="85"/>
      <c r="D4145" s="41"/>
      <c r="E4145" s="26" t="str">
        <f ca="1">IFERROR(__xludf.DUMMYFUNCTION("""COMPUTED_VALUE"""),"")</f>
        <v/>
      </c>
      <c r="F4145" s="72"/>
      <c r="G4145" s="72"/>
      <c r="P4145" s="26"/>
    </row>
    <row r="4146" spans="1:16" ht="14.5" hidden="1">
      <c r="A4146" s="5"/>
      <c r="B4146" s="18"/>
      <c r="C4146" s="85"/>
      <c r="D4146" s="41"/>
      <c r="E4146" s="26" t="str">
        <f ca="1">IFERROR(__xludf.DUMMYFUNCTION("""COMPUTED_VALUE"""),"")</f>
        <v/>
      </c>
      <c r="F4146" s="72"/>
      <c r="G4146" s="72"/>
      <c r="P4146" s="26"/>
    </row>
    <row r="4147" spans="1:16" ht="14.5" hidden="1">
      <c r="A4147" s="5"/>
      <c r="B4147" s="18"/>
      <c r="C4147" s="85"/>
      <c r="D4147" s="41"/>
      <c r="E4147" s="26" t="str">
        <f ca="1">IFERROR(__xludf.DUMMYFUNCTION("""COMPUTED_VALUE"""),"")</f>
        <v/>
      </c>
      <c r="F4147" s="72"/>
      <c r="G4147" s="72"/>
      <c r="P4147" s="26"/>
    </row>
    <row r="4148" spans="1:16" ht="14.5" hidden="1">
      <c r="A4148" s="5"/>
      <c r="B4148" s="18"/>
      <c r="C4148" s="85"/>
      <c r="D4148" s="41"/>
      <c r="E4148" s="26" t="str">
        <f ca="1">IFERROR(__xludf.DUMMYFUNCTION("""COMPUTED_VALUE"""),"")</f>
        <v/>
      </c>
      <c r="F4148" s="72"/>
      <c r="G4148" s="72"/>
      <c r="P4148" s="26"/>
    </row>
    <row r="4149" spans="1:16" ht="14.5" hidden="1">
      <c r="A4149" s="5"/>
      <c r="B4149" s="18"/>
      <c r="C4149" s="85"/>
      <c r="D4149" s="41"/>
      <c r="E4149" s="26" t="str">
        <f ca="1">IFERROR(__xludf.DUMMYFUNCTION("""COMPUTED_VALUE"""),"")</f>
        <v/>
      </c>
      <c r="F4149" s="72"/>
      <c r="G4149" s="72"/>
      <c r="P4149" s="26"/>
    </row>
    <row r="4150" spans="1:16" ht="14.5" hidden="1">
      <c r="A4150" s="5"/>
      <c r="B4150" s="18"/>
      <c r="C4150" s="85"/>
      <c r="D4150" s="41"/>
      <c r="E4150" s="26" t="str">
        <f ca="1">IFERROR(__xludf.DUMMYFUNCTION("""COMPUTED_VALUE"""),"")</f>
        <v/>
      </c>
      <c r="F4150" s="72"/>
      <c r="G4150" s="72"/>
      <c r="P4150" s="26"/>
    </row>
    <row r="4151" spans="1:16" ht="14.5" hidden="1">
      <c r="A4151" s="5"/>
      <c r="B4151" s="18"/>
      <c r="C4151" s="85"/>
      <c r="D4151" s="41"/>
      <c r="E4151" s="26" t="str">
        <f ca="1">IFERROR(__xludf.DUMMYFUNCTION("""COMPUTED_VALUE"""),"")</f>
        <v/>
      </c>
      <c r="F4151" s="72"/>
      <c r="G4151" s="72"/>
      <c r="P4151" s="26"/>
    </row>
    <row r="4152" spans="1:16" ht="14.5" hidden="1">
      <c r="A4152" s="5"/>
      <c r="B4152" s="18"/>
      <c r="C4152" s="85"/>
      <c r="D4152" s="41"/>
      <c r="E4152" s="26" t="str">
        <f ca="1">IFERROR(__xludf.DUMMYFUNCTION("""COMPUTED_VALUE"""),"")</f>
        <v/>
      </c>
      <c r="F4152" s="72"/>
      <c r="G4152" s="72"/>
      <c r="P4152" s="26"/>
    </row>
    <row r="4153" spans="1:16" ht="14.5" hidden="1">
      <c r="A4153" s="5"/>
      <c r="B4153" s="18"/>
      <c r="C4153" s="85"/>
      <c r="D4153" s="41"/>
      <c r="E4153" s="26" t="str">
        <f ca="1">IFERROR(__xludf.DUMMYFUNCTION("""COMPUTED_VALUE"""),"")</f>
        <v/>
      </c>
      <c r="F4153" s="72"/>
      <c r="G4153" s="72"/>
      <c r="P4153" s="26"/>
    </row>
    <row r="4154" spans="1:16" ht="14.5" hidden="1">
      <c r="A4154" s="5"/>
      <c r="B4154" s="18"/>
      <c r="C4154" s="85"/>
      <c r="D4154" s="41"/>
      <c r="E4154" s="26" t="str">
        <f ca="1">IFERROR(__xludf.DUMMYFUNCTION("""COMPUTED_VALUE"""),"")</f>
        <v/>
      </c>
      <c r="F4154" s="72"/>
      <c r="G4154" s="72"/>
      <c r="P4154" s="26"/>
    </row>
    <row r="4155" spans="1:16" ht="14.5" hidden="1">
      <c r="A4155" s="5"/>
      <c r="B4155" s="18"/>
      <c r="C4155" s="85"/>
      <c r="D4155" s="41"/>
      <c r="E4155" s="26" t="str">
        <f ca="1">IFERROR(__xludf.DUMMYFUNCTION("""COMPUTED_VALUE"""),"")</f>
        <v/>
      </c>
      <c r="F4155" s="72"/>
      <c r="G4155" s="72"/>
      <c r="P4155" s="26"/>
    </row>
    <row r="4156" spans="1:16" ht="14.5" hidden="1">
      <c r="A4156" s="5"/>
      <c r="B4156" s="18"/>
      <c r="C4156" s="85"/>
      <c r="D4156" s="41"/>
      <c r="E4156" s="26" t="str">
        <f ca="1">IFERROR(__xludf.DUMMYFUNCTION("""COMPUTED_VALUE"""),"")</f>
        <v/>
      </c>
      <c r="F4156" s="72"/>
      <c r="G4156" s="72"/>
      <c r="P4156" s="26"/>
    </row>
    <row r="4157" spans="1:16" ht="14.5" hidden="1">
      <c r="A4157" s="5"/>
      <c r="B4157" s="18"/>
      <c r="C4157" s="85"/>
      <c r="D4157" s="41"/>
      <c r="E4157" s="26" t="str">
        <f ca="1">IFERROR(__xludf.DUMMYFUNCTION("""COMPUTED_VALUE"""),"")</f>
        <v/>
      </c>
      <c r="F4157" s="72"/>
      <c r="G4157" s="72"/>
      <c r="P4157" s="26"/>
    </row>
    <row r="4158" spans="1:16" ht="14.5" hidden="1">
      <c r="A4158" s="5"/>
      <c r="B4158" s="18"/>
      <c r="C4158" s="85"/>
      <c r="D4158" s="41"/>
      <c r="E4158" s="26" t="str">
        <f ca="1">IFERROR(__xludf.DUMMYFUNCTION("""COMPUTED_VALUE"""),"")</f>
        <v/>
      </c>
      <c r="F4158" s="72"/>
      <c r="G4158" s="72"/>
      <c r="P4158" s="26"/>
    </row>
    <row r="4159" spans="1:16" ht="14.5" hidden="1">
      <c r="A4159" s="5"/>
      <c r="B4159" s="18"/>
      <c r="C4159" s="85"/>
      <c r="D4159" s="41"/>
      <c r="E4159" s="26" t="str">
        <f ca="1">IFERROR(__xludf.DUMMYFUNCTION("""COMPUTED_VALUE"""),"")</f>
        <v/>
      </c>
      <c r="F4159" s="72"/>
      <c r="G4159" s="72"/>
      <c r="P4159" s="26"/>
    </row>
    <row r="4160" spans="1:16" ht="14.5" hidden="1">
      <c r="A4160" s="5"/>
      <c r="B4160" s="18"/>
      <c r="C4160" s="85"/>
      <c r="D4160" s="41"/>
      <c r="E4160" s="26" t="str">
        <f ca="1">IFERROR(__xludf.DUMMYFUNCTION("""COMPUTED_VALUE"""),"")</f>
        <v/>
      </c>
      <c r="F4160" s="72"/>
      <c r="G4160" s="72"/>
      <c r="P4160" s="26"/>
    </row>
    <row r="4161" spans="1:16" ht="14.5" hidden="1">
      <c r="A4161" s="5"/>
      <c r="B4161" s="18"/>
      <c r="C4161" s="85"/>
      <c r="D4161" s="41"/>
      <c r="E4161" s="26" t="str">
        <f ca="1">IFERROR(__xludf.DUMMYFUNCTION("""COMPUTED_VALUE"""),"")</f>
        <v/>
      </c>
      <c r="F4161" s="72"/>
      <c r="G4161" s="72"/>
      <c r="P4161" s="26"/>
    </row>
    <row r="4162" spans="1:16" ht="14.5" hidden="1">
      <c r="A4162" s="5"/>
      <c r="B4162" s="18"/>
      <c r="C4162" s="85"/>
      <c r="D4162" s="41"/>
      <c r="E4162" s="26" t="str">
        <f ca="1">IFERROR(__xludf.DUMMYFUNCTION("""COMPUTED_VALUE"""),"")</f>
        <v/>
      </c>
      <c r="F4162" s="72"/>
      <c r="G4162" s="72"/>
      <c r="P4162" s="26"/>
    </row>
    <row r="4163" spans="1:16" ht="14.5" hidden="1">
      <c r="A4163" s="5"/>
      <c r="B4163" s="18"/>
      <c r="C4163" s="85"/>
      <c r="D4163" s="41"/>
      <c r="E4163" s="26" t="str">
        <f ca="1">IFERROR(__xludf.DUMMYFUNCTION("""COMPUTED_VALUE"""),"")</f>
        <v/>
      </c>
      <c r="F4163" s="72"/>
      <c r="G4163" s="72"/>
      <c r="P4163" s="26"/>
    </row>
    <row r="4164" spans="1:16" ht="14.5" hidden="1">
      <c r="A4164" s="5"/>
      <c r="B4164" s="18"/>
      <c r="C4164" s="85"/>
      <c r="D4164" s="41"/>
      <c r="E4164" s="26" t="str">
        <f ca="1">IFERROR(__xludf.DUMMYFUNCTION("""COMPUTED_VALUE"""),"")</f>
        <v/>
      </c>
      <c r="F4164" s="72"/>
      <c r="G4164" s="72"/>
      <c r="P4164" s="26"/>
    </row>
    <row r="4165" spans="1:16" ht="14.5" hidden="1">
      <c r="A4165" s="5"/>
      <c r="B4165" s="18"/>
      <c r="C4165" s="85"/>
      <c r="D4165" s="41"/>
      <c r="E4165" s="26" t="str">
        <f ca="1">IFERROR(__xludf.DUMMYFUNCTION("""COMPUTED_VALUE"""),"")</f>
        <v/>
      </c>
      <c r="F4165" s="72"/>
      <c r="G4165" s="72"/>
      <c r="P4165" s="26"/>
    </row>
    <row r="4166" spans="1:16" ht="14.5" hidden="1">
      <c r="A4166" s="5"/>
      <c r="B4166" s="18"/>
      <c r="C4166" s="85"/>
      <c r="D4166" s="41"/>
      <c r="E4166" s="26" t="str">
        <f ca="1">IFERROR(__xludf.DUMMYFUNCTION("""COMPUTED_VALUE"""),"")</f>
        <v/>
      </c>
      <c r="F4166" s="72"/>
      <c r="G4166" s="72"/>
      <c r="P4166" s="26"/>
    </row>
    <row r="4167" spans="1:16" ht="14.5" hidden="1">
      <c r="A4167" s="5"/>
      <c r="B4167" s="18"/>
      <c r="C4167" s="85"/>
      <c r="D4167" s="41"/>
      <c r="E4167" s="26" t="str">
        <f ca="1">IFERROR(__xludf.DUMMYFUNCTION("""COMPUTED_VALUE"""),"")</f>
        <v/>
      </c>
      <c r="F4167" s="72"/>
      <c r="G4167" s="72"/>
      <c r="P4167" s="26"/>
    </row>
    <row r="4168" spans="1:16" ht="14.5" hidden="1">
      <c r="A4168" s="5"/>
      <c r="B4168" s="18"/>
      <c r="C4168" s="85"/>
      <c r="D4168" s="41"/>
      <c r="E4168" s="26" t="str">
        <f ca="1">IFERROR(__xludf.DUMMYFUNCTION("""COMPUTED_VALUE"""),"")</f>
        <v/>
      </c>
      <c r="F4168" s="72"/>
      <c r="G4168" s="72"/>
      <c r="P4168" s="26"/>
    </row>
    <row r="4169" spans="1:16" ht="14.5" hidden="1">
      <c r="A4169" s="5"/>
      <c r="B4169" s="18"/>
      <c r="C4169" s="85"/>
      <c r="D4169" s="41"/>
      <c r="E4169" s="26" t="str">
        <f ca="1">IFERROR(__xludf.DUMMYFUNCTION("""COMPUTED_VALUE"""),"")</f>
        <v/>
      </c>
      <c r="F4169" s="72"/>
      <c r="G4169" s="72"/>
      <c r="P4169" s="26"/>
    </row>
    <row r="4170" spans="1:16" ht="14.5" hidden="1">
      <c r="A4170" s="5"/>
      <c r="B4170" s="18"/>
      <c r="C4170" s="85"/>
      <c r="D4170" s="41"/>
      <c r="E4170" s="26" t="str">
        <f ca="1">IFERROR(__xludf.DUMMYFUNCTION("""COMPUTED_VALUE"""),"")</f>
        <v/>
      </c>
      <c r="F4170" s="72"/>
      <c r="G4170" s="72"/>
      <c r="P4170" s="26"/>
    </row>
    <row r="4171" spans="1:16" ht="14.5" hidden="1">
      <c r="A4171" s="5"/>
      <c r="B4171" s="18"/>
      <c r="C4171" s="85"/>
      <c r="D4171" s="41"/>
      <c r="E4171" s="26" t="str">
        <f ca="1">IFERROR(__xludf.DUMMYFUNCTION("""COMPUTED_VALUE"""),"")</f>
        <v/>
      </c>
      <c r="F4171" s="72"/>
      <c r="G4171" s="72"/>
      <c r="P4171" s="26"/>
    </row>
    <row r="4172" spans="1:16" ht="14.5" hidden="1">
      <c r="A4172" s="5"/>
      <c r="B4172" s="18"/>
      <c r="C4172" s="85"/>
      <c r="D4172" s="41"/>
      <c r="E4172" s="26" t="str">
        <f ca="1">IFERROR(__xludf.DUMMYFUNCTION("""COMPUTED_VALUE"""),"")</f>
        <v/>
      </c>
      <c r="F4172" s="72"/>
      <c r="G4172" s="72"/>
      <c r="P4172" s="26"/>
    </row>
    <row r="4173" spans="1:16" ht="14.5" hidden="1">
      <c r="A4173" s="5"/>
      <c r="B4173" s="18"/>
      <c r="C4173" s="85"/>
      <c r="D4173" s="41"/>
      <c r="E4173" s="26" t="str">
        <f ca="1">IFERROR(__xludf.DUMMYFUNCTION("""COMPUTED_VALUE"""),"")</f>
        <v/>
      </c>
      <c r="F4173" s="72"/>
      <c r="G4173" s="72"/>
      <c r="P4173" s="26"/>
    </row>
    <row r="4174" spans="1:16" ht="14.5" hidden="1">
      <c r="A4174" s="5"/>
      <c r="B4174" s="18"/>
      <c r="C4174" s="85"/>
      <c r="D4174" s="41"/>
      <c r="E4174" s="26" t="str">
        <f ca="1">IFERROR(__xludf.DUMMYFUNCTION("""COMPUTED_VALUE"""),"")</f>
        <v/>
      </c>
      <c r="F4174" s="72"/>
      <c r="G4174" s="72"/>
      <c r="P4174" s="26"/>
    </row>
    <row r="4175" spans="1:16" ht="14.5" hidden="1">
      <c r="A4175" s="5"/>
      <c r="B4175" s="18"/>
      <c r="C4175" s="85"/>
      <c r="D4175" s="41"/>
      <c r="E4175" s="26" t="str">
        <f ca="1">IFERROR(__xludf.DUMMYFUNCTION("""COMPUTED_VALUE"""),"")</f>
        <v/>
      </c>
      <c r="F4175" s="72"/>
      <c r="G4175" s="72"/>
      <c r="P4175" s="26"/>
    </row>
    <row r="4176" spans="1:16" ht="14.5" hidden="1">
      <c r="A4176" s="5"/>
      <c r="B4176" s="18"/>
      <c r="C4176" s="85"/>
      <c r="D4176" s="41"/>
      <c r="E4176" s="26" t="str">
        <f ca="1">IFERROR(__xludf.DUMMYFUNCTION("""COMPUTED_VALUE"""),"")</f>
        <v/>
      </c>
      <c r="F4176" s="72"/>
      <c r="G4176" s="72"/>
      <c r="P4176" s="26"/>
    </row>
    <row r="4177" spans="1:16" ht="14.5" hidden="1">
      <c r="A4177" s="5"/>
      <c r="B4177" s="18"/>
      <c r="C4177" s="85"/>
      <c r="D4177" s="41"/>
      <c r="E4177" s="26" t="str">
        <f ca="1">IFERROR(__xludf.DUMMYFUNCTION("""COMPUTED_VALUE"""),"")</f>
        <v/>
      </c>
      <c r="F4177" s="72"/>
      <c r="G4177" s="72"/>
      <c r="P4177" s="26"/>
    </row>
    <row r="4178" spans="1:16" ht="14.5" hidden="1">
      <c r="A4178" s="5"/>
      <c r="B4178" s="18"/>
      <c r="C4178" s="85"/>
      <c r="D4178" s="41"/>
      <c r="E4178" s="26" t="str">
        <f ca="1">IFERROR(__xludf.DUMMYFUNCTION("""COMPUTED_VALUE"""),"")</f>
        <v/>
      </c>
      <c r="F4178" s="72"/>
      <c r="G4178" s="72"/>
      <c r="P4178" s="26"/>
    </row>
    <row r="4179" spans="1:16" ht="14.5" hidden="1">
      <c r="A4179" s="5"/>
      <c r="B4179" s="18"/>
      <c r="C4179" s="85"/>
      <c r="D4179" s="41"/>
      <c r="E4179" s="26" t="str">
        <f ca="1">IFERROR(__xludf.DUMMYFUNCTION("""COMPUTED_VALUE"""),"")</f>
        <v/>
      </c>
      <c r="F4179" s="72"/>
      <c r="G4179" s="72"/>
      <c r="P4179" s="26"/>
    </row>
    <row r="4180" spans="1:16" ht="14.5" hidden="1">
      <c r="A4180" s="5"/>
      <c r="B4180" s="18"/>
      <c r="C4180" s="85"/>
      <c r="D4180" s="41"/>
      <c r="E4180" s="26" t="str">
        <f ca="1">IFERROR(__xludf.DUMMYFUNCTION("""COMPUTED_VALUE"""),"")</f>
        <v/>
      </c>
      <c r="F4180" s="72"/>
      <c r="G4180" s="72"/>
      <c r="P4180" s="26"/>
    </row>
    <row r="4181" spans="1:16" ht="14.5" hidden="1">
      <c r="A4181" s="5"/>
      <c r="B4181" s="18"/>
      <c r="C4181" s="85"/>
      <c r="D4181" s="41"/>
      <c r="E4181" s="26" t="str">
        <f ca="1">IFERROR(__xludf.DUMMYFUNCTION("""COMPUTED_VALUE"""),"")</f>
        <v/>
      </c>
      <c r="F4181" s="72"/>
      <c r="G4181" s="72"/>
      <c r="P4181" s="26"/>
    </row>
    <row r="4182" spans="1:16" ht="14.5" hidden="1">
      <c r="A4182" s="5"/>
      <c r="B4182" s="18"/>
      <c r="C4182" s="85"/>
      <c r="D4182" s="41"/>
      <c r="E4182" s="26" t="str">
        <f ca="1">IFERROR(__xludf.DUMMYFUNCTION("""COMPUTED_VALUE"""),"")</f>
        <v/>
      </c>
      <c r="F4182" s="72"/>
      <c r="G4182" s="72"/>
      <c r="P4182" s="26"/>
    </row>
    <row r="4183" spans="1:16" ht="14.5" hidden="1">
      <c r="A4183" s="5"/>
      <c r="B4183" s="18"/>
      <c r="C4183" s="85"/>
      <c r="D4183" s="41"/>
      <c r="E4183" s="26" t="str">
        <f ca="1">IFERROR(__xludf.DUMMYFUNCTION("""COMPUTED_VALUE"""),"")</f>
        <v/>
      </c>
      <c r="F4183" s="72"/>
      <c r="G4183" s="72"/>
      <c r="P4183" s="26"/>
    </row>
    <row r="4184" spans="1:16" ht="14.5" hidden="1">
      <c r="A4184" s="5"/>
      <c r="B4184" s="18"/>
      <c r="C4184" s="85"/>
      <c r="D4184" s="41"/>
      <c r="E4184" s="26" t="str">
        <f ca="1">IFERROR(__xludf.DUMMYFUNCTION("""COMPUTED_VALUE"""),"")</f>
        <v/>
      </c>
      <c r="F4184" s="72"/>
      <c r="G4184" s="72"/>
      <c r="P4184" s="26"/>
    </row>
    <row r="4185" spans="1:16" ht="14.5" hidden="1">
      <c r="A4185" s="5"/>
      <c r="B4185" s="18"/>
      <c r="C4185" s="85"/>
      <c r="D4185" s="41"/>
      <c r="E4185" s="26" t="str">
        <f ca="1">IFERROR(__xludf.DUMMYFUNCTION("""COMPUTED_VALUE"""),"")</f>
        <v/>
      </c>
      <c r="F4185" s="72"/>
      <c r="G4185" s="72"/>
      <c r="P4185" s="26"/>
    </row>
    <row r="4186" spans="1:16" ht="14.5" hidden="1">
      <c r="A4186" s="5"/>
      <c r="B4186" s="18"/>
      <c r="C4186" s="85"/>
      <c r="D4186" s="41"/>
      <c r="E4186" s="26" t="str">
        <f ca="1">IFERROR(__xludf.DUMMYFUNCTION("""COMPUTED_VALUE"""),"")</f>
        <v/>
      </c>
      <c r="F4186" s="72"/>
      <c r="G4186" s="72"/>
      <c r="P4186" s="26"/>
    </row>
    <row r="4187" spans="1:16" ht="14.5" hidden="1">
      <c r="A4187" s="5"/>
      <c r="B4187" s="18"/>
      <c r="C4187" s="85"/>
      <c r="D4187" s="41"/>
      <c r="E4187" s="26" t="str">
        <f ca="1">IFERROR(__xludf.DUMMYFUNCTION("""COMPUTED_VALUE"""),"")</f>
        <v/>
      </c>
      <c r="F4187" s="72"/>
      <c r="G4187" s="72"/>
      <c r="P4187" s="26"/>
    </row>
    <row r="4188" spans="1:16" ht="14.5" hidden="1">
      <c r="A4188" s="5"/>
      <c r="B4188" s="18"/>
      <c r="C4188" s="85"/>
      <c r="D4188" s="41"/>
      <c r="E4188" s="26" t="str">
        <f ca="1">IFERROR(__xludf.DUMMYFUNCTION("""COMPUTED_VALUE"""),"")</f>
        <v/>
      </c>
      <c r="F4188" s="72"/>
      <c r="G4188" s="72"/>
      <c r="P4188" s="26"/>
    </row>
    <row r="4189" spans="1:16" ht="14.5" hidden="1">
      <c r="A4189" s="5"/>
      <c r="B4189" s="18"/>
      <c r="C4189" s="85"/>
      <c r="D4189" s="41"/>
      <c r="E4189" s="26" t="str">
        <f ca="1">IFERROR(__xludf.DUMMYFUNCTION("""COMPUTED_VALUE"""),"")</f>
        <v/>
      </c>
      <c r="F4189" s="72"/>
      <c r="G4189" s="72"/>
      <c r="P4189" s="26"/>
    </row>
    <row r="4190" spans="1:16" ht="14.5" hidden="1">
      <c r="A4190" s="5"/>
      <c r="B4190" s="18"/>
      <c r="C4190" s="85"/>
      <c r="D4190" s="41"/>
      <c r="E4190" s="26" t="str">
        <f ca="1">IFERROR(__xludf.DUMMYFUNCTION("""COMPUTED_VALUE"""),"")</f>
        <v/>
      </c>
      <c r="F4190" s="72"/>
      <c r="G4190" s="72"/>
      <c r="P4190" s="26"/>
    </row>
    <row r="4191" spans="1:16" ht="14.5" hidden="1">
      <c r="A4191" s="5"/>
      <c r="B4191" s="18"/>
      <c r="C4191" s="85"/>
      <c r="D4191" s="41"/>
      <c r="E4191" s="26" t="str">
        <f ca="1">IFERROR(__xludf.DUMMYFUNCTION("""COMPUTED_VALUE"""),"")</f>
        <v/>
      </c>
      <c r="F4191" s="72"/>
      <c r="G4191" s="72"/>
      <c r="P4191" s="26"/>
    </row>
    <row r="4192" spans="1:16" ht="14.5" hidden="1">
      <c r="A4192" s="5"/>
      <c r="B4192" s="18"/>
      <c r="C4192" s="85"/>
      <c r="D4192" s="41"/>
      <c r="E4192" s="26" t="str">
        <f ca="1">IFERROR(__xludf.DUMMYFUNCTION("""COMPUTED_VALUE"""),"")</f>
        <v/>
      </c>
      <c r="F4192" s="72"/>
      <c r="G4192" s="72"/>
      <c r="P4192" s="26"/>
    </row>
    <row r="4193" spans="1:16" ht="14.5" hidden="1">
      <c r="A4193" s="5"/>
      <c r="B4193" s="18"/>
      <c r="C4193" s="85"/>
      <c r="D4193" s="41"/>
      <c r="E4193" s="26" t="str">
        <f ca="1">IFERROR(__xludf.DUMMYFUNCTION("""COMPUTED_VALUE"""),"")</f>
        <v/>
      </c>
      <c r="F4193" s="72"/>
      <c r="G4193" s="72"/>
      <c r="P4193" s="26"/>
    </row>
    <row r="4194" spans="1:16" ht="14.5" hidden="1">
      <c r="A4194" s="5"/>
      <c r="B4194" s="18"/>
      <c r="C4194" s="85"/>
      <c r="D4194" s="41"/>
      <c r="E4194" s="26" t="str">
        <f ca="1">IFERROR(__xludf.DUMMYFUNCTION("""COMPUTED_VALUE"""),"")</f>
        <v/>
      </c>
      <c r="F4194" s="72"/>
      <c r="G4194" s="72"/>
      <c r="P4194" s="26"/>
    </row>
    <row r="4195" spans="1:16" ht="14.5" hidden="1">
      <c r="A4195" s="5"/>
      <c r="B4195" s="18"/>
      <c r="C4195" s="85"/>
      <c r="D4195" s="41"/>
      <c r="E4195" s="26" t="str">
        <f ca="1">IFERROR(__xludf.DUMMYFUNCTION("""COMPUTED_VALUE"""),"")</f>
        <v/>
      </c>
      <c r="F4195" s="72"/>
      <c r="G4195" s="72"/>
      <c r="P4195" s="26"/>
    </row>
    <row r="4196" spans="1:16" ht="14.5" hidden="1">
      <c r="A4196" s="5"/>
      <c r="B4196" s="18"/>
      <c r="C4196" s="85"/>
      <c r="D4196" s="41"/>
      <c r="E4196" s="26" t="str">
        <f ca="1">IFERROR(__xludf.DUMMYFUNCTION("""COMPUTED_VALUE"""),"")</f>
        <v/>
      </c>
      <c r="F4196" s="72"/>
      <c r="G4196" s="72"/>
      <c r="P4196" s="26"/>
    </row>
    <row r="4197" spans="1:16" ht="14.5" hidden="1">
      <c r="A4197" s="5"/>
      <c r="B4197" s="18"/>
      <c r="C4197" s="85"/>
      <c r="D4197" s="41"/>
      <c r="E4197" s="26" t="str">
        <f ca="1">IFERROR(__xludf.DUMMYFUNCTION("""COMPUTED_VALUE"""),"")</f>
        <v/>
      </c>
      <c r="F4197" s="72"/>
      <c r="G4197" s="72"/>
      <c r="P4197" s="26"/>
    </row>
    <row r="4198" spans="1:16" ht="14.5" hidden="1">
      <c r="A4198" s="5"/>
      <c r="B4198" s="18"/>
      <c r="C4198" s="85"/>
      <c r="D4198" s="41"/>
      <c r="E4198" s="26" t="str">
        <f ca="1">IFERROR(__xludf.DUMMYFUNCTION("""COMPUTED_VALUE"""),"")</f>
        <v/>
      </c>
      <c r="F4198" s="72"/>
      <c r="G4198" s="72"/>
      <c r="P4198" s="26"/>
    </row>
    <row r="4199" spans="1:16" ht="14.5" hidden="1">
      <c r="A4199" s="5"/>
      <c r="B4199" s="18"/>
      <c r="C4199" s="85"/>
      <c r="D4199" s="41"/>
      <c r="E4199" s="26" t="str">
        <f ca="1">IFERROR(__xludf.DUMMYFUNCTION("""COMPUTED_VALUE"""),"")</f>
        <v/>
      </c>
      <c r="F4199" s="72"/>
      <c r="G4199" s="72"/>
      <c r="P4199" s="26"/>
    </row>
    <row r="4200" spans="1:16" ht="14.5" hidden="1">
      <c r="A4200" s="5"/>
      <c r="B4200" s="18"/>
      <c r="C4200" s="85"/>
      <c r="D4200" s="41"/>
      <c r="E4200" s="26" t="str">
        <f ca="1">IFERROR(__xludf.DUMMYFUNCTION("""COMPUTED_VALUE"""),"")</f>
        <v/>
      </c>
      <c r="F4200" s="72"/>
      <c r="G4200" s="72"/>
      <c r="P4200" s="26"/>
    </row>
    <row r="4201" spans="1:16" ht="14.5" hidden="1">
      <c r="A4201" s="5"/>
      <c r="B4201" s="18"/>
      <c r="C4201" s="85"/>
      <c r="D4201" s="41"/>
      <c r="E4201" s="26" t="str">
        <f ca="1">IFERROR(__xludf.DUMMYFUNCTION("""COMPUTED_VALUE"""),"")</f>
        <v/>
      </c>
      <c r="F4201" s="72"/>
      <c r="G4201" s="72"/>
      <c r="P4201" s="26"/>
    </row>
    <row r="4202" spans="1:16" ht="14.5" hidden="1">
      <c r="A4202" s="5"/>
      <c r="B4202" s="18"/>
      <c r="C4202" s="85"/>
      <c r="D4202" s="41"/>
      <c r="E4202" s="26" t="str">
        <f ca="1">IFERROR(__xludf.DUMMYFUNCTION("""COMPUTED_VALUE"""),"")</f>
        <v/>
      </c>
      <c r="F4202" s="72"/>
      <c r="G4202" s="72"/>
      <c r="P4202" s="26"/>
    </row>
    <row r="4203" spans="1:16" ht="14.5" hidden="1">
      <c r="A4203" s="5"/>
      <c r="B4203" s="18"/>
      <c r="C4203" s="85"/>
      <c r="D4203" s="41"/>
      <c r="E4203" s="26" t="str">
        <f ca="1">IFERROR(__xludf.DUMMYFUNCTION("""COMPUTED_VALUE"""),"")</f>
        <v/>
      </c>
      <c r="F4203" s="72"/>
      <c r="G4203" s="72"/>
      <c r="P4203" s="26"/>
    </row>
    <row r="4204" spans="1:16" ht="14.5" hidden="1">
      <c r="A4204" s="5"/>
      <c r="B4204" s="18"/>
      <c r="C4204" s="85"/>
      <c r="D4204" s="41"/>
      <c r="E4204" s="26" t="str">
        <f ca="1">IFERROR(__xludf.DUMMYFUNCTION("""COMPUTED_VALUE"""),"")</f>
        <v/>
      </c>
      <c r="F4204" s="72"/>
      <c r="G4204" s="72"/>
      <c r="P4204" s="26"/>
    </row>
    <row r="4205" spans="1:16" ht="14.5" hidden="1">
      <c r="A4205" s="5"/>
      <c r="B4205" s="18"/>
      <c r="C4205" s="85"/>
      <c r="D4205" s="41"/>
      <c r="E4205" s="26" t="str">
        <f ca="1">IFERROR(__xludf.DUMMYFUNCTION("""COMPUTED_VALUE"""),"")</f>
        <v/>
      </c>
      <c r="F4205" s="72"/>
      <c r="G4205" s="72"/>
      <c r="P4205" s="26"/>
    </row>
    <row r="4206" spans="1:16" ht="14.5" hidden="1">
      <c r="A4206" s="5"/>
      <c r="B4206" s="18"/>
      <c r="C4206" s="85"/>
      <c r="D4206" s="41"/>
      <c r="E4206" s="26" t="str">
        <f ca="1">IFERROR(__xludf.DUMMYFUNCTION("""COMPUTED_VALUE"""),"")</f>
        <v/>
      </c>
      <c r="F4206" s="72"/>
      <c r="G4206" s="72"/>
      <c r="P4206" s="26"/>
    </row>
    <row r="4207" spans="1:16" ht="14.5" hidden="1">
      <c r="A4207" s="5"/>
      <c r="B4207" s="18"/>
      <c r="C4207" s="85"/>
      <c r="D4207" s="41"/>
      <c r="E4207" s="26" t="str">
        <f ca="1">IFERROR(__xludf.DUMMYFUNCTION("""COMPUTED_VALUE"""),"")</f>
        <v/>
      </c>
      <c r="F4207" s="72"/>
      <c r="G4207" s="72"/>
      <c r="P4207" s="26"/>
    </row>
    <row r="4208" spans="1:16" ht="14.5" hidden="1">
      <c r="A4208" s="5"/>
      <c r="B4208" s="18"/>
      <c r="C4208" s="85"/>
      <c r="D4208" s="41"/>
      <c r="E4208" s="26" t="str">
        <f ca="1">IFERROR(__xludf.DUMMYFUNCTION("""COMPUTED_VALUE"""),"")</f>
        <v/>
      </c>
      <c r="F4208" s="72"/>
      <c r="G4208" s="72"/>
      <c r="P4208" s="26"/>
    </row>
    <row r="4209" spans="1:16" ht="14.5" hidden="1">
      <c r="A4209" s="5"/>
      <c r="B4209" s="18"/>
      <c r="C4209" s="85"/>
      <c r="D4209" s="41"/>
      <c r="E4209" s="26" t="str">
        <f ca="1">IFERROR(__xludf.DUMMYFUNCTION("""COMPUTED_VALUE"""),"")</f>
        <v/>
      </c>
      <c r="F4209" s="72"/>
      <c r="G4209" s="72"/>
      <c r="P4209" s="26"/>
    </row>
    <row r="4210" spans="1:16" ht="14.5" hidden="1">
      <c r="A4210" s="5"/>
      <c r="B4210" s="18"/>
      <c r="C4210" s="85"/>
      <c r="D4210" s="41"/>
      <c r="E4210" s="26" t="str">
        <f ca="1">IFERROR(__xludf.DUMMYFUNCTION("""COMPUTED_VALUE"""),"")</f>
        <v/>
      </c>
      <c r="F4210" s="72"/>
      <c r="G4210" s="72"/>
      <c r="P4210" s="26"/>
    </row>
    <row r="4211" spans="1:16" ht="14.5" hidden="1">
      <c r="A4211" s="5"/>
      <c r="B4211" s="18"/>
      <c r="C4211" s="85"/>
      <c r="D4211" s="41"/>
      <c r="E4211" s="26" t="str">
        <f ca="1">IFERROR(__xludf.DUMMYFUNCTION("""COMPUTED_VALUE"""),"")</f>
        <v/>
      </c>
      <c r="F4211" s="72"/>
      <c r="G4211" s="72"/>
      <c r="P4211" s="26"/>
    </row>
    <row r="4212" spans="1:16" ht="14.5" hidden="1">
      <c r="A4212" s="5"/>
      <c r="B4212" s="18"/>
      <c r="C4212" s="85"/>
      <c r="D4212" s="41"/>
      <c r="E4212" s="26" t="str">
        <f ca="1">IFERROR(__xludf.DUMMYFUNCTION("""COMPUTED_VALUE"""),"")</f>
        <v/>
      </c>
      <c r="F4212" s="72"/>
      <c r="G4212" s="72"/>
      <c r="P4212" s="26"/>
    </row>
    <row r="4213" spans="1:16" ht="14.5" hidden="1">
      <c r="A4213" s="5"/>
      <c r="B4213" s="18"/>
      <c r="C4213" s="85"/>
      <c r="D4213" s="41"/>
      <c r="E4213" s="26" t="str">
        <f ca="1">IFERROR(__xludf.DUMMYFUNCTION("""COMPUTED_VALUE"""),"")</f>
        <v/>
      </c>
      <c r="F4213" s="72"/>
      <c r="G4213" s="72"/>
      <c r="P4213" s="26"/>
    </row>
    <row r="4214" spans="1:16" ht="14.5" hidden="1">
      <c r="A4214" s="5"/>
      <c r="B4214" s="18"/>
      <c r="C4214" s="85"/>
      <c r="D4214" s="41"/>
      <c r="E4214" s="26" t="str">
        <f ca="1">IFERROR(__xludf.DUMMYFUNCTION("""COMPUTED_VALUE"""),"")</f>
        <v/>
      </c>
      <c r="F4214" s="72"/>
      <c r="G4214" s="72"/>
      <c r="P4214" s="26"/>
    </row>
    <row r="4215" spans="1:16" ht="14.5" hidden="1">
      <c r="A4215" s="5"/>
      <c r="B4215" s="18"/>
      <c r="C4215" s="85"/>
      <c r="D4215" s="41"/>
      <c r="E4215" s="26" t="str">
        <f ca="1">IFERROR(__xludf.DUMMYFUNCTION("""COMPUTED_VALUE"""),"")</f>
        <v/>
      </c>
      <c r="F4215" s="72"/>
      <c r="G4215" s="72"/>
      <c r="P4215" s="26"/>
    </row>
    <row r="4216" spans="1:16" ht="14.5" hidden="1">
      <c r="A4216" s="5"/>
      <c r="B4216" s="18"/>
      <c r="C4216" s="85"/>
      <c r="D4216" s="41"/>
      <c r="E4216" s="26" t="str">
        <f ca="1">IFERROR(__xludf.DUMMYFUNCTION("""COMPUTED_VALUE"""),"")</f>
        <v/>
      </c>
      <c r="F4216" s="72"/>
      <c r="G4216" s="72"/>
      <c r="P4216" s="26"/>
    </row>
    <row r="4217" spans="1:16" ht="14.5" hidden="1">
      <c r="A4217" s="5"/>
      <c r="B4217" s="18"/>
      <c r="C4217" s="85"/>
      <c r="D4217" s="41"/>
      <c r="E4217" s="26" t="str">
        <f ca="1">IFERROR(__xludf.DUMMYFUNCTION("""COMPUTED_VALUE"""),"")</f>
        <v/>
      </c>
      <c r="F4217" s="72"/>
      <c r="G4217" s="72"/>
      <c r="P4217" s="26"/>
    </row>
    <row r="4218" spans="1:16" ht="14.5" hidden="1">
      <c r="A4218" s="5"/>
      <c r="B4218" s="18"/>
      <c r="C4218" s="85"/>
      <c r="D4218" s="41"/>
      <c r="E4218" s="26" t="str">
        <f ca="1">IFERROR(__xludf.DUMMYFUNCTION("""COMPUTED_VALUE"""),"")</f>
        <v/>
      </c>
      <c r="F4218" s="72"/>
      <c r="G4218" s="72"/>
      <c r="P4218" s="26"/>
    </row>
    <row r="4219" spans="1:16" ht="14.5" hidden="1">
      <c r="A4219" s="5"/>
      <c r="B4219" s="18"/>
      <c r="C4219" s="85"/>
      <c r="D4219" s="41"/>
      <c r="E4219" s="26" t="str">
        <f ca="1">IFERROR(__xludf.DUMMYFUNCTION("""COMPUTED_VALUE"""),"")</f>
        <v/>
      </c>
      <c r="F4219" s="72"/>
      <c r="G4219" s="72"/>
      <c r="P4219" s="26"/>
    </row>
    <row r="4220" spans="1:16" ht="14.5" hidden="1">
      <c r="A4220" s="5"/>
      <c r="B4220" s="18"/>
      <c r="C4220" s="85"/>
      <c r="D4220" s="41"/>
      <c r="E4220" s="26" t="str">
        <f ca="1">IFERROR(__xludf.DUMMYFUNCTION("""COMPUTED_VALUE"""),"")</f>
        <v/>
      </c>
      <c r="F4220" s="72"/>
      <c r="G4220" s="72"/>
      <c r="P4220" s="26"/>
    </row>
    <row r="4221" spans="1:16" ht="14.5" hidden="1">
      <c r="A4221" s="5"/>
      <c r="B4221" s="18"/>
      <c r="C4221" s="85"/>
      <c r="D4221" s="41"/>
      <c r="E4221" s="26" t="str">
        <f ca="1">IFERROR(__xludf.DUMMYFUNCTION("""COMPUTED_VALUE"""),"")</f>
        <v/>
      </c>
      <c r="F4221" s="72"/>
      <c r="G4221" s="72"/>
      <c r="P4221" s="26"/>
    </row>
    <row r="4222" spans="1:16" ht="14.5" hidden="1">
      <c r="A4222" s="5"/>
      <c r="B4222" s="18"/>
      <c r="C4222" s="85"/>
      <c r="D4222" s="41"/>
      <c r="E4222" s="26" t="str">
        <f ca="1">IFERROR(__xludf.DUMMYFUNCTION("""COMPUTED_VALUE"""),"")</f>
        <v/>
      </c>
      <c r="F4222" s="72"/>
      <c r="G4222" s="72"/>
      <c r="P4222" s="26"/>
    </row>
    <row r="4223" spans="1:16" ht="14.5" hidden="1">
      <c r="A4223" s="5"/>
      <c r="B4223" s="18"/>
      <c r="C4223" s="85"/>
      <c r="D4223" s="41"/>
      <c r="E4223" s="26" t="str">
        <f ca="1">IFERROR(__xludf.DUMMYFUNCTION("""COMPUTED_VALUE"""),"")</f>
        <v/>
      </c>
      <c r="F4223" s="72"/>
      <c r="G4223" s="72"/>
      <c r="P4223" s="26"/>
    </row>
    <row r="4224" spans="1:16" ht="14.5" hidden="1">
      <c r="A4224" s="5"/>
      <c r="B4224" s="18"/>
      <c r="C4224" s="85"/>
      <c r="D4224" s="41"/>
      <c r="E4224" s="26" t="str">
        <f ca="1">IFERROR(__xludf.DUMMYFUNCTION("""COMPUTED_VALUE"""),"")</f>
        <v/>
      </c>
      <c r="F4224" s="72"/>
      <c r="G4224" s="72"/>
      <c r="P4224" s="26"/>
    </row>
    <row r="4225" spans="1:16" ht="14.5" hidden="1">
      <c r="A4225" s="5"/>
      <c r="B4225" s="18"/>
      <c r="C4225" s="85"/>
      <c r="D4225" s="41"/>
      <c r="E4225" s="26" t="str">
        <f ca="1">IFERROR(__xludf.DUMMYFUNCTION("""COMPUTED_VALUE"""),"")</f>
        <v/>
      </c>
      <c r="F4225" s="72"/>
      <c r="G4225" s="72"/>
      <c r="P4225" s="26"/>
    </row>
    <row r="4226" spans="1:16" ht="14.5" hidden="1">
      <c r="A4226" s="5"/>
      <c r="B4226" s="18"/>
      <c r="C4226" s="85"/>
      <c r="D4226" s="41"/>
      <c r="E4226" s="26" t="str">
        <f ca="1">IFERROR(__xludf.DUMMYFUNCTION("""COMPUTED_VALUE"""),"")</f>
        <v/>
      </c>
      <c r="F4226" s="72"/>
      <c r="G4226" s="72"/>
      <c r="P4226" s="26"/>
    </row>
    <row r="4227" spans="1:16" ht="14.5" hidden="1">
      <c r="A4227" s="5"/>
      <c r="B4227" s="18"/>
      <c r="C4227" s="85"/>
      <c r="D4227" s="41"/>
      <c r="E4227" s="26" t="str">
        <f ca="1">IFERROR(__xludf.DUMMYFUNCTION("""COMPUTED_VALUE"""),"")</f>
        <v/>
      </c>
      <c r="F4227" s="72"/>
      <c r="G4227" s="72"/>
      <c r="P4227" s="26"/>
    </row>
    <row r="4228" spans="1:16" ht="14.5" hidden="1">
      <c r="A4228" s="5"/>
      <c r="B4228" s="18"/>
      <c r="C4228" s="85"/>
      <c r="D4228" s="41"/>
      <c r="E4228" s="26" t="str">
        <f ca="1">IFERROR(__xludf.DUMMYFUNCTION("""COMPUTED_VALUE"""),"")</f>
        <v/>
      </c>
      <c r="F4228" s="72"/>
      <c r="G4228" s="72"/>
      <c r="P4228" s="26"/>
    </row>
    <row r="4229" spans="1:16" ht="14.5" hidden="1">
      <c r="A4229" s="5"/>
      <c r="B4229" s="18"/>
      <c r="C4229" s="85"/>
      <c r="D4229" s="41"/>
      <c r="E4229" s="26" t="str">
        <f ca="1">IFERROR(__xludf.DUMMYFUNCTION("""COMPUTED_VALUE"""),"")</f>
        <v/>
      </c>
      <c r="F4229" s="72"/>
      <c r="G4229" s="72"/>
      <c r="P4229" s="26"/>
    </row>
    <row r="4230" spans="1:16" ht="14.5" hidden="1">
      <c r="A4230" s="5"/>
      <c r="B4230" s="18"/>
      <c r="C4230" s="85"/>
      <c r="D4230" s="41"/>
      <c r="E4230" s="26" t="str">
        <f ca="1">IFERROR(__xludf.DUMMYFUNCTION("""COMPUTED_VALUE"""),"")</f>
        <v/>
      </c>
      <c r="F4230" s="72"/>
      <c r="G4230" s="72"/>
      <c r="P4230" s="26"/>
    </row>
    <row r="4231" spans="1:16" ht="14.5" hidden="1">
      <c r="A4231" s="5"/>
      <c r="B4231" s="18"/>
      <c r="C4231" s="85"/>
      <c r="D4231" s="41"/>
      <c r="E4231" s="26" t="str">
        <f ca="1">IFERROR(__xludf.DUMMYFUNCTION("""COMPUTED_VALUE"""),"")</f>
        <v/>
      </c>
      <c r="F4231" s="72"/>
      <c r="G4231" s="72"/>
      <c r="P4231" s="26"/>
    </row>
    <row r="4232" spans="1:16" ht="14.5" hidden="1">
      <c r="A4232" s="5"/>
      <c r="B4232" s="18"/>
      <c r="C4232" s="85"/>
      <c r="D4232" s="41"/>
      <c r="E4232" s="26" t="str">
        <f ca="1">IFERROR(__xludf.DUMMYFUNCTION("""COMPUTED_VALUE"""),"")</f>
        <v/>
      </c>
      <c r="F4232" s="72"/>
      <c r="G4232" s="72"/>
      <c r="P4232" s="26"/>
    </row>
    <row r="4233" spans="1:16" ht="14.5" hidden="1">
      <c r="A4233" s="5"/>
      <c r="B4233" s="18"/>
      <c r="C4233" s="85"/>
      <c r="D4233" s="41"/>
      <c r="E4233" s="26" t="str">
        <f ca="1">IFERROR(__xludf.DUMMYFUNCTION("""COMPUTED_VALUE"""),"")</f>
        <v/>
      </c>
      <c r="F4233" s="72"/>
      <c r="G4233" s="72"/>
      <c r="P4233" s="26"/>
    </row>
    <row r="4234" spans="1:16" ht="14.5" hidden="1">
      <c r="A4234" s="5"/>
      <c r="B4234" s="18"/>
      <c r="C4234" s="85"/>
      <c r="D4234" s="41"/>
      <c r="E4234" s="26" t="str">
        <f ca="1">IFERROR(__xludf.DUMMYFUNCTION("""COMPUTED_VALUE"""),"")</f>
        <v/>
      </c>
      <c r="F4234" s="72"/>
      <c r="G4234" s="72"/>
      <c r="P4234" s="26"/>
    </row>
    <row r="4235" spans="1:16" ht="14.5" hidden="1">
      <c r="A4235" s="5"/>
      <c r="B4235" s="18"/>
      <c r="C4235" s="85"/>
      <c r="D4235" s="41"/>
      <c r="E4235" s="26" t="str">
        <f ca="1">IFERROR(__xludf.DUMMYFUNCTION("""COMPUTED_VALUE"""),"")</f>
        <v/>
      </c>
      <c r="F4235" s="72"/>
      <c r="G4235" s="72"/>
      <c r="P4235" s="26"/>
    </row>
    <row r="4236" spans="1:16" ht="14.5" hidden="1">
      <c r="A4236" s="5"/>
      <c r="B4236" s="18"/>
      <c r="C4236" s="85"/>
      <c r="D4236" s="41"/>
      <c r="E4236" s="26" t="str">
        <f ca="1">IFERROR(__xludf.DUMMYFUNCTION("""COMPUTED_VALUE"""),"")</f>
        <v/>
      </c>
      <c r="F4236" s="72"/>
      <c r="G4236" s="72"/>
      <c r="P4236" s="26"/>
    </row>
    <row r="4237" spans="1:16" ht="14.5" hidden="1">
      <c r="A4237" s="5"/>
      <c r="B4237" s="18"/>
      <c r="C4237" s="85"/>
      <c r="D4237" s="41"/>
      <c r="E4237" s="26" t="str">
        <f ca="1">IFERROR(__xludf.DUMMYFUNCTION("""COMPUTED_VALUE"""),"")</f>
        <v/>
      </c>
      <c r="F4237" s="72"/>
      <c r="G4237" s="72"/>
      <c r="P4237" s="26"/>
    </row>
    <row r="4238" spans="1:16" ht="14.5" hidden="1">
      <c r="A4238" s="5"/>
      <c r="B4238" s="18"/>
      <c r="C4238" s="85"/>
      <c r="D4238" s="41"/>
      <c r="E4238" s="26" t="str">
        <f ca="1">IFERROR(__xludf.DUMMYFUNCTION("""COMPUTED_VALUE"""),"")</f>
        <v/>
      </c>
      <c r="F4238" s="72"/>
      <c r="G4238" s="72"/>
      <c r="P4238" s="26"/>
    </row>
    <row r="4239" spans="1:16" ht="14.5" hidden="1">
      <c r="A4239" s="5"/>
      <c r="B4239" s="18"/>
      <c r="C4239" s="85"/>
      <c r="D4239" s="41"/>
      <c r="E4239" s="26" t="str">
        <f ca="1">IFERROR(__xludf.DUMMYFUNCTION("""COMPUTED_VALUE"""),"")</f>
        <v/>
      </c>
      <c r="F4239" s="72"/>
      <c r="G4239" s="72"/>
      <c r="P4239" s="26"/>
    </row>
    <row r="4240" spans="1:16" ht="14.5" hidden="1">
      <c r="A4240" s="5"/>
      <c r="B4240" s="18"/>
      <c r="C4240" s="85"/>
      <c r="D4240" s="41"/>
      <c r="E4240" s="26" t="str">
        <f ca="1">IFERROR(__xludf.DUMMYFUNCTION("""COMPUTED_VALUE"""),"")</f>
        <v/>
      </c>
      <c r="F4240" s="72"/>
      <c r="G4240" s="72"/>
      <c r="P4240" s="26"/>
    </row>
    <row r="4241" spans="1:16" ht="14.5" hidden="1">
      <c r="A4241" s="5"/>
      <c r="B4241" s="18"/>
      <c r="C4241" s="85"/>
      <c r="D4241" s="41"/>
      <c r="E4241" s="26" t="str">
        <f ca="1">IFERROR(__xludf.DUMMYFUNCTION("""COMPUTED_VALUE"""),"")</f>
        <v/>
      </c>
      <c r="F4241" s="72"/>
      <c r="G4241" s="72"/>
      <c r="P4241" s="26"/>
    </row>
    <row r="4242" spans="1:16" ht="14.5" hidden="1">
      <c r="A4242" s="5"/>
      <c r="B4242" s="18"/>
      <c r="C4242" s="85"/>
      <c r="D4242" s="41"/>
      <c r="E4242" s="26" t="str">
        <f ca="1">IFERROR(__xludf.DUMMYFUNCTION("""COMPUTED_VALUE"""),"")</f>
        <v/>
      </c>
      <c r="F4242" s="72"/>
      <c r="G4242" s="72"/>
      <c r="P4242" s="26"/>
    </row>
    <row r="4243" spans="1:16" ht="14.5" hidden="1">
      <c r="A4243" s="5"/>
      <c r="B4243" s="18"/>
      <c r="C4243" s="85"/>
      <c r="D4243" s="41"/>
      <c r="E4243" s="26" t="str">
        <f ca="1">IFERROR(__xludf.DUMMYFUNCTION("""COMPUTED_VALUE"""),"")</f>
        <v/>
      </c>
      <c r="F4243" s="72"/>
      <c r="G4243" s="72"/>
      <c r="P4243" s="26"/>
    </row>
    <row r="4244" spans="1:16" ht="14.5" hidden="1">
      <c r="A4244" s="5"/>
      <c r="B4244" s="18"/>
      <c r="C4244" s="85"/>
      <c r="D4244" s="41"/>
      <c r="E4244" s="26" t="str">
        <f ca="1">IFERROR(__xludf.DUMMYFUNCTION("""COMPUTED_VALUE"""),"")</f>
        <v/>
      </c>
      <c r="F4244" s="72"/>
      <c r="G4244" s="72"/>
      <c r="P4244" s="26"/>
    </row>
    <row r="4245" spans="1:16" ht="14.5" hidden="1">
      <c r="A4245" s="5"/>
      <c r="B4245" s="18"/>
      <c r="C4245" s="85"/>
      <c r="D4245" s="41"/>
      <c r="E4245" s="26" t="str">
        <f ca="1">IFERROR(__xludf.DUMMYFUNCTION("""COMPUTED_VALUE"""),"")</f>
        <v/>
      </c>
      <c r="F4245" s="72"/>
      <c r="G4245" s="72"/>
      <c r="P4245" s="26"/>
    </row>
    <row r="4246" spans="1:16" ht="14.5" hidden="1">
      <c r="A4246" s="5"/>
      <c r="B4246" s="18"/>
      <c r="C4246" s="85"/>
      <c r="D4246" s="41"/>
      <c r="E4246" s="26" t="str">
        <f ca="1">IFERROR(__xludf.DUMMYFUNCTION("""COMPUTED_VALUE"""),"")</f>
        <v/>
      </c>
      <c r="F4246" s="72"/>
      <c r="G4246" s="72"/>
      <c r="P4246" s="26"/>
    </row>
    <row r="4247" spans="1:16" ht="14.5" hidden="1">
      <c r="A4247" s="5"/>
      <c r="B4247" s="18"/>
      <c r="C4247" s="85"/>
      <c r="D4247" s="41"/>
      <c r="E4247" s="26" t="str">
        <f ca="1">IFERROR(__xludf.DUMMYFUNCTION("""COMPUTED_VALUE"""),"")</f>
        <v/>
      </c>
      <c r="F4247" s="72"/>
      <c r="G4247" s="72"/>
      <c r="P4247" s="26"/>
    </row>
    <row r="4248" spans="1:16" ht="14.5" hidden="1">
      <c r="A4248" s="5"/>
      <c r="B4248" s="18"/>
      <c r="C4248" s="85"/>
      <c r="D4248" s="41"/>
      <c r="E4248" s="26" t="str">
        <f ca="1">IFERROR(__xludf.DUMMYFUNCTION("""COMPUTED_VALUE"""),"")</f>
        <v/>
      </c>
      <c r="F4248" s="72"/>
      <c r="G4248" s="72"/>
      <c r="P4248" s="26"/>
    </row>
    <row r="4249" spans="1:16" ht="14.5" hidden="1">
      <c r="A4249" s="5"/>
      <c r="B4249" s="18"/>
      <c r="C4249" s="85"/>
      <c r="D4249" s="41"/>
      <c r="E4249" s="26" t="str">
        <f ca="1">IFERROR(__xludf.DUMMYFUNCTION("""COMPUTED_VALUE"""),"")</f>
        <v/>
      </c>
      <c r="F4249" s="72"/>
      <c r="G4249" s="72"/>
      <c r="P4249" s="26"/>
    </row>
    <row r="4250" spans="1:16" ht="14.5" hidden="1">
      <c r="A4250" s="5"/>
      <c r="B4250" s="18"/>
      <c r="C4250" s="85"/>
      <c r="D4250" s="41"/>
      <c r="E4250" s="26" t="str">
        <f ca="1">IFERROR(__xludf.DUMMYFUNCTION("""COMPUTED_VALUE"""),"")</f>
        <v/>
      </c>
      <c r="F4250" s="72"/>
      <c r="G4250" s="72"/>
      <c r="P4250" s="26"/>
    </row>
    <row r="4251" spans="1:16" ht="14.5" hidden="1">
      <c r="A4251" s="5"/>
      <c r="B4251" s="18"/>
      <c r="C4251" s="85"/>
      <c r="D4251" s="41"/>
      <c r="E4251" s="26" t="str">
        <f ca="1">IFERROR(__xludf.DUMMYFUNCTION("""COMPUTED_VALUE"""),"")</f>
        <v/>
      </c>
      <c r="F4251" s="72"/>
      <c r="G4251" s="72"/>
      <c r="P4251" s="26"/>
    </row>
    <row r="4252" spans="1:16" ht="14.5" hidden="1">
      <c r="A4252" s="5"/>
      <c r="B4252" s="18"/>
      <c r="C4252" s="85"/>
      <c r="D4252" s="41"/>
      <c r="E4252" s="26" t="str">
        <f ca="1">IFERROR(__xludf.DUMMYFUNCTION("""COMPUTED_VALUE"""),"")</f>
        <v/>
      </c>
      <c r="F4252" s="72"/>
      <c r="G4252" s="72"/>
      <c r="P4252" s="26"/>
    </row>
    <row r="4253" spans="1:16" ht="14.5" hidden="1">
      <c r="A4253" s="5"/>
      <c r="B4253" s="18"/>
      <c r="C4253" s="85"/>
      <c r="D4253" s="41"/>
      <c r="E4253" s="26" t="str">
        <f ca="1">IFERROR(__xludf.DUMMYFUNCTION("""COMPUTED_VALUE"""),"")</f>
        <v/>
      </c>
      <c r="F4253" s="72"/>
      <c r="G4253" s="72"/>
      <c r="P4253" s="26"/>
    </row>
    <row r="4254" spans="1:16" ht="14.5" hidden="1">
      <c r="A4254" s="5"/>
      <c r="B4254" s="18"/>
      <c r="C4254" s="85"/>
      <c r="D4254" s="41"/>
      <c r="E4254" s="26" t="str">
        <f ca="1">IFERROR(__xludf.DUMMYFUNCTION("""COMPUTED_VALUE"""),"")</f>
        <v/>
      </c>
      <c r="F4254" s="72"/>
      <c r="G4254" s="72"/>
      <c r="P4254" s="26"/>
    </row>
    <row r="4255" spans="1:16" ht="14.5" hidden="1">
      <c r="A4255" s="5"/>
      <c r="B4255" s="18"/>
      <c r="C4255" s="85"/>
      <c r="D4255" s="41"/>
      <c r="E4255" s="26" t="str">
        <f ca="1">IFERROR(__xludf.DUMMYFUNCTION("""COMPUTED_VALUE"""),"")</f>
        <v/>
      </c>
      <c r="F4255" s="72"/>
      <c r="G4255" s="72"/>
      <c r="P4255" s="26"/>
    </row>
    <row r="4256" spans="1:16" ht="14.5" hidden="1">
      <c r="A4256" s="5"/>
      <c r="B4256" s="18"/>
      <c r="C4256" s="85"/>
      <c r="D4256" s="41"/>
      <c r="E4256" s="26" t="str">
        <f ca="1">IFERROR(__xludf.DUMMYFUNCTION("""COMPUTED_VALUE"""),"")</f>
        <v/>
      </c>
      <c r="F4256" s="72"/>
      <c r="G4256" s="72"/>
      <c r="P4256" s="26"/>
    </row>
    <row r="4257" spans="1:16" ht="14.5" hidden="1">
      <c r="A4257" s="5"/>
      <c r="B4257" s="18"/>
      <c r="C4257" s="85"/>
      <c r="D4257" s="41"/>
      <c r="E4257" s="26" t="str">
        <f ca="1">IFERROR(__xludf.DUMMYFUNCTION("""COMPUTED_VALUE"""),"")</f>
        <v/>
      </c>
      <c r="F4257" s="72"/>
      <c r="G4257" s="72"/>
      <c r="P4257" s="26"/>
    </row>
    <row r="4258" spans="1:16" ht="14.5" hidden="1">
      <c r="A4258" s="5"/>
      <c r="B4258" s="18"/>
      <c r="C4258" s="85"/>
      <c r="D4258" s="41"/>
      <c r="E4258" s="26" t="str">
        <f ca="1">IFERROR(__xludf.DUMMYFUNCTION("""COMPUTED_VALUE"""),"")</f>
        <v/>
      </c>
      <c r="F4258" s="72"/>
      <c r="G4258" s="72"/>
      <c r="P4258" s="26"/>
    </row>
    <row r="4259" spans="1:16" ht="14.5" hidden="1">
      <c r="A4259" s="5"/>
      <c r="B4259" s="18"/>
      <c r="C4259" s="85"/>
      <c r="D4259" s="41"/>
      <c r="E4259" s="26" t="str">
        <f ca="1">IFERROR(__xludf.DUMMYFUNCTION("""COMPUTED_VALUE"""),"")</f>
        <v/>
      </c>
      <c r="F4259" s="72"/>
      <c r="G4259" s="72"/>
      <c r="P4259" s="26"/>
    </row>
    <row r="4260" spans="1:16" ht="14.5" hidden="1">
      <c r="A4260" s="5"/>
      <c r="B4260" s="18"/>
      <c r="C4260" s="85"/>
      <c r="D4260" s="41"/>
      <c r="E4260" s="26" t="str">
        <f ca="1">IFERROR(__xludf.DUMMYFUNCTION("""COMPUTED_VALUE"""),"")</f>
        <v/>
      </c>
      <c r="F4260" s="72"/>
      <c r="G4260" s="72"/>
      <c r="P4260" s="26"/>
    </row>
    <row r="4261" spans="1:16" ht="14.5" hidden="1">
      <c r="A4261" s="5"/>
      <c r="B4261" s="18"/>
      <c r="C4261" s="85"/>
      <c r="D4261" s="41"/>
      <c r="E4261" s="26" t="str">
        <f ca="1">IFERROR(__xludf.DUMMYFUNCTION("""COMPUTED_VALUE"""),"")</f>
        <v/>
      </c>
      <c r="F4261" s="72"/>
      <c r="G4261" s="72"/>
      <c r="P4261" s="26"/>
    </row>
    <row r="4262" spans="1:16" ht="14.5" hidden="1">
      <c r="A4262" s="5"/>
      <c r="B4262" s="18"/>
      <c r="C4262" s="85"/>
      <c r="D4262" s="41"/>
      <c r="E4262" s="26" t="str">
        <f ca="1">IFERROR(__xludf.DUMMYFUNCTION("""COMPUTED_VALUE"""),"")</f>
        <v/>
      </c>
      <c r="F4262" s="72"/>
      <c r="G4262" s="72"/>
      <c r="P4262" s="26"/>
    </row>
    <row r="4263" spans="1:16" ht="14.5" hidden="1">
      <c r="A4263" s="5"/>
      <c r="B4263" s="18"/>
      <c r="C4263" s="85"/>
      <c r="D4263" s="41"/>
      <c r="E4263" s="26" t="str">
        <f ca="1">IFERROR(__xludf.DUMMYFUNCTION("""COMPUTED_VALUE"""),"")</f>
        <v/>
      </c>
      <c r="F4263" s="72"/>
      <c r="G4263" s="72"/>
      <c r="P4263" s="26"/>
    </row>
    <row r="4264" spans="1:16" ht="14.5" hidden="1">
      <c r="A4264" s="5"/>
      <c r="B4264" s="18"/>
      <c r="C4264" s="85"/>
      <c r="D4264" s="41"/>
      <c r="E4264" s="26" t="str">
        <f ca="1">IFERROR(__xludf.DUMMYFUNCTION("""COMPUTED_VALUE"""),"")</f>
        <v/>
      </c>
      <c r="F4264" s="72"/>
      <c r="G4264" s="72"/>
      <c r="P4264" s="26"/>
    </row>
    <row r="4265" spans="1:16" ht="14.5" hidden="1">
      <c r="A4265" s="5"/>
      <c r="B4265" s="18"/>
      <c r="C4265" s="85"/>
      <c r="D4265" s="41"/>
      <c r="E4265" s="26" t="str">
        <f ca="1">IFERROR(__xludf.DUMMYFUNCTION("""COMPUTED_VALUE"""),"")</f>
        <v/>
      </c>
      <c r="F4265" s="72"/>
      <c r="G4265" s="72"/>
      <c r="P4265" s="26"/>
    </row>
    <row r="4266" spans="1:16" ht="14.5" hidden="1">
      <c r="A4266" s="5"/>
      <c r="B4266" s="18"/>
      <c r="C4266" s="85"/>
      <c r="D4266" s="41"/>
      <c r="E4266" s="26" t="str">
        <f ca="1">IFERROR(__xludf.DUMMYFUNCTION("""COMPUTED_VALUE"""),"")</f>
        <v/>
      </c>
      <c r="F4266" s="72"/>
      <c r="G4266" s="72"/>
      <c r="P4266" s="26"/>
    </row>
    <row r="4267" spans="1:16" ht="14.5" hidden="1">
      <c r="A4267" s="5"/>
      <c r="B4267" s="18"/>
      <c r="C4267" s="85"/>
      <c r="D4267" s="41"/>
      <c r="E4267" s="26" t="str">
        <f ca="1">IFERROR(__xludf.DUMMYFUNCTION("""COMPUTED_VALUE"""),"")</f>
        <v/>
      </c>
      <c r="F4267" s="72"/>
      <c r="G4267" s="72"/>
      <c r="P4267" s="26"/>
    </row>
    <row r="4268" spans="1:16" ht="14.5" hidden="1">
      <c r="A4268" s="5"/>
      <c r="B4268" s="18"/>
      <c r="C4268" s="85"/>
      <c r="D4268" s="41"/>
      <c r="E4268" s="26" t="str">
        <f ca="1">IFERROR(__xludf.DUMMYFUNCTION("""COMPUTED_VALUE"""),"")</f>
        <v/>
      </c>
      <c r="F4268" s="72"/>
      <c r="G4268" s="72"/>
      <c r="P4268" s="26"/>
    </row>
    <row r="4269" spans="1:16" ht="14.5" hidden="1">
      <c r="A4269" s="5"/>
      <c r="B4269" s="18"/>
      <c r="C4269" s="85"/>
      <c r="D4269" s="41"/>
      <c r="E4269" s="26" t="str">
        <f ca="1">IFERROR(__xludf.DUMMYFUNCTION("""COMPUTED_VALUE"""),"")</f>
        <v/>
      </c>
      <c r="F4269" s="72"/>
      <c r="G4269" s="72"/>
      <c r="P4269" s="26"/>
    </row>
    <row r="4270" spans="1:16" ht="14.5" hidden="1">
      <c r="A4270" s="5"/>
      <c r="B4270" s="18"/>
      <c r="C4270" s="85"/>
      <c r="D4270" s="41"/>
      <c r="E4270" s="26" t="str">
        <f ca="1">IFERROR(__xludf.DUMMYFUNCTION("""COMPUTED_VALUE"""),"")</f>
        <v/>
      </c>
      <c r="F4270" s="72"/>
      <c r="G4270" s="72"/>
      <c r="P4270" s="26"/>
    </row>
    <row r="4271" spans="1:16" ht="14.5" hidden="1">
      <c r="A4271" s="5"/>
      <c r="B4271" s="18"/>
      <c r="C4271" s="85"/>
      <c r="D4271" s="41"/>
      <c r="E4271" s="26" t="str">
        <f ca="1">IFERROR(__xludf.DUMMYFUNCTION("""COMPUTED_VALUE"""),"")</f>
        <v/>
      </c>
      <c r="F4271" s="72"/>
      <c r="G4271" s="72"/>
      <c r="P4271" s="26"/>
    </row>
    <row r="4272" spans="1:16" ht="14.5" hidden="1">
      <c r="A4272" s="5"/>
      <c r="B4272" s="18"/>
      <c r="C4272" s="85"/>
      <c r="D4272" s="41"/>
      <c r="E4272" s="26" t="str">
        <f ca="1">IFERROR(__xludf.DUMMYFUNCTION("""COMPUTED_VALUE"""),"")</f>
        <v/>
      </c>
      <c r="F4272" s="72"/>
      <c r="G4272" s="72"/>
      <c r="P4272" s="26"/>
    </row>
    <row r="4273" spans="1:16" ht="14.5" hidden="1">
      <c r="A4273" s="5"/>
      <c r="B4273" s="18"/>
      <c r="C4273" s="85"/>
      <c r="D4273" s="41"/>
      <c r="E4273" s="26" t="str">
        <f ca="1">IFERROR(__xludf.DUMMYFUNCTION("""COMPUTED_VALUE"""),"")</f>
        <v/>
      </c>
      <c r="F4273" s="72"/>
      <c r="G4273" s="72"/>
      <c r="P4273" s="26"/>
    </row>
    <row r="4274" spans="1:16" ht="14.5" hidden="1">
      <c r="A4274" s="5"/>
      <c r="B4274" s="18"/>
      <c r="C4274" s="85"/>
      <c r="D4274" s="41"/>
      <c r="E4274" s="26" t="str">
        <f ca="1">IFERROR(__xludf.DUMMYFUNCTION("""COMPUTED_VALUE"""),"")</f>
        <v/>
      </c>
      <c r="F4274" s="72"/>
      <c r="G4274" s="72"/>
      <c r="P4274" s="26"/>
    </row>
    <row r="4275" spans="1:16" ht="14.5" hidden="1">
      <c r="A4275" s="5"/>
      <c r="B4275" s="18"/>
      <c r="C4275" s="85"/>
      <c r="D4275" s="41"/>
      <c r="E4275" s="26" t="str">
        <f ca="1">IFERROR(__xludf.DUMMYFUNCTION("""COMPUTED_VALUE"""),"")</f>
        <v/>
      </c>
      <c r="F4275" s="72"/>
      <c r="G4275" s="72"/>
      <c r="P4275" s="26"/>
    </row>
    <row r="4276" spans="1:16" ht="14.5" hidden="1">
      <c r="A4276" s="5"/>
      <c r="B4276" s="18"/>
      <c r="C4276" s="85"/>
      <c r="D4276" s="41"/>
      <c r="E4276" s="26" t="str">
        <f ca="1">IFERROR(__xludf.DUMMYFUNCTION("""COMPUTED_VALUE"""),"")</f>
        <v/>
      </c>
      <c r="F4276" s="72"/>
      <c r="G4276" s="72"/>
      <c r="P4276" s="26"/>
    </row>
    <row r="4277" spans="1:16" ht="14.5" hidden="1">
      <c r="A4277" s="5"/>
      <c r="B4277" s="18"/>
      <c r="C4277" s="85"/>
      <c r="D4277" s="41"/>
      <c r="E4277" s="26" t="str">
        <f ca="1">IFERROR(__xludf.DUMMYFUNCTION("""COMPUTED_VALUE"""),"")</f>
        <v/>
      </c>
      <c r="F4277" s="72"/>
      <c r="G4277" s="72"/>
      <c r="P4277" s="26"/>
    </row>
    <row r="4278" spans="1:16" ht="14.5" hidden="1">
      <c r="A4278" s="5"/>
      <c r="B4278" s="18"/>
      <c r="C4278" s="85"/>
      <c r="D4278" s="41"/>
      <c r="E4278" s="26" t="str">
        <f ca="1">IFERROR(__xludf.DUMMYFUNCTION("""COMPUTED_VALUE"""),"")</f>
        <v/>
      </c>
      <c r="F4278" s="72"/>
      <c r="G4278" s="72"/>
      <c r="P4278" s="26"/>
    </row>
    <row r="4279" spans="1:16" ht="14.5" hidden="1">
      <c r="A4279" s="5"/>
      <c r="B4279" s="18"/>
      <c r="C4279" s="85"/>
      <c r="D4279" s="41"/>
      <c r="E4279" s="26" t="str">
        <f ca="1">IFERROR(__xludf.DUMMYFUNCTION("""COMPUTED_VALUE"""),"")</f>
        <v/>
      </c>
      <c r="F4279" s="72"/>
      <c r="G4279" s="72"/>
      <c r="P4279" s="26"/>
    </row>
    <row r="4280" spans="1:16" ht="14.5" hidden="1">
      <c r="A4280" s="5"/>
      <c r="B4280" s="18"/>
      <c r="C4280" s="85"/>
      <c r="D4280" s="41"/>
      <c r="E4280" s="26" t="str">
        <f ca="1">IFERROR(__xludf.DUMMYFUNCTION("""COMPUTED_VALUE"""),"")</f>
        <v/>
      </c>
      <c r="F4280" s="72"/>
      <c r="G4280" s="72"/>
      <c r="P4280" s="26"/>
    </row>
    <row r="4281" spans="1:16" ht="14.5" hidden="1">
      <c r="A4281" s="5"/>
      <c r="B4281" s="18"/>
      <c r="C4281" s="85"/>
      <c r="D4281" s="41"/>
      <c r="E4281" s="26" t="str">
        <f ca="1">IFERROR(__xludf.DUMMYFUNCTION("""COMPUTED_VALUE"""),"")</f>
        <v/>
      </c>
      <c r="F4281" s="72"/>
      <c r="G4281" s="72"/>
      <c r="P4281" s="26"/>
    </row>
    <row r="4282" spans="1:16" ht="14.5" hidden="1">
      <c r="A4282" s="5"/>
      <c r="B4282" s="18"/>
      <c r="C4282" s="85"/>
      <c r="D4282" s="41"/>
      <c r="E4282" s="26" t="str">
        <f ca="1">IFERROR(__xludf.DUMMYFUNCTION("""COMPUTED_VALUE"""),"")</f>
        <v/>
      </c>
      <c r="F4282" s="72"/>
      <c r="G4282" s="72"/>
      <c r="P4282" s="26"/>
    </row>
    <row r="4283" spans="1:16" ht="14.5" hidden="1">
      <c r="A4283" s="5"/>
      <c r="B4283" s="18"/>
      <c r="C4283" s="85"/>
      <c r="D4283" s="41"/>
      <c r="E4283" s="26" t="str">
        <f ca="1">IFERROR(__xludf.DUMMYFUNCTION("""COMPUTED_VALUE"""),"")</f>
        <v/>
      </c>
      <c r="F4283" s="72"/>
      <c r="G4283" s="72"/>
      <c r="P4283" s="26"/>
    </row>
    <row r="4284" spans="1:16" ht="14.5" hidden="1">
      <c r="A4284" s="5"/>
      <c r="B4284" s="18"/>
      <c r="C4284" s="85"/>
      <c r="D4284" s="41"/>
      <c r="E4284" s="26" t="str">
        <f ca="1">IFERROR(__xludf.DUMMYFUNCTION("""COMPUTED_VALUE"""),"")</f>
        <v/>
      </c>
      <c r="F4284" s="72"/>
      <c r="G4284" s="72"/>
      <c r="P4284" s="26"/>
    </row>
    <row r="4285" spans="1:16" ht="14.5" hidden="1">
      <c r="A4285" s="5"/>
      <c r="B4285" s="18"/>
      <c r="C4285" s="85"/>
      <c r="D4285" s="41"/>
      <c r="E4285" s="26" t="str">
        <f ca="1">IFERROR(__xludf.DUMMYFUNCTION("""COMPUTED_VALUE"""),"")</f>
        <v/>
      </c>
      <c r="F4285" s="72"/>
      <c r="G4285" s="72"/>
      <c r="P4285" s="26"/>
    </row>
    <row r="4286" spans="1:16" ht="14.5" hidden="1">
      <c r="A4286" s="5"/>
      <c r="B4286" s="18"/>
      <c r="C4286" s="85"/>
      <c r="D4286" s="41"/>
      <c r="E4286" s="26" t="str">
        <f ca="1">IFERROR(__xludf.DUMMYFUNCTION("""COMPUTED_VALUE"""),"")</f>
        <v/>
      </c>
      <c r="F4286" s="72"/>
      <c r="G4286" s="72"/>
      <c r="P4286" s="26"/>
    </row>
    <row r="4287" spans="1:16" ht="14.5" hidden="1">
      <c r="A4287" s="5"/>
      <c r="B4287" s="18"/>
      <c r="C4287" s="85"/>
      <c r="D4287" s="41"/>
      <c r="E4287" s="26" t="str">
        <f ca="1">IFERROR(__xludf.DUMMYFUNCTION("""COMPUTED_VALUE"""),"")</f>
        <v/>
      </c>
      <c r="F4287" s="72"/>
      <c r="G4287" s="72"/>
      <c r="P4287" s="26"/>
    </row>
    <row r="4288" spans="1:16" ht="14.5" hidden="1">
      <c r="A4288" s="5"/>
      <c r="B4288" s="18"/>
      <c r="C4288" s="85"/>
      <c r="D4288" s="41"/>
      <c r="E4288" s="26" t="str">
        <f ca="1">IFERROR(__xludf.DUMMYFUNCTION("""COMPUTED_VALUE"""),"")</f>
        <v/>
      </c>
      <c r="F4288" s="72"/>
      <c r="G4288" s="72"/>
      <c r="P4288" s="26"/>
    </row>
    <row r="4289" spans="1:16" ht="14.5" hidden="1">
      <c r="A4289" s="5"/>
      <c r="B4289" s="18"/>
      <c r="C4289" s="85"/>
      <c r="D4289" s="41"/>
      <c r="E4289" s="26" t="str">
        <f ca="1">IFERROR(__xludf.DUMMYFUNCTION("""COMPUTED_VALUE"""),"")</f>
        <v/>
      </c>
      <c r="F4289" s="72"/>
      <c r="G4289" s="72"/>
      <c r="P4289" s="26"/>
    </row>
    <row r="4290" spans="1:16" ht="14.5" hidden="1">
      <c r="A4290" s="5"/>
      <c r="B4290" s="18"/>
      <c r="C4290" s="85"/>
      <c r="D4290" s="41"/>
      <c r="E4290" s="26" t="str">
        <f ca="1">IFERROR(__xludf.DUMMYFUNCTION("""COMPUTED_VALUE"""),"")</f>
        <v/>
      </c>
      <c r="F4290" s="72"/>
      <c r="G4290" s="72"/>
      <c r="P4290" s="26"/>
    </row>
    <row r="4291" spans="1:16" ht="14.5" hidden="1">
      <c r="A4291" s="5"/>
      <c r="B4291" s="18"/>
      <c r="C4291" s="85"/>
      <c r="D4291" s="41"/>
      <c r="E4291" s="26" t="str">
        <f ca="1">IFERROR(__xludf.DUMMYFUNCTION("""COMPUTED_VALUE"""),"")</f>
        <v/>
      </c>
      <c r="F4291" s="72"/>
      <c r="G4291" s="72"/>
      <c r="P4291" s="26"/>
    </row>
    <row r="4292" spans="1:16" ht="14.5" hidden="1">
      <c r="A4292" s="5"/>
      <c r="B4292" s="18"/>
      <c r="C4292" s="85"/>
      <c r="D4292" s="41"/>
      <c r="E4292" s="26" t="str">
        <f ca="1">IFERROR(__xludf.DUMMYFUNCTION("""COMPUTED_VALUE"""),"")</f>
        <v/>
      </c>
      <c r="F4292" s="72"/>
      <c r="G4292" s="72"/>
      <c r="P4292" s="26"/>
    </row>
    <row r="4293" spans="1:16" ht="14.5" hidden="1">
      <c r="A4293" s="5"/>
      <c r="B4293" s="18"/>
      <c r="C4293" s="85"/>
      <c r="D4293" s="41"/>
      <c r="E4293" s="26" t="str">
        <f ca="1">IFERROR(__xludf.DUMMYFUNCTION("""COMPUTED_VALUE"""),"")</f>
        <v/>
      </c>
      <c r="F4293" s="72"/>
      <c r="G4293" s="72"/>
      <c r="P4293" s="26"/>
    </row>
    <row r="4294" spans="1:16" ht="14.5" hidden="1">
      <c r="A4294" s="5"/>
      <c r="B4294" s="18"/>
      <c r="C4294" s="85"/>
      <c r="D4294" s="41"/>
      <c r="E4294" s="26" t="str">
        <f ca="1">IFERROR(__xludf.DUMMYFUNCTION("""COMPUTED_VALUE"""),"")</f>
        <v/>
      </c>
      <c r="F4294" s="72"/>
      <c r="G4294" s="72"/>
      <c r="P4294" s="26"/>
    </row>
    <row r="4295" spans="1:16" ht="14.5" hidden="1">
      <c r="A4295" s="5"/>
      <c r="B4295" s="18"/>
      <c r="C4295" s="85"/>
      <c r="D4295" s="41"/>
      <c r="E4295" s="26" t="str">
        <f ca="1">IFERROR(__xludf.DUMMYFUNCTION("""COMPUTED_VALUE"""),"")</f>
        <v/>
      </c>
      <c r="F4295" s="72"/>
      <c r="G4295" s="72"/>
      <c r="P4295" s="26"/>
    </row>
    <row r="4296" spans="1:16" ht="14.5" hidden="1">
      <c r="A4296" s="5"/>
      <c r="B4296" s="18"/>
      <c r="C4296" s="85"/>
      <c r="D4296" s="41"/>
      <c r="E4296" s="26" t="str">
        <f ca="1">IFERROR(__xludf.DUMMYFUNCTION("""COMPUTED_VALUE"""),"")</f>
        <v/>
      </c>
      <c r="F4296" s="72"/>
      <c r="G4296" s="72"/>
      <c r="P4296" s="26"/>
    </row>
    <row r="4297" spans="1:16" ht="14.5" hidden="1">
      <c r="A4297" s="5"/>
      <c r="B4297" s="18"/>
      <c r="C4297" s="85"/>
      <c r="D4297" s="41"/>
      <c r="E4297" s="26" t="str">
        <f ca="1">IFERROR(__xludf.DUMMYFUNCTION("""COMPUTED_VALUE"""),"")</f>
        <v/>
      </c>
      <c r="F4297" s="72"/>
      <c r="G4297" s="72"/>
      <c r="P4297" s="26"/>
    </row>
    <row r="4298" spans="1:16" ht="14.5" hidden="1">
      <c r="A4298" s="5"/>
      <c r="B4298" s="18"/>
      <c r="C4298" s="85"/>
      <c r="D4298" s="41"/>
      <c r="E4298" s="26" t="str">
        <f ca="1">IFERROR(__xludf.DUMMYFUNCTION("""COMPUTED_VALUE"""),"")</f>
        <v/>
      </c>
      <c r="F4298" s="72"/>
      <c r="G4298" s="72"/>
      <c r="P4298" s="26"/>
    </row>
    <row r="4299" spans="1:16" ht="14.5" hidden="1">
      <c r="A4299" s="5"/>
      <c r="B4299" s="18"/>
      <c r="C4299" s="85"/>
      <c r="D4299" s="41"/>
      <c r="E4299" s="26" t="str">
        <f ca="1">IFERROR(__xludf.DUMMYFUNCTION("""COMPUTED_VALUE"""),"")</f>
        <v/>
      </c>
      <c r="F4299" s="72"/>
      <c r="G4299" s="72"/>
      <c r="P4299" s="26"/>
    </row>
    <row r="4300" spans="1:16" ht="14.5" hidden="1">
      <c r="A4300" s="5"/>
      <c r="B4300" s="18"/>
      <c r="C4300" s="85"/>
      <c r="D4300" s="41"/>
      <c r="E4300" s="26" t="str">
        <f ca="1">IFERROR(__xludf.DUMMYFUNCTION("""COMPUTED_VALUE"""),"")</f>
        <v/>
      </c>
      <c r="F4300" s="72"/>
      <c r="G4300" s="72"/>
      <c r="P4300" s="26"/>
    </row>
    <row r="4301" spans="1:16" ht="14.5" hidden="1">
      <c r="A4301" s="5"/>
      <c r="B4301" s="18"/>
      <c r="C4301" s="85"/>
      <c r="D4301" s="41"/>
      <c r="E4301" s="26" t="str">
        <f ca="1">IFERROR(__xludf.DUMMYFUNCTION("""COMPUTED_VALUE"""),"")</f>
        <v/>
      </c>
      <c r="F4301" s="72"/>
      <c r="G4301" s="72"/>
      <c r="P4301" s="26"/>
    </row>
    <row r="4302" spans="1:16" ht="14.5" hidden="1">
      <c r="A4302" s="5"/>
      <c r="B4302" s="18"/>
      <c r="C4302" s="85"/>
      <c r="D4302" s="41"/>
      <c r="E4302" s="26" t="str">
        <f ca="1">IFERROR(__xludf.DUMMYFUNCTION("""COMPUTED_VALUE"""),"")</f>
        <v/>
      </c>
      <c r="F4302" s="72"/>
      <c r="G4302" s="72"/>
      <c r="P4302" s="26"/>
    </row>
    <row r="4303" spans="1:16" ht="14.5" hidden="1">
      <c r="A4303" s="5"/>
      <c r="B4303" s="18"/>
      <c r="C4303" s="85"/>
      <c r="D4303" s="41"/>
      <c r="E4303" s="26" t="str">
        <f ca="1">IFERROR(__xludf.DUMMYFUNCTION("""COMPUTED_VALUE"""),"")</f>
        <v/>
      </c>
      <c r="F4303" s="72"/>
      <c r="G4303" s="72"/>
      <c r="P4303" s="26"/>
    </row>
    <row r="4304" spans="1:16" ht="14.5" hidden="1">
      <c r="A4304" s="5"/>
      <c r="B4304" s="18"/>
      <c r="C4304" s="85"/>
      <c r="D4304" s="41"/>
      <c r="E4304" s="26" t="str">
        <f ca="1">IFERROR(__xludf.DUMMYFUNCTION("""COMPUTED_VALUE"""),"")</f>
        <v/>
      </c>
      <c r="F4304" s="72"/>
      <c r="G4304" s="72"/>
      <c r="P4304" s="26"/>
    </row>
    <row r="4305" spans="1:16" ht="14.5" hidden="1">
      <c r="A4305" s="5"/>
      <c r="B4305" s="18"/>
      <c r="C4305" s="85"/>
      <c r="D4305" s="41"/>
      <c r="E4305" s="26" t="str">
        <f ca="1">IFERROR(__xludf.DUMMYFUNCTION("""COMPUTED_VALUE"""),"")</f>
        <v/>
      </c>
      <c r="F4305" s="72"/>
      <c r="G4305" s="72"/>
      <c r="P4305" s="26"/>
    </row>
    <row r="4306" spans="1:16" ht="14.5" hidden="1">
      <c r="A4306" s="5"/>
      <c r="B4306" s="18"/>
      <c r="C4306" s="85"/>
      <c r="D4306" s="41"/>
      <c r="E4306" s="26" t="str">
        <f ca="1">IFERROR(__xludf.DUMMYFUNCTION("""COMPUTED_VALUE"""),"")</f>
        <v/>
      </c>
      <c r="F4306" s="72"/>
      <c r="G4306" s="72"/>
      <c r="P4306" s="26"/>
    </row>
    <row r="4307" spans="1:16" ht="14.5" hidden="1">
      <c r="A4307" s="5"/>
      <c r="B4307" s="18"/>
      <c r="C4307" s="85"/>
      <c r="D4307" s="41"/>
      <c r="E4307" s="26" t="str">
        <f ca="1">IFERROR(__xludf.DUMMYFUNCTION("""COMPUTED_VALUE"""),"")</f>
        <v/>
      </c>
      <c r="F4307" s="72"/>
      <c r="G4307" s="72"/>
      <c r="P4307" s="26"/>
    </row>
    <row r="4308" spans="1:16" ht="14.5" hidden="1">
      <c r="A4308" s="5"/>
      <c r="B4308" s="18"/>
      <c r="C4308" s="85"/>
      <c r="D4308" s="41"/>
      <c r="E4308" s="26" t="str">
        <f ca="1">IFERROR(__xludf.DUMMYFUNCTION("""COMPUTED_VALUE"""),"")</f>
        <v/>
      </c>
      <c r="F4308" s="72"/>
      <c r="G4308" s="72"/>
      <c r="P4308" s="26"/>
    </row>
    <row r="4309" spans="1:16" ht="14.5" hidden="1">
      <c r="A4309" s="5"/>
      <c r="B4309" s="18"/>
      <c r="C4309" s="85"/>
      <c r="D4309" s="41"/>
      <c r="E4309" s="26" t="str">
        <f ca="1">IFERROR(__xludf.DUMMYFUNCTION("""COMPUTED_VALUE"""),"")</f>
        <v/>
      </c>
      <c r="F4309" s="72"/>
      <c r="G4309" s="72"/>
      <c r="P4309" s="26"/>
    </row>
    <row r="4310" spans="1:16" ht="14.5" hidden="1">
      <c r="A4310" s="5"/>
      <c r="B4310" s="18"/>
      <c r="C4310" s="85"/>
      <c r="D4310" s="41"/>
      <c r="E4310" s="26" t="str">
        <f ca="1">IFERROR(__xludf.DUMMYFUNCTION("""COMPUTED_VALUE"""),"")</f>
        <v/>
      </c>
      <c r="F4310" s="72"/>
      <c r="G4310" s="72"/>
      <c r="P4310" s="26"/>
    </row>
    <row r="4311" spans="1:16" ht="14.5" hidden="1">
      <c r="A4311" s="5"/>
      <c r="B4311" s="18"/>
      <c r="C4311" s="85"/>
      <c r="D4311" s="41"/>
      <c r="E4311" s="26" t="str">
        <f ca="1">IFERROR(__xludf.DUMMYFUNCTION("""COMPUTED_VALUE"""),"")</f>
        <v/>
      </c>
      <c r="F4311" s="72"/>
      <c r="G4311" s="72"/>
      <c r="P4311" s="26"/>
    </row>
    <row r="4312" spans="1:16" ht="14.5" hidden="1">
      <c r="A4312" s="5"/>
      <c r="B4312" s="18"/>
      <c r="C4312" s="85"/>
      <c r="D4312" s="41"/>
      <c r="E4312" s="26" t="str">
        <f ca="1">IFERROR(__xludf.DUMMYFUNCTION("""COMPUTED_VALUE"""),"")</f>
        <v/>
      </c>
      <c r="F4312" s="72"/>
      <c r="G4312" s="72"/>
      <c r="P4312" s="26"/>
    </row>
    <row r="4313" spans="1:16" ht="14.5" hidden="1">
      <c r="A4313" s="5"/>
      <c r="B4313" s="18"/>
      <c r="C4313" s="85"/>
      <c r="D4313" s="41"/>
      <c r="E4313" s="26" t="str">
        <f ca="1">IFERROR(__xludf.DUMMYFUNCTION("""COMPUTED_VALUE"""),"")</f>
        <v/>
      </c>
      <c r="F4313" s="72"/>
      <c r="G4313" s="72"/>
      <c r="P4313" s="26"/>
    </row>
    <row r="4314" spans="1:16" ht="14.5" hidden="1">
      <c r="A4314" s="5"/>
      <c r="B4314" s="18"/>
      <c r="C4314" s="85"/>
      <c r="D4314" s="41"/>
      <c r="E4314" s="26" t="str">
        <f ca="1">IFERROR(__xludf.DUMMYFUNCTION("""COMPUTED_VALUE"""),"")</f>
        <v/>
      </c>
      <c r="F4314" s="72"/>
      <c r="G4314" s="72"/>
      <c r="P4314" s="26"/>
    </row>
    <row r="4315" spans="1:16" ht="14.5" hidden="1">
      <c r="A4315" s="5"/>
      <c r="B4315" s="18"/>
      <c r="C4315" s="85"/>
      <c r="D4315" s="41"/>
      <c r="E4315" s="26" t="str">
        <f ca="1">IFERROR(__xludf.DUMMYFUNCTION("""COMPUTED_VALUE"""),"")</f>
        <v/>
      </c>
      <c r="F4315" s="72"/>
      <c r="G4315" s="72"/>
      <c r="P4315" s="26"/>
    </row>
    <row r="4316" spans="1:16" ht="14.5" hidden="1">
      <c r="A4316" s="5"/>
      <c r="B4316" s="18"/>
      <c r="C4316" s="85"/>
      <c r="D4316" s="41"/>
      <c r="E4316" s="26" t="str">
        <f ca="1">IFERROR(__xludf.DUMMYFUNCTION("""COMPUTED_VALUE"""),"")</f>
        <v/>
      </c>
      <c r="F4316" s="72"/>
      <c r="G4316" s="72"/>
      <c r="P4316" s="26"/>
    </row>
    <row r="4317" spans="1:16" ht="14.5" hidden="1">
      <c r="A4317" s="5"/>
      <c r="B4317" s="18"/>
      <c r="C4317" s="85"/>
      <c r="D4317" s="41"/>
      <c r="E4317" s="26" t="str">
        <f ca="1">IFERROR(__xludf.DUMMYFUNCTION("""COMPUTED_VALUE"""),"")</f>
        <v/>
      </c>
      <c r="F4317" s="72"/>
      <c r="G4317" s="72"/>
      <c r="P4317" s="26"/>
    </row>
    <row r="4318" spans="1:16" ht="14.5" hidden="1">
      <c r="A4318" s="5"/>
      <c r="B4318" s="18"/>
      <c r="C4318" s="85"/>
      <c r="D4318" s="41"/>
      <c r="E4318" s="26" t="str">
        <f ca="1">IFERROR(__xludf.DUMMYFUNCTION("""COMPUTED_VALUE"""),"")</f>
        <v/>
      </c>
      <c r="F4318" s="72"/>
      <c r="G4318" s="72"/>
      <c r="P4318" s="26"/>
    </row>
    <row r="4319" spans="1:16" ht="14.5" hidden="1">
      <c r="A4319" s="5"/>
      <c r="B4319" s="18"/>
      <c r="C4319" s="85"/>
      <c r="D4319" s="41"/>
      <c r="E4319" s="26" t="str">
        <f ca="1">IFERROR(__xludf.DUMMYFUNCTION("""COMPUTED_VALUE"""),"")</f>
        <v/>
      </c>
      <c r="F4319" s="72"/>
      <c r="G4319" s="72"/>
      <c r="P4319" s="26"/>
    </row>
    <row r="4320" spans="1:16" ht="14.5" hidden="1">
      <c r="A4320" s="5"/>
      <c r="B4320" s="18"/>
      <c r="C4320" s="85"/>
      <c r="D4320" s="41"/>
      <c r="E4320" s="26" t="str">
        <f ca="1">IFERROR(__xludf.DUMMYFUNCTION("""COMPUTED_VALUE"""),"")</f>
        <v/>
      </c>
      <c r="F4320" s="72"/>
      <c r="G4320" s="72"/>
      <c r="P4320" s="26"/>
    </row>
    <row r="4321" spans="1:16" ht="14.5" hidden="1">
      <c r="A4321" s="5"/>
      <c r="B4321" s="18"/>
      <c r="C4321" s="85"/>
      <c r="D4321" s="41"/>
      <c r="E4321" s="26" t="str">
        <f ca="1">IFERROR(__xludf.DUMMYFUNCTION("""COMPUTED_VALUE"""),"")</f>
        <v/>
      </c>
      <c r="F4321" s="72"/>
      <c r="G4321" s="72"/>
      <c r="P4321" s="26"/>
    </row>
    <row r="4322" spans="1:16" ht="14.5" hidden="1">
      <c r="A4322" s="5"/>
      <c r="B4322" s="18"/>
      <c r="C4322" s="85"/>
      <c r="D4322" s="41"/>
      <c r="E4322" s="26" t="str">
        <f ca="1">IFERROR(__xludf.DUMMYFUNCTION("""COMPUTED_VALUE"""),"")</f>
        <v/>
      </c>
      <c r="F4322" s="72"/>
      <c r="G4322" s="72"/>
      <c r="P4322" s="26"/>
    </row>
    <row r="4323" spans="1:16" ht="14.5" hidden="1">
      <c r="A4323" s="5"/>
      <c r="B4323" s="18"/>
      <c r="C4323" s="85"/>
      <c r="D4323" s="41"/>
      <c r="E4323" s="26" t="str">
        <f ca="1">IFERROR(__xludf.DUMMYFUNCTION("""COMPUTED_VALUE"""),"")</f>
        <v/>
      </c>
      <c r="F4323" s="72"/>
      <c r="G4323" s="72"/>
      <c r="P4323" s="26"/>
    </row>
    <row r="4324" spans="1:16" ht="14.5" hidden="1">
      <c r="A4324" s="5"/>
      <c r="B4324" s="18"/>
      <c r="C4324" s="85"/>
      <c r="D4324" s="41"/>
      <c r="E4324" s="26" t="str">
        <f ca="1">IFERROR(__xludf.DUMMYFUNCTION("""COMPUTED_VALUE"""),"")</f>
        <v/>
      </c>
      <c r="F4324" s="72"/>
      <c r="G4324" s="72"/>
      <c r="P4324" s="26"/>
    </row>
    <row r="4325" spans="1:16" ht="14.5" hidden="1">
      <c r="A4325" s="5"/>
      <c r="B4325" s="18"/>
      <c r="C4325" s="85"/>
      <c r="D4325" s="41"/>
      <c r="E4325" s="26" t="str">
        <f ca="1">IFERROR(__xludf.DUMMYFUNCTION("""COMPUTED_VALUE"""),"")</f>
        <v/>
      </c>
      <c r="F4325" s="72"/>
      <c r="G4325" s="72"/>
      <c r="P4325" s="26"/>
    </row>
    <row r="4326" spans="1:16" ht="14.5" hidden="1">
      <c r="A4326" s="5"/>
      <c r="B4326" s="18"/>
      <c r="C4326" s="85"/>
      <c r="D4326" s="41"/>
      <c r="E4326" s="26" t="str">
        <f ca="1">IFERROR(__xludf.DUMMYFUNCTION("""COMPUTED_VALUE"""),"")</f>
        <v/>
      </c>
      <c r="F4326" s="72"/>
      <c r="G4326" s="72"/>
      <c r="P4326" s="26"/>
    </row>
    <row r="4327" spans="1:16" ht="14.5" hidden="1">
      <c r="A4327" s="5"/>
      <c r="B4327" s="18"/>
      <c r="C4327" s="85"/>
      <c r="D4327" s="41"/>
      <c r="E4327" s="26" t="str">
        <f ca="1">IFERROR(__xludf.DUMMYFUNCTION("""COMPUTED_VALUE"""),"")</f>
        <v/>
      </c>
      <c r="F4327" s="72"/>
      <c r="G4327" s="72"/>
      <c r="P4327" s="26"/>
    </row>
    <row r="4328" spans="1:16" ht="14.5" hidden="1">
      <c r="A4328" s="5"/>
      <c r="B4328" s="18"/>
      <c r="C4328" s="85"/>
      <c r="D4328" s="41"/>
      <c r="E4328" s="26" t="str">
        <f ca="1">IFERROR(__xludf.DUMMYFUNCTION("""COMPUTED_VALUE"""),"")</f>
        <v/>
      </c>
      <c r="F4328" s="72"/>
      <c r="G4328" s="72"/>
      <c r="P4328" s="26"/>
    </row>
    <row r="4329" spans="1:16" ht="14.5" hidden="1">
      <c r="A4329" s="5"/>
      <c r="B4329" s="18"/>
      <c r="C4329" s="85"/>
      <c r="D4329" s="41"/>
      <c r="E4329" s="26" t="str">
        <f ca="1">IFERROR(__xludf.DUMMYFUNCTION("""COMPUTED_VALUE"""),"")</f>
        <v/>
      </c>
      <c r="F4329" s="72"/>
      <c r="G4329" s="72"/>
      <c r="P4329" s="26"/>
    </row>
    <row r="4330" spans="1:16" ht="14.5" hidden="1">
      <c r="A4330" s="5"/>
      <c r="B4330" s="18"/>
      <c r="C4330" s="85"/>
      <c r="D4330" s="41"/>
      <c r="E4330" s="26" t="str">
        <f ca="1">IFERROR(__xludf.DUMMYFUNCTION("""COMPUTED_VALUE"""),"")</f>
        <v/>
      </c>
      <c r="F4330" s="72"/>
      <c r="G4330" s="72"/>
      <c r="P4330" s="26"/>
    </row>
    <row r="4331" spans="1:16" ht="14.5" hidden="1">
      <c r="A4331" s="5"/>
      <c r="B4331" s="18"/>
      <c r="C4331" s="85"/>
      <c r="D4331" s="41"/>
      <c r="E4331" s="26" t="str">
        <f ca="1">IFERROR(__xludf.DUMMYFUNCTION("""COMPUTED_VALUE"""),"")</f>
        <v/>
      </c>
      <c r="F4331" s="72"/>
      <c r="G4331" s="72"/>
      <c r="P4331" s="26"/>
    </row>
    <row r="4332" spans="1:16" ht="14.5" hidden="1">
      <c r="A4332" s="5"/>
      <c r="B4332" s="18"/>
      <c r="C4332" s="85"/>
      <c r="D4332" s="41"/>
      <c r="E4332" s="26" t="str">
        <f ca="1">IFERROR(__xludf.DUMMYFUNCTION("""COMPUTED_VALUE"""),"")</f>
        <v/>
      </c>
      <c r="F4332" s="72"/>
      <c r="G4332" s="72"/>
      <c r="P4332" s="26"/>
    </row>
    <row r="4333" spans="1:16" ht="14.5" hidden="1">
      <c r="A4333" s="5"/>
      <c r="B4333" s="18"/>
      <c r="C4333" s="85"/>
      <c r="D4333" s="41"/>
      <c r="E4333" s="26" t="str">
        <f ca="1">IFERROR(__xludf.DUMMYFUNCTION("""COMPUTED_VALUE"""),"")</f>
        <v/>
      </c>
      <c r="F4333" s="72"/>
      <c r="G4333" s="72"/>
      <c r="P4333" s="26"/>
    </row>
    <row r="4334" spans="1:16" ht="14.5" hidden="1">
      <c r="A4334" s="5"/>
      <c r="B4334" s="18"/>
      <c r="C4334" s="85"/>
      <c r="D4334" s="41"/>
      <c r="E4334" s="26" t="str">
        <f ca="1">IFERROR(__xludf.DUMMYFUNCTION("""COMPUTED_VALUE"""),"")</f>
        <v/>
      </c>
      <c r="F4334" s="72"/>
      <c r="G4334" s="72"/>
      <c r="P4334" s="26"/>
    </row>
    <row r="4335" spans="1:16" ht="14.5" hidden="1">
      <c r="A4335" s="5"/>
      <c r="B4335" s="18"/>
      <c r="C4335" s="85"/>
      <c r="D4335" s="41"/>
      <c r="E4335" s="26" t="str">
        <f ca="1">IFERROR(__xludf.DUMMYFUNCTION("""COMPUTED_VALUE"""),"")</f>
        <v/>
      </c>
      <c r="F4335" s="72"/>
      <c r="G4335" s="72"/>
      <c r="P4335" s="26"/>
    </row>
    <row r="4336" spans="1:16" ht="14.5" hidden="1">
      <c r="A4336" s="5"/>
      <c r="B4336" s="18"/>
      <c r="C4336" s="85"/>
      <c r="D4336" s="41"/>
      <c r="E4336" s="26" t="str">
        <f ca="1">IFERROR(__xludf.DUMMYFUNCTION("""COMPUTED_VALUE"""),"")</f>
        <v/>
      </c>
      <c r="F4336" s="72"/>
      <c r="G4336" s="72"/>
      <c r="P4336" s="26"/>
    </row>
    <row r="4337" spans="1:16" ht="14.5" hidden="1">
      <c r="A4337" s="5"/>
      <c r="B4337" s="18"/>
      <c r="C4337" s="85"/>
      <c r="D4337" s="41"/>
      <c r="E4337" s="26" t="str">
        <f ca="1">IFERROR(__xludf.DUMMYFUNCTION("""COMPUTED_VALUE"""),"")</f>
        <v/>
      </c>
      <c r="F4337" s="72"/>
      <c r="G4337" s="72"/>
      <c r="P4337" s="26"/>
    </row>
    <row r="4338" spans="1:16" ht="14.5" hidden="1">
      <c r="A4338" s="5"/>
      <c r="B4338" s="18"/>
      <c r="C4338" s="85"/>
      <c r="D4338" s="41"/>
      <c r="E4338" s="26" t="str">
        <f ca="1">IFERROR(__xludf.DUMMYFUNCTION("""COMPUTED_VALUE"""),"")</f>
        <v/>
      </c>
      <c r="F4338" s="72"/>
      <c r="G4338" s="72"/>
      <c r="P4338" s="26"/>
    </row>
    <row r="4339" spans="1:16" ht="14.5" hidden="1">
      <c r="A4339" s="5"/>
      <c r="B4339" s="18"/>
      <c r="C4339" s="85"/>
      <c r="D4339" s="41"/>
      <c r="E4339" s="26" t="str">
        <f ca="1">IFERROR(__xludf.DUMMYFUNCTION("""COMPUTED_VALUE"""),"")</f>
        <v/>
      </c>
      <c r="F4339" s="72"/>
      <c r="G4339" s="72"/>
      <c r="P4339" s="26"/>
    </row>
    <row r="4340" spans="1:16" ht="14.5" hidden="1">
      <c r="A4340" s="5"/>
      <c r="B4340" s="18"/>
      <c r="C4340" s="85"/>
      <c r="D4340" s="41"/>
      <c r="E4340" s="26" t="str">
        <f ca="1">IFERROR(__xludf.DUMMYFUNCTION("""COMPUTED_VALUE"""),"")</f>
        <v/>
      </c>
      <c r="F4340" s="72"/>
      <c r="G4340" s="72"/>
      <c r="P4340" s="26"/>
    </row>
    <row r="4341" spans="1:16" ht="14.5" hidden="1">
      <c r="A4341" s="5"/>
      <c r="B4341" s="18"/>
      <c r="C4341" s="85"/>
      <c r="D4341" s="41"/>
      <c r="E4341" s="26" t="str">
        <f ca="1">IFERROR(__xludf.DUMMYFUNCTION("""COMPUTED_VALUE"""),"")</f>
        <v/>
      </c>
      <c r="F4341" s="72"/>
      <c r="G4341" s="72"/>
      <c r="P4341" s="26"/>
    </row>
    <row r="4342" spans="1:16" ht="14.5" hidden="1">
      <c r="A4342" s="5"/>
      <c r="B4342" s="18"/>
      <c r="C4342" s="85"/>
      <c r="D4342" s="41"/>
      <c r="E4342" s="26" t="str">
        <f ca="1">IFERROR(__xludf.DUMMYFUNCTION("""COMPUTED_VALUE"""),"")</f>
        <v/>
      </c>
      <c r="F4342" s="72"/>
      <c r="G4342" s="72"/>
      <c r="P4342" s="26"/>
    </row>
    <row r="4343" spans="1:16" ht="14.5" hidden="1">
      <c r="A4343" s="5"/>
      <c r="B4343" s="18"/>
      <c r="C4343" s="85"/>
      <c r="D4343" s="41"/>
      <c r="E4343" s="26" t="str">
        <f ca="1">IFERROR(__xludf.DUMMYFUNCTION("""COMPUTED_VALUE"""),"")</f>
        <v/>
      </c>
      <c r="F4343" s="72"/>
      <c r="G4343" s="72"/>
      <c r="P4343" s="26"/>
    </row>
    <row r="4344" spans="1:16" ht="14.5" hidden="1">
      <c r="A4344" s="5"/>
      <c r="B4344" s="18"/>
      <c r="C4344" s="85"/>
      <c r="D4344" s="41"/>
      <c r="E4344" s="26" t="str">
        <f ca="1">IFERROR(__xludf.DUMMYFUNCTION("""COMPUTED_VALUE"""),"")</f>
        <v/>
      </c>
      <c r="F4344" s="72"/>
      <c r="G4344" s="72"/>
      <c r="P4344" s="26"/>
    </row>
    <row r="4345" spans="1:16" ht="14.5" hidden="1">
      <c r="A4345" s="5"/>
      <c r="B4345" s="18"/>
      <c r="C4345" s="85"/>
      <c r="D4345" s="41"/>
      <c r="E4345" s="26" t="str">
        <f ca="1">IFERROR(__xludf.DUMMYFUNCTION("""COMPUTED_VALUE"""),"")</f>
        <v/>
      </c>
      <c r="F4345" s="72"/>
      <c r="G4345" s="72"/>
      <c r="P4345" s="26"/>
    </row>
    <row r="4346" spans="1:16" ht="14.5" hidden="1">
      <c r="A4346" s="5"/>
      <c r="B4346" s="18"/>
      <c r="C4346" s="85"/>
      <c r="D4346" s="41"/>
      <c r="E4346" s="26" t="str">
        <f ca="1">IFERROR(__xludf.DUMMYFUNCTION("""COMPUTED_VALUE"""),"")</f>
        <v/>
      </c>
      <c r="F4346" s="72"/>
      <c r="G4346" s="72"/>
      <c r="P4346" s="26"/>
    </row>
    <row r="4347" spans="1:16" ht="14.5" hidden="1">
      <c r="A4347" s="5"/>
      <c r="B4347" s="18"/>
      <c r="C4347" s="85"/>
      <c r="D4347" s="41"/>
      <c r="E4347" s="26" t="str">
        <f ca="1">IFERROR(__xludf.DUMMYFUNCTION("""COMPUTED_VALUE"""),"")</f>
        <v/>
      </c>
      <c r="F4347" s="72"/>
      <c r="G4347" s="72"/>
      <c r="P4347" s="26"/>
    </row>
    <row r="4348" spans="1:16" ht="14.5" hidden="1">
      <c r="A4348" s="5"/>
      <c r="B4348" s="18"/>
      <c r="C4348" s="85"/>
      <c r="D4348" s="41"/>
      <c r="E4348" s="26" t="str">
        <f ca="1">IFERROR(__xludf.DUMMYFUNCTION("""COMPUTED_VALUE"""),"")</f>
        <v/>
      </c>
      <c r="F4348" s="72"/>
      <c r="G4348" s="72"/>
      <c r="P4348" s="26"/>
    </row>
    <row r="4349" spans="1:16" ht="14.5" hidden="1">
      <c r="A4349" s="5"/>
      <c r="B4349" s="18"/>
      <c r="C4349" s="85"/>
      <c r="D4349" s="41"/>
      <c r="E4349" s="26" t="str">
        <f ca="1">IFERROR(__xludf.DUMMYFUNCTION("""COMPUTED_VALUE"""),"")</f>
        <v/>
      </c>
      <c r="F4349" s="72"/>
      <c r="G4349" s="72"/>
      <c r="P4349" s="26"/>
    </row>
    <row r="4350" spans="1:16" ht="14.5" hidden="1">
      <c r="A4350" s="5"/>
      <c r="B4350" s="18"/>
      <c r="C4350" s="85"/>
      <c r="D4350" s="41"/>
      <c r="E4350" s="26" t="str">
        <f ca="1">IFERROR(__xludf.DUMMYFUNCTION("""COMPUTED_VALUE"""),"")</f>
        <v/>
      </c>
      <c r="F4350" s="72"/>
      <c r="G4350" s="72"/>
      <c r="P4350" s="26"/>
    </row>
    <row r="4351" spans="1:16" ht="14.5" hidden="1">
      <c r="A4351" s="5"/>
      <c r="B4351" s="18"/>
      <c r="C4351" s="85"/>
      <c r="D4351" s="41"/>
      <c r="E4351" s="26" t="str">
        <f ca="1">IFERROR(__xludf.DUMMYFUNCTION("""COMPUTED_VALUE"""),"")</f>
        <v/>
      </c>
      <c r="F4351" s="72"/>
      <c r="G4351" s="72"/>
      <c r="P4351" s="26"/>
    </row>
    <row r="4352" spans="1:16" ht="14.5" hidden="1">
      <c r="A4352" s="5"/>
      <c r="B4352" s="18"/>
      <c r="C4352" s="85"/>
      <c r="D4352" s="41"/>
      <c r="E4352" s="26" t="str">
        <f ca="1">IFERROR(__xludf.DUMMYFUNCTION("""COMPUTED_VALUE"""),"")</f>
        <v/>
      </c>
      <c r="F4352" s="72"/>
      <c r="G4352" s="72"/>
      <c r="P4352" s="26"/>
    </row>
    <row r="4353" spans="1:16" ht="14.5" hidden="1">
      <c r="A4353" s="5"/>
      <c r="B4353" s="18"/>
      <c r="C4353" s="85"/>
      <c r="D4353" s="41"/>
      <c r="E4353" s="26" t="str">
        <f ca="1">IFERROR(__xludf.DUMMYFUNCTION("""COMPUTED_VALUE"""),"")</f>
        <v/>
      </c>
      <c r="F4353" s="72"/>
      <c r="G4353" s="72"/>
      <c r="P4353" s="26"/>
    </row>
    <row r="4354" spans="1:16" ht="14.5" hidden="1">
      <c r="A4354" s="5"/>
      <c r="B4354" s="18"/>
      <c r="C4354" s="85"/>
      <c r="D4354" s="41"/>
      <c r="E4354" s="26" t="str">
        <f ca="1">IFERROR(__xludf.DUMMYFUNCTION("""COMPUTED_VALUE"""),"")</f>
        <v/>
      </c>
      <c r="F4354" s="72"/>
      <c r="G4354" s="72"/>
      <c r="P4354" s="26"/>
    </row>
    <row r="4355" spans="1:16" ht="14.5" hidden="1">
      <c r="A4355" s="5"/>
      <c r="B4355" s="18"/>
      <c r="C4355" s="85"/>
      <c r="D4355" s="41"/>
      <c r="E4355" s="26" t="str">
        <f ca="1">IFERROR(__xludf.DUMMYFUNCTION("""COMPUTED_VALUE"""),"")</f>
        <v/>
      </c>
      <c r="F4355" s="72"/>
      <c r="G4355" s="72"/>
      <c r="P4355" s="26"/>
    </row>
    <row r="4356" spans="1:16" ht="14.5" hidden="1">
      <c r="A4356" s="5"/>
      <c r="B4356" s="18"/>
      <c r="C4356" s="85"/>
      <c r="D4356" s="41"/>
      <c r="E4356" s="26" t="str">
        <f ca="1">IFERROR(__xludf.DUMMYFUNCTION("""COMPUTED_VALUE"""),"")</f>
        <v/>
      </c>
      <c r="F4356" s="72"/>
      <c r="G4356" s="72"/>
      <c r="P4356" s="26"/>
    </row>
    <row r="4357" spans="1:16" ht="14.5" hidden="1">
      <c r="A4357" s="5"/>
      <c r="B4357" s="18"/>
      <c r="C4357" s="85"/>
      <c r="D4357" s="41"/>
      <c r="E4357" s="26" t="str">
        <f ca="1">IFERROR(__xludf.DUMMYFUNCTION("""COMPUTED_VALUE"""),"")</f>
        <v/>
      </c>
      <c r="F4357" s="72"/>
      <c r="G4357" s="72"/>
      <c r="P4357" s="26"/>
    </row>
    <row r="4358" spans="1:16" ht="14.5" hidden="1">
      <c r="A4358" s="5"/>
      <c r="B4358" s="18"/>
      <c r="C4358" s="85"/>
      <c r="D4358" s="41"/>
      <c r="E4358" s="26" t="str">
        <f ca="1">IFERROR(__xludf.DUMMYFUNCTION("""COMPUTED_VALUE"""),"")</f>
        <v/>
      </c>
      <c r="F4358" s="72"/>
      <c r="G4358" s="72"/>
      <c r="P4358" s="26"/>
    </row>
    <row r="4359" spans="1:16" ht="14.5" hidden="1">
      <c r="A4359" s="5"/>
      <c r="B4359" s="18"/>
      <c r="C4359" s="85"/>
      <c r="D4359" s="41"/>
      <c r="E4359" s="26" t="str">
        <f ca="1">IFERROR(__xludf.DUMMYFUNCTION("""COMPUTED_VALUE"""),"")</f>
        <v/>
      </c>
      <c r="F4359" s="72"/>
      <c r="G4359" s="72"/>
      <c r="P4359" s="26"/>
    </row>
    <row r="4360" spans="1:16" ht="14.5" hidden="1">
      <c r="A4360" s="5"/>
      <c r="B4360" s="18"/>
      <c r="C4360" s="85"/>
      <c r="D4360" s="41"/>
      <c r="E4360" s="26" t="str">
        <f ca="1">IFERROR(__xludf.DUMMYFUNCTION("""COMPUTED_VALUE"""),"")</f>
        <v/>
      </c>
      <c r="F4360" s="72"/>
      <c r="G4360" s="72"/>
      <c r="P4360" s="26"/>
    </row>
    <row r="4361" spans="1:16" ht="14.5" hidden="1">
      <c r="A4361" s="5"/>
      <c r="B4361" s="18"/>
      <c r="C4361" s="85"/>
      <c r="D4361" s="41"/>
      <c r="E4361" s="26" t="str">
        <f ca="1">IFERROR(__xludf.DUMMYFUNCTION("""COMPUTED_VALUE"""),"")</f>
        <v/>
      </c>
      <c r="F4361" s="72"/>
      <c r="G4361" s="72"/>
      <c r="P4361" s="26"/>
    </row>
    <row r="4362" spans="1:16" ht="14.5" hidden="1">
      <c r="A4362" s="5"/>
      <c r="B4362" s="18"/>
      <c r="C4362" s="85"/>
      <c r="D4362" s="41"/>
      <c r="E4362" s="26" t="str">
        <f ca="1">IFERROR(__xludf.DUMMYFUNCTION("""COMPUTED_VALUE"""),"")</f>
        <v/>
      </c>
      <c r="F4362" s="72"/>
      <c r="G4362" s="72"/>
      <c r="P4362" s="26"/>
    </row>
    <row r="4363" spans="1:16" ht="14.5" hidden="1">
      <c r="A4363" s="5"/>
      <c r="B4363" s="18"/>
      <c r="C4363" s="85"/>
      <c r="D4363" s="41"/>
      <c r="E4363" s="26" t="str">
        <f ca="1">IFERROR(__xludf.DUMMYFUNCTION("""COMPUTED_VALUE"""),"")</f>
        <v/>
      </c>
      <c r="F4363" s="72"/>
      <c r="G4363" s="72"/>
      <c r="P4363" s="26"/>
    </row>
    <row r="4364" spans="1:16" ht="14.5" hidden="1">
      <c r="A4364" s="5"/>
      <c r="B4364" s="18"/>
      <c r="C4364" s="85"/>
      <c r="D4364" s="41"/>
      <c r="E4364" s="26" t="str">
        <f ca="1">IFERROR(__xludf.DUMMYFUNCTION("""COMPUTED_VALUE"""),"")</f>
        <v/>
      </c>
      <c r="F4364" s="72"/>
      <c r="G4364" s="72"/>
      <c r="P4364" s="26"/>
    </row>
    <row r="4365" spans="1:16" ht="14.5" hidden="1">
      <c r="A4365" s="5"/>
      <c r="B4365" s="18"/>
      <c r="C4365" s="85"/>
      <c r="D4365" s="41"/>
      <c r="E4365" s="26" t="str">
        <f ca="1">IFERROR(__xludf.DUMMYFUNCTION("""COMPUTED_VALUE"""),"")</f>
        <v/>
      </c>
      <c r="F4365" s="72"/>
      <c r="G4365" s="72"/>
      <c r="P4365" s="26"/>
    </row>
    <row r="4366" spans="1:16" ht="14.5" hidden="1">
      <c r="A4366" s="5"/>
      <c r="B4366" s="18"/>
      <c r="C4366" s="85"/>
      <c r="D4366" s="41"/>
      <c r="E4366" s="26" t="str">
        <f ca="1">IFERROR(__xludf.DUMMYFUNCTION("""COMPUTED_VALUE"""),"")</f>
        <v/>
      </c>
      <c r="F4366" s="72"/>
      <c r="G4366" s="72"/>
      <c r="P4366" s="26"/>
    </row>
    <row r="4367" spans="1:16" ht="14.5" hidden="1">
      <c r="A4367" s="5"/>
      <c r="B4367" s="18"/>
      <c r="C4367" s="85"/>
      <c r="D4367" s="41"/>
      <c r="E4367" s="26" t="str">
        <f ca="1">IFERROR(__xludf.DUMMYFUNCTION("""COMPUTED_VALUE"""),"")</f>
        <v/>
      </c>
      <c r="F4367" s="72"/>
      <c r="G4367" s="72"/>
      <c r="P4367" s="26"/>
    </row>
    <row r="4368" spans="1:16" ht="14.5" hidden="1">
      <c r="A4368" s="5"/>
      <c r="B4368" s="18"/>
      <c r="C4368" s="85"/>
      <c r="D4368" s="41"/>
      <c r="E4368" s="26" t="str">
        <f ca="1">IFERROR(__xludf.DUMMYFUNCTION("""COMPUTED_VALUE"""),"")</f>
        <v/>
      </c>
      <c r="F4368" s="72"/>
      <c r="G4368" s="72"/>
      <c r="P4368" s="26"/>
    </row>
    <row r="4369" spans="1:16" ht="14.5" hidden="1">
      <c r="A4369" s="5"/>
      <c r="B4369" s="18"/>
      <c r="C4369" s="85"/>
      <c r="D4369" s="41"/>
      <c r="E4369" s="26" t="str">
        <f ca="1">IFERROR(__xludf.DUMMYFUNCTION("""COMPUTED_VALUE"""),"")</f>
        <v/>
      </c>
      <c r="F4369" s="72"/>
      <c r="G4369" s="72"/>
      <c r="P4369" s="26"/>
    </row>
    <row r="4370" spans="1:16" ht="14.5" hidden="1">
      <c r="A4370" s="5"/>
      <c r="B4370" s="18"/>
      <c r="C4370" s="85"/>
      <c r="D4370" s="41"/>
      <c r="E4370" s="26" t="str">
        <f ca="1">IFERROR(__xludf.DUMMYFUNCTION("""COMPUTED_VALUE"""),"")</f>
        <v/>
      </c>
      <c r="F4370" s="72"/>
      <c r="G4370" s="72"/>
      <c r="P4370" s="26"/>
    </row>
    <row r="4371" spans="1:16" ht="14.5" hidden="1">
      <c r="A4371" s="5"/>
      <c r="B4371" s="18"/>
      <c r="C4371" s="85"/>
      <c r="D4371" s="41"/>
      <c r="E4371" s="26" t="str">
        <f ca="1">IFERROR(__xludf.DUMMYFUNCTION("""COMPUTED_VALUE"""),"")</f>
        <v/>
      </c>
      <c r="F4371" s="72"/>
      <c r="G4371" s="72"/>
      <c r="P4371" s="26"/>
    </row>
    <row r="4372" spans="1:16" ht="14.5" hidden="1">
      <c r="A4372" s="5"/>
      <c r="B4372" s="18"/>
      <c r="C4372" s="85"/>
      <c r="D4372" s="41"/>
      <c r="E4372" s="26" t="str">
        <f ca="1">IFERROR(__xludf.DUMMYFUNCTION("""COMPUTED_VALUE"""),"")</f>
        <v/>
      </c>
      <c r="F4372" s="72"/>
      <c r="G4372" s="72"/>
      <c r="P4372" s="26"/>
    </row>
    <row r="4373" spans="1:16" ht="14.5" hidden="1">
      <c r="A4373" s="5"/>
      <c r="B4373" s="18"/>
      <c r="C4373" s="85"/>
      <c r="D4373" s="41"/>
      <c r="E4373" s="26" t="str">
        <f ca="1">IFERROR(__xludf.DUMMYFUNCTION("""COMPUTED_VALUE"""),"")</f>
        <v/>
      </c>
      <c r="F4373" s="72"/>
      <c r="G4373" s="72"/>
      <c r="P4373" s="26"/>
    </row>
    <row r="4374" spans="1:16" ht="14.5" hidden="1">
      <c r="A4374" s="5"/>
      <c r="B4374" s="18"/>
      <c r="C4374" s="85"/>
      <c r="D4374" s="41"/>
      <c r="E4374" s="26" t="str">
        <f ca="1">IFERROR(__xludf.DUMMYFUNCTION("""COMPUTED_VALUE"""),"")</f>
        <v/>
      </c>
      <c r="F4374" s="72"/>
      <c r="G4374" s="72"/>
      <c r="P4374" s="26"/>
    </row>
    <row r="4375" spans="1:16" ht="14.5" hidden="1">
      <c r="A4375" s="5"/>
      <c r="B4375" s="18"/>
      <c r="C4375" s="85"/>
      <c r="D4375" s="41"/>
      <c r="E4375" s="26" t="str">
        <f ca="1">IFERROR(__xludf.DUMMYFUNCTION("""COMPUTED_VALUE"""),"")</f>
        <v/>
      </c>
      <c r="F4375" s="72"/>
      <c r="G4375" s="72"/>
      <c r="P4375" s="26"/>
    </row>
    <row r="4376" spans="1:16" ht="14.5" hidden="1">
      <c r="A4376" s="5"/>
      <c r="B4376" s="18"/>
      <c r="C4376" s="85"/>
      <c r="D4376" s="41"/>
      <c r="E4376" s="26" t="str">
        <f ca="1">IFERROR(__xludf.DUMMYFUNCTION("""COMPUTED_VALUE"""),"")</f>
        <v/>
      </c>
      <c r="F4376" s="72"/>
      <c r="G4376" s="72"/>
      <c r="P4376" s="26"/>
    </row>
    <row r="4377" spans="1:16" ht="14.5" hidden="1">
      <c r="A4377" s="5"/>
      <c r="B4377" s="18"/>
      <c r="C4377" s="85"/>
      <c r="D4377" s="41"/>
      <c r="E4377" s="26" t="str">
        <f ca="1">IFERROR(__xludf.DUMMYFUNCTION("""COMPUTED_VALUE"""),"")</f>
        <v/>
      </c>
      <c r="F4377" s="72"/>
      <c r="G4377" s="72"/>
      <c r="P4377" s="26"/>
    </row>
    <row r="4378" spans="1:16" ht="14.5" hidden="1">
      <c r="A4378" s="5"/>
      <c r="B4378" s="18"/>
      <c r="C4378" s="85"/>
      <c r="D4378" s="41"/>
      <c r="E4378" s="26" t="str">
        <f ca="1">IFERROR(__xludf.DUMMYFUNCTION("""COMPUTED_VALUE"""),"")</f>
        <v/>
      </c>
      <c r="F4378" s="72"/>
      <c r="G4378" s="72"/>
      <c r="P4378" s="26"/>
    </row>
    <row r="4379" spans="1:16" ht="14.5" hidden="1">
      <c r="A4379" s="5"/>
      <c r="B4379" s="18"/>
      <c r="C4379" s="85"/>
      <c r="D4379" s="41"/>
      <c r="E4379" s="26" t="str">
        <f ca="1">IFERROR(__xludf.DUMMYFUNCTION("""COMPUTED_VALUE"""),"")</f>
        <v/>
      </c>
      <c r="F4379" s="72"/>
      <c r="G4379" s="72"/>
      <c r="P4379" s="26"/>
    </row>
    <row r="4380" spans="1:16" ht="14.5" hidden="1">
      <c r="A4380" s="5"/>
      <c r="B4380" s="18"/>
      <c r="C4380" s="85"/>
      <c r="D4380" s="41"/>
      <c r="E4380" s="26" t="str">
        <f ca="1">IFERROR(__xludf.DUMMYFUNCTION("""COMPUTED_VALUE"""),"")</f>
        <v/>
      </c>
      <c r="F4380" s="72"/>
      <c r="G4380" s="72"/>
      <c r="P4380" s="26"/>
    </row>
    <row r="4381" spans="1:16" ht="14.5" hidden="1">
      <c r="A4381" s="5"/>
      <c r="B4381" s="18"/>
      <c r="C4381" s="85"/>
      <c r="D4381" s="41"/>
      <c r="E4381" s="26" t="str">
        <f ca="1">IFERROR(__xludf.DUMMYFUNCTION("""COMPUTED_VALUE"""),"")</f>
        <v/>
      </c>
      <c r="F4381" s="72"/>
      <c r="G4381" s="72"/>
      <c r="P4381" s="26"/>
    </row>
    <row r="4382" spans="1:16" ht="14.5" hidden="1">
      <c r="A4382" s="5"/>
      <c r="B4382" s="18"/>
      <c r="C4382" s="85"/>
      <c r="D4382" s="41"/>
      <c r="E4382" s="26" t="str">
        <f ca="1">IFERROR(__xludf.DUMMYFUNCTION("""COMPUTED_VALUE"""),"")</f>
        <v/>
      </c>
      <c r="F4382" s="72"/>
      <c r="G4382" s="72"/>
      <c r="P4382" s="26"/>
    </row>
    <row r="4383" spans="1:16" ht="14.5" hidden="1">
      <c r="A4383" s="5"/>
      <c r="B4383" s="18"/>
      <c r="C4383" s="85"/>
      <c r="D4383" s="41"/>
      <c r="E4383" s="26" t="str">
        <f ca="1">IFERROR(__xludf.DUMMYFUNCTION("""COMPUTED_VALUE"""),"")</f>
        <v/>
      </c>
      <c r="F4383" s="72"/>
      <c r="G4383" s="72"/>
      <c r="P4383" s="26"/>
    </row>
    <row r="4384" spans="1:16" ht="14.5" hidden="1">
      <c r="A4384" s="5"/>
      <c r="B4384" s="18"/>
      <c r="C4384" s="85"/>
      <c r="D4384" s="41"/>
      <c r="E4384" s="26" t="str">
        <f ca="1">IFERROR(__xludf.DUMMYFUNCTION("""COMPUTED_VALUE"""),"")</f>
        <v/>
      </c>
      <c r="F4384" s="72"/>
      <c r="G4384" s="72"/>
      <c r="P4384" s="26"/>
    </row>
    <row r="4385" spans="1:16" ht="14.5" hidden="1">
      <c r="A4385" s="5"/>
      <c r="B4385" s="18"/>
      <c r="C4385" s="85"/>
      <c r="D4385" s="41"/>
      <c r="E4385" s="26" t="str">
        <f ca="1">IFERROR(__xludf.DUMMYFUNCTION("""COMPUTED_VALUE"""),"")</f>
        <v/>
      </c>
      <c r="F4385" s="72"/>
      <c r="G4385" s="72"/>
      <c r="P4385" s="26"/>
    </row>
    <row r="4386" spans="1:16" ht="14.5" hidden="1">
      <c r="A4386" s="5"/>
      <c r="B4386" s="18"/>
      <c r="C4386" s="85"/>
      <c r="D4386" s="41"/>
      <c r="E4386" s="26" t="str">
        <f ca="1">IFERROR(__xludf.DUMMYFUNCTION("""COMPUTED_VALUE"""),"")</f>
        <v/>
      </c>
      <c r="F4386" s="72"/>
      <c r="G4386" s="72"/>
      <c r="P4386" s="26"/>
    </row>
    <row r="4387" spans="1:16" ht="14.5" hidden="1">
      <c r="A4387" s="5"/>
      <c r="B4387" s="18"/>
      <c r="C4387" s="85"/>
      <c r="D4387" s="41"/>
      <c r="E4387" s="26" t="str">
        <f ca="1">IFERROR(__xludf.DUMMYFUNCTION("""COMPUTED_VALUE"""),"")</f>
        <v/>
      </c>
      <c r="F4387" s="72"/>
      <c r="G4387" s="72"/>
      <c r="P4387" s="26"/>
    </row>
    <row r="4388" spans="1:16" ht="14.5" hidden="1">
      <c r="A4388" s="5"/>
      <c r="B4388" s="18"/>
      <c r="C4388" s="85"/>
      <c r="D4388" s="41"/>
      <c r="E4388" s="26" t="str">
        <f ca="1">IFERROR(__xludf.DUMMYFUNCTION("""COMPUTED_VALUE"""),"")</f>
        <v/>
      </c>
      <c r="F4388" s="72"/>
      <c r="G4388" s="72"/>
      <c r="P4388" s="26"/>
    </row>
    <row r="4389" spans="1:16" ht="14.5" hidden="1">
      <c r="A4389" s="5"/>
      <c r="B4389" s="18"/>
      <c r="C4389" s="85"/>
      <c r="D4389" s="41"/>
      <c r="E4389" s="26" t="str">
        <f ca="1">IFERROR(__xludf.DUMMYFUNCTION("""COMPUTED_VALUE"""),"")</f>
        <v/>
      </c>
      <c r="F4389" s="72"/>
      <c r="G4389" s="72"/>
      <c r="P4389" s="26"/>
    </row>
    <row r="4390" spans="1:16" ht="14.5" hidden="1">
      <c r="A4390" s="5"/>
      <c r="B4390" s="18"/>
      <c r="C4390" s="85"/>
      <c r="D4390" s="41"/>
      <c r="E4390" s="26" t="str">
        <f ca="1">IFERROR(__xludf.DUMMYFUNCTION("""COMPUTED_VALUE"""),"")</f>
        <v/>
      </c>
      <c r="F4390" s="72"/>
      <c r="G4390" s="72"/>
      <c r="P4390" s="26"/>
    </row>
    <row r="4391" spans="1:16" ht="14.5" hidden="1">
      <c r="A4391" s="5"/>
      <c r="B4391" s="18"/>
      <c r="C4391" s="85"/>
      <c r="D4391" s="41"/>
      <c r="E4391" s="26" t="str">
        <f ca="1">IFERROR(__xludf.DUMMYFUNCTION("""COMPUTED_VALUE"""),"")</f>
        <v/>
      </c>
      <c r="F4391" s="72"/>
      <c r="G4391" s="72"/>
      <c r="P4391" s="26"/>
    </row>
    <row r="4392" spans="1:16" ht="14.5" hidden="1">
      <c r="A4392" s="5"/>
      <c r="B4392" s="18"/>
      <c r="C4392" s="85"/>
      <c r="D4392" s="41"/>
      <c r="E4392" s="26" t="str">
        <f ca="1">IFERROR(__xludf.DUMMYFUNCTION("""COMPUTED_VALUE"""),"")</f>
        <v/>
      </c>
      <c r="F4392" s="72"/>
      <c r="G4392" s="72"/>
      <c r="P4392" s="26"/>
    </row>
    <row r="4393" spans="1:16" ht="14.5" hidden="1">
      <c r="A4393" s="5"/>
      <c r="B4393" s="18"/>
      <c r="C4393" s="85"/>
      <c r="D4393" s="41"/>
      <c r="E4393" s="26" t="str">
        <f ca="1">IFERROR(__xludf.DUMMYFUNCTION("""COMPUTED_VALUE"""),"")</f>
        <v/>
      </c>
      <c r="F4393" s="72"/>
      <c r="G4393" s="72"/>
      <c r="P4393" s="26"/>
    </row>
    <row r="4394" spans="1:16" ht="14.5" hidden="1">
      <c r="A4394" s="5"/>
      <c r="B4394" s="18"/>
      <c r="C4394" s="85"/>
      <c r="D4394" s="41"/>
      <c r="E4394" s="26" t="str">
        <f ca="1">IFERROR(__xludf.DUMMYFUNCTION("""COMPUTED_VALUE"""),"")</f>
        <v/>
      </c>
      <c r="F4394" s="72"/>
      <c r="G4394" s="72"/>
      <c r="P4394" s="26"/>
    </row>
    <row r="4395" spans="1:16" ht="14.5" hidden="1">
      <c r="A4395" s="5"/>
      <c r="B4395" s="18"/>
      <c r="C4395" s="85"/>
      <c r="D4395" s="41"/>
      <c r="E4395" s="26" t="str">
        <f ca="1">IFERROR(__xludf.DUMMYFUNCTION("""COMPUTED_VALUE"""),"")</f>
        <v/>
      </c>
      <c r="F4395" s="72"/>
      <c r="G4395" s="72"/>
      <c r="P4395" s="26"/>
    </row>
    <row r="4396" spans="1:16" ht="14.5" hidden="1">
      <c r="A4396" s="5"/>
      <c r="B4396" s="18"/>
      <c r="C4396" s="85"/>
      <c r="D4396" s="41"/>
      <c r="E4396" s="26" t="str">
        <f ca="1">IFERROR(__xludf.DUMMYFUNCTION("""COMPUTED_VALUE"""),"")</f>
        <v/>
      </c>
      <c r="F4396" s="72"/>
      <c r="G4396" s="72"/>
      <c r="P4396" s="26"/>
    </row>
    <row r="4397" spans="1:16" ht="14.5" hidden="1">
      <c r="A4397" s="5"/>
      <c r="B4397" s="18"/>
      <c r="C4397" s="85"/>
      <c r="D4397" s="41"/>
      <c r="E4397" s="26" t="str">
        <f ca="1">IFERROR(__xludf.DUMMYFUNCTION("""COMPUTED_VALUE"""),"")</f>
        <v/>
      </c>
      <c r="F4397" s="72"/>
      <c r="G4397" s="72"/>
      <c r="P4397" s="26"/>
    </row>
    <row r="4398" spans="1:16" ht="14.5" hidden="1">
      <c r="A4398" s="5"/>
      <c r="B4398" s="18"/>
      <c r="C4398" s="85"/>
      <c r="D4398" s="41"/>
      <c r="E4398" s="26" t="str">
        <f ca="1">IFERROR(__xludf.DUMMYFUNCTION("""COMPUTED_VALUE"""),"")</f>
        <v/>
      </c>
      <c r="F4398" s="72"/>
      <c r="G4398" s="72"/>
      <c r="P4398" s="26"/>
    </row>
    <row r="4399" spans="1:16" ht="14.5" hidden="1">
      <c r="A4399" s="5"/>
      <c r="B4399" s="18"/>
      <c r="C4399" s="85"/>
      <c r="D4399" s="41"/>
      <c r="E4399" s="26" t="str">
        <f ca="1">IFERROR(__xludf.DUMMYFUNCTION("""COMPUTED_VALUE"""),"")</f>
        <v/>
      </c>
      <c r="F4399" s="72"/>
      <c r="G4399" s="72"/>
      <c r="P4399" s="26"/>
    </row>
    <row r="4400" spans="1:16" ht="14.5" hidden="1">
      <c r="A4400" s="5"/>
      <c r="B4400" s="18"/>
      <c r="C4400" s="85"/>
      <c r="D4400" s="41"/>
      <c r="E4400" s="26" t="str">
        <f ca="1">IFERROR(__xludf.DUMMYFUNCTION("""COMPUTED_VALUE"""),"")</f>
        <v/>
      </c>
      <c r="F4400" s="72"/>
      <c r="G4400" s="72"/>
      <c r="P4400" s="26"/>
    </row>
    <row r="4401" spans="1:16" ht="14.5" hidden="1">
      <c r="A4401" s="5"/>
      <c r="B4401" s="18"/>
      <c r="C4401" s="85"/>
      <c r="D4401" s="41"/>
      <c r="E4401" s="26" t="str">
        <f ca="1">IFERROR(__xludf.DUMMYFUNCTION("""COMPUTED_VALUE"""),"")</f>
        <v/>
      </c>
      <c r="F4401" s="72"/>
      <c r="G4401" s="72"/>
      <c r="P4401" s="26"/>
    </row>
    <row r="4402" spans="1:16" ht="14.5" hidden="1">
      <c r="A4402" s="5"/>
      <c r="B4402" s="18"/>
      <c r="C4402" s="85"/>
      <c r="D4402" s="41"/>
      <c r="E4402" s="26" t="str">
        <f ca="1">IFERROR(__xludf.DUMMYFUNCTION("""COMPUTED_VALUE"""),"")</f>
        <v/>
      </c>
      <c r="F4402" s="72"/>
      <c r="G4402" s="72"/>
      <c r="P4402" s="26"/>
    </row>
    <row r="4403" spans="1:16" ht="14.5" hidden="1">
      <c r="A4403" s="5"/>
      <c r="B4403" s="18"/>
      <c r="C4403" s="85"/>
      <c r="D4403" s="41"/>
      <c r="E4403" s="26" t="str">
        <f ca="1">IFERROR(__xludf.DUMMYFUNCTION("""COMPUTED_VALUE"""),"")</f>
        <v/>
      </c>
      <c r="F4403" s="72"/>
      <c r="G4403" s="72"/>
      <c r="P4403" s="26"/>
    </row>
    <row r="4404" spans="1:16" ht="14.5" hidden="1">
      <c r="A4404" s="5"/>
      <c r="B4404" s="18"/>
      <c r="C4404" s="85"/>
      <c r="D4404" s="41"/>
      <c r="E4404" s="26" t="str">
        <f ca="1">IFERROR(__xludf.DUMMYFUNCTION("""COMPUTED_VALUE"""),"")</f>
        <v/>
      </c>
      <c r="F4404" s="72"/>
      <c r="G4404" s="72"/>
      <c r="P4404" s="26"/>
    </row>
    <row r="4405" spans="1:16" ht="14.5" hidden="1">
      <c r="A4405" s="5"/>
      <c r="B4405" s="18"/>
      <c r="C4405" s="85"/>
      <c r="D4405" s="41"/>
      <c r="E4405" s="26" t="str">
        <f ca="1">IFERROR(__xludf.DUMMYFUNCTION("""COMPUTED_VALUE"""),"")</f>
        <v/>
      </c>
      <c r="F4405" s="72"/>
      <c r="G4405" s="72"/>
      <c r="P4405" s="26"/>
    </row>
    <row r="4406" spans="1:16" ht="14.5" hidden="1">
      <c r="A4406" s="5"/>
      <c r="B4406" s="18"/>
      <c r="C4406" s="85"/>
      <c r="D4406" s="41"/>
      <c r="E4406" s="26" t="str">
        <f ca="1">IFERROR(__xludf.DUMMYFUNCTION("""COMPUTED_VALUE"""),"")</f>
        <v/>
      </c>
      <c r="F4406" s="72"/>
      <c r="G4406" s="72"/>
      <c r="P4406" s="26"/>
    </row>
    <row r="4407" spans="1:16" ht="14.5" hidden="1">
      <c r="A4407" s="5"/>
      <c r="B4407" s="18"/>
      <c r="C4407" s="85"/>
      <c r="D4407" s="41"/>
      <c r="E4407" s="26" t="str">
        <f ca="1">IFERROR(__xludf.DUMMYFUNCTION("""COMPUTED_VALUE"""),"")</f>
        <v/>
      </c>
      <c r="F4407" s="72"/>
      <c r="G4407" s="72"/>
      <c r="P4407" s="26"/>
    </row>
    <row r="4408" spans="1:16" ht="14.5" hidden="1">
      <c r="A4408" s="5"/>
      <c r="B4408" s="18"/>
      <c r="C4408" s="85"/>
      <c r="D4408" s="41"/>
      <c r="E4408" s="26" t="str">
        <f ca="1">IFERROR(__xludf.DUMMYFUNCTION("""COMPUTED_VALUE"""),"")</f>
        <v/>
      </c>
      <c r="F4408" s="72"/>
      <c r="G4408" s="72"/>
      <c r="P4408" s="26"/>
    </row>
    <row r="4409" spans="1:16" ht="14.5" hidden="1">
      <c r="A4409" s="5"/>
      <c r="B4409" s="18"/>
      <c r="C4409" s="85"/>
      <c r="D4409" s="41"/>
      <c r="E4409" s="26" t="str">
        <f ca="1">IFERROR(__xludf.DUMMYFUNCTION("""COMPUTED_VALUE"""),"")</f>
        <v/>
      </c>
      <c r="F4409" s="72"/>
      <c r="G4409" s="72"/>
      <c r="P4409" s="26"/>
    </row>
    <row r="4410" spans="1:16" ht="14.5" hidden="1">
      <c r="A4410" s="5"/>
      <c r="B4410" s="18"/>
      <c r="C4410" s="85"/>
      <c r="D4410" s="41"/>
      <c r="E4410" s="26" t="str">
        <f ca="1">IFERROR(__xludf.DUMMYFUNCTION("""COMPUTED_VALUE"""),"")</f>
        <v/>
      </c>
      <c r="F4410" s="72"/>
      <c r="G4410" s="72"/>
      <c r="P4410" s="26"/>
    </row>
    <row r="4411" spans="1:16" ht="14.5" hidden="1">
      <c r="A4411" s="5"/>
      <c r="B4411" s="18"/>
      <c r="C4411" s="85"/>
      <c r="D4411" s="41"/>
      <c r="E4411" s="26" t="str">
        <f ca="1">IFERROR(__xludf.DUMMYFUNCTION("""COMPUTED_VALUE"""),"")</f>
        <v/>
      </c>
      <c r="F4411" s="72"/>
      <c r="G4411" s="72"/>
      <c r="P4411" s="26"/>
    </row>
    <row r="4412" spans="1:16" ht="14.5" hidden="1">
      <c r="A4412" s="5"/>
      <c r="B4412" s="18"/>
      <c r="C4412" s="85"/>
      <c r="D4412" s="41"/>
      <c r="E4412" s="26" t="str">
        <f ca="1">IFERROR(__xludf.DUMMYFUNCTION("""COMPUTED_VALUE"""),"")</f>
        <v/>
      </c>
      <c r="F4412" s="72"/>
      <c r="G4412" s="72"/>
      <c r="P4412" s="26"/>
    </row>
    <row r="4413" spans="1:16" ht="14.5" hidden="1">
      <c r="A4413" s="5"/>
      <c r="B4413" s="18"/>
      <c r="C4413" s="85"/>
      <c r="D4413" s="41"/>
      <c r="E4413" s="26" t="str">
        <f ca="1">IFERROR(__xludf.DUMMYFUNCTION("""COMPUTED_VALUE"""),"")</f>
        <v/>
      </c>
      <c r="F4413" s="72"/>
      <c r="G4413" s="72"/>
      <c r="P4413" s="26"/>
    </row>
    <row r="4414" spans="1:16" ht="14.5" hidden="1">
      <c r="A4414" s="5"/>
      <c r="B4414" s="18"/>
      <c r="C4414" s="85"/>
      <c r="D4414" s="41"/>
      <c r="E4414" s="26" t="str">
        <f ca="1">IFERROR(__xludf.DUMMYFUNCTION("""COMPUTED_VALUE"""),"")</f>
        <v/>
      </c>
      <c r="F4414" s="72"/>
      <c r="G4414" s="72"/>
      <c r="P4414" s="26"/>
    </row>
    <row r="4415" spans="1:16" ht="14.5" hidden="1">
      <c r="A4415" s="5"/>
      <c r="B4415" s="18"/>
      <c r="C4415" s="85"/>
      <c r="D4415" s="41"/>
      <c r="E4415" s="26" t="str">
        <f ca="1">IFERROR(__xludf.DUMMYFUNCTION("""COMPUTED_VALUE"""),"")</f>
        <v/>
      </c>
      <c r="F4415" s="72"/>
      <c r="G4415" s="72"/>
      <c r="P4415" s="26"/>
    </row>
    <row r="4416" spans="1:16" ht="14.5" hidden="1">
      <c r="A4416" s="5"/>
      <c r="B4416" s="18"/>
      <c r="C4416" s="85"/>
      <c r="D4416" s="41"/>
      <c r="E4416" s="26" t="str">
        <f ca="1">IFERROR(__xludf.DUMMYFUNCTION("""COMPUTED_VALUE"""),"")</f>
        <v/>
      </c>
      <c r="F4416" s="72"/>
      <c r="G4416" s="72"/>
      <c r="P4416" s="26"/>
    </row>
    <row r="4417" spans="1:16" ht="14.5">
      <c r="A4417" s="3" t="s">
        <v>255</v>
      </c>
      <c r="B4417" s="17" t="s">
        <v>2868</v>
      </c>
      <c r="C4417" s="46" t="s">
        <v>8040</v>
      </c>
      <c r="D4417" s="41" t="str">
        <f ca="1">IFERROR(__xludf.DUMMYFUNCTION("IFERROR(ARRAYFORMULA(REGEXEXTRACT(C4417,""^(?:https?:\/\/)?(?:[^@\n]+@)?(?:www\.)?([^:\/\n]+)"")),"""")"),"fashionisk.com")</f>
        <v>fashionisk.com</v>
      </c>
      <c r="E4417" s="26" t="str">
        <f ca="1">IFERROR(__xludf.DUMMYFUNCTION("""COMPUTED_VALUE"""),"New")</f>
        <v>New</v>
      </c>
      <c r="F4417" s="72">
        <v>60</v>
      </c>
      <c r="G4417" s="72">
        <v>24957</v>
      </c>
      <c r="P4417" s="26"/>
    </row>
    <row r="4418" spans="1:16" ht="14.5">
      <c r="A4418" s="3" t="s">
        <v>255</v>
      </c>
      <c r="B4418" s="12" t="s">
        <v>2868</v>
      </c>
      <c r="C4418" s="46" t="s">
        <v>8041</v>
      </c>
      <c r="D4418" s="41" t="str">
        <f ca="1">IFERROR(__xludf.DUMMYFUNCTION("IFERROR(ARRAYFORMULA(REGEXEXTRACT(C4418,""^(?:https?:\/\/)?(?:[^@\n]+@)?(?:www\.)?([^:\/\n]+)"")),"""")"),"hogfurniture.co")</f>
        <v>hogfurniture.co</v>
      </c>
      <c r="E4418" s="26" t="str">
        <f ca="1">IFERROR(__xludf.DUMMYFUNCTION("""COMPUTED_VALUE"""),"New")</f>
        <v>New</v>
      </c>
      <c r="F4418" s="72">
        <v>30</v>
      </c>
      <c r="G4418" s="72">
        <v>10634</v>
      </c>
      <c r="P4418" s="26"/>
    </row>
    <row r="4419" spans="1:16" ht="14.5">
      <c r="A4419" s="3" t="s">
        <v>255</v>
      </c>
      <c r="B4419" s="12" t="s">
        <v>2868</v>
      </c>
      <c r="C4419" s="47" t="s">
        <v>8042</v>
      </c>
      <c r="D4419" s="41" t="str">
        <f ca="1">IFERROR(__xludf.DUMMYFUNCTION("IFERROR(ARRAYFORMULA(REGEXEXTRACT(C4419,""^(?:https?:\/\/)?(?:[^@\n]+@)?(?:www\.)?([^:\/\n]+)"")),"""")"),"hillrag.com")</f>
        <v>hillrag.com</v>
      </c>
      <c r="E4419" s="26" t="str">
        <f ca="1">IFERROR(__xludf.DUMMYFUNCTION("""COMPUTED_VALUE"""),"New")</f>
        <v>New</v>
      </c>
      <c r="F4419" s="72">
        <v>59</v>
      </c>
      <c r="G4419" s="72">
        <v>1076</v>
      </c>
      <c r="H4419" s="27" t="s">
        <v>8043</v>
      </c>
      <c r="I4419" s="27" t="s">
        <v>8044</v>
      </c>
      <c r="K4419" s="27" t="s">
        <v>6247</v>
      </c>
      <c r="L4419" s="112"/>
      <c r="M4419" s="27" t="s">
        <v>7390</v>
      </c>
      <c r="N4419" s="48">
        <v>46084</v>
      </c>
      <c r="P4419" s="27" t="s">
        <v>3201</v>
      </c>
    </row>
    <row r="4420" spans="1:16" ht="14.5" hidden="1">
      <c r="A4420" s="5"/>
      <c r="B4420" s="17" t="s">
        <v>2869</v>
      </c>
      <c r="C4420" s="46" t="s">
        <v>8045</v>
      </c>
      <c r="D4420" s="41" t="str">
        <f ca="1">IFERROR(__xludf.DUMMYFUNCTION("IFERROR(ARRAYFORMULA(REGEXEXTRACT(C4420,""^(?:https?:\/\/)?(?:[^@\n]+@)?(?:www\.)?([^:\/\n]+)"")),"""")"),"bydesignandviz.com")</f>
        <v>bydesignandviz.com</v>
      </c>
      <c r="E4420" s="26" t="str">
        <f ca="1">IFERROR(__xludf.DUMMYFUNCTION("""COMPUTED_VALUE"""),"Already Exists")</f>
        <v>Already Exists</v>
      </c>
      <c r="F4420" s="72">
        <v>26</v>
      </c>
      <c r="G4420" s="72">
        <v>8372</v>
      </c>
      <c r="P4420" s="26"/>
    </row>
    <row r="4421" spans="1:16" ht="14.5">
      <c r="A4421" s="3" t="s">
        <v>255</v>
      </c>
      <c r="B4421" s="12" t="s">
        <v>2869</v>
      </c>
      <c r="C4421" s="46" t="s">
        <v>8046</v>
      </c>
      <c r="D4421" s="41" t="str">
        <f ca="1">IFERROR(__xludf.DUMMYFUNCTION("IFERROR(ARRAYFORMULA(REGEXEXTRACT(C4421,""^(?:https?:\/\/)?(?:[^@\n]+@)?(?:www\.)?([^:\/\n]+)"")),"""")"),"northshoretimingonline.com")</f>
        <v>northshoretimingonline.com</v>
      </c>
      <c r="E4421" s="26" t="str">
        <f ca="1">IFERROR(__xludf.DUMMYFUNCTION("""COMPUTED_VALUE"""),"New")</f>
        <v>New</v>
      </c>
      <c r="F4421" s="72">
        <v>60</v>
      </c>
      <c r="G4421" s="72">
        <v>8507</v>
      </c>
      <c r="P4421" s="26"/>
    </row>
    <row r="4422" spans="1:16" ht="14.5">
      <c r="A4422" s="3" t="s">
        <v>255</v>
      </c>
      <c r="B4422" s="12" t="s">
        <v>2869</v>
      </c>
      <c r="C4422" s="46" t="s">
        <v>8047</v>
      </c>
      <c r="D4422" s="41" t="str">
        <f ca="1">IFERROR(__xludf.DUMMYFUNCTION("IFERROR(ARRAYFORMULA(REGEXEXTRACT(C4422,""^(?:https?:\/\/)?(?:[^@\n]+@)?(?:www\.)?([^:\/\n]+)"")),"""")"),"community.triblive.com")</f>
        <v>community.triblive.com</v>
      </c>
      <c r="E4422" s="26" t="str">
        <f ca="1">IFERROR(__xludf.DUMMYFUNCTION("""COMPUTED_VALUE"""),"New")</f>
        <v>New</v>
      </c>
      <c r="F4422" s="72">
        <v>82</v>
      </c>
      <c r="G4422" s="72">
        <v>328722</v>
      </c>
      <c r="P4422" s="26"/>
    </row>
    <row r="4423" spans="1:16" ht="14.5">
      <c r="A4423" s="3" t="s">
        <v>255</v>
      </c>
      <c r="B4423" s="12" t="s">
        <v>2869</v>
      </c>
      <c r="C4423" s="46" t="s">
        <v>8048</v>
      </c>
      <c r="D4423" s="41" t="str">
        <f ca="1">IFERROR(__xludf.DUMMYFUNCTION("IFERROR(ARRAYFORMULA(REGEXEXTRACT(C4423,""^(?:https?:\/\/)?(?:[^@\n]+@)?(?:www\.)?([^:\/\n]+)"")),"""")"),"admin.local.observer-reporter.com")</f>
        <v>admin.local.observer-reporter.com</v>
      </c>
      <c r="E4423" s="26" t="str">
        <f ca="1">IFERROR(__xludf.DUMMYFUNCTION("""COMPUTED_VALUE"""),"New")</f>
        <v>New</v>
      </c>
      <c r="F4423" s="72">
        <v>72</v>
      </c>
      <c r="G4423" s="72">
        <v>15559</v>
      </c>
      <c r="P4423" s="26"/>
    </row>
    <row r="4424" spans="1:16" ht="14.5">
      <c r="A4424" s="3" t="s">
        <v>255</v>
      </c>
      <c r="B4424" s="57" t="s">
        <v>2870</v>
      </c>
      <c r="C4424" s="47" t="s">
        <v>8049</v>
      </c>
      <c r="D4424" s="41" t="str">
        <f ca="1">IFERROR(__xludf.DUMMYFUNCTION("IFERROR(ARRAYFORMULA(REGEXEXTRACT(C4424,""^(?:https?:\/\/)?(?:[^@\n]+@)?(?:www\.)?([^:\/\n]+)"")),"""")"),"thehometrotters.blog")</f>
        <v>thehometrotters.blog</v>
      </c>
      <c r="E4424" s="26" t="str">
        <f ca="1">IFERROR(__xludf.DUMMYFUNCTION("""COMPUTED_VALUE"""),"New")</f>
        <v>New</v>
      </c>
      <c r="F4424" s="72">
        <v>53</v>
      </c>
      <c r="G4424" s="72">
        <v>3451</v>
      </c>
      <c r="I4424" s="27" t="s">
        <v>8050</v>
      </c>
      <c r="J4424" s="27" t="s">
        <v>8051</v>
      </c>
      <c r="K4424" s="27" t="s">
        <v>4515</v>
      </c>
      <c r="L4424" s="112"/>
      <c r="M4424" s="27" t="s">
        <v>7390</v>
      </c>
      <c r="N4424" s="48">
        <v>46084</v>
      </c>
      <c r="P4424" s="27" t="s">
        <v>3201</v>
      </c>
    </row>
    <row r="4425" spans="1:16" ht="14.5">
      <c r="A4425" s="3" t="s">
        <v>255</v>
      </c>
      <c r="B4425" s="12" t="s">
        <v>2870</v>
      </c>
      <c r="C4425" s="46" t="s">
        <v>8052</v>
      </c>
      <c r="D4425" s="41" t="str">
        <f ca="1">IFERROR(__xludf.DUMMYFUNCTION("IFERROR(ARRAYFORMULA(REGEXEXTRACT(C4425,""^(?:https?:\/\/)?(?:[^@\n]+@)?(?:www\.)?([^:\/\n]+)"")),"""")"),"gardenswithwings.com")</f>
        <v>gardenswithwings.com</v>
      </c>
      <c r="E4425" s="26" t="str">
        <f ca="1">IFERROR(__xludf.DUMMYFUNCTION("""COMPUTED_VALUE"""),"New")</f>
        <v>New</v>
      </c>
      <c r="F4425" s="72">
        <v>43</v>
      </c>
      <c r="G4425" s="72">
        <v>8361</v>
      </c>
      <c r="P4425" s="26"/>
    </row>
    <row r="4426" spans="1:16" ht="14.5">
      <c r="A4426" s="3" t="s">
        <v>255</v>
      </c>
      <c r="B4426" s="12" t="s">
        <v>2870</v>
      </c>
      <c r="C4426" s="46" t="s">
        <v>8053</v>
      </c>
      <c r="D4426" s="41" t="str">
        <f ca="1">IFERROR(__xludf.DUMMYFUNCTION("IFERROR(ARRAYFORMULA(REGEXEXTRACT(C4426,""^(?:https?:\/\/)?(?:[^@\n]+@)?(?:www\.)?([^:\/\n]+)"")),"""")"),"legalbites.in")</f>
        <v>legalbites.in</v>
      </c>
      <c r="E4426" s="26" t="str">
        <f ca="1">IFERROR(__xludf.DUMMYFUNCTION("""COMPUTED_VALUE"""),"New")</f>
        <v>New</v>
      </c>
      <c r="F4426" s="72">
        <v>39</v>
      </c>
      <c r="G4426" s="72">
        <v>8017</v>
      </c>
      <c r="P4426" s="26"/>
    </row>
    <row r="4427" spans="1:16" ht="14.5">
      <c r="A4427" s="3" t="s">
        <v>255</v>
      </c>
      <c r="B4427" s="12" t="s">
        <v>2870</v>
      </c>
      <c r="C4427" s="46" t="s">
        <v>8054</v>
      </c>
      <c r="D4427" s="41" t="str">
        <f ca="1">IFERROR(__xludf.DUMMYFUNCTION("IFERROR(ARRAYFORMULA(REGEXEXTRACT(C4427,""^(?:https?:\/\/)?(?:[^@\n]+@)?(?:www\.)?([^:\/\n]+)"")),"""")"),"lagradaonline.com")</f>
        <v>lagradaonline.com</v>
      </c>
      <c r="E4427" s="26" t="str">
        <f ca="1">IFERROR(__xludf.DUMMYFUNCTION("""COMPUTED_VALUE"""),"New")</f>
        <v>New</v>
      </c>
      <c r="F4427" s="72">
        <v>51</v>
      </c>
      <c r="G4427" s="72">
        <v>5498</v>
      </c>
      <c r="P4427" s="26"/>
    </row>
    <row r="4428" spans="1:16" ht="14.5">
      <c r="A4428" s="3" t="s">
        <v>255</v>
      </c>
      <c r="B4428" s="12" t="s">
        <v>2870</v>
      </c>
      <c r="C4428" s="49" t="s">
        <v>8055</v>
      </c>
      <c r="D4428" s="41" t="str">
        <f ca="1">IFERROR(__xludf.DUMMYFUNCTION("IFERROR(ARRAYFORMULA(REGEXEXTRACT(C4428,""^(?:https?:\/\/)?(?:[^@\n]+@)?(?:www\.)?([^:\/\n]+)"")),"""")"),"londonincmagazine.ca")</f>
        <v>londonincmagazine.ca</v>
      </c>
      <c r="E4428" s="26" t="str">
        <f ca="1">IFERROR(__xludf.DUMMYFUNCTION("""COMPUTED_VALUE"""),"New")</f>
        <v>New</v>
      </c>
      <c r="F4428" s="72">
        <v>41</v>
      </c>
      <c r="G4428" s="72">
        <v>1232</v>
      </c>
      <c r="H4428" s="27" t="s">
        <v>8056</v>
      </c>
      <c r="I4428" s="27" t="s">
        <v>8057</v>
      </c>
      <c r="J4428" s="27" t="s">
        <v>8058</v>
      </c>
      <c r="K4428" s="27" t="s">
        <v>3772</v>
      </c>
      <c r="L4428" s="112"/>
      <c r="M4428" s="27" t="s">
        <v>7390</v>
      </c>
      <c r="N4428" s="48">
        <v>46084</v>
      </c>
      <c r="P4428" s="26"/>
    </row>
    <row r="4429" spans="1:16" ht="14.5" hidden="1">
      <c r="A4429" s="5"/>
      <c r="B4429" s="12" t="s">
        <v>2870</v>
      </c>
      <c r="C4429" s="46" t="s">
        <v>8059</v>
      </c>
      <c r="D4429" s="41" t="str">
        <f ca="1">IFERROR(__xludf.DUMMYFUNCTION("IFERROR(ARRAYFORMULA(REGEXEXTRACT(C4429,""^(?:https?:\/\/)?(?:[^@\n]+@)?(?:www\.)?([^:\/\n]+)"")),"""")"),"amumreviews.co.uk")</f>
        <v>amumreviews.co.uk</v>
      </c>
      <c r="E4429" s="26" t="str">
        <f ca="1">IFERROR(__xludf.DUMMYFUNCTION("""COMPUTED_VALUE"""),"Already Exists")</f>
        <v>Already Exists</v>
      </c>
      <c r="F4429" s="72">
        <v>42</v>
      </c>
      <c r="G4429" s="72">
        <v>1708</v>
      </c>
      <c r="P4429" s="26"/>
    </row>
    <row r="4430" spans="1:16" ht="14.5" hidden="1">
      <c r="A4430" s="5"/>
      <c r="B4430" s="12" t="s">
        <v>2870</v>
      </c>
      <c r="C4430" s="46" t="s">
        <v>8060</v>
      </c>
      <c r="D4430" s="41" t="str">
        <f ca="1">IFERROR(__xludf.DUMMYFUNCTION("IFERROR(ARRAYFORMULA(REGEXEXTRACT(C4430,""^(?:https?:\/\/)?(?:[^@\n]+@)?(?:www\.)?([^:\/\n]+)"")),"""")"),"greenbuildingcanada.ca")</f>
        <v>greenbuildingcanada.ca</v>
      </c>
      <c r="E4430" s="26" t="str">
        <f ca="1">IFERROR(__xludf.DUMMYFUNCTION("""COMPUTED_VALUE"""),"Already Exists")</f>
        <v>Already Exists</v>
      </c>
      <c r="F4430" s="72">
        <v>53</v>
      </c>
      <c r="G4430" s="72">
        <v>5397</v>
      </c>
      <c r="P4430" s="26"/>
    </row>
    <row r="4431" spans="1:16" ht="14.5">
      <c r="A4431" s="3" t="s">
        <v>255</v>
      </c>
      <c r="B4431" s="12" t="s">
        <v>2870</v>
      </c>
      <c r="C4431" s="46" t="s">
        <v>8061</v>
      </c>
      <c r="D4431" s="41" t="str">
        <f ca="1">IFERROR(__xludf.DUMMYFUNCTION("IFERROR(ARRAYFORMULA(REGEXEXTRACT(C4431,""^(?:https?:\/\/)?(?:[^@\n]+@)?(?:www\.)?([^:\/\n]+)"")),"""")"),"mylittlebabog.com")</f>
        <v>mylittlebabog.com</v>
      </c>
      <c r="E4431" s="26" t="str">
        <f ca="1">IFERROR(__xludf.DUMMYFUNCTION("""COMPUTED_VALUE"""),"New")</f>
        <v>New</v>
      </c>
      <c r="F4431" s="72">
        <v>29</v>
      </c>
      <c r="G4431" s="72">
        <v>2001</v>
      </c>
      <c r="P4431" s="26"/>
    </row>
    <row r="4432" spans="1:16" ht="14.5">
      <c r="A4432" s="3" t="s">
        <v>255</v>
      </c>
      <c r="B4432" s="12" t="s">
        <v>2870</v>
      </c>
      <c r="C4432" s="46" t="s">
        <v>8062</v>
      </c>
      <c r="D4432" s="41" t="str">
        <f ca="1">IFERROR(__xludf.DUMMYFUNCTION("IFERROR(ARRAYFORMULA(REGEXEXTRACT(C4432,""^(?:https?:\/\/)?(?:[^@\n]+@)?(?:www\.)?([^:\/\n]+)"")),"""")"),"ebnw.net")</f>
        <v>ebnw.net</v>
      </c>
      <c r="E4432" s="26" t="str">
        <f ca="1">IFERROR(__xludf.DUMMYFUNCTION("""COMPUTED_VALUE"""),"New")</f>
        <v>New</v>
      </c>
      <c r="F4432" s="72">
        <v>35</v>
      </c>
      <c r="G4432" s="72">
        <v>1293</v>
      </c>
      <c r="P4432" s="26"/>
    </row>
    <row r="4433" spans="1:16" ht="14.5" hidden="1">
      <c r="A4433" s="5"/>
      <c r="B4433" s="12" t="s">
        <v>2870</v>
      </c>
      <c r="C4433" s="46" t="s">
        <v>8063</v>
      </c>
      <c r="D4433" s="41" t="str">
        <f ca="1">IFERROR(__xludf.DUMMYFUNCTION("IFERROR(ARRAYFORMULA(REGEXEXTRACT(C4433,""^(?:https?:\/\/)?(?:[^@\n]+@)?(?:www\.)?([^:\/\n]+)"")),"""")"),"dreamandtravel.com")</f>
        <v>dreamandtravel.com</v>
      </c>
      <c r="E4433" s="26" t="str">
        <f ca="1">IFERROR(__xludf.DUMMYFUNCTION("""COMPUTED_VALUE"""),"Already Exists")</f>
        <v>Already Exists</v>
      </c>
      <c r="F4433" s="72">
        <v>27</v>
      </c>
      <c r="G4433" s="72">
        <v>1115</v>
      </c>
      <c r="P4433" s="26"/>
    </row>
    <row r="4434" spans="1:16" ht="14.5">
      <c r="A4434" s="3" t="s">
        <v>255</v>
      </c>
      <c r="B4434" s="12" t="s">
        <v>2870</v>
      </c>
      <c r="C4434" s="49" t="s">
        <v>8064</v>
      </c>
      <c r="D4434" s="41" t="str">
        <f ca="1">IFERROR(__xludf.DUMMYFUNCTION("IFERROR(ARRAYFORMULA(REGEXEXTRACT(C4434,""^(?:https?:\/\/)?(?:[^@\n]+@)?(?:www\.)?([^:\/\n]+)"")),"""")"),"thefurniturevilla.co.uk")</f>
        <v>thefurniturevilla.co.uk</v>
      </c>
      <c r="E4434" s="26" t="str">
        <f ca="1">IFERROR(__xludf.DUMMYFUNCTION("""COMPUTED_VALUE"""),"New")</f>
        <v>New</v>
      </c>
      <c r="F4434" s="72">
        <v>56</v>
      </c>
      <c r="G4434" s="72">
        <v>1022</v>
      </c>
      <c r="I4434" s="27" t="s">
        <v>8065</v>
      </c>
      <c r="K4434" s="27" t="s">
        <v>4951</v>
      </c>
      <c r="L4434" s="112"/>
      <c r="M4434" s="27" t="s">
        <v>7390</v>
      </c>
      <c r="N4434" s="48">
        <v>46084</v>
      </c>
      <c r="P4434" s="26"/>
    </row>
    <row r="4435" spans="1:16" ht="14.5" hidden="1">
      <c r="A4435" s="5"/>
      <c r="B4435" s="12" t="s">
        <v>2870</v>
      </c>
      <c r="C4435" s="46" t="s">
        <v>8066</v>
      </c>
      <c r="D4435" s="41" t="str">
        <f ca="1">IFERROR(__xludf.DUMMYFUNCTION("IFERROR(ARRAYFORMULA(REGEXEXTRACT(C4435,""^(?:https?:\/\/)?(?:[^@\n]+@)?(?:www\.)?([^:\/\n]+)"")),"""")"),"socinvestigation.com")</f>
        <v>socinvestigation.com</v>
      </c>
      <c r="E4435" s="26" t="str">
        <f ca="1">IFERROR(__xludf.DUMMYFUNCTION("""COMPUTED_VALUE"""),"Already Exists")</f>
        <v>Already Exists</v>
      </c>
      <c r="F4435" s="72">
        <v>47</v>
      </c>
      <c r="G4435" s="72">
        <v>1822</v>
      </c>
      <c r="P4435" s="26"/>
    </row>
    <row r="4436" spans="1:16" ht="14.5">
      <c r="A4436" s="3" t="s">
        <v>255</v>
      </c>
      <c r="B4436" s="12" t="s">
        <v>2870</v>
      </c>
      <c r="C4436" s="46" t="s">
        <v>8067</v>
      </c>
      <c r="D4436" s="41" t="str">
        <f ca="1">IFERROR(__xludf.DUMMYFUNCTION("IFERROR(ARRAYFORMULA(REGEXEXTRACT(C4436,""^(?:https?:\/\/)?(?:[^@\n]+@)?(?:www\.)?([^:\/\n]+)"")),"""")"),"techdee.com")</f>
        <v>techdee.com</v>
      </c>
      <c r="E4436" s="26" t="str">
        <f ca="1">IFERROR(__xludf.DUMMYFUNCTION("""COMPUTED_VALUE"""),"New")</f>
        <v>New</v>
      </c>
      <c r="F4436" s="72">
        <v>37</v>
      </c>
      <c r="G4436" s="72">
        <v>7510</v>
      </c>
      <c r="P4436" s="26"/>
    </row>
    <row r="4437" spans="1:16" ht="14.5" hidden="1">
      <c r="A4437" s="5"/>
      <c r="B4437" s="12" t="s">
        <v>2870</v>
      </c>
      <c r="C4437" s="46" t="s">
        <v>8068</v>
      </c>
      <c r="D4437" s="41" t="str">
        <f ca="1">IFERROR(__xludf.DUMMYFUNCTION("IFERROR(ARRAYFORMULA(REGEXEXTRACT(C4437,""^(?:https?:\/\/)?(?:[^@\n]+@)?(?:www\.)?([^:\/\n]+)"")),"""")"),"padmagazine.co.uk")</f>
        <v>padmagazine.co.uk</v>
      </c>
      <c r="E4437" s="26" t="str">
        <f ca="1">IFERROR(__xludf.DUMMYFUNCTION("""COMPUTED_VALUE"""),"Already Exists")</f>
        <v>Already Exists</v>
      </c>
      <c r="F4437" s="72">
        <v>31</v>
      </c>
      <c r="G4437" s="72">
        <v>3941</v>
      </c>
      <c r="P4437" s="26"/>
    </row>
    <row r="4438" spans="1:16" ht="14.5">
      <c r="A4438" s="3" t="s">
        <v>255</v>
      </c>
      <c r="B4438" s="12" t="s">
        <v>2870</v>
      </c>
      <c r="C4438" s="46" t="s">
        <v>8069</v>
      </c>
      <c r="D4438" s="41" t="str">
        <f ca="1">IFERROR(__xludf.DUMMYFUNCTION("IFERROR(ARRAYFORMULA(REGEXEXTRACT(C4438,""^(?:https?:\/\/)?(?:[^@\n]+@)?(?:www\.)?([^:\/\n]+)"")),"""")"),"civildigital.com")</f>
        <v>civildigital.com</v>
      </c>
      <c r="E4438" s="26" t="str">
        <f ca="1">IFERROR(__xludf.DUMMYFUNCTION("""COMPUTED_VALUE"""),"New")</f>
        <v>New</v>
      </c>
      <c r="F4438" s="72">
        <v>55</v>
      </c>
      <c r="G4438" s="72">
        <v>3485</v>
      </c>
      <c r="P4438" s="26"/>
    </row>
    <row r="4439" spans="1:16" ht="14.5" hidden="1">
      <c r="A4439" s="3" t="s">
        <v>255</v>
      </c>
      <c r="B4439" s="12" t="s">
        <v>2870</v>
      </c>
      <c r="C4439" s="47" t="s">
        <v>8070</v>
      </c>
      <c r="D4439" s="41" t="str">
        <f ca="1">IFERROR(__xludf.DUMMYFUNCTION("IFERROR(ARRAYFORMULA(REGEXEXTRACT(C4439,""^(?:https?:\/\/)?(?:[^@\n]+@)?(?:www\.)?([^:\/\n]+)"")),"""")"),"hrnews.co.uk")</f>
        <v>hrnews.co.uk</v>
      </c>
      <c r="E4439" s="26" t="str">
        <f ca="1">IFERROR(__xludf.DUMMYFUNCTION("""COMPUTED_VALUE"""),"Already Exists")</f>
        <v>Already Exists</v>
      </c>
      <c r="F4439" s="72">
        <v>74</v>
      </c>
      <c r="G4439" s="72">
        <v>3177</v>
      </c>
      <c r="I4439" s="27" t="s">
        <v>8071</v>
      </c>
      <c r="K4439" s="27" t="s">
        <v>3772</v>
      </c>
      <c r="L4439" s="112"/>
      <c r="M4439" s="27" t="s">
        <v>7390</v>
      </c>
      <c r="N4439" s="48">
        <v>46084</v>
      </c>
      <c r="P4439" s="27" t="s">
        <v>3201</v>
      </c>
    </row>
    <row r="4440" spans="1:16" ht="14.5">
      <c r="A4440" s="3" t="s">
        <v>255</v>
      </c>
      <c r="B4440" s="12" t="s">
        <v>2870</v>
      </c>
      <c r="C4440" s="46" t="s">
        <v>8072</v>
      </c>
      <c r="D4440" s="41" t="str">
        <f ca="1">IFERROR(__xludf.DUMMYFUNCTION("IFERROR(ARRAYFORMULA(REGEXEXTRACT(C4440,""^(?:https?:\/\/)?(?:[^@\n]+@)?(?:www\.)?([^:\/\n]+)"")),"""")"),"wearebrighton.com")</f>
        <v>wearebrighton.com</v>
      </c>
      <c r="E4440" s="26" t="str">
        <f ca="1">IFERROR(__xludf.DUMMYFUNCTION("""COMPUTED_VALUE"""),"New")</f>
        <v>New</v>
      </c>
      <c r="F4440" s="72">
        <v>44</v>
      </c>
      <c r="G4440" s="72">
        <v>5618</v>
      </c>
      <c r="P4440" s="26"/>
    </row>
    <row r="4441" spans="1:16" ht="14.5">
      <c r="A4441" s="3" t="s">
        <v>255</v>
      </c>
      <c r="B4441" s="12" t="s">
        <v>2870</v>
      </c>
      <c r="C4441" s="49" t="s">
        <v>8073</v>
      </c>
      <c r="D4441" s="41" t="str">
        <f ca="1">IFERROR(__xludf.DUMMYFUNCTION("IFERROR(ARRAYFORMULA(REGEXEXTRACT(C4441,""^(?:https?:\/\/)?(?:[^@\n]+@)?(?:www\.)?([^:\/\n]+)"")),"""")"),"greekexclusiveproperties.com")</f>
        <v>greekexclusiveproperties.com</v>
      </c>
      <c r="E4441" s="26" t="str">
        <f ca="1">IFERROR(__xludf.DUMMYFUNCTION("""COMPUTED_VALUE"""),"New")</f>
        <v>New</v>
      </c>
      <c r="F4441" s="72">
        <v>31</v>
      </c>
      <c r="G4441" s="72">
        <v>5574</v>
      </c>
      <c r="I4441" s="27" t="s">
        <v>8074</v>
      </c>
      <c r="J4441" s="27" t="s">
        <v>8075</v>
      </c>
      <c r="K4441" s="27" t="s">
        <v>3853</v>
      </c>
      <c r="L4441" s="112"/>
      <c r="M4441" s="27" t="s">
        <v>7390</v>
      </c>
      <c r="N4441" s="48">
        <v>46084</v>
      </c>
      <c r="P4441" s="26"/>
    </row>
    <row r="4442" spans="1:16" ht="14.5">
      <c r="A4442" s="3" t="s">
        <v>255</v>
      </c>
      <c r="B4442" s="12" t="s">
        <v>2870</v>
      </c>
      <c r="C4442" s="46" t="s">
        <v>8076</v>
      </c>
      <c r="D4442" s="41" t="str">
        <f ca="1">IFERROR(__xludf.DUMMYFUNCTION("IFERROR(ARRAYFORMULA(REGEXEXTRACT(C4442,""^(?:https?:\/\/)?(?:[^@\n]+@)?(?:www\.)?([^:\/\n]+)"")),"""")"),"thoughtsonlifeandlove.com")</f>
        <v>thoughtsonlifeandlove.com</v>
      </c>
      <c r="E4442" s="26" t="str">
        <f ca="1">IFERROR(__xludf.DUMMYFUNCTION("""COMPUTED_VALUE"""),"New")</f>
        <v>New</v>
      </c>
      <c r="F4442" s="72">
        <v>30</v>
      </c>
      <c r="G4442" s="72">
        <v>2722</v>
      </c>
      <c r="P4442" s="26"/>
    </row>
    <row r="4443" spans="1:16" ht="14.5">
      <c r="A4443" s="3" t="s">
        <v>255</v>
      </c>
      <c r="B4443" s="12" t="s">
        <v>2870</v>
      </c>
      <c r="C4443" s="46" t="s">
        <v>8077</v>
      </c>
      <c r="D4443" s="41" t="str">
        <f ca="1">IFERROR(__xludf.DUMMYFUNCTION("IFERROR(ARRAYFORMULA(REGEXEXTRACT(C4443,""^(?:https?:\/\/)?(?:[^@\n]+@)?(?:www\.)?([^:\/\n]+)"")),"""")"),"wikitechy.com")</f>
        <v>wikitechy.com</v>
      </c>
      <c r="E4443" s="26" t="str">
        <f ca="1">IFERROR(__xludf.DUMMYFUNCTION("""COMPUTED_VALUE"""),"New")</f>
        <v>New</v>
      </c>
      <c r="F4443" s="72">
        <v>34</v>
      </c>
      <c r="G4443" s="72">
        <v>7925</v>
      </c>
      <c r="P4443" s="26"/>
    </row>
    <row r="4444" spans="1:16" ht="14.5" hidden="1">
      <c r="A4444" s="5"/>
      <c r="B4444" s="12" t="s">
        <v>2870</v>
      </c>
      <c r="C4444" s="46" t="s">
        <v>8078</v>
      </c>
      <c r="D4444" s="41" t="str">
        <f ca="1">IFERROR(__xludf.DUMMYFUNCTION("IFERROR(ARRAYFORMULA(REGEXEXTRACT(C4444,""^(?:https?:\/\/)?(?:[^@\n]+@)?(?:www\.)?([^:\/\n]+)"")),"""")"),"speedwaymedia.com")</f>
        <v>speedwaymedia.com</v>
      </c>
      <c r="E4444" s="26" t="str">
        <f ca="1">IFERROR(__xludf.DUMMYFUNCTION("""COMPUTED_VALUE"""),"Already Exists")</f>
        <v>Already Exists</v>
      </c>
      <c r="F4444" s="72">
        <v>55</v>
      </c>
      <c r="G4444" s="72">
        <v>7660</v>
      </c>
      <c r="P4444" s="26"/>
    </row>
    <row r="4445" spans="1:16" ht="14.5" hidden="1">
      <c r="A4445" s="5"/>
      <c r="B4445" s="12" t="s">
        <v>2870</v>
      </c>
      <c r="C4445" s="46" t="s">
        <v>8079</v>
      </c>
      <c r="D4445" s="41" t="str">
        <f ca="1">IFERROR(__xludf.DUMMYFUNCTION("IFERROR(ARRAYFORMULA(REGEXEXTRACT(C4445,""^(?:https?:\/\/)?(?:[^@\n]+@)?(?:www\.)?([^:\/\n]+)"")),"""")"),"kevinfrancisdesign.com")</f>
        <v>kevinfrancisdesign.com</v>
      </c>
      <c r="E4445" s="26" t="str">
        <f ca="1">IFERROR(__xludf.DUMMYFUNCTION("""COMPUTED_VALUE"""),"Already Exists")</f>
        <v>Already Exists</v>
      </c>
      <c r="F4445" s="72">
        <v>50</v>
      </c>
      <c r="G4445" s="72">
        <v>1121</v>
      </c>
      <c r="P4445" s="26"/>
    </row>
    <row r="4446" spans="1:16" ht="14.5" hidden="1">
      <c r="A4446" s="5"/>
      <c r="B4446" s="12" t="s">
        <v>2870</v>
      </c>
      <c r="C4446" s="46" t="s">
        <v>8080</v>
      </c>
      <c r="D4446" s="41" t="str">
        <f ca="1">IFERROR(__xludf.DUMMYFUNCTION("IFERROR(ARRAYFORMULA(REGEXEXTRACT(C4446,""^(?:https?:\/\/)?(?:[^@\n]+@)?(?:www\.)?([^:\/\n]+)"")),"""")"),"solutionhow.com")</f>
        <v>solutionhow.com</v>
      </c>
      <c r="E4446" s="26" t="str">
        <f ca="1">IFERROR(__xludf.DUMMYFUNCTION("""COMPUTED_VALUE"""),"Already Exists")</f>
        <v>Already Exists</v>
      </c>
      <c r="F4446" s="72">
        <v>41</v>
      </c>
      <c r="G4446" s="72">
        <v>6668</v>
      </c>
      <c r="P4446" s="26"/>
    </row>
    <row r="4447" spans="1:16" ht="14.5">
      <c r="A4447" s="3" t="s">
        <v>255</v>
      </c>
      <c r="B4447" s="12" t="s">
        <v>2870</v>
      </c>
      <c r="C4447" s="46" t="s">
        <v>8081</v>
      </c>
      <c r="D4447" s="41" t="str">
        <f ca="1">IFERROR(__xludf.DUMMYFUNCTION("IFERROR(ARRAYFORMULA(REGEXEXTRACT(C4447,""^(?:https?:\/\/)?(?:[^@\n]+@)?(?:www\.)?([^:\/\n]+)"")),"""")"),"quintdaily.com")</f>
        <v>quintdaily.com</v>
      </c>
      <c r="E4447" s="26" t="str">
        <f ca="1">IFERROR(__xludf.DUMMYFUNCTION("""COMPUTED_VALUE"""),"New")</f>
        <v>New</v>
      </c>
      <c r="F4447" s="72">
        <v>34</v>
      </c>
      <c r="G4447" s="72">
        <v>1789</v>
      </c>
      <c r="P4447" s="26"/>
    </row>
    <row r="4448" spans="1:16" ht="14.5" hidden="1">
      <c r="A4448" s="5"/>
      <c r="B4448" s="12" t="s">
        <v>2870</v>
      </c>
      <c r="C4448" s="46" t="s">
        <v>8082</v>
      </c>
      <c r="D4448" s="41" t="str">
        <f ca="1">IFERROR(__xludf.DUMMYFUNCTION("IFERROR(ARRAYFORMULA(REGEXEXTRACT(C4448,""^(?:https?:\/\/)?(?:[^@\n]+@)?(?:www\.)?([^:\/\n]+)"")),"""")"),"houseofcoco.net")</f>
        <v>houseofcoco.net</v>
      </c>
      <c r="E4448" s="26" t="str">
        <f ca="1">IFERROR(__xludf.DUMMYFUNCTION("""COMPUTED_VALUE"""),"Already Exists")</f>
        <v>Already Exists</v>
      </c>
      <c r="F4448" s="72">
        <v>64</v>
      </c>
      <c r="G4448" s="72">
        <v>3405</v>
      </c>
      <c r="P4448" s="26"/>
    </row>
    <row r="4449" spans="1:16" ht="14.5">
      <c r="A4449" s="3" t="s">
        <v>255</v>
      </c>
      <c r="B4449" s="12" t="s">
        <v>2870</v>
      </c>
      <c r="C4449" s="46" t="s">
        <v>8083</v>
      </c>
      <c r="D4449" s="41" t="str">
        <f ca="1">IFERROR(__xludf.DUMMYFUNCTION("IFERROR(ARRAYFORMULA(REGEXEXTRACT(C4449,""^(?:https?:\/\/)?(?:[^@\n]+@)?(?:www\.)?([^:\/\n]+)"")),"""")"),"favs.news")</f>
        <v>favs.news</v>
      </c>
      <c r="E4449" s="26" t="str">
        <f ca="1">IFERROR(__xludf.DUMMYFUNCTION("""COMPUTED_VALUE"""),"New")</f>
        <v>New</v>
      </c>
      <c r="F4449" s="72">
        <v>47</v>
      </c>
      <c r="G4449" s="72">
        <v>2316</v>
      </c>
      <c r="P4449" s="26"/>
    </row>
    <row r="4450" spans="1:16" ht="14.5">
      <c r="A4450" s="3" t="s">
        <v>255</v>
      </c>
      <c r="B4450" s="12" t="s">
        <v>2870</v>
      </c>
      <c r="C4450" s="46" t="s">
        <v>8084</v>
      </c>
      <c r="D4450" s="41" t="str">
        <f ca="1">IFERROR(__xludf.DUMMYFUNCTION("IFERROR(ARRAYFORMULA(REGEXEXTRACT(C4450,""^(?:https?:\/\/)?(?:[^@\n]+@)?(?:www\.)?([^:\/\n]+)"")),"""")"),"fancyhouse-design.com")</f>
        <v>fancyhouse-design.com</v>
      </c>
      <c r="E4450" s="26" t="str">
        <f ca="1">IFERROR(__xludf.DUMMYFUNCTION("""COMPUTED_VALUE"""),"New")</f>
        <v>New</v>
      </c>
      <c r="F4450" s="72">
        <v>48</v>
      </c>
      <c r="G4450" s="72">
        <v>1124</v>
      </c>
      <c r="P4450" s="26"/>
    </row>
    <row r="4451" spans="1:16" ht="14.5">
      <c r="A4451" s="3" t="s">
        <v>255</v>
      </c>
      <c r="B4451" s="12" t="s">
        <v>2870</v>
      </c>
      <c r="C4451" s="46" t="s">
        <v>8085</v>
      </c>
      <c r="D4451" s="41" t="str">
        <f ca="1">IFERROR(__xludf.DUMMYFUNCTION("IFERROR(ARRAYFORMULA(REGEXEXTRACT(C4451,""^(?:https?:\/\/)?(?:[^@\n]+@)?(?:www\.)?([^:\/\n]+)"")),"""")"),"latest.thedailyguardian.com")</f>
        <v>latest.thedailyguardian.com</v>
      </c>
      <c r="E4451" s="26" t="str">
        <f ca="1">IFERROR(__xludf.DUMMYFUNCTION("""COMPUTED_VALUE"""),"New")</f>
        <v>New</v>
      </c>
      <c r="F4451" s="72">
        <v>69</v>
      </c>
      <c r="G4451" s="72">
        <v>9237</v>
      </c>
      <c r="P4451" s="26"/>
    </row>
    <row r="4452" spans="1:16" ht="14.5">
      <c r="A4452" s="3" t="s">
        <v>255</v>
      </c>
      <c r="B4452" s="12" t="s">
        <v>2870</v>
      </c>
      <c r="C4452" s="46" t="s">
        <v>8086</v>
      </c>
      <c r="D4452" s="41" t="str">
        <f ca="1">IFERROR(__xludf.DUMMYFUNCTION("IFERROR(ARRAYFORMULA(REGEXEXTRACT(C4452,""^(?:https?:\/\/)?(?:[^@\n]+@)?(?:www\.)?([^:\/\n]+)"")),"""")"),"backstageviral.com")</f>
        <v>backstageviral.com</v>
      </c>
      <c r="E4452" s="26" t="str">
        <f ca="1">IFERROR(__xludf.DUMMYFUNCTION("""COMPUTED_VALUE"""),"New")</f>
        <v>New</v>
      </c>
      <c r="F4452" s="72">
        <v>36</v>
      </c>
      <c r="G4452" s="72">
        <v>5949</v>
      </c>
      <c r="P4452" s="26"/>
    </row>
    <row r="4453" spans="1:16" ht="14.5" hidden="1">
      <c r="A4453" s="5"/>
      <c r="B4453" s="12" t="s">
        <v>2870</v>
      </c>
      <c r="C4453" s="46" t="s">
        <v>8087</v>
      </c>
      <c r="D4453" s="41" t="str">
        <f ca="1">IFERROR(__xludf.DUMMYFUNCTION("IFERROR(ARRAYFORMULA(REGEXEXTRACT(C4453,""^(?:https?:\/\/)?(?:[^@\n]+@)?(?:www\.)?([^:\/\n]+)"")),"""")"),"sipthestyle.com")</f>
        <v>sipthestyle.com</v>
      </c>
      <c r="E4453" s="26" t="str">
        <f ca="1">IFERROR(__xludf.DUMMYFUNCTION("""COMPUTED_VALUE"""),"Already Exists")</f>
        <v>Already Exists</v>
      </c>
      <c r="F4453" s="72">
        <v>58</v>
      </c>
      <c r="G4453" s="72">
        <v>4493</v>
      </c>
      <c r="P4453" s="26"/>
    </row>
    <row r="4454" spans="1:16" ht="14.5" hidden="1">
      <c r="A4454" s="5"/>
      <c r="B4454" s="12" t="s">
        <v>2870</v>
      </c>
      <c r="C4454" s="46" t="s">
        <v>8088</v>
      </c>
      <c r="D4454" s="41" t="str">
        <f ca="1">IFERROR(__xludf.DUMMYFUNCTION("IFERROR(ARRAYFORMULA(REGEXEXTRACT(C4454,""^(?:https?:\/\/)?(?:[^@\n]+@)?(?:www\.)?([^:\/\n]+)"")),"""")"),"myflashyhome.com")</f>
        <v>myflashyhome.com</v>
      </c>
      <c r="E4454" s="26" t="str">
        <f ca="1">IFERROR(__xludf.DUMMYFUNCTION("""COMPUTED_VALUE"""),"Already Exists")</f>
        <v>Already Exists</v>
      </c>
      <c r="F4454" s="72">
        <v>33</v>
      </c>
      <c r="G4454" s="72">
        <v>3183</v>
      </c>
      <c r="P4454" s="26"/>
    </row>
    <row r="4455" spans="1:16" ht="14.5" hidden="1">
      <c r="A4455" s="5"/>
      <c r="B4455" s="12" t="s">
        <v>2870</v>
      </c>
      <c r="C4455" s="46" t="s">
        <v>8089</v>
      </c>
      <c r="D4455" s="41" t="str">
        <f ca="1">IFERROR(__xludf.DUMMYFUNCTION("IFERROR(ARRAYFORMULA(REGEXEXTRACT(C4455,""^(?:https?:\/\/)?(?:[^@\n]+@)?(?:www\.)?([^:\/\n]+)"")),"""")"),"thursd.com")</f>
        <v>thursd.com</v>
      </c>
      <c r="E4455" s="26" t="str">
        <f ca="1">IFERROR(__xludf.DUMMYFUNCTION("""COMPUTED_VALUE"""),"Already Exists")</f>
        <v>Already Exists</v>
      </c>
      <c r="F4455" s="72">
        <v>64</v>
      </c>
      <c r="G4455" s="72">
        <v>133179</v>
      </c>
      <c r="P4455" s="26"/>
    </row>
    <row r="4456" spans="1:16" ht="14.5" hidden="1">
      <c r="A4456" s="5"/>
      <c r="B4456" s="12" t="s">
        <v>2870</v>
      </c>
      <c r="C4456" s="46" t="s">
        <v>8090</v>
      </c>
      <c r="D4456" s="41" t="str">
        <f ca="1">IFERROR(__xludf.DUMMYFUNCTION("IFERROR(ARRAYFORMULA(REGEXEXTRACT(C4456,""^(?:https?:\/\/)?(?:[^@\n]+@)?(?:www\.)?([^:\/\n]+)"")),"""")"),"gluesticksgumdrops.com")</f>
        <v>gluesticksgumdrops.com</v>
      </c>
      <c r="E4456" s="26" t="str">
        <f ca="1">IFERROR(__xludf.DUMMYFUNCTION("""COMPUTED_VALUE"""),"Already Exists")</f>
        <v>Already Exists</v>
      </c>
      <c r="F4456" s="72">
        <v>51</v>
      </c>
      <c r="G4456" s="72">
        <v>1006</v>
      </c>
      <c r="P4456" s="26"/>
    </row>
    <row r="4457" spans="1:16" ht="14.5" hidden="1">
      <c r="A4457" s="5"/>
      <c r="B4457" s="12" t="s">
        <v>2870</v>
      </c>
      <c r="C4457" s="46" t="s">
        <v>8091</v>
      </c>
      <c r="D4457" s="41" t="str">
        <f ca="1">IFERROR(__xludf.DUMMYFUNCTION("IFERROR(ARRAYFORMULA(REGEXEXTRACT(C4457,""^(?:https?:\/\/)?(?:[^@\n]+@)?(?:www\.)?([^:\/\n]+)"")),"""")"),"tinyhouse.com")</f>
        <v>tinyhouse.com</v>
      </c>
      <c r="E4457" s="26" t="str">
        <f ca="1">IFERROR(__xludf.DUMMYFUNCTION("""COMPUTED_VALUE"""),"Already Exists")</f>
        <v>Already Exists</v>
      </c>
      <c r="F4457" s="72">
        <v>53</v>
      </c>
      <c r="G4457" s="72">
        <v>5929</v>
      </c>
      <c r="P4457" s="26"/>
    </row>
    <row r="4458" spans="1:16" ht="14.5" hidden="1">
      <c r="A4458" s="5"/>
      <c r="B4458" s="12" t="s">
        <v>2870</v>
      </c>
      <c r="C4458" s="46" t="s">
        <v>8092</v>
      </c>
      <c r="D4458" s="41" t="str">
        <f ca="1">IFERROR(__xludf.DUMMYFUNCTION("IFERROR(ARRAYFORMULA(REGEXEXTRACT(C4458,""^(?:https?:\/\/)?(?:[^@\n]+@)?(?:www\.)?([^:\/\n]+)"")),"""")"),"otsnews.co.uk")</f>
        <v>otsnews.co.uk</v>
      </c>
      <c r="E4458" s="26" t="str">
        <f ca="1">IFERROR(__xludf.DUMMYFUNCTION("""COMPUTED_VALUE"""),"Already Exists")</f>
        <v>Already Exists</v>
      </c>
      <c r="F4458" s="72">
        <v>56</v>
      </c>
      <c r="G4458" s="72">
        <v>6143</v>
      </c>
      <c r="P4458" s="26"/>
    </row>
    <row r="4459" spans="1:16" ht="14.5" hidden="1">
      <c r="A4459" s="5"/>
      <c r="B4459" s="12" t="s">
        <v>2870</v>
      </c>
      <c r="C4459" s="46" t="s">
        <v>8093</v>
      </c>
      <c r="D4459" s="41" t="str">
        <f ca="1">IFERROR(__xludf.DUMMYFUNCTION("IFERROR(ARRAYFORMULA(REGEXEXTRACT(C4459,""^(?:https?:\/\/)?(?:[^@\n]+@)?(?:www\.)?([^:\/\n]+)"")),"""")"),"programminginsider.com")</f>
        <v>programminginsider.com</v>
      </c>
      <c r="E4459" s="26" t="str">
        <f ca="1">IFERROR(__xludf.DUMMYFUNCTION("""COMPUTED_VALUE"""),"Already Exists")</f>
        <v>Already Exists</v>
      </c>
      <c r="F4459" s="72">
        <v>69</v>
      </c>
      <c r="G4459" s="72">
        <v>29298</v>
      </c>
      <c r="P4459" s="26"/>
    </row>
    <row r="4460" spans="1:16" ht="14.5" hidden="1">
      <c r="A4460" s="5"/>
      <c r="B4460" s="12" t="s">
        <v>2870</v>
      </c>
      <c r="C4460" s="46" t="s">
        <v>8094</v>
      </c>
      <c r="D4460" s="41" t="str">
        <f ca="1">IFERROR(__xludf.DUMMYFUNCTION("IFERROR(ARRAYFORMULA(REGEXEXTRACT(C4460,""^(?:https?:\/\/)?(?:[^@\n]+@)?(?:www\.)?([^:\/\n]+)"")),"""")"),"luxurylifestyle.com")</f>
        <v>luxurylifestyle.com</v>
      </c>
      <c r="E4460" s="26" t="str">
        <f ca="1">IFERROR(__xludf.DUMMYFUNCTION("""COMPUTED_VALUE"""),"Already Exists")</f>
        <v>Already Exists</v>
      </c>
      <c r="F4460" s="72">
        <v>45</v>
      </c>
      <c r="G4460" s="72">
        <v>1920</v>
      </c>
      <c r="P4460" s="26"/>
    </row>
    <row r="4461" spans="1:16" ht="14.5" hidden="1">
      <c r="A4461" s="5"/>
      <c r="B4461" s="12" t="s">
        <v>2870</v>
      </c>
      <c r="C4461" s="46" t="s">
        <v>8095</v>
      </c>
      <c r="D4461" s="41" t="str">
        <f ca="1">IFERROR(__xludf.DUMMYFUNCTION("IFERROR(ARRAYFORMULA(REGEXEXTRACT(C4461,""^(?:https?:\/\/)?(?:[^@\n]+@)?(?:www\.)?([^:\/\n]+)"")),"""")"),"michiganmamanews.com")</f>
        <v>michiganmamanews.com</v>
      </c>
      <c r="E4461" s="26" t="str">
        <f ca="1">IFERROR(__xludf.DUMMYFUNCTION("""COMPUTED_VALUE"""),"Already Exists")</f>
        <v>Already Exists</v>
      </c>
      <c r="F4461" s="72">
        <v>66</v>
      </c>
      <c r="G4461" s="72">
        <v>2775</v>
      </c>
      <c r="P4461" s="26"/>
    </row>
    <row r="4462" spans="1:16" ht="14.5" hidden="1">
      <c r="A4462" s="5"/>
      <c r="B4462" s="12" t="s">
        <v>2870</v>
      </c>
      <c r="C4462" s="46" t="s">
        <v>8096</v>
      </c>
      <c r="D4462" s="41" t="str">
        <f ca="1">IFERROR(__xludf.DUMMYFUNCTION("IFERROR(ARRAYFORMULA(REGEXEXTRACT(C4462,""^(?:https?:\/\/)?(?:[^@\n]+@)?(?:www\.)?([^:\/\n]+)"")),"""")"),"gisuser.com")</f>
        <v>gisuser.com</v>
      </c>
      <c r="E4462" s="26" t="str">
        <f ca="1">IFERROR(__xludf.DUMMYFUNCTION("""COMPUTED_VALUE"""),"Already Exists")</f>
        <v>Already Exists</v>
      </c>
      <c r="F4462" s="72">
        <v>65</v>
      </c>
      <c r="G4462" s="72">
        <v>1853</v>
      </c>
      <c r="P4462" s="26"/>
    </row>
    <row r="4463" spans="1:16" ht="14.5" hidden="1">
      <c r="A4463" s="5"/>
      <c r="B4463" s="12" t="s">
        <v>2870</v>
      </c>
      <c r="C4463" s="46" t="s">
        <v>8097</v>
      </c>
      <c r="D4463" s="41" t="str">
        <f ca="1">IFERROR(__xludf.DUMMYFUNCTION("IFERROR(ARRAYFORMULA(REGEXEXTRACT(C4463,""^(?:https?:\/\/)?(?:[^@\n]+@)?(?:www\.)?([^:\/\n]+)"")),"""")"),"wemadethislife.com")</f>
        <v>wemadethislife.com</v>
      </c>
      <c r="E4463" s="26" t="str">
        <f ca="1">IFERROR(__xludf.DUMMYFUNCTION("""COMPUTED_VALUE"""),"Already Exists")</f>
        <v>Already Exists</v>
      </c>
      <c r="F4463" s="72">
        <v>35</v>
      </c>
      <c r="G4463" s="72">
        <v>2086</v>
      </c>
      <c r="P4463" s="26"/>
    </row>
    <row r="4464" spans="1:16" ht="14.5" hidden="1">
      <c r="A4464" s="5"/>
      <c r="B4464" s="12" t="s">
        <v>2870</v>
      </c>
      <c r="C4464" s="46" t="s">
        <v>8098</v>
      </c>
      <c r="D4464" s="41" t="str">
        <f ca="1">IFERROR(__xludf.DUMMYFUNCTION("IFERROR(ARRAYFORMULA(REGEXEXTRACT(C4464,""^(?:https?:\/\/)?(?:[^@\n]+@)?(?:www\.)?([^:\/\n]+)"")),"""")"),"trans4mind.com")</f>
        <v>trans4mind.com</v>
      </c>
      <c r="E4464" s="26" t="str">
        <f ca="1">IFERROR(__xludf.DUMMYFUNCTION("""COMPUTED_VALUE"""),"Already Exists")</f>
        <v>Already Exists</v>
      </c>
      <c r="F4464" s="72">
        <v>70</v>
      </c>
      <c r="G4464" s="72">
        <v>7321</v>
      </c>
      <c r="P4464" s="26"/>
    </row>
    <row r="4465" spans="1:16" ht="14.5" hidden="1">
      <c r="A4465" s="5"/>
      <c r="B4465" s="12" t="s">
        <v>2870</v>
      </c>
      <c r="C4465" s="46" t="s">
        <v>8099</v>
      </c>
      <c r="D4465" s="41" t="str">
        <f ca="1">IFERROR(__xludf.DUMMYFUNCTION("IFERROR(ARRAYFORMULA(REGEXEXTRACT(C4465,""^(?:https?:\/\/)?(?:[^@\n]+@)?(?:www\.)?([^:\/\n]+)"")),"""")"),"contentbase.com")</f>
        <v>contentbase.com</v>
      </c>
      <c r="E4465" s="26" t="str">
        <f ca="1">IFERROR(__xludf.DUMMYFUNCTION("""COMPUTED_VALUE"""),"Already Exists")</f>
        <v>Already Exists</v>
      </c>
      <c r="F4465" s="72">
        <v>44</v>
      </c>
      <c r="G4465" s="72">
        <v>1019</v>
      </c>
      <c r="P4465" s="26"/>
    </row>
    <row r="4466" spans="1:16" ht="14.5">
      <c r="A4466" s="3" t="s">
        <v>255</v>
      </c>
      <c r="B4466" s="12" t="s">
        <v>2870</v>
      </c>
      <c r="C4466" s="46" t="s">
        <v>8100</v>
      </c>
      <c r="D4466" s="41" t="str">
        <f ca="1">IFERROR(__xludf.DUMMYFUNCTION("IFERROR(ARRAYFORMULA(REGEXEXTRACT(C4466,""^(?:https?:\/\/)?(?:[^@\n]+@)?(?:www\.)?([^:\/\n]+)"")),"""")"),"ultimatestatusbar.com")</f>
        <v>ultimatestatusbar.com</v>
      </c>
      <c r="E4466" s="26" t="str">
        <f ca="1">IFERROR(__xludf.DUMMYFUNCTION("""COMPUTED_VALUE"""),"New")</f>
        <v>New</v>
      </c>
      <c r="F4466" s="72">
        <v>70</v>
      </c>
      <c r="G4466" s="72">
        <v>2149</v>
      </c>
      <c r="P4466" s="26"/>
    </row>
    <row r="4467" spans="1:16" ht="14.5" hidden="1">
      <c r="A4467" s="5"/>
      <c r="B4467" s="12" t="s">
        <v>2870</v>
      </c>
      <c r="C4467" s="46" t="s">
        <v>8101</v>
      </c>
      <c r="D4467" s="41" t="str">
        <f ca="1">IFERROR(__xludf.DUMMYFUNCTION("IFERROR(ARRAYFORMULA(REGEXEXTRACT(C4467,""^(?:https?:\/\/)?(?:[^@\n]+@)?(?:www\.)?([^:\/\n]+)"")),"""")"),"ccr-mag.com")</f>
        <v>ccr-mag.com</v>
      </c>
      <c r="E4467" s="26" t="str">
        <f ca="1">IFERROR(__xludf.DUMMYFUNCTION("""COMPUTED_VALUE"""),"Already Exists")</f>
        <v>Already Exists</v>
      </c>
      <c r="F4467" s="72">
        <v>64</v>
      </c>
      <c r="G4467" s="72">
        <v>8502</v>
      </c>
      <c r="P4467" s="26"/>
    </row>
    <row r="4468" spans="1:16" ht="14.5" hidden="1">
      <c r="A4468" s="5"/>
      <c r="B4468" s="12" t="s">
        <v>2870</v>
      </c>
      <c r="C4468" s="46" t="s">
        <v>8102</v>
      </c>
      <c r="D4468" s="41" t="str">
        <f ca="1">IFERROR(__xludf.DUMMYFUNCTION("IFERROR(ARRAYFORMULA(REGEXEXTRACT(C4468,""^(?:https?:\/\/)?(?:[^@\n]+@)?(?:www\.)?([^:\/\n]+)"")),"""")"),"homeworlddesign.com")</f>
        <v>homeworlddesign.com</v>
      </c>
      <c r="E4468" s="26" t="str">
        <f ca="1">IFERROR(__xludf.DUMMYFUNCTION("""COMPUTED_VALUE"""),"Already Exists")</f>
        <v>Already Exists</v>
      </c>
      <c r="F4468" s="72">
        <v>60</v>
      </c>
      <c r="G4468" s="72">
        <v>1140</v>
      </c>
      <c r="P4468" s="26"/>
    </row>
    <row r="4469" spans="1:16" ht="14.5">
      <c r="A4469" s="3" t="s">
        <v>255</v>
      </c>
      <c r="B4469" s="12" t="s">
        <v>2870</v>
      </c>
      <c r="C4469" s="46" t="s">
        <v>8103</v>
      </c>
      <c r="D4469" s="41" t="str">
        <f ca="1">IFERROR(__xludf.DUMMYFUNCTION("IFERROR(ARRAYFORMULA(REGEXEXTRACT(C4469,""^(?:https?:\/\/)?(?:[^@\n]+@)?(?:www\.)?([^:\/\n]+)"")),"""")"),"planetveggie.co.uk")</f>
        <v>planetveggie.co.uk</v>
      </c>
      <c r="E4469" s="26" t="str">
        <f ca="1">IFERROR(__xludf.DUMMYFUNCTION("""COMPUTED_VALUE"""),"New")</f>
        <v>New</v>
      </c>
      <c r="F4469" s="72">
        <v>25</v>
      </c>
      <c r="G4469" s="72">
        <v>3030</v>
      </c>
      <c r="P4469" s="26"/>
    </row>
    <row r="4470" spans="1:16" ht="14.5">
      <c r="A4470" s="3" t="s">
        <v>255</v>
      </c>
      <c r="B4470" s="12" t="s">
        <v>2870</v>
      </c>
      <c r="C4470" s="46" t="s">
        <v>8104</v>
      </c>
      <c r="D4470" s="41" t="str">
        <f ca="1">IFERROR(__xludf.DUMMYFUNCTION("IFERROR(ARRAYFORMULA(REGEXEXTRACT(C4470,""^(?:https?:\/\/)?(?:[^@\n]+@)?(?:www\.)?([^:\/\n]+)"")),"""")"),"stageandcinema.com")</f>
        <v>stageandcinema.com</v>
      </c>
      <c r="E4470" s="26" t="str">
        <f ca="1">IFERROR(__xludf.DUMMYFUNCTION("""COMPUTED_VALUE"""),"New")</f>
        <v>New</v>
      </c>
      <c r="F4470" s="72">
        <v>66</v>
      </c>
      <c r="G4470" s="72">
        <v>7787</v>
      </c>
      <c r="P4470" s="26"/>
    </row>
    <row r="4471" spans="1:16" ht="14.5">
      <c r="A4471" s="3" t="s">
        <v>255</v>
      </c>
      <c r="B4471" s="12" t="s">
        <v>2870</v>
      </c>
      <c r="C4471" s="46" t="s">
        <v>8105</v>
      </c>
      <c r="D4471" s="41" t="str">
        <f ca="1">IFERROR(__xludf.DUMMYFUNCTION("IFERROR(ARRAYFORMULA(REGEXEXTRACT(C4471,""^(?:https?:\/\/)?(?:[^@\n]+@)?(?:www\.)?([^:\/\n]+)"")),"""")"),"bizzbuzz.news")</f>
        <v>bizzbuzz.news</v>
      </c>
      <c r="E4471" s="26" t="str">
        <f ca="1">IFERROR(__xludf.DUMMYFUNCTION("""COMPUTED_VALUE"""),"New")</f>
        <v>New</v>
      </c>
      <c r="F4471" s="72">
        <v>67</v>
      </c>
      <c r="G4471" s="72">
        <v>1496</v>
      </c>
      <c r="P4471" s="26"/>
    </row>
    <row r="4472" spans="1:16" ht="14.5" hidden="1">
      <c r="A4472" s="5"/>
      <c r="B4472" s="12" t="s">
        <v>2870</v>
      </c>
      <c r="C4472" s="46" t="s">
        <v>8106</v>
      </c>
      <c r="D4472" s="41" t="str">
        <f ca="1">IFERROR(__xludf.DUMMYFUNCTION("IFERROR(ARRAYFORMULA(REGEXEXTRACT(C4472,""^(?:https?:\/\/)?(?:[^@\n]+@)?(?:www\.)?([^:\/\n]+)"")),"""")"),"rentbottomline.com")</f>
        <v>rentbottomline.com</v>
      </c>
      <c r="E4472" s="26" t="str">
        <f ca="1">IFERROR(__xludf.DUMMYFUNCTION("""COMPUTED_VALUE"""),"Already Exists")</f>
        <v>Already Exists</v>
      </c>
      <c r="F4472" s="72">
        <v>32</v>
      </c>
      <c r="G4472" s="72">
        <v>3028</v>
      </c>
      <c r="P4472" s="26"/>
    </row>
    <row r="4473" spans="1:16" ht="14.5">
      <c r="A4473" s="3" t="s">
        <v>255</v>
      </c>
      <c r="B4473" s="12" t="s">
        <v>2870</v>
      </c>
      <c r="C4473" s="46" t="s">
        <v>8107</v>
      </c>
      <c r="D4473" s="41" t="str">
        <f ca="1">IFERROR(__xludf.DUMMYFUNCTION("IFERROR(ARRAYFORMULA(REGEXEXTRACT(C4473,""^(?:https?:\/\/)?(?:[^@\n]+@)?(?:www\.)?([^:\/\n]+)"")),"""")"),"pen2print.org")</f>
        <v>pen2print.org</v>
      </c>
      <c r="E4473" s="26" t="str">
        <f ca="1">IFERROR(__xludf.DUMMYFUNCTION("""COMPUTED_VALUE"""),"New")</f>
        <v>New</v>
      </c>
      <c r="F4473" s="72">
        <v>33</v>
      </c>
      <c r="G4473" s="72">
        <v>2480</v>
      </c>
      <c r="P4473" s="26"/>
    </row>
    <row r="4474" spans="1:16" ht="14.5" hidden="1">
      <c r="A4474" s="5"/>
      <c r="B4474" s="12" t="s">
        <v>2870</v>
      </c>
      <c r="C4474" s="46" t="s">
        <v>8108</v>
      </c>
      <c r="D4474" s="41" t="str">
        <f ca="1">IFERROR(__xludf.DUMMYFUNCTION("IFERROR(ARRAYFORMULA(REGEXEXTRACT(C4474,""^(?:https?:\/\/)?(?:[^@\n]+@)?(?:www\.)?([^:\/\n]+)"")),"""")"),"suntrics.com")</f>
        <v>suntrics.com</v>
      </c>
      <c r="E4474" s="26" t="str">
        <f ca="1">IFERROR(__xludf.DUMMYFUNCTION("""COMPUTED_VALUE"""),"Already Exists")</f>
        <v>Already Exists</v>
      </c>
      <c r="F4474" s="72">
        <v>32</v>
      </c>
      <c r="G4474" s="72">
        <v>2125</v>
      </c>
      <c r="P4474" s="26"/>
    </row>
    <row r="4475" spans="1:16" ht="14.5">
      <c r="A4475" s="3" t="s">
        <v>255</v>
      </c>
      <c r="B4475" s="12" t="s">
        <v>2870</v>
      </c>
      <c r="C4475" s="46" t="s">
        <v>8109</v>
      </c>
      <c r="D4475" s="41" t="str">
        <f ca="1">IFERROR(__xludf.DUMMYFUNCTION("IFERROR(ARRAYFORMULA(REGEXEXTRACT(C4475,""^(?:https?:\/\/)?(?:[^@\n]+@)?(?:www\.)?([^:\/\n]+)"")),"""")"),"hnmag.ca")</f>
        <v>hnmag.ca</v>
      </c>
      <c r="E4475" s="26" t="str">
        <f ca="1">IFERROR(__xludf.DUMMYFUNCTION("""COMPUTED_VALUE"""),"New")</f>
        <v>New</v>
      </c>
      <c r="F4475" s="72">
        <v>46</v>
      </c>
      <c r="G4475" s="72">
        <v>1020</v>
      </c>
      <c r="P4475" s="26"/>
    </row>
    <row r="4476" spans="1:16" ht="14.5" hidden="1">
      <c r="A4476" s="5"/>
      <c r="B4476" s="12" t="s">
        <v>2870</v>
      </c>
      <c r="C4476" s="46" t="s">
        <v>8110</v>
      </c>
      <c r="D4476" s="41" t="str">
        <f ca="1">IFERROR(__xludf.DUMMYFUNCTION("IFERROR(ARRAYFORMULA(REGEXEXTRACT(C4476,""^(?:https?:\/\/)?(?:[^@\n]+@)?(?:www\.)?([^:\/\n]+)"")),"""")"),"talentedladiesclub.com")</f>
        <v>talentedladiesclub.com</v>
      </c>
      <c r="E4476" s="26" t="str">
        <f ca="1">IFERROR(__xludf.DUMMYFUNCTION("""COMPUTED_VALUE"""),"Already Exists")</f>
        <v>Already Exists</v>
      </c>
      <c r="F4476" s="72">
        <v>61</v>
      </c>
      <c r="G4476" s="72">
        <v>1605</v>
      </c>
      <c r="P4476" s="26"/>
    </row>
    <row r="4477" spans="1:16" ht="14.5" hidden="1">
      <c r="A4477" s="5"/>
      <c r="B4477" s="12" t="s">
        <v>2870</v>
      </c>
      <c r="C4477" s="46" t="s">
        <v>8111</v>
      </c>
      <c r="D4477" s="41" t="str">
        <f ca="1">IFERROR(__xludf.DUMMYFUNCTION("IFERROR(ARRAYFORMULA(REGEXEXTRACT(C4477,""^(?:https?:\/\/)?(?:[^@\n]+@)?(?:www\.)?([^:\/\n]+)"")),"""")"),"optimisticmommy.com")</f>
        <v>optimisticmommy.com</v>
      </c>
      <c r="E4477" s="26" t="str">
        <f ca="1">IFERROR(__xludf.DUMMYFUNCTION("""COMPUTED_VALUE"""),"Already Exists")</f>
        <v>Already Exists</v>
      </c>
      <c r="F4477" s="72">
        <v>55</v>
      </c>
      <c r="G4477" s="72">
        <v>20861</v>
      </c>
      <c r="P4477" s="26"/>
    </row>
    <row r="4478" spans="1:16" ht="14.5" hidden="1">
      <c r="A4478" s="5"/>
      <c r="B4478" s="12" t="s">
        <v>2870</v>
      </c>
      <c r="C4478" s="46" t="s">
        <v>8112</v>
      </c>
      <c r="D4478" s="41" t="str">
        <f ca="1">IFERROR(__xludf.DUMMYFUNCTION("IFERROR(ARRAYFORMULA(REGEXEXTRACT(C4478,""^(?:https?:\/\/)?(?:[^@\n]+@)?(?:www\.)?([^:\/\n]+)"")),"""")"),"theinspirationedit.com")</f>
        <v>theinspirationedit.com</v>
      </c>
      <c r="E4478" s="26" t="str">
        <f ca="1">IFERROR(__xludf.DUMMYFUNCTION("""COMPUTED_VALUE"""),"Already Exists")</f>
        <v>Already Exists</v>
      </c>
      <c r="F4478" s="72">
        <v>56</v>
      </c>
      <c r="G4478" s="72">
        <v>11781</v>
      </c>
      <c r="P4478" s="26"/>
    </row>
    <row r="4479" spans="1:16" ht="14.5">
      <c r="A4479" s="3" t="s">
        <v>255</v>
      </c>
      <c r="B4479" s="12" t="s">
        <v>2870</v>
      </c>
      <c r="C4479" s="46" t="s">
        <v>8113</v>
      </c>
      <c r="D4479" s="41" t="str">
        <f ca="1">IFERROR(__xludf.DUMMYFUNCTION("IFERROR(ARRAYFORMULA(REGEXEXTRACT(C4479,""^(?:https?:\/\/)?(?:[^@\n]+@)?(?:www\.)?([^:\/\n]+)"")),"""")"),"techporn.ph")</f>
        <v>techporn.ph</v>
      </c>
      <c r="E4479" s="26" t="str">
        <f ca="1">IFERROR(__xludf.DUMMYFUNCTION("""COMPUTED_VALUE"""),"New")</f>
        <v>New</v>
      </c>
      <c r="F4479" s="72">
        <v>36</v>
      </c>
      <c r="G4479" s="72">
        <v>1780</v>
      </c>
      <c r="P4479" s="26"/>
    </row>
    <row r="4480" spans="1:16" ht="14.5" hidden="1">
      <c r="A4480" s="5"/>
      <c r="B4480" s="12" t="s">
        <v>2870</v>
      </c>
      <c r="C4480" s="46" t="s">
        <v>8114</v>
      </c>
      <c r="D4480" s="41" t="str">
        <f ca="1">IFERROR(__xludf.DUMMYFUNCTION("IFERROR(ARRAYFORMULA(REGEXEXTRACT(C4480,""^(?:https?:\/\/)?(?:[^@\n]+@)?(?:www\.)?([^:\/\n]+)"")),"""")"),"urbansplatter.com")</f>
        <v>urbansplatter.com</v>
      </c>
      <c r="E4480" s="26" t="str">
        <f ca="1">IFERROR(__xludf.DUMMYFUNCTION("""COMPUTED_VALUE"""),"Already Exists")</f>
        <v>Already Exists</v>
      </c>
      <c r="F4480" s="72">
        <v>64</v>
      </c>
      <c r="G4480" s="72">
        <v>18619</v>
      </c>
      <c r="P4480" s="26"/>
    </row>
    <row r="4481" spans="1:16" ht="14.5" hidden="1">
      <c r="A4481" s="5"/>
      <c r="B4481" s="12" t="s">
        <v>2870</v>
      </c>
      <c r="C4481" s="46" t="s">
        <v>8115</v>
      </c>
      <c r="D4481" s="41" t="str">
        <f ca="1">IFERROR(__xludf.DUMMYFUNCTION("IFERROR(ARRAYFORMULA(REGEXEXTRACT(C4481,""^(?:https?:\/\/)?(?:[^@\n]+@)?(?:www\.)?([^:\/\n]+)"")),"""")"),"amazingarchitecture.com")</f>
        <v>amazingarchitecture.com</v>
      </c>
      <c r="E4481" s="26" t="str">
        <f ca="1">IFERROR(__xludf.DUMMYFUNCTION("""COMPUTED_VALUE"""),"Already Exists")</f>
        <v>Already Exists</v>
      </c>
      <c r="F4481" s="72">
        <v>71</v>
      </c>
      <c r="G4481" s="72">
        <v>4997</v>
      </c>
      <c r="P4481" s="26"/>
    </row>
    <row r="4482" spans="1:16" ht="14.5">
      <c r="A4482" s="3" t="s">
        <v>255</v>
      </c>
      <c r="B4482" s="12" t="s">
        <v>2870</v>
      </c>
      <c r="C4482" s="46" t="s">
        <v>8116</v>
      </c>
      <c r="D4482" s="41" t="str">
        <f ca="1">IFERROR(__xludf.DUMMYFUNCTION("IFERROR(ARRAYFORMULA(REGEXEXTRACT(C4482,""^(?:https?:\/\/)?(?:[^@\n]+@)?(?:www\.)?([^:\/\n]+)"")),"""")"),"thedevondaily.co.uk")</f>
        <v>thedevondaily.co.uk</v>
      </c>
      <c r="E4482" s="26" t="str">
        <f ca="1">IFERROR(__xludf.DUMMYFUNCTION("""COMPUTED_VALUE"""),"New")</f>
        <v>New</v>
      </c>
      <c r="F4482" s="72">
        <v>44</v>
      </c>
      <c r="G4482" s="72">
        <v>1666</v>
      </c>
      <c r="P4482" s="26"/>
    </row>
    <row r="4483" spans="1:16" ht="14.5" hidden="1">
      <c r="A4483" s="5"/>
      <c r="B4483" s="12" t="s">
        <v>2870</v>
      </c>
      <c r="C4483" s="46" t="s">
        <v>8117</v>
      </c>
      <c r="D4483" s="41" t="str">
        <f ca="1">IFERROR(__xludf.DUMMYFUNCTION("IFERROR(ARRAYFORMULA(REGEXEXTRACT(C4483,""^(?:https?:\/\/)?(?:[^@\n]+@)?(?:www\.)?([^:\/\n]+)"")),"""")"),"sweetsofties.com")</f>
        <v>sweetsofties.com</v>
      </c>
      <c r="E4483" s="26" t="str">
        <f ca="1">IFERROR(__xludf.DUMMYFUNCTION("""COMPUTED_VALUE"""),"Already Exists")</f>
        <v>Already Exists</v>
      </c>
      <c r="F4483" s="72">
        <v>51</v>
      </c>
      <c r="G4483" s="72">
        <v>12865</v>
      </c>
      <c r="P4483" s="26"/>
    </row>
    <row r="4484" spans="1:16" ht="14.5" hidden="1">
      <c r="A4484" s="5"/>
      <c r="B4484" s="12" t="s">
        <v>2870</v>
      </c>
      <c r="C4484" s="46" t="s">
        <v>8118</v>
      </c>
      <c r="D4484" s="41" t="str">
        <f ca="1">IFERROR(__xludf.DUMMYFUNCTION("IFERROR(ARRAYFORMULA(REGEXEXTRACT(C4484,""^(?:https?:\/\/)?(?:[^@\n]+@)?(?:www\.)?([^:\/\n]+)"")),"""")"),"constrofacilitator.com")</f>
        <v>constrofacilitator.com</v>
      </c>
      <c r="E4484" s="26" t="str">
        <f ca="1">IFERROR(__xludf.DUMMYFUNCTION("""COMPUTED_VALUE"""),"Already Exists")</f>
        <v>Already Exists</v>
      </c>
      <c r="F4484" s="72">
        <v>54</v>
      </c>
      <c r="G4484" s="72">
        <v>1466</v>
      </c>
      <c r="P4484" s="26"/>
    </row>
    <row r="4485" spans="1:16" ht="14.5">
      <c r="A4485" s="3" t="s">
        <v>255</v>
      </c>
      <c r="B4485" s="12" t="s">
        <v>2870</v>
      </c>
      <c r="C4485" s="46" t="s">
        <v>8119</v>
      </c>
      <c r="D4485" s="41" t="str">
        <f ca="1">IFERROR(__xludf.DUMMYFUNCTION("IFERROR(ARRAYFORMULA(REGEXEXTRACT(C4485,""^(?:https?:\/\/)?(?:[^@\n]+@)?(?:www\.)?([^:\/\n]+)"")),"""")"),"womansera.com")</f>
        <v>womansera.com</v>
      </c>
      <c r="E4485" s="26" t="str">
        <f ca="1">IFERROR(__xludf.DUMMYFUNCTION("""COMPUTED_VALUE"""),"New")</f>
        <v>New</v>
      </c>
      <c r="F4485" s="72">
        <v>38</v>
      </c>
      <c r="G4485" s="72">
        <v>1704</v>
      </c>
      <c r="P4485" s="26"/>
    </row>
    <row r="4486" spans="1:16" ht="14.5" hidden="1">
      <c r="A4486" s="5"/>
      <c r="B4486" s="12" t="s">
        <v>2870</v>
      </c>
      <c r="C4486" s="46" t="s">
        <v>8120</v>
      </c>
      <c r="D4486" s="41" t="str">
        <f ca="1">IFERROR(__xludf.DUMMYFUNCTION("IFERROR(ARRAYFORMULA(REGEXEXTRACT(C4486,""^(?:https?:\/\/)?(?:[^@\n]+@)?(?:www\.)?([^:\/\n]+)"")),"""")"),"europeanbusinessreview.com")</f>
        <v>europeanbusinessreview.com</v>
      </c>
      <c r="E4486" s="26" t="str">
        <f ca="1">IFERROR(__xludf.DUMMYFUNCTION("""COMPUTED_VALUE"""),"Already Exists")</f>
        <v>Already Exists</v>
      </c>
      <c r="F4486" s="72">
        <v>75</v>
      </c>
      <c r="G4486" s="72">
        <v>4793</v>
      </c>
      <c r="P4486" s="26"/>
    </row>
    <row r="4487" spans="1:16" ht="14.5">
      <c r="A4487" s="3" t="s">
        <v>255</v>
      </c>
      <c r="B4487" s="12" t="s">
        <v>2870</v>
      </c>
      <c r="C4487" s="46" t="s">
        <v>8121</v>
      </c>
      <c r="D4487" s="41" t="str">
        <f ca="1">IFERROR(__xludf.DUMMYFUNCTION("IFERROR(ARRAYFORMULA(REGEXEXTRACT(C4487,""^(?:https?:\/\/)?(?:[^@\n]+@)?(?:www\.)?([^:\/\n]+)"")),"""")"),"scope.bccampus.ca")</f>
        <v>scope.bccampus.ca</v>
      </c>
      <c r="E4487" s="26" t="str">
        <f ca="1">IFERROR(__xludf.DUMMYFUNCTION("""COMPUTED_VALUE"""),"New")</f>
        <v>New</v>
      </c>
      <c r="F4487" s="72">
        <v>73</v>
      </c>
      <c r="G4487" s="72">
        <v>99833</v>
      </c>
      <c r="P4487" s="26"/>
    </row>
    <row r="4488" spans="1:16" ht="14.5" hidden="1">
      <c r="A4488" s="5"/>
      <c r="B4488" s="12" t="s">
        <v>2870</v>
      </c>
      <c r="C4488" s="46" t="s">
        <v>8122</v>
      </c>
      <c r="D4488" s="41" t="str">
        <f ca="1">IFERROR(__xludf.DUMMYFUNCTION("IFERROR(ARRAYFORMULA(REGEXEXTRACT(C4488,""^(?:https?:\/\/)?(?:[^@\n]+@)?(?:www\.)?([^:\/\n]+)"")),"""")"),"flexhouse.org")</f>
        <v>flexhouse.org</v>
      </c>
      <c r="E4488" s="26" t="str">
        <f ca="1">IFERROR(__xludf.DUMMYFUNCTION("""COMPUTED_VALUE"""),"Already Exists")</f>
        <v>Already Exists</v>
      </c>
      <c r="F4488" s="72">
        <v>39</v>
      </c>
      <c r="G4488" s="72">
        <v>38082</v>
      </c>
      <c r="P4488" s="26"/>
    </row>
    <row r="4489" spans="1:16" ht="14.5" hidden="1">
      <c r="A4489" s="5"/>
      <c r="B4489" s="12" t="s">
        <v>2870</v>
      </c>
      <c r="C4489" s="46" t="s">
        <v>8123</v>
      </c>
      <c r="D4489" s="41" t="str">
        <f ca="1">IFERROR(__xludf.DUMMYFUNCTION("IFERROR(ARRAYFORMULA(REGEXEXTRACT(C4489,""^(?:https?:\/\/)?(?:[^@\n]+@)?(?:www\.)?([^:\/\n]+)"")),"""")"),"mommacuisine.com")</f>
        <v>mommacuisine.com</v>
      </c>
      <c r="E4489" s="26" t="str">
        <f ca="1">IFERROR(__xludf.DUMMYFUNCTION("""COMPUTED_VALUE"""),"Already Exists")</f>
        <v>Already Exists</v>
      </c>
      <c r="F4489" s="72">
        <v>28</v>
      </c>
      <c r="G4489" s="72">
        <v>2016</v>
      </c>
      <c r="P4489" s="26"/>
    </row>
    <row r="4490" spans="1:16" ht="14.5">
      <c r="A4490" s="3" t="s">
        <v>255</v>
      </c>
      <c r="B4490" s="12" t="s">
        <v>2870</v>
      </c>
      <c r="C4490" s="46" t="s">
        <v>8124</v>
      </c>
      <c r="D4490" s="41" t="str">
        <f ca="1">IFERROR(__xludf.DUMMYFUNCTION("IFERROR(ARRAYFORMULA(REGEXEXTRACT(C4490,""^(?:https?:\/\/)?(?:[^@\n]+@)?(?:www\.)?([^:\/\n]+)"")),"""")"),"theglobalwomanleader.com")</f>
        <v>theglobalwomanleader.com</v>
      </c>
      <c r="E4490" s="26" t="str">
        <f ca="1">IFERROR(__xludf.DUMMYFUNCTION("""COMPUTED_VALUE"""),"New")</f>
        <v>New</v>
      </c>
      <c r="F4490" s="72">
        <v>39</v>
      </c>
      <c r="G4490" s="72">
        <v>150215</v>
      </c>
      <c r="P4490" s="26"/>
    </row>
    <row r="4491" spans="1:16" ht="14.5" hidden="1">
      <c r="A4491" s="5"/>
      <c r="B4491" s="12" t="s">
        <v>2870</v>
      </c>
      <c r="C4491" s="46" t="s">
        <v>8125</v>
      </c>
      <c r="D4491" s="41" t="str">
        <f ca="1">IFERROR(__xludf.DUMMYFUNCTION("IFERROR(ARRAYFORMULA(REGEXEXTRACT(C4491,""^(?:https?:\/\/)?(?:[^@\n]+@)?(?:www\.)?([^:\/\n]+)"")),"""")"),"gemmalouise.co.uk")</f>
        <v>gemmalouise.co.uk</v>
      </c>
      <c r="E4491" s="26" t="str">
        <f ca="1">IFERROR(__xludf.DUMMYFUNCTION("""COMPUTED_VALUE"""),"Already Exists")</f>
        <v>Already Exists</v>
      </c>
      <c r="F4491" s="72">
        <v>45</v>
      </c>
      <c r="G4491" s="72">
        <v>1240</v>
      </c>
      <c r="P4491" s="26"/>
    </row>
    <row r="4492" spans="1:16" ht="14.5" hidden="1">
      <c r="A4492" s="3" t="s">
        <v>255</v>
      </c>
      <c r="B4492" s="12" t="s">
        <v>2870</v>
      </c>
      <c r="C4492" s="47" t="s">
        <v>8126</v>
      </c>
      <c r="D4492" s="41" t="str">
        <f ca="1">IFERROR(__xludf.DUMMYFUNCTION("IFERROR(ARRAYFORMULA(REGEXEXTRACT(C4492,""^(?:https?:\/\/)?(?:[^@\n]+@)?(?:www\.)?([^:\/\n]+)"")),"""")"),"citychicliving.com")</f>
        <v>citychicliving.com</v>
      </c>
      <c r="E4492" s="26" t="str">
        <f ca="1">IFERROR(__xludf.DUMMYFUNCTION("""COMPUTED_VALUE"""),"Already Exists")</f>
        <v>Already Exists</v>
      </c>
      <c r="F4492" s="72">
        <v>27</v>
      </c>
      <c r="G4492" s="72">
        <v>1974</v>
      </c>
      <c r="I4492" s="27" t="s">
        <v>8127</v>
      </c>
      <c r="K4492" s="27" t="s">
        <v>3756</v>
      </c>
      <c r="L4492" s="112"/>
      <c r="M4492" s="27" t="s">
        <v>7390</v>
      </c>
      <c r="N4492" s="48">
        <v>46084</v>
      </c>
      <c r="P4492" s="27" t="s">
        <v>3201</v>
      </c>
    </row>
    <row r="4493" spans="1:16" ht="14.5">
      <c r="A4493" s="86" t="s">
        <v>256</v>
      </c>
      <c r="B4493" s="17" t="s">
        <v>2871</v>
      </c>
      <c r="C4493" s="46" t="s">
        <v>8128</v>
      </c>
      <c r="D4493" s="41" t="str">
        <f ca="1">IFERROR(__xludf.DUMMYFUNCTION("IFERROR(ARRAYFORMULA(REGEXEXTRACT(C4493,""^(?:https?:\/\/)?(?:[^@\n]+@)?(?:www\.)?([^:\/\n]+)"")),"""")"),"realtylink.org")</f>
        <v>realtylink.org</v>
      </c>
      <c r="E4493" s="26" t="str">
        <f ca="1">IFERROR(__xludf.DUMMYFUNCTION("""COMPUTED_VALUE"""),"New")</f>
        <v>New</v>
      </c>
      <c r="F4493" s="72">
        <v>53</v>
      </c>
      <c r="G4493" s="72">
        <v>15449</v>
      </c>
      <c r="P4493" s="26"/>
    </row>
    <row r="4494" spans="1:16" ht="14.5">
      <c r="A4494" s="3" t="s">
        <v>256</v>
      </c>
      <c r="B4494" s="12" t="s">
        <v>2871</v>
      </c>
      <c r="C4494" s="46" t="s">
        <v>8129</v>
      </c>
      <c r="D4494" s="41" t="str">
        <f ca="1">IFERROR(__xludf.DUMMYFUNCTION("IFERROR(ARRAYFORMULA(REGEXEXTRACT(C4494,""^(?:https?:\/\/)?(?:[^@\n]+@)?(?:www\.)?([^:\/\n]+)"")),"""")"),"rew.ca")</f>
        <v>rew.ca</v>
      </c>
      <c r="E4494" s="26" t="str">
        <f ca="1">IFERROR(__xludf.DUMMYFUNCTION("""COMPUTED_VALUE"""),"New")</f>
        <v>New</v>
      </c>
      <c r="F4494" s="72">
        <v>69</v>
      </c>
      <c r="G4494" s="72">
        <v>803888</v>
      </c>
      <c r="P4494" s="26"/>
    </row>
    <row r="4495" spans="1:16" ht="14.5">
      <c r="A4495" s="3" t="s">
        <v>256</v>
      </c>
      <c r="B4495" s="12" t="s">
        <v>2871</v>
      </c>
      <c r="C4495" s="46" t="s">
        <v>8130</v>
      </c>
      <c r="D4495" s="41" t="str">
        <f ca="1">IFERROR(__xludf.DUMMYFUNCTION("IFERROR(ARRAYFORMULA(REGEXEXTRACT(C4495,""^(?:https?:\/\/)?(?:[^@\n]+@)?(?:www\.)?([^:\/\n]+)"")),"""")"),"threebestrated.ca")</f>
        <v>threebestrated.ca</v>
      </c>
      <c r="E4495" s="26" t="str">
        <f ca="1">IFERROR(__xludf.DUMMYFUNCTION("""COMPUTED_VALUE"""),"New")</f>
        <v>New</v>
      </c>
      <c r="F4495" s="72">
        <v>78</v>
      </c>
      <c r="G4495" s="72">
        <v>4801</v>
      </c>
      <c r="P4495" s="26"/>
    </row>
    <row r="4496" spans="1:16" ht="14.5">
      <c r="A4496" s="3" t="s">
        <v>256</v>
      </c>
      <c r="B4496" s="12" t="s">
        <v>2871</v>
      </c>
      <c r="C4496" s="46" t="s">
        <v>8131</v>
      </c>
      <c r="D4496" s="41" t="str">
        <f ca="1">IFERROR(__xludf.DUMMYFUNCTION("IFERROR(ARRAYFORMULA(REGEXEXTRACT(C4496,""^(?:https?:\/\/)?(?:[^@\n]+@)?(?:www\.)?([^:\/\n]+)"")),"""")"),"hellotars.com")</f>
        <v>hellotars.com</v>
      </c>
      <c r="E4496" s="26" t="str">
        <f ca="1">IFERROR(__xludf.DUMMYFUNCTION("""COMPUTED_VALUE"""),"New")</f>
        <v>New</v>
      </c>
      <c r="F4496" s="72">
        <v>72</v>
      </c>
      <c r="G4496" s="72">
        <v>34803</v>
      </c>
      <c r="P4496" s="26"/>
    </row>
    <row r="4497" spans="1:16" ht="14.5">
      <c r="A4497" s="3" t="s">
        <v>256</v>
      </c>
      <c r="B4497" s="12" t="s">
        <v>2871</v>
      </c>
      <c r="C4497" s="46" t="s">
        <v>8132</v>
      </c>
      <c r="D4497" s="41" t="str">
        <f ca="1">IFERROR(__xludf.DUMMYFUNCTION("IFERROR(ARRAYFORMULA(REGEXEXTRACT(C4497,""^(?:https?:\/\/)?(?:[^@\n]+@)?(?:www\.)?([^:\/\n]+)"")),"""")"),"savemax.in")</f>
        <v>savemax.in</v>
      </c>
      <c r="E4497" s="26" t="str">
        <f ca="1">IFERROR(__xludf.DUMMYFUNCTION("""COMPUTED_VALUE"""),"New")</f>
        <v>New</v>
      </c>
      <c r="F4497" s="72">
        <v>25</v>
      </c>
      <c r="G4497" s="72">
        <v>2195</v>
      </c>
      <c r="P4497" s="26"/>
    </row>
    <row r="4498" spans="1:16" ht="14.5" hidden="1">
      <c r="A4498" s="3" t="s">
        <v>256</v>
      </c>
      <c r="B4498" s="12" t="s">
        <v>2871</v>
      </c>
      <c r="C4498" s="46" t="s">
        <v>8133</v>
      </c>
      <c r="D4498" s="41" t="str">
        <f ca="1">IFERROR(__xludf.DUMMYFUNCTION("IFERROR(ARRAYFORMULA(REGEXEXTRACT(C4498,""^(?:https?:\/\/)?(?:[^@\n]+@)?(?:www\.)?([^:\/\n]+)"")),"""")"),"storeys.com")</f>
        <v>storeys.com</v>
      </c>
      <c r="E4498" s="26" t="str">
        <f ca="1">IFERROR(__xludf.DUMMYFUNCTION("""COMPUTED_VALUE"""),"Already Exists")</f>
        <v>Already Exists</v>
      </c>
      <c r="F4498" s="72">
        <v>72</v>
      </c>
      <c r="G4498" s="72">
        <v>19418</v>
      </c>
      <c r="P4498" s="26"/>
    </row>
    <row r="4499" spans="1:16" ht="14.5" hidden="1">
      <c r="A4499" s="3" t="s">
        <v>256</v>
      </c>
      <c r="B4499" s="12" t="s">
        <v>2871</v>
      </c>
      <c r="C4499" s="46" t="s">
        <v>8134</v>
      </c>
      <c r="D4499" s="41" t="str">
        <f ca="1">IFERROR(__xludf.DUMMYFUNCTION("IFERROR(ARRAYFORMULA(REGEXEXTRACT(C4499,""^(?:https?:\/\/)?(?:[^@\n]+@)?(?:www\.)?([^:\/\n]+)"")),"""")"),"vitamagazine.com")</f>
        <v>vitamagazine.com</v>
      </c>
      <c r="E4499" s="26" t="str">
        <f ca="1">IFERROR(__xludf.DUMMYFUNCTION("""COMPUTED_VALUE"""),"Already Exists")</f>
        <v>Already Exists</v>
      </c>
      <c r="F4499" s="72">
        <v>64</v>
      </c>
      <c r="G4499" s="72">
        <v>2686</v>
      </c>
      <c r="P4499" s="26"/>
    </row>
    <row r="4500" spans="1:16" ht="14.5">
      <c r="A4500" s="3" t="s">
        <v>256</v>
      </c>
      <c r="B4500" s="12" t="s">
        <v>2871</v>
      </c>
      <c r="C4500" s="46" t="s">
        <v>8135</v>
      </c>
      <c r="D4500" s="41" t="str">
        <f ca="1">IFERROR(__xludf.DUMMYFUNCTION("IFERROR(ARRAYFORMULA(REGEXEXTRACT(C4500,""^(?:https?:\/\/)?(?:[^@\n]+@)?(?:www\.)?([^:\/\n]+)"")),"""")"),"crypticstreet.com")</f>
        <v>crypticstreet.com</v>
      </c>
      <c r="E4500" s="26" t="str">
        <f ca="1">IFERROR(__xludf.DUMMYFUNCTION("""COMPUTED_VALUE"""),"New")</f>
        <v>New</v>
      </c>
      <c r="F4500" s="72">
        <v>61</v>
      </c>
      <c r="G4500" s="72">
        <v>10169</v>
      </c>
      <c r="P4500" s="26"/>
    </row>
    <row r="4501" spans="1:16" ht="14.5">
      <c r="A4501" s="3" t="s">
        <v>256</v>
      </c>
      <c r="B4501" s="12" t="s">
        <v>2871</v>
      </c>
      <c r="C4501" s="46" t="s">
        <v>8136</v>
      </c>
      <c r="D4501" s="41" t="str">
        <f ca="1">IFERROR(__xludf.DUMMYFUNCTION("IFERROR(ARRAYFORMULA(REGEXEXTRACT(C4501,""^(?:https?:\/\/)?(?:[^@\n]+@)?(?:www\.)?([^:\/\n]+)"")),"""")"),"bresdel.com")</f>
        <v>bresdel.com</v>
      </c>
      <c r="E4501" s="26" t="str">
        <f ca="1">IFERROR(__xludf.DUMMYFUNCTION("""COMPUTED_VALUE"""),"New")</f>
        <v>New</v>
      </c>
      <c r="F4501" s="72">
        <v>65</v>
      </c>
      <c r="G4501" s="72">
        <v>1215</v>
      </c>
      <c r="P4501" s="26"/>
    </row>
    <row r="4502" spans="1:16" ht="14.5">
      <c r="A4502" s="3" t="s">
        <v>256</v>
      </c>
      <c r="B4502" s="17" t="s">
        <v>2873</v>
      </c>
      <c r="C4502" s="46" t="s">
        <v>374</v>
      </c>
      <c r="D4502" s="41" t="str">
        <f ca="1">IFERROR(__xludf.DUMMYFUNCTION("IFERROR(ARRAYFORMULA(REGEXEXTRACT(C4502,""^(?:https?:\/\/)?(?:[^@\n]+@)?(?:www\.)?([^:\/\n]+)"")),"""")"),"reedyandcompany.com")</f>
        <v>reedyandcompany.com</v>
      </c>
      <c r="E4502" s="26" t="str">
        <f ca="1">IFERROR(__xludf.DUMMYFUNCTION("""COMPUTED_VALUE"""),"New")</f>
        <v>New</v>
      </c>
      <c r="F4502" s="72">
        <v>39</v>
      </c>
      <c r="G4502" s="72">
        <v>8300</v>
      </c>
      <c r="P4502" s="26"/>
    </row>
    <row r="4503" spans="1:16" ht="14.5">
      <c r="A4503" s="3" t="s">
        <v>256</v>
      </c>
      <c r="B4503" s="12" t="s">
        <v>2873</v>
      </c>
      <c r="C4503" s="46" t="s">
        <v>8137</v>
      </c>
      <c r="D4503" s="41" t="str">
        <f ca="1">IFERROR(__xludf.DUMMYFUNCTION("IFERROR(ARRAYFORMULA(REGEXEXTRACT(C4503,""^(?:https?:\/\/)?(?:[^@\n]+@)?(?:www\.)?([^:\/\n]+)"")),"""")"),"markspain.com")</f>
        <v>markspain.com</v>
      </c>
      <c r="E4503" s="26" t="str">
        <f ca="1">IFERROR(__xludf.DUMMYFUNCTION("""COMPUTED_VALUE"""),"New")</f>
        <v>New</v>
      </c>
      <c r="F4503" s="72">
        <v>54</v>
      </c>
      <c r="G4503" s="72">
        <v>29839</v>
      </c>
      <c r="H4503" s="27" t="s">
        <v>4646</v>
      </c>
      <c r="I4503" s="27" t="s">
        <v>8138</v>
      </c>
      <c r="J4503" s="27" t="s">
        <v>8139</v>
      </c>
      <c r="K4503" s="27" t="s">
        <v>3853</v>
      </c>
      <c r="L4503" s="112"/>
      <c r="M4503" s="27" t="s">
        <v>7390</v>
      </c>
      <c r="N4503" s="48">
        <v>46084</v>
      </c>
      <c r="P4503" s="26"/>
    </row>
    <row r="4504" spans="1:16" ht="14.5">
      <c r="A4504" s="3" t="s">
        <v>256</v>
      </c>
      <c r="B4504" s="12" t="s">
        <v>2873</v>
      </c>
      <c r="C4504" s="46" t="s">
        <v>8140</v>
      </c>
      <c r="D4504" s="41" t="str">
        <f ca="1">IFERROR(__xludf.DUMMYFUNCTION("IFERROR(ARRAYFORMULA(REGEXEXTRACT(C4504,""^(?:https?:\/\/)?(?:[^@\n]+@)?(?:www\.)?([^:\/\n]+)"")),"""")"),"councils.forbes.com")</f>
        <v>councils.forbes.com</v>
      </c>
      <c r="E4504" s="26" t="str">
        <f ca="1">IFERROR(__xludf.DUMMYFUNCTION("""COMPUTED_VALUE"""),"New")</f>
        <v>New</v>
      </c>
      <c r="F4504" s="72">
        <v>94</v>
      </c>
      <c r="G4504" s="72">
        <v>19845532</v>
      </c>
      <c r="P4504" s="26"/>
    </row>
    <row r="4505" spans="1:16" ht="14.5">
      <c r="A4505" s="3" t="s">
        <v>256</v>
      </c>
      <c r="B4505" s="12" t="s">
        <v>2873</v>
      </c>
      <c r="C4505" s="46" t="s">
        <v>8141</v>
      </c>
      <c r="D4505" s="41" t="str">
        <f ca="1">IFERROR(__xludf.DUMMYFUNCTION("IFERROR(ARRAYFORMULA(REGEXEXTRACT(C4505,""^(?:https?:\/\/)?(?:[^@\n]+@)?(?:www\.)?([^:\/\n]+)"")),"""")"),"propertyradar.com")</f>
        <v>propertyradar.com</v>
      </c>
      <c r="E4505" s="26" t="str">
        <f ca="1">IFERROR(__xludf.DUMMYFUNCTION("""COMPUTED_VALUE"""),"New")</f>
        <v>New</v>
      </c>
      <c r="F4505" s="72">
        <v>55</v>
      </c>
      <c r="G4505" s="72">
        <v>12364</v>
      </c>
      <c r="P4505" s="26"/>
    </row>
    <row r="4506" spans="1:16" ht="14.5">
      <c r="A4506" s="3" t="s">
        <v>256</v>
      </c>
      <c r="B4506" s="12" t="s">
        <v>2873</v>
      </c>
      <c r="C4506" s="46" t="s">
        <v>8142</v>
      </c>
      <c r="D4506" s="41" t="str">
        <f ca="1">IFERROR(__xludf.DUMMYFUNCTION("IFERROR(ARRAYFORMULA(REGEXEXTRACT(C4506,""^(?:https?:\/\/)?(?:[^@\n]+@)?(?:www\.)?([^:\/\n]+)"")),"""")"),"housebuyersofamerica.com")</f>
        <v>housebuyersofamerica.com</v>
      </c>
      <c r="E4506" s="26" t="str">
        <f ca="1">IFERROR(__xludf.DUMMYFUNCTION("""COMPUTED_VALUE"""),"New")</f>
        <v>New</v>
      </c>
      <c r="F4506" s="72">
        <v>45</v>
      </c>
      <c r="G4506" s="72">
        <v>1697</v>
      </c>
      <c r="P4506" s="26"/>
    </row>
    <row r="4507" spans="1:16" ht="14.5">
      <c r="A4507" s="3" t="s">
        <v>256</v>
      </c>
      <c r="B4507" s="12" t="s">
        <v>2873</v>
      </c>
      <c r="C4507" s="46" t="s">
        <v>8143</v>
      </c>
      <c r="D4507" s="41" t="str">
        <f ca="1">IFERROR(__xludf.DUMMYFUNCTION("IFERROR(ARRAYFORMULA(REGEXEXTRACT(C4507,""^(?:https?:\/\/)?(?:[^@\n]+@)?(?:www\.)?([^:\/\n]+)"")),"""")"),"newagainhouses.com")</f>
        <v>newagainhouses.com</v>
      </c>
      <c r="E4507" s="26" t="str">
        <f ca="1">IFERROR(__xludf.DUMMYFUNCTION("""COMPUTED_VALUE"""),"New")</f>
        <v>New</v>
      </c>
      <c r="F4507" s="72">
        <v>29</v>
      </c>
      <c r="G4507" s="72">
        <v>2023</v>
      </c>
      <c r="P4507" s="26"/>
    </row>
    <row r="4508" spans="1:16" ht="14.5">
      <c r="A4508" s="3" t="s">
        <v>256</v>
      </c>
      <c r="B4508" s="12" t="s">
        <v>2873</v>
      </c>
      <c r="C4508" s="46" t="s">
        <v>8144</v>
      </c>
      <c r="D4508" s="41" t="str">
        <f ca="1">IFERROR(__xludf.DUMMYFUNCTION("IFERROR(ARRAYFORMULA(REGEXEXTRACT(C4508,""^(?:https?:\/\/)?(?:[^@\n]+@)?(?:www\.)?([^:\/\n]+)"")),"""")"),"reisift.io")</f>
        <v>reisift.io</v>
      </c>
      <c r="E4508" s="26" t="str">
        <f ca="1">IFERROR(__xludf.DUMMYFUNCTION("""COMPUTED_VALUE"""),"New")</f>
        <v>New</v>
      </c>
      <c r="F4508" s="72">
        <v>36</v>
      </c>
      <c r="G4508" s="72">
        <v>2194</v>
      </c>
      <c r="P4508" s="26"/>
    </row>
    <row r="4509" spans="1:16" ht="14.5">
      <c r="A4509" s="3" t="s">
        <v>256</v>
      </c>
      <c r="B4509" s="12" t="s">
        <v>2873</v>
      </c>
      <c r="C4509" s="49" t="s">
        <v>8145</v>
      </c>
      <c r="D4509" s="41" t="str">
        <f ca="1">IFERROR(__xludf.DUMMYFUNCTION("IFERROR(ARRAYFORMULA(REGEXEXTRACT(C4509,""^(?:https?:\/\/)?(?:[^@\n]+@)?(?:www\.)?([^:\/\n]+)"")),"""")"),"homego.com")</f>
        <v>homego.com</v>
      </c>
      <c r="E4509" s="26" t="str">
        <f ca="1">IFERROR(__xludf.DUMMYFUNCTION("""COMPUTED_VALUE"""),"New")</f>
        <v>New</v>
      </c>
      <c r="F4509" s="72">
        <v>45</v>
      </c>
      <c r="G4509" s="72">
        <v>4672</v>
      </c>
      <c r="J4509" s="75" t="s">
        <v>8146</v>
      </c>
      <c r="K4509" s="27" t="s">
        <v>3853</v>
      </c>
      <c r="L4509" s="112"/>
      <c r="M4509" s="27" t="s">
        <v>7290</v>
      </c>
      <c r="N4509" s="48">
        <v>46083</v>
      </c>
      <c r="P4509" s="26"/>
    </row>
    <row r="4510" spans="1:16" ht="14.5">
      <c r="A4510" s="3" t="s">
        <v>256</v>
      </c>
      <c r="B4510" s="12" t="s">
        <v>2873</v>
      </c>
      <c r="C4510" s="46" t="s">
        <v>8147</v>
      </c>
      <c r="D4510" s="41" t="str">
        <f ca="1">IFERROR(__xludf.DUMMYFUNCTION("IFERROR(ARRAYFORMULA(REGEXEXTRACT(C4510,""^(?:https?:\/\/)?(?:[^@\n]+@)?(?:www\.)?([^:\/\n]+)"")),"""")"),"pressbooks.cuny.edu")</f>
        <v>pressbooks.cuny.edu</v>
      </c>
      <c r="E4510" s="26" t="str">
        <f ca="1">IFERROR(__xludf.DUMMYFUNCTION("""COMPUTED_VALUE"""),"New")</f>
        <v>New</v>
      </c>
      <c r="F4510" s="72">
        <v>88</v>
      </c>
      <c r="G4510" s="72">
        <v>1857300</v>
      </c>
      <c r="P4510" s="26"/>
    </row>
    <row r="4511" spans="1:16" ht="14.5">
      <c r="A4511" s="3" t="s">
        <v>256</v>
      </c>
      <c r="B4511" s="12" t="s">
        <v>2873</v>
      </c>
      <c r="C4511" s="46" t="s">
        <v>8148</v>
      </c>
      <c r="D4511" s="41" t="str">
        <f ca="1">IFERROR(__xludf.DUMMYFUNCTION("IFERROR(ARRAYFORMULA(REGEXEXTRACT(C4511,""^(?:https?:\/\/)?(?:[^@\n]+@)?(?:www\.)?([^:\/\n]+)"")),"""")"),"mig.clubexpress.com")</f>
        <v>mig.clubexpress.com</v>
      </c>
      <c r="E4511" s="26" t="str">
        <f ca="1">IFERROR(__xludf.DUMMYFUNCTION("""COMPUTED_VALUE"""),"New")</f>
        <v>New</v>
      </c>
      <c r="F4511" s="72">
        <v>83</v>
      </c>
      <c r="G4511" s="72">
        <v>18832</v>
      </c>
      <c r="P4511" s="26"/>
    </row>
    <row r="4512" spans="1:16" ht="14.5" hidden="1">
      <c r="A4512" s="3" t="s">
        <v>256</v>
      </c>
      <c r="B4512" s="12" t="s">
        <v>2873</v>
      </c>
      <c r="C4512" s="46" t="s">
        <v>8149</v>
      </c>
      <c r="D4512" s="41" t="str">
        <f ca="1">IFERROR(__xludf.DUMMYFUNCTION("IFERROR(ARRAYFORMULA(REGEXEXTRACT(C4512,""^(?:https?:\/\/)?(?:[^@\n]+@)?(?:www\.)?([^:\/\n]+)"")),"""")"),"porch.com")</f>
        <v>porch.com</v>
      </c>
      <c r="E4512" s="26" t="str">
        <f ca="1">IFERROR(__xludf.DUMMYFUNCTION("""COMPUTED_VALUE"""),"Already Exists")</f>
        <v>Already Exists</v>
      </c>
      <c r="F4512" s="72">
        <v>86</v>
      </c>
      <c r="G4512" s="72">
        <v>17030</v>
      </c>
      <c r="P4512" s="26"/>
    </row>
    <row r="4513" spans="1:16" ht="14.5">
      <c r="A4513" s="3" t="s">
        <v>256</v>
      </c>
      <c r="B4513" s="12" t="s">
        <v>2873</v>
      </c>
      <c r="C4513" s="46" t="s">
        <v>8150</v>
      </c>
      <c r="D4513" s="41" t="str">
        <f ca="1">IFERROR(__xludf.DUMMYFUNCTION("IFERROR(ARRAYFORMULA(REGEXEXTRACT(C4513,""^(?:https?:\/\/)?(?:[^@\n]+@)?(?:www\.)?([^:\/\n]+)"")),"""")"),"alaska.propertychecker.com")</f>
        <v>alaska.propertychecker.com</v>
      </c>
      <c r="E4513" s="26" t="str">
        <f ca="1">IFERROR(__xludf.DUMMYFUNCTION("""COMPUTED_VALUE"""),"New")</f>
        <v>New</v>
      </c>
      <c r="F4513" s="72">
        <v>34</v>
      </c>
      <c r="G4513" s="72">
        <v>10515</v>
      </c>
      <c r="P4513" s="26"/>
    </row>
    <row r="4514" spans="1:16" ht="14.5">
      <c r="A4514" s="3" t="s">
        <v>256</v>
      </c>
      <c r="B4514" s="12" t="s">
        <v>2873</v>
      </c>
      <c r="C4514" s="46" t="s">
        <v>8151</v>
      </c>
      <c r="D4514" s="41" t="str">
        <f ca="1">IFERROR(__xludf.DUMMYFUNCTION("IFERROR(ARRAYFORMULA(REGEXEXTRACT(C4514,""^(?:https?:\/\/)?(?:[^@\n]+@)?(?:www\.)?([^:\/\n]+)"")),"""")"),"connecthomebuyers.com")</f>
        <v>connecthomebuyers.com</v>
      </c>
      <c r="E4514" s="26" t="str">
        <f ca="1">IFERROR(__xludf.DUMMYFUNCTION("""COMPUTED_VALUE"""),"New")</f>
        <v>New</v>
      </c>
      <c r="F4514" s="72">
        <v>28</v>
      </c>
      <c r="G4514" s="72">
        <v>1162</v>
      </c>
      <c r="P4514" s="26"/>
    </row>
    <row r="4515" spans="1:16" ht="14.5">
      <c r="A4515" s="3" t="s">
        <v>256</v>
      </c>
      <c r="B4515" s="12" t="s">
        <v>2873</v>
      </c>
      <c r="C4515" s="46" t="s">
        <v>8152</v>
      </c>
      <c r="D4515" s="41" t="str">
        <f ca="1">IFERROR(__xludf.DUMMYFUNCTION("IFERROR(ARRAYFORMULA(REGEXEXTRACT(C4515,""^(?:https?:\/\/)?(?:[^@\n]+@)?(?:www\.)?([^:\/\n]+)"")),"""")"),"thisistucson.com")</f>
        <v>thisistucson.com</v>
      </c>
      <c r="E4515" s="26" t="str">
        <f ca="1">IFERROR(__xludf.DUMMYFUNCTION("""COMPUTED_VALUE"""),"New")</f>
        <v>New</v>
      </c>
      <c r="F4515" s="72">
        <v>58</v>
      </c>
      <c r="G4515" s="72">
        <v>1515</v>
      </c>
      <c r="P4515" s="26"/>
    </row>
    <row r="4516" spans="1:16" ht="14.5">
      <c r="A4516" s="3" t="s">
        <v>256</v>
      </c>
      <c r="B4516" s="12" t="s">
        <v>2873</v>
      </c>
      <c r="C4516" s="46" t="s">
        <v>8153</v>
      </c>
      <c r="D4516" s="41" t="str">
        <f ca="1">IFERROR(__xludf.DUMMYFUNCTION("IFERROR(ARRAYFORMULA(REGEXEXTRACT(C4516,""^(?:https?:\/\/)?(?:[^@\n]+@)?(?:www\.)?([^:\/\n]+)"")),"""")"),"janbaskdigitaldesign.com")</f>
        <v>janbaskdigitaldesign.com</v>
      </c>
      <c r="E4516" s="26" t="str">
        <f ca="1">IFERROR(__xludf.DUMMYFUNCTION("""COMPUTED_VALUE"""),"New")</f>
        <v>New</v>
      </c>
      <c r="F4516" s="72">
        <v>54</v>
      </c>
      <c r="G4516" s="72">
        <v>1612</v>
      </c>
      <c r="P4516" s="26"/>
    </row>
    <row r="4517" spans="1:16" ht="14.5">
      <c r="A4517" s="3" t="s">
        <v>256</v>
      </c>
      <c r="B4517" s="12" t="s">
        <v>2873</v>
      </c>
      <c r="C4517" s="49" t="s">
        <v>8154</v>
      </c>
      <c r="D4517" s="41" t="str">
        <f ca="1">IFERROR(__xludf.DUMMYFUNCTION("IFERROR(ARRAYFORMULA(REGEXEXTRACT(C4517,""^(?:https?:\/\/)?(?:[^@\n]+@)?(?:www\.)?([^:\/\n]+)"")),"""")"),"tekedia.com")</f>
        <v>tekedia.com</v>
      </c>
      <c r="E4517" s="26" t="str">
        <f ca="1">IFERROR(__xludf.DUMMYFUNCTION("""COMPUTED_VALUE"""),"New")</f>
        <v>New</v>
      </c>
      <c r="F4517" s="72">
        <v>58</v>
      </c>
      <c r="G4517" s="72">
        <v>11273</v>
      </c>
      <c r="J4517" s="27" t="s">
        <v>8155</v>
      </c>
      <c r="K4517" s="27" t="s">
        <v>3772</v>
      </c>
      <c r="L4517" s="112"/>
      <c r="M4517" s="27" t="s">
        <v>7290</v>
      </c>
      <c r="N4517" s="48">
        <v>46083</v>
      </c>
      <c r="P4517" s="26"/>
    </row>
    <row r="4518" spans="1:16" ht="14.5">
      <c r="A4518" s="3" t="s">
        <v>256</v>
      </c>
      <c r="B4518" s="12" t="s">
        <v>2873</v>
      </c>
      <c r="C4518" s="46" t="s">
        <v>8156</v>
      </c>
      <c r="D4518" s="41" t="str">
        <f ca="1">IFERROR(__xludf.DUMMYFUNCTION("IFERROR(ARRAYFORMULA(REGEXEXTRACT(C4518,""^(?:https?:\/\/)?(?:[^@\n]+@)?(?:www\.)?([^:\/\n]+)"")),"""")"),"managementworksmedia.com")</f>
        <v>managementworksmedia.com</v>
      </c>
      <c r="E4518" s="26" t="str">
        <f ca="1">IFERROR(__xludf.DUMMYFUNCTION("""COMPUTED_VALUE"""),"New")</f>
        <v>New</v>
      </c>
      <c r="F4518" s="72">
        <v>42</v>
      </c>
      <c r="G4518" s="72">
        <v>1059</v>
      </c>
      <c r="P4518" s="26"/>
    </row>
    <row r="4519" spans="1:16" ht="14.5">
      <c r="A4519" s="3" t="s">
        <v>256</v>
      </c>
      <c r="B4519" s="12" t="s">
        <v>2873</v>
      </c>
      <c r="C4519" s="46" t="s">
        <v>8157</v>
      </c>
      <c r="D4519" s="41" t="str">
        <f ca="1">IFERROR(__xludf.DUMMYFUNCTION("IFERROR(ARRAYFORMULA(REGEXEXTRACT(C4519,""^(?:https?:\/\/)?(?:[^@\n]+@)?(?:www\.)?([^:\/\n]+)"")),"""")"),"member.eonetwork.org")</f>
        <v>member.eonetwork.org</v>
      </c>
      <c r="E4519" s="26" t="str">
        <f ca="1">IFERROR(__xludf.DUMMYFUNCTION("""COMPUTED_VALUE"""),"New")</f>
        <v>New</v>
      </c>
      <c r="F4519" s="72">
        <v>75</v>
      </c>
      <c r="G4519" s="72">
        <v>19405</v>
      </c>
      <c r="P4519" s="26"/>
    </row>
    <row r="4520" spans="1:16" ht="14.5" hidden="1">
      <c r="A4520" s="3" t="s">
        <v>256</v>
      </c>
      <c r="B4520" s="12" t="s">
        <v>2873</v>
      </c>
      <c r="C4520" s="46" t="s">
        <v>8158</v>
      </c>
      <c r="D4520" s="41" t="str">
        <f ca="1">IFERROR(__xludf.DUMMYFUNCTION("IFERROR(ARRAYFORMULA(REGEXEXTRACT(C4520,""^(?:https?:\/\/)?(?:[^@\n]+@)?(?:www\.)?([^:\/\n]+)"")),"""")"),"holrmagazine.com")</f>
        <v>holrmagazine.com</v>
      </c>
      <c r="E4520" s="26" t="str">
        <f ca="1">IFERROR(__xludf.DUMMYFUNCTION("""COMPUTED_VALUE"""),"Already Exists")</f>
        <v>Already Exists</v>
      </c>
      <c r="F4520" s="72">
        <v>59</v>
      </c>
      <c r="G4520" s="72">
        <v>1460</v>
      </c>
      <c r="P4520" s="26"/>
    </row>
    <row r="4521" spans="1:16" ht="14.5">
      <c r="A4521" s="3" t="s">
        <v>256</v>
      </c>
      <c r="B4521" s="12" t="s">
        <v>2873</v>
      </c>
      <c r="C4521" s="46" t="s">
        <v>8159</v>
      </c>
      <c r="D4521" s="41" t="str">
        <f ca="1">IFERROR(__xludf.DUMMYFUNCTION("IFERROR(ARRAYFORMULA(REGEXEXTRACT(C4521,""^(?:https?:\/\/)?(?:[^@\n]+@)?(?:www\.)?([^:\/\n]+)"")),"""")"),"mail.realtytimes.com")</f>
        <v>mail.realtytimes.com</v>
      </c>
      <c r="E4521" s="26" t="str">
        <f ca="1">IFERROR(__xludf.DUMMYFUNCTION("""COMPUTED_VALUE"""),"New")</f>
        <v>New</v>
      </c>
      <c r="F4521" s="72">
        <v>74</v>
      </c>
      <c r="G4521" s="72">
        <v>1843</v>
      </c>
      <c r="P4521" s="26"/>
    </row>
    <row r="4522" spans="1:16" ht="14.5">
      <c r="A4522" s="3" t="s">
        <v>256</v>
      </c>
      <c r="B4522" s="12" t="s">
        <v>2873</v>
      </c>
      <c r="C4522" s="46" t="s">
        <v>8160</v>
      </c>
      <c r="D4522" s="41" t="str">
        <f ca="1">IFERROR(__xludf.DUMMYFUNCTION("IFERROR(ARRAYFORMULA(REGEXEXTRACT(C4522,""^(?:https?:\/\/)?(?:[^@\n]+@)?(?:www\.)?([^:\/\n]+)"")),"""")"),"clevescene.com")</f>
        <v>clevescene.com</v>
      </c>
      <c r="E4522" s="26" t="str">
        <f ca="1">IFERROR(__xludf.DUMMYFUNCTION("""COMPUTED_VALUE"""),"New")</f>
        <v>New</v>
      </c>
      <c r="F4522" s="72">
        <v>76</v>
      </c>
      <c r="G4522" s="72">
        <v>45428</v>
      </c>
      <c r="P4522" s="26"/>
    </row>
    <row r="4523" spans="1:16" ht="14.5" hidden="1">
      <c r="A4523" s="3" t="s">
        <v>256</v>
      </c>
      <c r="B4523" s="12" t="s">
        <v>2873</v>
      </c>
      <c r="C4523" s="46" t="s">
        <v>8161</v>
      </c>
      <c r="D4523" s="41" t="str">
        <f ca="1">IFERROR(__xludf.DUMMYFUNCTION("IFERROR(ARRAYFORMULA(REGEXEXTRACT(C4523,""^(?:https?:\/\/)?(?:[^@\n]+@)?(?:www\.)?([^:\/\n]+)"")),"""")"),"kreafolk.com")</f>
        <v>kreafolk.com</v>
      </c>
      <c r="E4523" s="26" t="str">
        <f ca="1">IFERROR(__xludf.DUMMYFUNCTION("""COMPUTED_VALUE"""),"Already Exists")</f>
        <v>Already Exists</v>
      </c>
      <c r="F4523" s="72">
        <v>50</v>
      </c>
      <c r="G4523" s="72">
        <v>1213</v>
      </c>
      <c r="P4523" s="26"/>
    </row>
    <row r="4524" spans="1:16" ht="14.5">
      <c r="A4524" s="3" t="s">
        <v>256</v>
      </c>
      <c r="B4524" s="12" t="s">
        <v>2873</v>
      </c>
      <c r="C4524" s="46" t="s">
        <v>8162</v>
      </c>
      <c r="D4524" s="41" t="str">
        <f ca="1">IFERROR(__xludf.DUMMYFUNCTION("IFERROR(ARRAYFORMULA(REGEXEXTRACT(C4524,""^(?:https?:\/\/)?(?:[^@\n]+@)?(?:www\.)?([^:\/\n]+)"")),"""")"),"sotellus.com")</f>
        <v>sotellus.com</v>
      </c>
      <c r="E4524" s="26" t="str">
        <f ca="1">IFERROR(__xludf.DUMMYFUNCTION("""COMPUTED_VALUE"""),"New")</f>
        <v>New</v>
      </c>
      <c r="F4524" s="72">
        <v>74</v>
      </c>
      <c r="G4524" s="72">
        <v>1584</v>
      </c>
      <c r="P4524" s="26"/>
    </row>
    <row r="4525" spans="1:16" ht="14.5">
      <c r="A4525" s="3" t="s">
        <v>256</v>
      </c>
      <c r="B4525" s="12" t="s">
        <v>2873</v>
      </c>
      <c r="C4525" s="46" t="s">
        <v>8163</v>
      </c>
      <c r="D4525" s="41" t="str">
        <f ca="1">IFERROR(__xludf.DUMMYFUNCTION("IFERROR(ARRAYFORMULA(REGEXEXTRACT(C4525,""^(?:https?:\/\/)?(?:[^@\n]+@)?(?:www\.)?([^:\/\n]+)"")),"""")"),"player.captivate.fm")</f>
        <v>player.captivate.fm</v>
      </c>
      <c r="E4525" s="26" t="str">
        <f ca="1">IFERROR(__xludf.DUMMYFUNCTION("""COMPUTED_VALUE"""),"New")</f>
        <v>New</v>
      </c>
      <c r="F4525" s="72">
        <v>85</v>
      </c>
      <c r="G4525" s="72">
        <v>27180</v>
      </c>
      <c r="P4525" s="26"/>
    </row>
    <row r="4526" spans="1:16" ht="14.5">
      <c r="A4526" s="3" t="s">
        <v>256</v>
      </c>
      <c r="B4526" s="12" t="s">
        <v>2873</v>
      </c>
      <c r="C4526" s="46" t="s">
        <v>8164</v>
      </c>
      <c r="D4526" s="41" t="str">
        <f ca="1">IFERROR(__xludf.DUMMYFUNCTION("IFERROR(ARRAYFORMULA(REGEXEXTRACT(C4526,""^(?:https?:\/\/)?(?:[^@\n]+@)?(?:www\.)?([^:\/\n]+)"")),"""")"),"merchantcircle.com")</f>
        <v>merchantcircle.com</v>
      </c>
      <c r="E4526" s="26" t="str">
        <f ca="1">IFERROR(__xludf.DUMMYFUNCTION("""COMPUTED_VALUE"""),"New")</f>
        <v>New</v>
      </c>
      <c r="F4526" s="72">
        <v>84</v>
      </c>
      <c r="G4526" s="72">
        <v>4405</v>
      </c>
      <c r="P4526" s="26"/>
    </row>
    <row r="4527" spans="1:16" ht="14.5">
      <c r="A4527" s="3" t="s">
        <v>256</v>
      </c>
      <c r="B4527" s="12" t="s">
        <v>2873</v>
      </c>
      <c r="C4527" s="49" t="s">
        <v>8165</v>
      </c>
      <c r="D4527" s="41" t="str">
        <f ca="1">IFERROR(__xludf.DUMMYFUNCTION("IFERROR(ARRAYFORMULA(REGEXEXTRACT(C4527,""^(?:https?:\/\/)?(?:[^@\n]+@)?(?:www\.)?([^:\/\n]+)"")),"""")"),"cdapress.com")</f>
        <v>cdapress.com</v>
      </c>
      <c r="E4527" s="26" t="str">
        <f ca="1">IFERROR(__xludf.DUMMYFUNCTION("""COMPUTED_VALUE"""),"New")</f>
        <v>New</v>
      </c>
      <c r="F4527" s="72">
        <v>72</v>
      </c>
      <c r="G4527" s="72">
        <v>15163</v>
      </c>
      <c r="J4527" s="27" t="s">
        <v>8166</v>
      </c>
      <c r="K4527" s="27" t="s">
        <v>3772</v>
      </c>
      <c r="L4527" s="112"/>
      <c r="M4527" s="27" t="s">
        <v>7290</v>
      </c>
      <c r="N4527" s="48">
        <v>46083</v>
      </c>
      <c r="P4527" s="26"/>
    </row>
    <row r="4528" spans="1:16" ht="14.5">
      <c r="A4528" s="3" t="s">
        <v>256</v>
      </c>
      <c r="B4528" s="12" t="s">
        <v>2873</v>
      </c>
      <c r="C4528" s="46" t="s">
        <v>8167</v>
      </c>
      <c r="D4528" s="41" t="str">
        <f ca="1">IFERROR(__xludf.DUMMYFUNCTION("IFERROR(ARRAYFORMULA(REGEXEXTRACT(C4528,""^(?:https?:\/\/)?(?:[^@\n]+@)?(?:www\.)?([^:\/\n]+)"")),"""")"),"webmail.trendswe.com")</f>
        <v>webmail.trendswe.com</v>
      </c>
      <c r="E4528" s="26" t="str">
        <f ca="1">IFERROR(__xludf.DUMMYFUNCTION("""COMPUTED_VALUE"""),"New")</f>
        <v>New</v>
      </c>
      <c r="F4528" s="72">
        <v>28</v>
      </c>
      <c r="G4528" s="72">
        <v>2997</v>
      </c>
      <c r="P4528" s="26"/>
    </row>
    <row r="4529" spans="1:16" ht="14.5">
      <c r="A4529" s="3" t="s">
        <v>256</v>
      </c>
      <c r="B4529" s="12" t="s">
        <v>2873</v>
      </c>
      <c r="C4529" s="46" t="s">
        <v>8168</v>
      </c>
      <c r="D4529" s="41" t="str">
        <f ca="1">IFERROR(__xludf.DUMMYFUNCTION("IFERROR(ARRAYFORMULA(REGEXEXTRACT(C4529,""^(?:https?:\/\/)?(?:[^@\n]+@)?(?:www\.)?([^:\/\n]+)"")),"""")"),"ritzherald.com")</f>
        <v>ritzherald.com</v>
      </c>
      <c r="E4529" s="26" t="str">
        <f ca="1">IFERROR(__xludf.DUMMYFUNCTION("""COMPUTED_VALUE"""),"New")</f>
        <v>New</v>
      </c>
      <c r="F4529" s="72">
        <v>67</v>
      </c>
      <c r="G4529" s="72">
        <v>1843</v>
      </c>
      <c r="P4529" s="26"/>
    </row>
    <row r="4530" spans="1:16" ht="14.5" hidden="1">
      <c r="A4530" s="3" t="s">
        <v>256</v>
      </c>
      <c r="B4530" s="12" t="s">
        <v>2873</v>
      </c>
      <c r="C4530" s="46" t="s">
        <v>8169</v>
      </c>
      <c r="D4530" s="41" t="str">
        <f ca="1">IFERROR(__xludf.DUMMYFUNCTION("IFERROR(ARRAYFORMULA(REGEXEXTRACT(C4530,""^(?:https?:\/\/)?(?:[^@\n]+@)?(?:www\.)?([^:\/\n]+)"")),"""")"),"ourfamilylifestyle.com")</f>
        <v>ourfamilylifestyle.com</v>
      </c>
      <c r="E4530" s="26" t="str">
        <f ca="1">IFERROR(__xludf.DUMMYFUNCTION("""COMPUTED_VALUE"""),"Already Exists")</f>
        <v>Already Exists</v>
      </c>
      <c r="F4530" s="72">
        <v>44</v>
      </c>
      <c r="G4530" s="72">
        <v>1496</v>
      </c>
      <c r="P4530" s="26"/>
    </row>
    <row r="4531" spans="1:16" ht="14.5">
      <c r="A4531" s="3" t="s">
        <v>256</v>
      </c>
      <c r="B4531" s="12" t="s">
        <v>2873</v>
      </c>
      <c r="C4531" s="46" t="s">
        <v>8170</v>
      </c>
      <c r="D4531" s="41" t="str">
        <f ca="1">IFERROR(__xludf.DUMMYFUNCTION("IFERROR(ARRAYFORMULA(REGEXEXTRACT(C4531,""^(?:https?:\/\/)?(?:[^@\n]+@)?(?:www\.)?([^:\/\n]+)"")),"""")"),"zecommentaires.com")</f>
        <v>zecommentaires.com</v>
      </c>
      <c r="E4531" s="26" t="str">
        <f ca="1">IFERROR(__xludf.DUMMYFUNCTION("""COMPUTED_VALUE"""),"New")</f>
        <v>New</v>
      </c>
      <c r="F4531" s="72">
        <v>61</v>
      </c>
      <c r="G4531" s="72">
        <v>2877</v>
      </c>
      <c r="P4531" s="26"/>
    </row>
    <row r="4532" spans="1:16" ht="14.5">
      <c r="A4532" s="3" t="s">
        <v>256</v>
      </c>
      <c r="B4532" s="12" t="s">
        <v>2873</v>
      </c>
      <c r="C4532" s="46" t="s">
        <v>8171</v>
      </c>
      <c r="D4532" s="41" t="str">
        <f ca="1">IFERROR(__xludf.DUMMYFUNCTION("IFERROR(ARRAYFORMULA(REGEXEXTRACT(C4532,""^(?:https?:\/\/)?(?:[^@\n]+@)?(?:www\.)?([^:\/\n]+)"")),"""")"),"clark.com")</f>
        <v>clark.com</v>
      </c>
      <c r="E4532" s="26" t="str">
        <f ca="1">IFERROR(__xludf.DUMMYFUNCTION("""COMPUTED_VALUE"""),"New")</f>
        <v>New</v>
      </c>
      <c r="F4532" s="72">
        <v>74</v>
      </c>
      <c r="G4532" s="72">
        <v>142229</v>
      </c>
      <c r="P4532" s="26"/>
    </row>
    <row r="4533" spans="1:16" ht="14.5">
      <c r="A4533" s="3" t="s">
        <v>256</v>
      </c>
      <c r="B4533" s="12" t="s">
        <v>2873</v>
      </c>
      <c r="C4533" s="46" t="s">
        <v>8172</v>
      </c>
      <c r="D4533" s="41" t="str">
        <f ca="1">IFERROR(__xludf.DUMMYFUNCTION("IFERROR(ARRAYFORMULA(REGEXEXTRACT(C4533,""^(?:https?:\/\/)?(?:[^@\n]+@)?(?:www\.)?([^:\/\n]+)"")),"""")"),"help.carrot.com")</f>
        <v>help.carrot.com</v>
      </c>
      <c r="E4533" s="26" t="str">
        <f ca="1">IFERROR(__xludf.DUMMYFUNCTION("""COMPUTED_VALUE"""),"New")</f>
        <v>New</v>
      </c>
      <c r="F4533" s="72">
        <v>80</v>
      </c>
      <c r="G4533" s="72">
        <v>6786</v>
      </c>
      <c r="P4533" s="26"/>
    </row>
    <row r="4534" spans="1:16" ht="14.5">
      <c r="A4534" s="3" t="s">
        <v>256</v>
      </c>
      <c r="B4534" s="12" t="s">
        <v>2873</v>
      </c>
      <c r="C4534" s="46" t="s">
        <v>8173</v>
      </c>
      <c r="D4534" s="41" t="str">
        <f ca="1">IFERROR(__xludf.DUMMYFUNCTION("IFERROR(ARRAYFORMULA(REGEXEXTRACT(C4534,""^(?:https?:\/\/)?(?:[^@\n]+@)?(?:www\.)?([^:\/\n]+)"")),"""")"),"blogs.orgfree.com")</f>
        <v>blogs.orgfree.com</v>
      </c>
      <c r="E4534" s="26" t="str">
        <f ca="1">IFERROR(__xludf.DUMMYFUNCTION("""COMPUTED_VALUE"""),"New")</f>
        <v>New</v>
      </c>
      <c r="F4534" s="72">
        <v>71</v>
      </c>
      <c r="G4534" s="72">
        <v>3486</v>
      </c>
      <c r="P4534" s="26"/>
    </row>
    <row r="4535" spans="1:16" ht="14.5">
      <c r="A4535" s="3" t="s">
        <v>256</v>
      </c>
      <c r="B4535" s="12" t="s">
        <v>2873</v>
      </c>
      <c r="C4535" s="46" t="s">
        <v>8174</v>
      </c>
      <c r="D4535" s="41" t="str">
        <f ca="1">IFERROR(__xludf.DUMMYFUNCTION("IFERROR(ARRAYFORMULA(REGEXEXTRACT(C4535,""^(?:https?:\/\/)?(?:[^@\n]+@)?(?:www\.)?([^:\/\n]+)"")),"""")"),"pgs.d22.myftpupload.com")</f>
        <v>pgs.d22.myftpupload.com</v>
      </c>
      <c r="E4535" s="26" t="str">
        <f ca="1">IFERROR(__xludf.DUMMYFUNCTION("""COMPUTED_VALUE"""),"New")</f>
        <v>New</v>
      </c>
      <c r="F4535" s="72">
        <v>91</v>
      </c>
      <c r="G4535" s="72">
        <v>25705</v>
      </c>
      <c r="P4535" s="26"/>
    </row>
    <row r="4536" spans="1:16" ht="14.5">
      <c r="A4536" s="3" t="s">
        <v>256</v>
      </c>
      <c r="B4536" s="12" t="s">
        <v>2873</v>
      </c>
      <c r="C4536" s="49" t="s">
        <v>8175</v>
      </c>
      <c r="D4536" s="41" t="str">
        <f ca="1">IFERROR(__xludf.DUMMYFUNCTION("IFERROR(ARRAYFORMULA(REGEXEXTRACT(C4536,""^(?:https?:\/\/)?(?:[^@\n]+@)?(?:www\.)?([^:\/\n]+)"")),"""")"),"expresshomebuyers.com")</f>
        <v>expresshomebuyers.com</v>
      </c>
      <c r="E4536" s="26" t="str">
        <f ca="1">IFERROR(__xludf.DUMMYFUNCTION("""COMPUTED_VALUE"""),"New")</f>
        <v>New</v>
      </c>
      <c r="F4536" s="72">
        <v>41</v>
      </c>
      <c r="G4536" s="72">
        <v>1697</v>
      </c>
      <c r="H4536" s="27" t="s">
        <v>8176</v>
      </c>
      <c r="I4536" s="27" t="s">
        <v>8177</v>
      </c>
      <c r="J4536" s="27" t="s">
        <v>8178</v>
      </c>
      <c r="K4536" s="27" t="s">
        <v>3853</v>
      </c>
      <c r="L4536" s="112"/>
      <c r="M4536" s="27" t="s">
        <v>7290</v>
      </c>
      <c r="N4536" s="48">
        <v>46083</v>
      </c>
      <c r="P4536" s="26"/>
    </row>
    <row r="4537" spans="1:16" ht="14.5">
      <c r="A4537" s="3" t="s">
        <v>256</v>
      </c>
      <c r="B4537" s="12" t="s">
        <v>2873</v>
      </c>
      <c r="C4537" s="46" t="s">
        <v>8179</v>
      </c>
      <c r="D4537" s="41" t="str">
        <f ca="1">IFERROR(__xludf.DUMMYFUNCTION("IFERROR(ARRAYFORMULA(REGEXEXTRACT(C4537,""^(?:https?:\/\/)?(?:[^@\n]+@)?(?:www\.)?([^:\/\n]+)"")),"""")"),"voyagedallas.com")</f>
        <v>voyagedallas.com</v>
      </c>
      <c r="E4537" s="26" t="str">
        <f ca="1">IFERROR(__xludf.DUMMYFUNCTION("""COMPUTED_VALUE"""),"New")</f>
        <v>New</v>
      </c>
      <c r="F4537" s="72">
        <v>79</v>
      </c>
      <c r="G4537" s="72">
        <v>3210</v>
      </c>
      <c r="P4537" s="26"/>
    </row>
    <row r="4538" spans="1:16" ht="14.5">
      <c r="A4538" s="3" t="s">
        <v>256</v>
      </c>
      <c r="B4538" s="12" t="s">
        <v>2873</v>
      </c>
      <c r="C4538" s="46" t="s">
        <v>8180</v>
      </c>
      <c r="D4538" s="41" t="str">
        <f ca="1">IFERROR(__xludf.DUMMYFUNCTION("IFERROR(ARRAYFORMULA(REGEXEXTRACT(C4538,""^(?:https?:\/\/)?(?:[^@\n]+@)?(?:www\.)?([^:\/\n]+)"")),"""")"),"al.com")</f>
        <v>al.com</v>
      </c>
      <c r="E4538" s="26" t="str">
        <f ca="1">IFERROR(__xludf.DUMMYFUNCTION("""COMPUTED_VALUE"""),"New")</f>
        <v>New</v>
      </c>
      <c r="F4538" s="72">
        <v>84</v>
      </c>
      <c r="G4538" s="72">
        <v>1069745</v>
      </c>
      <c r="P4538" s="26"/>
    </row>
    <row r="4539" spans="1:16" ht="14.5">
      <c r="A4539" s="3" t="s">
        <v>256</v>
      </c>
      <c r="B4539" s="12" t="s">
        <v>2873</v>
      </c>
      <c r="C4539" s="49" t="s">
        <v>8181</v>
      </c>
      <c r="D4539" s="41" t="str">
        <f ca="1">IFERROR(__xludf.DUMMYFUNCTION("IFERROR(ARRAYFORMULA(REGEXEXTRACT(C4539,""^(?:https?:\/\/)?(?:[^@\n]+@)?(?:www\.)?([^:\/\n]+)"")),"""")"),"newsilver.com")</f>
        <v>newsilver.com</v>
      </c>
      <c r="E4539" s="26" t="str">
        <f ca="1">IFERROR(__xludf.DUMMYFUNCTION("""COMPUTED_VALUE"""),"New")</f>
        <v>New</v>
      </c>
      <c r="F4539" s="72">
        <v>55</v>
      </c>
      <c r="G4539" s="72">
        <v>7276</v>
      </c>
      <c r="H4539" s="27" t="s">
        <v>8182</v>
      </c>
      <c r="I4539" s="27" t="s">
        <v>8183</v>
      </c>
      <c r="J4539" s="27" t="s">
        <v>8184</v>
      </c>
      <c r="K4539" s="27" t="s">
        <v>3829</v>
      </c>
      <c r="L4539" s="112"/>
      <c r="M4539" s="27" t="s">
        <v>7290</v>
      </c>
      <c r="N4539" s="48">
        <v>46083</v>
      </c>
      <c r="P4539" s="26"/>
    </row>
    <row r="4540" spans="1:16" ht="14.5">
      <c r="A4540" s="3" t="s">
        <v>256</v>
      </c>
      <c r="B4540" s="12" t="s">
        <v>2873</v>
      </c>
      <c r="C4540" s="46" t="s">
        <v>8185</v>
      </c>
      <c r="D4540" s="41" t="str">
        <f ca="1">IFERROR(__xludf.DUMMYFUNCTION("IFERROR(ARRAYFORMULA(REGEXEXTRACT(C4540,""^(?:https?:\/\/)?(?:[^@\n]+@)?(?:www\.)?([^:\/\n]+)"")),"""")"),"homegambit.squarespace.com")</f>
        <v>homegambit.squarespace.com</v>
      </c>
      <c r="E4540" s="26" t="str">
        <f ca="1">IFERROR(__xludf.DUMMYFUNCTION("""COMPUTED_VALUE"""),"New")</f>
        <v>New</v>
      </c>
      <c r="F4540" s="72">
        <v>95</v>
      </c>
      <c r="G4540" s="72">
        <v>3973120</v>
      </c>
      <c r="P4540" s="26"/>
    </row>
    <row r="4541" spans="1:16" ht="14.5">
      <c r="A4541" s="3" t="s">
        <v>256</v>
      </c>
      <c r="B4541" s="12" t="s">
        <v>2873</v>
      </c>
      <c r="C4541" s="46" t="s">
        <v>8186</v>
      </c>
      <c r="D4541" s="41" t="str">
        <f ca="1">IFERROR(__xludf.DUMMYFUNCTION("IFERROR(ARRAYFORMULA(REGEXEXTRACT(C4541,""^(?:https?:\/\/)?(?:[^@\n]+@)?(?:www\.)?([^:\/\n]+)"")),"""")"),"change.org")</f>
        <v>change.org</v>
      </c>
      <c r="E4541" s="26" t="str">
        <f ca="1">IFERROR(__xludf.DUMMYFUNCTION("""COMPUTED_VALUE"""),"New")</f>
        <v>New</v>
      </c>
      <c r="F4541" s="72">
        <v>91</v>
      </c>
      <c r="G4541" s="72">
        <v>254335</v>
      </c>
      <c r="P4541" s="26"/>
    </row>
    <row r="4542" spans="1:16" ht="14.5">
      <c r="A4542" s="3" t="s">
        <v>256</v>
      </c>
      <c r="B4542" s="17" t="s">
        <v>2879</v>
      </c>
      <c r="C4542" s="46" t="s">
        <v>8187</v>
      </c>
      <c r="D4542" s="41" t="str">
        <f ca="1">IFERROR(__xludf.DUMMYFUNCTION("IFERROR(ARRAYFORMULA(REGEXEXTRACT(C4542,""^(?:https?:\/\/)?(?:[^@\n]+@)?(?:www\.)?([^:\/\n]+)"")),"""")"),"thesun.co.uk")</f>
        <v>thesun.co.uk</v>
      </c>
      <c r="E4542" s="26" t="str">
        <f ca="1">IFERROR(__xludf.DUMMYFUNCTION("""COMPUTED_VALUE"""),"New")</f>
        <v>New</v>
      </c>
      <c r="F4542" s="72">
        <v>89</v>
      </c>
      <c r="G4542" s="72">
        <v>11846042</v>
      </c>
      <c r="P4542" s="26"/>
    </row>
    <row r="4543" spans="1:16" ht="14.5">
      <c r="A4543" s="3" t="s">
        <v>256</v>
      </c>
      <c r="B4543" s="12" t="s">
        <v>2879</v>
      </c>
      <c r="C4543" s="46" t="s">
        <v>8188</v>
      </c>
      <c r="D4543" s="41" t="str">
        <f ca="1">IFERROR(__xludf.DUMMYFUNCTION("IFERROR(ARRAYFORMULA(REGEXEXTRACT(C4543,""^(?:https?:\/\/)?(?:[^@\n]+@)?(?:www\.)?([^:\/\n]+)"")),"""")"),"thesun.ie")</f>
        <v>thesun.ie</v>
      </c>
      <c r="E4543" s="26" t="str">
        <f ca="1">IFERROR(__xludf.DUMMYFUNCTION("""COMPUTED_VALUE"""),"New")</f>
        <v>New</v>
      </c>
      <c r="F4543" s="72">
        <v>77</v>
      </c>
      <c r="G4543" s="72">
        <v>836403</v>
      </c>
      <c r="P4543" s="26"/>
    </row>
    <row r="4544" spans="1:16" ht="14.5">
      <c r="A4544" s="3" t="s">
        <v>256</v>
      </c>
      <c r="B4544" s="12" t="s">
        <v>2879</v>
      </c>
      <c r="C4544" s="46" t="s">
        <v>8189</v>
      </c>
      <c r="D4544" s="41" t="str">
        <f ca="1">IFERROR(__xludf.DUMMYFUNCTION("IFERROR(ARRAYFORMULA(REGEXEXTRACT(C4544,""^(?:https?:\/\/)?(?:[^@\n]+@)?(?:www\.)?([^:\/\n]+)"")),"""")"),"atlasceramics.co.uk")</f>
        <v>atlasceramics.co.uk</v>
      </c>
      <c r="E4544" s="26" t="str">
        <f ca="1">IFERROR(__xludf.DUMMYFUNCTION("""COMPUTED_VALUE"""),"New")</f>
        <v>New</v>
      </c>
      <c r="F4544" s="72">
        <v>40</v>
      </c>
      <c r="G4544" s="72">
        <v>13706</v>
      </c>
      <c r="P4544" s="26"/>
    </row>
    <row r="4545" spans="1:16" ht="14.5">
      <c r="A4545" s="3" t="s">
        <v>256</v>
      </c>
      <c r="B4545" s="12" t="s">
        <v>2879</v>
      </c>
      <c r="C4545" s="46" t="s">
        <v>8190</v>
      </c>
      <c r="D4545" s="41" t="str">
        <f ca="1">IFERROR(__xludf.DUMMYFUNCTION("IFERROR(ARRAYFORMULA(REGEXEXTRACT(C4545,""^(?:https?:\/\/)?(?:[^@\n]+@)?(?:www\.)?([^:\/\n]+)"")),"""")"),"metro.co.uk")</f>
        <v>metro.co.uk</v>
      </c>
      <c r="E4545" s="26" t="str">
        <f ca="1">IFERROR(__xludf.DUMMYFUNCTION("""COMPUTED_VALUE"""),"New")</f>
        <v>New</v>
      </c>
      <c r="F4545" s="72">
        <v>88</v>
      </c>
      <c r="G4545" s="72">
        <v>1684096</v>
      </c>
      <c r="P4545" s="26"/>
    </row>
    <row r="4546" spans="1:16" ht="14.5">
      <c r="A4546" s="3" t="s">
        <v>256</v>
      </c>
      <c r="B4546" s="12" t="s">
        <v>2879</v>
      </c>
      <c r="C4546" s="49" t="s">
        <v>8191</v>
      </c>
      <c r="D4546" s="41" t="str">
        <f ca="1">IFERROR(__xludf.DUMMYFUNCTION("IFERROR(ARRAYFORMULA(REGEXEXTRACT(C4546,""^(?:https?:\/\/)?(?:[^@\n]+@)?(?:www\.)?([^:\/\n]+)"")),"""")"),"swlondoner.co.uk")</f>
        <v>swlondoner.co.uk</v>
      </c>
      <c r="E4546" s="26" t="str">
        <f ca="1">IFERROR(__xludf.DUMMYFUNCTION("""COMPUTED_VALUE"""),"New")</f>
        <v>New</v>
      </c>
      <c r="F4546" s="72">
        <v>65</v>
      </c>
      <c r="G4546" s="72">
        <v>3480</v>
      </c>
      <c r="H4546" s="27" t="s">
        <v>6838</v>
      </c>
      <c r="I4546" s="27" t="s">
        <v>8192</v>
      </c>
      <c r="J4546" s="27" t="s">
        <v>8193</v>
      </c>
      <c r="K4546" s="27" t="s">
        <v>3772</v>
      </c>
      <c r="L4546" s="112"/>
      <c r="M4546" s="27" t="s">
        <v>7290</v>
      </c>
      <c r="N4546" s="48">
        <v>46083</v>
      </c>
      <c r="P4546" s="26"/>
    </row>
    <row r="4547" spans="1:16" ht="14.5">
      <c r="A4547" s="3" t="s">
        <v>256</v>
      </c>
      <c r="B4547" s="12" t="s">
        <v>2879</v>
      </c>
      <c r="C4547" s="46" t="s">
        <v>8194</v>
      </c>
      <c r="D4547" s="41" t="str">
        <f ca="1">IFERROR(__xludf.DUMMYFUNCTION("IFERROR(ARRAYFORMULA(REGEXEXTRACT(C4547,""^(?:https?:\/\/)?(?:[^@\n]+@)?(?:www\.)?([^:\/\n]+)"")),"""")"),"wedmagazine.co.uk")</f>
        <v>wedmagazine.co.uk</v>
      </c>
      <c r="E4547" s="26" t="str">
        <f ca="1">IFERROR(__xludf.DUMMYFUNCTION("""COMPUTED_VALUE"""),"New")</f>
        <v>New</v>
      </c>
      <c r="F4547" s="72">
        <v>51</v>
      </c>
      <c r="G4547" s="72">
        <v>6761</v>
      </c>
      <c r="P4547" s="26"/>
    </row>
    <row r="4548" spans="1:16" ht="14.5">
      <c r="A4548" s="3" t="s">
        <v>256</v>
      </c>
      <c r="B4548" s="12" t="s">
        <v>2879</v>
      </c>
      <c r="C4548" s="49" t="s">
        <v>8195</v>
      </c>
      <c r="D4548" s="41" t="str">
        <f ca="1">IFERROR(__xludf.DUMMYFUNCTION("IFERROR(ARRAYFORMULA(REGEXEXTRACT(C4548,""^(?:https?:\/\/)?(?:[^@\n]+@)?(?:www\.)?([^:\/\n]+)"")),"""")"),"soundproofingstore.co.uk")</f>
        <v>soundproofingstore.co.uk</v>
      </c>
      <c r="E4548" s="26" t="str">
        <f ca="1">IFERROR(__xludf.DUMMYFUNCTION("""COMPUTED_VALUE"""),"New")</f>
        <v>New</v>
      </c>
      <c r="F4548" s="72">
        <v>33</v>
      </c>
      <c r="G4548" s="72">
        <v>7053</v>
      </c>
      <c r="J4548" s="27" t="s">
        <v>8196</v>
      </c>
      <c r="K4548" s="27" t="s">
        <v>3844</v>
      </c>
      <c r="L4548" s="112"/>
      <c r="M4548" s="27" t="s">
        <v>7290</v>
      </c>
      <c r="N4548" s="48">
        <v>46083</v>
      </c>
      <c r="P4548" s="26"/>
    </row>
    <row r="4549" spans="1:16" ht="14.5">
      <c r="A4549" s="3" t="s">
        <v>256</v>
      </c>
      <c r="B4549" s="12" t="s">
        <v>2879</v>
      </c>
      <c r="C4549" s="46" t="s">
        <v>8197</v>
      </c>
      <c r="D4549" s="41" t="str">
        <f ca="1">IFERROR(__xludf.DUMMYFUNCTION("IFERROR(ARRAYFORMULA(REGEXEXTRACT(C4549,""^(?:https?:\/\/)?(?:[^@\n]+@)?(?:www\.)?([^:\/\n]+)"")),"""")"),"wepresent.wetransfer.com")</f>
        <v>wepresent.wetransfer.com</v>
      </c>
      <c r="E4549" s="26" t="str">
        <f ca="1">IFERROR(__xludf.DUMMYFUNCTION("""COMPUTED_VALUE"""),"New")</f>
        <v>New</v>
      </c>
      <c r="F4549" s="72">
        <v>91</v>
      </c>
      <c r="G4549" s="72">
        <v>14349597</v>
      </c>
      <c r="P4549" s="26"/>
    </row>
    <row r="4550" spans="1:16" ht="14.5">
      <c r="A4550" s="3" t="s">
        <v>256</v>
      </c>
      <c r="B4550" s="12" t="s">
        <v>2879</v>
      </c>
      <c r="C4550" s="46" t="s">
        <v>8198</v>
      </c>
      <c r="D4550" s="41" t="str">
        <f ca="1">IFERROR(__xludf.DUMMYFUNCTION("IFERROR(ARRAYFORMULA(REGEXEXTRACT(C4550,""^(?:https?:\/\/)?(?:[^@\n]+@)?(?:www\.)?([^:\/\n]+)"")),"""")"),"londondoor.co.uk")</f>
        <v>londondoor.co.uk</v>
      </c>
      <c r="E4550" s="26" t="str">
        <f ca="1">IFERROR(__xludf.DUMMYFUNCTION("""COMPUTED_VALUE"""),"New")</f>
        <v>New</v>
      </c>
      <c r="F4550" s="72">
        <v>35</v>
      </c>
      <c r="G4550" s="72">
        <v>9242</v>
      </c>
      <c r="P4550" s="26"/>
    </row>
    <row r="4551" spans="1:16" ht="14.5">
      <c r="A4551" s="3" t="s">
        <v>256</v>
      </c>
      <c r="B4551" s="12" t="s">
        <v>2879</v>
      </c>
      <c r="C4551" s="46" t="s">
        <v>8199</v>
      </c>
      <c r="D4551" s="41" t="str">
        <f ca="1">IFERROR(__xludf.DUMMYFUNCTION("IFERROR(ARRAYFORMULA(REGEXEXTRACT(C4551,""^(?:https?:\/\/)?(?:[^@\n]+@)?(?:www\.)?([^:\/\n]+)"")),"""")"),"springbokproperties.co.uk")</f>
        <v>springbokproperties.co.uk</v>
      </c>
      <c r="E4551" s="26" t="str">
        <f ca="1">IFERROR(__xludf.DUMMYFUNCTION("""COMPUTED_VALUE"""),"New")</f>
        <v>New</v>
      </c>
      <c r="F4551" s="72">
        <v>30</v>
      </c>
      <c r="G4551" s="72">
        <v>7936</v>
      </c>
      <c r="P4551" s="26"/>
    </row>
    <row r="4552" spans="1:16" ht="14.5">
      <c r="A4552" s="3" t="s">
        <v>256</v>
      </c>
      <c r="B4552" s="12" t="s">
        <v>2879</v>
      </c>
      <c r="C4552" s="49" t="s">
        <v>8200</v>
      </c>
      <c r="D4552" s="41" t="str">
        <f ca="1">IFERROR(__xludf.DUMMYFUNCTION("IFERROR(ARRAYFORMULA(REGEXEXTRACT(C4552,""^(?:https?:\/\/)?(?:[^@\n]+@)?(?:www\.)?([^:\/\n]+)"")),"""")"),"gosouthwestengland.co.uk")</f>
        <v>gosouthwestengland.co.uk</v>
      </c>
      <c r="E4552" s="26" t="str">
        <f ca="1">IFERROR(__xludf.DUMMYFUNCTION("""COMPUTED_VALUE"""),"New")</f>
        <v>New</v>
      </c>
      <c r="F4552" s="72">
        <v>29</v>
      </c>
      <c r="G4552" s="72">
        <v>18946</v>
      </c>
      <c r="H4552" s="27" t="s">
        <v>8201</v>
      </c>
      <c r="I4552" s="27" t="s">
        <v>8202</v>
      </c>
      <c r="K4552" s="27" t="s">
        <v>3798</v>
      </c>
      <c r="L4552" s="112"/>
      <c r="M4552" s="27" t="s">
        <v>7290</v>
      </c>
      <c r="N4552" s="48">
        <v>46083</v>
      </c>
      <c r="P4552" s="26"/>
    </row>
    <row r="4553" spans="1:16" ht="14.5">
      <c r="A4553" s="3" t="s">
        <v>256</v>
      </c>
      <c r="B4553" s="12" t="s">
        <v>2879</v>
      </c>
      <c r="C4553" s="49" t="s">
        <v>8203</v>
      </c>
      <c r="D4553" s="41" t="str">
        <f ca="1">IFERROR(__xludf.DUMMYFUNCTION("IFERROR(ARRAYFORMULA(REGEXEXTRACT(C4553,""^(?:https?:\/\/)?(?:[^@\n]+@)?(?:www\.)?([^:\/\n]+)"")),"""")"),"blog.inyourpocket.com")</f>
        <v>blog.inyourpocket.com</v>
      </c>
      <c r="E4553" s="26" t="str">
        <f ca="1">IFERROR(__xludf.DUMMYFUNCTION("""COMPUTED_VALUE"""),"New")</f>
        <v>New</v>
      </c>
      <c r="F4553" s="72">
        <v>72</v>
      </c>
      <c r="G4553" s="72">
        <v>36516</v>
      </c>
      <c r="J4553" s="27" t="s">
        <v>8204</v>
      </c>
      <c r="K4553" s="27" t="s">
        <v>3798</v>
      </c>
      <c r="L4553" s="112"/>
      <c r="M4553" s="27" t="s">
        <v>7290</v>
      </c>
      <c r="N4553" s="48">
        <v>46083</v>
      </c>
      <c r="P4553" s="26"/>
    </row>
    <row r="4554" spans="1:16" ht="14.5">
      <c r="A4554" s="3" t="s">
        <v>256</v>
      </c>
      <c r="B4554" s="12" t="s">
        <v>2879</v>
      </c>
      <c r="C4554" s="46" t="s">
        <v>8205</v>
      </c>
      <c r="D4554" s="41" t="str">
        <f ca="1">IFERROR(__xludf.DUMMYFUNCTION("IFERROR(ARRAYFORMULA(REGEXEXTRACT(C4554,""^(?:https?:\/\/)?(?:[^@\n]+@)?(?:www\.)?([^:\/\n]+)"")),"""")"),"viessmann.co.uk")</f>
        <v>viessmann.co.uk</v>
      </c>
      <c r="E4554" s="26" t="str">
        <f ca="1">IFERROR(__xludf.DUMMYFUNCTION("""COMPUTED_VALUE"""),"New")</f>
        <v>New</v>
      </c>
      <c r="F4554" s="72">
        <v>71</v>
      </c>
      <c r="G4554" s="72">
        <v>60912</v>
      </c>
      <c r="P4554" s="26"/>
    </row>
    <row r="4555" spans="1:16" ht="14.5">
      <c r="A4555" s="3" t="s">
        <v>256</v>
      </c>
      <c r="B4555" s="12" t="s">
        <v>2879</v>
      </c>
      <c r="C4555" s="46" t="s">
        <v>8206</v>
      </c>
      <c r="D4555" s="41" t="str">
        <f ca="1">IFERROR(__xludf.DUMMYFUNCTION("IFERROR(ARRAYFORMULA(REGEXEXTRACT(C4555,""^(?:https?:\/\/)?(?:[^@\n]+@)?(?:www\.)?([^:\/\n]+)"")),"""")"),"the-sun.com")</f>
        <v>the-sun.com</v>
      </c>
      <c r="E4555" s="26" t="str">
        <f ca="1">IFERROR(__xludf.DUMMYFUNCTION("""COMPUTED_VALUE"""),"New")</f>
        <v>New</v>
      </c>
      <c r="F4555" s="72">
        <v>82</v>
      </c>
      <c r="G4555" s="72">
        <v>2383811</v>
      </c>
      <c r="P4555" s="26"/>
    </row>
    <row r="4556" spans="1:16" ht="14.5">
      <c r="A4556" s="3" t="s">
        <v>256</v>
      </c>
      <c r="B4556" s="12" t="s">
        <v>2879</v>
      </c>
      <c r="C4556" s="46" t="s">
        <v>8207</v>
      </c>
      <c r="D4556" s="41" t="str">
        <f ca="1">IFERROR(__xludf.DUMMYFUNCTION("IFERROR(ARRAYFORMULA(REGEXEXTRACT(C4556,""^(?:https?:\/\/)?(?:[^@\n]+@)?(?:www\.)?([^:\/\n]+)"")),"""")"),"moneyweek.com")</f>
        <v>moneyweek.com</v>
      </c>
      <c r="E4556" s="26" t="str">
        <f ca="1">IFERROR(__xludf.DUMMYFUNCTION("""COMPUTED_VALUE"""),"New")</f>
        <v>New</v>
      </c>
      <c r="F4556" s="72">
        <v>75</v>
      </c>
      <c r="G4556" s="72">
        <v>124663</v>
      </c>
      <c r="H4556" s="27" t="s">
        <v>8208</v>
      </c>
      <c r="I4556" s="27" t="s">
        <v>8209</v>
      </c>
      <c r="K4556" s="27" t="s">
        <v>3772</v>
      </c>
      <c r="L4556" s="112"/>
      <c r="M4556" s="27" t="s">
        <v>7290</v>
      </c>
      <c r="N4556" s="48">
        <v>46083</v>
      </c>
      <c r="P4556" s="26"/>
    </row>
    <row r="4557" spans="1:16" ht="14.5">
      <c r="A4557" s="3" t="s">
        <v>256</v>
      </c>
      <c r="B4557" s="12" t="s">
        <v>2879</v>
      </c>
      <c r="C4557" s="46" t="s">
        <v>8210</v>
      </c>
      <c r="D4557" s="41" t="str">
        <f ca="1">IFERROR(__xludf.DUMMYFUNCTION("IFERROR(ARRAYFORMULA(REGEXEXTRACT(C4557,""^(?:https?:\/\/)?(?:[^@\n]+@)?(?:www\.)?([^:\/\n]+)"")),"""")"),"ukstartupblog.co.uk")</f>
        <v>ukstartupblog.co.uk</v>
      </c>
      <c r="E4557" s="26" t="str">
        <f ca="1">IFERROR(__xludf.DUMMYFUNCTION("""COMPUTED_VALUE"""),"New")</f>
        <v>New</v>
      </c>
      <c r="F4557" s="72">
        <v>27</v>
      </c>
      <c r="G4557" s="72">
        <v>2108</v>
      </c>
      <c r="P4557" s="26"/>
    </row>
    <row r="4558" spans="1:16" ht="14.5">
      <c r="A4558" s="3" t="s">
        <v>256</v>
      </c>
      <c r="B4558" s="12" t="s">
        <v>2879</v>
      </c>
      <c r="C4558" s="46" t="s">
        <v>8211</v>
      </c>
      <c r="D4558" s="41" t="str">
        <f ca="1">IFERROR(__xludf.DUMMYFUNCTION("IFERROR(ARRAYFORMULA(REGEXEXTRACT(C4558,""^(?:https?:\/\/)?(?:[^@\n]+@)?(?:www\.)?([^:\/\n]+)"")),"""")"),"landlordzone.co.uk")</f>
        <v>landlordzone.co.uk</v>
      </c>
      <c r="E4558" s="26" t="str">
        <f ca="1">IFERROR(__xludf.DUMMYFUNCTION("""COMPUTED_VALUE"""),"New")</f>
        <v>New</v>
      </c>
      <c r="F4558" s="72">
        <v>67</v>
      </c>
      <c r="G4558" s="72">
        <v>12907</v>
      </c>
      <c r="P4558" s="26"/>
    </row>
    <row r="4559" spans="1:16" ht="14.5">
      <c r="A4559" s="3" t="s">
        <v>256</v>
      </c>
      <c r="B4559" s="12" t="s">
        <v>2879</v>
      </c>
      <c r="C4559" s="46" t="s">
        <v>8212</v>
      </c>
      <c r="D4559" s="41" t="str">
        <f ca="1">IFERROR(__xludf.DUMMYFUNCTION("IFERROR(ARRAYFORMULA(REGEXEXTRACT(C4559,""^(?:https?:\/\/)?(?:[^@\n]+@)?(?:www\.)?([^:\/\n]+)"")),"""")"),"gbnews.com")</f>
        <v>gbnews.com</v>
      </c>
      <c r="E4559" s="26" t="str">
        <f ca="1">IFERROR(__xludf.DUMMYFUNCTION("""COMPUTED_VALUE"""),"New")</f>
        <v>New</v>
      </c>
      <c r="F4559" s="72">
        <v>75</v>
      </c>
      <c r="G4559" s="72">
        <v>1457321</v>
      </c>
      <c r="P4559" s="26"/>
    </row>
    <row r="4560" spans="1:16" ht="14.5">
      <c r="A4560" s="3" t="s">
        <v>256</v>
      </c>
      <c r="B4560" s="12" t="s">
        <v>2879</v>
      </c>
      <c r="C4560" s="46" t="s">
        <v>8213</v>
      </c>
      <c r="D4560" s="41" t="str">
        <f ca="1">IFERROR(__xludf.DUMMYFUNCTION("IFERROR(ARRAYFORMULA(REGEXEXTRACT(C4560,""^(?:https?:\/\/)?(?:[^@\n]+@)?(?:www\.)?([^:\/\n]+)"")),"""")"),"bellway.co.uk")</f>
        <v>bellway.co.uk</v>
      </c>
      <c r="E4560" s="26" t="str">
        <f ca="1">IFERROR(__xludf.DUMMYFUNCTION("""COMPUTED_VALUE"""),"New")</f>
        <v>New</v>
      </c>
      <c r="F4560" s="72">
        <v>66</v>
      </c>
      <c r="G4560" s="72">
        <v>77745</v>
      </c>
      <c r="P4560" s="26"/>
    </row>
    <row r="4561" spans="1:16" ht="14.5">
      <c r="A4561" s="3" t="s">
        <v>256</v>
      </c>
      <c r="B4561" s="12" t="s">
        <v>2879</v>
      </c>
      <c r="C4561" s="49" t="s">
        <v>8214</v>
      </c>
      <c r="D4561" s="41" t="str">
        <f ca="1">IFERROR(__xludf.DUMMYFUNCTION("IFERROR(ARRAYFORMULA(REGEXEXTRACT(C4561,""^(?:https?:\/\/)?(?:[^@\n]+@)?(?:www\.)?([^:\/\n]+)"")),"""")"),"ealing.news")</f>
        <v>ealing.news</v>
      </c>
      <c r="E4561" s="26" t="str">
        <f ca="1">IFERROR(__xludf.DUMMYFUNCTION("""COMPUTED_VALUE"""),"New")</f>
        <v>New</v>
      </c>
      <c r="F4561" s="72">
        <v>46</v>
      </c>
      <c r="G4561" s="72">
        <v>2728</v>
      </c>
      <c r="J4561" s="27" t="s">
        <v>8215</v>
      </c>
      <c r="K4561" s="27" t="s">
        <v>3772</v>
      </c>
      <c r="L4561" s="112"/>
      <c r="M4561" s="27" t="s">
        <v>7290</v>
      </c>
      <c r="N4561" s="48">
        <v>46083</v>
      </c>
      <c r="P4561" s="26"/>
    </row>
    <row r="4562" spans="1:16" ht="14.5">
      <c r="A4562" s="3" t="s">
        <v>256</v>
      </c>
      <c r="B4562" s="12" t="s">
        <v>2879</v>
      </c>
      <c r="C4562" s="46" t="s">
        <v>8216</v>
      </c>
      <c r="D4562" s="41" t="str">
        <f ca="1">IFERROR(__xludf.DUMMYFUNCTION("IFERROR(ARRAYFORMULA(REGEXEXTRACT(C4562,""^(?:https?:\/\/)?(?:[^@\n]+@)?(?:www\.)?([^:\/\n]+)"")),"""")"),"westleedsdispatch.com")</f>
        <v>westleedsdispatch.com</v>
      </c>
      <c r="E4562" s="26" t="str">
        <f ca="1">IFERROR(__xludf.DUMMYFUNCTION("""COMPUTED_VALUE"""),"New")</f>
        <v>New</v>
      </c>
      <c r="F4562" s="72">
        <v>42</v>
      </c>
      <c r="G4562" s="72">
        <v>3355</v>
      </c>
      <c r="P4562" s="26"/>
    </row>
    <row r="4563" spans="1:16" ht="14.5">
      <c r="A4563" s="3" t="s">
        <v>256</v>
      </c>
      <c r="B4563" s="12" t="s">
        <v>2879</v>
      </c>
      <c r="C4563" s="49" t="s">
        <v>8217</v>
      </c>
      <c r="D4563" s="41" t="str">
        <f ca="1">IFERROR(__xludf.DUMMYFUNCTION("IFERROR(ARRAYFORMULA(REGEXEXTRACT(C4563,""^(?:https?:\/\/)?(?:[^@\n]+@)?(?:www\.)?([^:\/\n]+)"")),"""")"),"ifamagazine.com")</f>
        <v>ifamagazine.com</v>
      </c>
      <c r="E4563" s="26" t="str">
        <f ca="1">IFERROR(__xludf.DUMMYFUNCTION("""COMPUTED_VALUE"""),"New")</f>
        <v>New</v>
      </c>
      <c r="F4563" s="72">
        <v>71</v>
      </c>
      <c r="G4563" s="72">
        <v>4882</v>
      </c>
      <c r="H4563" s="27" t="s">
        <v>8218</v>
      </c>
      <c r="I4563" s="27" t="s">
        <v>8219</v>
      </c>
      <c r="J4563" s="27" t="s">
        <v>8220</v>
      </c>
      <c r="K4563" s="27" t="s">
        <v>3772</v>
      </c>
      <c r="L4563" s="112"/>
      <c r="M4563" s="27" t="s">
        <v>7290</v>
      </c>
      <c r="N4563" s="48">
        <v>46083</v>
      </c>
      <c r="P4563" s="26"/>
    </row>
    <row r="4564" spans="1:16" ht="14.5">
      <c r="A4564" s="3" t="s">
        <v>256</v>
      </c>
      <c r="B4564" s="12" t="s">
        <v>2879</v>
      </c>
      <c r="C4564" s="49" t="s">
        <v>8221</v>
      </c>
      <c r="D4564" s="41" t="str">
        <f ca="1">IFERROR(__xludf.DUMMYFUNCTION("IFERROR(ARRAYFORMULA(REGEXEXTRACT(C4564,""^(?:https?:\/\/)?(?:[^@\n]+@)?(?:www\.)?([^:\/\n]+)"")),"""")"),"chesterfield.co.uk")</f>
        <v>chesterfield.co.uk</v>
      </c>
      <c r="E4564" s="26" t="str">
        <f ca="1">IFERROR(__xludf.DUMMYFUNCTION("""COMPUTED_VALUE"""),"New")</f>
        <v>New</v>
      </c>
      <c r="F4564" s="72">
        <v>55</v>
      </c>
      <c r="G4564" s="72">
        <v>3295</v>
      </c>
      <c r="H4564" s="27" t="s">
        <v>8222</v>
      </c>
      <c r="I4564" s="27" t="s">
        <v>8223</v>
      </c>
      <c r="K4564" s="27" t="s">
        <v>3772</v>
      </c>
      <c r="L4564" s="112"/>
      <c r="M4564" s="27" t="s">
        <v>7290</v>
      </c>
      <c r="N4564" s="48">
        <v>46083</v>
      </c>
      <c r="P4564" s="26"/>
    </row>
    <row r="4565" spans="1:16" ht="14.5">
      <c r="A4565" s="3" t="s">
        <v>256</v>
      </c>
      <c r="B4565" s="12" t="s">
        <v>2879</v>
      </c>
      <c r="C4565" s="46" t="s">
        <v>8224</v>
      </c>
      <c r="D4565" s="41" t="str">
        <f ca="1">IFERROR(__xludf.DUMMYFUNCTION("IFERROR(ARRAYFORMULA(REGEXEXTRACT(C4565,""^(?:https?:\/\/)?(?:[^@\n]+@)?(?:www\.)?([^:\/\n]+)"")),"""")"),"guildford.org.uk")</f>
        <v>guildford.org.uk</v>
      </c>
      <c r="E4565" s="26" t="str">
        <f ca="1">IFERROR(__xludf.DUMMYFUNCTION("""COMPUTED_VALUE"""),"New")</f>
        <v>New</v>
      </c>
      <c r="F4565" s="72">
        <v>44</v>
      </c>
      <c r="G4565" s="72">
        <v>2491</v>
      </c>
      <c r="P4565" s="26"/>
    </row>
    <row r="4566" spans="1:16" ht="14.5">
      <c r="A4566" s="3" t="s">
        <v>256</v>
      </c>
      <c r="B4566" s="12" t="s">
        <v>2879</v>
      </c>
      <c r="C4566" s="46" t="s">
        <v>8225</v>
      </c>
      <c r="D4566" s="41" t="str">
        <f ca="1">IFERROR(__xludf.DUMMYFUNCTION("IFERROR(ARRAYFORMULA(REGEXEXTRACT(C4566,""^(?:https?:\/\/)?(?:[^@\n]+@)?(?:www\.)?([^:\/\n]+)"")),"""")"),"newwavemagazine.com")</f>
        <v>newwavemagazine.com</v>
      </c>
      <c r="E4566" s="26" t="str">
        <f ca="1">IFERROR(__xludf.DUMMYFUNCTION("""COMPUTED_VALUE"""),"New")</f>
        <v>New</v>
      </c>
      <c r="F4566" s="72">
        <v>57</v>
      </c>
      <c r="G4566" s="72">
        <v>5719</v>
      </c>
      <c r="P4566" s="26"/>
    </row>
    <row r="4567" spans="1:16" ht="14.5">
      <c r="A4567" s="3" t="s">
        <v>256</v>
      </c>
      <c r="B4567" s="12" t="s">
        <v>2879</v>
      </c>
      <c r="C4567" s="46" t="s">
        <v>8226</v>
      </c>
      <c r="D4567" s="41" t="str">
        <f ca="1">IFERROR(__xludf.DUMMYFUNCTION("IFERROR(ARRAYFORMULA(REGEXEXTRACT(C4567,""^(?:https?:\/\/)?(?:[^@\n]+@)?(?:www\.)?([^:\/\n]+)"")),"""")"),"galliardhomes.com")</f>
        <v>galliardhomes.com</v>
      </c>
      <c r="E4567" s="26" t="str">
        <f ca="1">IFERROR(__xludf.DUMMYFUNCTION("""COMPUTED_VALUE"""),"New")</f>
        <v>New</v>
      </c>
      <c r="F4567" s="72">
        <v>53</v>
      </c>
      <c r="G4567" s="72">
        <v>12323</v>
      </c>
      <c r="P4567" s="26"/>
    </row>
    <row r="4568" spans="1:16" ht="14.5">
      <c r="A4568" s="3" t="s">
        <v>256</v>
      </c>
      <c r="B4568" s="12" t="s">
        <v>2879</v>
      </c>
      <c r="C4568" s="46" t="s">
        <v>8227</v>
      </c>
      <c r="D4568" s="41" t="str">
        <f ca="1">IFERROR(__xludf.DUMMYFUNCTION("IFERROR(ARRAYFORMULA(REGEXEXTRACT(C4568,""^(?:https?:\/\/)?(?:[^@\n]+@)?(?:www\.)?([^:\/\n]+)"")),"""")"),"theculturetrip.com")</f>
        <v>theculturetrip.com</v>
      </c>
      <c r="E4568" s="26" t="str">
        <f ca="1">IFERROR(__xludf.DUMMYFUNCTION("""COMPUTED_VALUE"""),"New")</f>
        <v>New</v>
      </c>
      <c r="F4568" s="72">
        <v>84</v>
      </c>
      <c r="G4568" s="72">
        <v>230852</v>
      </c>
      <c r="P4568" s="26"/>
    </row>
    <row r="4569" spans="1:16" ht="14.5">
      <c r="A4569" s="3" t="s">
        <v>256</v>
      </c>
      <c r="B4569" s="12" t="s">
        <v>2879</v>
      </c>
      <c r="C4569" s="46" t="s">
        <v>8228</v>
      </c>
      <c r="D4569" s="41" t="str">
        <f ca="1">IFERROR(__xludf.DUMMYFUNCTION("IFERROR(ARRAYFORMULA(REGEXEXTRACT(C4569,""^(?:https?:\/\/)?(?:[^@\n]+@)?(?:www\.)?([^:\/\n]+)"")),"""")"),"manchestereveningnews.co.uk")</f>
        <v>manchestereveningnews.co.uk</v>
      </c>
      <c r="E4569" s="26" t="str">
        <f ca="1">IFERROR(__xludf.DUMMYFUNCTION("""COMPUTED_VALUE"""),"New")</f>
        <v>New</v>
      </c>
      <c r="F4569" s="72">
        <v>82</v>
      </c>
      <c r="G4569" s="72">
        <v>2266274</v>
      </c>
      <c r="P4569" s="26"/>
    </row>
    <row r="4570" spans="1:16" ht="14.5" hidden="1">
      <c r="A4570" s="3" t="s">
        <v>256</v>
      </c>
      <c r="B4570" s="12" t="s">
        <v>2879</v>
      </c>
      <c r="C4570" s="47" t="s">
        <v>8229</v>
      </c>
      <c r="D4570" s="41" t="str">
        <f ca="1">IFERROR(__xludf.DUMMYFUNCTION("IFERROR(ARRAYFORMULA(REGEXEXTRACT(C4570,""^(?:https?:\/\/)?(?:[^@\n]+@)?(?:www\.)?([^:\/\n]+)"")),"""")"),"ecomagazine.co.uk")</f>
        <v>ecomagazine.co.uk</v>
      </c>
      <c r="E4570" s="26" t="str">
        <f ca="1">IFERROR(__xludf.DUMMYFUNCTION("""COMPUTED_VALUE"""),"Already Exists")</f>
        <v>Already Exists</v>
      </c>
      <c r="F4570" s="72">
        <v>64</v>
      </c>
      <c r="G4570" s="72">
        <v>2264</v>
      </c>
      <c r="J4570" s="27" t="s">
        <v>8230</v>
      </c>
      <c r="K4570" s="27" t="s">
        <v>3756</v>
      </c>
      <c r="L4570" s="112"/>
      <c r="M4570" s="27" t="s">
        <v>7290</v>
      </c>
      <c r="N4570" s="48">
        <v>46083</v>
      </c>
      <c r="P4570" s="27" t="s">
        <v>3201</v>
      </c>
    </row>
    <row r="4571" spans="1:16" ht="14.5">
      <c r="A4571" s="3" t="s">
        <v>256</v>
      </c>
      <c r="B4571" s="12" t="s">
        <v>2879</v>
      </c>
      <c r="C4571" s="46" t="s">
        <v>8231</v>
      </c>
      <c r="D4571" s="41" t="str">
        <f ca="1">IFERROR(__xludf.DUMMYFUNCTION("IFERROR(ARRAYFORMULA(REGEXEXTRACT(C4571,""^(?:https?:\/\/)?(?:[^@\n]+@)?(?:www\.)?([^:\/\n]+)"")),"""")"),"ukinvestormagazine.co.uk")</f>
        <v>ukinvestormagazine.co.uk</v>
      </c>
      <c r="E4571" s="26" t="str">
        <f ca="1">IFERROR(__xludf.DUMMYFUNCTION("""COMPUTED_VALUE"""),"New")</f>
        <v>New</v>
      </c>
      <c r="F4571" s="72">
        <v>54</v>
      </c>
      <c r="G4571" s="72">
        <v>2996</v>
      </c>
      <c r="P4571" s="26"/>
    </row>
    <row r="4572" spans="1:16" ht="14.5">
      <c r="A4572" s="3" t="s">
        <v>256</v>
      </c>
      <c r="B4572" s="12" t="s">
        <v>2879</v>
      </c>
      <c r="C4572" s="46" t="s">
        <v>8232</v>
      </c>
      <c r="D4572" s="41" t="str">
        <f ca="1">IFERROR(__xludf.DUMMYFUNCTION("IFERROR(ARRAYFORMULA(REGEXEXTRACT(C4572,""^(?:https?:\/\/)?(?:[^@\n]+@)?(?:www\.)?([^:\/\n]+)"")),"""")"),"frugalfamily.co.uk")</f>
        <v>frugalfamily.co.uk</v>
      </c>
      <c r="E4572" s="26" t="str">
        <f ca="1">IFERROR(__xludf.DUMMYFUNCTION("""COMPUTED_VALUE"""),"New")</f>
        <v>New</v>
      </c>
      <c r="F4572" s="72">
        <v>39</v>
      </c>
      <c r="G4572" s="72">
        <v>5755</v>
      </c>
      <c r="P4572" s="26"/>
    </row>
    <row r="4573" spans="1:16" ht="14.5">
      <c r="A4573" s="3" t="s">
        <v>256</v>
      </c>
      <c r="B4573" s="12" t="s">
        <v>2879</v>
      </c>
      <c r="C4573" s="46" t="s">
        <v>8233</v>
      </c>
      <c r="D4573" s="41" t="str">
        <f ca="1">IFERROR(__xludf.DUMMYFUNCTION("IFERROR(ARRAYFORMULA(REGEXEXTRACT(C4573,""^(?:https?:\/\/)?(?:[^@\n]+@)?(?:www\.)?([^:\/\n]+)"")),"""")"),"digitaloft.co.uk")</f>
        <v>digitaloft.co.uk</v>
      </c>
      <c r="E4573" s="26" t="str">
        <f ca="1">IFERROR(__xludf.DUMMYFUNCTION("""COMPUTED_VALUE"""),"New")</f>
        <v>New</v>
      </c>
      <c r="F4573" s="72">
        <v>63</v>
      </c>
      <c r="G4573" s="72">
        <v>3370</v>
      </c>
      <c r="P4573" s="26"/>
    </row>
    <row r="4574" spans="1:16" ht="14.5">
      <c r="A4574" s="3" t="s">
        <v>256</v>
      </c>
      <c r="B4574" s="12" t="s">
        <v>2879</v>
      </c>
      <c r="C4574" s="46" t="s">
        <v>8234</v>
      </c>
      <c r="D4574" s="41" t="str">
        <f ca="1">IFERROR(__xludf.DUMMYFUNCTION("IFERROR(ARRAYFORMULA(REGEXEXTRACT(C4574,""^(?:https?:\/\/)?(?:[^@\n]+@)?(?:www\.)?([^:\/\n]+)"")),"""")"),"loveproperty.com")</f>
        <v>loveproperty.com</v>
      </c>
      <c r="E4574" s="26" t="str">
        <f ca="1">IFERROR(__xludf.DUMMYFUNCTION("""COMPUTED_VALUE"""),"New")</f>
        <v>New</v>
      </c>
      <c r="F4574" s="72">
        <v>59</v>
      </c>
      <c r="G4574" s="72">
        <v>46894</v>
      </c>
      <c r="P4574" s="26"/>
    </row>
    <row r="4575" spans="1:16" ht="14.5">
      <c r="A4575" s="3" t="s">
        <v>256</v>
      </c>
      <c r="B4575" s="12" t="s">
        <v>2879</v>
      </c>
      <c r="C4575" s="46" t="s">
        <v>8235</v>
      </c>
      <c r="D4575" s="41" t="str">
        <f ca="1">IFERROR(__xludf.DUMMYFUNCTION("IFERROR(ARRAYFORMULA(REGEXEXTRACT(C4575,""^(?:https?:\/\/)?(?:[^@\n]+@)?(?:www\.)?([^:\/\n]+)"")),"""")"),"blog.seeff.com")</f>
        <v>blog.seeff.com</v>
      </c>
      <c r="E4575" s="26" t="str">
        <f ca="1">IFERROR(__xludf.DUMMYFUNCTION("""COMPUTED_VALUE"""),"New")</f>
        <v>New</v>
      </c>
      <c r="F4575" s="72">
        <v>55</v>
      </c>
      <c r="G4575" s="72">
        <v>86867</v>
      </c>
      <c r="P4575" s="26"/>
    </row>
    <row r="4576" spans="1:16" ht="14.5">
      <c r="A4576" s="3" t="s">
        <v>256</v>
      </c>
      <c r="B4576" s="12" t="s">
        <v>2879</v>
      </c>
      <c r="C4576" s="46" t="s">
        <v>8236</v>
      </c>
      <c r="D4576" s="41" t="str">
        <f ca="1">IFERROR(__xludf.DUMMYFUNCTION("IFERROR(ARRAYFORMULA(REGEXEXTRACT(C4576,""^(?:https?:\/\/)?(?:[^@\n]+@)?(?:www\.)?([^:\/\n]+)"")),"""")"),"premiercareinbathing.co.uk")</f>
        <v>premiercareinbathing.co.uk</v>
      </c>
      <c r="E4576" s="26" t="str">
        <f ca="1">IFERROR(__xludf.DUMMYFUNCTION("""COMPUTED_VALUE"""),"New")</f>
        <v>New</v>
      </c>
      <c r="F4576" s="72">
        <v>26</v>
      </c>
      <c r="G4576" s="72">
        <v>2051</v>
      </c>
      <c r="P4576" s="26"/>
    </row>
    <row r="4577" spans="1:16" ht="14.5">
      <c r="A4577" s="3" t="s">
        <v>256</v>
      </c>
      <c r="B4577" s="12" t="s">
        <v>2879</v>
      </c>
      <c r="C4577" s="49" t="s">
        <v>8237</v>
      </c>
      <c r="D4577" s="41" t="str">
        <f ca="1">IFERROR(__xludf.DUMMYFUNCTION("IFERROR(ARRAYFORMULA(REGEXEXTRACT(C4577,""^(?:https?:\/\/)?(?:[^@\n]+@)?(?:www\.)?([^:\/\n]+)"")),"""")"),"londonmumsmagazine.com")</f>
        <v>londonmumsmagazine.com</v>
      </c>
      <c r="E4577" s="26" t="str">
        <f ca="1">IFERROR(__xludf.DUMMYFUNCTION("""COMPUTED_VALUE"""),"New")</f>
        <v>New</v>
      </c>
      <c r="F4577" s="72">
        <v>33</v>
      </c>
      <c r="G4577" s="72">
        <v>3298</v>
      </c>
      <c r="J4577" s="27" t="s">
        <v>8238</v>
      </c>
      <c r="K4577" s="27" t="s">
        <v>3756</v>
      </c>
      <c r="L4577" s="112"/>
      <c r="M4577" s="75" t="s">
        <v>7290</v>
      </c>
      <c r="N4577" s="48">
        <v>46083</v>
      </c>
      <c r="P4577" s="26"/>
    </row>
    <row r="4578" spans="1:16" ht="14.5">
      <c r="A4578" s="3" t="s">
        <v>256</v>
      </c>
      <c r="B4578" s="12" t="s">
        <v>2879</v>
      </c>
      <c r="C4578" s="46" t="s">
        <v>8239</v>
      </c>
      <c r="D4578" s="41" t="str">
        <f ca="1">IFERROR(__xludf.DUMMYFUNCTION("IFERROR(ARRAYFORMULA(REGEXEXTRACT(C4578,""^(?:https?:\/\/)?(?:[^@\n]+@)?(?:www\.)?([^:\/\n]+)"")),"""")"),"essentialliving.co.uk")</f>
        <v>essentialliving.co.uk</v>
      </c>
      <c r="E4578" s="26" t="str">
        <f ca="1">IFERROR(__xludf.DUMMYFUNCTION("""COMPUTED_VALUE"""),"New")</f>
        <v>New</v>
      </c>
      <c r="F4578" s="72">
        <v>44</v>
      </c>
      <c r="G4578" s="72">
        <v>25233</v>
      </c>
      <c r="P4578" s="26"/>
    </row>
    <row r="4579" spans="1:16" ht="14.5">
      <c r="A4579" s="3" t="s">
        <v>256</v>
      </c>
      <c r="B4579" s="12" t="s">
        <v>2879</v>
      </c>
      <c r="C4579" s="49" t="s">
        <v>8240</v>
      </c>
      <c r="D4579" s="41" t="str">
        <f ca="1">IFERROR(__xludf.DUMMYFUNCTION("IFERROR(ARRAYFORMULA(REGEXEXTRACT(C4579,""^(?:https?:\/\/)?(?:[^@\n]+@)?(?:www\.)?([^:\/\n]+)"")),"""")"),"solihullobserver.co.uk")</f>
        <v>solihullobserver.co.uk</v>
      </c>
      <c r="E4579" s="26" t="str">
        <f ca="1">IFERROR(__xludf.DUMMYFUNCTION("""COMPUTED_VALUE"""),"New")</f>
        <v>New</v>
      </c>
      <c r="F4579" s="72">
        <v>49</v>
      </c>
      <c r="G4579" s="72">
        <v>2336</v>
      </c>
      <c r="H4579" s="27" t="s">
        <v>8241</v>
      </c>
      <c r="I4579" s="27" t="s">
        <v>8242</v>
      </c>
      <c r="J4579" s="27" t="s">
        <v>8243</v>
      </c>
      <c r="K4579" s="27" t="s">
        <v>3772</v>
      </c>
      <c r="L4579" s="112"/>
      <c r="M4579" s="27" t="s">
        <v>3117</v>
      </c>
      <c r="N4579" s="48">
        <v>46083</v>
      </c>
      <c r="P4579" s="26"/>
    </row>
    <row r="4580" spans="1:16" ht="14.5">
      <c r="A4580" s="3" t="s">
        <v>256</v>
      </c>
      <c r="B4580" s="12" t="s">
        <v>2879</v>
      </c>
      <c r="C4580" s="46" t="s">
        <v>8244</v>
      </c>
      <c r="D4580" s="41" t="str">
        <f ca="1">IFERROR(__xludf.DUMMYFUNCTION("IFERROR(ARRAYFORMULA(REGEXEXTRACT(C4580,""^(?:https?:\/\/)?(?:[^@\n]+@)?(?:www\.)?([^:\/\n]+)"")),"""")"),"countryliving.com")</f>
        <v>countryliving.com</v>
      </c>
      <c r="E4580" s="26" t="str">
        <f ca="1">IFERROR(__xludf.DUMMYFUNCTION("""COMPUTED_VALUE"""),"New")</f>
        <v>New</v>
      </c>
      <c r="F4580" s="72">
        <v>85</v>
      </c>
      <c r="G4580" s="72">
        <v>2487432</v>
      </c>
      <c r="P4580" s="26"/>
    </row>
    <row r="4581" spans="1:16" ht="14.5">
      <c r="A4581" s="3" t="s">
        <v>256</v>
      </c>
      <c r="B4581" s="12" t="s">
        <v>2879</v>
      </c>
      <c r="C4581" s="49" t="s">
        <v>8245</v>
      </c>
      <c r="D4581" s="41" t="str">
        <f ca="1">IFERROR(__xludf.DUMMYFUNCTION("IFERROR(ARRAYFORMULA(REGEXEXTRACT(C4581,""^(?:https?:\/\/)?(?:[^@\n]+@)?(?:www\.)?([^:\/\n]+)"")),"""")"),"thenegotiator.co.uk")</f>
        <v>thenegotiator.co.uk</v>
      </c>
      <c r="E4581" s="26" t="str">
        <f ca="1">IFERROR(__xludf.DUMMYFUNCTION("""COMPUTED_VALUE"""),"New")</f>
        <v>New</v>
      </c>
      <c r="F4581" s="72">
        <v>70</v>
      </c>
      <c r="G4581" s="72">
        <v>4174</v>
      </c>
      <c r="P4581" s="26"/>
    </row>
    <row r="4582" spans="1:16" ht="14.5">
      <c r="A4582" s="3" t="s">
        <v>256</v>
      </c>
      <c r="B4582" s="12" t="s">
        <v>2879</v>
      </c>
      <c r="C4582" s="46" t="s">
        <v>8246</v>
      </c>
      <c r="D4582" s="41" t="str">
        <f ca="1">IFERROR(__xludf.DUMMYFUNCTION("IFERROR(ARRAYFORMULA(REGEXEXTRACT(C4582,""^(?:https?:\/\/)?(?:[^@\n]+@)?(?:www\.)?([^:\/\n]+)"")),"""")"),"deeside.com")</f>
        <v>deeside.com</v>
      </c>
      <c r="E4582" s="26" t="str">
        <f ca="1">IFERROR(__xludf.DUMMYFUNCTION("""COMPUTED_VALUE"""),"New")</f>
        <v>New</v>
      </c>
      <c r="F4582" s="72">
        <v>51</v>
      </c>
      <c r="G4582" s="72">
        <v>9238</v>
      </c>
      <c r="P4582" s="26"/>
    </row>
    <row r="4583" spans="1:16" ht="14.5">
      <c r="A4583" s="3" t="s">
        <v>256</v>
      </c>
      <c r="B4583" s="12" t="s">
        <v>2879</v>
      </c>
      <c r="C4583" s="46" t="s">
        <v>8247</v>
      </c>
      <c r="D4583" s="41" t="str">
        <f ca="1">IFERROR(__xludf.DUMMYFUNCTION("IFERROR(ARRAYFORMULA(REGEXEXTRACT(C4583,""^(?:https?:\/\/)?(?:[^@\n]+@)?(?:www\.)?([^:\/\n]+)"")),"""")"),"kbbreview.com")</f>
        <v>kbbreview.com</v>
      </c>
      <c r="E4583" s="26" t="str">
        <f ca="1">IFERROR(__xludf.DUMMYFUNCTION("""COMPUTED_VALUE"""),"New")</f>
        <v>New</v>
      </c>
      <c r="F4583" s="72">
        <v>56</v>
      </c>
      <c r="G4583" s="72">
        <v>1045</v>
      </c>
      <c r="P4583" s="26"/>
    </row>
    <row r="4584" spans="1:16" ht="14.5">
      <c r="A4584" s="3" t="s">
        <v>256</v>
      </c>
      <c r="B4584" s="12" t="s">
        <v>2879</v>
      </c>
      <c r="C4584" s="49" t="s">
        <v>8248</v>
      </c>
      <c r="D4584" s="41" t="str">
        <f ca="1">IFERROR(__xludf.DUMMYFUNCTION("IFERROR(ARRAYFORMULA(REGEXEXTRACT(C4584,""^(?:https?:\/\/)?(?:[^@\n]+@)?(?:www\.)?([^:\/\n]+)"")),"""")"),"themarblestore.co.uk")</f>
        <v>themarblestore.co.uk</v>
      </c>
      <c r="E4584" s="26" t="str">
        <f ca="1">IFERROR(__xludf.DUMMYFUNCTION("""COMPUTED_VALUE"""),"New")</f>
        <v>New</v>
      </c>
      <c r="F4584" s="72">
        <v>28</v>
      </c>
      <c r="G4584" s="72">
        <v>17071</v>
      </c>
      <c r="J4584" s="27" t="s">
        <v>8249</v>
      </c>
      <c r="K4584" s="27" t="s">
        <v>4951</v>
      </c>
      <c r="L4584" s="112"/>
      <c r="M4584" s="27" t="s">
        <v>3117</v>
      </c>
      <c r="N4584" s="48">
        <v>46083</v>
      </c>
      <c r="P4584" s="26"/>
    </row>
    <row r="4585" spans="1:16" ht="14.5">
      <c r="A4585" s="3" t="s">
        <v>256</v>
      </c>
      <c r="B4585" s="12" t="s">
        <v>2879</v>
      </c>
      <c r="C4585" s="49" t="s">
        <v>8250</v>
      </c>
      <c r="D4585" s="41" t="str">
        <f ca="1">IFERROR(__xludf.DUMMYFUNCTION("IFERROR(ARRAYFORMULA(REGEXEXTRACT(C4585,""^(?:https?:\/\/)?(?:[^@\n]+@)?(?:www\.)?([^:\/\n]+)"")),"""")"),"mpamag.com")</f>
        <v>mpamag.com</v>
      </c>
      <c r="E4585" s="26" t="str">
        <f ca="1">IFERROR(__xludf.DUMMYFUNCTION("""COMPUTED_VALUE"""),"New")</f>
        <v>New</v>
      </c>
      <c r="F4585" s="72">
        <v>76</v>
      </c>
      <c r="G4585" s="72">
        <v>40437</v>
      </c>
      <c r="H4585" s="27" t="s">
        <v>8251</v>
      </c>
      <c r="I4585" s="27" t="s">
        <v>8252</v>
      </c>
      <c r="K4585" s="27" t="s">
        <v>4278</v>
      </c>
      <c r="L4585" s="112"/>
      <c r="M4585" s="27" t="s">
        <v>3117</v>
      </c>
      <c r="N4585" s="48">
        <v>46083</v>
      </c>
      <c r="P4585" s="26"/>
    </row>
    <row r="4586" spans="1:16" ht="14.5">
      <c r="A4586" s="3" t="s">
        <v>256</v>
      </c>
      <c r="B4586" s="12" t="s">
        <v>2879</v>
      </c>
      <c r="C4586" s="46" t="s">
        <v>8253</v>
      </c>
      <c r="D4586" s="41" t="str">
        <f ca="1">IFERROR(__xludf.DUMMYFUNCTION("IFERROR(ARRAYFORMULA(REGEXEXTRACT(C4586,""^(?:https?:\/\/)?(?:[^@\n]+@)?(?:www\.)?([^:\/\n]+)"")),"""")"),"property118.com")</f>
        <v>property118.com</v>
      </c>
      <c r="E4586" s="26" t="str">
        <f ca="1">IFERROR(__xludf.DUMMYFUNCTION("""COMPUTED_VALUE"""),"New")</f>
        <v>New</v>
      </c>
      <c r="F4586" s="72">
        <v>56</v>
      </c>
      <c r="G4586" s="72">
        <v>39158</v>
      </c>
      <c r="P4586" s="26"/>
    </row>
    <row r="4587" spans="1:16" ht="14.5">
      <c r="A4587" s="3" t="s">
        <v>256</v>
      </c>
      <c r="B4587" s="12" t="s">
        <v>2879</v>
      </c>
      <c r="C4587" s="49" t="s">
        <v>8254</v>
      </c>
      <c r="D4587" s="41" t="str">
        <f ca="1">IFERROR(__xludf.DUMMYFUNCTION("IFERROR(ARRAYFORMULA(REGEXEXTRACT(C4587,""^(?:https?:\/\/)?(?:[^@\n]+@)?(?:www\.)?([^:\/\n]+)"")),"""")"),"jbkind.com")</f>
        <v>jbkind.com</v>
      </c>
      <c r="E4587" s="26" t="str">
        <f ca="1">IFERROR(__xludf.DUMMYFUNCTION("""COMPUTED_VALUE"""),"New")</f>
        <v>New</v>
      </c>
      <c r="F4587" s="72">
        <v>42</v>
      </c>
      <c r="G4587" s="72">
        <v>24898</v>
      </c>
      <c r="J4587" s="27" t="s">
        <v>8255</v>
      </c>
      <c r="K4587" s="27" t="s">
        <v>4951</v>
      </c>
      <c r="L4587" s="112"/>
      <c r="M4587" s="27" t="s">
        <v>3117</v>
      </c>
      <c r="N4587" s="48">
        <v>46083</v>
      </c>
      <c r="P4587" s="26"/>
    </row>
    <row r="4588" spans="1:16" ht="14.5">
      <c r="A4588" s="3" t="s">
        <v>256</v>
      </c>
      <c r="B4588" s="12" t="s">
        <v>2879</v>
      </c>
      <c r="C4588" s="46" t="s">
        <v>8256</v>
      </c>
      <c r="D4588" s="41" t="str">
        <f ca="1">IFERROR(__xludf.DUMMYFUNCTION("IFERROR(ARRAYFORMULA(REGEXEXTRACT(C4588,""^(?:https?:\/\/)?(?:[^@\n]+@)?(?:www\.)?([^:\/\n]+)"")),"""")"),"lawyer-monthly.com")</f>
        <v>lawyer-monthly.com</v>
      </c>
      <c r="E4588" s="26" t="str">
        <f ca="1">IFERROR(__xludf.DUMMYFUNCTION("""COMPUTED_VALUE"""),"New")</f>
        <v>New</v>
      </c>
      <c r="F4588" s="72">
        <v>72</v>
      </c>
      <c r="G4588" s="72">
        <v>3124</v>
      </c>
      <c r="P4588" s="26"/>
    </row>
    <row r="4589" spans="1:16" ht="14.5">
      <c r="A4589" s="3" t="s">
        <v>256</v>
      </c>
      <c r="B4589" s="12" t="s">
        <v>2879</v>
      </c>
      <c r="C4589" s="46" t="s">
        <v>8257</v>
      </c>
      <c r="D4589" s="41" t="str">
        <f ca="1">IFERROR(__xludf.DUMMYFUNCTION("IFERROR(ARRAYFORMULA(REGEXEXTRACT(C4589,""^(?:https?:\/\/)?(?:[^@\n]+@)?(?:www\.)?([^:\/\n]+)"")),"""")"),"clubhubuk.co.uk")</f>
        <v>clubhubuk.co.uk</v>
      </c>
      <c r="E4589" s="26" t="str">
        <f ca="1">IFERROR(__xludf.DUMMYFUNCTION("""COMPUTED_VALUE"""),"New")</f>
        <v>New</v>
      </c>
      <c r="F4589" s="72">
        <v>55</v>
      </c>
      <c r="G4589" s="72">
        <v>19839</v>
      </c>
      <c r="P4589" s="26"/>
    </row>
    <row r="4590" spans="1:16" ht="14.5" hidden="1">
      <c r="A4590" s="3" t="s">
        <v>256</v>
      </c>
      <c r="B4590" s="12" t="s">
        <v>2879</v>
      </c>
      <c r="C4590" s="46" t="s">
        <v>8258</v>
      </c>
      <c r="D4590" s="41" t="str">
        <f ca="1">IFERROR(__xludf.DUMMYFUNCTION("IFERROR(ARRAYFORMULA(REGEXEXTRACT(C4590,""^(?:https?:\/\/)?(?:[^@\n]+@)?(?:www\.)?([^:\/\n]+)"")),"""")"),"moneymagpie.com")</f>
        <v>moneymagpie.com</v>
      </c>
      <c r="E4590" s="26" t="str">
        <f ca="1">IFERROR(__xludf.DUMMYFUNCTION("""COMPUTED_VALUE"""),"Already Exists")</f>
        <v>Already Exists</v>
      </c>
      <c r="F4590" s="72">
        <v>59</v>
      </c>
      <c r="G4590" s="72">
        <v>9151</v>
      </c>
      <c r="P4590" s="26"/>
    </row>
    <row r="4591" spans="1:16" ht="14.5">
      <c r="A4591" s="3" t="s">
        <v>256</v>
      </c>
      <c r="B4591" s="12" t="s">
        <v>2879</v>
      </c>
      <c r="C4591" s="46" t="s">
        <v>8259</v>
      </c>
      <c r="D4591" s="41" t="str">
        <f ca="1">IFERROR(__xludf.DUMMYFUNCTION("IFERROR(ARRAYFORMULA(REGEXEXTRACT(C4591,""^(?:https?:\/\/)?(?:[^@\n]+@)?(?:www\.)?([^:\/\n]+)"")),"""")"),"granddesignsmagazine.com")</f>
        <v>granddesignsmagazine.com</v>
      </c>
      <c r="E4591" s="26" t="str">
        <f ca="1">IFERROR(__xludf.DUMMYFUNCTION("""COMPUTED_VALUE"""),"New")</f>
        <v>New</v>
      </c>
      <c r="F4591" s="72">
        <v>65</v>
      </c>
      <c r="G4591" s="72">
        <v>8691</v>
      </c>
      <c r="P4591" s="26"/>
    </row>
    <row r="4592" spans="1:16" ht="14.5">
      <c r="A4592" s="3" t="s">
        <v>256</v>
      </c>
      <c r="B4592" s="12" t="s">
        <v>2879</v>
      </c>
      <c r="C4592" s="46" t="s">
        <v>8260</v>
      </c>
      <c r="D4592" s="41" t="str">
        <f ca="1">IFERROR(__xludf.DUMMYFUNCTION("IFERROR(ARRAYFORMULA(REGEXEXTRACT(C4592,""^(?:https?:\/\/)?(?:[^@\n]+@)?(?:www\.)?([^:\/\n]+)"")),"""")"),"theveganreview.com")</f>
        <v>theveganreview.com</v>
      </c>
      <c r="E4592" s="26" t="str">
        <f ca="1">IFERROR(__xludf.DUMMYFUNCTION("""COMPUTED_VALUE"""),"New")</f>
        <v>New</v>
      </c>
      <c r="F4592" s="72">
        <v>46</v>
      </c>
      <c r="G4592" s="72">
        <v>10298</v>
      </c>
      <c r="P4592" s="26"/>
    </row>
    <row r="4593" spans="1:28" ht="14.5">
      <c r="A4593" s="3" t="s">
        <v>256</v>
      </c>
      <c r="B4593" s="12" t="s">
        <v>2879</v>
      </c>
      <c r="C4593" s="46" t="s">
        <v>8261</v>
      </c>
      <c r="D4593" s="41" t="str">
        <f ca="1">IFERROR(__xludf.DUMMYFUNCTION("IFERROR(ARRAYFORMULA(REGEXEXTRACT(C4593,""^(?:https?:\/\/)?(?:[^@\n]+@)?(?:www\.)?([^:\/\n]+)"")),"""")"),"internetchicks.co.uk")</f>
        <v>internetchicks.co.uk</v>
      </c>
      <c r="E4593" s="26" t="str">
        <f ca="1">IFERROR(__xludf.DUMMYFUNCTION("""COMPUTED_VALUE"""),"New")</f>
        <v>New</v>
      </c>
      <c r="F4593" s="72">
        <v>52</v>
      </c>
      <c r="G4593" s="72">
        <v>4417</v>
      </c>
      <c r="P4593" s="26"/>
    </row>
    <row r="4594" spans="1:28" ht="14.5">
      <c r="A4594" s="3" t="s">
        <v>256</v>
      </c>
      <c r="B4594" s="12" t="s">
        <v>2879</v>
      </c>
      <c r="C4594" s="46" t="s">
        <v>8262</v>
      </c>
      <c r="D4594" s="41" t="str">
        <f ca="1">IFERROR(__xludf.DUMMYFUNCTION("IFERROR(ARRAYFORMULA(REGEXEXTRACT(C4594,""^(?:https?:\/\/)?(?:[^@\n]+@)?(?:www\.)?([^:\/\n]+)"")),"""")"),"katzenworld.co.uk")</f>
        <v>katzenworld.co.uk</v>
      </c>
      <c r="E4594" s="26" t="str">
        <f ca="1">IFERROR(__xludf.DUMMYFUNCTION("""COMPUTED_VALUE"""),"New")</f>
        <v>New</v>
      </c>
      <c r="F4594" s="72">
        <v>43</v>
      </c>
      <c r="G4594" s="72">
        <v>1236</v>
      </c>
      <c r="P4594" s="26"/>
    </row>
    <row r="4595" spans="1:28" ht="14.5">
      <c r="A4595" s="3" t="s">
        <v>256</v>
      </c>
      <c r="B4595" s="12" t="s">
        <v>2879</v>
      </c>
      <c r="C4595" s="46" t="s">
        <v>8263</v>
      </c>
      <c r="D4595" s="41" t="str">
        <f ca="1">IFERROR(__xludf.DUMMYFUNCTION("IFERROR(ARRAYFORMULA(REGEXEXTRACT(C4595,""^(?:https?:\/\/)?(?:[^@\n]+@)?(?:www\.)?([^:\/\n]+)"")),"""")"),"ceotodaymagazine.com")</f>
        <v>ceotodaymagazine.com</v>
      </c>
      <c r="E4595" s="26" t="str">
        <f ca="1">IFERROR(__xludf.DUMMYFUNCTION("""COMPUTED_VALUE"""),"New")</f>
        <v>New</v>
      </c>
      <c r="F4595" s="72">
        <v>74</v>
      </c>
      <c r="G4595" s="72">
        <v>14541</v>
      </c>
      <c r="P4595" s="26"/>
    </row>
    <row r="4596" spans="1:28" ht="14.5">
      <c r="A4596" s="3" t="s">
        <v>256</v>
      </c>
      <c r="B4596" s="12" t="s">
        <v>2879</v>
      </c>
      <c r="C4596" s="46" t="s">
        <v>8264</v>
      </c>
      <c r="D4596" s="41" t="str">
        <f ca="1">IFERROR(__xludf.DUMMYFUNCTION("IFERROR(ARRAYFORMULA(REGEXEXTRACT(C4596,""^(?:https?:\/\/)?(?:[^@\n]+@)?(?:www\.)?([^:\/\n]+)"")),"""")"),"propertypriceadvice.co.uk")</f>
        <v>propertypriceadvice.co.uk</v>
      </c>
      <c r="E4596" s="26" t="str">
        <f ca="1">IFERROR(__xludf.DUMMYFUNCTION("""COMPUTED_VALUE"""),"New")</f>
        <v>New</v>
      </c>
      <c r="F4596" s="72">
        <v>55</v>
      </c>
      <c r="G4596" s="72">
        <v>3254</v>
      </c>
      <c r="P4596" s="26"/>
    </row>
    <row r="4597" spans="1:28" ht="14.5">
      <c r="A4597" s="3" t="s">
        <v>256</v>
      </c>
      <c r="B4597" s="12" t="s">
        <v>2879</v>
      </c>
      <c r="C4597" s="46" t="s">
        <v>8265</v>
      </c>
      <c r="D4597" s="41" t="str">
        <f ca="1">IFERROR(__xludf.DUMMYFUNCTION("IFERROR(ARRAYFORMULA(REGEXEXTRACT(C4597,""^(?:https?:\/\/)?(?:[^@\n]+@)?(?:www\.)?([^:\/\n]+)"")),"""")"),"screamingfrog.co.uk")</f>
        <v>screamingfrog.co.uk</v>
      </c>
      <c r="E4597" s="26" t="str">
        <f ca="1">IFERROR(__xludf.DUMMYFUNCTION("""COMPUTED_VALUE"""),"New")</f>
        <v>New</v>
      </c>
      <c r="F4597" s="72">
        <v>87</v>
      </c>
      <c r="G4597" s="72">
        <v>148571</v>
      </c>
      <c r="P4597" s="26"/>
    </row>
    <row r="4598" spans="1:28" ht="14.5">
      <c r="A4598" s="3" t="s">
        <v>256</v>
      </c>
      <c r="B4598" s="12" t="s">
        <v>2879</v>
      </c>
      <c r="C4598" s="46" t="s">
        <v>8266</v>
      </c>
      <c r="D4598" s="41" t="str">
        <f ca="1">IFERROR(__xludf.DUMMYFUNCTION("IFERROR(ARRAYFORMULA(REGEXEXTRACT(C4598,""^(?:https?:\/\/)?(?:[^@\n]+@)?(?:www\.)?([^:\/\n]+)"")),"""")"),"professional-electrician.com")</f>
        <v>professional-electrician.com</v>
      </c>
      <c r="E4598" s="26" t="str">
        <f ca="1">IFERROR(__xludf.DUMMYFUNCTION("""COMPUTED_VALUE"""),"New")</f>
        <v>New</v>
      </c>
      <c r="F4598" s="72">
        <v>52</v>
      </c>
      <c r="G4598" s="72">
        <v>3704</v>
      </c>
      <c r="P4598" s="26"/>
    </row>
    <row r="4599" spans="1:28" ht="14.5">
      <c r="A4599" s="3" t="s">
        <v>256</v>
      </c>
      <c r="B4599" s="12" t="s">
        <v>2879</v>
      </c>
      <c r="C4599" s="46" t="s">
        <v>8267</v>
      </c>
      <c r="D4599" s="41" t="str">
        <f ca="1">IFERROR(__xludf.DUMMYFUNCTION("IFERROR(ARRAYFORMULA(REGEXEXTRACT(C4599,""^(?:https?:\/\/)?(?:[^@\n]+@)?(?:www\.)?([^:\/\n]+)"")),"""")"),"tellyexpress.com")</f>
        <v>tellyexpress.com</v>
      </c>
      <c r="E4599" s="26" t="str">
        <f ca="1">IFERROR(__xludf.DUMMYFUNCTION("""COMPUTED_VALUE"""),"New")</f>
        <v>New</v>
      </c>
      <c r="F4599" s="72">
        <v>40</v>
      </c>
      <c r="G4599" s="72">
        <v>176802</v>
      </c>
      <c r="P4599" s="26"/>
    </row>
    <row r="4600" spans="1:28" ht="14.5">
      <c r="A4600" s="86" t="s">
        <v>256</v>
      </c>
      <c r="B4600" s="86" t="s">
        <v>2879</v>
      </c>
      <c r="C4600" s="87" t="s">
        <v>8268</v>
      </c>
      <c r="D4600" s="88" t="str">
        <f ca="1">IFERROR(__xludf.DUMMYFUNCTION("IFERROR(ARRAYFORMULA(REGEXEXTRACT(C4600,""^(?:https?:\/\/)?(?:[^@\n]+@)?(?:www\.)?([^:\/\n]+)"")),"""")"),"installeronline.co.uk")</f>
        <v>installeronline.co.uk</v>
      </c>
      <c r="E4600" s="31" t="str">
        <f ca="1">IFERROR(__xludf.DUMMYFUNCTION("""COMPUTED_VALUE"""),"New")</f>
        <v>New</v>
      </c>
      <c r="F4600" s="89">
        <v>60</v>
      </c>
      <c r="G4600" s="89">
        <v>2286</v>
      </c>
      <c r="H4600" s="31"/>
      <c r="I4600" s="31"/>
      <c r="J4600" s="31"/>
      <c r="K4600" s="31"/>
      <c r="L4600" s="31"/>
      <c r="M4600" s="31"/>
      <c r="N4600" s="31"/>
      <c r="O4600" s="31"/>
      <c r="P4600" s="31"/>
      <c r="Q4600" s="31"/>
      <c r="R4600" s="31"/>
      <c r="S4600" s="31"/>
      <c r="T4600" s="31"/>
      <c r="U4600" s="31"/>
      <c r="V4600" s="31"/>
      <c r="W4600" s="31"/>
      <c r="X4600" s="31"/>
      <c r="Y4600" s="31"/>
      <c r="Z4600" s="31"/>
      <c r="AA4600" s="31"/>
      <c r="AB4600" s="31"/>
    </row>
    <row r="4601" spans="1:28" ht="14.5">
      <c r="A4601" s="3" t="s">
        <v>256</v>
      </c>
      <c r="B4601" s="12" t="s">
        <v>2879</v>
      </c>
      <c r="C4601" s="46" t="s">
        <v>8269</v>
      </c>
      <c r="D4601" s="41" t="str">
        <f ca="1">IFERROR(__xludf.DUMMYFUNCTION("IFERROR(ARRAYFORMULA(REGEXEXTRACT(C4601,""^(?:https?:\/\/)?(?:[^@\n]+@)?(?:www\.)?([^:\/\n]+)"")),"""")"),"startuprise.co.uk")</f>
        <v>startuprise.co.uk</v>
      </c>
      <c r="E4601" s="26" t="str">
        <f ca="1">IFERROR(__xludf.DUMMYFUNCTION("""COMPUTED_VALUE"""),"New")</f>
        <v>New</v>
      </c>
      <c r="F4601" s="72">
        <v>49</v>
      </c>
      <c r="G4601" s="72">
        <v>95493</v>
      </c>
      <c r="P4601" s="26"/>
    </row>
    <row r="4602" spans="1:28" ht="14.5">
      <c r="A4602" s="3" t="s">
        <v>256</v>
      </c>
      <c r="B4602" s="12" t="s">
        <v>2879</v>
      </c>
      <c r="C4602" s="46" t="s">
        <v>8270</v>
      </c>
      <c r="D4602" s="41" t="str">
        <f ca="1">IFERROR(__xludf.DUMMYFUNCTION("IFERROR(ARRAYFORMULA(REGEXEXTRACT(C4602,""^(?:https?:\/\/)?(?:[^@\n]+@)?(?:www\.)?([^:\/\n]+)"")),"""")"),"romaniajournal.ro")</f>
        <v>romaniajournal.ro</v>
      </c>
      <c r="E4602" s="26" t="str">
        <f ca="1">IFERROR(__xludf.DUMMYFUNCTION("""COMPUTED_VALUE"""),"New")</f>
        <v>New</v>
      </c>
      <c r="F4602" s="72">
        <v>62</v>
      </c>
      <c r="G4602" s="72">
        <v>4838</v>
      </c>
      <c r="P4602" s="26"/>
    </row>
    <row r="4603" spans="1:28" ht="14.5">
      <c r="A4603" s="3" t="s">
        <v>256</v>
      </c>
      <c r="B4603" s="12" t="s">
        <v>2879</v>
      </c>
      <c r="C4603" s="46" t="s">
        <v>8271</v>
      </c>
      <c r="D4603" s="41" t="str">
        <f ca="1">IFERROR(__xludf.DUMMYFUNCTION("IFERROR(ARRAYFORMULA(REGEXEXTRACT(C4603,""^(?:https?:\/\/)?(?:[^@\n]+@)?(?:www\.)?([^:\/\n]+)"")),"""")"),"ft.com")</f>
        <v>ft.com</v>
      </c>
      <c r="E4603" s="26" t="str">
        <f ca="1">IFERROR(__xludf.DUMMYFUNCTION("""COMPUTED_VALUE"""),"New")</f>
        <v>New</v>
      </c>
      <c r="F4603" s="72">
        <v>92</v>
      </c>
      <c r="G4603" s="72">
        <v>3355861</v>
      </c>
      <c r="P4603" s="26"/>
    </row>
    <row r="4604" spans="1:28" ht="14.5">
      <c r="A4604" s="3" t="s">
        <v>256</v>
      </c>
      <c r="B4604" s="12" t="s">
        <v>2879</v>
      </c>
      <c r="C4604" s="46" t="s">
        <v>8272</v>
      </c>
      <c r="D4604" s="41" t="str">
        <f ca="1">IFERROR(__xludf.DUMMYFUNCTION("IFERROR(ARRAYFORMULA(REGEXEXTRACT(C4604,""^(?:https?:\/\/)?(?:[^@\n]+@)?(?:www\.)?([^:\/\n]+)"")),"""")"),"gardenandhome.co.za")</f>
        <v>gardenandhome.co.za</v>
      </c>
      <c r="E4604" s="26" t="str">
        <f ca="1">IFERROR(__xludf.DUMMYFUNCTION("""COMPUTED_VALUE"""),"New")</f>
        <v>New</v>
      </c>
      <c r="F4604" s="72">
        <v>47</v>
      </c>
      <c r="G4604" s="72">
        <v>3864</v>
      </c>
      <c r="P4604" s="26"/>
    </row>
    <row r="4605" spans="1:28" ht="14.5">
      <c r="A4605" s="3" t="s">
        <v>256</v>
      </c>
      <c r="B4605" s="12" t="s">
        <v>2879</v>
      </c>
      <c r="C4605" s="46" t="s">
        <v>8273</v>
      </c>
      <c r="D4605" s="41" t="str">
        <f ca="1">IFERROR(__xludf.DUMMYFUNCTION("IFERROR(ARRAYFORMULA(REGEXEXTRACT(C4605,""^(?:https?:\/\/)?(?:[^@\n]+@)?(?:www\.)?([^:\/\n]+)"")),"""")"),"westernbusiness.co.uk")</f>
        <v>westernbusiness.co.uk</v>
      </c>
      <c r="E4605" s="26" t="str">
        <f ca="1">IFERROR(__xludf.DUMMYFUNCTION("""COMPUTED_VALUE"""),"New")</f>
        <v>New</v>
      </c>
      <c r="F4605" s="72">
        <v>52</v>
      </c>
      <c r="G4605" s="72">
        <v>2369</v>
      </c>
      <c r="P4605" s="26"/>
    </row>
    <row r="4606" spans="1:28" ht="14.5">
      <c r="A4606" s="3" t="s">
        <v>256</v>
      </c>
      <c r="B4606" s="12" t="s">
        <v>2879</v>
      </c>
      <c r="C4606" s="46" t="s">
        <v>8274</v>
      </c>
      <c r="D4606" s="41" t="str">
        <f ca="1">IFERROR(__xludf.DUMMYFUNCTION("IFERROR(ARRAYFORMULA(REGEXEXTRACT(C4606,""^(?:https?:\/\/)?(?:[^@\n]+@)?(?:www\.)?([^:\/\n]+)"")),"""")"),"euronews.com")</f>
        <v>euronews.com</v>
      </c>
      <c r="E4606" s="26" t="str">
        <f ca="1">IFERROR(__xludf.DUMMYFUNCTION("""COMPUTED_VALUE"""),"New")</f>
        <v>New</v>
      </c>
      <c r="F4606" s="72">
        <v>90</v>
      </c>
      <c r="G4606" s="72">
        <v>3721601</v>
      </c>
      <c r="P4606" s="26"/>
    </row>
    <row r="4607" spans="1:28" ht="14.5">
      <c r="A4607" s="3" t="s">
        <v>256</v>
      </c>
      <c r="B4607" s="12" t="s">
        <v>2879</v>
      </c>
      <c r="C4607" s="46" t="s">
        <v>8275</v>
      </c>
      <c r="D4607" s="41" t="str">
        <f ca="1">IFERROR(__xludf.DUMMYFUNCTION("IFERROR(ARRAYFORMULA(REGEXEXTRACT(C4607,""^(?:https?:\/\/)?(?:[^@\n]+@)?(?:www\.)?([^:\/\n]+)"")),"""")"),"bromsgrovestandard.co.uk")</f>
        <v>bromsgrovestandard.co.uk</v>
      </c>
      <c r="E4607" s="26" t="str">
        <f ca="1">IFERROR(__xludf.DUMMYFUNCTION("""COMPUTED_VALUE"""),"New")</f>
        <v>New</v>
      </c>
      <c r="F4607" s="72">
        <v>47</v>
      </c>
      <c r="G4607" s="72">
        <v>26152</v>
      </c>
      <c r="P4607" s="26"/>
    </row>
    <row r="4608" spans="1:28" ht="14.5">
      <c r="A4608" s="3" t="s">
        <v>256</v>
      </c>
      <c r="B4608" s="12" t="s">
        <v>2879</v>
      </c>
      <c r="C4608" s="46" t="s">
        <v>8276</v>
      </c>
      <c r="D4608" s="41" t="str">
        <f ca="1">IFERROR(__xludf.DUMMYFUNCTION("IFERROR(ARRAYFORMULA(REGEXEXTRACT(C4608,""^(?:https?:\/\/)?(?:[^@\n]+@)?(?:www\.)?([^:\/\n]+)"")),"""")"),"techloy.com")</f>
        <v>techloy.com</v>
      </c>
      <c r="E4608" s="26" t="str">
        <f ca="1">IFERROR(__xludf.DUMMYFUNCTION("""COMPUTED_VALUE"""),"New")</f>
        <v>New</v>
      </c>
      <c r="F4608" s="72">
        <v>65</v>
      </c>
      <c r="G4608" s="72">
        <v>10476</v>
      </c>
      <c r="P4608" s="26"/>
    </row>
    <row r="4609" spans="1:16" ht="14.5">
      <c r="A4609" s="3" t="s">
        <v>256</v>
      </c>
      <c r="B4609" s="12" t="s">
        <v>2879</v>
      </c>
      <c r="C4609" s="46" t="s">
        <v>8277</v>
      </c>
      <c r="D4609" s="41" t="str">
        <f ca="1">IFERROR(__xludf.DUMMYFUNCTION("IFERROR(ARRAYFORMULA(REGEXEXTRACT(C4609,""^(?:https?:\/\/)?(?:[^@\n]+@)?(?:www\.)?([^:\/\n]+)"")),"""")"),"totalguidetodorset.com")</f>
        <v>totalguidetodorset.com</v>
      </c>
      <c r="E4609" s="26" t="str">
        <f ca="1">IFERROR(__xludf.DUMMYFUNCTION("""COMPUTED_VALUE"""),"New")</f>
        <v>New</v>
      </c>
      <c r="F4609" s="72">
        <v>30</v>
      </c>
      <c r="G4609" s="72">
        <v>11958</v>
      </c>
      <c r="P4609" s="26"/>
    </row>
    <row r="4610" spans="1:16" ht="14.5">
      <c r="A4610" s="3" t="s">
        <v>256</v>
      </c>
      <c r="B4610" s="12" t="s">
        <v>2879</v>
      </c>
      <c r="C4610" s="46" t="s">
        <v>8278</v>
      </c>
      <c r="D4610" s="41" t="str">
        <f ca="1">IFERROR(__xludf.DUMMYFUNCTION("IFERROR(ARRAYFORMULA(REGEXEXTRACT(C4610,""^(?:https?:\/\/)?(?:[^@\n]+@)?(?:www\.)?([^:\/\n]+)"")),"""")"),"radiotoday.co.uk")</f>
        <v>radiotoday.co.uk</v>
      </c>
      <c r="E4610" s="26" t="str">
        <f ca="1">IFERROR(__xludf.DUMMYFUNCTION("""COMPUTED_VALUE"""),"New")</f>
        <v>New</v>
      </c>
      <c r="F4610" s="72">
        <v>60</v>
      </c>
      <c r="G4610" s="72">
        <v>10487</v>
      </c>
      <c r="P4610" s="26"/>
    </row>
    <row r="4611" spans="1:16" ht="14.5">
      <c r="A4611" s="3" t="s">
        <v>256</v>
      </c>
      <c r="B4611" s="12" t="s">
        <v>2879</v>
      </c>
      <c r="C4611" s="46" t="s">
        <v>8279</v>
      </c>
      <c r="D4611" s="41" t="str">
        <f ca="1">IFERROR(__xludf.DUMMYFUNCTION("IFERROR(ARRAYFORMULA(REGEXEXTRACT(C4611,""^(?:https?:\/\/)?(?:[^@\n]+@)?(?:www\.)?([^:\/\n]+)"")),"""")"),"theplanner.co.uk")</f>
        <v>theplanner.co.uk</v>
      </c>
      <c r="E4611" s="26" t="str">
        <f ca="1">IFERROR(__xludf.DUMMYFUNCTION("""COMPUTED_VALUE"""),"New")</f>
        <v>New</v>
      </c>
      <c r="F4611" s="72">
        <v>56</v>
      </c>
      <c r="G4611" s="72">
        <v>2622</v>
      </c>
      <c r="P4611" s="26"/>
    </row>
    <row r="4612" spans="1:16" ht="14.5">
      <c r="A4612" s="3" t="s">
        <v>256</v>
      </c>
      <c r="B4612" s="12" t="s">
        <v>2879</v>
      </c>
      <c r="C4612" s="46" t="s">
        <v>8280</v>
      </c>
      <c r="D4612" s="41" t="str">
        <f ca="1">IFERROR(__xludf.DUMMYFUNCTION("IFERROR(ARRAYFORMULA(REGEXEXTRACT(C4612,""^(?:https?:\/\/)?(?:[^@\n]+@)?(?:www\.)?([^:\/\n]+)"")),"""")"),"businessboostier.mn.co")</f>
        <v>businessboostier.mn.co</v>
      </c>
      <c r="E4612" s="26" t="str">
        <f ca="1">IFERROR(__xludf.DUMMYFUNCTION("""COMPUTED_VALUE"""),"New")</f>
        <v>New</v>
      </c>
      <c r="F4612" s="72">
        <v>86</v>
      </c>
      <c r="G4612" s="72">
        <v>2928</v>
      </c>
      <c r="P4612" s="26"/>
    </row>
    <row r="4613" spans="1:16" ht="14.5">
      <c r="A4613" s="3" t="s">
        <v>256</v>
      </c>
      <c r="B4613" s="12" t="s">
        <v>2879</v>
      </c>
      <c r="C4613" s="46" t="s">
        <v>8281</v>
      </c>
      <c r="D4613" s="41" t="str">
        <f ca="1">IFERROR(__xludf.DUMMYFUNCTION("IFERROR(ARRAYFORMULA(REGEXEXTRACT(C4613,""^(?:https?:\/\/)?(?:[^@\n]+@)?(?:www\.)?([^:\/\n]+)"")),"""")"),"marieclaire.co.uk")</f>
        <v>marieclaire.co.uk</v>
      </c>
      <c r="E4613" s="26" t="str">
        <f ca="1">IFERROR(__xludf.DUMMYFUNCTION("""COMPUTED_VALUE"""),"New")</f>
        <v>New</v>
      </c>
      <c r="F4613" s="72">
        <v>80</v>
      </c>
      <c r="G4613" s="72">
        <v>587590</v>
      </c>
      <c r="P4613" s="26"/>
    </row>
    <row r="4614" spans="1:16" ht="14.5">
      <c r="A4614" s="3" t="s">
        <v>256</v>
      </c>
      <c r="B4614" s="12" t="s">
        <v>2879</v>
      </c>
      <c r="C4614" s="46" t="s">
        <v>8282</v>
      </c>
      <c r="D4614" s="41" t="str">
        <f ca="1">IFERROR(__xludf.DUMMYFUNCTION("IFERROR(ARRAYFORMULA(REGEXEXTRACT(C4614,""^(?:https?:\/\/)?(?:[^@\n]+@)?(?:www\.)?([^:\/\n]+)"")),"""")"),"telegraph.co.uk")</f>
        <v>telegraph.co.uk</v>
      </c>
      <c r="E4614" s="26" t="str">
        <f ca="1">IFERROR(__xludf.DUMMYFUNCTION("""COMPUTED_VALUE"""),"New")</f>
        <v>New</v>
      </c>
      <c r="F4614" s="72">
        <v>91</v>
      </c>
      <c r="G4614" s="72">
        <v>4411505</v>
      </c>
      <c r="P4614" s="26"/>
    </row>
    <row r="4615" spans="1:16" ht="14.5">
      <c r="A4615" s="3" t="s">
        <v>256</v>
      </c>
      <c r="B4615" s="12" t="s">
        <v>2879</v>
      </c>
      <c r="C4615" s="49" t="s">
        <v>8283</v>
      </c>
      <c r="D4615" s="41" t="str">
        <f ca="1">IFERROR(__xludf.DUMMYFUNCTION("IFERROR(ARRAYFORMULA(REGEXEXTRACT(C4615,""^(?:https?:\/\/)?(?:[^@\n]+@)?(?:www\.)?([^:\/\n]+)"")),"""")"),"totalguidetowiltshire.com")</f>
        <v>totalguidetowiltshire.com</v>
      </c>
      <c r="E4615" s="26" t="str">
        <f ca="1">IFERROR(__xludf.DUMMYFUNCTION("""COMPUTED_VALUE"""),"New")</f>
        <v>New</v>
      </c>
      <c r="F4615" s="72">
        <v>33</v>
      </c>
      <c r="G4615" s="72">
        <v>6186</v>
      </c>
      <c r="H4615" s="27" t="s">
        <v>8284</v>
      </c>
      <c r="I4615" s="27" t="s">
        <v>8285</v>
      </c>
      <c r="K4615" s="27" t="s">
        <v>3756</v>
      </c>
      <c r="L4615" s="112"/>
      <c r="M4615" s="27" t="s">
        <v>7390</v>
      </c>
      <c r="N4615" s="48">
        <v>46085</v>
      </c>
      <c r="P4615" s="26"/>
    </row>
    <row r="4616" spans="1:16" ht="14.5">
      <c r="A4616" s="3" t="s">
        <v>256</v>
      </c>
      <c r="B4616" s="12" t="s">
        <v>2879</v>
      </c>
      <c r="C4616" s="49" t="s">
        <v>8286</v>
      </c>
      <c r="D4616" s="41" t="str">
        <f ca="1">IFERROR(__xludf.DUMMYFUNCTION("IFERROR(ARRAYFORMULA(REGEXEXTRACT(C4616,""^(?:https?:\/\/)?(?:[^@\n]+@)?(?:www\.)?([^:\/\n]+)"")),"""")"),"rugbyobserver.co.uk")</f>
        <v>rugbyobserver.co.uk</v>
      </c>
      <c r="E4616" s="26" t="str">
        <f ca="1">IFERROR(__xludf.DUMMYFUNCTION("""COMPUTED_VALUE"""),"New")</f>
        <v>New</v>
      </c>
      <c r="F4616" s="72">
        <v>36</v>
      </c>
      <c r="G4616" s="72">
        <v>3126</v>
      </c>
      <c r="H4616" s="27" t="s">
        <v>8287</v>
      </c>
      <c r="I4616" s="27" t="s">
        <v>8288</v>
      </c>
      <c r="K4616" s="27" t="s">
        <v>3772</v>
      </c>
      <c r="L4616" s="112"/>
      <c r="M4616" s="27" t="s">
        <v>7390</v>
      </c>
      <c r="N4616" s="48">
        <v>46085</v>
      </c>
      <c r="P4616" s="26"/>
    </row>
    <row r="4617" spans="1:16" ht="14.5">
      <c r="A4617" s="3" t="s">
        <v>256</v>
      </c>
      <c r="B4617" s="12" t="s">
        <v>2879</v>
      </c>
      <c r="C4617" s="46" t="s">
        <v>8289</v>
      </c>
      <c r="D4617" s="41" t="str">
        <f ca="1">IFERROR(__xludf.DUMMYFUNCTION("IFERROR(ARRAYFORMULA(REGEXEXTRACT(C4617,""^(?:https?:\/\/)?(?:[^@\n]+@)?(?:www\.)?([^:\/\n]+)"")),"""")"),"roarnews.co.uk")</f>
        <v>roarnews.co.uk</v>
      </c>
      <c r="E4617" s="26" t="str">
        <f ca="1">IFERROR(__xludf.DUMMYFUNCTION("""COMPUTED_VALUE"""),"New")</f>
        <v>New</v>
      </c>
      <c r="F4617" s="72">
        <v>36</v>
      </c>
      <c r="G4617" s="72">
        <v>3071</v>
      </c>
      <c r="P4617" s="26"/>
    </row>
    <row r="4618" spans="1:16" ht="14.5">
      <c r="A4618" s="3" t="s">
        <v>256</v>
      </c>
      <c r="B4618" s="12" t="s">
        <v>2879</v>
      </c>
      <c r="C4618" s="46" t="s">
        <v>8290</v>
      </c>
      <c r="D4618" s="41" t="str">
        <f ca="1">IFERROR(__xludf.DUMMYFUNCTION("IFERROR(ARRAYFORMULA(REGEXEXTRACT(C4618,""^(?:https?:\/\/)?(?:[^@\n]+@)?(?:www\.)?([^:\/\n]+)"")),"""")"),"expressdoorsdirect.co.uk")</f>
        <v>expressdoorsdirect.co.uk</v>
      </c>
      <c r="E4618" s="26" t="str">
        <f ca="1">IFERROR(__xludf.DUMMYFUNCTION("""COMPUTED_VALUE"""),"New")</f>
        <v>New</v>
      </c>
      <c r="F4618" s="72">
        <v>31</v>
      </c>
      <c r="G4618" s="72">
        <v>114763</v>
      </c>
      <c r="P4618" s="26"/>
    </row>
    <row r="4619" spans="1:16" ht="14.5">
      <c r="A4619" s="3" t="s">
        <v>256</v>
      </c>
      <c r="B4619" s="12" t="s">
        <v>2879</v>
      </c>
      <c r="C4619" s="49" t="s">
        <v>8291</v>
      </c>
      <c r="D4619" s="41" t="str">
        <f ca="1">IFERROR(__xludf.DUMMYFUNCTION("IFERROR(ARRAYFORMULA(REGEXEXTRACT(C4619,""^(?:https?:\/\/)?(?:[^@\n]+@)?(?:www\.)?([^:\/\n]+)"")),"""")"),"deadlinenews.co.uk")</f>
        <v>deadlinenews.co.uk</v>
      </c>
      <c r="E4619" s="26" t="str">
        <f ca="1">IFERROR(__xludf.DUMMYFUNCTION("""COMPUTED_VALUE"""),"New")</f>
        <v>New</v>
      </c>
      <c r="F4619" s="72">
        <v>65</v>
      </c>
      <c r="G4619" s="72">
        <v>2052</v>
      </c>
      <c r="J4619" s="27" t="s">
        <v>8292</v>
      </c>
      <c r="K4619" s="27" t="s">
        <v>3772</v>
      </c>
      <c r="L4619" s="112"/>
      <c r="M4619" s="27" t="s">
        <v>7390</v>
      </c>
      <c r="N4619" s="48">
        <v>46085</v>
      </c>
      <c r="P4619" s="26"/>
    </row>
    <row r="4620" spans="1:16" ht="14.5">
      <c r="A4620" s="3" t="s">
        <v>256</v>
      </c>
      <c r="B4620" s="12" t="s">
        <v>2879</v>
      </c>
      <c r="C4620" s="46" t="s">
        <v>8293</v>
      </c>
      <c r="D4620" s="41" t="str">
        <f ca="1">IFERROR(__xludf.DUMMYFUNCTION("IFERROR(ARRAYFORMULA(REGEXEXTRACT(C4620,""^(?:https?:\/\/)?(?:[^@\n]+@)?(?:www\.)?([^:\/\n]+)"")),"""")"),"michaelmurphy.ie")</f>
        <v>michaelmurphy.ie</v>
      </c>
      <c r="E4620" s="26" t="str">
        <f ca="1">IFERROR(__xludf.DUMMYFUNCTION("""COMPUTED_VALUE"""),"New")</f>
        <v>New</v>
      </c>
      <c r="F4620" s="72">
        <v>23</v>
      </c>
      <c r="G4620" s="72">
        <v>21264</v>
      </c>
      <c r="P4620" s="26"/>
    </row>
    <row r="4621" spans="1:16" ht="14.5">
      <c r="A4621" s="3" t="s">
        <v>256</v>
      </c>
      <c r="B4621" s="12" t="s">
        <v>2879</v>
      </c>
      <c r="C4621" s="49" t="s">
        <v>8294</v>
      </c>
      <c r="D4621" s="41" t="str">
        <f ca="1">IFERROR(__xludf.DUMMYFUNCTION("IFERROR(ARRAYFORMULA(REGEXEXTRACT(C4621,""^(?:https?:\/\/)?(?:[^@\n]+@)?(?:www\.)?([^:\/\n]+)"")),"""")"),"buyassociationgroup.com")</f>
        <v>buyassociationgroup.com</v>
      </c>
      <c r="E4621" s="26" t="str">
        <f ca="1">IFERROR(__xludf.DUMMYFUNCTION("""COMPUTED_VALUE"""),"New")</f>
        <v>New</v>
      </c>
      <c r="F4621" s="72">
        <v>58</v>
      </c>
      <c r="G4621" s="72">
        <v>4164</v>
      </c>
      <c r="H4621" s="27" t="s">
        <v>8295</v>
      </c>
      <c r="I4621" s="27" t="s">
        <v>8296</v>
      </c>
      <c r="K4621" s="27" t="s">
        <v>3772</v>
      </c>
      <c r="L4621" s="112"/>
      <c r="M4621" s="27" t="s">
        <v>7390</v>
      </c>
      <c r="N4621" s="48">
        <v>46085</v>
      </c>
      <c r="P4621" s="26"/>
    </row>
    <row r="4622" spans="1:16" ht="14.5">
      <c r="A4622" s="3" t="s">
        <v>256</v>
      </c>
      <c r="B4622" s="12" t="s">
        <v>2879</v>
      </c>
      <c r="C4622" s="46" t="s">
        <v>8297</v>
      </c>
      <c r="D4622" s="41" t="str">
        <f ca="1">IFERROR(__xludf.DUMMYFUNCTION("IFERROR(ARRAYFORMULA(REGEXEXTRACT(C4622,""^(?:https?:\/\/)?(?:[^@\n]+@)?(?:www\.)?([^:\/\n]+)"")),"""")"),"heart.co.uk")</f>
        <v>heart.co.uk</v>
      </c>
      <c r="E4622" s="26" t="str">
        <f ca="1">IFERROR(__xludf.DUMMYFUNCTION("""COMPUTED_VALUE"""),"New")</f>
        <v>New</v>
      </c>
      <c r="F4622" s="72">
        <v>72</v>
      </c>
      <c r="G4622" s="72">
        <v>1041446</v>
      </c>
      <c r="P4622" s="26"/>
    </row>
    <row r="4623" spans="1:16" ht="14.5">
      <c r="A4623" s="3" t="s">
        <v>256</v>
      </c>
      <c r="B4623" s="12" t="s">
        <v>2879</v>
      </c>
      <c r="C4623" s="46" t="s">
        <v>8298</v>
      </c>
      <c r="D4623" s="41" t="str">
        <f ca="1">IFERROR(__xludf.DUMMYFUNCTION("IFERROR(ARRAYFORMULA(REGEXEXTRACT(C4623,""^(?:https?:\/\/)?(?:[^@\n]+@)?(?:www\.)?([^:\/\n]+)"")),"""")"),"totalguidetobath.com")</f>
        <v>totalguidetobath.com</v>
      </c>
      <c r="E4623" s="26" t="str">
        <f ca="1">IFERROR(__xludf.DUMMYFUNCTION("""COMPUTED_VALUE"""),"New")</f>
        <v>New</v>
      </c>
      <c r="F4623" s="72">
        <v>29</v>
      </c>
      <c r="G4623" s="72">
        <v>10880</v>
      </c>
      <c r="P4623" s="26"/>
    </row>
    <row r="4624" spans="1:16" ht="14.5" hidden="1">
      <c r="A4624" s="3" t="s">
        <v>256</v>
      </c>
      <c r="B4624" s="12" t="s">
        <v>2879</v>
      </c>
      <c r="C4624" s="46" t="s">
        <v>8299</v>
      </c>
      <c r="D4624" s="41" t="str">
        <f ca="1">IFERROR(__xludf.DUMMYFUNCTION("IFERROR(ARRAYFORMULA(REGEXEXTRACT(C4624,""^(?:https?:\/\/)?(?:[^@\n]+@)?(?:www\.)?([^:\/\n]+)"")),"""")"),"ebusinessblog.co.uk")</f>
        <v>ebusinessblog.co.uk</v>
      </c>
      <c r="E4624" s="26" t="str">
        <f ca="1">IFERROR(__xludf.DUMMYFUNCTION("""COMPUTED_VALUE"""),"Already Exists")</f>
        <v>Already Exists</v>
      </c>
      <c r="F4624" s="72">
        <v>42</v>
      </c>
      <c r="G4624" s="72">
        <v>1110</v>
      </c>
      <c r="P4624" s="26"/>
    </row>
    <row r="4625" spans="1:16" ht="14.5">
      <c r="A4625" s="3" t="s">
        <v>256</v>
      </c>
      <c r="B4625" s="12" t="s">
        <v>2879</v>
      </c>
      <c r="C4625" s="46" t="s">
        <v>8300</v>
      </c>
      <c r="D4625" s="41" t="str">
        <f ca="1">IFERROR(__xludf.DUMMYFUNCTION("IFERROR(ARRAYFORMULA(REGEXEXTRACT(C4625,""^(?:https?:\/\/)?(?:[^@\n]+@)?(?:www\.)?([^:\/\n]+)"")),"""")"),"lovemoney.com")</f>
        <v>lovemoney.com</v>
      </c>
      <c r="E4625" s="26" t="str">
        <f ca="1">IFERROR(__xludf.DUMMYFUNCTION("""COMPUTED_VALUE"""),"New")</f>
        <v>New</v>
      </c>
      <c r="F4625" s="72">
        <v>65</v>
      </c>
      <c r="G4625" s="72">
        <v>43720</v>
      </c>
      <c r="P4625" s="26"/>
    </row>
    <row r="4626" spans="1:16" ht="14.5" hidden="1">
      <c r="A4626" s="3" t="s">
        <v>256</v>
      </c>
      <c r="B4626" s="12" t="s">
        <v>2879</v>
      </c>
      <c r="C4626" s="46" t="s">
        <v>8301</v>
      </c>
      <c r="D4626" s="41" t="str">
        <f ca="1">IFERROR(__xludf.DUMMYFUNCTION("IFERROR(ARRAYFORMULA(REGEXEXTRACT(C4626,""^(?:https?:\/\/)?(?:[^@\n]+@)?(?:www\.)?([^:\/\n]+)"")),"""")"),"retailtechinnovationhub.com")</f>
        <v>retailtechinnovationhub.com</v>
      </c>
      <c r="E4626" s="26" t="str">
        <f ca="1">IFERROR(__xludf.DUMMYFUNCTION("""COMPUTED_VALUE"""),"Already Exists")</f>
        <v>Already Exists</v>
      </c>
      <c r="F4626" s="72">
        <v>73</v>
      </c>
      <c r="G4626" s="72">
        <v>5518</v>
      </c>
      <c r="P4626" s="26"/>
    </row>
    <row r="4627" spans="1:16" ht="14.5">
      <c r="A4627" s="3" t="s">
        <v>256</v>
      </c>
      <c r="B4627" s="12" t="s">
        <v>2879</v>
      </c>
      <c r="C4627" s="49" t="s">
        <v>8302</v>
      </c>
      <c r="D4627" s="41" t="str">
        <f ca="1">IFERROR(__xludf.DUMMYFUNCTION("IFERROR(ARRAYFORMULA(REGEXEXTRACT(C4627,""^(?:https?:\/\/)?(?:[^@\n]+@)?(?:www\.)?([^:\/\n]+)"")),"""")"),"propertyweek.com")</f>
        <v>propertyweek.com</v>
      </c>
      <c r="E4627" s="26" t="str">
        <f ca="1">IFERROR(__xludf.DUMMYFUNCTION("""COMPUTED_VALUE"""),"New")</f>
        <v>New</v>
      </c>
      <c r="F4627" s="72">
        <v>74</v>
      </c>
      <c r="G4627" s="72">
        <v>6014</v>
      </c>
      <c r="H4627" s="27" t="s">
        <v>8303</v>
      </c>
      <c r="I4627" s="27" t="s">
        <v>8304</v>
      </c>
      <c r="J4627" s="27" t="s">
        <v>8305</v>
      </c>
      <c r="K4627" s="27" t="s">
        <v>3772</v>
      </c>
      <c r="L4627" s="112"/>
      <c r="M4627" s="27" t="s">
        <v>7390</v>
      </c>
      <c r="N4627" s="48">
        <v>46085</v>
      </c>
      <c r="P4627" s="26"/>
    </row>
    <row r="4628" spans="1:16" ht="14.5">
      <c r="A4628" s="3" t="s">
        <v>256</v>
      </c>
      <c r="B4628" s="12" t="s">
        <v>2879</v>
      </c>
      <c r="C4628" s="46" t="s">
        <v>8306</v>
      </c>
      <c r="D4628" s="41" t="str">
        <f ca="1">IFERROR(__xludf.DUMMYFUNCTION("IFERROR(ARRAYFORMULA(REGEXEXTRACT(C4628,""^(?:https?:\/\/)?(?:[^@\n]+@)?(?:www\.)?([^:\/\n]+)"")),"""")"),"liverpoolecho.co.uk")</f>
        <v>liverpoolecho.co.uk</v>
      </c>
      <c r="E4628" s="26" t="str">
        <f ca="1">IFERROR(__xludf.DUMMYFUNCTION("""COMPUTED_VALUE"""),"New")</f>
        <v>New</v>
      </c>
      <c r="F4628" s="72">
        <v>80</v>
      </c>
      <c r="G4628" s="72">
        <v>1437424</v>
      </c>
      <c r="P4628" s="26"/>
    </row>
    <row r="4629" spans="1:16" ht="14.5">
      <c r="A4629" s="3" t="s">
        <v>256</v>
      </c>
      <c r="B4629" s="12" t="s">
        <v>2879</v>
      </c>
      <c r="C4629" s="46" t="s">
        <v>8307</v>
      </c>
      <c r="D4629" s="41" t="str">
        <f ca="1">IFERROR(__xludf.DUMMYFUNCTION("IFERROR(ARRAYFORMULA(REGEXEXTRACT(C4629,""^(?:https?:\/\/)?(?:[^@\n]+@)?(?:www\.)?([^:\/\n]+)"")),"""")"),"walesonline.co.uk")</f>
        <v>walesonline.co.uk</v>
      </c>
      <c r="E4629" s="26" t="str">
        <f ca="1">IFERROR(__xludf.DUMMYFUNCTION("""COMPUTED_VALUE"""),"New")</f>
        <v>New</v>
      </c>
      <c r="F4629" s="72">
        <v>81</v>
      </c>
      <c r="G4629" s="72">
        <v>968716</v>
      </c>
      <c r="P4629" s="26"/>
    </row>
    <row r="4630" spans="1:16" ht="14.5">
      <c r="A4630" s="3" t="s">
        <v>256</v>
      </c>
      <c r="B4630" s="12" t="s">
        <v>2879</v>
      </c>
      <c r="C4630" s="49" t="s">
        <v>8308</v>
      </c>
      <c r="D4630" s="41" t="str">
        <f ca="1">IFERROR(__xludf.DUMMYFUNCTION("IFERROR(ARRAYFORMULA(REGEXEXTRACT(C4630,""^(?:https?:\/\/)?(?:[^@\n]+@)?(?:www\.)?([^:\/\n]+)"")),"""")"),"anglotopia.net")</f>
        <v>anglotopia.net</v>
      </c>
      <c r="E4630" s="26" t="str">
        <f ca="1">IFERROR(__xludf.DUMMYFUNCTION("""COMPUTED_VALUE"""),"New")</f>
        <v>New</v>
      </c>
      <c r="F4630" s="72">
        <v>49</v>
      </c>
      <c r="G4630" s="72">
        <v>3431</v>
      </c>
      <c r="J4630" s="27" t="s">
        <v>8309</v>
      </c>
      <c r="K4630" s="27" t="s">
        <v>3772</v>
      </c>
      <c r="L4630" s="112"/>
      <c r="M4630" s="27" t="s">
        <v>7390</v>
      </c>
      <c r="N4630" s="48">
        <v>46085</v>
      </c>
      <c r="P4630" s="26"/>
    </row>
    <row r="4631" spans="1:16" ht="14.5">
      <c r="A4631" s="3" t="s">
        <v>256</v>
      </c>
      <c r="B4631" s="12" t="s">
        <v>2879</v>
      </c>
      <c r="C4631" s="46" t="s">
        <v>8310</v>
      </c>
      <c r="D4631" s="41" t="str">
        <f ca="1">IFERROR(__xludf.DUMMYFUNCTION("IFERROR(ARRAYFORMULA(REGEXEXTRACT(C4631,""^(?:https?:\/\/)?(?:[^@\n]+@)?(?:www\.)?([^:\/\n]+)"")),"""")"),"theboltonnews.co.uk")</f>
        <v>theboltonnews.co.uk</v>
      </c>
      <c r="E4631" s="26" t="str">
        <f ca="1">IFERROR(__xludf.DUMMYFUNCTION("""COMPUTED_VALUE"""),"New")</f>
        <v>New</v>
      </c>
      <c r="F4631" s="72">
        <v>72</v>
      </c>
      <c r="G4631" s="72">
        <v>133722</v>
      </c>
      <c r="P4631" s="26"/>
    </row>
    <row r="4632" spans="1:16" ht="14.5">
      <c r="A4632" s="3" t="s">
        <v>256</v>
      </c>
      <c r="B4632" s="12" t="s">
        <v>2879</v>
      </c>
      <c r="C4632" s="46" t="s">
        <v>8311</v>
      </c>
      <c r="D4632" s="41" t="str">
        <f ca="1">IFERROR(__xludf.DUMMYFUNCTION("IFERROR(ARRAYFORMULA(REGEXEXTRACT(C4632,""^(?:https?:\/\/)?(?:[^@\n]+@)?(?:www\.)?([^:\/\n]+)"")),"""")"),"wales247.co.uk")</f>
        <v>wales247.co.uk</v>
      </c>
      <c r="E4632" s="26" t="str">
        <f ca="1">IFERROR(__xludf.DUMMYFUNCTION("""COMPUTED_VALUE"""),"New")</f>
        <v>New</v>
      </c>
      <c r="F4632" s="72">
        <v>59</v>
      </c>
      <c r="G4632" s="72">
        <v>3261</v>
      </c>
      <c r="P4632" s="26"/>
    </row>
    <row r="4633" spans="1:16" ht="14.5">
      <c r="A4633" s="3" t="s">
        <v>256</v>
      </c>
      <c r="B4633" s="12" t="s">
        <v>2879</v>
      </c>
      <c r="C4633" s="46" t="s">
        <v>8312</v>
      </c>
      <c r="D4633" s="41" t="str">
        <f ca="1">IFERROR(__xludf.DUMMYFUNCTION("IFERROR(ARRAYFORMULA(REGEXEXTRACT(C4633,""^(?:https?:\/\/)?(?:[^@\n]+@)?(?:www\.)?([^:\/\n]+)"")),"""")"),"scottishconstructionnow.com")</f>
        <v>scottishconstructionnow.com</v>
      </c>
      <c r="E4633" s="26" t="str">
        <f ca="1">IFERROR(__xludf.DUMMYFUNCTION("""COMPUTED_VALUE"""),"New")</f>
        <v>New</v>
      </c>
      <c r="F4633" s="72">
        <v>58</v>
      </c>
      <c r="G4633" s="72">
        <v>4658</v>
      </c>
      <c r="P4633" s="26"/>
    </row>
    <row r="4634" spans="1:16" ht="14.5">
      <c r="A4634" s="3" t="s">
        <v>256</v>
      </c>
      <c r="B4634" s="12" t="s">
        <v>2879</v>
      </c>
      <c r="C4634" s="49" t="s">
        <v>8313</v>
      </c>
      <c r="D4634" s="41" t="str">
        <f ca="1">IFERROR(__xludf.DUMMYFUNCTION("IFERROR(ARRAYFORMULA(REGEXEXTRACT(C4634,""^(?:https?:\/\/)?(?:[^@\n]+@)?(?:www\.)?([^:\/\n]+)"")),"""")"),"rdg.today")</f>
        <v>rdg.today</v>
      </c>
      <c r="E4634" s="26" t="str">
        <f ca="1">IFERROR(__xludf.DUMMYFUNCTION("""COMPUTED_VALUE"""),"New")</f>
        <v>New</v>
      </c>
      <c r="F4634" s="72">
        <v>41</v>
      </c>
      <c r="G4634" s="72">
        <v>3249</v>
      </c>
      <c r="J4634" s="27" t="s">
        <v>8314</v>
      </c>
      <c r="K4634" s="27" t="s">
        <v>3772</v>
      </c>
      <c r="L4634" s="112"/>
      <c r="M4634" s="27" t="s">
        <v>7390</v>
      </c>
      <c r="N4634" s="48">
        <v>46085</v>
      </c>
      <c r="P4634" s="26"/>
    </row>
    <row r="4635" spans="1:16" ht="14.5">
      <c r="A4635" s="3" t="s">
        <v>256</v>
      </c>
      <c r="B4635" s="12" t="s">
        <v>2879</v>
      </c>
      <c r="C4635" s="46" t="s">
        <v>8315</v>
      </c>
      <c r="D4635" s="41" t="str">
        <f ca="1">IFERROR(__xludf.DUMMYFUNCTION("IFERROR(ARRAYFORMULA(REGEXEXTRACT(C4635,""^(?:https?:\/\/)?(?:[^@\n]+@)?(?:www\.)?([^:\/\n]+)"")),"""")"),"insideselfstorage.com")</f>
        <v>insideselfstorage.com</v>
      </c>
      <c r="E4635" s="26" t="str">
        <f ca="1">IFERROR(__xludf.DUMMYFUNCTION("""COMPUTED_VALUE"""),"New")</f>
        <v>New</v>
      </c>
      <c r="F4635" s="72">
        <v>70</v>
      </c>
      <c r="G4635" s="72">
        <v>6177</v>
      </c>
      <c r="P4635" s="26"/>
    </row>
    <row r="4636" spans="1:16" ht="14.5">
      <c r="A4636" s="3" t="s">
        <v>256</v>
      </c>
      <c r="B4636" s="12" t="s">
        <v>2879</v>
      </c>
      <c r="C4636" s="46" t="s">
        <v>8316</v>
      </c>
      <c r="D4636" s="41" t="str">
        <f ca="1">IFERROR(__xludf.DUMMYFUNCTION("IFERROR(ARRAYFORMULA(REGEXEXTRACT(C4636,""^(?:https?:\/\/)?(?:[^@\n]+@)?(?:www\.)?([^:\/\n]+)"")),"""")"),"wandsworthguardian.co.uk")</f>
        <v>wandsworthguardian.co.uk</v>
      </c>
      <c r="E4636" s="26" t="str">
        <f ca="1">IFERROR(__xludf.DUMMYFUNCTION("""COMPUTED_VALUE"""),"New")</f>
        <v>New</v>
      </c>
      <c r="F4636" s="72">
        <v>54</v>
      </c>
      <c r="G4636" s="72">
        <v>24333</v>
      </c>
      <c r="P4636" s="26"/>
    </row>
    <row r="4637" spans="1:16" ht="14.5">
      <c r="A4637" s="3" t="s">
        <v>256</v>
      </c>
      <c r="B4637" s="12" t="s">
        <v>2879</v>
      </c>
      <c r="C4637" s="46" t="s">
        <v>8317</v>
      </c>
      <c r="D4637" s="41" t="str">
        <f ca="1">IFERROR(__xludf.DUMMYFUNCTION("IFERROR(ARRAYFORMULA(REGEXEXTRACT(C4637,""^(?:https?:\/\/)?(?:[^@\n]+@)?(?:www\.)?([^:\/\n]+)"")),"""")"),"theboar.org")</f>
        <v>theboar.org</v>
      </c>
      <c r="E4637" s="26" t="str">
        <f ca="1">IFERROR(__xludf.DUMMYFUNCTION("""COMPUTED_VALUE"""),"New")</f>
        <v>New</v>
      </c>
      <c r="F4637" s="72">
        <v>59</v>
      </c>
      <c r="G4637" s="72">
        <v>22958</v>
      </c>
      <c r="P4637" s="26"/>
    </row>
    <row r="4638" spans="1:16" ht="14.5">
      <c r="A4638" s="3" t="s">
        <v>256</v>
      </c>
      <c r="B4638" s="12" t="s">
        <v>2879</v>
      </c>
      <c r="C4638" s="46" t="s">
        <v>8318</v>
      </c>
      <c r="D4638" s="41" t="str">
        <f ca="1">IFERROR(__xludf.DUMMYFUNCTION("IFERROR(ARRAYFORMULA(REGEXEXTRACT(C4638,""^(?:https?:\/\/)?(?:[^@\n]+@)?(?:www\.)?([^:\/\n]+)"")),"""")"),"artefactmagazine.com")</f>
        <v>artefactmagazine.com</v>
      </c>
      <c r="E4638" s="26" t="str">
        <f ca="1">IFERROR(__xludf.DUMMYFUNCTION("""COMPUTED_VALUE"""),"New")</f>
        <v>New</v>
      </c>
      <c r="F4638" s="72">
        <v>43</v>
      </c>
      <c r="G4638" s="72">
        <v>4194</v>
      </c>
      <c r="P4638" s="26"/>
    </row>
    <row r="4639" spans="1:16" ht="14.5">
      <c r="A4639" s="3" t="s">
        <v>256</v>
      </c>
      <c r="B4639" s="12" t="s">
        <v>2879</v>
      </c>
      <c r="C4639" s="46" t="s">
        <v>8319</v>
      </c>
      <c r="D4639" s="41" t="str">
        <f ca="1">IFERROR(__xludf.DUMMYFUNCTION("IFERROR(ARRAYFORMULA(REGEXEXTRACT(C4639,""^(?:https?:\/\/)?(?:[^@\n]+@)?(?:www\.)?([^:\/\n]+)"")),"""")"),"thecanary.co")</f>
        <v>thecanary.co</v>
      </c>
      <c r="E4639" s="26" t="str">
        <f ca="1">IFERROR(__xludf.DUMMYFUNCTION("""COMPUTED_VALUE"""),"New")</f>
        <v>New</v>
      </c>
      <c r="F4639" s="72">
        <v>69</v>
      </c>
      <c r="G4639" s="72">
        <v>8788</v>
      </c>
      <c r="P4639" s="26"/>
    </row>
    <row r="4640" spans="1:16" ht="14.5">
      <c r="A4640" s="3" t="s">
        <v>256</v>
      </c>
      <c r="B4640" s="12" t="s">
        <v>2879</v>
      </c>
      <c r="C4640" s="49" t="s">
        <v>8320</v>
      </c>
      <c r="D4640" s="41" t="str">
        <f ca="1">IFERROR(__xludf.DUMMYFUNCTION("IFERROR(ARRAYFORMULA(REGEXEXTRACT(C4640,""^(?:https?:\/\/)?(?:[^@\n]+@)?(?:www\.)?([^:\/\n]+)"")),"""")"),"leamingtonobserver.co.uk")</f>
        <v>leamingtonobserver.co.uk</v>
      </c>
      <c r="E4640" s="26" t="str">
        <f ca="1">IFERROR(__xludf.DUMMYFUNCTION("""COMPUTED_VALUE"""),"New")</f>
        <v>New</v>
      </c>
      <c r="F4640" s="72">
        <v>47</v>
      </c>
      <c r="G4640" s="72">
        <v>1964</v>
      </c>
      <c r="H4640" s="27" t="s">
        <v>8321</v>
      </c>
      <c r="I4640" s="27" t="s">
        <v>8322</v>
      </c>
      <c r="K4640" s="27" t="s">
        <v>3772</v>
      </c>
      <c r="L4640" s="112"/>
      <c r="M4640" s="27" t="s">
        <v>7390</v>
      </c>
      <c r="N4640" s="48">
        <v>46085</v>
      </c>
      <c r="P4640" s="26"/>
    </row>
    <row r="4641" spans="1:16" ht="14.5">
      <c r="A4641" s="3" t="s">
        <v>256</v>
      </c>
      <c r="B4641" s="12" t="s">
        <v>2879</v>
      </c>
      <c r="C4641" s="46" t="s">
        <v>8323</v>
      </c>
      <c r="D4641" s="41" t="str">
        <f ca="1">IFERROR(__xludf.DUMMYFUNCTION("IFERROR(ARRAYFORMULA(REGEXEXTRACT(C4641,""^(?:https?:\/\/)?(?:[^@\n]+@)?(?:www\.)?([^:\/\n]+)"")),"""")"),"sehbac.com")</f>
        <v>sehbac.com</v>
      </c>
      <c r="E4641" s="26" t="str">
        <f ca="1">IFERROR(__xludf.DUMMYFUNCTION("""COMPUTED_VALUE"""),"New")</f>
        <v>New</v>
      </c>
      <c r="F4641" s="72">
        <v>36</v>
      </c>
      <c r="G4641" s="72">
        <v>4483</v>
      </c>
      <c r="P4641" s="26"/>
    </row>
    <row r="4642" spans="1:16" ht="14.5">
      <c r="A4642" s="3" t="s">
        <v>256</v>
      </c>
      <c r="B4642" s="12" t="s">
        <v>2879</v>
      </c>
      <c r="C4642" s="49" t="s">
        <v>8324</v>
      </c>
      <c r="D4642" s="41" t="str">
        <f ca="1">IFERROR(__xludf.DUMMYFUNCTION("IFERROR(ARRAYFORMULA(REGEXEXTRACT(C4642,""^(?:https?:\/\/)?(?:[^@\n]+@)?(?:www\.)?([^:\/\n]+)"")),"""")"),"coventryobserver.co.uk")</f>
        <v>coventryobserver.co.uk</v>
      </c>
      <c r="E4642" s="26" t="str">
        <f ca="1">IFERROR(__xludf.DUMMYFUNCTION("""COMPUTED_VALUE"""),"New")</f>
        <v>New</v>
      </c>
      <c r="F4642" s="72">
        <v>56</v>
      </c>
      <c r="G4642" s="72">
        <v>6381</v>
      </c>
      <c r="H4642" s="27" t="s">
        <v>8325</v>
      </c>
      <c r="I4642" s="27" t="s">
        <v>8326</v>
      </c>
      <c r="J4642" s="27" t="s">
        <v>8327</v>
      </c>
      <c r="K4642" s="27" t="s">
        <v>3772</v>
      </c>
      <c r="L4642" s="112"/>
      <c r="M4642" s="27" t="s">
        <v>7390</v>
      </c>
      <c r="N4642" s="48">
        <v>46085</v>
      </c>
      <c r="P4642" s="26"/>
    </row>
    <row r="4643" spans="1:16" ht="14.5">
      <c r="A4643" s="3" t="s">
        <v>256</v>
      </c>
      <c r="B4643" s="12" t="s">
        <v>2879</v>
      </c>
      <c r="C4643" s="49" t="s">
        <v>8328</v>
      </c>
      <c r="D4643" s="41" t="str">
        <f ca="1">IFERROR(__xludf.DUMMYFUNCTION("IFERROR(ARRAYFORMULA(REGEXEXTRACT(C4643,""^(?:https?:\/\/)?(?:[^@\n]+@)?(?:www\.)?([^:\/\n]+)"")),"""")"),"economicsonline.co.uk")</f>
        <v>economicsonline.co.uk</v>
      </c>
      <c r="E4643" s="26" t="str">
        <f ca="1">IFERROR(__xludf.DUMMYFUNCTION("""COMPUTED_VALUE"""),"Already Exists")</f>
        <v>Already Exists</v>
      </c>
      <c r="F4643" s="72">
        <v>60</v>
      </c>
      <c r="G4643" s="72">
        <v>16416</v>
      </c>
      <c r="J4643" s="27" t="s">
        <v>8329</v>
      </c>
      <c r="K4643" s="27" t="s">
        <v>3756</v>
      </c>
      <c r="L4643" s="112"/>
      <c r="M4643" s="27" t="s">
        <v>7390</v>
      </c>
      <c r="N4643" s="48">
        <v>46085</v>
      </c>
      <c r="P4643" s="26"/>
    </row>
    <row r="4644" spans="1:16" ht="14.5">
      <c r="A4644" s="3" t="s">
        <v>256</v>
      </c>
      <c r="B4644" s="12" t="s">
        <v>2879</v>
      </c>
      <c r="C4644" s="49" t="s">
        <v>8330</v>
      </c>
      <c r="D4644" s="41" t="str">
        <f ca="1">IFERROR(__xludf.DUMMYFUNCTION("IFERROR(ARRAYFORMULA(REGEXEXTRACT(C4644,""^(?:https?:\/\/)?(?:[^@\n]+@)?(?:www\.)?([^:\/\n]+)"")),"""")"),"redbrick.me")</f>
        <v>redbrick.me</v>
      </c>
      <c r="E4644" s="26" t="str">
        <f ca="1">IFERROR(__xludf.DUMMYFUNCTION("""COMPUTED_VALUE"""),"New")</f>
        <v>New</v>
      </c>
      <c r="F4644" s="72">
        <v>44</v>
      </c>
      <c r="G4644" s="72">
        <v>86073</v>
      </c>
      <c r="H4644" s="27" t="s">
        <v>8331</v>
      </c>
      <c r="I4644" s="27" t="s">
        <v>8332</v>
      </c>
      <c r="J4644" s="27" t="s">
        <v>8333</v>
      </c>
      <c r="K4644" s="27" t="s">
        <v>3772</v>
      </c>
      <c r="L4644" s="112"/>
      <c r="M4644" s="27" t="s">
        <v>7390</v>
      </c>
      <c r="N4644" s="48">
        <v>46085</v>
      </c>
      <c r="P4644" s="26"/>
    </row>
    <row r="4645" spans="1:16" ht="14.5">
      <c r="A4645" s="3" t="s">
        <v>256</v>
      </c>
      <c r="B4645" s="12" t="s">
        <v>2879</v>
      </c>
      <c r="C4645" s="49" t="s">
        <v>8334</v>
      </c>
      <c r="D4645" s="41" t="str">
        <f ca="1">IFERROR(__xludf.DUMMYFUNCTION("IFERROR(ARRAYFORMULA(REGEXEXTRACT(C4645,""^(?:https?:\/\/)?(?:[^@\n]+@)?(?:www\.)?([^:\/\n]+)"")),"""")"),"lincsonline.co.uk")</f>
        <v>lincsonline.co.uk</v>
      </c>
      <c r="E4645" s="26" t="str">
        <f ca="1">IFERROR(__xludf.DUMMYFUNCTION("""COMPUTED_VALUE"""),"New")</f>
        <v>New</v>
      </c>
      <c r="F4645" s="72">
        <v>61</v>
      </c>
      <c r="G4645" s="72">
        <v>43840</v>
      </c>
      <c r="J4645" s="27" t="s">
        <v>8335</v>
      </c>
      <c r="K4645" s="27" t="s">
        <v>3772</v>
      </c>
      <c r="L4645" s="112"/>
      <c r="M4645" s="27" t="s">
        <v>7390</v>
      </c>
      <c r="N4645" s="48">
        <v>46085</v>
      </c>
      <c r="P4645" s="26"/>
    </row>
    <row r="4646" spans="1:16" ht="14.5">
      <c r="A4646" s="3" t="s">
        <v>256</v>
      </c>
      <c r="B4646" s="12" t="s">
        <v>2879</v>
      </c>
      <c r="C4646" s="49" t="s">
        <v>8336</v>
      </c>
      <c r="D4646" s="41" t="str">
        <f ca="1">IFERROR(__xludf.DUMMYFUNCTION("IFERROR(ARRAYFORMULA(REGEXEXTRACT(C4646,""^(?:https?:\/\/)?(?:[^@\n]+@)?(?:www\.)?([^:\/\n]+)"")),"""")"),"yourthurrock.com")</f>
        <v>yourthurrock.com</v>
      </c>
      <c r="E4646" s="26" t="str">
        <f ca="1">IFERROR(__xludf.DUMMYFUNCTION("""COMPUTED_VALUE"""),"New")</f>
        <v>New</v>
      </c>
      <c r="F4646" s="72">
        <v>37</v>
      </c>
      <c r="G4646" s="72">
        <v>1130</v>
      </c>
      <c r="J4646" s="27" t="s">
        <v>8337</v>
      </c>
      <c r="K4646" s="27" t="s">
        <v>3772</v>
      </c>
      <c r="L4646" s="112"/>
      <c r="M4646" s="27" t="s">
        <v>7390</v>
      </c>
      <c r="N4646" s="48">
        <v>46085</v>
      </c>
      <c r="P4646" s="26"/>
    </row>
    <row r="4647" spans="1:16" ht="14.5">
      <c r="A4647" s="3" t="s">
        <v>256</v>
      </c>
      <c r="B4647" s="12" t="s">
        <v>2879</v>
      </c>
      <c r="C4647" s="46" t="s">
        <v>8338</v>
      </c>
      <c r="D4647" s="41" t="str">
        <f ca="1">IFERROR(__xludf.DUMMYFUNCTION("IFERROR(ARRAYFORMULA(REGEXEXTRACT(C4647,""^(?:https?:\/\/)?(?:[^@\n]+@)?(?:www\.)?([^:\/\n]+)"")),"""")"),"dailyrecord.co.uk")</f>
        <v>dailyrecord.co.uk</v>
      </c>
      <c r="E4647" s="26" t="str">
        <f ca="1">IFERROR(__xludf.DUMMYFUNCTION("""COMPUTED_VALUE"""),"New")</f>
        <v>New</v>
      </c>
      <c r="F4647" s="72">
        <v>81</v>
      </c>
      <c r="G4647" s="72">
        <v>1423711</v>
      </c>
      <c r="P4647" s="26"/>
    </row>
    <row r="4648" spans="1:16" ht="14.5" hidden="1">
      <c r="A4648" s="3" t="s">
        <v>256</v>
      </c>
      <c r="B4648" s="12" t="s">
        <v>2879</v>
      </c>
      <c r="C4648" s="46" t="s">
        <v>8339</v>
      </c>
      <c r="D4648" s="41" t="str">
        <f ca="1">IFERROR(__xludf.DUMMYFUNCTION("IFERROR(ARRAYFORMULA(REGEXEXTRACT(C4648,""^(?:https?:\/\/)?(?:[^@\n]+@)?(?:www\.)?([^:\/\n]+)"")),"""")"),"insurance-edge.net")</f>
        <v>insurance-edge.net</v>
      </c>
      <c r="E4648" s="26" t="str">
        <f ca="1">IFERROR(__xludf.DUMMYFUNCTION("""COMPUTED_VALUE"""),"Already Exists")</f>
        <v>Already Exists</v>
      </c>
      <c r="F4648" s="72">
        <v>65</v>
      </c>
      <c r="G4648" s="72">
        <v>1228</v>
      </c>
      <c r="P4648" s="26"/>
    </row>
    <row r="4649" spans="1:16" ht="14.5">
      <c r="A4649" s="3" t="s">
        <v>256</v>
      </c>
      <c r="B4649" s="12" t="s">
        <v>2879</v>
      </c>
      <c r="C4649" s="46" t="s">
        <v>8340</v>
      </c>
      <c r="D4649" s="41" t="str">
        <f ca="1">IFERROR(__xludf.DUMMYFUNCTION("IFERROR(ARRAYFORMULA(REGEXEXTRACT(C4649,""^(?:https?:\/\/)?(?:[^@\n]+@)?(?:www\.)?([^:\/\n]+)"")),"""")"),"factory.sale")</f>
        <v>factory.sale</v>
      </c>
      <c r="E4649" s="26" t="str">
        <f ca="1">IFERROR(__xludf.DUMMYFUNCTION("""COMPUTED_VALUE"""),"New")</f>
        <v>New</v>
      </c>
      <c r="F4649" s="72">
        <v>22</v>
      </c>
      <c r="G4649" s="72">
        <v>5217</v>
      </c>
      <c r="P4649" s="26"/>
    </row>
    <row r="4650" spans="1:16" ht="14.5">
      <c r="A4650" s="3" t="s">
        <v>256</v>
      </c>
      <c r="B4650" s="12" t="s">
        <v>2879</v>
      </c>
      <c r="C4650" s="46" t="s">
        <v>8341</v>
      </c>
      <c r="D4650" s="41" t="str">
        <f ca="1">IFERROR(__xludf.DUMMYFUNCTION("IFERROR(ARRAYFORMULA(REGEXEXTRACT(C4650,""^(?:https?:\/\/)?(?:[^@\n]+@)?(?:www\.)?([^:\/\n]+)"")),"""")"),"www-ft-com.library.ez.neoma-bs.fr")</f>
        <v>www-ft-com.library.ez.neoma-bs.fr</v>
      </c>
      <c r="E4650" s="26" t="str">
        <f ca="1">IFERROR(__xludf.DUMMYFUNCTION("""COMPUTED_VALUE"""),"New")</f>
        <v>New</v>
      </c>
      <c r="F4650" s="72">
        <v>65</v>
      </c>
      <c r="G4650" s="72">
        <v>22121</v>
      </c>
      <c r="P4650" s="26"/>
    </row>
    <row r="4651" spans="1:16" ht="14.5">
      <c r="A4651" s="3" t="s">
        <v>256</v>
      </c>
      <c r="B4651" s="12" t="s">
        <v>2879</v>
      </c>
      <c r="C4651" s="49" t="s">
        <v>8342</v>
      </c>
      <c r="D4651" s="41" t="str">
        <f ca="1">IFERROR(__xludf.DUMMYFUNCTION("IFERROR(ARRAYFORMULA(REGEXEXTRACT(C4651,""^(?:https?:\/\/)?(?:[^@\n]+@)?(?:www\.)?([^:\/\n]+)"")),"""")"),"alldamp.co.uk")</f>
        <v>alldamp.co.uk</v>
      </c>
      <c r="E4651" s="26" t="str">
        <f ca="1">IFERROR(__xludf.DUMMYFUNCTION("""COMPUTED_VALUE"""),"New")</f>
        <v>New</v>
      </c>
      <c r="F4651" s="72">
        <v>20</v>
      </c>
      <c r="G4651" s="72">
        <v>2692</v>
      </c>
      <c r="J4651" s="27" t="s">
        <v>8343</v>
      </c>
      <c r="K4651" s="27" t="s">
        <v>3844</v>
      </c>
      <c r="L4651" s="112"/>
      <c r="M4651" s="27" t="s">
        <v>7390</v>
      </c>
      <c r="N4651" s="48">
        <v>46085</v>
      </c>
      <c r="P4651" s="26"/>
    </row>
    <row r="4652" spans="1:16" ht="14.5">
      <c r="A4652" s="3" t="s">
        <v>256</v>
      </c>
      <c r="B4652" s="12" t="s">
        <v>2879</v>
      </c>
      <c r="C4652" s="46" t="s">
        <v>8344</v>
      </c>
      <c r="D4652" s="41" t="str">
        <f ca="1">IFERROR(__xludf.DUMMYFUNCTION("IFERROR(ARRAYFORMULA(REGEXEXTRACT(C4652,""^(?:https?:\/\/)?(?:[^@\n]+@)?(?:www\.)?([^:\/\n]+)"")),"""")"),"prima.co.uk")</f>
        <v>prima.co.uk</v>
      </c>
      <c r="E4652" s="26" t="str">
        <f ca="1">IFERROR(__xludf.DUMMYFUNCTION("""COMPUTED_VALUE"""),"New")</f>
        <v>New</v>
      </c>
      <c r="F4652" s="72">
        <v>65</v>
      </c>
      <c r="G4652" s="72">
        <v>42211</v>
      </c>
      <c r="P4652" s="26"/>
    </row>
    <row r="4653" spans="1:16" ht="14.5">
      <c r="A4653" s="3" t="s">
        <v>256</v>
      </c>
      <c r="B4653" s="12" t="s">
        <v>2879</v>
      </c>
      <c r="C4653" s="46" t="s">
        <v>8345</v>
      </c>
      <c r="D4653" s="41" t="str">
        <f ca="1">IFERROR(__xludf.DUMMYFUNCTION("IFERROR(ARRAYFORMULA(REGEXEXTRACT(C4653,""^(?:https?:\/\/)?(?:[^@\n]+@)?(?:www\.)?([^:\/\n]+)"")),"""")"),"netlingo.com")</f>
        <v>netlingo.com</v>
      </c>
      <c r="E4653" s="26" t="str">
        <f ca="1">IFERROR(__xludf.DUMMYFUNCTION("""COMPUTED_VALUE"""),"New")</f>
        <v>New</v>
      </c>
      <c r="F4653" s="72">
        <v>71</v>
      </c>
      <c r="G4653" s="72">
        <v>22665</v>
      </c>
      <c r="P4653" s="26"/>
    </row>
    <row r="4654" spans="1:16" ht="14.5">
      <c r="A4654" s="3" t="s">
        <v>256</v>
      </c>
      <c r="B4654" s="12" t="s">
        <v>2879</v>
      </c>
      <c r="C4654" s="46" t="s">
        <v>8346</v>
      </c>
      <c r="D4654" s="41" t="str">
        <f ca="1">IFERROR(__xludf.DUMMYFUNCTION("IFERROR(ARRAYFORMULA(REGEXEXTRACT(C4654,""^(?:https?:\/\/)?(?:[^@\n]+@)?(?:www\.)?([^:\/\n]+)"")),"""")"),"southwalesargus.co.uk")</f>
        <v>southwalesargus.co.uk</v>
      </c>
      <c r="E4654" s="26" t="str">
        <f ca="1">IFERROR(__xludf.DUMMYFUNCTION("""COMPUTED_VALUE"""),"New")</f>
        <v>New</v>
      </c>
      <c r="F4654" s="72">
        <v>72</v>
      </c>
      <c r="G4654" s="72">
        <v>32061</v>
      </c>
      <c r="P4654" s="26"/>
    </row>
    <row r="4655" spans="1:16" ht="14.5">
      <c r="A4655" s="3" t="s">
        <v>256</v>
      </c>
      <c r="B4655" s="12" t="s">
        <v>2879</v>
      </c>
      <c r="C4655" s="46" t="s">
        <v>8347</v>
      </c>
      <c r="D4655" s="41" t="str">
        <f ca="1">IFERROR(__xludf.DUMMYFUNCTION("IFERROR(ARRAYFORMULA(REGEXEXTRACT(C4655,""^(?:https?:\/\/)?(?:[^@\n]+@)?(?:www\.)?([^:\/\n]+)"")),"""")"),"countypress.co.uk")</f>
        <v>countypress.co.uk</v>
      </c>
      <c r="E4655" s="26" t="str">
        <f ca="1">IFERROR(__xludf.DUMMYFUNCTION("""COMPUTED_VALUE"""),"New")</f>
        <v>New</v>
      </c>
      <c r="F4655" s="72">
        <v>62</v>
      </c>
      <c r="G4655" s="72">
        <v>49900</v>
      </c>
      <c r="P4655" s="26"/>
    </row>
    <row r="4656" spans="1:16" ht="14.5">
      <c r="A4656" s="3" t="s">
        <v>256</v>
      </c>
      <c r="B4656" s="12" t="s">
        <v>2879</v>
      </c>
      <c r="C4656" s="46" t="s">
        <v>8348</v>
      </c>
      <c r="D4656" s="41" t="str">
        <f ca="1">IFERROR(__xludf.DUMMYFUNCTION("IFERROR(ARRAYFORMULA(REGEXEXTRACT(C4656,""^(?:https?:\/\/)?(?:[^@\n]+@)?(?:www\.)?([^:\/\n]+)"")),"""")"),"scottishfinancialnews.com")</f>
        <v>scottishfinancialnews.com</v>
      </c>
      <c r="E4656" s="26" t="str">
        <f ca="1">IFERROR(__xludf.DUMMYFUNCTION("""COMPUTED_VALUE"""),"New")</f>
        <v>New</v>
      </c>
      <c r="F4656" s="72">
        <v>57</v>
      </c>
      <c r="G4656" s="72">
        <v>10983</v>
      </c>
      <c r="P4656" s="26"/>
    </row>
    <row r="4657" spans="1:16" ht="14.5">
      <c r="A4657" s="3" t="s">
        <v>256</v>
      </c>
      <c r="B4657" s="12" t="s">
        <v>2879</v>
      </c>
      <c r="C4657" s="46" t="s">
        <v>8349</v>
      </c>
      <c r="D4657" s="41" t="str">
        <f ca="1">IFERROR(__xludf.DUMMYFUNCTION("IFERROR(ARRAYFORMULA(REGEXEXTRACT(C4657,""^(?:https?:\/\/)?(?:[^@\n]+@)?(?:www\.)?([^:\/\n]+)"")),"""")"),"britain-visitor.com")</f>
        <v>britain-visitor.com</v>
      </c>
      <c r="E4657" s="26" t="str">
        <f ca="1">IFERROR(__xludf.DUMMYFUNCTION("""COMPUTED_VALUE"""),"New")</f>
        <v>New</v>
      </c>
      <c r="F4657" s="72">
        <v>30</v>
      </c>
      <c r="G4657" s="72">
        <v>6399</v>
      </c>
      <c r="P4657" s="26"/>
    </row>
    <row r="4658" spans="1:16" ht="14.5">
      <c r="A4658" s="3" t="s">
        <v>256</v>
      </c>
      <c r="B4658" s="12" t="s">
        <v>2879</v>
      </c>
      <c r="C4658" s="49" t="s">
        <v>8350</v>
      </c>
      <c r="D4658" s="41" t="str">
        <f ca="1">IFERROR(__xludf.DUMMYFUNCTION("IFERROR(ARRAYFORMULA(REGEXEXTRACT(C4658,""^(?:https?:\/\/)?(?:[^@\n]+@)?(?:www\.)?([^:\/\n]+)"")),"""")"),"skintdad.co.uk")</f>
        <v>skintdad.co.uk</v>
      </c>
      <c r="E4658" s="26" t="str">
        <f ca="1">IFERROR(__xludf.DUMMYFUNCTION("""COMPUTED_VALUE"""),"New")</f>
        <v>New</v>
      </c>
      <c r="F4658" s="72">
        <v>47</v>
      </c>
      <c r="G4658" s="72">
        <v>8624</v>
      </c>
      <c r="H4658" s="27" t="s">
        <v>8351</v>
      </c>
      <c r="I4658" s="27" t="s">
        <v>8352</v>
      </c>
      <c r="K4658" s="27" t="s">
        <v>3756</v>
      </c>
      <c r="L4658" s="112"/>
      <c r="M4658" s="27" t="s">
        <v>7390</v>
      </c>
      <c r="N4658" s="48">
        <v>46085</v>
      </c>
      <c r="P4658" s="26"/>
    </row>
    <row r="4659" spans="1:16" ht="14.5">
      <c r="A4659" s="3" t="s">
        <v>256</v>
      </c>
      <c r="B4659" s="12" t="s">
        <v>2879</v>
      </c>
      <c r="C4659" s="46" t="s">
        <v>8353</v>
      </c>
      <c r="D4659" s="41" t="str">
        <f ca="1">IFERROR(__xludf.DUMMYFUNCTION("IFERROR(ARRAYFORMULA(REGEXEXTRACT(C4659,""^(?:https?:\/\/)?(?:[^@\n]+@)?(?:www\.)?([^:\/\n]+)"")),"""")"),"fadmagazine.com")</f>
        <v>fadmagazine.com</v>
      </c>
      <c r="E4659" s="26" t="str">
        <f ca="1">IFERROR(__xludf.DUMMYFUNCTION("""COMPUTED_VALUE"""),"New")</f>
        <v>New</v>
      </c>
      <c r="F4659" s="72">
        <v>74</v>
      </c>
      <c r="G4659" s="72">
        <v>1749</v>
      </c>
      <c r="P4659" s="26"/>
    </row>
    <row r="4660" spans="1:16" ht="14.5">
      <c r="A4660" s="3" t="s">
        <v>256</v>
      </c>
      <c r="B4660" s="12" t="s">
        <v>2879</v>
      </c>
      <c r="C4660" s="46" t="s">
        <v>8354</v>
      </c>
      <c r="D4660" s="41" t="str">
        <f ca="1">IFERROR(__xludf.DUMMYFUNCTION("IFERROR(ARRAYFORMULA(REGEXEXTRACT(C4660,""^(?:https?:\/\/)?(?:[^@\n]+@)?(?:www\.)?([^:\/\n]+)"")),"""")"),"analyticsinsight.net")</f>
        <v>analyticsinsight.net</v>
      </c>
      <c r="E4660" s="26" t="str">
        <f ca="1">IFERROR(__xludf.DUMMYFUNCTION("""COMPUTED_VALUE"""),"New")</f>
        <v>New</v>
      </c>
      <c r="F4660" s="72">
        <v>80</v>
      </c>
      <c r="G4660" s="72">
        <v>267061</v>
      </c>
      <c r="P4660" s="26"/>
    </row>
    <row r="4661" spans="1:16" ht="14.5">
      <c r="A4661" s="3" t="s">
        <v>256</v>
      </c>
      <c r="B4661" s="12" t="s">
        <v>2879</v>
      </c>
      <c r="C4661" s="46" t="s">
        <v>8355</v>
      </c>
      <c r="D4661" s="41" t="str">
        <f ca="1">IFERROR(__xludf.DUMMYFUNCTION("IFERROR(ARRAYFORMULA(REGEXEXTRACT(C4661,""^(?:https?:\/\/)?(?:[^@\n]+@)?(?:www\.)?([^:\/\n]+)"")),"""")"),"thelaptopadviser.com")</f>
        <v>thelaptopadviser.com</v>
      </c>
      <c r="E4661" s="26" t="str">
        <f ca="1">IFERROR(__xludf.DUMMYFUNCTION("""COMPUTED_VALUE"""),"New")</f>
        <v>New</v>
      </c>
      <c r="F4661" s="72">
        <v>47</v>
      </c>
      <c r="G4661" s="72">
        <v>1885</v>
      </c>
      <c r="P4661" s="26"/>
    </row>
    <row r="4662" spans="1:16" ht="14.5">
      <c r="A4662" s="3" t="s">
        <v>256</v>
      </c>
      <c r="B4662" s="12" t="s">
        <v>2879</v>
      </c>
      <c r="C4662" s="46" t="s">
        <v>8356</v>
      </c>
      <c r="D4662" s="41" t="str">
        <f ca="1">IFERROR(__xludf.DUMMYFUNCTION("IFERROR(ARRAYFORMULA(REGEXEXTRACT(C4662,""^(?:https?:\/\/)?(?:[^@\n]+@)?(?:www\.)?([^:\/\n]+)"")),"""")"),"www-ft-com.ezproxy.brunel.ac.uk")</f>
        <v>www-ft-com.ezproxy.brunel.ac.uk</v>
      </c>
      <c r="E4662" s="26" t="str">
        <f ca="1">IFERROR(__xludf.DUMMYFUNCTION("""COMPUTED_VALUE"""),"New")</f>
        <v>New</v>
      </c>
      <c r="F4662" s="72">
        <v>79</v>
      </c>
      <c r="G4662" s="72">
        <v>70277</v>
      </c>
      <c r="P4662" s="26"/>
    </row>
    <row r="4663" spans="1:16" ht="14.5">
      <c r="A4663" s="3" t="s">
        <v>256</v>
      </c>
      <c r="B4663" s="12" t="s">
        <v>2879</v>
      </c>
      <c r="C4663" s="47" t="s">
        <v>8357</v>
      </c>
      <c r="D4663" s="41" t="str">
        <f ca="1">IFERROR(__xludf.DUMMYFUNCTION("IFERROR(ARRAYFORMULA(REGEXEXTRACT(C4663,""^(?:https?:\/\/)?(?:[^@\n]+@)?(?:www\.)?([^:\/\n]+)"")),"""")"),"furniturenews.net")</f>
        <v>furniturenews.net</v>
      </c>
      <c r="E4663" s="26" t="str">
        <f ca="1">IFERROR(__xludf.DUMMYFUNCTION("""COMPUTED_VALUE"""),"New")</f>
        <v>New</v>
      </c>
      <c r="F4663" s="72">
        <v>51</v>
      </c>
      <c r="G4663" s="72">
        <v>2159</v>
      </c>
      <c r="H4663" s="27" t="s">
        <v>8358</v>
      </c>
      <c r="I4663" s="27" t="s">
        <v>8359</v>
      </c>
      <c r="J4663" s="27" t="s">
        <v>8360</v>
      </c>
      <c r="K4663" s="27" t="s">
        <v>3772</v>
      </c>
      <c r="L4663" s="112"/>
      <c r="M4663" s="27" t="s">
        <v>7390</v>
      </c>
      <c r="N4663" s="48">
        <v>46085</v>
      </c>
      <c r="P4663" s="27" t="s">
        <v>3201</v>
      </c>
    </row>
    <row r="4664" spans="1:16" ht="14.5" hidden="1">
      <c r="A4664" s="3" t="s">
        <v>256</v>
      </c>
      <c r="B4664" s="12" t="s">
        <v>2879</v>
      </c>
      <c r="C4664" s="46" t="s">
        <v>8361</v>
      </c>
      <c r="D4664" s="41" t="str">
        <f ca="1">IFERROR(__xludf.DUMMYFUNCTION("IFERROR(ARRAYFORMULA(REGEXEXTRACT(C4664,""^(?:https?:\/\/)?(?:[^@\n]+@)?(?:www\.)?([^:\/\n]+)"")),"""")"),"fintechzoom.com")</f>
        <v>fintechzoom.com</v>
      </c>
      <c r="E4664" s="26" t="str">
        <f ca="1">IFERROR(__xludf.DUMMYFUNCTION("""COMPUTED_VALUE"""),"Already Exists")</f>
        <v>Already Exists</v>
      </c>
      <c r="F4664" s="72">
        <v>66</v>
      </c>
      <c r="G4664" s="72">
        <v>762379</v>
      </c>
      <c r="P4664" s="26"/>
    </row>
    <row r="4665" spans="1:16" ht="14.5">
      <c r="A4665" s="3" t="s">
        <v>256</v>
      </c>
      <c r="B4665" s="12" t="s">
        <v>2879</v>
      </c>
      <c r="C4665" s="46" t="s">
        <v>8362</v>
      </c>
      <c r="D4665" s="41" t="str">
        <f ca="1">IFERROR(__xludf.DUMMYFUNCTION("IFERROR(ARRAYFORMULA(REGEXEXTRACT(C4665,""^(?:https?:\/\/)?(?:[^@\n]+@)?(?:www\.)?([^:\/\n]+)"")),"""")"),"cuea.edu")</f>
        <v>cuea.edu</v>
      </c>
      <c r="E4665" s="26" t="str">
        <f ca="1">IFERROR(__xludf.DUMMYFUNCTION("""COMPUTED_VALUE"""),"New")</f>
        <v>New</v>
      </c>
      <c r="F4665" s="72">
        <v>48</v>
      </c>
      <c r="G4665" s="72">
        <v>25058</v>
      </c>
      <c r="P4665" s="26"/>
    </row>
    <row r="4666" spans="1:16" ht="14.5">
      <c r="A4666" s="3" t="s">
        <v>256</v>
      </c>
      <c r="B4666" s="12" t="s">
        <v>2879</v>
      </c>
      <c r="C4666" s="46" t="s">
        <v>8363</v>
      </c>
      <c r="D4666" s="41" t="str">
        <f ca="1">IFERROR(__xludf.DUMMYFUNCTION("IFERROR(ARRAYFORMULA(REGEXEXTRACT(C4666,""^(?:https?:\/\/)?(?:[^@\n]+@)?(?:www\.)?([^:\/\n]+)"")),"""")"),"insightdiy.co.uk")</f>
        <v>insightdiy.co.uk</v>
      </c>
      <c r="E4666" s="26" t="str">
        <f ca="1">IFERROR(__xludf.DUMMYFUNCTION("""COMPUTED_VALUE"""),"New")</f>
        <v>New</v>
      </c>
      <c r="F4666" s="72">
        <v>55</v>
      </c>
      <c r="G4666" s="72">
        <v>5114</v>
      </c>
      <c r="P4666" s="26"/>
    </row>
    <row r="4667" spans="1:16" ht="14.5">
      <c r="A4667" s="3" t="s">
        <v>256</v>
      </c>
      <c r="B4667" s="12" t="s">
        <v>2879</v>
      </c>
      <c r="C4667" s="46" t="s">
        <v>8364</v>
      </c>
      <c r="D4667" s="41" t="str">
        <f ca="1">IFERROR(__xludf.DUMMYFUNCTION("IFERROR(ARRAYFORMULA(REGEXEXTRACT(C4667,""^(?:https?:\/\/)?(?:[^@\n]+@)?(?:www\.)?([^:\/\n]+)"")),"""")"),"thetelegraphandargus.co.uk")</f>
        <v>thetelegraphandargus.co.uk</v>
      </c>
      <c r="E4667" s="26" t="str">
        <f ca="1">IFERROR(__xludf.DUMMYFUNCTION("""COMPUTED_VALUE"""),"New")</f>
        <v>New</v>
      </c>
      <c r="F4667" s="72">
        <v>74</v>
      </c>
      <c r="G4667" s="72">
        <v>119052</v>
      </c>
      <c r="P4667" s="26"/>
    </row>
    <row r="4668" spans="1:16" ht="14.5">
      <c r="A4668" s="3" t="s">
        <v>256</v>
      </c>
      <c r="B4668" s="12" t="s">
        <v>2879</v>
      </c>
      <c r="C4668" s="46" t="s">
        <v>8365</v>
      </c>
      <c r="D4668" s="41" t="str">
        <f ca="1">IFERROR(__xludf.DUMMYFUNCTION("IFERROR(ARRAYFORMULA(REGEXEXTRACT(C4668,""^(?:https?:\/\/)?(?:[^@\n]+@)?(?:www\.)?([^:\/\n]+)"")),"""")"),"old.estateagenttoday.co.uk")</f>
        <v>old.estateagenttoday.co.uk</v>
      </c>
      <c r="E4668" s="26" t="str">
        <f ca="1">IFERROR(__xludf.DUMMYFUNCTION("""COMPUTED_VALUE"""),"New")</f>
        <v>New</v>
      </c>
      <c r="F4668" s="72">
        <v>71</v>
      </c>
      <c r="G4668" s="72">
        <v>4638</v>
      </c>
      <c r="P4668" s="26"/>
    </row>
    <row r="4669" spans="1:16" ht="14.5">
      <c r="A4669" s="3" t="s">
        <v>256</v>
      </c>
      <c r="B4669" s="12" t="s">
        <v>2879</v>
      </c>
      <c r="C4669" s="46" t="s">
        <v>8366</v>
      </c>
      <c r="D4669" s="41" t="str">
        <f ca="1">IFERROR(__xludf.DUMMYFUNCTION("IFERROR(ARRAYFORMULA(REGEXEXTRACT(C4669,""^(?:https?:\/\/)?(?:[^@\n]+@)?(?:www\.)?([^:\/\n]+)"")),"""")"),"scottishhousingnews.com")</f>
        <v>scottishhousingnews.com</v>
      </c>
      <c r="E4669" s="26" t="str">
        <f ca="1">IFERROR(__xludf.DUMMYFUNCTION("""COMPUTED_VALUE"""),"New")</f>
        <v>New</v>
      </c>
      <c r="F4669" s="72">
        <v>60</v>
      </c>
      <c r="G4669" s="72">
        <v>8497</v>
      </c>
      <c r="P4669" s="26"/>
    </row>
    <row r="4670" spans="1:16" ht="14.5" hidden="1">
      <c r="A4670" s="3" t="s">
        <v>256</v>
      </c>
      <c r="B4670" s="12" t="s">
        <v>2879</v>
      </c>
      <c r="C4670" s="46" t="s">
        <v>8367</v>
      </c>
      <c r="D4670" s="41" t="str">
        <f ca="1">IFERROR(__xludf.DUMMYFUNCTION("IFERROR(ARRAYFORMULA(REGEXEXTRACT(C4670,""^(?:https?:\/\/)?(?:[^@\n]+@)?(?:www\.)?([^:\/\n]+)"")),"""")"),"harrogate-news.co.uk")</f>
        <v>harrogate-news.co.uk</v>
      </c>
      <c r="E4670" s="26" t="str">
        <f ca="1">IFERROR(__xludf.DUMMYFUNCTION("""COMPUTED_VALUE"""),"Already Exists")</f>
        <v>Already Exists</v>
      </c>
      <c r="F4670" s="72">
        <v>47</v>
      </c>
      <c r="G4670" s="72">
        <v>1095</v>
      </c>
      <c r="P4670" s="26"/>
    </row>
    <row r="4671" spans="1:16" ht="14.5">
      <c r="A4671" s="3" t="s">
        <v>256</v>
      </c>
      <c r="B4671" s="12" t="s">
        <v>2879</v>
      </c>
      <c r="C4671" s="46" t="s">
        <v>8368</v>
      </c>
      <c r="D4671" s="41" t="str">
        <f ca="1">IFERROR(__xludf.DUMMYFUNCTION("IFERROR(ARRAYFORMULA(REGEXEXTRACT(C4671,""^(?:https?:\/\/)?(?:[^@\n]+@)?(?:www\.)?([^:\/\n]+)"")),"""")"),"digit.fyi")</f>
        <v>digit.fyi</v>
      </c>
      <c r="E4671" s="26" t="str">
        <f ca="1">IFERROR(__xludf.DUMMYFUNCTION("""COMPUTED_VALUE"""),"New")</f>
        <v>New</v>
      </c>
      <c r="F4671" s="72">
        <v>72</v>
      </c>
      <c r="G4671" s="72">
        <v>26940</v>
      </c>
      <c r="P4671" s="26"/>
    </row>
    <row r="4672" spans="1:16" ht="14.5">
      <c r="A4672" s="3" t="s">
        <v>256</v>
      </c>
      <c r="B4672" s="12" t="s">
        <v>2879</v>
      </c>
      <c r="C4672" s="46" t="s">
        <v>8369</v>
      </c>
      <c r="D4672" s="41" t="str">
        <f ca="1">IFERROR(__xludf.DUMMYFUNCTION("IFERROR(ARRAYFORMULA(REGEXEXTRACT(C4672,""^(?:https?:\/\/)?(?:[^@\n]+@)?(?:www\.)?([^:\/\n]+)"")),"""")"),"celebmix.com")</f>
        <v>celebmix.com</v>
      </c>
      <c r="E4672" s="26" t="str">
        <f ca="1">IFERROR(__xludf.DUMMYFUNCTION("""COMPUTED_VALUE"""),"New")</f>
        <v>New</v>
      </c>
      <c r="F4672" s="72">
        <v>61</v>
      </c>
      <c r="G4672" s="72">
        <v>2331</v>
      </c>
      <c r="P4672" s="26"/>
    </row>
    <row r="4673" spans="1:16" ht="14.5">
      <c r="A4673" s="3" t="s">
        <v>256</v>
      </c>
      <c r="B4673" s="12" t="s">
        <v>2879</v>
      </c>
      <c r="C4673" s="46" t="s">
        <v>8370</v>
      </c>
      <c r="D4673" s="41" t="str">
        <f ca="1">IFERROR(__xludf.DUMMYFUNCTION("IFERROR(ARRAYFORMULA(REGEXEXTRACT(C4673,""^(?:https?:\/\/)?(?:[^@\n]+@)?(?:www\.)?([^:\/\n]+)"")),"""")"),"premierguarantee.com")</f>
        <v>premierguarantee.com</v>
      </c>
      <c r="E4673" s="26" t="str">
        <f ca="1">IFERROR(__xludf.DUMMYFUNCTION("""COMPUTED_VALUE"""),"New")</f>
        <v>New</v>
      </c>
      <c r="F4673" s="72">
        <v>60</v>
      </c>
      <c r="G4673" s="72">
        <v>1116</v>
      </c>
      <c r="P4673" s="26"/>
    </row>
    <row r="4674" spans="1:16" ht="14.5">
      <c r="A4674" s="3" t="s">
        <v>256</v>
      </c>
      <c r="B4674" s="12" t="s">
        <v>2879</v>
      </c>
      <c r="C4674" s="49" t="s">
        <v>8371</v>
      </c>
      <c r="D4674" s="41" t="str">
        <f ca="1">IFERROR(__xludf.DUMMYFUNCTION("IFERROR(ARRAYFORMULA(REGEXEXTRACT(C4674,""^(?:https?:\/\/)?(?:[^@\n]+@)?(?:www\.)?([^:\/\n]+)"")),"""")"),"eureporter.co")</f>
        <v>eureporter.co</v>
      </c>
      <c r="E4674" s="26" t="str">
        <f ca="1">IFERROR(__xludf.DUMMYFUNCTION("""COMPUTED_VALUE"""),"New")</f>
        <v>New</v>
      </c>
      <c r="F4674" s="72">
        <v>71</v>
      </c>
      <c r="G4674" s="72">
        <v>1211</v>
      </c>
      <c r="J4674" s="27" t="s">
        <v>8372</v>
      </c>
      <c r="K4674" s="27" t="s">
        <v>3772</v>
      </c>
      <c r="L4674" s="112"/>
      <c r="M4674" s="27" t="s">
        <v>7290</v>
      </c>
      <c r="N4674" s="48">
        <v>46085</v>
      </c>
      <c r="P4674" s="26"/>
    </row>
    <row r="4675" spans="1:16" ht="14.5">
      <c r="A4675" s="3" t="s">
        <v>256</v>
      </c>
      <c r="B4675" s="12" t="s">
        <v>2879</v>
      </c>
      <c r="C4675" s="49" t="s">
        <v>8373</v>
      </c>
      <c r="D4675" s="41" t="str">
        <f ca="1">IFERROR(__xludf.DUMMYFUNCTION("IFERROR(ARRAYFORMULA(REGEXEXTRACT(C4675,""^(?:https?:\/\/)?(?:[^@\n]+@)?(?:www\.)?([^:\/\n]+)"")),"""")"),"marketingstockport.co.uk")</f>
        <v>marketingstockport.co.uk</v>
      </c>
      <c r="E4675" s="26" t="str">
        <f ca="1">IFERROR(__xludf.DUMMYFUNCTION("""COMPUTED_VALUE"""),"New")</f>
        <v>New</v>
      </c>
      <c r="F4675" s="72">
        <v>41</v>
      </c>
      <c r="G4675" s="72">
        <v>1160</v>
      </c>
      <c r="J4675" s="27" t="s">
        <v>8374</v>
      </c>
      <c r="K4675" s="27" t="s">
        <v>3772</v>
      </c>
      <c r="L4675" s="112"/>
      <c r="M4675" s="27" t="s">
        <v>7290</v>
      </c>
      <c r="N4675" s="48">
        <v>46085</v>
      </c>
      <c r="P4675" s="26"/>
    </row>
    <row r="4676" spans="1:16" ht="14.5">
      <c r="A4676" s="3" t="s">
        <v>256</v>
      </c>
      <c r="B4676" s="12" t="s">
        <v>2879</v>
      </c>
      <c r="C4676" s="46" t="s">
        <v>8375</v>
      </c>
      <c r="D4676" s="41" t="str">
        <f ca="1">IFERROR(__xludf.DUMMYFUNCTION("IFERROR(ARRAYFORMULA(REGEXEXTRACT(C4676,""^(?:https?:\/\/)?(?:[^@\n]+@)?(?:www\.)?([^:\/\n]+)"")),"""")"),"kentonline.co.uk")</f>
        <v>kentonline.co.uk</v>
      </c>
      <c r="E4676" s="26" t="str">
        <f ca="1">IFERROR(__xludf.DUMMYFUNCTION("""COMPUTED_VALUE"""),"New")</f>
        <v>New</v>
      </c>
      <c r="F4676" s="72">
        <v>76</v>
      </c>
      <c r="G4676" s="72">
        <v>265439</v>
      </c>
      <c r="P4676" s="26"/>
    </row>
    <row r="4677" spans="1:16" ht="14.5">
      <c r="A4677" s="3" t="s">
        <v>256</v>
      </c>
      <c r="B4677" s="12" t="s">
        <v>2879</v>
      </c>
      <c r="C4677" s="46" t="s">
        <v>8376</v>
      </c>
      <c r="D4677" s="41" t="str">
        <f ca="1">IFERROR(__xludf.DUMMYFUNCTION("IFERROR(ARRAYFORMULA(REGEXEXTRACT(C4677,""^(?:https?:\/\/)?(?:[^@\n]+@)?(?:www\.)?([^:\/\n]+)"")),"""")"),"lifehack.org")</f>
        <v>lifehack.org</v>
      </c>
      <c r="E4677" s="26" t="str">
        <f ca="1">IFERROR(__xludf.DUMMYFUNCTION("""COMPUTED_VALUE"""),"New")</f>
        <v>New</v>
      </c>
      <c r="F4677" s="72">
        <v>85</v>
      </c>
      <c r="G4677" s="72">
        <v>107660</v>
      </c>
      <c r="P4677" s="26"/>
    </row>
    <row r="4678" spans="1:16" ht="14.5">
      <c r="A4678" s="3" t="s">
        <v>256</v>
      </c>
      <c r="B4678" s="12" t="s">
        <v>2879</v>
      </c>
      <c r="C4678" s="49" t="s">
        <v>8377</v>
      </c>
      <c r="D4678" s="41" t="str">
        <f ca="1">IFERROR(__xludf.DUMMYFUNCTION("IFERROR(ARRAYFORMULA(REGEXEXTRACT(C4678,""^(?:https?:\/\/)?(?:[^@\n]+@)?(?:www\.)?([^:\/\n]+)"")),"""")"),"mattressonline.co.uk")</f>
        <v>mattressonline.co.uk</v>
      </c>
      <c r="E4678" s="26" t="str">
        <f ca="1">IFERROR(__xludf.DUMMYFUNCTION("""COMPUTED_VALUE"""),"New")</f>
        <v>New</v>
      </c>
      <c r="F4678" s="72">
        <v>53</v>
      </c>
      <c r="G4678" s="72">
        <v>122020</v>
      </c>
      <c r="J4678" s="27" t="s">
        <v>8378</v>
      </c>
      <c r="M4678" s="27" t="s">
        <v>7290</v>
      </c>
      <c r="N4678" s="48">
        <v>46085</v>
      </c>
      <c r="P4678" s="26"/>
    </row>
    <row r="4679" spans="1:16" ht="14.5">
      <c r="A4679" s="3" t="s">
        <v>256</v>
      </c>
      <c r="B4679" s="12" t="s">
        <v>2879</v>
      </c>
      <c r="C4679" s="46" t="s">
        <v>8379</v>
      </c>
      <c r="D4679" s="41" t="str">
        <f ca="1">IFERROR(__xludf.DUMMYFUNCTION("IFERROR(ARRAYFORMULA(REGEXEXTRACT(C4679,""^(?:https?:\/\/)?(?:[^@\n]+@)?(?:www\.)?([^:\/\n]+)"")),"""")"),"theregister.com")</f>
        <v>theregister.com</v>
      </c>
      <c r="E4679" s="26" t="str">
        <f ca="1">IFERROR(__xludf.DUMMYFUNCTION("""COMPUTED_VALUE"""),"New")</f>
        <v>New</v>
      </c>
      <c r="F4679" s="72">
        <v>89</v>
      </c>
      <c r="G4679" s="72">
        <v>108241</v>
      </c>
      <c r="P4679" s="26"/>
    </row>
    <row r="4680" spans="1:16" ht="14.5">
      <c r="A4680" s="3" t="s">
        <v>256</v>
      </c>
      <c r="B4680" s="12" t="s">
        <v>2879</v>
      </c>
      <c r="C4680" s="46" t="s">
        <v>8380</v>
      </c>
      <c r="D4680" s="41" t="str">
        <f ca="1">IFERROR(__xludf.DUMMYFUNCTION("IFERROR(ARRAYFORMULA(REGEXEXTRACT(C4680,""^(?:https?:\/\/)?(?:[^@\n]+@)?(?:www\.)?([^:\/\n]+)"")),"""")"),"archive.thetab.com")</f>
        <v>archive.thetab.com</v>
      </c>
      <c r="E4680" s="26" t="str">
        <f ca="1">IFERROR(__xludf.DUMMYFUNCTION("""COMPUTED_VALUE"""),"New")</f>
        <v>New</v>
      </c>
      <c r="F4680" s="72">
        <v>75</v>
      </c>
      <c r="G4680" s="72">
        <v>903704</v>
      </c>
      <c r="P4680" s="26"/>
    </row>
    <row r="4681" spans="1:16" ht="14.5">
      <c r="A4681" s="3" t="s">
        <v>256</v>
      </c>
      <c r="B4681" s="12" t="s">
        <v>2879</v>
      </c>
      <c r="C4681" s="46" t="s">
        <v>8381</v>
      </c>
      <c r="D4681" s="41" t="str">
        <f ca="1">IFERROR(__xludf.DUMMYFUNCTION("IFERROR(ARRAYFORMULA(REGEXEXTRACT(C4681,""^(?:https?:\/\/)?(?:[^@\n]+@)?(?:www\.)?([^:\/\n]+)"")),"""")"),"cipp.org.uk")</f>
        <v>cipp.org.uk</v>
      </c>
      <c r="E4681" s="26" t="str">
        <f ca="1">IFERROR(__xludf.DUMMYFUNCTION("""COMPUTED_VALUE"""),"New")</f>
        <v>New</v>
      </c>
      <c r="F4681" s="72">
        <v>65</v>
      </c>
      <c r="G4681" s="72">
        <v>31590</v>
      </c>
      <c r="P4681" s="26"/>
    </row>
    <row r="4682" spans="1:16" ht="14.5">
      <c r="A4682" s="3" t="s">
        <v>256</v>
      </c>
      <c r="B4682" s="12" t="s">
        <v>2879</v>
      </c>
      <c r="C4682" s="46" t="s">
        <v>8382</v>
      </c>
      <c r="D4682" s="41" t="str">
        <f ca="1">IFERROR(__xludf.DUMMYFUNCTION("IFERROR(ARRAYFORMULA(REGEXEXTRACT(C4682,""^(?:https?:\/\/)?(?:[^@\n]+@)?(?:www\.)?([^:\/\n]+)"")),"""")"),"stokesentinel.co.uk")</f>
        <v>stokesentinel.co.uk</v>
      </c>
      <c r="E4682" s="26" t="str">
        <f ca="1">IFERROR(__xludf.DUMMYFUNCTION("""COMPUTED_VALUE"""),"New")</f>
        <v>New</v>
      </c>
      <c r="F4682" s="72">
        <v>72</v>
      </c>
      <c r="G4682" s="72">
        <v>140013</v>
      </c>
      <c r="P4682" s="26"/>
    </row>
    <row r="4683" spans="1:16" ht="14.5">
      <c r="A4683" s="3" t="s">
        <v>256</v>
      </c>
      <c r="B4683" s="12" t="s">
        <v>2879</v>
      </c>
      <c r="C4683" s="46" t="s">
        <v>8383</v>
      </c>
      <c r="D4683" s="41" t="str">
        <f ca="1">IFERROR(__xludf.DUMMYFUNCTION("IFERROR(ARRAYFORMULA(REGEXEXTRACT(C4683,""^(?:https?:\/\/)?(?:[^@\n]+@)?(?:www\.)?([^:\/\n]+)"")),"""")"),"embeddedcomputing.com")</f>
        <v>embeddedcomputing.com</v>
      </c>
      <c r="E4683" s="26" t="str">
        <f ca="1">IFERROR(__xludf.DUMMYFUNCTION("""COMPUTED_VALUE"""),"New")</f>
        <v>New</v>
      </c>
      <c r="F4683" s="72">
        <v>71</v>
      </c>
      <c r="G4683" s="72">
        <v>1235</v>
      </c>
      <c r="P4683" s="26"/>
    </row>
    <row r="4684" spans="1:16" ht="14.5">
      <c r="A4684" s="3" t="s">
        <v>256</v>
      </c>
      <c r="B4684" s="12" t="s">
        <v>2879</v>
      </c>
      <c r="C4684" s="46" t="s">
        <v>8384</v>
      </c>
      <c r="D4684" s="41" t="str">
        <f ca="1">IFERROR(__xludf.DUMMYFUNCTION("IFERROR(ARRAYFORMULA(REGEXEXTRACT(C4684,""^(?:https?:\/\/)?(?:[^@\n]+@)?(?:www\.)?([^:\/\n]+)"")),"""")"),"scottishfield.co.uk")</f>
        <v>scottishfield.co.uk</v>
      </c>
      <c r="E4684" s="26" t="str">
        <f ca="1">IFERROR(__xludf.DUMMYFUNCTION("""COMPUTED_VALUE"""),"New")</f>
        <v>New</v>
      </c>
      <c r="F4684" s="72">
        <v>62</v>
      </c>
      <c r="G4684" s="72">
        <v>5111</v>
      </c>
      <c r="P4684" s="26"/>
    </row>
    <row r="4685" spans="1:16" ht="14.5">
      <c r="A4685" s="3" t="s">
        <v>256</v>
      </c>
      <c r="B4685" s="12" t="s">
        <v>2879</v>
      </c>
      <c r="C4685" s="49" t="s">
        <v>8385</v>
      </c>
      <c r="D4685" s="41" t="str">
        <f ca="1">IFERROR(__xludf.DUMMYFUNCTION("IFERROR(ARRAYFORMULA(REGEXEXTRACT(C4685,""^(?:https?:\/\/)?(?:[^@\n]+@)?(?:www\.)?([^:\/\n]+)"")),"""")"),"mylondon.news")</f>
        <v>mylondon.news</v>
      </c>
      <c r="E4685" s="26" t="str">
        <f ca="1">IFERROR(__xludf.DUMMYFUNCTION("""COMPUTED_VALUE"""),"New")</f>
        <v>New</v>
      </c>
      <c r="F4685" s="72">
        <v>76</v>
      </c>
      <c r="G4685" s="72">
        <v>125882</v>
      </c>
      <c r="H4685" s="27" t="s">
        <v>8386</v>
      </c>
      <c r="I4685" s="27" t="s">
        <v>8387</v>
      </c>
      <c r="J4685" s="27" t="s">
        <v>8388</v>
      </c>
      <c r="K4685" s="27" t="s">
        <v>3772</v>
      </c>
      <c r="L4685" s="112"/>
      <c r="M4685" s="27" t="s">
        <v>7290</v>
      </c>
      <c r="N4685" s="48">
        <v>46085</v>
      </c>
      <c r="P4685" s="26"/>
    </row>
    <row r="4686" spans="1:16" ht="14.5">
      <c r="A4686" s="3" t="s">
        <v>256</v>
      </c>
      <c r="B4686" s="17" t="s">
        <v>2877</v>
      </c>
      <c r="C4686" s="46" t="s">
        <v>8389</v>
      </c>
      <c r="D4686" s="41" t="str">
        <f ca="1">IFERROR(__xludf.DUMMYFUNCTION("IFERROR(ARRAYFORMULA(REGEXEXTRACT(C4686,""^(?:https?:\/\/)?(?:[^@\n]+@)?(?:www\.)?([^:\/\n]+)"")),"""")"),"blog.backlinker.ai")</f>
        <v>blog.backlinker.ai</v>
      </c>
      <c r="E4686" s="26" t="str">
        <f ca="1">IFERROR(__xludf.DUMMYFUNCTION("""COMPUTED_VALUE"""),"New")</f>
        <v>New</v>
      </c>
      <c r="F4686" s="72">
        <v>28</v>
      </c>
      <c r="G4686" s="72">
        <v>1045</v>
      </c>
      <c r="P4686" s="26"/>
    </row>
    <row r="4687" spans="1:16" ht="14.5">
      <c r="A4687" s="3" t="s">
        <v>256</v>
      </c>
      <c r="B4687" s="12" t="s">
        <v>2877</v>
      </c>
      <c r="C4687" s="46" t="s">
        <v>8390</v>
      </c>
      <c r="D4687" s="41" t="str">
        <f ca="1">IFERROR(__xludf.DUMMYFUNCTION("IFERROR(ARRAYFORMULA(REGEXEXTRACT(C4687,""^(?:https?:\/\/)?(?:[^@\n]+@)?(?:www\.)?([^:\/\n]+)"")),"""")"),"collegerecruiter.com")</f>
        <v>collegerecruiter.com</v>
      </c>
      <c r="E4687" s="26" t="str">
        <f ca="1">IFERROR(__xludf.DUMMYFUNCTION("""COMPUTED_VALUE"""),"New")</f>
        <v>New</v>
      </c>
      <c r="F4687" s="72">
        <v>68</v>
      </c>
      <c r="G4687" s="72">
        <v>1490</v>
      </c>
      <c r="P4687" s="26"/>
    </row>
    <row r="4688" spans="1:16" ht="14.5">
      <c r="A4688" s="3" t="s">
        <v>256</v>
      </c>
      <c r="B4688" s="12" t="s">
        <v>2877</v>
      </c>
      <c r="C4688" s="46" t="s">
        <v>8391</v>
      </c>
      <c r="D4688" s="41" t="str">
        <f ca="1">IFERROR(__xludf.DUMMYFUNCTION("IFERROR(ARRAYFORMULA(REGEXEXTRACT(C4688,""^(?:https?:\/\/)?(?:[^@\n]+@)?(?:www\.)?([^:\/\n]+)"")),"""")"),"areapatch.com")</f>
        <v>areapatch.com</v>
      </c>
      <c r="E4688" s="26" t="str">
        <f ca="1">IFERROR(__xludf.DUMMYFUNCTION("""COMPUTED_VALUE"""),"New")</f>
        <v>New</v>
      </c>
      <c r="F4688" s="72">
        <v>59</v>
      </c>
      <c r="G4688" s="72">
        <v>20655</v>
      </c>
      <c r="P4688" s="26"/>
    </row>
    <row r="4689" spans="1:16" ht="14.5">
      <c r="A4689" s="3" t="s">
        <v>256</v>
      </c>
      <c r="B4689" s="12" t="s">
        <v>2877</v>
      </c>
      <c r="C4689" s="46" t="s">
        <v>8392</v>
      </c>
      <c r="D4689" s="41" t="str">
        <f ca="1">IFERROR(__xludf.DUMMYFUNCTION("IFERROR(ARRAYFORMULA(REGEXEXTRACT(C4689,""^(?:https?:\/\/)?(?:[^@\n]+@)?(?:www\.)?([^:\/\n]+)"")),"""")"),"nazariancareers.csun.edu")</f>
        <v>nazariancareers.csun.edu</v>
      </c>
      <c r="E4689" s="26" t="str">
        <f ca="1">IFERROR(__xludf.DUMMYFUNCTION("""COMPUTED_VALUE"""),"New")</f>
        <v>New</v>
      </c>
      <c r="F4689" s="72">
        <v>82</v>
      </c>
      <c r="G4689" s="72">
        <v>206530</v>
      </c>
      <c r="P4689" s="26"/>
    </row>
    <row r="4690" spans="1:16" ht="14.5">
      <c r="A4690" s="3" t="s">
        <v>256</v>
      </c>
      <c r="B4690" s="17" t="s">
        <v>2862</v>
      </c>
      <c r="C4690" s="46" t="s">
        <v>8393</v>
      </c>
      <c r="D4690" s="41" t="str">
        <f ca="1">IFERROR(__xludf.DUMMYFUNCTION("IFERROR(ARRAYFORMULA(REGEXEXTRACT(C4690,""^(?:https?:\/\/)?(?:[^@\n]+@)?(?:www\.)?([^:\/\n]+)"")),"""")"),"dumpsters.com")</f>
        <v>dumpsters.com</v>
      </c>
      <c r="E4690" s="26" t="str">
        <f ca="1">IFERROR(__xludf.DUMMYFUNCTION("""COMPUTED_VALUE"""),"New")</f>
        <v>New</v>
      </c>
      <c r="F4690" s="72">
        <v>67</v>
      </c>
      <c r="G4690" s="72">
        <v>115615</v>
      </c>
      <c r="P4690" s="26"/>
    </row>
    <row r="4691" spans="1:16" ht="14.5">
      <c r="A4691" s="3" t="s">
        <v>256</v>
      </c>
      <c r="B4691" s="12" t="s">
        <v>2862</v>
      </c>
      <c r="C4691" s="46" t="s">
        <v>8394</v>
      </c>
      <c r="D4691" s="41" t="str">
        <f ca="1">IFERROR(__xludf.DUMMYFUNCTION("IFERROR(ARRAYFORMULA(REGEXEXTRACT(C4691,""^(?:https?:\/\/)?(?:[^@\n]+@)?(?:www\.)?([^:\/\n]+)"")),"""")"),"allstate.com")</f>
        <v>allstate.com</v>
      </c>
      <c r="E4691" s="26" t="str">
        <f ca="1">IFERROR(__xludf.DUMMYFUNCTION("""COMPUTED_VALUE"""),"New")</f>
        <v>New</v>
      </c>
      <c r="F4691" s="72">
        <v>84</v>
      </c>
      <c r="G4691" s="72">
        <v>7713768</v>
      </c>
      <c r="P4691" s="26"/>
    </row>
    <row r="4692" spans="1:16" ht="14.5">
      <c r="A4692" s="3" t="s">
        <v>256</v>
      </c>
      <c r="B4692" s="12" t="s">
        <v>2862</v>
      </c>
      <c r="C4692" s="46" t="s">
        <v>8395</v>
      </c>
      <c r="D4692" s="41" t="str">
        <f ca="1">IFERROR(__xludf.DUMMYFUNCTION("IFERROR(ARRAYFORMULA(REGEXEXTRACT(C4692,""^(?:https?:\/\/)?(?:[^@\n]+@)?(?:www\.)?([^:\/\n]+)"")),"""")"),"alluneedpest.com")</f>
        <v>alluneedpest.com</v>
      </c>
      <c r="E4692" s="26" t="str">
        <f ca="1">IFERROR(__xludf.DUMMYFUNCTION("""COMPUTED_VALUE"""),"New")</f>
        <v>New</v>
      </c>
      <c r="F4692" s="72">
        <v>29</v>
      </c>
      <c r="G4692" s="72">
        <v>57778</v>
      </c>
      <c r="P4692" s="26"/>
    </row>
    <row r="4693" spans="1:16" ht="14.5">
      <c r="A4693" s="3" t="s">
        <v>256</v>
      </c>
      <c r="B4693" s="12" t="s">
        <v>2862</v>
      </c>
      <c r="C4693" s="46" t="s">
        <v>8396</v>
      </c>
      <c r="D4693" s="41" t="str">
        <f ca="1">IFERROR(__xludf.DUMMYFUNCTION("IFERROR(ARRAYFORMULA(REGEXEXTRACT(C4693,""^(?:https?:\/\/)?(?:[^@\n]+@)?(?:www\.)?([^:\/\n]+)"")),"""")"),"farmersalmanac.com")</f>
        <v>farmersalmanac.com</v>
      </c>
      <c r="E4693" s="26" t="str">
        <f ca="1">IFERROR(__xludf.DUMMYFUNCTION("""COMPUTED_VALUE"""),"New")</f>
        <v>New</v>
      </c>
      <c r="F4693" s="72">
        <v>77</v>
      </c>
      <c r="G4693" s="72">
        <v>429478</v>
      </c>
      <c r="P4693" s="26"/>
    </row>
    <row r="4694" spans="1:16" ht="14.5">
      <c r="A4694" s="3" t="s">
        <v>256</v>
      </c>
      <c r="B4694" s="12" t="s">
        <v>2862</v>
      </c>
      <c r="C4694" s="46" t="s">
        <v>8397</v>
      </c>
      <c r="D4694" s="41" t="str">
        <f ca="1">IFERROR(__xludf.DUMMYFUNCTION("IFERROR(ARRAYFORMULA(REGEXEXTRACT(C4694,""^(?:https?:\/\/)?(?:[^@\n]+@)?(?:www\.)?([^:\/\n]+)"")),"""")"),"leviton.com")</f>
        <v>leviton.com</v>
      </c>
      <c r="E4694" s="26" t="str">
        <f ca="1">IFERROR(__xludf.DUMMYFUNCTION("""COMPUTED_VALUE"""),"New")</f>
        <v>New</v>
      </c>
      <c r="F4694" s="72">
        <v>76</v>
      </c>
      <c r="G4694" s="72">
        <v>141614</v>
      </c>
      <c r="P4694" s="26"/>
    </row>
    <row r="4695" spans="1:16" ht="14.5">
      <c r="A4695" s="3" t="s">
        <v>256</v>
      </c>
      <c r="B4695" s="12" t="s">
        <v>2862</v>
      </c>
      <c r="C4695" s="46" t="s">
        <v>8398</v>
      </c>
      <c r="D4695" s="41" t="str">
        <f ca="1">IFERROR(__xludf.DUMMYFUNCTION("IFERROR(ARRAYFORMULA(REGEXEXTRACT(C4695,""^(?:https?:\/\/)?(?:[^@\n]+@)?(?:www\.)?([^:\/\n]+)"")),"""")"),"move.org")</f>
        <v>move.org</v>
      </c>
      <c r="E4695" s="26" t="str">
        <f ca="1">IFERROR(__xludf.DUMMYFUNCTION("""COMPUTED_VALUE"""),"New")</f>
        <v>New</v>
      </c>
      <c r="F4695" s="72">
        <v>72</v>
      </c>
      <c r="G4695" s="72">
        <v>94726</v>
      </c>
      <c r="P4695" s="26"/>
    </row>
    <row r="4696" spans="1:16" ht="14.5">
      <c r="A4696" s="3" t="s">
        <v>256</v>
      </c>
      <c r="B4696" s="12" t="s">
        <v>2862</v>
      </c>
      <c r="C4696" s="46" t="s">
        <v>8399</v>
      </c>
      <c r="D4696" s="41" t="str">
        <f ca="1">IFERROR(__xludf.DUMMYFUNCTION("IFERROR(ARRAYFORMULA(REGEXEXTRACT(C4696,""^(?:https?:\/\/)?(?:[^@\n]+@)?(?:www\.)?([^:\/\n]+)"")),"""")"),"zlinekitchen.com")</f>
        <v>zlinekitchen.com</v>
      </c>
      <c r="E4696" s="26" t="str">
        <f ca="1">IFERROR(__xludf.DUMMYFUNCTION("""COMPUTED_VALUE"""),"New")</f>
        <v>New</v>
      </c>
      <c r="F4696" s="72">
        <v>61</v>
      </c>
      <c r="G4696" s="72">
        <v>67134</v>
      </c>
      <c r="P4696" s="26"/>
    </row>
    <row r="4697" spans="1:16" ht="14.5">
      <c r="A4697" s="3" t="s">
        <v>256</v>
      </c>
      <c r="B4697" s="12" t="s">
        <v>2862</v>
      </c>
      <c r="C4697" s="46" t="s">
        <v>8400</v>
      </c>
      <c r="D4697" s="41" t="str">
        <f ca="1">IFERROR(__xludf.DUMMYFUNCTION("IFERROR(ARRAYFORMULA(REGEXEXTRACT(C4697,""^(?:https?:\/\/)?(?:[^@\n]+@)?(?:www\.)?([^:\/\n]+)"")),"""")"),"zimmermanmulch.com")</f>
        <v>zimmermanmulch.com</v>
      </c>
      <c r="E4697" s="26" t="str">
        <f ca="1">IFERROR(__xludf.DUMMYFUNCTION("""COMPUTED_VALUE"""),"New")</f>
        <v>New</v>
      </c>
      <c r="F4697" s="72">
        <v>27</v>
      </c>
      <c r="G4697" s="72">
        <v>7845</v>
      </c>
      <c r="P4697" s="26"/>
    </row>
    <row r="4698" spans="1:16" ht="14.5">
      <c r="A4698" s="3" t="s">
        <v>256</v>
      </c>
      <c r="B4698" s="12" t="s">
        <v>2862</v>
      </c>
      <c r="C4698" s="46" t="s">
        <v>8401</v>
      </c>
      <c r="D4698" s="41" t="str">
        <f ca="1">IFERROR(__xludf.DUMMYFUNCTION("IFERROR(ARRAYFORMULA(REGEXEXTRACT(C4698,""^(?:https?:\/\/)?(?:[^@\n]+@)?(?:www\.)?([^:\/\n]+)"")),"""")"),"mesotheliomahope.com")</f>
        <v>mesotheliomahope.com</v>
      </c>
      <c r="E4698" s="26" t="str">
        <f ca="1">IFERROR(__xludf.DUMMYFUNCTION("""COMPUTED_VALUE"""),"New")</f>
        <v>New</v>
      </c>
      <c r="F4698" s="72">
        <v>72</v>
      </c>
      <c r="G4698" s="72">
        <v>31858</v>
      </c>
      <c r="P4698" s="26"/>
    </row>
    <row r="4699" spans="1:16" ht="14.5">
      <c r="A4699" s="3" t="s">
        <v>256</v>
      </c>
      <c r="B4699" s="12" t="s">
        <v>2862</v>
      </c>
      <c r="C4699" s="46" t="s">
        <v>8402</v>
      </c>
      <c r="D4699" s="41" t="str">
        <f ca="1">IFERROR(__xludf.DUMMYFUNCTION("IFERROR(ARRAYFORMULA(REGEXEXTRACT(C4699,""^(?:https?:\/\/)?(?:[^@\n]+@)?(?:www\.)?([^:\/\n]+)"")),"""")"),"servicechampions.net")</f>
        <v>servicechampions.net</v>
      </c>
      <c r="E4699" s="26" t="str">
        <f ca="1">IFERROR(__xludf.DUMMYFUNCTION("""COMPUTED_VALUE"""),"New")</f>
        <v>New</v>
      </c>
      <c r="F4699" s="72">
        <v>50</v>
      </c>
      <c r="G4699" s="72">
        <v>22877</v>
      </c>
      <c r="P4699" s="26"/>
    </row>
    <row r="4700" spans="1:16" ht="14.5">
      <c r="A4700" s="3" t="s">
        <v>256</v>
      </c>
      <c r="B4700" s="12" t="s">
        <v>2862</v>
      </c>
      <c r="C4700" s="49" t="s">
        <v>8403</v>
      </c>
      <c r="D4700" s="41" t="str">
        <f ca="1">IFERROR(__xludf.DUMMYFUNCTION("IFERROR(ARRAYFORMULA(REGEXEXTRACT(C4700,""^(?:https?:\/\/)?(?:[^@\n]+@)?(?:www\.)?([^:\/\n]+)"")),"""")"),"whittakersystem.com")</f>
        <v>whittakersystem.com</v>
      </c>
      <c r="E4700" s="26" t="str">
        <f ca="1">IFERROR(__xludf.DUMMYFUNCTION("""COMPUTED_VALUE"""),"New")</f>
        <v>New</v>
      </c>
      <c r="F4700" s="72">
        <v>33</v>
      </c>
      <c r="G4700" s="72">
        <v>4286</v>
      </c>
      <c r="J4700" s="27" t="s">
        <v>8404</v>
      </c>
      <c r="K4700" s="27" t="s">
        <v>8405</v>
      </c>
      <c r="L4700" s="112"/>
      <c r="M4700" s="27" t="s">
        <v>7290</v>
      </c>
      <c r="N4700" s="48">
        <v>46085</v>
      </c>
      <c r="P4700" s="26"/>
    </row>
    <row r="4701" spans="1:16" ht="14.5">
      <c r="A4701" s="3" t="s">
        <v>256</v>
      </c>
      <c r="B4701" s="12" t="s">
        <v>2862</v>
      </c>
      <c r="C4701" s="46" t="s">
        <v>8406</v>
      </c>
      <c r="D4701" s="41" t="str">
        <f ca="1">IFERROR(__xludf.DUMMYFUNCTION("IFERROR(ARRAYFORMULA(REGEXEXTRACT(C4701,""^(?:https?:\/\/)?(?:[^@\n]+@)?(?:www\.)?([^:\/\n]+)"")),"""")"),"toolup.com")</f>
        <v>toolup.com</v>
      </c>
      <c r="E4701" s="26" t="str">
        <f ca="1">IFERROR(__xludf.DUMMYFUNCTION("""COMPUTED_VALUE"""),"New")</f>
        <v>New</v>
      </c>
      <c r="F4701" s="72">
        <v>50</v>
      </c>
      <c r="G4701" s="72">
        <v>36834</v>
      </c>
      <c r="P4701" s="26"/>
    </row>
    <row r="4702" spans="1:16" ht="14.5">
      <c r="A4702" s="3" t="s">
        <v>256</v>
      </c>
      <c r="B4702" s="12" t="s">
        <v>2862</v>
      </c>
      <c r="C4702" s="46" t="s">
        <v>8407</v>
      </c>
      <c r="D4702" s="41" t="str">
        <f ca="1">IFERROR(__xludf.DUMMYFUNCTION("IFERROR(ARRAYFORMULA(REGEXEXTRACT(C4702,""^(?:https?:\/\/)?(?:[^@\n]+@)?(?:www\.)?([^:\/\n]+)"")),"""")"),"homes.rewiringamerica.org")</f>
        <v>homes.rewiringamerica.org</v>
      </c>
      <c r="E4702" s="26" t="str">
        <f ca="1">IFERROR(__xludf.DUMMYFUNCTION("""COMPUTED_VALUE"""),"New")</f>
        <v>New</v>
      </c>
      <c r="F4702" s="72">
        <v>75</v>
      </c>
      <c r="G4702" s="72">
        <v>42606</v>
      </c>
      <c r="P4702" s="26"/>
    </row>
    <row r="4703" spans="1:16" ht="14.5">
      <c r="A4703" s="3" t="s">
        <v>256</v>
      </c>
      <c r="B4703" s="12" t="s">
        <v>2862</v>
      </c>
      <c r="C4703" s="46" t="s">
        <v>8408</v>
      </c>
      <c r="D4703" s="41" t="str">
        <f ca="1">IFERROR(__xludf.DUMMYFUNCTION("IFERROR(ARRAYFORMULA(REGEXEXTRACT(C4703,""^(?:https?:\/\/)?(?:[^@\n]+@)?(?:www\.)?([^:\/\n]+)"")),"""")"),"dodsonbros.com")</f>
        <v>dodsonbros.com</v>
      </c>
      <c r="E4703" s="26" t="str">
        <f ca="1">IFERROR(__xludf.DUMMYFUNCTION("""COMPUTED_VALUE"""),"New")</f>
        <v>New</v>
      </c>
      <c r="F4703" s="72">
        <v>33</v>
      </c>
      <c r="G4703" s="72">
        <v>39450</v>
      </c>
      <c r="P4703" s="26"/>
    </row>
    <row r="4704" spans="1:16" ht="14.5">
      <c r="A4704" s="3" t="s">
        <v>256</v>
      </c>
      <c r="B4704" s="12" t="s">
        <v>2862</v>
      </c>
      <c r="C4704" s="49" t="s">
        <v>8409</v>
      </c>
      <c r="D4704" s="41" t="str">
        <f ca="1">IFERROR(__xludf.DUMMYFUNCTION("IFERROR(ARRAYFORMULA(REGEXEXTRACT(C4704,""^(?:https?:\/\/)?(?:[^@\n]+@)?(?:www\.)?([^:\/\n]+)"")),"""")"),"ngwindows.com")</f>
        <v>ngwindows.com</v>
      </c>
      <c r="E4704" s="26" t="str">
        <f ca="1">IFERROR(__xludf.DUMMYFUNCTION("""COMPUTED_VALUE"""),"New")</f>
        <v>New</v>
      </c>
      <c r="F4704" s="72">
        <v>26</v>
      </c>
      <c r="G4704" s="72">
        <v>3969</v>
      </c>
      <c r="J4704" s="27" t="s">
        <v>8410</v>
      </c>
      <c r="K4704" s="27" t="s">
        <v>8405</v>
      </c>
      <c r="L4704" s="112"/>
      <c r="M4704" s="27" t="s">
        <v>7290</v>
      </c>
      <c r="N4704" s="48">
        <v>46085</v>
      </c>
      <c r="P4704" s="26"/>
    </row>
    <row r="4705" spans="1:16" ht="14.5">
      <c r="A4705" s="3" t="s">
        <v>256</v>
      </c>
      <c r="B4705" s="12" t="s">
        <v>2862</v>
      </c>
      <c r="C4705" s="49" t="s">
        <v>8411</v>
      </c>
      <c r="D4705" s="41" t="str">
        <f ca="1">IFERROR(__xludf.DUMMYFUNCTION("IFERROR(ARRAYFORMULA(REGEXEXTRACT(C4705,""^(?:https?:\/\/)?(?:[^@\n]+@)?(?:www\.)?([^:\/\n]+)"")),"""")"),"warmzone.com")</f>
        <v>warmzone.com</v>
      </c>
      <c r="E4705" s="26" t="str">
        <f ca="1">IFERROR(__xludf.DUMMYFUNCTION("""COMPUTED_VALUE"""),"New")</f>
        <v>New</v>
      </c>
      <c r="F4705" s="72">
        <v>62</v>
      </c>
      <c r="G4705" s="72">
        <v>4179</v>
      </c>
      <c r="J4705" s="27" t="s">
        <v>8412</v>
      </c>
      <c r="K4705" s="27" t="s">
        <v>8405</v>
      </c>
      <c r="L4705" s="112"/>
      <c r="M4705" s="27" t="s">
        <v>7290</v>
      </c>
      <c r="N4705" s="48">
        <v>46085</v>
      </c>
      <c r="P4705" s="26"/>
    </row>
    <row r="4706" spans="1:16" ht="14.5">
      <c r="A4706" s="3" t="s">
        <v>256</v>
      </c>
      <c r="B4706" s="12" t="s">
        <v>2862</v>
      </c>
      <c r="C4706" s="46" t="s">
        <v>8413</v>
      </c>
      <c r="D4706" s="41" t="str">
        <f ca="1">IFERROR(__xludf.DUMMYFUNCTION("IFERROR(ARRAYFORMULA(REGEXEXTRACT(C4706,""^(?:https?:\/\/)?(?:[^@\n]+@)?(?:www\.)?([^:\/\n]+)"")),"""")"),"bulwarkpestcontrol.com")</f>
        <v>bulwarkpestcontrol.com</v>
      </c>
      <c r="E4706" s="26" t="str">
        <f ca="1">IFERROR(__xludf.DUMMYFUNCTION("""COMPUTED_VALUE"""),"New")</f>
        <v>New</v>
      </c>
      <c r="F4706" s="72">
        <v>57</v>
      </c>
      <c r="G4706" s="72">
        <v>10208</v>
      </c>
      <c r="P4706" s="26"/>
    </row>
    <row r="4707" spans="1:16" ht="14.5">
      <c r="A4707" s="3" t="s">
        <v>256</v>
      </c>
      <c r="B4707" s="12" t="s">
        <v>2862</v>
      </c>
      <c r="C4707" s="49" t="s">
        <v>8414</v>
      </c>
      <c r="D4707" s="41" t="str">
        <f ca="1">IFERROR(__xludf.DUMMYFUNCTION("IFERROR(ARRAYFORMULA(REGEXEXTRACT(C4707,""^(?:https?:\/\/)?(?:[^@\n]+@)?(?:www\.)?([^:\/\n]+)"")),"""")"),"thehoneycombhome.com")</f>
        <v>thehoneycombhome.com</v>
      </c>
      <c r="E4707" s="26" t="str">
        <f ca="1">IFERROR(__xludf.DUMMYFUNCTION("""COMPUTED_VALUE"""),"New")</f>
        <v>New</v>
      </c>
      <c r="F4707" s="72">
        <v>51</v>
      </c>
      <c r="G4707" s="72">
        <v>3740</v>
      </c>
      <c r="H4707" s="27" t="s">
        <v>8415</v>
      </c>
      <c r="I4707" s="27" t="s">
        <v>8416</v>
      </c>
      <c r="K4707" s="27" t="s">
        <v>8417</v>
      </c>
      <c r="L4707" s="112"/>
      <c r="M4707" s="27" t="s">
        <v>7290</v>
      </c>
      <c r="N4707" s="48">
        <v>46085</v>
      </c>
      <c r="P4707" s="26"/>
    </row>
    <row r="4708" spans="1:16" ht="14.5">
      <c r="A4708" s="3" t="s">
        <v>256</v>
      </c>
      <c r="B4708" s="12" t="s">
        <v>2862</v>
      </c>
      <c r="C4708" s="46" t="s">
        <v>8418</v>
      </c>
      <c r="D4708" s="41" t="str">
        <f ca="1">IFERROR(__xludf.DUMMYFUNCTION("IFERROR(ARRAYFORMULA(REGEXEXTRACT(C4708,""^(?:https?:\/\/)?(?:[^@\n]+@)?(?:www\.)?([^:\/\n]+)"")),"""")"),"stikwood.com")</f>
        <v>stikwood.com</v>
      </c>
      <c r="E4708" s="26" t="str">
        <f ca="1">IFERROR(__xludf.DUMMYFUNCTION("""COMPUTED_VALUE"""),"New")</f>
        <v>New</v>
      </c>
      <c r="F4708" s="72">
        <v>50</v>
      </c>
      <c r="G4708" s="72">
        <v>20006</v>
      </c>
      <c r="P4708" s="26"/>
    </row>
    <row r="4709" spans="1:16" ht="14.5">
      <c r="A4709" s="3" t="s">
        <v>256</v>
      </c>
      <c r="B4709" s="12" t="s">
        <v>2862</v>
      </c>
      <c r="C4709" s="46" t="s">
        <v>8419</v>
      </c>
      <c r="D4709" s="41" t="str">
        <f ca="1">IFERROR(__xludf.DUMMYFUNCTION("IFERROR(ARRAYFORMULA(REGEXEXTRACT(C4709,""^(?:https?:\/\/)?(?:[^@\n]+@)?(?:www\.)?([^:\/\n]+)"")),"""")"),"concreteflooringsolutions.co.uk")</f>
        <v>concreteflooringsolutions.co.uk</v>
      </c>
      <c r="E4709" s="26" t="str">
        <f ca="1">IFERROR(__xludf.DUMMYFUNCTION("""COMPUTED_VALUE"""),"New")</f>
        <v>New</v>
      </c>
      <c r="F4709" s="72">
        <v>27</v>
      </c>
      <c r="G4709" s="72">
        <v>3818</v>
      </c>
      <c r="P4709" s="26"/>
    </row>
    <row r="4710" spans="1:16" ht="14.5">
      <c r="A4710" s="3" t="s">
        <v>256</v>
      </c>
      <c r="B4710" s="12" t="s">
        <v>2862</v>
      </c>
      <c r="C4710" s="49" t="s">
        <v>8420</v>
      </c>
      <c r="D4710" s="41" t="str">
        <f ca="1">IFERROR(__xludf.DUMMYFUNCTION("IFERROR(ARRAYFORMULA(REGEXEXTRACT(C4710,""^(?:https?:\/\/)?(?:[^@\n]+@)?(?:www\.)?([^:\/\n]+)"")),"""")"),"shine-windowcleaning.com")</f>
        <v>shine-windowcleaning.com</v>
      </c>
      <c r="E4710" s="26" t="str">
        <f ca="1">IFERROR(__xludf.DUMMYFUNCTION("""COMPUTED_VALUE"""),"New")</f>
        <v>New</v>
      </c>
      <c r="F4710" s="72">
        <v>44</v>
      </c>
      <c r="G4710" s="72">
        <v>13895</v>
      </c>
      <c r="J4710" s="27" t="s">
        <v>8421</v>
      </c>
      <c r="K4710" s="27" t="s">
        <v>8405</v>
      </c>
      <c r="L4710" s="112"/>
      <c r="M4710" s="27" t="s">
        <v>7290</v>
      </c>
      <c r="N4710" s="48">
        <v>46085</v>
      </c>
      <c r="P4710" s="26"/>
    </row>
    <row r="4711" spans="1:16" ht="14.5">
      <c r="A4711" s="3" t="s">
        <v>256</v>
      </c>
      <c r="B4711" s="12" t="s">
        <v>2862</v>
      </c>
      <c r="C4711" s="49" t="s">
        <v>8422</v>
      </c>
      <c r="D4711" s="41" t="str">
        <f ca="1">IFERROR(__xludf.DUMMYFUNCTION("IFERROR(ARRAYFORMULA(REGEXEXTRACT(C4711,""^(?:https?:\/\/)?(?:[^@\n]+@)?(?:www\.)?([^:\/\n]+)"")),"""")"),"renovatedfaith.com")</f>
        <v>renovatedfaith.com</v>
      </c>
      <c r="E4711" s="26" t="str">
        <f ca="1">IFERROR(__xludf.DUMMYFUNCTION("""COMPUTED_VALUE"""),"New")</f>
        <v>New</v>
      </c>
      <c r="F4711" s="72">
        <v>29</v>
      </c>
      <c r="G4711" s="72">
        <v>5831</v>
      </c>
      <c r="H4711" s="27" t="s">
        <v>8423</v>
      </c>
      <c r="I4711" s="27" t="s">
        <v>8424</v>
      </c>
      <c r="J4711" s="27" t="s">
        <v>8425</v>
      </c>
      <c r="K4711" s="27" t="s">
        <v>8405</v>
      </c>
      <c r="L4711" s="112"/>
      <c r="M4711" s="27" t="s">
        <v>7290</v>
      </c>
      <c r="N4711" s="48">
        <v>46085</v>
      </c>
      <c r="P4711" s="26"/>
    </row>
    <row r="4712" spans="1:16" ht="14.5">
      <c r="A4712" s="3" t="s">
        <v>256</v>
      </c>
      <c r="B4712" s="12" t="s">
        <v>2862</v>
      </c>
      <c r="C4712" s="46" t="s">
        <v>8426</v>
      </c>
      <c r="D4712" s="41" t="str">
        <f ca="1">IFERROR(__xludf.DUMMYFUNCTION("IFERROR(ARRAYFORMULA(REGEXEXTRACT(C4712,""^(?:https?:\/\/)?(?:[^@\n]+@)?(?:www\.)?([^:\/\n]+)"")),"""")"),"sprinklersupplystore.com")</f>
        <v>sprinklersupplystore.com</v>
      </c>
      <c r="E4712" s="26" t="str">
        <f ca="1">IFERROR(__xludf.DUMMYFUNCTION("""COMPUTED_VALUE"""),"New")</f>
        <v>New</v>
      </c>
      <c r="F4712" s="72">
        <v>30</v>
      </c>
      <c r="G4712" s="72">
        <v>36905</v>
      </c>
      <c r="P4712" s="26"/>
    </row>
    <row r="4713" spans="1:16" ht="14.5">
      <c r="A4713" s="3" t="s">
        <v>256</v>
      </c>
      <c r="B4713" s="12" t="s">
        <v>2862</v>
      </c>
      <c r="C4713" s="46" t="s">
        <v>8427</v>
      </c>
      <c r="D4713" s="41" t="str">
        <f ca="1">IFERROR(__xludf.DUMMYFUNCTION("IFERROR(ARRAYFORMULA(REGEXEXTRACT(C4713,""^(?:https?:\/\/)?(?:[^@\n]+@)?(?:www\.)?([^:\/\n]+)"")),"""")"),"greenworkstools.com")</f>
        <v>greenworkstools.com</v>
      </c>
      <c r="E4713" s="26" t="str">
        <f ca="1">IFERROR(__xludf.DUMMYFUNCTION("""COMPUTED_VALUE"""),"New")</f>
        <v>New</v>
      </c>
      <c r="F4713" s="72">
        <v>64</v>
      </c>
      <c r="G4713" s="72">
        <v>84456</v>
      </c>
      <c r="P4713" s="26"/>
    </row>
    <row r="4714" spans="1:16" ht="14.5">
      <c r="A4714" s="3" t="s">
        <v>256</v>
      </c>
      <c r="B4714" s="12" t="s">
        <v>2862</v>
      </c>
      <c r="C4714" s="46" t="s">
        <v>8428</v>
      </c>
      <c r="D4714" s="41" t="str">
        <f ca="1">IFERROR(__xludf.DUMMYFUNCTION("IFERROR(ARRAYFORMULA(REGEXEXTRACT(C4714,""^(?:https?:\/\/)?(?:[^@\n]+@)?(?:www\.)?([^:\/\n]+)"")),"""")"),"vistaprint.com")</f>
        <v>vistaprint.com</v>
      </c>
      <c r="E4714" s="26" t="str">
        <f ca="1">IFERROR(__xludf.DUMMYFUNCTION("""COMPUTED_VALUE"""),"New")</f>
        <v>New</v>
      </c>
      <c r="F4714" s="72">
        <v>85</v>
      </c>
      <c r="G4714" s="72">
        <v>2485482</v>
      </c>
      <c r="P4714" s="26"/>
    </row>
    <row r="4715" spans="1:16" ht="14.5">
      <c r="A4715" s="3" t="s">
        <v>256</v>
      </c>
      <c r="B4715" s="12" t="s">
        <v>2862</v>
      </c>
      <c r="C4715" s="46" t="s">
        <v>8429</v>
      </c>
      <c r="D4715" s="41" t="str">
        <f ca="1">IFERROR(__xludf.DUMMYFUNCTION("IFERROR(ARRAYFORMULA(REGEXEXTRACT(C4715,""^(?:https?:\/\/)?(?:[^@\n]+@)?(?:www\.)?([^:\/\n]+)"")),"""")"),"today.com")</f>
        <v>today.com</v>
      </c>
      <c r="E4715" s="26" t="str">
        <f ca="1">IFERROR(__xludf.DUMMYFUNCTION("""COMPUTED_VALUE"""),"New")</f>
        <v>New</v>
      </c>
      <c r="F4715" s="72">
        <v>90</v>
      </c>
      <c r="G4715" s="72">
        <v>7316270</v>
      </c>
      <c r="P4715" s="26"/>
    </row>
    <row r="4716" spans="1:16" ht="14.5">
      <c r="A4716" s="3" t="s">
        <v>256</v>
      </c>
      <c r="B4716" s="12" t="s">
        <v>2862</v>
      </c>
      <c r="C4716" s="46" t="s">
        <v>8430</v>
      </c>
      <c r="D4716" s="41" t="str">
        <f ca="1">IFERROR(__xludf.DUMMYFUNCTION("IFERROR(ARRAYFORMULA(REGEXEXTRACT(C4716,""^(?:https?:\/\/)?(?:[^@\n]+@)?(?:www\.)?([^:\/\n]+)"")),"""")"),"trexprotect.com")</f>
        <v>trexprotect.com</v>
      </c>
      <c r="E4716" s="26" t="str">
        <f ca="1">IFERROR(__xludf.DUMMYFUNCTION("""COMPUTED_VALUE"""),"New")</f>
        <v>New</v>
      </c>
      <c r="F4716" s="72">
        <v>46</v>
      </c>
      <c r="G4716" s="72">
        <v>12728</v>
      </c>
      <c r="P4716" s="26"/>
    </row>
    <row r="4717" spans="1:16" ht="14.5">
      <c r="A4717" s="3" t="s">
        <v>256</v>
      </c>
      <c r="B4717" s="12" t="s">
        <v>2862</v>
      </c>
      <c r="C4717" s="46" t="s">
        <v>8431</v>
      </c>
      <c r="D4717" s="41" t="str">
        <f ca="1">IFERROR(__xludf.DUMMYFUNCTION("IFERROR(ARRAYFORMULA(REGEXEXTRACT(C4717,""^(?:https?:\/\/)?(?:[^@\n]+@)?(?:www\.)?([^:\/\n]+)"")),"""")"),"directenergy.ca")</f>
        <v>directenergy.ca</v>
      </c>
      <c r="E4717" s="26" t="str">
        <f ca="1">IFERROR(__xludf.DUMMYFUNCTION("""COMPUTED_VALUE"""),"New")</f>
        <v>New</v>
      </c>
      <c r="F4717" s="72">
        <v>52</v>
      </c>
      <c r="G4717" s="72">
        <v>46976</v>
      </c>
      <c r="P4717" s="26"/>
    </row>
    <row r="4718" spans="1:16" ht="14.5">
      <c r="A4718" s="3" t="s">
        <v>256</v>
      </c>
      <c r="B4718" s="12" t="s">
        <v>2862</v>
      </c>
      <c r="C4718" s="46" t="s">
        <v>8432</v>
      </c>
      <c r="D4718" s="41" t="str">
        <f ca="1">IFERROR(__xludf.DUMMYFUNCTION("IFERROR(ARRAYFORMULA(REGEXEXTRACT(C4718,""^(?:https?:\/\/)?(?:[^@\n]+@)?(?:www\.)?([^:\/\n]+)"")),"""")"),"stickpretty.com")</f>
        <v>stickpretty.com</v>
      </c>
      <c r="E4718" s="26" t="str">
        <f ca="1">IFERROR(__xludf.DUMMYFUNCTION("""COMPUTED_VALUE"""),"New")</f>
        <v>New</v>
      </c>
      <c r="F4718" s="72">
        <v>38</v>
      </c>
      <c r="G4718" s="72">
        <v>2978</v>
      </c>
      <c r="P4718" s="26"/>
    </row>
    <row r="4719" spans="1:16" ht="14.5">
      <c r="A4719" s="3" t="s">
        <v>256</v>
      </c>
      <c r="B4719" s="12" t="s">
        <v>2862</v>
      </c>
      <c r="C4719" s="46" t="s">
        <v>8433</v>
      </c>
      <c r="D4719" s="41" t="str">
        <f ca="1">IFERROR(__xludf.DUMMYFUNCTION("IFERROR(ARRAYFORMULA(REGEXEXTRACT(C4719,""^(?:https?:\/\/)?(?:[^@\n]+@)?(?:www\.)?([^:\/\n]+)"")),"""")"),"windriverbuilt.com")</f>
        <v>windriverbuilt.com</v>
      </c>
      <c r="E4719" s="26" t="str">
        <f ca="1">IFERROR(__xludf.DUMMYFUNCTION("""COMPUTED_VALUE"""),"New")</f>
        <v>New</v>
      </c>
      <c r="F4719" s="72">
        <v>35</v>
      </c>
      <c r="G4719" s="72">
        <v>3978</v>
      </c>
      <c r="P4719" s="26"/>
    </row>
    <row r="4720" spans="1:16" ht="14.5">
      <c r="A4720" s="3" t="s">
        <v>256</v>
      </c>
      <c r="B4720" s="12" t="s">
        <v>2862</v>
      </c>
      <c r="C4720" s="46" t="s">
        <v>8434</v>
      </c>
      <c r="D4720" s="41" t="str">
        <f ca="1">IFERROR(__xludf.DUMMYFUNCTION("IFERROR(ARRAYFORMULA(REGEXEXTRACT(C4720,""^(?:https?:\/\/)?(?:[^@\n]+@)?(?:www\.)?([^:\/\n]+)"")),"""")"),"linkdolls.com")</f>
        <v>linkdolls.com</v>
      </c>
      <c r="E4720" s="26" t="str">
        <f ca="1">IFERROR(__xludf.DUMMYFUNCTION("""COMPUTED_VALUE"""),"New")</f>
        <v>New</v>
      </c>
      <c r="F4720" s="72">
        <v>27</v>
      </c>
      <c r="G4720" s="72">
        <v>19255</v>
      </c>
      <c r="P4720" s="26"/>
    </row>
    <row r="4721" spans="1:16" ht="14.5">
      <c r="A4721" s="3" t="s">
        <v>256</v>
      </c>
      <c r="B4721" s="12" t="s">
        <v>2862</v>
      </c>
      <c r="C4721" s="46" t="s">
        <v>8435</v>
      </c>
      <c r="D4721" s="41" t="str">
        <f ca="1">IFERROR(__xludf.DUMMYFUNCTION("IFERROR(ARRAYFORMULA(REGEXEXTRACT(C4721,""^(?:https?:\/\/)?(?:[^@\n]+@)?(?:www\.)?([^:\/\n]+)"")),"""")"),"diy.stackexchange.com")</f>
        <v>diy.stackexchange.com</v>
      </c>
      <c r="E4721" s="26" t="str">
        <f ca="1">IFERROR(__xludf.DUMMYFUNCTION("""COMPUTED_VALUE"""),"New")</f>
        <v>New</v>
      </c>
      <c r="F4721" s="72">
        <v>91</v>
      </c>
      <c r="G4721" s="72">
        <v>8415918</v>
      </c>
      <c r="P4721" s="26"/>
    </row>
    <row r="4722" spans="1:16" ht="14.5">
      <c r="A4722" s="3" t="s">
        <v>256</v>
      </c>
      <c r="B4722" s="12" t="s">
        <v>2862</v>
      </c>
      <c r="C4722" s="47" t="s">
        <v>8436</v>
      </c>
      <c r="D4722" s="41" t="str">
        <f ca="1">IFERROR(__xludf.DUMMYFUNCTION("IFERROR(ARRAYFORMULA(REGEXEXTRACT(C4722,""^(?:https?:\/\/)?(?:[^@\n]+@)?(?:www\.)?([^:\/\n]+)"")),"""")"),"alen.com")</f>
        <v>alen.com</v>
      </c>
      <c r="E4722" s="26" t="str">
        <f ca="1">IFERROR(__xludf.DUMMYFUNCTION("""COMPUTED_VALUE"""),"New")</f>
        <v>New</v>
      </c>
      <c r="F4722" s="72">
        <v>53</v>
      </c>
      <c r="G4722" s="72">
        <v>39778</v>
      </c>
      <c r="H4722" s="27" t="s">
        <v>8437</v>
      </c>
      <c r="I4722" s="27" t="s">
        <v>8438</v>
      </c>
      <c r="K4722" s="27" t="s">
        <v>3756</v>
      </c>
      <c r="L4722" s="112"/>
      <c r="M4722" s="27" t="s">
        <v>7290</v>
      </c>
      <c r="N4722" s="48">
        <v>46086</v>
      </c>
      <c r="P4722" s="27" t="s">
        <v>3201</v>
      </c>
    </row>
    <row r="4723" spans="1:16" ht="14.5">
      <c r="A4723" s="3" t="s">
        <v>256</v>
      </c>
      <c r="B4723" s="12" t="s">
        <v>2862</v>
      </c>
      <c r="C4723" s="46" t="s">
        <v>8439</v>
      </c>
      <c r="D4723" s="41" t="str">
        <f ca="1">IFERROR(__xludf.DUMMYFUNCTION("IFERROR(ARRAYFORMULA(REGEXEXTRACT(C4723,""^(?:https?:\/\/)?(?:[^@\n]+@)?(?:www\.)?([^:\/\n]+)"")),"""")"),"carex.com")</f>
        <v>carex.com</v>
      </c>
      <c r="E4723" s="26" t="str">
        <f ca="1">IFERROR(__xludf.DUMMYFUNCTION("""COMPUTED_VALUE"""),"New")</f>
        <v>New</v>
      </c>
      <c r="F4723" s="72">
        <v>52</v>
      </c>
      <c r="G4723" s="72">
        <v>22162</v>
      </c>
      <c r="P4723" s="26"/>
    </row>
    <row r="4724" spans="1:16" ht="14.5">
      <c r="A4724" s="3" t="s">
        <v>256</v>
      </c>
      <c r="B4724" s="12" t="s">
        <v>2862</v>
      </c>
      <c r="C4724" s="46" t="s">
        <v>8440</v>
      </c>
      <c r="D4724" s="41" t="str">
        <f ca="1">IFERROR(__xludf.DUMMYFUNCTION("IFERROR(ARRAYFORMULA(REGEXEXTRACT(C4724,""^(?:https?:\/\/)?(?:[^@\n]+@)?(?:www\.)?([^:\/\n]+)"")),"""")"),"livelyroot.com")</f>
        <v>livelyroot.com</v>
      </c>
      <c r="E4724" s="26" t="str">
        <f ca="1">IFERROR(__xludf.DUMMYFUNCTION("""COMPUTED_VALUE"""),"New")</f>
        <v>New</v>
      </c>
      <c r="F4724" s="72">
        <v>60</v>
      </c>
      <c r="G4724" s="72">
        <v>301007</v>
      </c>
      <c r="P4724" s="26"/>
    </row>
    <row r="4725" spans="1:16" ht="14.5">
      <c r="A4725" s="3" t="s">
        <v>256</v>
      </c>
      <c r="B4725" s="12" t="s">
        <v>2862</v>
      </c>
      <c r="C4725" s="46" t="s">
        <v>8441</v>
      </c>
      <c r="D4725" s="41" t="str">
        <f ca="1">IFERROR(__xludf.DUMMYFUNCTION("IFERROR(ARRAYFORMULA(REGEXEXTRACT(C4725,""^(?:https?:\/\/)?(?:[^@\n]+@)?(?:www\.)?([^:\/\n]+)"")),"""")"),"gentek.ca")</f>
        <v>gentek.ca</v>
      </c>
      <c r="E4725" s="26" t="str">
        <f ca="1">IFERROR(__xludf.DUMMYFUNCTION("""COMPUTED_VALUE"""),"New")</f>
        <v>New</v>
      </c>
      <c r="F4725" s="72">
        <v>70</v>
      </c>
      <c r="G4725" s="72">
        <v>18031</v>
      </c>
      <c r="P4725" s="26"/>
    </row>
    <row r="4726" spans="1:16" ht="14.5">
      <c r="A4726" s="3" t="s">
        <v>256</v>
      </c>
      <c r="B4726" s="12" t="s">
        <v>2862</v>
      </c>
      <c r="C4726" s="46" t="s">
        <v>8442</v>
      </c>
      <c r="D4726" s="41" t="str">
        <f ca="1">IFERROR(__xludf.DUMMYFUNCTION("IFERROR(ARRAYFORMULA(REGEXEXTRACT(C4726,""^(?:https?:\/\/)?(?:[^@\n]+@)?(?:www\.)?([^:\/\n]+)"")),"""")"),"decorativeceilingtiles.net")</f>
        <v>decorativeceilingtiles.net</v>
      </c>
      <c r="E4726" s="26" t="str">
        <f ca="1">IFERROR(__xludf.DUMMYFUNCTION("""COMPUTED_VALUE"""),"New")</f>
        <v>New</v>
      </c>
      <c r="F4726" s="72">
        <v>53</v>
      </c>
      <c r="G4726" s="72">
        <v>32088</v>
      </c>
      <c r="P4726" s="26"/>
    </row>
    <row r="4727" spans="1:16" ht="14.5">
      <c r="A4727" s="3" t="s">
        <v>256</v>
      </c>
      <c r="B4727" s="12" t="s">
        <v>2862</v>
      </c>
      <c r="C4727" s="49" t="s">
        <v>8443</v>
      </c>
      <c r="D4727" s="41" t="str">
        <f ca="1">IFERROR(__xludf.DUMMYFUNCTION("IFERROR(ARRAYFORMULA(REGEXEXTRACT(C4727,""^(?:https?:\/\/)?(?:[^@\n]+@)?(?:www\.)?([^:\/\n]+)"")),"""")"),"monarchroofing.biz")</f>
        <v>monarchroofing.biz</v>
      </c>
      <c r="E4727" s="26" t="str">
        <f ca="1">IFERROR(__xludf.DUMMYFUNCTION("""COMPUTED_VALUE"""),"New")</f>
        <v>New</v>
      </c>
      <c r="F4727" s="72">
        <v>36</v>
      </c>
      <c r="G4727" s="72">
        <v>5721</v>
      </c>
      <c r="J4727" s="27" t="s">
        <v>8444</v>
      </c>
      <c r="K4727" s="27" t="s">
        <v>8405</v>
      </c>
      <c r="L4727" s="112"/>
      <c r="M4727" s="27" t="s">
        <v>7290</v>
      </c>
      <c r="N4727" s="48">
        <v>46086</v>
      </c>
      <c r="P4727" s="26"/>
    </row>
    <row r="4728" spans="1:16" ht="14.5">
      <c r="A4728" s="3" t="s">
        <v>256</v>
      </c>
      <c r="B4728" s="12" t="s">
        <v>2862</v>
      </c>
      <c r="C4728" s="49" t="s">
        <v>8445</v>
      </c>
      <c r="D4728" s="41" t="str">
        <f ca="1">IFERROR(__xludf.DUMMYFUNCTION("IFERROR(ARRAYFORMULA(REGEXEXTRACT(C4728,""^(?:https?:\/\/)?(?:[^@\n]+@)?(?:www\.)?([^:\/\n]+)"")),"""")"),"smithsplumbingservice.com")</f>
        <v>smithsplumbingservice.com</v>
      </c>
      <c r="E4728" s="26" t="str">
        <f ca="1">IFERROR(__xludf.DUMMYFUNCTION("""COMPUTED_VALUE"""),"New")</f>
        <v>New</v>
      </c>
      <c r="F4728" s="72">
        <v>28</v>
      </c>
      <c r="G4728" s="72">
        <v>3383</v>
      </c>
      <c r="J4728" s="27" t="s">
        <v>8446</v>
      </c>
      <c r="K4728" s="27" t="s">
        <v>8405</v>
      </c>
      <c r="L4728" s="112"/>
      <c r="M4728" s="27" t="s">
        <v>7290</v>
      </c>
      <c r="N4728" s="48">
        <v>46086</v>
      </c>
      <c r="P4728" s="26"/>
    </row>
    <row r="4729" spans="1:16" ht="14.5">
      <c r="A4729" s="3" t="s">
        <v>256</v>
      </c>
      <c r="B4729" s="12" t="s">
        <v>2862</v>
      </c>
      <c r="C4729" s="49" t="s">
        <v>8447</v>
      </c>
      <c r="D4729" s="41" t="str">
        <f ca="1">IFERROR(__xludf.DUMMYFUNCTION("IFERROR(ARRAYFORMULA(REGEXEXTRACT(C4729,""^(?:https?:\/\/)?(?:[^@\n]+@)?(?:www\.)?([^:\/\n]+)"")),"""")"),"constructelements.com")</f>
        <v>constructelements.com</v>
      </c>
      <c r="E4729" s="26" t="str">
        <f ca="1">IFERROR(__xludf.DUMMYFUNCTION("""COMPUTED_VALUE"""),"New")</f>
        <v>New</v>
      </c>
      <c r="F4729" s="72">
        <v>33</v>
      </c>
      <c r="G4729" s="72">
        <v>3750</v>
      </c>
      <c r="J4729" s="27" t="s">
        <v>8448</v>
      </c>
      <c r="K4729" s="27" t="s">
        <v>8405</v>
      </c>
      <c r="L4729" s="112"/>
      <c r="M4729" s="27" t="s">
        <v>7290</v>
      </c>
      <c r="N4729" s="48">
        <v>46086</v>
      </c>
      <c r="P4729" s="26"/>
    </row>
    <row r="4730" spans="1:16" ht="14.5">
      <c r="A4730" s="3" t="s">
        <v>256</v>
      </c>
      <c r="B4730" s="12" t="s">
        <v>2862</v>
      </c>
      <c r="C4730" s="46" t="s">
        <v>8449</v>
      </c>
      <c r="D4730" s="41" t="str">
        <f ca="1">IFERROR(__xludf.DUMMYFUNCTION("IFERROR(ARRAYFORMULA(REGEXEXTRACT(C4730,""^(?:https?:\/\/)?(?:[^@\n]+@)?(?:www\.)?([^:\/\n]+)"")),"""")"),"eforms.com")</f>
        <v>eforms.com</v>
      </c>
      <c r="E4730" s="26" t="str">
        <f ca="1">IFERROR(__xludf.DUMMYFUNCTION("""COMPUTED_VALUE"""),"New")</f>
        <v>New</v>
      </c>
      <c r="F4730" s="72">
        <v>74</v>
      </c>
      <c r="G4730" s="72">
        <v>712845</v>
      </c>
      <c r="P4730" s="26"/>
    </row>
    <row r="4731" spans="1:16" ht="14.5">
      <c r="A4731" s="3" t="s">
        <v>256</v>
      </c>
      <c r="B4731" s="12" t="s">
        <v>2862</v>
      </c>
      <c r="C4731" s="46" t="s">
        <v>8450</v>
      </c>
      <c r="D4731" s="41" t="str">
        <f ca="1">IFERROR(__xludf.DUMMYFUNCTION("IFERROR(ARRAYFORMULA(REGEXEXTRACT(C4731,""^(?:https?:\/\/)?(?:[^@\n]+@)?(?:www\.)?([^:\/\n]+)"")),"""")"),"american.bank")</f>
        <v>american.bank</v>
      </c>
      <c r="E4731" s="26" t="str">
        <f ca="1">IFERROR(__xludf.DUMMYFUNCTION("""COMPUTED_VALUE"""),"New")</f>
        <v>New</v>
      </c>
      <c r="F4731" s="72">
        <v>41</v>
      </c>
      <c r="G4731" s="72">
        <v>68249</v>
      </c>
      <c r="P4731" s="26"/>
    </row>
    <row r="4732" spans="1:16" ht="14.5">
      <c r="A4732" s="3" t="s">
        <v>256</v>
      </c>
      <c r="B4732" s="12" t="s">
        <v>2862</v>
      </c>
      <c r="C4732" s="46" t="s">
        <v>8451</v>
      </c>
      <c r="D4732" s="41" t="str">
        <f ca="1">IFERROR(__xludf.DUMMYFUNCTION("IFERROR(ARRAYFORMULA(REGEXEXTRACT(C4732,""^(?:https?:\/\/)?(?:[^@\n]+@)?(?:www\.)?([^:\/\n]+)"")),"""")"),"evolveartisanal.com")</f>
        <v>evolveartisanal.com</v>
      </c>
      <c r="E4732" s="26" t="str">
        <f ca="1">IFERROR(__xludf.DUMMYFUNCTION("""COMPUTED_VALUE"""),"New")</f>
        <v>New</v>
      </c>
      <c r="F4732" s="72">
        <v>24</v>
      </c>
      <c r="G4732" s="72">
        <v>11837</v>
      </c>
      <c r="P4732" s="26"/>
    </row>
    <row r="4733" spans="1:16" ht="14.5">
      <c r="A4733" s="3" t="s">
        <v>256</v>
      </c>
      <c r="B4733" s="12" t="s">
        <v>2862</v>
      </c>
      <c r="C4733" s="46" t="s">
        <v>8452</v>
      </c>
      <c r="D4733" s="41" t="str">
        <f ca="1">IFERROR(__xludf.DUMMYFUNCTION("IFERROR(ARRAYFORMULA(REGEXEXTRACT(C4733,""^(?:https?:\/\/)?(?:[^@\n]+@)?(?:www\.)?([^:\/\n]+)"")),"""")"),"flooringinc.com")</f>
        <v>flooringinc.com</v>
      </c>
      <c r="E4733" s="26" t="str">
        <f ca="1">IFERROR(__xludf.DUMMYFUNCTION("""COMPUTED_VALUE"""),"New")</f>
        <v>New</v>
      </c>
      <c r="F4733" s="72">
        <v>61</v>
      </c>
      <c r="G4733" s="72">
        <v>87272</v>
      </c>
      <c r="P4733" s="26"/>
    </row>
    <row r="4734" spans="1:16" ht="14.5">
      <c r="A4734" s="3" t="s">
        <v>256</v>
      </c>
      <c r="B4734" s="12" t="s">
        <v>2862</v>
      </c>
      <c r="C4734" s="46" t="s">
        <v>8453</v>
      </c>
      <c r="D4734" s="41" t="str">
        <f ca="1">IFERROR(__xludf.DUMMYFUNCTION("IFERROR(ARRAYFORMULA(REGEXEXTRACT(C4734,""^(?:https?:\/\/)?(?:[^@\n]+@)?(?:www\.)?([^:\/\n]+)"")),"""")"),"westcoastsaw.com")</f>
        <v>westcoastsaw.com</v>
      </c>
      <c r="E4734" s="26" t="str">
        <f ca="1">IFERROR(__xludf.DUMMYFUNCTION("""COMPUTED_VALUE"""),"New")</f>
        <v>New</v>
      </c>
      <c r="F4734" s="72">
        <v>26</v>
      </c>
      <c r="G4734" s="72">
        <v>9656</v>
      </c>
      <c r="P4734" s="26"/>
    </row>
    <row r="4735" spans="1:16" ht="14.5">
      <c r="A4735" s="3" t="s">
        <v>256</v>
      </c>
      <c r="B4735" s="12" t="s">
        <v>2862</v>
      </c>
      <c r="C4735" s="46" t="s">
        <v>8454</v>
      </c>
      <c r="D4735" s="41" t="str">
        <f ca="1">IFERROR(__xludf.DUMMYFUNCTION("IFERROR(ARRAYFORMULA(REGEXEXTRACT(C4735,""^(?:https?:\/\/)?(?:[^@\n]+@)?(?:www\.)?([^:\/\n]+)"")),"""")"),"proliftdoors.com")</f>
        <v>proliftdoors.com</v>
      </c>
      <c r="E4735" s="26" t="str">
        <f ca="1">IFERROR(__xludf.DUMMYFUNCTION("""COMPUTED_VALUE"""),"New")</f>
        <v>New</v>
      </c>
      <c r="F4735" s="72">
        <v>57</v>
      </c>
      <c r="G4735" s="72">
        <v>5706</v>
      </c>
      <c r="P4735" s="26"/>
    </row>
    <row r="4736" spans="1:16" ht="14.5">
      <c r="A4736" s="3" t="s">
        <v>256</v>
      </c>
      <c r="B4736" s="12" t="s">
        <v>2862</v>
      </c>
      <c r="C4736" s="49" t="s">
        <v>8455</v>
      </c>
      <c r="D4736" s="41" t="str">
        <f ca="1">IFERROR(__xludf.DUMMYFUNCTION("IFERROR(ARRAYFORMULA(REGEXEXTRACT(C4736,""^(?:https?:\/\/)?(?:[^@\n]+@)?(?:www\.)?([^:\/\n]+)"")),"""")"),"raynordoorauthority.com")</f>
        <v>raynordoorauthority.com</v>
      </c>
      <c r="E4736" s="26" t="str">
        <f ca="1">IFERROR(__xludf.DUMMYFUNCTION("""COMPUTED_VALUE"""),"New")</f>
        <v>New</v>
      </c>
      <c r="F4736" s="72">
        <v>20</v>
      </c>
      <c r="G4736" s="72">
        <v>3529</v>
      </c>
      <c r="J4736" s="27" t="s">
        <v>8456</v>
      </c>
      <c r="K4736" s="27" t="s">
        <v>8405</v>
      </c>
      <c r="L4736" s="112"/>
      <c r="M4736" s="27" t="s">
        <v>7290</v>
      </c>
      <c r="N4736" s="48">
        <v>46086</v>
      </c>
      <c r="P4736" s="26"/>
    </row>
    <row r="4737" spans="1:28" ht="14.5">
      <c r="A4737" s="12" t="s">
        <v>256</v>
      </c>
      <c r="B4737" s="12" t="s">
        <v>2862</v>
      </c>
      <c r="C4737" s="67" t="s">
        <v>8457</v>
      </c>
      <c r="D4737" s="68" t="str">
        <f ca="1">IFERROR(__xludf.DUMMYFUNCTION("IFERROR(ARRAYFORMULA(REGEXEXTRACT(C4737,""^(?:https?:\/\/)?(?:[^@\n]+@)?(?:www\.)?([^:\/\n]+)"")),"""")"),"genzryan.com")</f>
        <v>genzryan.com</v>
      </c>
      <c r="E4737" s="39" t="str">
        <f ca="1">IFERROR(__xludf.DUMMYFUNCTION("""COMPUTED_VALUE"""),"New")</f>
        <v>New</v>
      </c>
      <c r="F4737" s="78">
        <v>37</v>
      </c>
      <c r="G4737" s="78">
        <v>8523</v>
      </c>
      <c r="H4737" s="39"/>
      <c r="I4737" s="39"/>
      <c r="J4737" s="39"/>
      <c r="K4737" s="39"/>
      <c r="L4737" s="39"/>
      <c r="M4737" s="39"/>
      <c r="N4737" s="39"/>
      <c r="O4737" s="39"/>
      <c r="P4737" s="39"/>
      <c r="Q4737" s="39"/>
      <c r="R4737" s="39"/>
      <c r="S4737" s="39"/>
      <c r="T4737" s="39"/>
      <c r="U4737" s="39"/>
      <c r="V4737" s="39"/>
      <c r="W4737" s="39"/>
      <c r="X4737" s="39"/>
      <c r="Y4737" s="39"/>
      <c r="Z4737" s="39"/>
      <c r="AA4737" s="39"/>
      <c r="AB4737" s="39"/>
    </row>
    <row r="4738" spans="1:28" ht="14.5">
      <c r="A4738" s="3" t="s">
        <v>256</v>
      </c>
      <c r="B4738" s="12" t="s">
        <v>2862</v>
      </c>
      <c r="C4738" s="49" t="s">
        <v>8458</v>
      </c>
      <c r="D4738" s="41" t="str">
        <f ca="1">IFERROR(__xludf.DUMMYFUNCTION("IFERROR(ARRAYFORMULA(REGEXEXTRACT(C4738,""^(?:https?:\/\/)?(?:[^@\n]+@)?(?:www\.)?([^:\/\n]+)"")),"""")"),"newlinepainting.com.au")</f>
        <v>newlinepainting.com.au</v>
      </c>
      <c r="E4738" s="26" t="str">
        <f ca="1">IFERROR(__xludf.DUMMYFUNCTION("""COMPUTED_VALUE"""),"New")</f>
        <v>New</v>
      </c>
      <c r="F4738" s="72">
        <v>36</v>
      </c>
      <c r="G4738" s="72">
        <v>1846</v>
      </c>
      <c r="H4738" s="27" t="s">
        <v>8459</v>
      </c>
      <c r="I4738" s="27" t="s">
        <v>8460</v>
      </c>
      <c r="J4738" s="27" t="s">
        <v>8461</v>
      </c>
      <c r="K4738" s="27" t="s">
        <v>8405</v>
      </c>
      <c r="L4738" s="112"/>
      <c r="M4738" s="27" t="s">
        <v>7290</v>
      </c>
      <c r="N4738" s="48">
        <v>46086</v>
      </c>
      <c r="P4738" s="26"/>
    </row>
    <row r="4739" spans="1:28" ht="14.5">
      <c r="A4739" s="3" t="s">
        <v>256</v>
      </c>
      <c r="B4739" s="12" t="s">
        <v>2862</v>
      </c>
      <c r="C4739" s="46" t="s">
        <v>8462</v>
      </c>
      <c r="D4739" s="41" t="str">
        <f ca="1">IFERROR(__xludf.DUMMYFUNCTION("IFERROR(ARRAYFORMULA(REGEXEXTRACT(C4739,""^(?:https?:\/\/)?(?:[^@\n]+@)?(?:www\.)?([^:\/\n]+)"")),"""")"),"thewcsupply.com")</f>
        <v>thewcsupply.com</v>
      </c>
      <c r="E4739" s="26" t="str">
        <f ca="1">IFERROR(__xludf.DUMMYFUNCTION("""COMPUTED_VALUE"""),"New")</f>
        <v>New</v>
      </c>
      <c r="F4739" s="72">
        <v>31</v>
      </c>
      <c r="G4739" s="72">
        <v>47037</v>
      </c>
      <c r="P4739" s="26"/>
    </row>
    <row r="4740" spans="1:28" ht="14.5">
      <c r="A4740" s="3" t="s">
        <v>256</v>
      </c>
      <c r="B4740" s="12" t="s">
        <v>2862</v>
      </c>
      <c r="C4740" s="46" t="s">
        <v>8463</v>
      </c>
      <c r="D4740" s="41" t="str">
        <f ca="1">IFERROR(__xludf.DUMMYFUNCTION("IFERROR(ARRAYFORMULA(REGEXEXTRACT(C4740,""^(?:https?:\/\/)?(?:[^@\n]+@)?(?:www\.)?([^:\/\n]+)"")),"""")"),"wd40.com")</f>
        <v>wd40.com</v>
      </c>
      <c r="E4740" s="26" t="str">
        <f ca="1">IFERROR(__xludf.DUMMYFUNCTION("""COMPUTED_VALUE"""),"New")</f>
        <v>New</v>
      </c>
      <c r="F4740" s="72">
        <v>71</v>
      </c>
      <c r="G4740" s="72">
        <v>129641</v>
      </c>
      <c r="P4740" s="26"/>
    </row>
    <row r="4741" spans="1:28" ht="14.5">
      <c r="A4741" s="3" t="s">
        <v>256</v>
      </c>
      <c r="B4741" s="12" t="s">
        <v>2862</v>
      </c>
      <c r="C4741" s="46" t="s">
        <v>8464</v>
      </c>
      <c r="D4741" s="41" t="str">
        <f ca="1">IFERROR(__xludf.DUMMYFUNCTION("IFERROR(ARRAYFORMULA(REGEXEXTRACT(C4741,""^(?:https?:\/\/)?(?:[^@\n]+@)?(?:www\.)?([^:\/\n]+)"")),"""")"),"andar.com")</f>
        <v>andar.com</v>
      </c>
      <c r="E4741" s="26" t="str">
        <f ca="1">IFERROR(__xludf.DUMMYFUNCTION("""COMPUTED_VALUE"""),"New")</f>
        <v>New</v>
      </c>
      <c r="F4741" s="72">
        <v>46</v>
      </c>
      <c r="G4741" s="72">
        <v>33075</v>
      </c>
      <c r="P4741" s="26"/>
    </row>
    <row r="4742" spans="1:28" ht="14.5">
      <c r="A4742" s="3" t="s">
        <v>256</v>
      </c>
      <c r="B4742" s="12" t="s">
        <v>2862</v>
      </c>
      <c r="C4742" s="46" t="s">
        <v>8465</v>
      </c>
      <c r="D4742" s="41" t="str">
        <f ca="1">IFERROR(__xludf.DUMMYFUNCTION("IFERROR(ARRAYFORMULA(REGEXEXTRACT(C4742,""^(?:https?:\/\/)?(?:[^@\n]+@)?(?:www\.)?([^:\/\n]+)"")),"""")"),"solarreviews.com")</f>
        <v>solarreviews.com</v>
      </c>
      <c r="E4742" s="26" t="str">
        <f ca="1">IFERROR(__xludf.DUMMYFUNCTION("""COMPUTED_VALUE"""),"New")</f>
        <v>New</v>
      </c>
      <c r="F4742" s="72">
        <v>75</v>
      </c>
      <c r="G4742" s="72">
        <v>250575</v>
      </c>
      <c r="P4742" s="26"/>
    </row>
    <row r="4743" spans="1:28" ht="14.5">
      <c r="A4743" s="3" t="s">
        <v>256</v>
      </c>
      <c r="B4743" s="12" t="s">
        <v>2862</v>
      </c>
      <c r="C4743" s="49" t="s">
        <v>8466</v>
      </c>
      <c r="D4743" s="41" t="str">
        <f ca="1">IFERROR(__xludf.DUMMYFUNCTION("IFERROR(ARRAYFORMULA(REGEXEXTRACT(C4743,""^(?:https?:\/\/)?(?:[^@\n]+@)?(?:www\.)?([^:\/\n]+)"")),"""")"),"lemonthistle.com")</f>
        <v>lemonthistle.com</v>
      </c>
      <c r="E4743" s="26" t="str">
        <f ca="1">IFERROR(__xludf.DUMMYFUNCTION("""COMPUTED_VALUE"""),"New")</f>
        <v>New</v>
      </c>
      <c r="F4743" s="72">
        <v>55</v>
      </c>
      <c r="G4743" s="72">
        <v>25061</v>
      </c>
      <c r="H4743" s="27" t="s">
        <v>8467</v>
      </c>
      <c r="I4743" s="27" t="s">
        <v>8468</v>
      </c>
      <c r="K4743" s="27" t="s">
        <v>4951</v>
      </c>
      <c r="L4743" s="112"/>
      <c r="M4743" s="27" t="s">
        <v>7290</v>
      </c>
      <c r="N4743" s="48">
        <v>46086</v>
      </c>
      <c r="P4743" s="26"/>
    </row>
    <row r="4744" spans="1:28" ht="14.5">
      <c r="A4744" s="3" t="s">
        <v>256</v>
      </c>
      <c r="B4744" s="12" t="s">
        <v>2862</v>
      </c>
      <c r="C4744" s="46" t="s">
        <v>8469</v>
      </c>
      <c r="D4744" s="41" t="str">
        <f ca="1">IFERROR(__xludf.DUMMYFUNCTION("IFERROR(ARRAYFORMULA(REGEXEXTRACT(C4744,""^(?:https?:\/\/)?(?:[^@\n]+@)?(?:www\.)?([^:\/\n]+)"")),"""")"),"alliancechemical.com")</f>
        <v>alliancechemical.com</v>
      </c>
      <c r="E4744" s="26" t="str">
        <f ca="1">IFERROR(__xludf.DUMMYFUNCTION("""COMPUTED_VALUE"""),"New")</f>
        <v>New</v>
      </c>
      <c r="F4744" s="72">
        <v>42</v>
      </c>
      <c r="G4744" s="72">
        <v>15771</v>
      </c>
      <c r="P4744" s="26"/>
    </row>
    <row r="4745" spans="1:28" ht="14.5">
      <c r="A4745" s="3" t="s">
        <v>256</v>
      </c>
      <c r="B4745" s="12" t="s">
        <v>2862</v>
      </c>
      <c r="C4745" s="46" t="s">
        <v>8470</v>
      </c>
      <c r="D4745" s="41" t="str">
        <f ca="1">IFERROR(__xludf.DUMMYFUNCTION("IFERROR(ARRAYFORMULA(REGEXEXTRACT(C4745,""^(?:https?:\/\/)?(?:[^@\n]+@)?(?:www\.)?([^:\/\n]+)"")),"""")"),"cabinetnow.com")</f>
        <v>cabinetnow.com</v>
      </c>
      <c r="E4745" s="26" t="str">
        <f ca="1">IFERROR(__xludf.DUMMYFUNCTION("""COMPUTED_VALUE"""),"New")</f>
        <v>New</v>
      </c>
      <c r="F4745" s="72">
        <v>49</v>
      </c>
      <c r="G4745" s="72">
        <v>48799</v>
      </c>
      <c r="P4745" s="26"/>
    </row>
    <row r="4746" spans="1:28" ht="14.5">
      <c r="A4746" s="3" t="s">
        <v>256</v>
      </c>
      <c r="B4746" s="12" t="s">
        <v>2862</v>
      </c>
      <c r="C4746" s="49" t="s">
        <v>8471</v>
      </c>
      <c r="D4746" s="41" t="str">
        <f ca="1">IFERROR(__xludf.DUMMYFUNCTION("IFERROR(ARRAYFORMULA(REGEXEXTRACT(C4746,""^(?:https?:\/\/)?(?:[^@\n]+@)?(?:www\.)?([^:\/\n]+)"")),"""")"),"maxablespace.com")</f>
        <v>maxablespace.com</v>
      </c>
      <c r="E4746" s="26" t="str">
        <f ca="1">IFERROR(__xludf.DUMMYFUNCTION("""COMPUTED_VALUE"""),"New")</f>
        <v>New</v>
      </c>
      <c r="F4746" s="72">
        <v>48</v>
      </c>
      <c r="G4746" s="72">
        <v>3417</v>
      </c>
      <c r="H4746" s="27" t="s">
        <v>8472</v>
      </c>
      <c r="I4746" s="27" t="s">
        <v>8473</v>
      </c>
      <c r="J4746" s="27" t="s">
        <v>8474</v>
      </c>
      <c r="K4746" s="27" t="s">
        <v>7096</v>
      </c>
      <c r="L4746" s="112"/>
      <c r="M4746" s="27" t="s">
        <v>7290</v>
      </c>
      <c r="N4746" s="48">
        <v>46086</v>
      </c>
      <c r="P4746" s="26"/>
    </row>
    <row r="4747" spans="1:28" ht="14.5">
      <c r="A4747" s="3" t="s">
        <v>256</v>
      </c>
      <c r="B4747" s="12" t="s">
        <v>2862</v>
      </c>
      <c r="C4747" s="46" t="s">
        <v>8475</v>
      </c>
      <c r="D4747" s="41" t="str">
        <f ca="1">IFERROR(__xludf.DUMMYFUNCTION("IFERROR(ARRAYFORMULA(REGEXEXTRACT(C4747,""^(?:https?:\/\/)?(?:[^@\n]+@)?(?:www\.)?([^:\/\n]+)"")),"""")"),"colonyroofers.com")</f>
        <v>colonyroofers.com</v>
      </c>
      <c r="E4747" s="26" t="str">
        <f ca="1">IFERROR(__xludf.DUMMYFUNCTION("""COMPUTED_VALUE"""),"New")</f>
        <v>New</v>
      </c>
      <c r="F4747" s="72">
        <v>49</v>
      </c>
      <c r="G4747" s="72">
        <v>18755</v>
      </c>
      <c r="J4747" s="33" t="s">
        <v>8476</v>
      </c>
      <c r="K4747" s="27" t="s">
        <v>8405</v>
      </c>
      <c r="L4747" s="112"/>
      <c r="M4747" s="27" t="s">
        <v>7390</v>
      </c>
      <c r="N4747" s="70">
        <v>46086</v>
      </c>
      <c r="P4747" s="26"/>
    </row>
    <row r="4748" spans="1:28" ht="14.5">
      <c r="A4748" s="3" t="s">
        <v>256</v>
      </c>
      <c r="B4748" s="12" t="s">
        <v>2862</v>
      </c>
      <c r="C4748" s="46" t="s">
        <v>8477</v>
      </c>
      <c r="D4748" s="41" t="str">
        <f ca="1">IFERROR(__xludf.DUMMYFUNCTION("IFERROR(ARRAYFORMULA(REGEXEXTRACT(C4748,""^(?:https?:\/\/)?(?:[^@\n]+@)?(?:www\.)?([^:\/\n]+)"")),"""")"),"warmup.com")</f>
        <v>warmup.com</v>
      </c>
      <c r="E4748" s="26" t="str">
        <f ca="1">IFERROR(__xludf.DUMMYFUNCTION("""COMPUTED_VALUE"""),"New")</f>
        <v>New</v>
      </c>
      <c r="F4748" s="72">
        <v>55</v>
      </c>
      <c r="G4748" s="72">
        <v>35418</v>
      </c>
      <c r="J4748" s="33" t="s">
        <v>8478</v>
      </c>
      <c r="K4748" s="27" t="s">
        <v>8405</v>
      </c>
      <c r="L4748" s="112"/>
      <c r="M4748" s="27" t="s">
        <v>7390</v>
      </c>
      <c r="N4748" s="70">
        <v>46086</v>
      </c>
      <c r="P4748" s="26"/>
    </row>
    <row r="4749" spans="1:28" ht="14.5">
      <c r="A4749" s="3" t="s">
        <v>256</v>
      </c>
      <c r="B4749" s="12" t="s">
        <v>2862</v>
      </c>
      <c r="C4749" s="46" t="s">
        <v>8479</v>
      </c>
      <c r="D4749" s="41" t="str">
        <f ca="1">IFERROR(__xludf.DUMMYFUNCTION("IFERROR(ARRAYFORMULA(REGEXEXTRACT(C4749,""^(?:https?:\/\/)?(?:[^@\n]+@)?(?:www\.)?([^:\/\n]+)"")),"""")"),"twz.com")</f>
        <v>twz.com</v>
      </c>
      <c r="E4749" s="26" t="str">
        <f ca="1">IFERROR(__xludf.DUMMYFUNCTION("""COMPUTED_VALUE"""),"New")</f>
        <v>New</v>
      </c>
      <c r="F4749" s="72">
        <v>75</v>
      </c>
      <c r="G4749" s="72">
        <v>120886</v>
      </c>
      <c r="P4749" s="26"/>
    </row>
    <row r="4750" spans="1:28" ht="14.5">
      <c r="A4750" s="3" t="s">
        <v>256</v>
      </c>
      <c r="B4750" s="12" t="s">
        <v>2862</v>
      </c>
      <c r="C4750" s="46" t="s">
        <v>8480</v>
      </c>
      <c r="D4750" s="41" t="str">
        <f ca="1">IFERROR(__xludf.DUMMYFUNCTION("IFERROR(ARRAYFORMULA(REGEXEXTRACT(C4750,""^(?:https?:\/\/)?(?:[^@\n]+@)?(?:www\.)?([^:\/\n]+)"")),"""")"),"tileclub.com")</f>
        <v>tileclub.com</v>
      </c>
      <c r="E4750" s="26" t="str">
        <f ca="1">IFERROR(__xludf.DUMMYFUNCTION("""COMPUTED_VALUE"""),"New")</f>
        <v>New</v>
      </c>
      <c r="F4750" s="72">
        <v>49</v>
      </c>
      <c r="G4750" s="72">
        <v>51903</v>
      </c>
      <c r="J4750" s="33" t="s">
        <v>8481</v>
      </c>
      <c r="K4750" s="27" t="s">
        <v>8405</v>
      </c>
      <c r="L4750" s="112"/>
      <c r="M4750" s="27" t="s">
        <v>7390</v>
      </c>
      <c r="N4750" s="70">
        <v>46086</v>
      </c>
      <c r="P4750" s="26"/>
    </row>
    <row r="4751" spans="1:28" ht="14.5">
      <c r="A4751" s="3" t="s">
        <v>256</v>
      </c>
      <c r="B4751" s="12" t="s">
        <v>2862</v>
      </c>
      <c r="C4751" s="46" t="s">
        <v>8482</v>
      </c>
      <c r="D4751" s="41" t="str">
        <f ca="1">IFERROR(__xludf.DUMMYFUNCTION("IFERROR(ARRAYFORMULA(REGEXEXTRACT(C4751,""^(?:https?:\/\/)?(?:[^@\n]+@)?(?:www\.)?([^:\/\n]+)"")),"""")"),"saviorheat.com")</f>
        <v>saviorheat.com</v>
      </c>
      <c r="E4751" s="26" t="str">
        <f ca="1">IFERROR(__xludf.DUMMYFUNCTION("""COMPUTED_VALUE"""),"New")</f>
        <v>New</v>
      </c>
      <c r="F4751" s="72">
        <v>33</v>
      </c>
      <c r="G4751" s="72">
        <v>2027</v>
      </c>
      <c r="P4751" s="26"/>
    </row>
    <row r="4752" spans="1:28" ht="14.5">
      <c r="A4752" s="3" t="s">
        <v>256</v>
      </c>
      <c r="B4752" s="12" t="s">
        <v>2862</v>
      </c>
      <c r="C4752" s="46" t="s">
        <v>8483</v>
      </c>
      <c r="D4752" s="41" t="str">
        <f ca="1">IFERROR(__xludf.DUMMYFUNCTION("IFERROR(ARRAYFORMULA(REGEXEXTRACT(C4752,""^(?:https?:\/\/)?(?:[^@\n]+@)?(?:www\.)?([^:\/\n]+)"")),"""")"),"thetatteredpew.com")</f>
        <v>thetatteredpew.com</v>
      </c>
      <c r="E4752" s="26" t="str">
        <f ca="1">IFERROR(__xludf.DUMMYFUNCTION("""COMPUTED_VALUE"""),"New")</f>
        <v>New</v>
      </c>
      <c r="F4752" s="72">
        <v>46</v>
      </c>
      <c r="G4752" s="72">
        <v>22210</v>
      </c>
      <c r="P4752" s="26"/>
    </row>
    <row r="4753" spans="1:16" ht="14.5">
      <c r="A4753" s="3" t="s">
        <v>256</v>
      </c>
      <c r="B4753" s="12" t="s">
        <v>2862</v>
      </c>
      <c r="C4753" s="46" t="s">
        <v>8484</v>
      </c>
      <c r="D4753" s="41" t="str">
        <f ca="1">IFERROR(__xludf.DUMMYFUNCTION("IFERROR(ARRAYFORMULA(REGEXEXTRACT(C4753,""^(?:https?:\/\/)?(?:[^@\n]+@)?(?:www\.)?([^:\/\n]+)"")),"""")"),"a-z-animals.com")</f>
        <v>a-z-animals.com</v>
      </c>
      <c r="E4753" s="26" t="str">
        <f ca="1">IFERROR(__xludf.DUMMYFUNCTION("""COMPUTED_VALUE"""),"New")</f>
        <v>New</v>
      </c>
      <c r="F4753" s="72">
        <v>75</v>
      </c>
      <c r="G4753" s="72">
        <v>2029813</v>
      </c>
      <c r="P4753" s="26"/>
    </row>
    <row r="4754" spans="1:16" ht="14.5">
      <c r="A4754" s="3" t="s">
        <v>256</v>
      </c>
      <c r="B4754" s="12" t="s">
        <v>2862</v>
      </c>
      <c r="C4754" s="46" t="s">
        <v>8485</v>
      </c>
      <c r="D4754" s="41" t="str">
        <f ca="1">IFERROR(__xludf.DUMMYFUNCTION("IFERROR(ARRAYFORMULA(REGEXEXTRACT(C4754,""^(?:https?:\/\/)?(?:[^@\n]+@)?(?:www\.)?([^:\/\n]+)"")),"""")"),"thehonestlocal.com")</f>
        <v>thehonestlocal.com</v>
      </c>
      <c r="E4754" s="26" t="str">
        <f ca="1">IFERROR(__xludf.DUMMYFUNCTION("""COMPUTED_VALUE"""),"New")</f>
        <v>New</v>
      </c>
      <c r="F4754" s="72">
        <v>31</v>
      </c>
      <c r="G4754" s="72">
        <v>29297</v>
      </c>
      <c r="P4754" s="26"/>
    </row>
    <row r="4755" spans="1:16" ht="14.5">
      <c r="A4755" s="3" t="s">
        <v>256</v>
      </c>
      <c r="B4755" s="12" t="s">
        <v>2862</v>
      </c>
      <c r="C4755" s="46" t="s">
        <v>8486</v>
      </c>
      <c r="D4755" s="41" t="str">
        <f ca="1">IFERROR(__xludf.DUMMYFUNCTION("IFERROR(ARRAYFORMULA(REGEXEXTRACT(C4755,""^(?:https?:\/\/)?(?:[^@\n]+@)?(?:www\.)?([^:\/\n]+)"")),"""")"),"lawnstarter.com")</f>
        <v>lawnstarter.com</v>
      </c>
      <c r="E4755" s="26" t="str">
        <f ca="1">IFERROR(__xludf.DUMMYFUNCTION("""COMPUTED_VALUE"""),"New")</f>
        <v>New</v>
      </c>
      <c r="F4755" s="72">
        <v>75</v>
      </c>
      <c r="G4755" s="72">
        <v>320149</v>
      </c>
      <c r="P4755" s="26"/>
    </row>
    <row r="4756" spans="1:16" ht="14.5">
      <c r="A4756" s="3" t="s">
        <v>256</v>
      </c>
      <c r="B4756" s="12" t="s">
        <v>2862</v>
      </c>
      <c r="C4756" s="46" t="s">
        <v>8487</v>
      </c>
      <c r="D4756" s="41" t="str">
        <f ca="1">IFERROR(__xludf.DUMMYFUNCTION("IFERROR(ARRAYFORMULA(REGEXEXTRACT(C4756,""^(?:https?:\/\/)?(?:[^@\n]+@)?(?:www\.)?([^:\/\n]+)"")),"""")"),"modernhvac.com")</f>
        <v>modernhvac.com</v>
      </c>
      <c r="E4756" s="26" t="str">
        <f ca="1">IFERROR(__xludf.DUMMYFUNCTION("""COMPUTED_VALUE"""),"New")</f>
        <v>New</v>
      </c>
      <c r="F4756" s="72">
        <v>23</v>
      </c>
      <c r="G4756" s="72">
        <v>1194</v>
      </c>
      <c r="H4756" s="27" t="s">
        <v>5118</v>
      </c>
      <c r="I4756" s="27" t="s">
        <v>8488</v>
      </c>
      <c r="J4756" s="33" t="s">
        <v>8489</v>
      </c>
      <c r="K4756" s="27" t="s">
        <v>8405</v>
      </c>
      <c r="L4756" s="112"/>
      <c r="M4756" s="27" t="s">
        <v>7390</v>
      </c>
      <c r="N4756" s="70">
        <v>46086</v>
      </c>
      <c r="P4756" s="26"/>
    </row>
    <row r="4757" spans="1:16" ht="14.5">
      <c r="A4757" s="3" t="s">
        <v>256</v>
      </c>
      <c r="B4757" s="12" t="s">
        <v>2862</v>
      </c>
      <c r="C4757" s="46" t="s">
        <v>8490</v>
      </c>
      <c r="D4757" s="41" t="str">
        <f ca="1">IFERROR(__xludf.DUMMYFUNCTION("IFERROR(ARRAYFORMULA(REGEXEXTRACT(C4757,""^(?:https?:\/\/)?(?:[^@\n]+@)?(?:www\.)?([^:\/\n]+)"")),"""")"),"cliqstudios.com")</f>
        <v>cliqstudios.com</v>
      </c>
      <c r="E4757" s="26" t="str">
        <f ca="1">IFERROR(__xludf.DUMMYFUNCTION("""COMPUTED_VALUE"""),"New")</f>
        <v>New</v>
      </c>
      <c r="F4757" s="72">
        <v>52</v>
      </c>
      <c r="G4757" s="72">
        <v>32445</v>
      </c>
      <c r="P4757" s="26"/>
    </row>
    <row r="4758" spans="1:16" ht="14.5">
      <c r="A4758" s="3" t="s">
        <v>256</v>
      </c>
      <c r="B4758" s="12" t="s">
        <v>2862</v>
      </c>
      <c r="C4758" s="46" t="s">
        <v>8491</v>
      </c>
      <c r="D4758" s="41" t="str">
        <f ca="1">IFERROR(__xludf.DUMMYFUNCTION("IFERROR(ARRAYFORMULA(REGEXEXTRACT(C4758,""^(?:https?:\/\/)?(?:[^@\n]+@)?(?:www\.)?([^:\/\n]+)"")),"""")"),"paneltown.com")</f>
        <v>paneltown.com</v>
      </c>
      <c r="E4758" s="26" t="str">
        <f ca="1">IFERROR(__xludf.DUMMYFUNCTION("""COMPUTED_VALUE"""),"New")</f>
        <v>New</v>
      </c>
      <c r="F4758" s="72">
        <v>42</v>
      </c>
      <c r="G4758" s="72">
        <v>25628</v>
      </c>
      <c r="P4758" s="26"/>
    </row>
    <row r="4759" spans="1:16" ht="14.5">
      <c r="A4759" s="3" t="s">
        <v>256</v>
      </c>
      <c r="B4759" s="12" t="s">
        <v>2862</v>
      </c>
      <c r="C4759" s="46" t="s">
        <v>8492</v>
      </c>
      <c r="D4759" s="41" t="str">
        <f ca="1">IFERROR(__xludf.DUMMYFUNCTION("IFERROR(ARRAYFORMULA(REGEXEXTRACT(C4759,""^(?:https?:\/\/)?(?:[^@\n]+@)?(?:www\.)?([^:\/\n]+)"")),"""")"),"perchenergy.com")</f>
        <v>perchenergy.com</v>
      </c>
      <c r="E4759" s="26" t="str">
        <f ca="1">IFERROR(__xludf.DUMMYFUNCTION("""COMPUTED_VALUE"""),"New")</f>
        <v>New</v>
      </c>
      <c r="F4759" s="72">
        <v>49</v>
      </c>
      <c r="G4759" s="72">
        <v>19590</v>
      </c>
      <c r="P4759" s="26"/>
    </row>
    <row r="4760" spans="1:16" ht="14.5">
      <c r="A4760" s="3" t="s">
        <v>256</v>
      </c>
      <c r="B4760" s="12" t="s">
        <v>2862</v>
      </c>
      <c r="C4760" s="46" t="s">
        <v>8493</v>
      </c>
      <c r="D4760" s="41" t="str">
        <f ca="1">IFERROR(__xludf.DUMMYFUNCTION("IFERROR(ARRAYFORMULA(REGEXEXTRACT(C4760,""^(?:https?:\/\/)?(?:[^@\n]+@)?(?:www\.)?([^:\/\n]+)"")),"""")"),"garretyhomepros.com")</f>
        <v>garretyhomepros.com</v>
      </c>
      <c r="E4760" s="26" t="str">
        <f ca="1">IFERROR(__xludf.DUMMYFUNCTION("""COMPUTED_VALUE"""),"New")</f>
        <v>New</v>
      </c>
      <c r="F4760" s="72">
        <v>39</v>
      </c>
      <c r="G4760" s="72">
        <v>3233</v>
      </c>
      <c r="H4760" s="27" t="s">
        <v>8494</v>
      </c>
      <c r="I4760" s="27" t="s">
        <v>8495</v>
      </c>
      <c r="J4760" s="33" t="s">
        <v>8496</v>
      </c>
      <c r="K4760" s="27" t="s">
        <v>8405</v>
      </c>
      <c r="L4760" s="112"/>
      <c r="M4760" s="27" t="s">
        <v>7390</v>
      </c>
      <c r="N4760" s="70">
        <v>46086</v>
      </c>
      <c r="P4760" s="26"/>
    </row>
    <row r="4761" spans="1:16" ht="14.5">
      <c r="A4761" s="3" t="s">
        <v>256</v>
      </c>
      <c r="B4761" s="12" t="s">
        <v>2862</v>
      </c>
      <c r="C4761" s="46" t="s">
        <v>8497</v>
      </c>
      <c r="D4761" s="41" t="str">
        <f ca="1">IFERROR(__xludf.DUMMYFUNCTION("IFERROR(ARRAYFORMULA(REGEXEXTRACT(C4761,""^(?:https?:\/\/)?(?:[^@\n]+@)?(?:www\.)?([^:\/\n]+)"")),"""")"),"appliance411.com")</f>
        <v>appliance411.com</v>
      </c>
      <c r="E4761" s="26" t="str">
        <f ca="1">IFERROR(__xludf.DUMMYFUNCTION("""COMPUTED_VALUE"""),"New")</f>
        <v>New</v>
      </c>
      <c r="F4761" s="72">
        <v>35</v>
      </c>
      <c r="G4761" s="72">
        <v>1252</v>
      </c>
      <c r="P4761" s="26"/>
    </row>
    <row r="4762" spans="1:16" ht="14.5">
      <c r="A4762" s="3" t="s">
        <v>256</v>
      </c>
      <c r="B4762" s="12" t="s">
        <v>2862</v>
      </c>
      <c r="C4762" s="46" t="s">
        <v>8498</v>
      </c>
      <c r="D4762" s="41" t="str">
        <f ca="1">IFERROR(__xludf.DUMMYFUNCTION("IFERROR(ARRAYFORMULA(REGEXEXTRACT(C4762,""^(?:https?:\/\/)?(?:[^@\n]+@)?(?:www\.)?([^:\/\n]+)"")),"""")"),"bloomboxclub.com")</f>
        <v>bloomboxclub.com</v>
      </c>
      <c r="E4762" s="26" t="str">
        <f ca="1">IFERROR(__xludf.DUMMYFUNCTION("""COMPUTED_VALUE"""),"New")</f>
        <v>New</v>
      </c>
      <c r="F4762" s="72">
        <v>42</v>
      </c>
      <c r="G4762" s="72">
        <v>26633</v>
      </c>
      <c r="P4762" s="26"/>
    </row>
    <row r="4763" spans="1:16" ht="14.5">
      <c r="A4763" s="3" t="s">
        <v>256</v>
      </c>
      <c r="B4763" s="12" t="s">
        <v>2862</v>
      </c>
      <c r="C4763" s="46" t="s">
        <v>8499</v>
      </c>
      <c r="D4763" s="41" t="str">
        <f ca="1">IFERROR(__xludf.DUMMYFUNCTION("IFERROR(ARRAYFORMULA(REGEXEXTRACT(C4763,""^(?:https?:\/\/)?(?:[^@\n]+@)?(?:www\.)?([^:\/\n]+)"")),"""")"),"westernstatesmetalroofing.com")</f>
        <v>westernstatesmetalroofing.com</v>
      </c>
      <c r="E4763" s="26" t="str">
        <f ca="1">IFERROR(__xludf.DUMMYFUNCTION("""COMPUTED_VALUE"""),"New")</f>
        <v>New</v>
      </c>
      <c r="F4763" s="72">
        <v>55</v>
      </c>
      <c r="G4763" s="72">
        <v>54503</v>
      </c>
      <c r="P4763" s="26"/>
    </row>
    <row r="4764" spans="1:16" ht="14.5">
      <c r="A4764" s="3" t="s">
        <v>256</v>
      </c>
      <c r="B4764" s="12" t="s">
        <v>2862</v>
      </c>
      <c r="C4764" s="46" t="s">
        <v>8500</v>
      </c>
      <c r="D4764" s="41" t="str">
        <f ca="1">IFERROR(__xludf.DUMMYFUNCTION("IFERROR(ARRAYFORMULA(REGEXEXTRACT(C4764,""^(?:https?:\/\/)?(?:[^@\n]+@)?(?:www\.)?([^:\/\n]+)"")),"""")"),"structuralpanels.ca")</f>
        <v>structuralpanels.ca</v>
      </c>
      <c r="E4764" s="26" t="str">
        <f ca="1">IFERROR(__xludf.DUMMYFUNCTION("""COMPUTED_VALUE"""),"New")</f>
        <v>New</v>
      </c>
      <c r="F4764" s="72">
        <v>29</v>
      </c>
      <c r="G4764" s="72">
        <v>2116</v>
      </c>
      <c r="J4764" s="27" t="s">
        <v>8501</v>
      </c>
      <c r="K4764" s="27" t="s">
        <v>8405</v>
      </c>
      <c r="L4764" s="112"/>
      <c r="P4764" s="26"/>
    </row>
    <row r="4765" spans="1:16" ht="14.5">
      <c r="A4765" s="3" t="s">
        <v>256</v>
      </c>
      <c r="B4765" s="12" t="s">
        <v>2862</v>
      </c>
      <c r="C4765" s="46" t="s">
        <v>8502</v>
      </c>
      <c r="D4765" s="41" t="str">
        <f ca="1">IFERROR(__xludf.DUMMYFUNCTION("IFERROR(ARRAYFORMULA(REGEXEXTRACT(C4765,""^(?:https?:\/\/)?(?:[^@\n]+@)?(?:www\.)?([^:\/\n]+)"")),"""")"),"inchcalculator.com")</f>
        <v>inchcalculator.com</v>
      </c>
      <c r="E4765" s="26" t="str">
        <f ca="1">IFERROR(__xludf.DUMMYFUNCTION("""COMPUTED_VALUE"""),"New")</f>
        <v>New</v>
      </c>
      <c r="F4765" s="72">
        <v>78</v>
      </c>
      <c r="G4765" s="72">
        <v>5301336</v>
      </c>
      <c r="P4765" s="26"/>
    </row>
    <row r="4766" spans="1:16" ht="14.5">
      <c r="A4766" s="3" t="s">
        <v>256</v>
      </c>
      <c r="B4766" s="12" t="s">
        <v>2862</v>
      </c>
      <c r="C4766" s="46" t="s">
        <v>8503</v>
      </c>
      <c r="D4766" s="41" t="str">
        <f ca="1">IFERROR(__xludf.DUMMYFUNCTION("IFERROR(ARRAYFORMULA(REGEXEXTRACT(C4766,""^(?:https?:\/\/)?(?:[^@\n]+@)?(?:www\.)?([^:\/\n]+)"")),"""")"),"ongaroandsons.com")</f>
        <v>ongaroandsons.com</v>
      </c>
      <c r="E4766" s="26" t="str">
        <f ca="1">IFERROR(__xludf.DUMMYFUNCTION("""COMPUTED_VALUE"""),"New")</f>
        <v>New</v>
      </c>
      <c r="F4766" s="72">
        <v>41</v>
      </c>
      <c r="G4766" s="72">
        <v>4784</v>
      </c>
      <c r="P4766" s="26"/>
    </row>
    <row r="4767" spans="1:16" ht="14.5">
      <c r="A4767" s="3" t="s">
        <v>256</v>
      </c>
      <c r="B4767" s="12" t="s">
        <v>2862</v>
      </c>
      <c r="C4767" s="46" t="s">
        <v>8504</v>
      </c>
      <c r="D4767" s="41" t="str">
        <f ca="1">IFERROR(__xludf.DUMMYFUNCTION("IFERROR(ARRAYFORMULA(REGEXEXTRACT(C4767,""^(?:https?:\/\/)?(?:[^@\n]+@)?(?:www\.)?([^:\/\n]+)"")),"""")"),"businessinitiative.org")</f>
        <v>businessinitiative.org</v>
      </c>
      <c r="E4767" s="26" t="str">
        <f ca="1">IFERROR(__xludf.DUMMYFUNCTION("""COMPUTED_VALUE"""),"New")</f>
        <v>New</v>
      </c>
      <c r="F4767" s="72">
        <v>49</v>
      </c>
      <c r="G4767" s="72">
        <v>5465</v>
      </c>
      <c r="P4767" s="26"/>
    </row>
    <row r="4768" spans="1:16" ht="14.5">
      <c r="A4768" s="3" t="s">
        <v>256</v>
      </c>
      <c r="B4768" s="12" t="s">
        <v>2862</v>
      </c>
      <c r="C4768" s="46" t="s">
        <v>8505</v>
      </c>
      <c r="D4768" s="41" t="str">
        <f ca="1">IFERROR(__xludf.DUMMYFUNCTION("IFERROR(ARRAYFORMULA(REGEXEXTRACT(C4768,""^(?:https?:\/\/)?(?:[^@\n]+@)?(?:www\.)?([^:\/\n]+)"")),"""")"),"theaterseatstore.com")</f>
        <v>theaterseatstore.com</v>
      </c>
      <c r="E4768" s="26" t="str">
        <f ca="1">IFERROR(__xludf.DUMMYFUNCTION("""COMPUTED_VALUE"""),"New")</f>
        <v>New</v>
      </c>
      <c r="F4768" s="72">
        <v>63</v>
      </c>
      <c r="G4768" s="72">
        <v>44399</v>
      </c>
      <c r="P4768" s="26"/>
    </row>
    <row r="4769" spans="1:16" ht="14.5">
      <c r="A4769" s="3" t="s">
        <v>256</v>
      </c>
      <c r="B4769" s="12" t="s">
        <v>2862</v>
      </c>
      <c r="C4769" s="46" t="s">
        <v>8506</v>
      </c>
      <c r="D4769" s="41" t="str">
        <f ca="1">IFERROR(__xludf.DUMMYFUNCTION("IFERROR(ARRAYFORMULA(REGEXEXTRACT(C4769,""^(?:https?:\/\/)?(?:[^@\n]+@)?(?:www\.)?([^:\/\n]+)"")),"""")"),"onsentowel.com")</f>
        <v>onsentowel.com</v>
      </c>
      <c r="E4769" s="26" t="str">
        <f ca="1">IFERROR(__xludf.DUMMYFUNCTION("""COMPUTED_VALUE"""),"New")</f>
        <v>New</v>
      </c>
      <c r="F4769" s="72">
        <v>44</v>
      </c>
      <c r="G4769" s="72">
        <v>9275</v>
      </c>
      <c r="P4769" s="26"/>
    </row>
    <row r="4770" spans="1:16" ht="14.5">
      <c r="A4770" s="3" t="s">
        <v>256</v>
      </c>
      <c r="B4770" s="12" t="s">
        <v>2862</v>
      </c>
      <c r="C4770" s="46" t="s">
        <v>8507</v>
      </c>
      <c r="D4770" s="41" t="str">
        <f ca="1">IFERROR(__xludf.DUMMYFUNCTION("IFERROR(ARRAYFORMULA(REGEXEXTRACT(C4770,""^(?:https?:\/\/)?(?:[^@\n]+@)?(?:www\.)?([^:\/\n]+)"")),"""")"),"growingspaces.com")</f>
        <v>growingspaces.com</v>
      </c>
      <c r="E4770" s="26" t="str">
        <f ca="1">IFERROR(__xludf.DUMMYFUNCTION("""COMPUTED_VALUE"""),"New")</f>
        <v>New</v>
      </c>
      <c r="F4770" s="72">
        <v>50</v>
      </c>
      <c r="G4770" s="72">
        <v>14190</v>
      </c>
      <c r="P4770" s="26"/>
    </row>
    <row r="4771" spans="1:16" ht="14.5">
      <c r="A4771" s="3" t="s">
        <v>256</v>
      </c>
      <c r="B4771" s="12" t="s">
        <v>2862</v>
      </c>
      <c r="C4771" s="46" t="s">
        <v>8508</v>
      </c>
      <c r="D4771" s="41" t="str">
        <f ca="1">IFERROR(__xludf.DUMMYFUNCTION("IFERROR(ARRAYFORMULA(REGEXEXTRACT(C4771,""^(?:https?:\/\/)?(?:[^@\n]+@)?(?:www\.)?([^:\/\n]+)"")),"""")"),"thezebra.com")</f>
        <v>thezebra.com</v>
      </c>
      <c r="E4771" s="26" t="str">
        <f ca="1">IFERROR(__xludf.DUMMYFUNCTION("""COMPUTED_VALUE"""),"New")</f>
        <v>New</v>
      </c>
      <c r="F4771" s="72">
        <v>79</v>
      </c>
      <c r="G4771" s="72">
        <v>1216615</v>
      </c>
      <c r="P4771" s="26"/>
    </row>
    <row r="4772" spans="1:16" ht="14.5">
      <c r="A4772" s="3" t="s">
        <v>256</v>
      </c>
      <c r="B4772" s="12" t="s">
        <v>2862</v>
      </c>
      <c r="C4772" s="46" t="s">
        <v>8509</v>
      </c>
      <c r="D4772" s="41" t="str">
        <f ca="1">IFERROR(__xludf.DUMMYFUNCTION("IFERROR(ARRAYFORMULA(REGEXEXTRACT(C4772,""^(?:https?:\/\/)?(?:[^@\n]+@)?(?:www\.)?([^:\/\n]+)"")),"""")"),"sealed.com")</f>
        <v>sealed.com</v>
      </c>
      <c r="E4772" s="26" t="str">
        <f ca="1">IFERROR(__xludf.DUMMYFUNCTION("""COMPUTED_VALUE"""),"New")</f>
        <v>New</v>
      </c>
      <c r="F4772" s="72">
        <v>61</v>
      </c>
      <c r="G4772" s="72">
        <v>14891</v>
      </c>
      <c r="P4772" s="26"/>
    </row>
    <row r="4773" spans="1:16" ht="14.5">
      <c r="A4773" s="3" t="s">
        <v>256</v>
      </c>
      <c r="B4773" s="12" t="s">
        <v>2862</v>
      </c>
      <c r="C4773" s="46" t="s">
        <v>8510</v>
      </c>
      <c r="D4773" s="41" t="str">
        <f ca="1">IFERROR(__xludf.DUMMYFUNCTION("IFERROR(ARRAYFORMULA(REGEXEXTRACT(C4773,""^(?:https?:\/\/)?(?:[^@\n]+@)?(?:www\.)?([^:\/\n]+)"")),"""")"),"aircare.com")</f>
        <v>aircare.com</v>
      </c>
      <c r="E4773" s="26" t="str">
        <f ca="1">IFERROR(__xludf.DUMMYFUNCTION("""COMPUTED_VALUE"""),"New")</f>
        <v>New</v>
      </c>
      <c r="F4773" s="72">
        <v>28</v>
      </c>
      <c r="G4773" s="72">
        <v>28887</v>
      </c>
      <c r="P4773" s="26"/>
    </row>
    <row r="4774" spans="1:16" ht="14.5">
      <c r="A4774" s="3" t="s">
        <v>256</v>
      </c>
      <c r="B4774" s="12" t="s">
        <v>2862</v>
      </c>
      <c r="C4774" s="46" t="s">
        <v>8511</v>
      </c>
      <c r="D4774" s="41" t="str">
        <f ca="1">IFERROR(__xludf.DUMMYFUNCTION("IFERROR(ARRAYFORMULA(REGEXEXTRACT(C4774,""^(?:https?:\/\/)?(?:[^@\n]+@)?(?:www\.)?([^:\/\n]+)"")),"""")"),"leafsolution.com")</f>
        <v>leafsolution.com</v>
      </c>
      <c r="E4774" s="26" t="str">
        <f ca="1">IFERROR(__xludf.DUMMYFUNCTION("""COMPUTED_VALUE"""),"New")</f>
        <v>New</v>
      </c>
      <c r="F4774" s="72">
        <v>49</v>
      </c>
      <c r="G4774" s="72">
        <v>1055</v>
      </c>
      <c r="P4774" s="26"/>
    </row>
    <row r="4775" spans="1:16" ht="14.5">
      <c r="A4775" s="3" t="s">
        <v>256</v>
      </c>
      <c r="B4775" s="12" t="s">
        <v>2862</v>
      </c>
      <c r="C4775" s="46" t="s">
        <v>8512</v>
      </c>
      <c r="D4775" s="41" t="str">
        <f ca="1">IFERROR(__xludf.DUMMYFUNCTION("IFERROR(ARRAYFORMULA(REGEXEXTRACT(C4775,""^(?:https?:\/\/)?(?:[^@\n]+@)?(?:www\.)?([^:\/\n]+)"")),"""")"),"esub.com")</f>
        <v>esub.com</v>
      </c>
      <c r="E4775" s="26" t="str">
        <f ca="1">IFERROR(__xludf.DUMMYFUNCTION("""COMPUTED_VALUE"""),"New")</f>
        <v>New</v>
      </c>
      <c r="F4775" s="72">
        <v>62</v>
      </c>
      <c r="G4775" s="72">
        <v>17863</v>
      </c>
      <c r="P4775" s="26"/>
    </row>
    <row r="4776" spans="1:16" ht="14.5">
      <c r="A4776" s="3" t="s">
        <v>256</v>
      </c>
      <c r="B4776" s="12" t="s">
        <v>2862</v>
      </c>
      <c r="C4776" s="46" t="s">
        <v>8513</v>
      </c>
      <c r="D4776" s="41" t="str">
        <f ca="1">IFERROR(__xludf.DUMMYFUNCTION("IFERROR(ARRAYFORMULA(REGEXEXTRACT(C4776,""^(?:https?:\/\/)?(?:[^@\n]+@)?(?:www\.)?([^:\/\n]+)"")),"""")"),"budgetdumpster.com")</f>
        <v>budgetdumpster.com</v>
      </c>
      <c r="E4776" s="26" t="str">
        <f ca="1">IFERROR(__xludf.DUMMYFUNCTION("""COMPUTED_VALUE"""),"New")</f>
        <v>New</v>
      </c>
      <c r="F4776" s="72">
        <v>70</v>
      </c>
      <c r="G4776" s="72">
        <v>134935</v>
      </c>
      <c r="P4776" s="26"/>
    </row>
    <row r="4777" spans="1:16" ht="14.5">
      <c r="A4777" s="3" t="s">
        <v>256</v>
      </c>
      <c r="B4777" s="12" t="s">
        <v>2862</v>
      </c>
      <c r="C4777" s="46" t="s">
        <v>8514</v>
      </c>
      <c r="D4777" s="41" t="str">
        <f ca="1">IFERROR(__xludf.DUMMYFUNCTION("IFERROR(ARRAYFORMULA(REGEXEXTRACT(C4777,""^(?:https?:\/\/)?(?:[^@\n]+@)?(?:www\.)?([^:\/\n]+)"")),"""")"),"taskrabbit.com")</f>
        <v>taskrabbit.com</v>
      </c>
      <c r="E4777" s="26" t="str">
        <f ca="1">IFERROR(__xludf.DUMMYFUNCTION("""COMPUTED_VALUE"""),"New")</f>
        <v>New</v>
      </c>
      <c r="F4777" s="72">
        <v>79</v>
      </c>
      <c r="G4777" s="72">
        <v>445213</v>
      </c>
      <c r="P4777" s="26"/>
    </row>
    <row r="4778" spans="1:16" ht="14.5">
      <c r="A4778" s="3" t="s">
        <v>256</v>
      </c>
      <c r="B4778" s="12" t="s">
        <v>2862</v>
      </c>
      <c r="C4778" s="46" t="s">
        <v>8515</v>
      </c>
      <c r="D4778" s="41" t="str">
        <f ca="1">IFERROR(__xludf.DUMMYFUNCTION("IFERROR(ARRAYFORMULA(REGEXEXTRACT(C4778,""^(?:https?:\/\/)?(?:[^@\n]+@)?(?:www\.)?([^:\/\n]+)"")),"""")"),"shedsunlimited.net")</f>
        <v>shedsunlimited.net</v>
      </c>
      <c r="E4778" s="26" t="str">
        <f ca="1">IFERROR(__xludf.DUMMYFUNCTION("""COMPUTED_VALUE"""),"New")</f>
        <v>New</v>
      </c>
      <c r="F4778" s="72">
        <v>42</v>
      </c>
      <c r="G4778" s="72">
        <v>92898</v>
      </c>
      <c r="P4778" s="26"/>
    </row>
    <row r="4779" spans="1:16" ht="14.5">
      <c r="A4779" s="3" t="s">
        <v>256</v>
      </c>
      <c r="B4779" s="12" t="s">
        <v>2862</v>
      </c>
      <c r="C4779" s="46" t="s">
        <v>8516</v>
      </c>
      <c r="D4779" s="41" t="str">
        <f ca="1">IFERROR(__xludf.DUMMYFUNCTION("IFERROR(ARRAYFORMULA(REGEXEXTRACT(C4779,""^(?:https?:\/\/)?(?:[^@\n]+@)?(?:www\.)?([^:\/\n]+)"")),"""")"),"lacrema.com")</f>
        <v>lacrema.com</v>
      </c>
      <c r="E4779" s="26" t="str">
        <f ca="1">IFERROR(__xludf.DUMMYFUNCTION("""COMPUTED_VALUE"""),"New")</f>
        <v>New</v>
      </c>
      <c r="F4779" s="72">
        <v>55</v>
      </c>
      <c r="G4779" s="72">
        <v>44661</v>
      </c>
      <c r="P4779" s="26"/>
    </row>
    <row r="4780" spans="1:16" ht="14.5" hidden="1">
      <c r="A4780" s="3" t="s">
        <v>256</v>
      </c>
      <c r="B4780" s="12" t="s">
        <v>2862</v>
      </c>
      <c r="C4780" s="46" t="s">
        <v>8517</v>
      </c>
      <c r="D4780" s="41" t="str">
        <f ca="1">IFERROR(__xludf.DUMMYFUNCTION("IFERROR(ARRAYFORMULA(REGEXEXTRACT(C4780,""^(?:https?:\/\/)?(?:[^@\n]+@)?(?:www\.)?([^:\/\n]+)"")),"""")"),"cielowigle.com")</f>
        <v>cielowigle.com</v>
      </c>
      <c r="E4780" s="26" t="str">
        <f ca="1">IFERROR(__xludf.DUMMYFUNCTION("""COMPUTED_VALUE"""),"Already Exists")</f>
        <v>Already Exists</v>
      </c>
      <c r="F4780" s="72">
        <v>63</v>
      </c>
      <c r="G4780" s="72">
        <v>23419</v>
      </c>
      <c r="P4780" s="26"/>
    </row>
    <row r="4781" spans="1:16" ht="14.5">
      <c r="A4781" s="3" t="s">
        <v>256</v>
      </c>
      <c r="B4781" s="12" t="s">
        <v>2862</v>
      </c>
      <c r="C4781" s="46" t="s">
        <v>8518</v>
      </c>
      <c r="D4781" s="41" t="str">
        <f ca="1">IFERROR(__xludf.DUMMYFUNCTION("IFERROR(ARRAYFORMULA(REGEXEXTRACT(C4781,""^(?:https?:\/\/)?(?:[^@\n]+@)?(?:www\.)?([^:\/\n]+)"")),"""")"),"retrofoamofmichigan.com")</f>
        <v>retrofoamofmichigan.com</v>
      </c>
      <c r="E4781" s="26" t="str">
        <f ca="1">IFERROR(__xludf.DUMMYFUNCTION("""COMPUTED_VALUE"""),"New")</f>
        <v>New</v>
      </c>
      <c r="F4781" s="72">
        <v>50</v>
      </c>
      <c r="G4781" s="72">
        <v>35770</v>
      </c>
      <c r="H4781" s="27" t="s">
        <v>8519</v>
      </c>
      <c r="I4781" s="27" t="s">
        <v>8520</v>
      </c>
      <c r="K4781" s="27" t="s">
        <v>8405</v>
      </c>
      <c r="L4781" s="112"/>
      <c r="P4781" s="26"/>
    </row>
    <row r="4782" spans="1:16" ht="14.5">
      <c r="A4782" s="3" t="s">
        <v>256</v>
      </c>
      <c r="B4782" s="12" t="s">
        <v>2862</v>
      </c>
      <c r="C4782" s="46" t="s">
        <v>8521</v>
      </c>
      <c r="D4782" s="41" t="str">
        <f ca="1">IFERROR(__xludf.DUMMYFUNCTION("IFERROR(ARRAYFORMULA(REGEXEXTRACT(C4782,""^(?:https?:\/\/)?(?:[^@\n]+@)?(?:www\.)?([^:\/\n]+)"")),"""")"),"culinaryhill.com")</f>
        <v>culinaryhill.com</v>
      </c>
      <c r="E4782" s="26" t="str">
        <f ca="1">IFERROR(__xludf.DUMMYFUNCTION("""COMPUTED_VALUE"""),"New")</f>
        <v>New</v>
      </c>
      <c r="F4782" s="72">
        <v>71</v>
      </c>
      <c r="G4782" s="72">
        <v>768635</v>
      </c>
      <c r="P4782" s="26"/>
    </row>
    <row r="4783" spans="1:16" ht="14.5">
      <c r="A4783" s="3" t="s">
        <v>256</v>
      </c>
      <c r="B4783" s="12" t="s">
        <v>2862</v>
      </c>
      <c r="C4783" s="46" t="s">
        <v>8522</v>
      </c>
      <c r="D4783" s="41" t="str">
        <f ca="1">IFERROR(__xludf.DUMMYFUNCTION("IFERROR(ARRAYFORMULA(REGEXEXTRACT(C4783,""^(?:https?:\/\/)?(?:[^@\n]+@)?(?:www\.)?([^:\/\n]+)"")),"""")"),"cedarparkgaragedoors.com")</f>
        <v>cedarparkgaragedoors.com</v>
      </c>
      <c r="E4783" s="26" t="str">
        <f ca="1">IFERROR(__xludf.DUMMYFUNCTION("""COMPUTED_VALUE"""),"New")</f>
        <v>New</v>
      </c>
      <c r="F4783" s="72">
        <v>33</v>
      </c>
      <c r="G4783" s="72">
        <v>2408</v>
      </c>
      <c r="P4783" s="26"/>
    </row>
    <row r="4784" spans="1:16" ht="14.5">
      <c r="A4784" s="3" t="s">
        <v>256</v>
      </c>
      <c r="B4784" s="12" t="s">
        <v>2862</v>
      </c>
      <c r="C4784" s="46" t="s">
        <v>8523</v>
      </c>
      <c r="D4784" s="41" t="str">
        <f ca="1">IFERROR(__xludf.DUMMYFUNCTION("IFERROR(ARRAYFORMULA(REGEXEXTRACT(C4784,""^(?:https?:\/\/)?(?:[^@\n]+@)?(?:www\.)?([^:\/\n]+)"")),"""")"),"acdirect.com")</f>
        <v>acdirect.com</v>
      </c>
      <c r="E4784" s="26" t="str">
        <f ca="1">IFERROR(__xludf.DUMMYFUNCTION("""COMPUTED_VALUE"""),"New")</f>
        <v>New</v>
      </c>
      <c r="F4784" s="72">
        <v>42</v>
      </c>
      <c r="G4784" s="72">
        <v>129414</v>
      </c>
      <c r="P4784" s="26"/>
    </row>
    <row r="4785" spans="1:16" ht="14.5">
      <c r="A4785" s="3" t="s">
        <v>256</v>
      </c>
      <c r="B4785" s="12" t="s">
        <v>2862</v>
      </c>
      <c r="C4785" s="46" t="s">
        <v>8524</v>
      </c>
      <c r="D4785" s="41" t="str">
        <f ca="1">IFERROR(__xludf.DUMMYFUNCTION("IFERROR(ARRAYFORMULA(REGEXEXTRACT(C4785,""^(?:https?:\/\/)?(?:[^@\n]+@)?(?:www\.)?([^:\/\n]+)"")),"""")"),"blog.allentate.com")</f>
        <v>blog.allentate.com</v>
      </c>
      <c r="E4785" s="26" t="str">
        <f ca="1">IFERROR(__xludf.DUMMYFUNCTION("""COMPUTED_VALUE"""),"New")</f>
        <v>New</v>
      </c>
      <c r="F4785" s="72">
        <v>63</v>
      </c>
      <c r="G4785" s="72">
        <v>17998</v>
      </c>
      <c r="P4785" s="26"/>
    </row>
    <row r="4786" spans="1:16" ht="14.5">
      <c r="A4786" s="3" t="s">
        <v>256</v>
      </c>
      <c r="B4786" s="12" t="s">
        <v>2862</v>
      </c>
      <c r="C4786" s="46" t="s">
        <v>8525</v>
      </c>
      <c r="D4786" s="41" t="str">
        <f ca="1">IFERROR(__xludf.DUMMYFUNCTION("IFERROR(ARRAYFORMULA(REGEXEXTRACT(C4786,""^(?:https?:\/\/)?(?:[^@\n]+@)?(?:www\.)?([^:\/\n]+)"")),"""")"),"nativetrailshome.com")</f>
        <v>nativetrailshome.com</v>
      </c>
      <c r="E4786" s="26" t="str">
        <f ca="1">IFERROR(__xludf.DUMMYFUNCTION("""COMPUTED_VALUE"""),"New")</f>
        <v>New</v>
      </c>
      <c r="F4786" s="72">
        <v>57</v>
      </c>
      <c r="G4786" s="72">
        <v>13800</v>
      </c>
      <c r="P4786" s="26"/>
    </row>
    <row r="4787" spans="1:16" ht="14.5">
      <c r="A4787" s="3" t="s">
        <v>256</v>
      </c>
      <c r="B4787" s="12" t="s">
        <v>2862</v>
      </c>
      <c r="C4787" s="46" t="s">
        <v>8526</v>
      </c>
      <c r="D4787" s="41" t="str">
        <f ca="1">IFERROR(__xludf.DUMMYFUNCTION("IFERROR(ARRAYFORMULA(REGEXEXTRACT(C4787,""^(?:https?:\/\/)?(?:[^@\n]+@)?(?:www\.)?([^:\/\n]+)"")),"""")"),"cuttingedgefirewood.com")</f>
        <v>cuttingedgefirewood.com</v>
      </c>
      <c r="E4787" s="26" t="str">
        <f ca="1">IFERROR(__xludf.DUMMYFUNCTION("""COMPUTED_VALUE"""),"New")</f>
        <v>New</v>
      </c>
      <c r="F4787" s="72">
        <v>43</v>
      </c>
      <c r="G4787" s="72">
        <v>9643</v>
      </c>
      <c r="P4787" s="26"/>
    </row>
    <row r="4788" spans="1:16" ht="14.5">
      <c r="A4788" s="3" t="s">
        <v>256</v>
      </c>
      <c r="B4788" s="12" t="s">
        <v>2862</v>
      </c>
      <c r="C4788" s="46" t="s">
        <v>8527</v>
      </c>
      <c r="D4788" s="41" t="str">
        <f ca="1">IFERROR(__xludf.DUMMYFUNCTION("IFERROR(ARRAYFORMULA(REGEXEXTRACT(C4788,""^(?:https?:\/\/)?(?:[^@\n]+@)?(?:www\.)?([^:\/\n]+)"")),"""")"),"prudentreviews.com")</f>
        <v>prudentreviews.com</v>
      </c>
      <c r="E4788" s="26" t="str">
        <f ca="1">IFERROR(__xludf.DUMMYFUNCTION("""COMPUTED_VALUE"""),"New")</f>
        <v>New</v>
      </c>
      <c r="F4788" s="72">
        <v>51</v>
      </c>
      <c r="G4788" s="72">
        <v>35710</v>
      </c>
      <c r="P4788" s="26"/>
    </row>
    <row r="4789" spans="1:16" ht="14.5">
      <c r="A4789" s="3" t="s">
        <v>256</v>
      </c>
      <c r="B4789" s="12" t="s">
        <v>2862</v>
      </c>
      <c r="C4789" s="46" t="s">
        <v>8528</v>
      </c>
      <c r="D4789" s="41" t="str">
        <f ca="1">IFERROR(__xludf.DUMMYFUNCTION("IFERROR(ARRAYFORMULA(REGEXEXTRACT(C4789,""^(?:https?:\/\/)?(?:[^@\n]+@)?(?:www\.)?([^:\/\n]+)"")),"""")"),"ferrellgas.com")</f>
        <v>ferrellgas.com</v>
      </c>
      <c r="E4789" s="26" t="str">
        <f ca="1">IFERROR(__xludf.DUMMYFUNCTION("""COMPUTED_VALUE"""),"New")</f>
        <v>New</v>
      </c>
      <c r="F4789" s="72">
        <v>62</v>
      </c>
      <c r="G4789" s="72">
        <v>50419</v>
      </c>
      <c r="P4789" s="26"/>
    </row>
    <row r="4790" spans="1:16" ht="14.5">
      <c r="A4790" s="3" t="s">
        <v>256</v>
      </c>
      <c r="B4790" s="12" t="s">
        <v>2862</v>
      </c>
      <c r="C4790" s="46" t="s">
        <v>8529</v>
      </c>
      <c r="D4790" s="41" t="str">
        <f ca="1">IFERROR(__xludf.DUMMYFUNCTION("IFERROR(ARRAYFORMULA(REGEXEXTRACT(C4790,""^(?:https?:\/\/)?(?:[^@\n]+@)?(?:www\.)?([^:\/\n]+)"")),"""")"),"primeweld.com")</f>
        <v>primeweld.com</v>
      </c>
      <c r="E4790" s="26" t="str">
        <f ca="1">IFERROR(__xludf.DUMMYFUNCTION("""COMPUTED_VALUE"""),"New")</f>
        <v>New</v>
      </c>
      <c r="F4790" s="72">
        <v>45</v>
      </c>
      <c r="G4790" s="72">
        <v>54476</v>
      </c>
      <c r="P4790" s="26"/>
    </row>
    <row r="4791" spans="1:16" ht="14.5">
      <c r="A4791" s="3" t="s">
        <v>256</v>
      </c>
      <c r="B4791" s="12" t="s">
        <v>2862</v>
      </c>
      <c r="C4791" s="46" t="s">
        <v>8530</v>
      </c>
      <c r="D4791" s="41" t="str">
        <f ca="1">IFERROR(__xludf.DUMMYFUNCTION("IFERROR(ARRAYFORMULA(REGEXEXTRACT(C4791,""^(?:https?:\/\/)?(?:[^@\n]+@)?(?:www\.)?([^:\/\n]+)"")),"""")"),"allalohaplumbing.com")</f>
        <v>allalohaplumbing.com</v>
      </c>
      <c r="E4791" s="26" t="str">
        <f ca="1">IFERROR(__xludf.DUMMYFUNCTION("""COMPUTED_VALUE"""),"New")</f>
        <v>New</v>
      </c>
      <c r="F4791" s="72">
        <v>33</v>
      </c>
      <c r="G4791" s="72">
        <v>1573</v>
      </c>
      <c r="P4791" s="26"/>
    </row>
    <row r="4792" spans="1:16" ht="14.5">
      <c r="A4792" s="3" t="s">
        <v>256</v>
      </c>
      <c r="B4792" s="12" t="s">
        <v>2862</v>
      </c>
      <c r="C4792" s="49" t="s">
        <v>8531</v>
      </c>
      <c r="D4792" s="41" t="str">
        <f ca="1">IFERROR(__xludf.DUMMYFUNCTION("IFERROR(ARRAYFORMULA(REGEXEXTRACT(C4792,""^(?:https?:\/\/)?(?:[^@\n]+@)?(?:www\.)?([^:\/\n]+)"")),"""")"),"monstertreeservice.com")</f>
        <v>monstertreeservice.com</v>
      </c>
      <c r="E4792" s="26" t="str">
        <f ca="1">IFERROR(__xludf.DUMMYFUNCTION("""COMPUTED_VALUE"""),"New")</f>
        <v>New</v>
      </c>
      <c r="F4792" s="72">
        <v>48</v>
      </c>
      <c r="G4792" s="72">
        <v>21468</v>
      </c>
      <c r="J4792" s="27" t="s">
        <v>8532</v>
      </c>
      <c r="K4792" s="27" t="s">
        <v>8405</v>
      </c>
      <c r="L4792" s="112"/>
      <c r="M4792" s="27" t="s">
        <v>7390</v>
      </c>
      <c r="N4792" s="70">
        <v>46086</v>
      </c>
      <c r="P4792" s="26"/>
    </row>
    <row r="4793" spans="1:16" ht="14.5">
      <c r="A4793" s="3" t="s">
        <v>256</v>
      </c>
      <c r="B4793" s="12" t="s">
        <v>2862</v>
      </c>
      <c r="C4793" s="46" t="s">
        <v>8533</v>
      </c>
      <c r="D4793" s="41" t="str">
        <f ca="1">IFERROR(__xludf.DUMMYFUNCTION("IFERROR(ARRAYFORMULA(REGEXEXTRACT(C4793,""^(?:https?:\/\/)?(?:[^@\n]+@)?(?:www\.)?([^:\/\n]+)"")),"""")"),"championwindow.com")</f>
        <v>championwindow.com</v>
      </c>
      <c r="E4793" s="26" t="str">
        <f ca="1">IFERROR(__xludf.DUMMYFUNCTION("""COMPUTED_VALUE"""),"New")</f>
        <v>New</v>
      </c>
      <c r="F4793" s="72">
        <v>56</v>
      </c>
      <c r="G4793" s="72">
        <v>48709</v>
      </c>
      <c r="P4793" s="26"/>
    </row>
    <row r="4794" spans="1:16" ht="14.5">
      <c r="A4794" s="3" t="s">
        <v>256</v>
      </c>
      <c r="B4794" s="12" t="s">
        <v>2862</v>
      </c>
      <c r="C4794" s="46" t="s">
        <v>8534</v>
      </c>
      <c r="D4794" s="41" t="str">
        <f ca="1">IFERROR(__xludf.DUMMYFUNCTION("IFERROR(ARRAYFORMULA(REGEXEXTRACT(C4794,""^(?:https?:\/\/)?(?:[^@\n]+@)?(?:www\.)?([^:\/\n]+)"")),"""")"),"lemonade.com")</f>
        <v>lemonade.com</v>
      </c>
      <c r="E4794" s="26" t="str">
        <f ca="1">IFERROR(__xludf.DUMMYFUNCTION("""COMPUTED_VALUE"""),"New")</f>
        <v>New</v>
      </c>
      <c r="F4794" s="72">
        <v>79</v>
      </c>
      <c r="G4794" s="72">
        <v>1052855</v>
      </c>
      <c r="P4794" s="26"/>
    </row>
    <row r="4795" spans="1:16" ht="14.5">
      <c r="A4795" s="3" t="s">
        <v>256</v>
      </c>
      <c r="B4795" s="12" t="s">
        <v>2862</v>
      </c>
      <c r="C4795" s="46" t="s">
        <v>8535</v>
      </c>
      <c r="D4795" s="41" t="str">
        <f ca="1">IFERROR(__xludf.DUMMYFUNCTION("IFERROR(ARRAYFORMULA(REGEXEXTRACT(C4795,""^(?:https?:\/\/)?(?:[^@\n]+@)?(?:www\.)?([^:\/\n]+)"")),"""")"),"edwardmartin.com")</f>
        <v>edwardmartin.com</v>
      </c>
      <c r="E4795" s="26" t="str">
        <f ca="1">IFERROR(__xludf.DUMMYFUNCTION("""COMPUTED_VALUE"""),"New")</f>
        <v>New</v>
      </c>
      <c r="F4795" s="72">
        <v>39</v>
      </c>
      <c r="G4795" s="72">
        <v>65491</v>
      </c>
      <c r="P4795" s="26"/>
    </row>
    <row r="4796" spans="1:16" ht="14.5">
      <c r="A4796" s="3" t="s">
        <v>256</v>
      </c>
      <c r="B4796" s="12" t="s">
        <v>2862</v>
      </c>
      <c r="C4796" s="46" t="s">
        <v>8536</v>
      </c>
      <c r="D4796" s="41" t="str">
        <f ca="1">IFERROR(__xludf.DUMMYFUNCTION("IFERROR(ARRAYFORMULA(REGEXEXTRACT(C4796,""^(?:https?:\/\/)?(?:[^@\n]+@)?(?:www\.)?([^:\/\n]+)"")),"""")"),"guildmortgage.com")</f>
        <v>guildmortgage.com</v>
      </c>
      <c r="E4796" s="26" t="str">
        <f ca="1">IFERROR(__xludf.DUMMYFUNCTION("""COMPUTED_VALUE"""),"New")</f>
        <v>New</v>
      </c>
      <c r="F4796" s="72">
        <v>75</v>
      </c>
      <c r="G4796" s="72">
        <v>170639</v>
      </c>
      <c r="P4796" s="26"/>
    </row>
    <row r="4797" spans="1:16" ht="14.5">
      <c r="A4797" s="3" t="s">
        <v>256</v>
      </c>
      <c r="B4797" s="12" t="s">
        <v>2862</v>
      </c>
      <c r="C4797" s="46" t="s">
        <v>8537</v>
      </c>
      <c r="D4797" s="41" t="str">
        <f ca="1">IFERROR(__xludf.DUMMYFUNCTION("IFERROR(ARRAYFORMULA(REGEXEXTRACT(C4797,""^(?:https?:\/\/)?(?:[^@\n]+@)?(?:www\.)?([^:\/\n]+)"")),"""")"),"pro.porch.com")</f>
        <v>pro.porch.com</v>
      </c>
      <c r="E4797" s="26" t="str">
        <f ca="1">IFERROR(__xludf.DUMMYFUNCTION("""COMPUTED_VALUE"""),"New")</f>
        <v>New</v>
      </c>
      <c r="F4797" s="72">
        <v>86</v>
      </c>
      <c r="G4797" s="72">
        <v>17030</v>
      </c>
      <c r="P4797" s="26"/>
    </row>
    <row r="4798" spans="1:16" ht="14.5">
      <c r="A4798" s="3" t="s">
        <v>256</v>
      </c>
      <c r="B4798" s="12" t="s">
        <v>2862</v>
      </c>
      <c r="C4798" s="49" t="s">
        <v>8538</v>
      </c>
      <c r="D4798" s="41" t="str">
        <f ca="1">IFERROR(__xludf.DUMMYFUNCTION("IFERROR(ARRAYFORMULA(REGEXEXTRACT(C4798,""^(?:https?:\/\/)?(?:[^@\n]+@)?(?:www\.)?([^:\/\n]+)"")),"""")"),"pgtwindows.com")</f>
        <v>pgtwindows.com</v>
      </c>
      <c r="E4798" s="26" t="str">
        <f ca="1">IFERROR(__xludf.DUMMYFUNCTION("""COMPUTED_VALUE"""),"New")</f>
        <v>New</v>
      </c>
      <c r="F4798" s="72">
        <v>66</v>
      </c>
      <c r="G4798" s="72">
        <v>11628</v>
      </c>
      <c r="J4798" s="27" t="s">
        <v>8539</v>
      </c>
      <c r="M4798" s="27" t="s">
        <v>7390</v>
      </c>
      <c r="N4798" s="70">
        <v>46086</v>
      </c>
      <c r="P4798" s="26"/>
    </row>
    <row r="4799" spans="1:16" ht="14.5">
      <c r="A4799" s="90" t="s">
        <v>257</v>
      </c>
      <c r="B4799" s="57" t="s">
        <v>2889</v>
      </c>
      <c r="C4799" s="46" t="s">
        <v>8540</v>
      </c>
      <c r="D4799" s="41" t="str">
        <f ca="1">IFERROR(__xludf.DUMMYFUNCTION("IFERROR(ARRAYFORMULA(REGEXEXTRACT(C4799,""^(?:https?:\/\/)?(?:[^@\n]+@)?(?:www\.)?([^:\/\n]+)"")),"""")"),"shma.co.uk")</f>
        <v>shma.co.uk</v>
      </c>
      <c r="E4799" s="26" t="str">
        <f ca="1">IFERROR(__xludf.DUMMYFUNCTION("""COMPUTED_VALUE"""),"New")</f>
        <v>New</v>
      </c>
      <c r="F4799" s="72">
        <v>57</v>
      </c>
      <c r="G4799" s="72">
        <v>13350</v>
      </c>
      <c r="P4799" s="26"/>
    </row>
    <row r="4800" spans="1:16" ht="14.5">
      <c r="A4800" s="3" t="s">
        <v>257</v>
      </c>
      <c r="B4800" s="3" t="s">
        <v>2889</v>
      </c>
      <c r="C4800" s="46" t="s">
        <v>8541</v>
      </c>
      <c r="D4800" s="41" t="str">
        <f ca="1">IFERROR(__xludf.DUMMYFUNCTION("IFERROR(ARRAYFORMULA(REGEXEXTRACT(C4800,""^(?:https?:\/\/)?(?:[^@\n]+@)?(?:www\.)?([^:\/\n]+)"")),"""")"),"udg.org.uk")</f>
        <v>udg.org.uk</v>
      </c>
      <c r="E4800" s="26" t="str">
        <f ca="1">IFERROR(__xludf.DUMMYFUNCTION("""COMPUTED_VALUE"""),"New")</f>
        <v>New</v>
      </c>
      <c r="F4800" s="72">
        <v>55</v>
      </c>
      <c r="G4800" s="72">
        <v>2188</v>
      </c>
      <c r="P4800" s="26"/>
    </row>
    <row r="4801" spans="1:16" ht="14.5">
      <c r="A4801" s="3" t="s">
        <v>257</v>
      </c>
      <c r="B4801" s="3" t="s">
        <v>2889</v>
      </c>
      <c r="C4801" s="46" t="s">
        <v>8542</v>
      </c>
      <c r="D4801" s="41" t="str">
        <f ca="1">IFERROR(__xludf.DUMMYFUNCTION("IFERROR(ARRAYFORMULA(REGEXEXTRACT(C4801,""^(?:https?:\/\/)?(?:[^@\n]+@)?(?:www\.)?([^:\/\n]+)"")),"""")"),"land.tech")</f>
        <v>land.tech</v>
      </c>
      <c r="E4801" s="26" t="str">
        <f ca="1">IFERROR(__xludf.DUMMYFUNCTION("""COMPUTED_VALUE"""),"New")</f>
        <v>New</v>
      </c>
      <c r="F4801" s="72">
        <v>44</v>
      </c>
      <c r="G4801" s="72">
        <v>4705</v>
      </c>
      <c r="H4801" s="27" t="s">
        <v>8543</v>
      </c>
      <c r="I4801" s="91" t="s">
        <v>8544</v>
      </c>
      <c r="J4801" s="27" t="s">
        <v>8545</v>
      </c>
      <c r="K4801" s="27" t="s">
        <v>5375</v>
      </c>
      <c r="L4801" s="112"/>
      <c r="M4801" s="27" t="s">
        <v>7390</v>
      </c>
      <c r="N4801" s="70">
        <v>46092</v>
      </c>
      <c r="P4801" s="26"/>
    </row>
    <row r="4802" spans="1:16" ht="14.5">
      <c r="A4802" s="3" t="s">
        <v>257</v>
      </c>
      <c r="B4802" s="3" t="s">
        <v>2889</v>
      </c>
      <c r="C4802" s="46" t="s">
        <v>8546</v>
      </c>
      <c r="D4802" s="41" t="str">
        <f ca="1">IFERROR(__xludf.DUMMYFUNCTION("IFERROR(ARRAYFORMULA(REGEXEXTRACT(C4802,""^(?:https?:\/\/)?(?:[^@\n]+@)?(?:www\.)?([^:\/\n]+)"")),"""")"),"ihbc.org.uk")</f>
        <v>ihbc.org.uk</v>
      </c>
      <c r="E4802" s="26" t="str">
        <f ca="1">IFERROR(__xludf.DUMMYFUNCTION("""COMPUTED_VALUE"""),"New")</f>
        <v>New</v>
      </c>
      <c r="F4802" s="72">
        <v>62</v>
      </c>
      <c r="G4802" s="72">
        <v>1355</v>
      </c>
      <c r="P4802" s="26"/>
    </row>
    <row r="4803" spans="1:16" ht="14.5">
      <c r="A4803" s="3" t="s">
        <v>257</v>
      </c>
      <c r="B4803" s="3" t="s">
        <v>2889</v>
      </c>
      <c r="C4803" s="46" t="s">
        <v>8547</v>
      </c>
      <c r="D4803" s="41" t="str">
        <f ca="1">IFERROR(__xludf.DUMMYFUNCTION("IFERROR(ARRAYFORMULA(REGEXEXTRACT(C4803,""^(?:https?:\/\/)?(?:[^@\n]+@)?(?:www\.)?([^:\/\n]+)"")),"""")"),"wired-gov.net")</f>
        <v>wired-gov.net</v>
      </c>
      <c r="E4803" s="26" t="str">
        <f ca="1">IFERROR(__xludf.DUMMYFUNCTION("""COMPUTED_VALUE"""),"New")</f>
        <v>New</v>
      </c>
      <c r="F4803" s="72">
        <v>60</v>
      </c>
      <c r="G4803" s="72">
        <v>4716</v>
      </c>
      <c r="I4803" s="27" t="s">
        <v>8548</v>
      </c>
      <c r="J4803" s="27" t="s">
        <v>8549</v>
      </c>
      <c r="K4803" s="27" t="s">
        <v>3772</v>
      </c>
      <c r="L4803" s="112"/>
      <c r="M4803" s="27" t="s">
        <v>7390</v>
      </c>
      <c r="N4803" s="70">
        <v>46092</v>
      </c>
      <c r="P4803" s="26"/>
    </row>
    <row r="4804" spans="1:16" ht="14.5">
      <c r="A4804" s="3" t="s">
        <v>257</v>
      </c>
      <c r="B4804" s="3" t="s">
        <v>2889</v>
      </c>
      <c r="C4804" s="46" t="s">
        <v>8550</v>
      </c>
      <c r="D4804" s="41" t="str">
        <f ca="1">IFERROR(__xludf.DUMMYFUNCTION("IFERROR(ARRAYFORMULA(REGEXEXTRACT(C4804,""^(?:https?:\/\/)?(?:[^@\n]+@)?(?:www\.)?([^:\/\n]+)"")),"""")"),"selectproperty.com")</f>
        <v>selectproperty.com</v>
      </c>
      <c r="E4804" s="26" t="str">
        <f ca="1">IFERROR(__xludf.DUMMYFUNCTION("""COMPUTED_VALUE"""),"New")</f>
        <v>New</v>
      </c>
      <c r="F4804" s="72">
        <v>52</v>
      </c>
      <c r="G4804" s="72">
        <v>1072</v>
      </c>
      <c r="H4804" s="27" t="s">
        <v>8551</v>
      </c>
      <c r="I4804" s="27" t="s">
        <v>8552</v>
      </c>
      <c r="J4804" s="27" t="s">
        <v>8553</v>
      </c>
      <c r="K4804" s="27" t="s">
        <v>8554</v>
      </c>
      <c r="L4804" s="112"/>
      <c r="M4804" s="27" t="s">
        <v>7390</v>
      </c>
      <c r="N4804" s="70">
        <v>46092</v>
      </c>
      <c r="P4804" s="26"/>
    </row>
    <row r="4805" spans="1:16" ht="14.5">
      <c r="A4805" s="3" t="s">
        <v>257</v>
      </c>
      <c r="B4805" s="3" t="s">
        <v>2889</v>
      </c>
      <c r="C4805" s="46" t="s">
        <v>8555</v>
      </c>
      <c r="D4805" s="41" t="str">
        <f ca="1">IFERROR(__xludf.DUMMYFUNCTION("IFERROR(ARRAYFORMULA(REGEXEXTRACT(C4805,""^(?:https?:\/\/)?(?:[^@\n]+@)?(?:www\.)?([^:\/\n]+)"")),"""")"),"rtpi.org.uk")</f>
        <v>rtpi.org.uk</v>
      </c>
      <c r="E4805" s="26" t="str">
        <f ca="1">IFERROR(__xludf.DUMMYFUNCTION("""COMPUTED_VALUE"""),"New")</f>
        <v>New</v>
      </c>
      <c r="F4805" s="72">
        <v>74</v>
      </c>
      <c r="G4805" s="72">
        <v>5609</v>
      </c>
      <c r="P4805" s="26"/>
    </row>
    <row r="4806" spans="1:16" ht="14.5">
      <c r="A4806" s="3" t="s">
        <v>257</v>
      </c>
      <c r="B4806" s="3" t="s">
        <v>2889</v>
      </c>
      <c r="C4806" s="46" t="s">
        <v>8556</v>
      </c>
      <c r="D4806" s="41" t="str">
        <f ca="1">IFERROR(__xludf.DUMMYFUNCTION("IFERROR(ARRAYFORMULA(REGEXEXTRACT(C4806,""^(?:https?:\/\/)?(?:[^@\n]+@)?(?:www\.)?([^:\/\n]+)"")),"""")"),"bbc.co.uk")</f>
        <v>bbc.co.uk</v>
      </c>
      <c r="E4806" s="26" t="str">
        <f ca="1">IFERROR(__xludf.DUMMYFUNCTION("""COMPUTED_VALUE"""),"New")</f>
        <v>New</v>
      </c>
      <c r="F4806" s="72">
        <v>93</v>
      </c>
      <c r="G4806" s="74">
        <v>129000000</v>
      </c>
      <c r="H4806" s="27" t="s">
        <v>8557</v>
      </c>
      <c r="I4806" s="27" t="s">
        <v>8558</v>
      </c>
      <c r="J4806" s="27" t="s">
        <v>8559</v>
      </c>
      <c r="K4806" s="27" t="s">
        <v>3772</v>
      </c>
      <c r="L4806" s="112"/>
      <c r="M4806" s="27" t="s">
        <v>7390</v>
      </c>
      <c r="N4806" s="70">
        <v>46092</v>
      </c>
      <c r="P4806" s="26"/>
    </row>
    <row r="4807" spans="1:16" ht="14.5">
      <c r="A4807" s="3" t="s">
        <v>257</v>
      </c>
      <c r="B4807" s="3" t="s">
        <v>2889</v>
      </c>
      <c r="C4807" s="46" t="s">
        <v>8560</v>
      </c>
      <c r="D4807" s="41" t="str">
        <f ca="1">IFERROR(__xludf.DUMMYFUNCTION("IFERROR(ARRAYFORMULA(REGEXEXTRACT(C4807,""^(?:https?:\/\/)?(?:[^@\n]+@)?(?:www\.)?([^:\/\n]+)"")),"""")"),"constructionwave.co.uk")</f>
        <v>constructionwave.co.uk</v>
      </c>
      <c r="E4807" s="26" t="str">
        <f ca="1">IFERROR(__xludf.DUMMYFUNCTION("""COMPUTED_VALUE"""),"New")</f>
        <v>New</v>
      </c>
      <c r="F4807" s="72">
        <v>37</v>
      </c>
      <c r="G4807" s="72">
        <v>1726</v>
      </c>
      <c r="H4807" s="27" t="s">
        <v>8561</v>
      </c>
      <c r="I4807" s="27" t="s">
        <v>8562</v>
      </c>
      <c r="J4807" s="27" t="s">
        <v>8563</v>
      </c>
      <c r="K4807" s="27" t="s">
        <v>3772</v>
      </c>
      <c r="L4807" s="112"/>
      <c r="M4807" s="27" t="s">
        <v>7390</v>
      </c>
      <c r="N4807" s="70">
        <v>46092</v>
      </c>
      <c r="P4807" s="26"/>
    </row>
    <row r="4808" spans="1:16" ht="14.5">
      <c r="A4808" s="3" t="s">
        <v>257</v>
      </c>
      <c r="B4808" s="3" t="s">
        <v>2889</v>
      </c>
      <c r="C4808" s="46" t="s">
        <v>8564</v>
      </c>
      <c r="D4808" s="41" t="str">
        <f ca="1">IFERROR(__xludf.DUMMYFUNCTION("IFERROR(ARRAYFORMULA(REGEXEXTRACT(C4808,""^(?:https?:\/\/)?(?:[^@\n]+@)?(?:www\.)?([^:\/\n]+)"")),"""")"),"localgovernmentlawyer.co.uk")</f>
        <v>localgovernmentlawyer.co.uk</v>
      </c>
      <c r="E4808" s="26" t="str">
        <f ca="1">IFERROR(__xludf.DUMMYFUNCTION("""COMPUTED_VALUE"""),"New")</f>
        <v>New</v>
      </c>
      <c r="F4808" s="72">
        <v>61</v>
      </c>
      <c r="G4808" s="72">
        <v>6427</v>
      </c>
      <c r="P4808" s="26"/>
    </row>
    <row r="4809" spans="1:16" ht="14.5">
      <c r="A4809" s="3" t="s">
        <v>257</v>
      </c>
      <c r="B4809" s="3" t="s">
        <v>2889</v>
      </c>
      <c r="C4809" s="46" t="s">
        <v>8565</v>
      </c>
      <c r="D4809" s="41" t="str">
        <f ca="1">IFERROR(__xludf.DUMMYFUNCTION("IFERROR(ARRAYFORMULA(REGEXEXTRACT(C4809,""^(?:https?:\/\/)?(?:[^@\n]+@)?(?:www\.)?([^:\/\n]+)"")),"""")"),"yorkshirepost.co.uk")</f>
        <v>yorkshirepost.co.uk</v>
      </c>
      <c r="E4809" s="26" t="str">
        <f ca="1">IFERROR(__xludf.DUMMYFUNCTION("""COMPUTED_VALUE"""),"New")</f>
        <v>New</v>
      </c>
      <c r="F4809" s="72">
        <v>78</v>
      </c>
      <c r="G4809" s="72">
        <v>83526</v>
      </c>
      <c r="H4809" s="27" t="s">
        <v>8566</v>
      </c>
      <c r="I4809" s="27" t="s">
        <v>8567</v>
      </c>
      <c r="J4809" s="27" t="s">
        <v>8568</v>
      </c>
      <c r="K4809" s="27" t="s">
        <v>3772</v>
      </c>
      <c r="L4809" s="112"/>
      <c r="M4809" s="27" t="s">
        <v>7390</v>
      </c>
      <c r="N4809" s="70">
        <v>46092</v>
      </c>
      <c r="P4809" s="26"/>
    </row>
    <row r="4810" spans="1:16" ht="14.5">
      <c r="A4810" s="3" t="s">
        <v>257</v>
      </c>
      <c r="B4810" s="3" t="s">
        <v>2889</v>
      </c>
      <c r="C4810" s="46" t="s">
        <v>8569</v>
      </c>
      <c r="D4810" s="41" t="str">
        <f ca="1">IFERROR(__xludf.DUMMYFUNCTION("IFERROR(ARRAYFORMULA(REGEXEXTRACT(C4810,""^(?:https?:\/\/)?(?:[^@\n]+@)?(?:www\.)?([^:\/\n]+)"")),"""")"),"feeds.bbci.co.uk")</f>
        <v>feeds.bbci.co.uk</v>
      </c>
      <c r="E4810" s="26" t="str">
        <f ca="1">IFERROR(__xludf.DUMMYFUNCTION("""COMPUTED_VALUE"""),"New")</f>
        <v>New</v>
      </c>
      <c r="F4810" s="72">
        <v>78</v>
      </c>
      <c r="G4810" s="72">
        <v>12291</v>
      </c>
      <c r="P4810" s="26"/>
    </row>
    <row r="4811" spans="1:16" ht="14.5">
      <c r="A4811" s="3" t="s">
        <v>257</v>
      </c>
      <c r="B4811" s="3" t="s">
        <v>2889</v>
      </c>
      <c r="C4811" s="46" t="s">
        <v>8570</v>
      </c>
      <c r="D4811" s="41" t="str">
        <f ca="1">IFERROR(__xludf.DUMMYFUNCTION("IFERROR(ARRAYFORMULA(REGEXEXTRACT(C4811,""^(?:https?:\/\/)?(?:[^@\n]+@)?(?:www\.)?([^:\/\n]+)"")),"""")"),"bbc.com")</f>
        <v>bbc.com</v>
      </c>
      <c r="E4811" s="26" t="str">
        <f ca="1">IFERROR(__xludf.DUMMYFUNCTION("""COMPUTED_VALUE"""),"New")</f>
        <v>New</v>
      </c>
      <c r="F4811" s="72">
        <v>93</v>
      </c>
      <c r="G4811" s="72">
        <v>97588968</v>
      </c>
      <c r="P4811" s="26"/>
    </row>
    <row r="4812" spans="1:16" ht="14.5">
      <c r="A4812" s="3" t="s">
        <v>257</v>
      </c>
      <c r="B4812" s="3" t="s">
        <v>2889</v>
      </c>
      <c r="C4812" s="46" t="s">
        <v>8571</v>
      </c>
      <c r="D4812" s="41" t="str">
        <f ca="1">IFERROR(__xludf.DUMMYFUNCTION("IFERROR(ARRAYFORMULA(REGEXEXTRACT(C4812,""^(?:https?:\/\/)?(?:[^@\n]+@)?(?:www\.)?([^:\/\n]+)"")),"""")"),"brownejacobson.com")</f>
        <v>brownejacobson.com</v>
      </c>
      <c r="E4812" s="26" t="str">
        <f ca="1">IFERROR(__xludf.DUMMYFUNCTION("""COMPUTED_VALUE"""),"New")</f>
        <v>New</v>
      </c>
      <c r="F4812" s="72">
        <v>60</v>
      </c>
      <c r="G4812" s="72">
        <v>11874</v>
      </c>
      <c r="H4812" s="27" t="s">
        <v>8572</v>
      </c>
      <c r="I4812" s="27" t="s">
        <v>8573</v>
      </c>
      <c r="J4812" s="27" t="s">
        <v>8574</v>
      </c>
      <c r="K4812" s="27" t="s">
        <v>3756</v>
      </c>
      <c r="L4812" s="112"/>
      <c r="M4812" s="27" t="s">
        <v>7390</v>
      </c>
      <c r="N4812" s="70">
        <v>46092</v>
      </c>
      <c r="P4812" s="26"/>
    </row>
    <row r="4813" spans="1:16" ht="14.5">
      <c r="A4813" s="3" t="s">
        <v>257</v>
      </c>
      <c r="B4813" s="3" t="s">
        <v>2889</v>
      </c>
      <c r="C4813" s="46" t="s">
        <v>8575</v>
      </c>
      <c r="D4813" s="41" t="str">
        <f ca="1">IFERROR(__xludf.DUMMYFUNCTION("IFERROR(ARRAYFORMULA(REGEXEXTRACT(C4813,""^(?:https?:\/\/)?(?:[^@\n]+@)?(?:www\.)?([^:\/\n]+)"")),"""")"),"leicestermercury.co.uk")</f>
        <v>leicestermercury.co.uk</v>
      </c>
      <c r="E4813" s="26" t="str">
        <f ca="1">IFERROR(__xludf.DUMMYFUNCTION("""COMPUTED_VALUE"""),"New")</f>
        <v>New</v>
      </c>
      <c r="F4813" s="72">
        <v>74</v>
      </c>
      <c r="G4813" s="72">
        <v>88005</v>
      </c>
      <c r="H4813" s="27" t="s">
        <v>8576</v>
      </c>
      <c r="J4813" s="27" t="s">
        <v>8577</v>
      </c>
      <c r="K4813" s="27" t="s">
        <v>3772</v>
      </c>
      <c r="L4813" s="112"/>
      <c r="M4813" s="27" t="s">
        <v>7390</v>
      </c>
      <c r="N4813" s="70">
        <v>46092</v>
      </c>
      <c r="P4813" s="26"/>
    </row>
    <row r="4814" spans="1:16" ht="14.5">
      <c r="A4814" s="3" t="s">
        <v>257</v>
      </c>
      <c r="B4814" s="3" t="s">
        <v>2889</v>
      </c>
      <c r="C4814" s="46" t="s">
        <v>8578</v>
      </c>
      <c r="D4814" s="41" t="str">
        <f ca="1">IFERROR(__xludf.DUMMYFUNCTION("IFERROR(ARRAYFORMULA(REGEXEXTRACT(C4814,""^(?:https?:\/\/)?(?:[^@\n]+@)?(?:www\.)?([^:\/\n]+)"")),"""")"),"hbf.co.uk")</f>
        <v>hbf.co.uk</v>
      </c>
      <c r="E4814" s="26" t="str">
        <f ca="1">IFERROR(__xludf.DUMMYFUNCTION("""COMPUTED_VALUE"""),"New")</f>
        <v>New</v>
      </c>
      <c r="F4814" s="72">
        <v>72</v>
      </c>
      <c r="G4814" s="72">
        <v>3246</v>
      </c>
      <c r="H4814" s="27" t="s">
        <v>8579</v>
      </c>
      <c r="I4814" s="27" t="s">
        <v>8580</v>
      </c>
      <c r="J4814" s="27" t="s">
        <v>8581</v>
      </c>
      <c r="K4814" s="27" t="s">
        <v>3772</v>
      </c>
      <c r="L4814" s="112"/>
      <c r="M4814" s="27" t="s">
        <v>7390</v>
      </c>
      <c r="N4814" s="70">
        <v>46092</v>
      </c>
      <c r="P4814" s="26"/>
    </row>
    <row r="4815" spans="1:16" ht="14.5" hidden="1">
      <c r="A4815" s="3" t="s">
        <v>257</v>
      </c>
      <c r="B4815" s="3" t="s">
        <v>2889</v>
      </c>
      <c r="C4815" s="46" t="s">
        <v>8582</v>
      </c>
      <c r="D4815" s="41" t="str">
        <f ca="1">IFERROR(__xludf.DUMMYFUNCTION("IFERROR(ARRAYFORMULA(REGEXEXTRACT(C4815,""^(?:https?:\/\/)?(?:[^@\n]+@)?(?:www\.)?([^:\/\n]+)"")),"""")"),"inkl.com")</f>
        <v>inkl.com</v>
      </c>
      <c r="E4815" s="26" t="str">
        <f ca="1">IFERROR(__xludf.DUMMYFUNCTION("""COMPUTED_VALUE"""),"Already Exists")</f>
        <v>Already Exists</v>
      </c>
      <c r="F4815" s="72">
        <v>71</v>
      </c>
      <c r="G4815" s="72">
        <v>111027</v>
      </c>
    </row>
    <row r="4816" spans="1:16" ht="14.5" hidden="1">
      <c r="A4816" s="3" t="s">
        <v>257</v>
      </c>
      <c r="B4816" s="3" t="s">
        <v>2889</v>
      </c>
      <c r="C4816" s="46" t="s">
        <v>8583</v>
      </c>
      <c r="D4816" s="41" t="str">
        <f ca="1">IFERROR(__xludf.DUMMYFUNCTION("IFERROR(ARRAYFORMULA(REGEXEXTRACT(C4816,""^(?:https?:\/\/)?(?:[^@\n]+@)?(?:www\.)?([^:\/\n]+)"")),"""")"),"propertywire.com")</f>
        <v>propertywire.com</v>
      </c>
      <c r="E4816" s="26" t="str">
        <f ca="1">IFERROR(__xludf.DUMMYFUNCTION("""COMPUTED_VALUE"""),"Already Exists")</f>
        <v>Already Exists</v>
      </c>
      <c r="F4816" s="72">
        <v>67</v>
      </c>
      <c r="G4816" s="72">
        <v>1083</v>
      </c>
    </row>
    <row r="4817" spans="1:16" ht="14.5">
      <c r="A4817" s="3" t="s">
        <v>257</v>
      </c>
      <c r="B4817" s="57" t="s">
        <v>2888</v>
      </c>
      <c r="C4817" s="46" t="s">
        <v>8584</v>
      </c>
      <c r="D4817" s="41" t="str">
        <f ca="1">IFERROR(__xludf.DUMMYFUNCTION("IFERROR(ARRAYFORMULA(REGEXEXTRACT(C4817,""^(?:https?:\/\/)?(?:[^@\n]+@)?(?:www\.)?([^:\/\n]+)"")),"""")"),"fleximize.com")</f>
        <v>fleximize.com</v>
      </c>
      <c r="E4817" s="26" t="str">
        <f ca="1">IFERROR(__xludf.DUMMYFUNCTION("""COMPUTED_VALUE"""),"New")</f>
        <v>New</v>
      </c>
      <c r="F4817" s="72">
        <v>63</v>
      </c>
      <c r="G4817" s="72">
        <v>23247</v>
      </c>
      <c r="H4817" s="27" t="s">
        <v>8585</v>
      </c>
      <c r="I4817" s="27" t="s">
        <v>8586</v>
      </c>
      <c r="J4817" s="27" t="s">
        <v>8587</v>
      </c>
      <c r="K4817" s="27" t="s">
        <v>3829</v>
      </c>
      <c r="L4817" s="112"/>
      <c r="M4817" s="27" t="s">
        <v>7390</v>
      </c>
      <c r="N4817" s="70">
        <v>46092</v>
      </c>
      <c r="P4817" s="26"/>
    </row>
    <row r="4818" spans="1:16" ht="14.5">
      <c r="A4818" s="3" t="s">
        <v>257</v>
      </c>
      <c r="B4818" s="3" t="s">
        <v>2888</v>
      </c>
      <c r="C4818" s="46" t="s">
        <v>8588</v>
      </c>
      <c r="D4818" s="41" t="str">
        <f ca="1">IFERROR(__xludf.DUMMYFUNCTION("IFERROR(ARRAYFORMULA(REGEXEXTRACT(C4818,""^(?:https?:\/\/)?(?:[^@\n]+@)?(?:www\.)?([^:\/\n]+)"")),"""")"),"oxfordcity.co.uk")</f>
        <v>oxfordcity.co.uk</v>
      </c>
      <c r="E4818" s="26" t="str">
        <f ca="1">IFERROR(__xludf.DUMMYFUNCTION("""COMPUTED_VALUE"""),"New")</f>
        <v>New</v>
      </c>
      <c r="F4818" s="72">
        <v>54</v>
      </c>
      <c r="G4818" s="72">
        <v>9589</v>
      </c>
      <c r="P4818" s="26"/>
    </row>
    <row r="4819" spans="1:16" ht="14.5">
      <c r="A4819" s="3" t="s">
        <v>257</v>
      </c>
      <c r="B4819" s="3" t="s">
        <v>2888</v>
      </c>
      <c r="C4819" s="46" t="s">
        <v>8589</v>
      </c>
      <c r="D4819" s="41" t="str">
        <f ca="1">IFERROR(__xludf.DUMMYFUNCTION("IFERROR(ARRAYFORMULA(REGEXEXTRACT(C4819,""^(?:https?:\/\/)?(?:[^@\n]+@)?(?:www\.)?([^:\/\n]+)"")),"""")"),"taxfyle.com")</f>
        <v>taxfyle.com</v>
      </c>
      <c r="E4819" s="26" t="str">
        <f ca="1">IFERROR(__xludf.DUMMYFUNCTION("""COMPUTED_VALUE"""),"New")</f>
        <v>New</v>
      </c>
      <c r="F4819" s="72">
        <v>61</v>
      </c>
      <c r="G4819" s="72">
        <v>37975</v>
      </c>
      <c r="H4819" s="27" t="s">
        <v>8590</v>
      </c>
      <c r="I4819" s="27" t="s">
        <v>8591</v>
      </c>
      <c r="J4819" s="27" t="s">
        <v>8592</v>
      </c>
      <c r="K4819" s="27" t="s">
        <v>3829</v>
      </c>
      <c r="L4819" s="112"/>
      <c r="M4819" s="27" t="s">
        <v>7390</v>
      </c>
      <c r="N4819" s="70">
        <v>46092</v>
      </c>
      <c r="P4819" s="26"/>
    </row>
    <row r="4820" spans="1:16" ht="14.5">
      <c r="A4820" s="3" t="s">
        <v>257</v>
      </c>
      <c r="B4820" s="3" t="s">
        <v>2888</v>
      </c>
      <c r="C4820" s="46" t="s">
        <v>8593</v>
      </c>
      <c r="D4820" s="41" t="str">
        <f ca="1">IFERROR(__xludf.DUMMYFUNCTION("IFERROR(ARRAYFORMULA(REGEXEXTRACT(C4820,""^(?:https?:\/\/)?(?:[^@\n]+@)?(?:www\.)?([^:\/\n]+)"")),"""")"),"business.clickdo.co.uk")</f>
        <v>business.clickdo.co.uk</v>
      </c>
      <c r="E4820" s="26" t="str">
        <f ca="1">IFERROR(__xludf.DUMMYFUNCTION("""COMPUTED_VALUE"""),"New")</f>
        <v>New</v>
      </c>
      <c r="F4820" s="72">
        <v>55</v>
      </c>
      <c r="G4820" s="72">
        <v>4013</v>
      </c>
      <c r="P4820" s="26"/>
    </row>
    <row r="4821" spans="1:16" ht="14.5">
      <c r="A4821" s="3" t="s">
        <v>257</v>
      </c>
      <c r="B4821" s="3" t="s">
        <v>2888</v>
      </c>
      <c r="C4821" s="46" t="s">
        <v>8594</v>
      </c>
      <c r="D4821" s="41" t="str">
        <f ca="1">IFERROR(__xludf.DUMMYFUNCTION("IFERROR(ARRAYFORMULA(REGEXEXTRACT(C4821,""^(?:https?:\/\/)?(?:[^@\n]+@)?(?:www\.)?([^:\/\n]+)"")),"""")"),"independentoxford.com")</f>
        <v>independentoxford.com</v>
      </c>
      <c r="E4821" s="26" t="str">
        <f ca="1">IFERROR(__xludf.DUMMYFUNCTION("""COMPUTED_VALUE"""),"New")</f>
        <v>New</v>
      </c>
      <c r="F4821" s="72">
        <v>47</v>
      </c>
      <c r="G4821" s="72">
        <v>1789</v>
      </c>
      <c r="H4821" s="27" t="s">
        <v>8595</v>
      </c>
      <c r="I4821" s="27" t="s">
        <v>8596</v>
      </c>
      <c r="J4821" s="27" t="s">
        <v>8597</v>
      </c>
      <c r="K4821" s="27" t="s">
        <v>3756</v>
      </c>
      <c r="L4821" s="112"/>
      <c r="M4821" s="27" t="s">
        <v>8598</v>
      </c>
      <c r="N4821" s="70">
        <v>46092</v>
      </c>
      <c r="P4821" s="26"/>
    </row>
    <row r="4822" spans="1:16" ht="14.5">
      <c r="A4822" s="3" t="s">
        <v>257</v>
      </c>
      <c r="B4822" s="3" t="s">
        <v>2888</v>
      </c>
      <c r="C4822" s="46" t="s">
        <v>8599</v>
      </c>
      <c r="D4822" s="41" t="str">
        <f ca="1">IFERROR(__xludf.DUMMYFUNCTION("IFERROR(ARRAYFORMULA(REGEXEXTRACT(C4822,""^(?:https?:\/\/)?(?:[^@\n]+@)?(?:www\.)?([^:\/\n]+)"")),"""")"),"sophisticatedcloud.com")</f>
        <v>sophisticatedcloud.com</v>
      </c>
      <c r="E4822" s="26" t="str">
        <f ca="1">IFERROR(__xludf.DUMMYFUNCTION("""COMPUTED_VALUE"""),"New")</f>
        <v>New</v>
      </c>
      <c r="F4822" s="72">
        <v>62</v>
      </c>
      <c r="G4822" s="72">
        <v>2797</v>
      </c>
      <c r="P4822" s="26"/>
    </row>
    <row r="4823" spans="1:16" ht="14.5">
      <c r="A4823" s="3" t="s">
        <v>257</v>
      </c>
      <c r="B4823" s="3" t="s">
        <v>2888</v>
      </c>
      <c r="C4823" s="46" t="s">
        <v>8600</v>
      </c>
      <c r="D4823" s="41" t="str">
        <f ca="1">IFERROR(__xludf.DUMMYFUNCTION("IFERROR(ARRAYFORMULA(REGEXEXTRACT(C4823,""^(?:https?:\/\/)?(?:[^@\n]+@)?(?:www\.)?([^:\/\n]+)"")),"""")"),"find.icaew.com")</f>
        <v>find.icaew.com</v>
      </c>
      <c r="E4823" s="26" t="str">
        <f ca="1">IFERROR(__xludf.DUMMYFUNCTION("""COMPUTED_VALUE"""),"New")</f>
        <v>New</v>
      </c>
      <c r="F4823" s="72">
        <v>83</v>
      </c>
      <c r="G4823" s="72">
        <v>145652</v>
      </c>
      <c r="P4823" s="26"/>
    </row>
    <row r="4824" spans="1:16" ht="14.5">
      <c r="A4824" s="3" t="s">
        <v>257</v>
      </c>
      <c r="B4824" s="3" t="s">
        <v>2888</v>
      </c>
      <c r="C4824" s="46" t="s">
        <v>8601</v>
      </c>
      <c r="D4824" s="41" t="str">
        <f ca="1">IFERROR(__xludf.DUMMYFUNCTION("IFERROR(ARRAYFORMULA(REGEXEXTRACT(C4824,""^(?:https?:\/\/)?(?:[^@\n]+@)?(?:www\.)?([^:\/\n]+)"")),"""")"),"iuk-business-connect.org.uk")</f>
        <v>iuk-business-connect.org.uk</v>
      </c>
      <c r="E4824" s="26" t="str">
        <f ca="1">IFERROR(__xludf.DUMMYFUNCTION("""COMPUTED_VALUE"""),"New")</f>
        <v>New</v>
      </c>
      <c r="F4824" s="72">
        <v>76</v>
      </c>
      <c r="G4824" s="72">
        <v>7332</v>
      </c>
      <c r="P4824" s="26"/>
    </row>
    <row r="4825" spans="1:16" ht="14.5">
      <c r="A4825" s="3" t="s">
        <v>257</v>
      </c>
      <c r="B4825" s="3" t="s">
        <v>2888</v>
      </c>
      <c r="C4825" s="46" t="s">
        <v>8602</v>
      </c>
      <c r="D4825" s="41" t="str">
        <f ca="1">IFERROR(__xludf.DUMMYFUNCTION("IFERROR(ARRAYFORMULA(REGEXEXTRACT(C4825,""^(?:https?:\/\/)?(?:[^@\n]+@)?(?:www\.)?([^:\/\n]+)"")),"""")"),"speedtest.fastbase.com")</f>
        <v>speedtest.fastbase.com</v>
      </c>
      <c r="E4825" s="26" t="str">
        <f ca="1">IFERROR(__xludf.DUMMYFUNCTION("""COMPUTED_VALUE"""),"New")</f>
        <v>New</v>
      </c>
      <c r="F4825" s="72">
        <v>46</v>
      </c>
      <c r="G4825" s="72">
        <v>1030</v>
      </c>
      <c r="P4825" s="26"/>
    </row>
    <row r="4826" spans="1:16" ht="14.5">
      <c r="A4826" s="3" t="s">
        <v>257</v>
      </c>
      <c r="B4826" s="3" t="s">
        <v>2888</v>
      </c>
      <c r="C4826" s="46" t="s">
        <v>8603</v>
      </c>
      <c r="D4826" s="41" t="str">
        <f ca="1">IFERROR(__xludf.DUMMYFUNCTION("IFERROR(ARRAYFORMULA(REGEXEXTRACT(C4826,""^(?:https?:\/\/)?(?:[^@\n]+@)?(?:www\.)?([^:\/\n]+)"")),"""")"),"vatupdate.com")</f>
        <v>vatupdate.com</v>
      </c>
      <c r="E4826" s="26" t="str">
        <f ca="1">IFERROR(__xludf.DUMMYFUNCTION("""COMPUTED_VALUE"""),"New")</f>
        <v>New</v>
      </c>
      <c r="F4826" s="72">
        <v>56</v>
      </c>
      <c r="G4826" s="72">
        <v>4674</v>
      </c>
      <c r="J4826" s="27" t="s">
        <v>8604</v>
      </c>
      <c r="K4826" s="27" t="s">
        <v>3829</v>
      </c>
      <c r="L4826" s="112"/>
      <c r="M4826" s="27" t="s">
        <v>8598</v>
      </c>
      <c r="N4826" s="70">
        <v>46092</v>
      </c>
      <c r="P4826" s="26"/>
    </row>
    <row r="4827" spans="1:16" ht="14.5">
      <c r="A4827" s="3" t="s">
        <v>257</v>
      </c>
      <c r="B4827" s="3" t="s">
        <v>2888</v>
      </c>
      <c r="C4827" s="46" t="s">
        <v>8605</v>
      </c>
      <c r="D4827" s="41" t="str">
        <f ca="1">IFERROR(__xludf.DUMMYFUNCTION("IFERROR(ARRAYFORMULA(REGEXEXTRACT(C4827,""^(?:https?:\/\/)?(?:[^@\n]+@)?(?:www\.)?([^:\/\n]+)"")),"""")"),"castro.fm")</f>
        <v>castro.fm</v>
      </c>
      <c r="E4827" s="26" t="str">
        <f ca="1">IFERROR(__xludf.DUMMYFUNCTION("""COMPUTED_VALUE"""),"New")</f>
        <v>New</v>
      </c>
      <c r="F4827" s="72">
        <v>81</v>
      </c>
      <c r="G4827" s="72">
        <v>2704</v>
      </c>
      <c r="H4827" s="92" t="s">
        <v>8606</v>
      </c>
      <c r="I4827" s="27" t="s">
        <v>8607</v>
      </c>
      <c r="J4827" s="27" t="s">
        <v>8608</v>
      </c>
      <c r="K4827" s="27" t="s">
        <v>5375</v>
      </c>
      <c r="L4827" s="112"/>
      <c r="M4827" s="27" t="s">
        <v>8598</v>
      </c>
      <c r="N4827" s="70">
        <v>46092</v>
      </c>
      <c r="P4827" s="26"/>
    </row>
    <row r="4828" spans="1:16" ht="14.5">
      <c r="A4828" s="3" t="s">
        <v>257</v>
      </c>
      <c r="B4828" s="3" t="s">
        <v>2888</v>
      </c>
      <c r="C4828" s="46" t="s">
        <v>8609</v>
      </c>
      <c r="D4828" s="41" t="str">
        <f ca="1">IFERROR(__xludf.DUMMYFUNCTION("IFERROR(ARRAYFORMULA(REGEXEXTRACT(C4828,""^(?:https?:\/\/)?(?:[^@\n]+@)?(?:www\.)?([^:\/\n]+)"")),"""")"),"musictune43.bitbucket.io")</f>
        <v>musictune43.bitbucket.io</v>
      </c>
      <c r="E4828" s="26" t="str">
        <f ca="1">IFERROR(__xludf.DUMMYFUNCTION("""COMPUTED_VALUE"""),"New")</f>
        <v>New</v>
      </c>
      <c r="F4828" s="72">
        <v>78</v>
      </c>
      <c r="G4828" s="72">
        <v>640669</v>
      </c>
      <c r="P4828" s="26"/>
    </row>
    <row r="4829" spans="1:16" ht="14.5" hidden="1">
      <c r="A4829" s="3" t="s">
        <v>257</v>
      </c>
      <c r="B4829" s="3" t="s">
        <v>2888</v>
      </c>
      <c r="C4829" s="46" t="s">
        <v>8610</v>
      </c>
      <c r="D4829" s="41" t="str">
        <f ca="1">IFERROR(__xludf.DUMMYFUNCTION("IFERROR(ARRAYFORMULA(REGEXEXTRACT(C4829,""^(?:https?:\/\/)?(?:[^@\n]+@)?(?:www\.)?([^:\/\n]+)"")),"""")"),"inkl.com")</f>
        <v>inkl.com</v>
      </c>
      <c r="E4829" s="26" t="str">
        <f ca="1">IFERROR(__xludf.DUMMYFUNCTION("""COMPUTED_VALUE"""),"Already Exists")</f>
        <v>Already Exists</v>
      </c>
      <c r="F4829" s="72">
        <v>71</v>
      </c>
      <c r="G4829" s="72">
        <v>111027</v>
      </c>
    </row>
    <row r="4830" spans="1:16" ht="14.5" hidden="1">
      <c r="A4830" s="3" t="s">
        <v>257</v>
      </c>
      <c r="B4830" s="3" t="s">
        <v>2888</v>
      </c>
      <c r="C4830" s="46" t="s">
        <v>8611</v>
      </c>
      <c r="D4830" s="41" t="str">
        <f ca="1">IFERROR(__xludf.DUMMYFUNCTION("IFERROR(ARRAYFORMULA(REGEXEXTRACT(C4830,""^(?:https?:\/\/)?(?:[^@\n]+@)?(?:www\.)?([^:\/\n]+)"")),"""")"),"londondaily.news")</f>
        <v>londondaily.news</v>
      </c>
      <c r="E4830" s="26" t="str">
        <f ca="1">IFERROR(__xludf.DUMMYFUNCTION("""COMPUTED_VALUE"""),"Already Exists")</f>
        <v>Already Exists</v>
      </c>
      <c r="F4830" s="72">
        <v>73</v>
      </c>
      <c r="G4830" s="72">
        <v>4177</v>
      </c>
    </row>
    <row r="4831" spans="1:16" ht="14.5" hidden="1">
      <c r="A4831" s="3" t="s">
        <v>257</v>
      </c>
      <c r="B4831" s="3" t="s">
        <v>2888</v>
      </c>
      <c r="C4831" s="46" t="s">
        <v>8612</v>
      </c>
      <c r="D4831" s="41" t="str">
        <f ca="1">IFERROR(__xludf.DUMMYFUNCTION("IFERROR(ARRAYFORMULA(REGEXEXTRACT(C4831,""^(?:https?:\/\/)?(?:[^@\n]+@)?(?:www\.)?([^:\/\n]+)"")),"""")"),"entrepreneur.com")</f>
        <v>entrepreneur.com</v>
      </c>
      <c r="E4831" s="26" t="str">
        <f ca="1">IFERROR(__xludf.DUMMYFUNCTION("""COMPUTED_VALUE"""),"Already Exists")</f>
        <v>Already Exists</v>
      </c>
      <c r="F4831" s="72">
        <v>91</v>
      </c>
      <c r="G4831" s="72">
        <v>449853</v>
      </c>
    </row>
    <row r="4832" spans="1:16" ht="14.5">
      <c r="A4832" s="3" t="s">
        <v>257</v>
      </c>
      <c r="B4832" s="3" t="s">
        <v>2888</v>
      </c>
      <c r="C4832" s="46" t="s">
        <v>8613</v>
      </c>
      <c r="D4832" s="41" t="str">
        <f ca="1">IFERROR(__xludf.DUMMYFUNCTION("IFERROR(ARRAYFORMULA(REGEXEXTRACT(C4832,""^(?:https?:\/\/)?(?:[^@\n]+@)?(?:www\.)?([^:\/\n]+)"")),"""")"),"forums.contractoruk.com")</f>
        <v>forums.contractoruk.com</v>
      </c>
      <c r="E4832" s="26" t="str">
        <f ca="1">IFERROR(__xludf.DUMMYFUNCTION("""COMPUTED_VALUE"""),"New")</f>
        <v>New</v>
      </c>
      <c r="F4832" s="72">
        <v>61</v>
      </c>
      <c r="G4832" s="72">
        <v>31144</v>
      </c>
      <c r="P4832" s="26"/>
    </row>
    <row r="4833" spans="1:16" ht="14.5">
      <c r="A4833" s="3" t="s">
        <v>257</v>
      </c>
      <c r="B4833" s="3" t="s">
        <v>2888</v>
      </c>
      <c r="C4833" s="46" t="s">
        <v>8614</v>
      </c>
      <c r="D4833" s="41" t="str">
        <f ca="1">IFERROR(__xludf.DUMMYFUNCTION("IFERROR(ARRAYFORMULA(REGEXEXTRACT(C4833,""^(?:https?:\/\/)?(?:[^@\n]+@)?(?:www\.)?([^:\/\n]+)"")),"""")"),"listedin.co.uk")</f>
        <v>listedin.co.uk</v>
      </c>
      <c r="E4833" s="26" t="str">
        <f ca="1">IFERROR(__xludf.DUMMYFUNCTION("""COMPUTED_VALUE"""),"New")</f>
        <v>New</v>
      </c>
      <c r="F4833" s="72">
        <v>27</v>
      </c>
      <c r="G4833" s="72">
        <v>4949</v>
      </c>
      <c r="P4833" s="26"/>
    </row>
    <row r="4834" spans="1:16" ht="14.5">
      <c r="A4834" s="3" t="s">
        <v>257</v>
      </c>
      <c r="B4834" s="17" t="s">
        <v>2887</v>
      </c>
      <c r="C4834" s="46" t="s">
        <v>8615</v>
      </c>
      <c r="D4834" s="41" t="str">
        <f ca="1">IFERROR(__xludf.DUMMYFUNCTION("IFERROR(ARRAYFORMULA(REGEXEXTRACT(C4834,""^(?:https?:\/\/)?(?:[^@\n]+@)?(?:www\.)?([^:\/\n]+)"")),"""")"),"unilife.co.uk")</f>
        <v>unilife.co.uk</v>
      </c>
      <c r="E4834" s="26" t="str">
        <f ca="1">IFERROR(__xludf.DUMMYFUNCTION("""COMPUTED_VALUE"""),"New")</f>
        <v>New</v>
      </c>
      <c r="F4834" s="72">
        <v>26</v>
      </c>
      <c r="G4834" s="72">
        <v>2488</v>
      </c>
      <c r="H4834" s="27" t="s">
        <v>8616</v>
      </c>
      <c r="I4834" s="27" t="s">
        <v>8617</v>
      </c>
      <c r="J4834" s="27" t="s">
        <v>8618</v>
      </c>
      <c r="K4834" s="27" t="s">
        <v>3853</v>
      </c>
      <c r="L4834" s="112"/>
      <c r="M4834" s="27" t="s">
        <v>8598</v>
      </c>
      <c r="N4834" s="70">
        <v>46092</v>
      </c>
      <c r="P4834" s="26"/>
    </row>
    <row r="4835" spans="1:16" ht="14.5">
      <c r="A4835" s="3" t="s">
        <v>257</v>
      </c>
      <c r="B4835" s="12" t="s">
        <v>2887</v>
      </c>
      <c r="C4835" s="46" t="s">
        <v>8619</v>
      </c>
      <c r="D4835" s="41" t="str">
        <f ca="1">IFERROR(__xludf.DUMMYFUNCTION("IFERROR(ARRAYFORMULA(REGEXEXTRACT(C4835,""^(?:https?:\/\/)?(?:[^@\n]+@)?(?:www\.)?([^:\/\n]+)"")),"""")"),"luxurystudenthomes.co.uk")</f>
        <v>luxurystudenthomes.co.uk</v>
      </c>
      <c r="E4835" s="26" t="str">
        <f ca="1">IFERROR(__xludf.DUMMYFUNCTION("""COMPUTED_VALUE"""),"New")</f>
        <v>New</v>
      </c>
      <c r="F4835" s="72">
        <v>24</v>
      </c>
      <c r="G4835" s="72">
        <v>2244</v>
      </c>
      <c r="H4835" s="27" t="s">
        <v>8620</v>
      </c>
      <c r="J4835" s="27" t="s">
        <v>8621</v>
      </c>
      <c r="K4835" s="27" t="s">
        <v>3853</v>
      </c>
      <c r="L4835" s="112"/>
      <c r="M4835" s="27" t="s">
        <v>8598</v>
      </c>
      <c r="N4835" s="70">
        <v>46092</v>
      </c>
      <c r="P4835" s="26"/>
    </row>
    <row r="4836" spans="1:16" ht="14.5">
      <c r="A4836" s="3" t="s">
        <v>257</v>
      </c>
      <c r="B4836" s="12" t="s">
        <v>2887</v>
      </c>
      <c r="C4836" s="46" t="s">
        <v>8622</v>
      </c>
      <c r="D4836" s="41" t="str">
        <f ca="1">IFERROR(__xludf.DUMMYFUNCTION("IFERROR(ARRAYFORMULA(REGEXEXTRACT(C4836,""^(?:https?:\/\/)?(?:[^@\n]+@)?(?:www\.)?([^:\/\n]+)"")),"""")"),"axostudent.co.uk")</f>
        <v>axostudent.co.uk</v>
      </c>
      <c r="E4836" s="26" t="str">
        <f ca="1">IFERROR(__xludf.DUMMYFUNCTION("""COMPUTED_VALUE"""),"New")</f>
        <v>New</v>
      </c>
      <c r="F4836" s="72">
        <v>32</v>
      </c>
      <c r="G4836" s="72">
        <v>2985</v>
      </c>
      <c r="J4836" s="27" t="s">
        <v>8623</v>
      </c>
      <c r="K4836" s="27" t="s">
        <v>3853</v>
      </c>
      <c r="L4836" s="112"/>
      <c r="M4836" s="27" t="s">
        <v>8598</v>
      </c>
      <c r="N4836" s="70">
        <v>46092</v>
      </c>
      <c r="P4836" s="26"/>
    </row>
    <row r="4837" spans="1:16" ht="14.5">
      <c r="A4837" s="3" t="s">
        <v>257</v>
      </c>
      <c r="B4837" s="12" t="s">
        <v>2887</v>
      </c>
      <c r="C4837" s="46" t="s">
        <v>8624</v>
      </c>
      <c r="D4837" s="41" t="str">
        <f ca="1">IFERROR(__xludf.DUMMYFUNCTION("IFERROR(ARRAYFORMULA(REGEXEXTRACT(C4837,""^(?:https?:\/\/)?(?:[^@\n]+@)?(?:www\.)?([^:\/\n]+)"")),"""")"),"nicholashumphreys.com")</f>
        <v>nicholashumphreys.com</v>
      </c>
      <c r="E4837" s="26" t="str">
        <f ca="1">IFERROR(__xludf.DUMMYFUNCTION("""COMPUTED_VALUE"""),"New")</f>
        <v>New</v>
      </c>
      <c r="F4837" s="72">
        <v>25</v>
      </c>
      <c r="G4837" s="72">
        <v>11335</v>
      </c>
      <c r="J4837" s="27" t="s">
        <v>8625</v>
      </c>
      <c r="K4837" s="27" t="s">
        <v>3853</v>
      </c>
      <c r="L4837" s="112"/>
      <c r="M4837" s="27" t="s">
        <v>8598</v>
      </c>
      <c r="N4837" s="70">
        <v>46092</v>
      </c>
      <c r="P4837" s="26"/>
    </row>
    <row r="4838" spans="1:16" ht="14.5">
      <c r="A4838" s="3" t="s">
        <v>257</v>
      </c>
      <c r="B4838" s="12" t="s">
        <v>2887</v>
      </c>
      <c r="C4838" s="46" t="s">
        <v>8626</v>
      </c>
      <c r="D4838" s="41" t="str">
        <f ca="1">IFERROR(__xludf.DUMMYFUNCTION("IFERROR(ARRAYFORMULA(REGEXEXTRACT(C4838,""^(?:https?:\/\/)?(?:[^@\n]+@)?(?:www\.)?([^:\/\n]+)"")),"""")"),"brighton.ac.uk")</f>
        <v>brighton.ac.uk</v>
      </c>
      <c r="E4838" s="26" t="str">
        <f ca="1">IFERROR(__xludf.DUMMYFUNCTION("""COMPUTED_VALUE"""),"New")</f>
        <v>New</v>
      </c>
      <c r="F4838" s="72">
        <v>78</v>
      </c>
      <c r="G4838" s="72">
        <v>120762</v>
      </c>
      <c r="J4838" s="27" t="s">
        <v>8627</v>
      </c>
      <c r="K4838" s="27" t="s">
        <v>3853</v>
      </c>
      <c r="L4838" s="112"/>
      <c r="M4838" s="27" t="s">
        <v>8598</v>
      </c>
      <c r="N4838" s="70">
        <v>46092</v>
      </c>
      <c r="P4838" s="26"/>
    </row>
    <row r="4839" spans="1:16" ht="14.5">
      <c r="A4839" s="3" t="s">
        <v>257</v>
      </c>
      <c r="B4839" s="12" t="s">
        <v>2887</v>
      </c>
      <c r="C4839" s="46" t="s">
        <v>8628</v>
      </c>
      <c r="D4839" s="41" t="str">
        <f ca="1">IFERROR(__xludf.DUMMYFUNCTION("IFERROR(ARRAYFORMULA(REGEXEXTRACT(C4839,""^(?:https?:\/\/)?(?:[^@\n]+@)?(?:www\.)?([^:\/\n]+)"")),"""")"),"almerostudent.com")</f>
        <v>almerostudent.com</v>
      </c>
      <c r="E4839" s="26" t="str">
        <f ca="1">IFERROR(__xludf.DUMMYFUNCTION("""COMPUTED_VALUE"""),"New")</f>
        <v>New</v>
      </c>
      <c r="F4839" s="72">
        <v>24</v>
      </c>
      <c r="G4839" s="72">
        <v>1781</v>
      </c>
      <c r="J4839" s="27" t="s">
        <v>8629</v>
      </c>
      <c r="K4839" s="27" t="s">
        <v>3853</v>
      </c>
      <c r="L4839" s="112"/>
      <c r="M4839" s="27" t="s">
        <v>8598</v>
      </c>
      <c r="N4839" s="70">
        <v>46092</v>
      </c>
      <c r="P4839" s="26"/>
    </row>
    <row r="4840" spans="1:16" ht="14.5">
      <c r="A4840" s="3" t="s">
        <v>257</v>
      </c>
      <c r="B4840" s="12" t="s">
        <v>2887</v>
      </c>
      <c r="C4840" s="46" t="s">
        <v>8630</v>
      </c>
      <c r="D4840" s="41" t="str">
        <f ca="1">IFERROR(__xludf.DUMMYFUNCTION("IFERROR(ARRAYFORMULA(REGEXEXTRACT(C4840,""^(?:https?:\/\/)?(?:[^@\n]+@)?(?:www\.)?([^:\/\n]+)"")),"""")"),"knightknox.com")</f>
        <v>knightknox.com</v>
      </c>
      <c r="E4840" s="26" t="str">
        <f ca="1">IFERROR(__xludf.DUMMYFUNCTION("""COMPUTED_VALUE"""),"New")</f>
        <v>New</v>
      </c>
      <c r="F4840" s="72">
        <v>31</v>
      </c>
      <c r="G4840" s="72">
        <v>2323</v>
      </c>
      <c r="J4840" s="27" t="s">
        <v>8631</v>
      </c>
      <c r="K4840" s="27" t="s">
        <v>3853</v>
      </c>
      <c r="L4840" s="112"/>
      <c r="M4840" s="27" t="s">
        <v>8598</v>
      </c>
      <c r="N4840" s="70">
        <v>46092</v>
      </c>
      <c r="P4840" s="26"/>
    </row>
    <row r="4841" spans="1:16" ht="14.5">
      <c r="A4841" s="3" t="s">
        <v>257</v>
      </c>
      <c r="B4841" s="12" t="s">
        <v>2887</v>
      </c>
      <c r="C4841" s="46" t="s">
        <v>8632</v>
      </c>
      <c r="D4841" s="41" t="str">
        <f ca="1">IFERROR(__xludf.DUMMYFUNCTION("IFERROR(ARRAYFORMULA(REGEXEXTRACT(C4841,""^(?:https?:\/\/)?(?:[^@\n]+@)?(?:www\.)?([^:\/\n]+)"")),"""")"),"waterbear.org.uk")</f>
        <v>waterbear.org.uk</v>
      </c>
      <c r="E4841" s="26" t="str">
        <f ca="1">IFERROR(__xludf.DUMMYFUNCTION("""COMPUTED_VALUE"""),"New")</f>
        <v>New</v>
      </c>
      <c r="F4841" s="72">
        <v>39</v>
      </c>
      <c r="G4841" s="72">
        <v>2031</v>
      </c>
      <c r="P4841" s="26"/>
    </row>
    <row r="4842" spans="1:16" ht="14.5">
      <c r="A4842" s="3" t="s">
        <v>257</v>
      </c>
      <c r="B4842" s="12" t="s">
        <v>2887</v>
      </c>
      <c r="C4842" s="46" t="s">
        <v>8633</v>
      </c>
      <c r="D4842" s="41" t="str">
        <f ca="1">IFERROR(__xludf.DUMMYFUNCTION("IFERROR(ARRAYFORMULA(REGEXEXTRACT(C4842,""^(?:https?:\/\/)?(?:[^@\n]+@)?(?:www\.)?([^:\/\n]+)"")),"""")"),"uwtsd.ac.uk")</f>
        <v>uwtsd.ac.uk</v>
      </c>
      <c r="E4842" s="26" t="str">
        <f ca="1">IFERROR(__xludf.DUMMYFUNCTION("""COMPUTED_VALUE"""),"New")</f>
        <v>New</v>
      </c>
      <c r="F4842" s="72">
        <v>72</v>
      </c>
      <c r="G4842" s="72">
        <v>21037</v>
      </c>
      <c r="J4842" s="27" t="s">
        <v>8634</v>
      </c>
      <c r="K4842" s="27" t="s">
        <v>3853</v>
      </c>
      <c r="L4842" s="112"/>
      <c r="M4842" s="27" t="s">
        <v>8598</v>
      </c>
      <c r="N4842" s="70">
        <v>46092</v>
      </c>
      <c r="P4842" s="26"/>
    </row>
    <row r="4843" spans="1:16" ht="14.5">
      <c r="A4843" s="3" t="s">
        <v>257</v>
      </c>
      <c r="B4843" s="12" t="s">
        <v>2887</v>
      </c>
      <c r="C4843" s="46" t="s">
        <v>8635</v>
      </c>
      <c r="D4843" s="41" t="str">
        <f ca="1">IFERROR(__xludf.DUMMYFUNCTION("IFERROR(ARRAYFORMULA(REGEXEXTRACT(C4843,""^(?:https?:\/\/)?(?:[^@\n]+@)?(?:www\.)?([^:\/\n]+)"")),"""")"),"sussex.ac.uk")</f>
        <v>sussex.ac.uk</v>
      </c>
      <c r="E4843" s="26" t="str">
        <f ca="1">IFERROR(__xludf.DUMMYFUNCTION("""COMPUTED_VALUE"""),"New")</f>
        <v>New</v>
      </c>
      <c r="F4843" s="72">
        <v>82</v>
      </c>
      <c r="G4843" s="72">
        <v>362687</v>
      </c>
      <c r="H4843" s="93" t="s">
        <v>8636</v>
      </c>
      <c r="I4843" s="93" t="s">
        <v>8637</v>
      </c>
      <c r="J4843" s="93" t="s">
        <v>8638</v>
      </c>
      <c r="K4843" s="93" t="s">
        <v>3853</v>
      </c>
      <c r="M4843" s="27" t="s">
        <v>8598</v>
      </c>
      <c r="N4843" s="70">
        <v>46092</v>
      </c>
      <c r="P4843" s="26"/>
    </row>
    <row r="4844" spans="1:16" ht="14.5">
      <c r="A4844" s="3" t="s">
        <v>257</v>
      </c>
      <c r="B4844" s="12" t="s">
        <v>2887</v>
      </c>
      <c r="C4844" s="46" t="s">
        <v>8639</v>
      </c>
      <c r="D4844" s="41" t="str">
        <f ca="1">IFERROR(__xludf.DUMMYFUNCTION("IFERROR(ARRAYFORMULA(REGEXEXTRACT(C4844,""^(?:https?:\/\/)?(?:[^@\n]+@)?(?:www\.)?([^:\/\n]+)"")),"""")"),"sulets.com")</f>
        <v>sulets.com</v>
      </c>
      <c r="E4844" s="26" t="str">
        <f ca="1">IFERROR(__xludf.DUMMYFUNCTION("""COMPUTED_VALUE"""),"New")</f>
        <v>New</v>
      </c>
      <c r="F4844" s="72">
        <v>31</v>
      </c>
      <c r="G4844" s="72">
        <v>4196</v>
      </c>
      <c r="H4844" s="94" t="s">
        <v>8640</v>
      </c>
      <c r="I4844" s="93" t="s">
        <v>8641</v>
      </c>
      <c r="J4844" s="93" t="s">
        <v>8642</v>
      </c>
      <c r="K4844" s="93" t="s">
        <v>3853</v>
      </c>
      <c r="M4844" s="27" t="s">
        <v>8598</v>
      </c>
      <c r="N4844" s="70">
        <v>46092</v>
      </c>
      <c r="P4844" s="26"/>
    </row>
    <row r="4845" spans="1:16" ht="14.5">
      <c r="A4845" s="3" t="s">
        <v>257</v>
      </c>
      <c r="B4845" s="12" t="s">
        <v>2887</v>
      </c>
      <c r="C4845" s="46" t="s">
        <v>8643</v>
      </c>
      <c r="D4845" s="41" t="str">
        <f ca="1">IFERROR(__xludf.DUMMYFUNCTION("IFERROR(ARRAYFORMULA(REGEXEXTRACT(C4845,""^(?:https?:\/\/)?(?:[^@\n]+@)?(?:www\.)?([^:\/\n]+)"")),"""")"),"prosperity-wealth.co.uk")</f>
        <v>prosperity-wealth.co.uk</v>
      </c>
      <c r="E4845" s="26" t="str">
        <f ca="1">IFERROR(__xludf.DUMMYFUNCTION("""COMPUTED_VALUE"""),"New")</f>
        <v>New</v>
      </c>
      <c r="F4845" s="72">
        <v>28</v>
      </c>
      <c r="G4845" s="72">
        <v>1557</v>
      </c>
      <c r="H4845" s="27" t="s">
        <v>8644</v>
      </c>
      <c r="I4845" s="27" t="s">
        <v>8645</v>
      </c>
      <c r="J4845" s="27" t="s">
        <v>8646</v>
      </c>
      <c r="K4845" s="93" t="s">
        <v>3853</v>
      </c>
      <c r="M4845" s="27" t="s">
        <v>8598</v>
      </c>
      <c r="N4845" s="70">
        <v>46092</v>
      </c>
      <c r="P4845" s="26"/>
    </row>
    <row r="4846" spans="1:16" ht="14.5">
      <c r="A4846" s="3" t="s">
        <v>257</v>
      </c>
      <c r="B4846" s="12" t="s">
        <v>2887</v>
      </c>
      <c r="C4846" s="46" t="s">
        <v>8647</v>
      </c>
      <c r="D4846" s="41" t="str">
        <f ca="1">IFERROR(__xludf.DUMMYFUNCTION("IFERROR(ARRAYFORMULA(REGEXEXTRACT(C4846,""^(?:https?:\/\/)?(?:[^@\n]+@)?(?:www\.)?([^:\/\n]+)"")),"""")"),"parklaneproperties.com")</f>
        <v>parklaneproperties.com</v>
      </c>
      <c r="E4846" s="26" t="str">
        <f ca="1">IFERROR(__xludf.DUMMYFUNCTION("""COMPUTED_VALUE"""),"New")</f>
        <v>New</v>
      </c>
      <c r="F4846" s="72">
        <v>21</v>
      </c>
      <c r="G4846" s="72">
        <v>3312</v>
      </c>
      <c r="I4846" s="27" t="s">
        <v>8648</v>
      </c>
      <c r="J4846" s="27" t="s">
        <v>8649</v>
      </c>
      <c r="K4846" s="93" t="s">
        <v>3853</v>
      </c>
      <c r="M4846" s="27" t="s">
        <v>8598</v>
      </c>
      <c r="N4846" s="70">
        <v>46092</v>
      </c>
      <c r="P4846" s="26"/>
    </row>
    <row r="4847" spans="1:16" ht="14.5">
      <c r="A4847" s="3" t="s">
        <v>257</v>
      </c>
      <c r="B4847" s="12" t="s">
        <v>2887</v>
      </c>
      <c r="C4847" s="46" t="s">
        <v>8650</v>
      </c>
      <c r="D4847" s="41" t="str">
        <f ca="1">IFERROR(__xludf.DUMMYFUNCTION("IFERROR(ARRAYFORMULA(REGEXEXTRACT(C4847,""^(?:https?:\/\/)?(?:[^@\n]+@)?(?:www\.)?([^:\/\n]+)"")),"""")"),"your.lancastersu.co.uk")</f>
        <v>your.lancastersu.co.uk</v>
      </c>
      <c r="E4847" s="26" t="str">
        <f ca="1">IFERROR(__xludf.DUMMYFUNCTION("""COMPUTED_VALUE"""),"New")</f>
        <v>New</v>
      </c>
      <c r="F4847" s="72">
        <v>47</v>
      </c>
      <c r="G4847" s="72">
        <v>1193</v>
      </c>
      <c r="P4847" s="26"/>
    </row>
    <row r="4848" spans="1:16" ht="14.5">
      <c r="A4848" s="3" t="s">
        <v>257</v>
      </c>
      <c r="B4848" s="12" t="s">
        <v>2887</v>
      </c>
      <c r="C4848" s="46" t="s">
        <v>8651</v>
      </c>
      <c r="D4848" s="41" t="str">
        <f ca="1">IFERROR(__xludf.DUMMYFUNCTION("IFERROR(ARRAYFORMULA(REGEXEXTRACT(C4848,""^(?:https?:\/\/)?(?:[^@\n]+@)?(?:www\.)?([^:\/\n]+)"")),"""")"),"nescol.ac.uk")</f>
        <v>nescol.ac.uk</v>
      </c>
      <c r="E4848" s="26" t="str">
        <f ca="1">IFERROR(__xludf.DUMMYFUNCTION("""COMPUTED_VALUE"""),"New")</f>
        <v>New</v>
      </c>
      <c r="F4848" s="72">
        <v>48</v>
      </c>
      <c r="G4848" s="72">
        <v>9681</v>
      </c>
      <c r="P4848" s="26"/>
    </row>
    <row r="4849" spans="1:28" ht="14.5">
      <c r="A4849" s="12" t="s">
        <v>257</v>
      </c>
      <c r="B4849" s="12" t="s">
        <v>2887</v>
      </c>
      <c r="C4849" s="67" t="s">
        <v>8652</v>
      </c>
      <c r="D4849" s="68" t="str">
        <f ca="1">IFERROR(__xludf.DUMMYFUNCTION("IFERROR(ARRAYFORMULA(REGEXEXTRACT(C4849,""^(?:https?:\/\/)?(?:[^@\n]+@)?(?:www\.)?([^:\/\n]+)"")),"""")"),"warwick.ac.uk")</f>
        <v>warwick.ac.uk</v>
      </c>
      <c r="E4849" s="39" t="str">
        <f ca="1">IFERROR(__xludf.DUMMYFUNCTION("""COMPUTED_VALUE"""),"New")</f>
        <v>New</v>
      </c>
      <c r="F4849" s="78">
        <v>86</v>
      </c>
      <c r="G4849" s="78">
        <v>206108</v>
      </c>
      <c r="H4849" s="39"/>
      <c r="I4849" s="39"/>
      <c r="J4849" s="39"/>
      <c r="K4849" s="39"/>
      <c r="L4849" s="39"/>
      <c r="M4849" s="39"/>
      <c r="N4849" s="39"/>
      <c r="O4849" s="39"/>
      <c r="P4849" s="26"/>
      <c r="Q4849" s="39"/>
      <c r="R4849" s="39"/>
      <c r="S4849" s="39"/>
      <c r="T4849" s="39"/>
      <c r="U4849" s="39"/>
      <c r="V4849" s="39"/>
      <c r="W4849" s="39"/>
      <c r="X4849" s="39"/>
      <c r="Y4849" s="39"/>
      <c r="Z4849" s="39"/>
      <c r="AA4849" s="39"/>
      <c r="AB4849" s="39"/>
    </row>
    <row r="4850" spans="1:28" ht="14.5">
      <c r="A4850" s="3" t="s">
        <v>257</v>
      </c>
      <c r="B4850" s="12" t="s">
        <v>2887</v>
      </c>
      <c r="C4850" s="46" t="s">
        <v>8653</v>
      </c>
      <c r="D4850" s="41" t="str">
        <f ca="1">IFERROR(__xludf.DUMMYFUNCTION("IFERROR(ARRAYFORMULA(REGEXEXTRACT(C4850,""^(?:https?:\/\/)?(?:[^@\n]+@)?(?:www\.)?([^:\/\n]+)"")),"""")"),"postgrad.com")</f>
        <v>postgrad.com</v>
      </c>
      <c r="E4850" s="26" t="str">
        <f ca="1">IFERROR(__xludf.DUMMYFUNCTION("""COMPUTED_VALUE"""),"New")</f>
        <v>New</v>
      </c>
      <c r="F4850" s="72">
        <v>54</v>
      </c>
      <c r="G4850" s="72">
        <v>17889</v>
      </c>
      <c r="J4850" s="27" t="s">
        <v>8654</v>
      </c>
      <c r="K4850" s="93" t="s">
        <v>3853</v>
      </c>
      <c r="M4850" s="27" t="s">
        <v>8598</v>
      </c>
      <c r="N4850" s="70">
        <v>46092</v>
      </c>
      <c r="P4850" s="26"/>
    </row>
    <row r="4851" spans="1:28" ht="14.5">
      <c r="A4851" s="3" t="s">
        <v>257</v>
      </c>
      <c r="B4851" s="12" t="s">
        <v>2887</v>
      </c>
      <c r="C4851" s="46" t="s">
        <v>8655</v>
      </c>
      <c r="D4851" s="41" t="str">
        <f ca="1">IFERROR(__xludf.DUMMYFUNCTION("IFERROR(ARRAYFORMULA(REGEXEXTRACT(C4851,""^(?:https?:\/\/)?(?:[^@\n]+@)?(?:www\.)?([^:\/\n]+)"")),"""")"),"durham.ac.uk")</f>
        <v>durham.ac.uk</v>
      </c>
      <c r="E4851" s="26" t="str">
        <f ca="1">IFERROR(__xludf.DUMMYFUNCTION("""COMPUTED_VALUE"""),"New")</f>
        <v>New</v>
      </c>
      <c r="F4851" s="72">
        <v>79</v>
      </c>
      <c r="G4851" s="72">
        <v>209403</v>
      </c>
      <c r="P4851" s="26"/>
    </row>
    <row r="4852" spans="1:28" ht="14.5">
      <c r="A4852" s="3" t="s">
        <v>257</v>
      </c>
      <c r="B4852" s="12" t="s">
        <v>2887</v>
      </c>
      <c r="C4852" s="46" t="s">
        <v>8656</v>
      </c>
      <c r="D4852" s="41" t="str">
        <f ca="1">IFERROR(__xludf.DUMMYFUNCTION("IFERROR(ARRAYFORMULA(REGEXEXTRACT(C4852,""^(?:https?:\/\/)?(?:[^@\n]+@)?(?:www\.)?([^:\/\n]+)"")),"""")"),"heyuguys.com")</f>
        <v>heyuguys.com</v>
      </c>
      <c r="E4852" s="26" t="str">
        <f ca="1">IFERROR(__xludf.DUMMYFUNCTION("""COMPUTED_VALUE"""),"New")</f>
        <v>New</v>
      </c>
      <c r="F4852" s="72">
        <v>66</v>
      </c>
      <c r="G4852" s="72">
        <v>7191</v>
      </c>
      <c r="H4852" s="27" t="s">
        <v>8657</v>
      </c>
      <c r="I4852" s="27" t="s">
        <v>8658</v>
      </c>
      <c r="J4852" s="27" t="s">
        <v>8659</v>
      </c>
      <c r="K4852" s="27" t="s">
        <v>3772</v>
      </c>
      <c r="L4852" s="112"/>
      <c r="P4852" s="26"/>
    </row>
    <row r="4853" spans="1:28" ht="14.5">
      <c r="A4853" s="3" t="s">
        <v>257</v>
      </c>
      <c r="B4853" s="12" t="s">
        <v>2887</v>
      </c>
      <c r="C4853" s="46" t="s">
        <v>8660</v>
      </c>
      <c r="D4853" s="41" t="str">
        <f ca="1">IFERROR(__xludf.DUMMYFUNCTION("IFERROR(ARRAYFORMULA(REGEXEXTRACT(C4853,""^(?:https?:\/\/)?(?:[^@\n]+@)?(?:www\.)?([^:\/\n]+)"")),"""")"),"brickflow.com")</f>
        <v>brickflow.com</v>
      </c>
      <c r="E4853" s="26" t="str">
        <f ca="1">IFERROR(__xludf.DUMMYFUNCTION("""COMPUTED_VALUE"""),"New")</f>
        <v>New</v>
      </c>
      <c r="F4853" s="72">
        <v>52</v>
      </c>
      <c r="G4853" s="72">
        <v>8826</v>
      </c>
      <c r="H4853" s="27" t="s">
        <v>8661</v>
      </c>
      <c r="I4853" s="27" t="s">
        <v>8662</v>
      </c>
      <c r="J4853" s="27" t="s">
        <v>8663</v>
      </c>
      <c r="K4853" s="27" t="s">
        <v>3829</v>
      </c>
      <c r="L4853" s="112"/>
      <c r="P4853" s="26"/>
    </row>
    <row r="4854" spans="1:28" ht="14.5">
      <c r="A4854" s="3" t="s">
        <v>257</v>
      </c>
      <c r="B4854" s="12" t="s">
        <v>2887</v>
      </c>
      <c r="C4854" s="46" t="s">
        <v>8664</v>
      </c>
      <c r="D4854" s="41" t="str">
        <f ca="1">IFERROR(__xludf.DUMMYFUNCTION("IFERROR(ARRAYFORMULA(REGEXEXTRACT(C4854,""^(?:https?:\/\/)?(?:[^@\n]+@)?(?:www\.)?([^:\/\n]+)"")),"""")"),"globaltaiwan.org")</f>
        <v>globaltaiwan.org</v>
      </c>
      <c r="E4854" s="26" t="str">
        <f ca="1">IFERROR(__xludf.DUMMYFUNCTION("""COMPUTED_VALUE"""),"New")</f>
        <v>New</v>
      </c>
      <c r="F4854" s="72">
        <v>56</v>
      </c>
      <c r="G4854" s="72">
        <v>4518</v>
      </c>
      <c r="P4854" s="26"/>
    </row>
    <row r="4855" spans="1:28" ht="14.5">
      <c r="A4855" s="3" t="s">
        <v>257</v>
      </c>
      <c r="B4855" s="12" t="s">
        <v>2887</v>
      </c>
      <c r="C4855" s="46" t="s">
        <v>8665</v>
      </c>
      <c r="D4855" s="41" t="str">
        <f ca="1">IFERROR(__xludf.DUMMYFUNCTION("IFERROR(ARRAYFORMULA(REGEXEXTRACT(C4855,""^(?:https?:\/\/)?(?:[^@\n]+@)?(?:www\.)?([^:\/\n]+)"")),"""")"),"app.welcometothejungle.com")</f>
        <v>app.welcometothejungle.com</v>
      </c>
      <c r="E4855" s="26" t="str">
        <f ca="1">IFERROR(__xludf.DUMMYFUNCTION("""COMPUTED_VALUE"""),"New")</f>
        <v>New</v>
      </c>
      <c r="F4855" s="72">
        <v>86</v>
      </c>
      <c r="G4855" s="72">
        <v>573320</v>
      </c>
      <c r="P4855" s="26"/>
    </row>
    <row r="4856" spans="1:28" ht="14.5">
      <c r="A4856" s="3" t="s">
        <v>257</v>
      </c>
      <c r="B4856" s="12" t="s">
        <v>2887</v>
      </c>
      <c r="C4856" s="46" t="s">
        <v>8666</v>
      </c>
      <c r="D4856" s="41" t="str">
        <f ca="1">IFERROR(__xludf.DUMMYFUNCTION("IFERROR(ARRAYFORMULA(REGEXEXTRACT(C4856,""^(?:https?:\/\/)?(?:[^@\n]+@)?(?:www\.)?([^:\/\n]+)"")),"""")"),"oxfordinternational.com")</f>
        <v>oxfordinternational.com</v>
      </c>
      <c r="E4856" s="26" t="str">
        <f ca="1">IFERROR(__xludf.DUMMYFUNCTION("""COMPUTED_VALUE"""),"New")</f>
        <v>New</v>
      </c>
      <c r="F4856" s="72">
        <v>45</v>
      </c>
      <c r="G4856" s="72">
        <v>10487</v>
      </c>
      <c r="P4856" s="26"/>
    </row>
    <row r="4857" spans="1:28" ht="14.5">
      <c r="A4857" s="3" t="s">
        <v>257</v>
      </c>
      <c r="B4857" s="12" t="s">
        <v>2887</v>
      </c>
      <c r="C4857" s="46" t="s">
        <v>8667</v>
      </c>
      <c r="D4857" s="41" t="str">
        <f ca="1">IFERROR(__xludf.DUMMYFUNCTION("IFERROR(ARRAYFORMULA(REGEXEXTRACT(C4857,""^(?:https?:\/\/)?(?:[^@\n]+@)?(?:www\.)?([^:\/\n]+)"")),"""")"),"exeter.ac.uk")</f>
        <v>exeter.ac.uk</v>
      </c>
      <c r="E4857" s="26" t="str">
        <f ca="1">IFERROR(__xludf.DUMMYFUNCTION("""COMPUTED_VALUE"""),"New")</f>
        <v>New</v>
      </c>
      <c r="F4857" s="72">
        <v>84</v>
      </c>
      <c r="G4857" s="72">
        <v>177266</v>
      </c>
      <c r="P4857" s="26"/>
    </row>
    <row r="4858" spans="1:28" ht="14.5">
      <c r="A4858" s="3" t="s">
        <v>257</v>
      </c>
      <c r="B4858" s="12" t="s">
        <v>2887</v>
      </c>
      <c r="C4858" s="46" t="s">
        <v>8668</v>
      </c>
      <c r="D4858" s="41" t="str">
        <f ca="1">IFERROR(__xludf.DUMMYFUNCTION("IFERROR(ARRAYFORMULA(REGEXEXTRACT(C4858,""^(?:https?:\/\/)?(?:[^@\n]+@)?(?:www\.)?([^:\/\n]+)"")),"""")"),"purplefrogproperty.com")</f>
        <v>purplefrogproperty.com</v>
      </c>
      <c r="E4858" s="26" t="str">
        <f ca="1">IFERROR(__xludf.DUMMYFUNCTION("""COMPUTED_VALUE"""),"New")</f>
        <v>New</v>
      </c>
      <c r="F4858" s="72">
        <v>21</v>
      </c>
      <c r="G4858" s="72">
        <v>1067</v>
      </c>
      <c r="H4858" s="27" t="s">
        <v>8669</v>
      </c>
      <c r="I4858" s="27" t="s">
        <v>8670</v>
      </c>
      <c r="J4858" s="27" t="s">
        <v>8671</v>
      </c>
      <c r="K4858" s="27" t="s">
        <v>3853</v>
      </c>
      <c r="L4858" s="112"/>
      <c r="P4858" s="26"/>
    </row>
    <row r="4859" spans="1:28" ht="14.5">
      <c r="A4859" s="3" t="s">
        <v>257</v>
      </c>
      <c r="B4859" s="12" t="s">
        <v>2887</v>
      </c>
      <c r="C4859" s="46" t="s">
        <v>8672</v>
      </c>
      <c r="D4859" s="41" t="str">
        <f ca="1">IFERROR(__xludf.DUMMYFUNCTION("IFERROR(ARRAYFORMULA(REGEXEXTRACT(C4859,""^(?:https?:\/\/)?(?:[^@\n]+@)?(?:www\.)?([^:\/\n]+)"")),"""")"),"realvantage.co")</f>
        <v>realvantage.co</v>
      </c>
      <c r="E4859" s="26" t="str">
        <f ca="1">IFERROR(__xludf.DUMMYFUNCTION("""COMPUTED_VALUE"""),"New")</f>
        <v>New</v>
      </c>
      <c r="F4859" s="72">
        <v>31</v>
      </c>
      <c r="G4859" s="72">
        <v>1437</v>
      </c>
      <c r="H4859" s="95" t="s">
        <v>8673</v>
      </c>
      <c r="I4859" s="27" t="s">
        <v>8674</v>
      </c>
      <c r="J4859" s="27" t="s">
        <v>8675</v>
      </c>
      <c r="K4859" s="27" t="s">
        <v>3853</v>
      </c>
      <c r="L4859" s="112"/>
      <c r="P4859" s="26"/>
    </row>
    <row r="4860" spans="1:28" ht="14.5">
      <c r="A4860" s="3" t="s">
        <v>257</v>
      </c>
      <c r="B4860" s="12" t="s">
        <v>2887</v>
      </c>
      <c r="C4860" s="46" t="s">
        <v>8676</v>
      </c>
      <c r="D4860" s="41" t="str">
        <f ca="1">IFERROR(__xludf.DUMMYFUNCTION("IFERROR(ARRAYFORMULA(REGEXEXTRACT(C4860,""^(?:https?:\/\/)?(?:[^@\n]+@)?(?:www\.)?([^:\/\n]+)"")),"""")"),"yorkvision.co.uk")</f>
        <v>yorkvision.co.uk</v>
      </c>
      <c r="E4860" s="26" t="str">
        <f ca="1">IFERROR(__xludf.DUMMYFUNCTION("""COMPUTED_VALUE"""),"New")</f>
        <v>New</v>
      </c>
      <c r="F4860" s="72">
        <v>38</v>
      </c>
      <c r="G4860" s="72">
        <v>3296</v>
      </c>
      <c r="J4860" s="27" t="s">
        <v>8677</v>
      </c>
      <c r="K4860" s="27" t="s">
        <v>3772</v>
      </c>
      <c r="L4860" s="112"/>
      <c r="P4860" s="26"/>
    </row>
    <row r="4861" spans="1:28" ht="14.5">
      <c r="A4861" s="3" t="s">
        <v>257</v>
      </c>
      <c r="B4861" s="12" t="s">
        <v>2887</v>
      </c>
      <c r="C4861" s="46" t="s">
        <v>8678</v>
      </c>
      <c r="D4861" s="41" t="str">
        <f ca="1">IFERROR(__xludf.DUMMYFUNCTION("IFERROR(ARRAYFORMULA(REGEXEXTRACT(C4861,""^(?:https?:\/\/)?(?:[^@\n]+@)?(?:www\.)?([^:\/\n]+)"")),"""")"),"realyorkshireblog.com")</f>
        <v>realyorkshireblog.com</v>
      </c>
      <c r="E4861" s="26" t="str">
        <f ca="1">IFERROR(__xludf.DUMMYFUNCTION("""COMPUTED_VALUE"""),"New")</f>
        <v>New</v>
      </c>
      <c r="F4861" s="72">
        <v>24</v>
      </c>
      <c r="G4861" s="72">
        <v>3496</v>
      </c>
      <c r="P4861" s="26"/>
    </row>
    <row r="4862" spans="1:28" ht="14.5">
      <c r="A4862" s="3" t="s">
        <v>257</v>
      </c>
      <c r="B4862" s="12" t="s">
        <v>2887</v>
      </c>
      <c r="C4862" s="46" t="s">
        <v>8679</v>
      </c>
      <c r="D4862" s="41" t="str">
        <f ca="1">IFERROR(__xludf.DUMMYFUNCTION("IFERROR(ARRAYFORMULA(REGEXEXTRACT(C4862,""^(?:https?:\/\/)?(?:[^@\n]+@)?(?:www\.)?([^:\/\n]+)"")),"""")"),"yourtribe.com")</f>
        <v>yourtribe.com</v>
      </c>
      <c r="E4862" s="26" t="str">
        <f ca="1">IFERROR(__xludf.DUMMYFUNCTION("""COMPUTED_VALUE"""),"New")</f>
        <v>New</v>
      </c>
      <c r="F4862" s="72">
        <v>32</v>
      </c>
      <c r="G4862" s="72">
        <v>1299</v>
      </c>
      <c r="H4862" s="27" t="s">
        <v>8680</v>
      </c>
      <c r="J4862" s="27" t="s">
        <v>8681</v>
      </c>
      <c r="K4862" s="27" t="s">
        <v>3853</v>
      </c>
      <c r="L4862" s="112"/>
      <c r="P4862" s="26"/>
    </row>
    <row r="4863" spans="1:28" ht="14.5" hidden="1">
      <c r="A4863" s="3" t="s">
        <v>257</v>
      </c>
      <c r="B4863" s="12" t="s">
        <v>2887</v>
      </c>
      <c r="C4863" s="46" t="s">
        <v>8682</v>
      </c>
      <c r="D4863" s="41" t="str">
        <f ca="1">IFERROR(__xludf.DUMMYFUNCTION("IFERROR(ARRAYFORMULA(REGEXEXTRACT(C4863,""^(?:https?:\/\/)?(?:[^@\n]+@)?(?:www\.)?([^:\/\n]+)"")),"""")"),"propertytribes.com")</f>
        <v>propertytribes.com</v>
      </c>
      <c r="E4863" s="26" t="str">
        <f ca="1">IFERROR(__xludf.DUMMYFUNCTION("""COMPUTED_VALUE"""),"Already Exists")</f>
        <v>Already Exists</v>
      </c>
      <c r="F4863" s="72">
        <v>46</v>
      </c>
      <c r="G4863" s="72">
        <v>6201</v>
      </c>
    </row>
    <row r="4864" spans="1:28" ht="14.5">
      <c r="A4864" s="3" t="s">
        <v>257</v>
      </c>
      <c r="B4864" s="12" t="s">
        <v>2887</v>
      </c>
      <c r="C4864" s="46" t="s">
        <v>8683</v>
      </c>
      <c r="D4864" s="41" t="str">
        <f ca="1">IFERROR(__xludf.DUMMYFUNCTION("IFERROR(ARRAYFORMULA(REGEXEXTRACT(C4864,""^(?:https?:\/\/)?(?:[^@\n]+@)?(?:www\.)?([^:\/\n]+)"")),"""")"),"justpark.com")</f>
        <v>justpark.com</v>
      </c>
      <c r="E4864" s="26" t="str">
        <f ca="1">IFERROR(__xludf.DUMMYFUNCTION("""COMPUTED_VALUE"""),"New")</f>
        <v>New</v>
      </c>
      <c r="F4864" s="72">
        <v>76</v>
      </c>
      <c r="G4864" s="72">
        <v>402634</v>
      </c>
      <c r="P4864" s="26"/>
    </row>
    <row r="4865" spans="1:16" ht="14.5">
      <c r="A4865" s="3" t="s">
        <v>257</v>
      </c>
      <c r="B4865" s="12" t="s">
        <v>2887</v>
      </c>
      <c r="C4865" s="46" t="s">
        <v>8684</v>
      </c>
      <c r="D4865" s="41" t="str">
        <f ca="1">IFERROR(__xludf.DUMMYFUNCTION("IFERROR(ARRAYFORMULA(REGEXEXTRACT(C4865,""^(?:https?:\/\/)?(?:[^@\n]+@)?(?:www\.)?([^:\/\n]+)"")),"""")"),"monitor.icef.com")</f>
        <v>monitor.icef.com</v>
      </c>
      <c r="E4865" s="26" t="str">
        <f ca="1">IFERROR(__xludf.DUMMYFUNCTION("""COMPUTED_VALUE"""),"New")</f>
        <v>New</v>
      </c>
      <c r="F4865" s="72">
        <v>76</v>
      </c>
      <c r="G4865" s="72">
        <v>1917</v>
      </c>
      <c r="P4865" s="26"/>
    </row>
    <row r="4866" spans="1:16" ht="14.5">
      <c r="A4866" s="3" t="s">
        <v>257</v>
      </c>
      <c r="B4866" s="12" t="s">
        <v>2887</v>
      </c>
      <c r="C4866" s="46" t="s">
        <v>8685</v>
      </c>
      <c r="D4866" s="41" t="str">
        <f ca="1">IFERROR(__xludf.DUMMYFUNCTION("IFERROR(ARRAYFORMULA(REGEXEXTRACT(C4866,""^(?:https?:\/\/)?(?:[^@\n]+@)?(?:www\.)?([^:\/\n]+)"")),"""")"),"news.stv.tv")</f>
        <v>news.stv.tv</v>
      </c>
      <c r="E4866" s="26" t="str">
        <f ca="1">IFERROR(__xludf.DUMMYFUNCTION("""COMPUTED_VALUE"""),"New")</f>
        <v>New</v>
      </c>
      <c r="F4866" s="72">
        <v>77</v>
      </c>
      <c r="G4866" s="72">
        <v>251093</v>
      </c>
      <c r="H4866" s="96" t="s">
        <v>8686</v>
      </c>
      <c r="I4866" s="27" t="s">
        <v>8687</v>
      </c>
      <c r="J4866" s="27" t="s">
        <v>8688</v>
      </c>
      <c r="K4866" s="27" t="s">
        <v>3772</v>
      </c>
      <c r="L4866" s="112"/>
      <c r="P4866" s="26"/>
    </row>
    <row r="4867" spans="1:16" ht="14.5">
      <c r="A4867" s="3" t="s">
        <v>257</v>
      </c>
      <c r="B4867" s="12" t="s">
        <v>2887</v>
      </c>
      <c r="C4867" s="46" t="s">
        <v>8689</v>
      </c>
      <c r="D4867" s="41" t="str">
        <f ca="1">IFERROR(__xludf.DUMMYFUNCTION("IFERROR(ARRAYFORMULA(REGEXEXTRACT(C4867,""^(?:https?:\/\/)?(?:[^@\n]+@)?(?:www\.)?([^:\/\n]+)"")),"""")"),"bigissue.com")</f>
        <v>bigissue.com</v>
      </c>
      <c r="E4867" s="26" t="str">
        <f ca="1">IFERROR(__xludf.DUMMYFUNCTION("""COMPUTED_VALUE"""),"New")</f>
        <v>New</v>
      </c>
      <c r="F4867" s="72">
        <v>78</v>
      </c>
      <c r="G4867" s="72">
        <v>48301</v>
      </c>
      <c r="H4867" s="27" t="s">
        <v>8690</v>
      </c>
      <c r="I4867" s="27" t="s">
        <v>8691</v>
      </c>
      <c r="J4867" s="27" t="s">
        <v>8692</v>
      </c>
      <c r="K4867" s="27" t="s">
        <v>3772</v>
      </c>
      <c r="L4867" s="112"/>
      <c r="P4867" s="26"/>
    </row>
    <row r="4868" spans="1:16" ht="14.5">
      <c r="A4868" s="3" t="s">
        <v>257</v>
      </c>
      <c r="B4868" s="12" t="s">
        <v>2887</v>
      </c>
      <c r="C4868" s="46" t="s">
        <v>8693</v>
      </c>
      <c r="D4868" s="41" t="str">
        <f ca="1">IFERROR(__xludf.DUMMYFUNCTION("IFERROR(ARRAYFORMULA(REGEXEXTRACT(C4868,""^(?:https?:\/\/)?(?:[^@\n]+@)?(?:www\.)?([^:\/\n]+)"")),"""")"),"lendlord.io")</f>
        <v>lendlord.io</v>
      </c>
      <c r="E4868" s="26" t="str">
        <f ca="1">IFERROR(__xludf.DUMMYFUNCTION("""COMPUTED_VALUE"""),"New")</f>
        <v>New</v>
      </c>
      <c r="F4868" s="72">
        <v>40</v>
      </c>
      <c r="G4868" s="72">
        <v>1957</v>
      </c>
      <c r="J4868" s="27" t="s">
        <v>8694</v>
      </c>
      <c r="K4868" s="27" t="s">
        <v>3853</v>
      </c>
      <c r="L4868" s="112"/>
      <c r="P4868" s="26"/>
    </row>
    <row r="4869" spans="1:16" ht="14.5">
      <c r="A4869" s="3" t="s">
        <v>257</v>
      </c>
      <c r="B4869" s="12" t="s">
        <v>2887</v>
      </c>
      <c r="C4869" s="46" t="s">
        <v>8695</v>
      </c>
      <c r="D4869" s="41" t="str">
        <f ca="1">IFERROR(__xludf.DUMMYFUNCTION("IFERROR(ARRAYFORMULA(REGEXEXTRACT(C4869,""^(?:https?:\/\/)?(?:[^@\n]+@)?(?:www\.)?([^:\/\n]+)"")),"""")"),"palatinate.org.uk")</f>
        <v>palatinate.org.uk</v>
      </c>
      <c r="E4869" s="26" t="str">
        <f ca="1">IFERROR(__xludf.DUMMYFUNCTION("""COMPUTED_VALUE"""),"New")</f>
        <v>New</v>
      </c>
      <c r="F4869" s="72">
        <v>49</v>
      </c>
      <c r="G4869" s="72">
        <v>16650</v>
      </c>
      <c r="H4869" s="27" t="s">
        <v>8696</v>
      </c>
      <c r="I4869" s="27" t="s">
        <v>8697</v>
      </c>
      <c r="J4869" s="27" t="s">
        <v>8698</v>
      </c>
      <c r="K4869" s="27" t="s">
        <v>3772</v>
      </c>
      <c r="L4869" s="112"/>
      <c r="P4869" s="26"/>
    </row>
    <row r="4870" spans="1:16" ht="14.5">
      <c r="A4870" s="3" t="s">
        <v>257</v>
      </c>
      <c r="B4870" s="12" t="s">
        <v>2887</v>
      </c>
      <c r="C4870" s="46" t="s">
        <v>8699</v>
      </c>
      <c r="D4870" s="41" t="str">
        <f ca="1">IFERROR(__xludf.DUMMYFUNCTION("IFERROR(ARRAYFORMULA(REGEXEXTRACT(C4870,""^(?:https?:\/\/)?(?:[^@\n]+@)?(?:www\.)?([^:\/\n]+)"")),"""")"),"audiala.com")</f>
        <v>audiala.com</v>
      </c>
      <c r="E4870" s="26" t="str">
        <f ca="1">IFERROR(__xludf.DUMMYFUNCTION("""COMPUTED_VALUE"""),"New")</f>
        <v>New</v>
      </c>
      <c r="F4870" s="72">
        <v>35</v>
      </c>
      <c r="G4870" s="72">
        <v>5136</v>
      </c>
      <c r="P4870" s="26"/>
    </row>
    <row r="4871" spans="1:16" ht="14.5">
      <c r="A4871" s="3" t="s">
        <v>257</v>
      </c>
      <c r="B4871" s="12" t="s">
        <v>2887</v>
      </c>
      <c r="C4871" s="46" t="s">
        <v>8700</v>
      </c>
      <c r="D4871" s="41" t="str">
        <f ca="1">IFERROR(__xludf.DUMMYFUNCTION("IFERROR(ARRAYFORMULA(REGEXEXTRACT(C4871,""^(?:https?:\/\/)?(?:[^@\n]+@)?(?:www\.)?([^:\/\n]+)"")),"""")"),"thewirechina.com")</f>
        <v>thewirechina.com</v>
      </c>
      <c r="E4871" s="26" t="str">
        <f ca="1">IFERROR(__xludf.DUMMYFUNCTION("""COMPUTED_VALUE"""),"New")</f>
        <v>New</v>
      </c>
      <c r="F4871" s="72">
        <v>60</v>
      </c>
      <c r="G4871" s="72">
        <v>2079</v>
      </c>
      <c r="P4871" s="26"/>
    </row>
    <row r="4872" spans="1:16" ht="14.5">
      <c r="A4872" s="3" t="s">
        <v>257</v>
      </c>
      <c r="B4872" s="12" t="s">
        <v>2887</v>
      </c>
      <c r="C4872" s="46" t="s">
        <v>8701</v>
      </c>
      <c r="D4872" s="41" t="str">
        <f ca="1">IFERROR(__xludf.DUMMYFUNCTION("IFERROR(ARRAYFORMULA(REGEXEXTRACT(C4872,""^(?:https?:\/\/)?(?:[^@\n]+@)?(?:www\.)?([^:\/\n]+)"")),"""")"),"durham.gov.uk")</f>
        <v>durham.gov.uk</v>
      </c>
      <c r="E4872" s="26" t="str">
        <f ca="1">IFERROR(__xludf.DUMMYFUNCTION("""COMPUTED_VALUE"""),"New")</f>
        <v>New</v>
      </c>
      <c r="F4872" s="72">
        <v>74</v>
      </c>
      <c r="G4872" s="72">
        <v>75333</v>
      </c>
      <c r="P4872" s="26"/>
    </row>
    <row r="4873" spans="1:16" ht="14.5">
      <c r="A4873" s="3" t="s">
        <v>257</v>
      </c>
      <c r="B4873" s="12" t="s">
        <v>2887</v>
      </c>
      <c r="C4873" s="46" t="s">
        <v>8702</v>
      </c>
      <c r="D4873" s="41" t="str">
        <f ca="1">IFERROR(__xludf.DUMMYFUNCTION("IFERROR(ARRAYFORMULA(REGEXEXTRACT(C4873,""^(?:https?:\/\/)?(?:[^@\n]+@)?(?:www\.)?([^:\/\n]+)"")),"""")"),"citymonitor.ai")</f>
        <v>citymonitor.ai</v>
      </c>
      <c r="E4873" s="26" t="str">
        <f ca="1">IFERROR(__xludf.DUMMYFUNCTION("""COMPUTED_VALUE"""),"New")</f>
        <v>New</v>
      </c>
      <c r="F4873" s="72">
        <v>71</v>
      </c>
      <c r="G4873" s="72">
        <v>8631</v>
      </c>
      <c r="H4873" s="27" t="s">
        <v>8703</v>
      </c>
      <c r="I4873" s="97" t="s">
        <v>8704</v>
      </c>
      <c r="K4873" s="27" t="s">
        <v>3772</v>
      </c>
      <c r="L4873" s="112"/>
      <c r="P4873" s="26"/>
    </row>
    <row r="4874" spans="1:16" ht="14.5">
      <c r="A4874" s="3" t="s">
        <v>257</v>
      </c>
      <c r="B4874" s="12" t="s">
        <v>2887</v>
      </c>
      <c r="C4874" s="46" t="s">
        <v>8705</v>
      </c>
      <c r="D4874" s="41" t="str">
        <f ca="1">IFERROR(__xludf.DUMMYFUNCTION("IFERROR(ARRAYFORMULA(REGEXEXTRACT(C4874,""^(?:https?:\/\/)?(?:[^@\n]+@)?(?:www\.)?([^:\/\n]+)"")),"""")"),"mytutor.co.uk")</f>
        <v>mytutor.co.uk</v>
      </c>
      <c r="E4874" s="26" t="str">
        <f ca="1">IFERROR(__xludf.DUMMYFUNCTION("""COMPUTED_VALUE"""),"New")</f>
        <v>New</v>
      </c>
      <c r="F4874" s="72">
        <v>65</v>
      </c>
      <c r="G4874" s="72">
        <v>242298</v>
      </c>
      <c r="P4874" s="26"/>
    </row>
    <row r="4875" spans="1:16" ht="14.5" hidden="1">
      <c r="A4875" s="3" t="s">
        <v>257</v>
      </c>
      <c r="B4875" s="12" t="s">
        <v>2887</v>
      </c>
      <c r="C4875" s="46" t="s">
        <v>8706</v>
      </c>
      <c r="D4875" s="41" t="str">
        <f ca="1">IFERROR(__xludf.DUMMYFUNCTION("IFERROR(ARRAYFORMULA(REGEXEXTRACT(C4875,""^(?:https?:\/\/)?(?:[^@\n]+@)?(?:www\.)?([^:\/\n]+)"")),"""")"),"moneymagpie.com")</f>
        <v>moneymagpie.com</v>
      </c>
      <c r="E4875" s="26" t="str">
        <f ca="1">IFERROR(__xludf.DUMMYFUNCTION("""COMPUTED_VALUE"""),"Already Exists")</f>
        <v>Already Exists</v>
      </c>
      <c r="F4875" s="72">
        <v>59</v>
      </c>
      <c r="G4875" s="72">
        <v>6921</v>
      </c>
    </row>
    <row r="4876" spans="1:16" ht="14.5">
      <c r="A4876" s="3" t="s">
        <v>257</v>
      </c>
      <c r="B4876" s="12" t="s">
        <v>2887</v>
      </c>
      <c r="C4876" s="46" t="s">
        <v>8707</v>
      </c>
      <c r="D4876" s="41" t="str">
        <f ca="1">IFERROR(__xludf.DUMMYFUNCTION("IFERROR(ARRAYFORMULA(REGEXEXTRACT(C4876,""^(?:https?:\/\/)?(?:[^@\n]+@)?(?:www\.)?([^:\/\n]+)"")),"""")"),"diyinvestor.net")</f>
        <v>diyinvestor.net</v>
      </c>
      <c r="E4876" s="26" t="str">
        <f ca="1">IFERROR(__xludf.DUMMYFUNCTION("""COMPUTED_VALUE"""),"New")</f>
        <v>New</v>
      </c>
      <c r="F4876" s="72">
        <v>29</v>
      </c>
      <c r="G4876" s="72">
        <v>1817</v>
      </c>
      <c r="J4876" s="27" t="s">
        <v>8708</v>
      </c>
      <c r="K4876" s="27" t="s">
        <v>3772</v>
      </c>
      <c r="L4876" s="112"/>
      <c r="P4876" s="26"/>
    </row>
    <row r="4877" spans="1:16" ht="14.5">
      <c r="A4877" s="3" t="s">
        <v>257</v>
      </c>
      <c r="B4877" s="12" t="s">
        <v>2887</v>
      </c>
      <c r="C4877" s="46" t="s">
        <v>8709</v>
      </c>
      <c r="D4877" s="41" t="str">
        <f ca="1">IFERROR(__xludf.DUMMYFUNCTION("IFERROR(ARRAYFORMULA(REGEXEXTRACT(C4877,""^(?:https?:\/\/)?(?:[^@\n]+@)?(?:www\.)?([^:\/\n]+)"")),"""")"),"inews.co.uk")</f>
        <v>inews.co.uk</v>
      </c>
      <c r="E4877" s="26" t="str">
        <f ca="1">IFERROR(__xludf.DUMMYFUNCTION("""COMPUTED_VALUE"""),"New")</f>
        <v>New</v>
      </c>
      <c r="F4877" s="72">
        <v>84</v>
      </c>
      <c r="G4877" s="72">
        <v>189013</v>
      </c>
      <c r="I4877" s="27" t="s">
        <v>8710</v>
      </c>
      <c r="J4877" s="98" t="s">
        <v>8711</v>
      </c>
      <c r="K4877" s="27" t="s">
        <v>3772</v>
      </c>
      <c r="L4877" s="112"/>
      <c r="P4877" s="26"/>
    </row>
    <row r="4878" spans="1:16" ht="14.5">
      <c r="A4878" s="3" t="s">
        <v>257</v>
      </c>
      <c r="B4878" s="12" t="s">
        <v>2887</v>
      </c>
      <c r="C4878" s="46" t="s">
        <v>8712</v>
      </c>
      <c r="D4878" s="41" t="str">
        <f ca="1">IFERROR(__xludf.DUMMYFUNCTION("IFERROR(ARRAYFORMULA(REGEXEXTRACT(C4878,""^(?:https?:\/\/)?(?:[^@\n]+@)?(?:www\.)?([^:\/\n]+)"")),"""")"),"theoxfordblue.co.uk")</f>
        <v>theoxfordblue.co.uk</v>
      </c>
      <c r="E4878" s="26" t="str">
        <f ca="1">IFERROR(__xludf.DUMMYFUNCTION("""COMPUTED_VALUE"""),"New")</f>
        <v>New</v>
      </c>
      <c r="F4878" s="72">
        <v>44</v>
      </c>
      <c r="G4878" s="72">
        <v>4587</v>
      </c>
      <c r="H4878" s="27" t="s">
        <v>8713</v>
      </c>
      <c r="I4878" s="27" t="s">
        <v>8714</v>
      </c>
      <c r="J4878" s="27" t="s">
        <v>8715</v>
      </c>
      <c r="K4878" s="27" t="s">
        <v>3772</v>
      </c>
      <c r="L4878" s="112"/>
      <c r="P4878" s="26"/>
    </row>
    <row r="4879" spans="1:16" ht="14.5" hidden="1">
      <c r="A4879" s="3" t="s">
        <v>257</v>
      </c>
      <c r="B4879" s="12" t="s">
        <v>2887</v>
      </c>
      <c r="C4879" s="46" t="s">
        <v>8716</v>
      </c>
      <c r="D4879" s="41" t="str">
        <f ca="1">IFERROR(__xludf.DUMMYFUNCTION("IFERROR(ARRAYFORMULA(REGEXEXTRACT(C4879,""^(?:https?:\/\/)?(?:[^@\n]+@)?(?:www\.)?([^:\/\n]+)"")),"""")"),"bisnow.com")</f>
        <v>bisnow.com</v>
      </c>
      <c r="E4879" s="26" t="str">
        <f ca="1">IFERROR(__xludf.DUMMYFUNCTION("""COMPUTED_VALUE"""),"Already Exists")</f>
        <v>Already Exists</v>
      </c>
      <c r="F4879" s="72">
        <v>81</v>
      </c>
      <c r="G4879" s="74">
        <v>25265</v>
      </c>
    </row>
    <row r="4880" spans="1:16" ht="14.5">
      <c r="A4880" s="3" t="s">
        <v>257</v>
      </c>
      <c r="B4880" s="12" t="s">
        <v>2887</v>
      </c>
      <c r="C4880" s="46" t="s">
        <v>8717</v>
      </c>
      <c r="D4880" s="41" t="str">
        <f ca="1">IFERROR(__xludf.DUMMYFUNCTION("IFERROR(ARRAYFORMULA(REGEXEXTRACT(C4880,""^(?:https?:\/\/)?(?:[^@\n]+@)?(?:www\.)?([^:\/\n]+)"")),"""")"),"mishcon.com")</f>
        <v>mishcon.com</v>
      </c>
      <c r="E4880" s="26" t="str">
        <f ca="1">IFERROR(__xludf.DUMMYFUNCTION("""COMPUTED_VALUE"""),"New")</f>
        <v>New</v>
      </c>
      <c r="F4880" s="72">
        <v>71</v>
      </c>
      <c r="G4880" s="72">
        <v>19739</v>
      </c>
      <c r="H4880" s="27" t="s">
        <v>8718</v>
      </c>
      <c r="I4880" s="27" t="s">
        <v>8719</v>
      </c>
      <c r="J4880" s="27" t="s">
        <v>8720</v>
      </c>
      <c r="K4880" s="27" t="s">
        <v>3853</v>
      </c>
      <c r="L4880" s="112"/>
      <c r="P4880" s="26"/>
    </row>
    <row r="4881" spans="1:16" ht="14.5">
      <c r="A4881" s="3" t="s">
        <v>257</v>
      </c>
      <c r="B4881" s="12" t="s">
        <v>2887</v>
      </c>
      <c r="C4881" s="46" t="s">
        <v>8721</v>
      </c>
      <c r="D4881" s="41" t="str">
        <f ca="1">IFERROR(__xludf.DUMMYFUNCTION("IFERROR(ARRAYFORMULA(REGEXEXTRACT(C4881,""^(?:https?:\/\/)?(?:[^@\n]+@)?(?:www\.)?([^:\/\n]+)"")),"""")"),"mydeposits.co.uk")</f>
        <v>mydeposits.co.uk</v>
      </c>
      <c r="E4881" s="26" t="str">
        <f ca="1">IFERROR(__xludf.DUMMYFUNCTION("""COMPUTED_VALUE"""),"New")</f>
        <v>New</v>
      </c>
      <c r="F4881" s="72">
        <v>73</v>
      </c>
      <c r="G4881" s="72">
        <v>38932</v>
      </c>
      <c r="J4881" s="27" t="s">
        <v>8722</v>
      </c>
      <c r="K4881" s="27" t="s">
        <v>3829</v>
      </c>
      <c r="L4881" s="112"/>
      <c r="P4881" s="26"/>
    </row>
    <row r="4882" spans="1:16" ht="14.5">
      <c r="A4882" s="3" t="s">
        <v>257</v>
      </c>
      <c r="B4882" s="12" t="s">
        <v>2887</v>
      </c>
      <c r="C4882" s="46" t="s">
        <v>8723</v>
      </c>
      <c r="D4882" s="41" t="str">
        <f ca="1">IFERROR(__xludf.DUMMYFUNCTION("IFERROR(ARRAYFORMULA(REGEXEXTRACT(C4882,""^(?:https?:\/\/)?(?:[^@\n]+@)?(?:www\.)?([^:\/\n]+)"")),"""")"),"mortgagesolutions.co.uk")</f>
        <v>mortgagesolutions.co.uk</v>
      </c>
      <c r="E4882" s="26" t="str">
        <f ca="1">IFERROR(__xludf.DUMMYFUNCTION("""COMPUTED_VALUE"""),"New")</f>
        <v>New</v>
      </c>
      <c r="F4882" s="72">
        <v>66</v>
      </c>
      <c r="G4882" s="72">
        <v>1168</v>
      </c>
      <c r="H4882" s="27" t="s">
        <v>8724</v>
      </c>
      <c r="I4882" s="27" t="s">
        <v>8725</v>
      </c>
      <c r="J4882" s="27" t="s">
        <v>8726</v>
      </c>
      <c r="K4882" s="27" t="s">
        <v>3772</v>
      </c>
      <c r="L4882" s="112"/>
      <c r="P4882" s="26"/>
    </row>
    <row r="4883" spans="1:16" ht="14.5">
      <c r="A4883" s="3" t="s">
        <v>257</v>
      </c>
      <c r="B4883" s="12" t="s">
        <v>2887</v>
      </c>
      <c r="C4883" s="46" t="s">
        <v>8727</v>
      </c>
      <c r="D4883" s="41" t="str">
        <f ca="1">IFERROR(__xludf.DUMMYFUNCTION("IFERROR(ARRAYFORMULA(REGEXEXTRACT(C4883,""^(?:https?:\/\/)?(?:[^@\n]+@)?(?:www\.)?([^:\/\n]+)"")),"""")"),"thebubble.org.uk")</f>
        <v>thebubble.org.uk</v>
      </c>
      <c r="E4883" s="26" t="str">
        <f ca="1">IFERROR(__xludf.DUMMYFUNCTION("""COMPUTED_VALUE"""),"New")</f>
        <v>New</v>
      </c>
      <c r="F4883" s="72">
        <v>35</v>
      </c>
      <c r="G4883" s="72">
        <v>3807</v>
      </c>
      <c r="P4883" s="26"/>
    </row>
    <row r="4884" spans="1:16" ht="14.5">
      <c r="A4884" s="3" t="s">
        <v>257</v>
      </c>
      <c r="B4884" s="12" t="s">
        <v>2887</v>
      </c>
      <c r="C4884" s="46" t="s">
        <v>8728</v>
      </c>
      <c r="D4884" s="41" t="str">
        <f ca="1">IFERROR(__xludf.DUMMYFUNCTION("IFERROR(ARRAYFORMULA(REGEXEXTRACT(C4884,""^(?:https?:\/\/)?(?:[^@\n]+@)?(?:www\.)?([^:\/\n]+)"")),"""")"),"lancaster.ac.uk")</f>
        <v>lancaster.ac.uk</v>
      </c>
      <c r="E4884" s="26" t="str">
        <f ca="1">IFERROR(__xludf.DUMMYFUNCTION("""COMPUTED_VALUE"""),"New")</f>
        <v>New</v>
      </c>
      <c r="F4884" s="72">
        <v>81</v>
      </c>
      <c r="G4884" s="72">
        <v>84154</v>
      </c>
      <c r="P4884" s="26"/>
    </row>
    <row r="4885" spans="1:16" ht="14.5">
      <c r="A4885" s="3" t="s">
        <v>257</v>
      </c>
      <c r="B4885" s="12" t="s">
        <v>2887</v>
      </c>
      <c r="C4885" s="46" t="s">
        <v>8729</v>
      </c>
      <c r="D4885" s="41" t="str">
        <f ca="1">IFERROR(__xludf.DUMMYFUNCTION("IFERROR(ARRAYFORMULA(REGEXEXTRACT(C4885,""^(?:https?:\/\/)?(?:[^@\n]+@)?(?:www\.)?([^:\/\n]+)"")),"""")"),"dur.ac.uk")</f>
        <v>dur.ac.uk</v>
      </c>
      <c r="E4885" s="26" t="str">
        <f ca="1">IFERROR(__xludf.DUMMYFUNCTION("""COMPUTED_VALUE"""),"New")</f>
        <v>New</v>
      </c>
      <c r="F4885" s="72">
        <v>81</v>
      </c>
      <c r="G4885" s="72">
        <v>4027</v>
      </c>
      <c r="P4885" s="26"/>
    </row>
    <row r="4886" spans="1:16" ht="14.5">
      <c r="A4886" s="3" t="s">
        <v>257</v>
      </c>
      <c r="B4886" s="12" t="s">
        <v>2887</v>
      </c>
      <c r="C4886" s="46" t="s">
        <v>8730</v>
      </c>
      <c r="D4886" s="41" t="str">
        <f ca="1">IFERROR(__xludf.DUMMYFUNCTION("IFERROR(ARRAYFORMULA(REGEXEXTRACT(C4886,""^(?:https?:\/\/)?(?:[^@\n]+@)?(?:www\.)?([^:\/\n]+)"")),"""")"),"deloitte.com")</f>
        <v>deloitte.com</v>
      </c>
      <c r="E4886" s="26" t="str">
        <f ca="1">IFERROR(__xludf.DUMMYFUNCTION("""COMPUTED_VALUE"""),"New")</f>
        <v>New</v>
      </c>
      <c r="F4886" s="72">
        <v>92</v>
      </c>
      <c r="G4886" s="72">
        <v>1374682</v>
      </c>
      <c r="P4886" s="26"/>
    </row>
    <row r="4887" spans="1:16" ht="14.5">
      <c r="A4887" s="3" t="s">
        <v>257</v>
      </c>
      <c r="B4887" s="12" t="s">
        <v>2887</v>
      </c>
      <c r="C4887" s="46" t="s">
        <v>8731</v>
      </c>
      <c r="D4887" s="41" t="str">
        <f ca="1">IFERROR(__xludf.DUMMYFUNCTION("IFERROR(ARRAYFORMULA(REGEXEXTRACT(C4887,""^(?:https?:\/\/)?(?:[^@\n]+@)?(?:www\.)?([^:\/\n]+)"")),"""")"),"prelive.instantoffices.com")</f>
        <v>prelive.instantoffices.com</v>
      </c>
      <c r="E4887" s="26" t="str">
        <f ca="1">IFERROR(__xludf.DUMMYFUNCTION("""COMPUTED_VALUE"""),"New")</f>
        <v>New</v>
      </c>
      <c r="F4887" s="72">
        <v>60</v>
      </c>
      <c r="G4887" s="72">
        <v>48962</v>
      </c>
      <c r="P4887" s="26"/>
    </row>
    <row r="4888" spans="1:16" ht="14.5">
      <c r="A4888" s="3" t="s">
        <v>257</v>
      </c>
      <c r="B4888" s="12" t="s">
        <v>2887</v>
      </c>
      <c r="C4888" s="46" t="s">
        <v>8732</v>
      </c>
      <c r="D4888" s="41" t="str">
        <f ca="1">IFERROR(__xludf.DUMMYFUNCTION("IFERROR(ARRAYFORMULA(REGEXEXTRACT(C4888,""^(?:https?:\/\/)?(?:[^@\n]+@)?(?:www\.)?([^:\/\n]+)"")),"""")"),"yorkshireeveningpost.co.uk")</f>
        <v>yorkshireeveningpost.co.uk</v>
      </c>
      <c r="E4888" s="26" t="str">
        <f ca="1">IFERROR(__xludf.DUMMYFUNCTION("""COMPUTED_VALUE"""),"New")</f>
        <v>New</v>
      </c>
      <c r="F4888" s="72">
        <v>74</v>
      </c>
      <c r="G4888" s="72">
        <v>152136</v>
      </c>
      <c r="H4888" s="27" t="s">
        <v>8733</v>
      </c>
      <c r="I4888" s="27" t="s">
        <v>8734</v>
      </c>
      <c r="J4888" s="27" t="s">
        <v>8735</v>
      </c>
      <c r="K4888" s="27" t="s">
        <v>3772</v>
      </c>
      <c r="L4888" s="112"/>
      <c r="P4888" s="26"/>
    </row>
    <row r="4889" spans="1:16" ht="14.5">
      <c r="A4889" s="3" t="s">
        <v>257</v>
      </c>
      <c r="B4889" s="12" t="s">
        <v>2887</v>
      </c>
      <c r="C4889" s="46" t="s">
        <v>8736</v>
      </c>
      <c r="D4889" s="41" t="str">
        <f ca="1">IFERROR(__xludf.DUMMYFUNCTION("IFERROR(ARRAYFORMULA(REGEXEXTRACT(C4889,""^(?:https?:\/\/)?(?:[^@\n]+@)?(?:www\.)?([^:\/\n]+)"")),"""")"),"onthemarket.com")</f>
        <v>onthemarket.com</v>
      </c>
      <c r="E4889" s="26" t="str">
        <f ca="1">IFERROR(__xludf.DUMMYFUNCTION("""COMPUTED_VALUE"""),"New")</f>
        <v>New</v>
      </c>
      <c r="F4889" s="72">
        <v>77</v>
      </c>
      <c r="G4889" s="72">
        <v>2439867</v>
      </c>
      <c r="J4889" s="27" t="s">
        <v>8737</v>
      </c>
      <c r="K4889" s="27" t="s">
        <v>3853</v>
      </c>
      <c r="L4889" s="112"/>
      <c r="P4889" s="26"/>
    </row>
    <row r="4890" spans="1:16" ht="14.5">
      <c r="A4890" s="3" t="s">
        <v>257</v>
      </c>
      <c r="B4890" s="12" t="s">
        <v>2887</v>
      </c>
      <c r="C4890" s="46" t="s">
        <v>8738</v>
      </c>
      <c r="D4890" s="41" t="str">
        <f ca="1">IFERROR(__xludf.DUMMYFUNCTION("IFERROR(ARRAYFORMULA(REGEXEXTRACT(C4890,""^(?:https?:\/\/)?(?:[^@\n]+@)?(?:www\.)?([^:\/\n]+)"")),"""")"),"thestar.co.uk")</f>
        <v>thestar.co.uk</v>
      </c>
      <c r="E4890" s="26" t="str">
        <f ca="1">IFERROR(__xludf.DUMMYFUNCTION("""COMPUTED_VALUE"""),"New")</f>
        <v>New</v>
      </c>
      <c r="F4890" s="72">
        <v>73</v>
      </c>
      <c r="G4890" s="72">
        <v>160464</v>
      </c>
      <c r="H4890" s="27" t="s">
        <v>8739</v>
      </c>
      <c r="I4890" s="27" t="s">
        <v>8740</v>
      </c>
      <c r="J4890" s="27" t="s">
        <v>8741</v>
      </c>
      <c r="K4890" s="27" t="s">
        <v>3772</v>
      </c>
      <c r="L4890" s="112"/>
      <c r="P4890" s="26"/>
    </row>
    <row r="4891" spans="1:16" ht="14.5">
      <c r="A4891" s="3" t="s">
        <v>257</v>
      </c>
      <c r="B4891" s="12" t="s">
        <v>2887</v>
      </c>
      <c r="C4891" s="46" t="s">
        <v>8742</v>
      </c>
      <c r="D4891" s="41" t="str">
        <f ca="1">IFERROR(__xludf.DUMMYFUNCTION("IFERROR(ARRAYFORMULA(REGEXEXTRACT(C4891,""^(?:https?:\/\/)?(?:[^@\n]+@)?(?:www\.)?([^:\/\n]+)"")),"""")"),"try.yorkshirepost.co.uk")</f>
        <v>try.yorkshirepost.co.uk</v>
      </c>
      <c r="E4891" s="26" t="str">
        <f ca="1">IFERROR(__xludf.DUMMYFUNCTION("""COMPUTED_VALUE"""),"New")</f>
        <v>New</v>
      </c>
      <c r="F4891" s="72">
        <v>78</v>
      </c>
      <c r="G4891" s="72">
        <v>83526</v>
      </c>
      <c r="H4891" s="27" t="s">
        <v>8743</v>
      </c>
      <c r="I4891" s="99" t="s">
        <v>8744</v>
      </c>
      <c r="J4891" s="99" t="s">
        <v>8745</v>
      </c>
      <c r="K4891" s="27" t="s">
        <v>3772</v>
      </c>
      <c r="L4891" s="112"/>
      <c r="P4891" s="26"/>
    </row>
    <row r="4892" spans="1:16" ht="14.5">
      <c r="A4892" s="3" t="s">
        <v>257</v>
      </c>
      <c r="B4892" s="12" t="s">
        <v>2887</v>
      </c>
      <c r="C4892" s="46" t="s">
        <v>8746</v>
      </c>
      <c r="D4892" s="41" t="str">
        <f ca="1">IFERROR(__xludf.DUMMYFUNCTION("IFERROR(ARRAYFORMULA(REGEXEXTRACT(C4892,""^(?:https?:\/\/)?(?:[^@\n]+@)?(?:www\.)?([^:\/\n]+)"")),"""")"),"durham.onboard.unioncloud.org")</f>
        <v>durham.onboard.unioncloud.org</v>
      </c>
      <c r="E4892" s="26" t="str">
        <f ca="1">IFERROR(__xludf.DUMMYFUNCTION("""COMPUTED_VALUE"""),"New")</f>
        <v>New</v>
      </c>
      <c r="F4892" s="72">
        <v>46</v>
      </c>
      <c r="G4892" s="72">
        <v>1193</v>
      </c>
      <c r="H4892" s="27" t="s">
        <v>8747</v>
      </c>
      <c r="I4892" s="99" t="s">
        <v>8748</v>
      </c>
      <c r="J4892" s="99" t="s">
        <v>8749</v>
      </c>
      <c r="K4892" s="27" t="s">
        <v>3853</v>
      </c>
      <c r="L4892" s="112"/>
      <c r="P4892" s="26"/>
    </row>
    <row r="4893" spans="1:16" ht="14.5">
      <c r="A4893" s="3" t="s">
        <v>257</v>
      </c>
      <c r="B4893" s="12" t="s">
        <v>2887</v>
      </c>
      <c r="C4893" s="46" t="s">
        <v>8750</v>
      </c>
      <c r="D4893" s="41" t="str">
        <f ca="1">IFERROR(__xludf.DUMMYFUNCTION("IFERROR(ARRAYFORMULA(REGEXEXTRACT(C4893,""^(?:https?:\/\/)?(?:[^@\n]+@)?(?:www\.)?([^:\/\n]+)"")),"""")"),"edtechinnovationhub.com")</f>
        <v>edtechinnovationhub.com</v>
      </c>
      <c r="E4893" s="26" t="str">
        <f ca="1">IFERROR(__xludf.DUMMYFUNCTION("""COMPUTED_VALUE"""),"New")</f>
        <v>New</v>
      </c>
      <c r="F4893" s="72">
        <v>59</v>
      </c>
      <c r="G4893" s="72">
        <v>114003</v>
      </c>
      <c r="H4893" s="27" t="s">
        <v>8751</v>
      </c>
      <c r="I4893" s="100" t="s">
        <v>8752</v>
      </c>
      <c r="J4893" s="101"/>
      <c r="K4893" s="27" t="s">
        <v>3772</v>
      </c>
      <c r="L4893" s="112"/>
      <c r="P4893" s="26"/>
    </row>
    <row r="4894" spans="1:16" ht="14.5">
      <c r="A4894" s="3" t="s">
        <v>257</v>
      </c>
      <c r="B4894" s="12" t="s">
        <v>2887</v>
      </c>
      <c r="C4894" s="46" t="s">
        <v>8753</v>
      </c>
      <c r="D4894" s="41" t="str">
        <f ca="1">IFERROR(__xludf.DUMMYFUNCTION("IFERROR(ARRAYFORMULA(REGEXEXTRACT(C4894,""^(?:https?:\/\/)?(?:[^@\n]+@)?(?:www\.)?([^:\/\n]+)"")),"""")"),"sheffielddirectory.org.uk")</f>
        <v>sheffielddirectory.org.uk</v>
      </c>
      <c r="E4894" s="26" t="str">
        <f ca="1">IFERROR(__xludf.DUMMYFUNCTION("""COMPUTED_VALUE"""),"New")</f>
        <v>New</v>
      </c>
      <c r="F4894" s="72">
        <v>49</v>
      </c>
      <c r="G4894" s="72">
        <v>5655</v>
      </c>
      <c r="P4894" s="26"/>
    </row>
    <row r="4895" spans="1:16" ht="14.5">
      <c r="A4895" s="3" t="s">
        <v>257</v>
      </c>
      <c r="B4895" s="12" t="s">
        <v>2887</v>
      </c>
      <c r="C4895" s="46" t="s">
        <v>8754</v>
      </c>
      <c r="D4895" s="41" t="str">
        <f ca="1">IFERROR(__xludf.DUMMYFUNCTION("IFERROR(ARRAYFORMULA(REGEXEXTRACT(C4895,""^(?:https?:\/\/)?(?:[^@\n]+@)?(?:www\.)?([^:\/\n]+)"")),"""")"),"nrla.org.uk")</f>
        <v>nrla.org.uk</v>
      </c>
      <c r="E4895" s="26" t="str">
        <f ca="1">IFERROR(__xludf.DUMMYFUNCTION("""COMPUTED_VALUE"""),"New")</f>
        <v>New</v>
      </c>
      <c r="F4895" s="72">
        <v>76</v>
      </c>
      <c r="G4895" s="72">
        <v>85760</v>
      </c>
      <c r="H4895" s="27" t="s">
        <v>8755</v>
      </c>
      <c r="I4895" s="27" t="s">
        <v>8756</v>
      </c>
      <c r="J4895" s="27" t="s">
        <v>8757</v>
      </c>
      <c r="K4895" s="27" t="s">
        <v>3772</v>
      </c>
      <c r="L4895" s="112"/>
      <c r="P4895" s="26"/>
    </row>
    <row r="4896" spans="1:16" ht="14.5">
      <c r="A4896" s="3" t="s">
        <v>257</v>
      </c>
      <c r="B4896" s="12" t="s">
        <v>2887</v>
      </c>
      <c r="C4896" s="46" t="s">
        <v>8758</v>
      </c>
      <c r="D4896" s="41" t="str">
        <f ca="1">IFERROR(__xludf.DUMMYFUNCTION("IFERROR(ARRAYFORMULA(REGEXEXTRACT(C4896,""^(?:https?:\/\/)?(?:[^@\n]+@)?(?:www\.)?([^:\/\n]+)"")),"""")"),"worldconstructionnetwork.com")</f>
        <v>worldconstructionnetwork.com</v>
      </c>
      <c r="E4896" s="26" t="str">
        <f ca="1">IFERROR(__xludf.DUMMYFUNCTION("""COMPUTED_VALUE"""),"New")</f>
        <v>New</v>
      </c>
      <c r="F4896" s="72">
        <v>60</v>
      </c>
      <c r="G4896" s="72">
        <v>1783</v>
      </c>
      <c r="H4896" s="27" t="s">
        <v>8759</v>
      </c>
      <c r="I4896" s="27" t="s">
        <v>8760</v>
      </c>
      <c r="J4896" s="27" t="s">
        <v>8761</v>
      </c>
      <c r="K4896" s="27" t="s">
        <v>3772</v>
      </c>
      <c r="L4896" s="112"/>
      <c r="P4896" s="26"/>
    </row>
    <row r="4897" spans="1:16" ht="14.5">
      <c r="A4897" s="3" t="s">
        <v>257</v>
      </c>
      <c r="B4897" s="12" t="s">
        <v>2887</v>
      </c>
      <c r="C4897" s="46" t="s">
        <v>8762</v>
      </c>
      <c r="D4897" s="41" t="str">
        <f ca="1">IFERROR(__xludf.DUMMYFUNCTION("IFERROR(ARRAYFORMULA(REGEXEXTRACT(C4897,""^(?:https?:\/\/)?(?:[^@\n]+@)?(?:www\.)?([^:\/\n]+)"")),"""")"),"sturents.stonly.com")</f>
        <v>sturents.stonly.com</v>
      </c>
      <c r="E4897" s="26" t="str">
        <f ca="1">IFERROR(__xludf.DUMMYFUNCTION("""COMPUTED_VALUE"""),"New")</f>
        <v>New</v>
      </c>
      <c r="F4897" s="72">
        <v>76</v>
      </c>
      <c r="G4897" s="72">
        <v>11259</v>
      </c>
      <c r="P4897" s="26"/>
    </row>
    <row r="4898" spans="1:16" ht="14.5">
      <c r="A4898" s="3" t="s">
        <v>257</v>
      </c>
      <c r="B4898" s="12" t="s">
        <v>2887</v>
      </c>
      <c r="C4898" s="46" t="s">
        <v>8763</v>
      </c>
      <c r="D4898" s="41" t="str">
        <f ca="1">IFERROR(__xludf.DUMMYFUNCTION("IFERROR(ARRAYFORMULA(REGEXEXTRACT(C4898,""^(?:https?:\/\/)?(?:[^@\n]+@)?(?:www\.)?([^:\/\n]+)"")),"""")"),"cherwell.org")</f>
        <v>cherwell.org</v>
      </c>
      <c r="E4898" s="26" t="str">
        <f ca="1">IFERROR(__xludf.DUMMYFUNCTION("""COMPUTED_VALUE"""),"New")</f>
        <v>New</v>
      </c>
      <c r="F4898" s="72">
        <v>63</v>
      </c>
      <c r="G4898" s="72">
        <v>9262</v>
      </c>
      <c r="H4898" s="102" t="s">
        <v>8764</v>
      </c>
      <c r="J4898" s="27" t="s">
        <v>8765</v>
      </c>
      <c r="K4898" s="27" t="s">
        <v>3772</v>
      </c>
      <c r="L4898" s="112"/>
      <c r="P4898" s="26"/>
    </row>
    <row r="4899" spans="1:16" ht="14.5">
      <c r="A4899" s="3" t="s">
        <v>257</v>
      </c>
      <c r="B4899" s="12" t="s">
        <v>2887</v>
      </c>
      <c r="C4899" s="46" t="s">
        <v>8766</v>
      </c>
      <c r="D4899" s="41" t="str">
        <f ca="1">IFERROR(__xludf.DUMMYFUNCTION("IFERROR(ARRAYFORMULA(REGEXEXTRACT(C4899,""^(?:https?:\/\/)?(?:[^@\n]+@)?(?:www\.)?([^:\/\n]+)"")),"""")"),"thepaymentsassociation.org")</f>
        <v>thepaymentsassociation.org</v>
      </c>
      <c r="E4899" s="26" t="str">
        <f ca="1">IFERROR(__xludf.DUMMYFUNCTION("""COMPUTED_VALUE"""),"New")</f>
        <v>New</v>
      </c>
      <c r="F4899" s="72">
        <v>70</v>
      </c>
      <c r="G4899" s="72">
        <v>4828</v>
      </c>
      <c r="H4899" s="27" t="s">
        <v>8767</v>
      </c>
      <c r="I4899" s="27" t="s">
        <v>8768</v>
      </c>
      <c r="J4899" s="27" t="s">
        <v>8769</v>
      </c>
      <c r="K4899" s="27" t="s">
        <v>3829</v>
      </c>
      <c r="L4899" s="112"/>
      <c r="P4899" s="26"/>
    </row>
    <row r="4900" spans="1:16" ht="14.5">
      <c r="A4900" s="3" t="s">
        <v>257</v>
      </c>
      <c r="B4900" s="12" t="s">
        <v>2887</v>
      </c>
      <c r="C4900" s="46" t="s">
        <v>8770</v>
      </c>
      <c r="D4900" s="41" t="str">
        <f ca="1">IFERROR(__xludf.DUMMYFUNCTION("IFERROR(ARRAYFORMULA(REGEXEXTRACT(C4900,""^(?:https?:\/\/)?(?:[^@\n]+@)?(?:www\.)?([^:\/\n]+)"")),"""")"),"tandfonline.com")</f>
        <v>tandfonline.com</v>
      </c>
      <c r="E4900" s="26" t="str">
        <f ca="1">IFERROR(__xludf.DUMMYFUNCTION("""COMPUTED_VALUE"""),"New")</f>
        <v>New</v>
      </c>
      <c r="F4900" s="72">
        <v>92</v>
      </c>
      <c r="G4900" s="72">
        <v>1113542</v>
      </c>
      <c r="H4900" s="27" t="s">
        <v>8771</v>
      </c>
      <c r="I4900" s="27" t="s">
        <v>8772</v>
      </c>
      <c r="J4900" s="27" t="s">
        <v>8773</v>
      </c>
      <c r="K4900" s="27" t="s">
        <v>3772</v>
      </c>
      <c r="L4900" s="112"/>
      <c r="P4900" s="26"/>
    </row>
    <row r="4901" spans="1:16" ht="14.5">
      <c r="A4901" s="3" t="s">
        <v>257</v>
      </c>
      <c r="B4901" s="12" t="s">
        <v>2887</v>
      </c>
      <c r="C4901" s="46" t="s">
        <v>8774</v>
      </c>
      <c r="D4901" s="41" t="str">
        <f ca="1">IFERROR(__xludf.DUMMYFUNCTION("IFERROR(ARRAYFORMULA(REGEXEXTRACT(C4901,""^(?:https?:\/\/)?(?:[^@\n]+@)?(?:www\.)?([^:\/\n]+)"")),"""")"),"accommodationforstudents.com")</f>
        <v>accommodationforstudents.com</v>
      </c>
      <c r="E4901" s="26" t="str">
        <f ca="1">IFERROR(__xludf.DUMMYFUNCTION("""COMPUTED_VALUE"""),"New")</f>
        <v>New</v>
      </c>
      <c r="F4901" s="72">
        <v>56</v>
      </c>
      <c r="G4901" s="72">
        <v>89467</v>
      </c>
      <c r="H4901" s="27" t="s">
        <v>8775</v>
      </c>
      <c r="I4901" s="27" t="s">
        <v>8776</v>
      </c>
      <c r="J4901" s="27" t="s">
        <v>8777</v>
      </c>
      <c r="K4901" s="27" t="s">
        <v>3853</v>
      </c>
      <c r="L4901" s="112"/>
      <c r="P4901" s="26"/>
    </row>
    <row r="4902" spans="1:16" ht="14.5">
      <c r="A4902" s="3" t="s">
        <v>257</v>
      </c>
      <c r="B4902" s="12" t="s">
        <v>2887</v>
      </c>
      <c r="C4902" s="46" t="s">
        <v>8778</v>
      </c>
      <c r="D4902" s="41" t="str">
        <f ca="1">IFERROR(__xludf.DUMMYFUNCTION("IFERROR(ARRAYFORMULA(REGEXEXTRACT(C4902,""^(?:https?:\/\/)?(?:[^@\n]+@)?(?:www\.)?([^:\/\n]+)"")),"""")"),"google.co.uk")</f>
        <v>google.co.uk</v>
      </c>
      <c r="E4902" s="26" t="str">
        <f ca="1">IFERROR(__xludf.DUMMYFUNCTION("""COMPUTED_VALUE"""),"New")</f>
        <v>New</v>
      </c>
      <c r="F4902" s="72">
        <v>93</v>
      </c>
      <c r="G4902" s="72">
        <v>1650202</v>
      </c>
      <c r="P4902" s="26"/>
    </row>
    <row r="4903" spans="1:16" ht="14.5">
      <c r="A4903" s="3" t="s">
        <v>257</v>
      </c>
      <c r="B4903" s="12" t="s">
        <v>2887</v>
      </c>
      <c r="C4903" s="46" t="s">
        <v>8779</v>
      </c>
      <c r="D4903" s="41" t="str">
        <f ca="1">IFERROR(__xludf.DUMMYFUNCTION("IFERROR(ARRAYFORMULA(REGEXEXTRACT(C4903,""^(?:https?:\/\/)?(?:[^@\n]+@)?(?:www\.)?([^:\/\n]+)"")),"""")"),"hu6zg0fcclhktccq4kuppxhub.js.wpenginepowered.com")</f>
        <v>hu6zg0fcclhktccq4kuppxhub.js.wpenginepowered.com</v>
      </c>
      <c r="E4903" s="26" t="str">
        <f ca="1">IFERROR(__xludf.DUMMYFUNCTION("""COMPUTED_VALUE"""),"New")</f>
        <v>New</v>
      </c>
      <c r="F4903" s="72">
        <v>91</v>
      </c>
      <c r="G4903" s="72">
        <v>32937</v>
      </c>
      <c r="P4903" s="26"/>
    </row>
    <row r="4904" spans="1:16" ht="14.5">
      <c r="A4904" s="3" t="s">
        <v>257</v>
      </c>
      <c r="B4904" s="57" t="s">
        <v>2888</v>
      </c>
      <c r="C4904" s="46" t="s">
        <v>8780</v>
      </c>
      <c r="D4904" s="41" t="str">
        <f ca="1">IFERROR(__xludf.DUMMYFUNCTION("IFERROR(ARRAYFORMULA(REGEXEXTRACT(C4904,""^(?:https?:\/\/)?(?:[^@\n]+@)?(?:www\.)?([^:\/\n]+)"")),"""")"),"londonstone.co.uk")</f>
        <v>londonstone.co.uk</v>
      </c>
      <c r="E4904" s="26" t="str">
        <f ca="1">IFERROR(__xludf.DUMMYFUNCTION("""COMPUTED_VALUE"""),"New")</f>
        <v>New</v>
      </c>
      <c r="F4904" s="72">
        <v>57</v>
      </c>
      <c r="G4904" s="72">
        <v>29113</v>
      </c>
      <c r="P4904" s="26"/>
    </row>
    <row r="4905" spans="1:16" ht="14.5">
      <c r="A4905" s="3" t="s">
        <v>257</v>
      </c>
      <c r="B4905" s="3" t="s">
        <v>2888</v>
      </c>
      <c r="C4905" s="46" t="s">
        <v>8781</v>
      </c>
      <c r="D4905" s="41" t="str">
        <f ca="1">IFERROR(__xludf.DUMMYFUNCTION("IFERROR(ARRAYFORMULA(REGEXEXTRACT(C4905,""^(?:https?:\/\/)?(?:[^@\n]+@)?(?:www\.)?([^:\/\n]+)"")),"""")"),"streetlist.co.uk")</f>
        <v>streetlist.co.uk</v>
      </c>
      <c r="E4905" s="26" t="str">
        <f ca="1">IFERROR(__xludf.DUMMYFUNCTION("""COMPUTED_VALUE"""),"New")</f>
        <v>New</v>
      </c>
      <c r="F4905" s="72">
        <v>34</v>
      </c>
      <c r="G4905" s="72">
        <v>7757</v>
      </c>
      <c r="P4905" s="26"/>
    </row>
    <row r="4906" spans="1:16" ht="14.5">
      <c r="A4906" s="3" t="s">
        <v>257</v>
      </c>
      <c r="B4906" s="3" t="s">
        <v>2888</v>
      </c>
      <c r="C4906" s="46" t="s">
        <v>8782</v>
      </c>
      <c r="D4906" s="41" t="str">
        <f ca="1">IFERROR(__xludf.DUMMYFUNCTION("IFERROR(ARRAYFORMULA(REGEXEXTRACT(C4906,""^(?:https?:\/\/)?(?:[^@\n]+@)?(?:www\.)?([^:\/\n]+)"")),"""")"),"gacitralafeelcleanerb1.firebaseapp.com")</f>
        <v>gacitralafeelcleanerb1.firebaseapp.com</v>
      </c>
      <c r="E4906" s="26" t="str">
        <f ca="1">IFERROR(__xludf.DUMMYFUNCTION("""COMPUTED_VALUE"""),"New")</f>
        <v>New</v>
      </c>
      <c r="F4906" s="72">
        <v>87</v>
      </c>
      <c r="G4906" s="72">
        <v>67278</v>
      </c>
      <c r="J4906" s="27" t="s">
        <v>8783</v>
      </c>
      <c r="K4906" s="27" t="s">
        <v>8405</v>
      </c>
      <c r="L4906" s="112"/>
      <c r="P4906" s="26"/>
    </row>
    <row r="4907" spans="1:16" ht="14.5">
      <c r="A4907" s="3" t="s">
        <v>257</v>
      </c>
      <c r="B4907" s="3" t="s">
        <v>2888</v>
      </c>
      <c r="C4907" s="46" t="s">
        <v>8784</v>
      </c>
      <c r="D4907" s="41" t="str">
        <f ca="1">IFERROR(__xludf.DUMMYFUNCTION("IFERROR(ARRAYFORMULA(REGEXEXTRACT(C4907,""^(?:https?:\/\/)?(?:[^@\n]+@)?(?:www\.)?([^:\/\n]+)"")),"""")"),"eridan.websrvcs.com")</f>
        <v>eridan.websrvcs.com</v>
      </c>
      <c r="E4907" s="26" t="str">
        <f ca="1">IFERROR(__xludf.DUMMYFUNCTION("""COMPUTED_VALUE"""),"New")</f>
        <v>New</v>
      </c>
      <c r="F4907" s="72">
        <v>69</v>
      </c>
      <c r="G4907" s="72">
        <v>10698</v>
      </c>
      <c r="P4907" s="26"/>
    </row>
    <row r="4908" spans="1:16" ht="14.5">
      <c r="A4908" s="3" t="s">
        <v>257</v>
      </c>
      <c r="B4908" s="57" t="s">
        <v>2885</v>
      </c>
      <c r="C4908" s="46" t="s">
        <v>8785</v>
      </c>
      <c r="D4908" s="41" t="str">
        <f ca="1">IFERROR(__xludf.DUMMYFUNCTION("IFERROR(ARRAYFORMULA(REGEXEXTRACT(C4908,""^(?:https?:\/\/)?(?:[^@\n]+@)?(?:www\.)?([^:\/\n]+)"")),"""")"),"shakespearemarathon.org.uk")</f>
        <v>shakespearemarathon.org.uk</v>
      </c>
      <c r="E4908" s="26" t="str">
        <f ca="1">IFERROR(__xludf.DUMMYFUNCTION("""COMPUTED_VALUE"""),"New")</f>
        <v>New</v>
      </c>
      <c r="F4908" s="72">
        <v>34</v>
      </c>
      <c r="G4908" s="72">
        <v>1338</v>
      </c>
      <c r="P4908" s="26"/>
    </row>
    <row r="4909" spans="1:16" ht="14.5">
      <c r="A4909" s="3" t="s">
        <v>257</v>
      </c>
      <c r="B4909" s="3" t="s">
        <v>2885</v>
      </c>
      <c r="C4909" s="46" t="s">
        <v>8786</v>
      </c>
      <c r="D4909" s="41" t="str">
        <f ca="1">IFERROR(__xludf.DUMMYFUNCTION("IFERROR(ARRAYFORMULA(REGEXEXTRACT(C4909,""^(?:https?:\/\/)?(?:[^@\n]+@)?(?:www\.)?([^:\/\n]+)"")),"""")"),"cicm.com")</f>
        <v>cicm.com</v>
      </c>
      <c r="E4909" s="26" t="str">
        <f ca="1">IFERROR(__xludf.DUMMYFUNCTION("""COMPUTED_VALUE"""),"New")</f>
        <v>New</v>
      </c>
      <c r="F4909" s="72">
        <v>57</v>
      </c>
      <c r="G4909" s="72">
        <v>2452</v>
      </c>
      <c r="J4909" s="27" t="s">
        <v>8787</v>
      </c>
      <c r="K4909" s="27" t="s">
        <v>3829</v>
      </c>
      <c r="L4909" s="112"/>
      <c r="P4909" s="26"/>
    </row>
    <row r="4910" spans="1:16" ht="14.5">
      <c r="A4910" s="3" t="s">
        <v>257</v>
      </c>
      <c r="B4910" s="3" t="s">
        <v>2885</v>
      </c>
      <c r="C4910" s="46" t="s">
        <v>8788</v>
      </c>
      <c r="D4910" s="41" t="str">
        <f ca="1">IFERROR(__xludf.DUMMYFUNCTION("IFERROR(ARRAYFORMULA(REGEXEXTRACT(C4910,""^(?:https?:\/\/)?(?:[^@\n]+@)?(?:www\.)?([^:\/\n]+)"")),"""")"),"limesolicitors.co.uk")</f>
        <v>limesolicitors.co.uk</v>
      </c>
      <c r="E4910" s="26" t="str">
        <f ca="1">IFERROR(__xludf.DUMMYFUNCTION("""COMPUTED_VALUE"""),"New")</f>
        <v>New</v>
      </c>
      <c r="F4910" s="72">
        <v>28</v>
      </c>
      <c r="G4910" s="72">
        <v>1856</v>
      </c>
      <c r="P4910" s="26"/>
    </row>
    <row r="4911" spans="1:16" ht="14.5">
      <c r="A4911" s="3" t="s">
        <v>257</v>
      </c>
      <c r="B4911" s="3" t="s">
        <v>2885</v>
      </c>
      <c r="C4911" s="46" t="s">
        <v>8789</v>
      </c>
      <c r="D4911" s="41" t="str">
        <f ca="1">IFERROR(__xludf.DUMMYFUNCTION("IFERROR(ARRAYFORMULA(REGEXEXTRACT(C4911,""^(?:https?:\/\/)?(?:[^@\n]+@)?(?:www\.)?([^:\/\n]+)"")),"""")"),"civilmediation.org")</f>
        <v>civilmediation.org</v>
      </c>
      <c r="E4911" s="26" t="str">
        <f ca="1">IFERROR(__xludf.DUMMYFUNCTION("""COMPUTED_VALUE"""),"New")</f>
        <v>New</v>
      </c>
      <c r="F4911" s="72">
        <v>71</v>
      </c>
      <c r="G4911" s="72">
        <v>2080</v>
      </c>
      <c r="P4911" s="26"/>
    </row>
    <row r="4912" spans="1:16" ht="14.5">
      <c r="A4912" s="3" t="s">
        <v>257</v>
      </c>
      <c r="B4912" s="3" t="s">
        <v>2885</v>
      </c>
      <c r="C4912" s="46" t="s">
        <v>8790</v>
      </c>
      <c r="D4912" s="41" t="str">
        <f ca="1">IFERROR(__xludf.DUMMYFUNCTION("IFERROR(ARRAYFORMULA(REGEXEXTRACT(C4912,""^(?:https?:\/\/)?(?:[^@\n]+@)?(?:www\.)?([^:\/\n]+)"")),"""")"),"lincolnshireshowground.co.uk")</f>
        <v>lincolnshireshowground.co.uk</v>
      </c>
      <c r="E4912" s="26" t="str">
        <f ca="1">IFERROR(__xludf.DUMMYFUNCTION("""COMPUTED_VALUE"""),"New")</f>
        <v>New</v>
      </c>
      <c r="F4912" s="72">
        <v>52</v>
      </c>
      <c r="G4912" s="72">
        <v>5261</v>
      </c>
      <c r="P4912" s="26"/>
    </row>
    <row r="4913" spans="1:16" ht="14.5">
      <c r="A4913" s="3" t="s">
        <v>257</v>
      </c>
      <c r="B4913" s="3" t="s">
        <v>2885</v>
      </c>
      <c r="C4913" s="46" t="s">
        <v>8791</v>
      </c>
      <c r="D4913" s="41" t="str">
        <f ca="1">IFERROR(__xludf.DUMMYFUNCTION("IFERROR(ARRAYFORMULA(REGEXEXTRACT(C4913,""^(?:https?:\/\/)?(?:[^@\n]+@)?(?:www\.)?([^:\/\n]+)"")),"""")"),"blog.ipleaders.in")</f>
        <v>blog.ipleaders.in</v>
      </c>
      <c r="E4913" s="26" t="str">
        <f ca="1">IFERROR(__xludf.DUMMYFUNCTION("""COMPUTED_VALUE"""),"New")</f>
        <v>New</v>
      </c>
      <c r="F4913" s="72">
        <v>71</v>
      </c>
      <c r="G4913" s="72">
        <v>570207</v>
      </c>
      <c r="P4913" s="26"/>
    </row>
    <row r="4914" spans="1:16" ht="14.5">
      <c r="A4914" s="3" t="s">
        <v>257</v>
      </c>
      <c r="B4914" s="3" t="s">
        <v>2885</v>
      </c>
      <c r="C4914" s="46" t="s">
        <v>8792</v>
      </c>
      <c r="D4914" s="41" t="str">
        <f ca="1">IFERROR(__xludf.DUMMYFUNCTION("IFERROR(ARRAYFORMULA(REGEXEXTRACT(C4914,""^(?:https?:\/\/)?(?:[^@\n]+@)?(?:www\.)?([^:\/\n]+)"")),"""")"),"sra.org.uk")</f>
        <v>sra.org.uk</v>
      </c>
      <c r="E4914" s="26" t="str">
        <f ca="1">IFERROR(__xludf.DUMMYFUNCTION("""COMPUTED_VALUE"""),"New")</f>
        <v>New</v>
      </c>
      <c r="F4914" s="72">
        <v>85</v>
      </c>
      <c r="G4914" s="72">
        <v>113344</v>
      </c>
      <c r="P4914" s="26"/>
    </row>
    <row r="4915" spans="1:16" ht="14.5">
      <c r="A4915" s="3" t="s">
        <v>257</v>
      </c>
      <c r="B4915" s="3" t="s">
        <v>2885</v>
      </c>
      <c r="C4915" s="46" t="s">
        <v>8793</v>
      </c>
      <c r="D4915" s="41" t="str">
        <f ca="1">IFERROR(__xludf.DUMMYFUNCTION("IFERROR(ARRAYFORMULA(REGEXEXTRACT(C4915,""^(?:https?:\/\/)?(?:[^@\n]+@)?(?:www\.)?([^:\/\n]+)"")),"""")"),"reviewsolicitors.co.uk")</f>
        <v>reviewsolicitors.co.uk</v>
      </c>
      <c r="E4915" s="26" t="str">
        <f ca="1">IFERROR(__xludf.DUMMYFUNCTION("""COMPUTED_VALUE"""),"New")</f>
        <v>New</v>
      </c>
      <c r="F4915" s="72">
        <v>74</v>
      </c>
      <c r="G4915" s="72">
        <v>92481</v>
      </c>
      <c r="P4915" s="26"/>
    </row>
    <row r="4916" spans="1:16" ht="14.5">
      <c r="A4916" s="3" t="s">
        <v>257</v>
      </c>
      <c r="B4916" s="3" t="s">
        <v>2885</v>
      </c>
      <c r="C4916" s="46" t="s">
        <v>8794</v>
      </c>
      <c r="D4916" s="41" t="str">
        <f ca="1">IFERROR(__xludf.DUMMYFUNCTION("IFERROR(ARRAYFORMULA(REGEXEXTRACT(C4916,""^(?:https?:\/\/)?(?:[^@\n]+@)?(?:www\.)?([^:\/\n]+)"")),"""")"),"bridgeindia.org.uk")</f>
        <v>bridgeindia.org.uk</v>
      </c>
      <c r="E4916" s="26" t="str">
        <f ca="1">IFERROR(__xludf.DUMMYFUNCTION("""COMPUTED_VALUE"""),"New")</f>
        <v>New</v>
      </c>
      <c r="F4916" s="72">
        <v>26</v>
      </c>
      <c r="G4916" s="72">
        <v>2240</v>
      </c>
      <c r="P4916" s="26"/>
    </row>
    <row r="4917" spans="1:16" ht="14.5">
      <c r="A4917" s="3" t="s">
        <v>257</v>
      </c>
      <c r="B4917" s="3" t="s">
        <v>2885</v>
      </c>
      <c r="C4917" s="46" t="s">
        <v>8795</v>
      </c>
      <c r="D4917" s="41" t="str">
        <f ca="1">IFERROR(__xludf.DUMMYFUNCTION("IFERROR(ARRAYFORMULA(REGEXEXTRACT(C4917,""^(?:https?:\/\/)?(?:[^@\n]+@)?(?:www\.)?([^:\/\n]+)"")),"""")"),"hepi.ac.uk")</f>
        <v>hepi.ac.uk</v>
      </c>
      <c r="E4917" s="26" t="str">
        <f ca="1">IFERROR(__xludf.DUMMYFUNCTION("""COMPUTED_VALUE"""),"New")</f>
        <v>New</v>
      </c>
      <c r="F4917" s="72">
        <v>73</v>
      </c>
      <c r="G4917" s="72">
        <v>3289</v>
      </c>
      <c r="P4917" s="26"/>
    </row>
    <row r="4918" spans="1:16" ht="14.5">
      <c r="A4918" s="3" t="s">
        <v>257</v>
      </c>
      <c r="B4918" s="3" t="s">
        <v>2885</v>
      </c>
      <c r="C4918" s="46" t="s">
        <v>8796</v>
      </c>
      <c r="D4918" s="41" t="str">
        <f ca="1">IFERROR(__xludf.DUMMYFUNCTION("IFERROR(ARRAYFORMULA(REGEXEXTRACT(C4918,""^(?:https?:\/\/)?(?:[^@\n]+@)?(?:www\.)?([^:\/\n]+)"")),"""")"),"trinitycollege.com")</f>
        <v>trinitycollege.com</v>
      </c>
      <c r="E4918" s="26" t="str">
        <f ca="1">IFERROR(__xludf.DUMMYFUNCTION("""COMPUTED_VALUE"""),"New")</f>
        <v>New</v>
      </c>
      <c r="F4918" s="72">
        <v>77</v>
      </c>
      <c r="G4918" s="72">
        <v>46097</v>
      </c>
      <c r="J4918" s="27" t="s">
        <v>8797</v>
      </c>
      <c r="K4918" s="27" t="s">
        <v>3772</v>
      </c>
      <c r="L4918" s="112"/>
      <c r="P4918" s="26"/>
    </row>
    <row r="4919" spans="1:16" ht="14.5">
      <c r="A4919" s="3" t="s">
        <v>257</v>
      </c>
      <c r="B4919" s="3" t="s">
        <v>2885</v>
      </c>
      <c r="C4919" s="46" t="s">
        <v>8798</v>
      </c>
      <c r="D4919" s="41" t="str">
        <f ca="1">IFERROR(__xludf.DUMMYFUNCTION("IFERROR(ARRAYFORMULA(REGEXEXTRACT(C4919,""^(?:https?:\/\/)?(?:[^@\n]+@)?(?:www\.)?([^:\/\n]+)"")),"""")"),"legal500.com")</f>
        <v>legal500.com</v>
      </c>
      <c r="E4919" s="26" t="str">
        <f ca="1">IFERROR(__xludf.DUMMYFUNCTION("""COMPUTED_VALUE"""),"New")</f>
        <v>New</v>
      </c>
      <c r="F4919" s="72">
        <v>81</v>
      </c>
      <c r="G4919" s="72">
        <v>233740</v>
      </c>
      <c r="P4919" s="26"/>
    </row>
    <row r="4920" spans="1:16" ht="14.5">
      <c r="A4920" s="3" t="s">
        <v>257</v>
      </c>
      <c r="B4920" s="3" t="s">
        <v>2885</v>
      </c>
      <c r="C4920" s="46" t="s">
        <v>8799</v>
      </c>
      <c r="D4920" s="41" t="str">
        <f ca="1">IFERROR(__xludf.DUMMYFUNCTION("IFERROR(ARRAYFORMULA(REGEXEXTRACT(C4920,""^(?:https?:\/\/)?(?:[^@\n]+@)?(?:www\.)?([^:\/\n]+)"")),"""")"),"flex.legal")</f>
        <v>flex.legal</v>
      </c>
      <c r="E4920" s="26" t="str">
        <f ca="1">IFERROR(__xludf.DUMMYFUNCTION("""COMPUTED_VALUE"""),"New")</f>
        <v>New</v>
      </c>
      <c r="F4920" s="72">
        <v>36</v>
      </c>
      <c r="G4920" s="72">
        <v>1774</v>
      </c>
      <c r="P4920" s="26"/>
    </row>
    <row r="4921" spans="1:16" ht="14.5">
      <c r="A4921" s="3" t="s">
        <v>257</v>
      </c>
      <c r="B4921" s="3" t="s">
        <v>2885</v>
      </c>
      <c r="C4921" s="46" t="s">
        <v>8800</v>
      </c>
      <c r="D4921" s="41" t="str">
        <f ca="1">IFERROR(__xludf.DUMMYFUNCTION("IFERROR(ARRAYFORMULA(REGEXEXTRACT(C4921,""^(?:https?:\/\/)?(?:[^@\n]+@)?(?:www\.)?([^:\/\n]+)"")),"""")"),"legalcheek.com")</f>
        <v>legalcheek.com</v>
      </c>
      <c r="E4921" s="26" t="str">
        <f ca="1">IFERROR(__xludf.DUMMYFUNCTION("""COMPUTED_VALUE"""),"New")</f>
        <v>New</v>
      </c>
      <c r="F4921" s="72">
        <v>67</v>
      </c>
      <c r="G4921" s="72">
        <v>37699</v>
      </c>
      <c r="P4921" s="26"/>
    </row>
    <row r="4922" spans="1:16" ht="14.5">
      <c r="A4922" s="3" t="s">
        <v>257</v>
      </c>
      <c r="B4922" s="3" t="s">
        <v>2885</v>
      </c>
      <c r="C4922" s="46" t="s">
        <v>8801</v>
      </c>
      <c r="D4922" s="41" t="str">
        <f ca="1">IFERROR(__xludf.DUMMYFUNCTION("IFERROR(ARRAYFORMULA(REGEXEXTRACT(C4922,""^(?:https?:\/\/)?(?:[^@\n]+@)?(?:www\.)?([^:\/\n]+)"")),"""")"),"debt-advisory-services.co.uk")</f>
        <v>debt-advisory-services.co.uk</v>
      </c>
      <c r="E4922" s="26" t="str">
        <f ca="1">IFERROR(__xludf.DUMMYFUNCTION("""COMPUTED_VALUE"""),"New")</f>
        <v>New</v>
      </c>
      <c r="F4922" s="72">
        <v>25</v>
      </c>
      <c r="G4922" s="72">
        <v>10248</v>
      </c>
      <c r="I4922" s="27" t="s">
        <v>8802</v>
      </c>
      <c r="J4922" s="27" t="s">
        <v>8803</v>
      </c>
      <c r="K4922" s="27" t="s">
        <v>3829</v>
      </c>
      <c r="L4922" s="112"/>
      <c r="P4922" s="26"/>
    </row>
    <row r="4923" spans="1:16" ht="14.5">
      <c r="A4923" s="3" t="s">
        <v>257</v>
      </c>
      <c r="B4923" s="3" t="s">
        <v>2885</v>
      </c>
      <c r="C4923" s="46" t="s">
        <v>8804</v>
      </c>
      <c r="D4923" s="41" t="str">
        <f ca="1">IFERROR(__xludf.DUMMYFUNCTION("IFERROR(ARRAYFORMULA(REGEXEXTRACT(C4923,""^(?:https?:\/\/)?(?:[^@\n]+@)?(?:www\.)?([^:\/\n]+)"")),"""")"),"uhr.ac.uk")</f>
        <v>uhr.ac.uk</v>
      </c>
      <c r="E4923" s="26" t="str">
        <f ca="1">IFERROR(__xludf.DUMMYFUNCTION("""COMPUTED_VALUE"""),"New")</f>
        <v>New</v>
      </c>
      <c r="F4923" s="72">
        <v>36</v>
      </c>
      <c r="G4923" s="72">
        <v>1825</v>
      </c>
      <c r="P4923" s="26"/>
    </row>
    <row r="4924" spans="1:16" ht="14.5">
      <c r="A4924" s="3" t="s">
        <v>257</v>
      </c>
      <c r="B4924" s="3" t="s">
        <v>2885</v>
      </c>
      <c r="C4924" s="46" t="s">
        <v>8805</v>
      </c>
      <c r="D4924" s="41" t="str">
        <f ca="1">IFERROR(__xludf.DUMMYFUNCTION("IFERROR(ARRAYFORMULA(REGEXEXTRACT(C4924,""^(?:https?:\/\/)?(?:[^@\n]+@)?(?:www\.)?([^:\/\n]+)"")),"""")"),"personneltoday.com")</f>
        <v>personneltoday.com</v>
      </c>
      <c r="E4924" s="26" t="str">
        <f ca="1">IFERROR(__xludf.DUMMYFUNCTION("""COMPUTED_VALUE"""),"New")</f>
        <v>New</v>
      </c>
      <c r="F4924" s="72">
        <v>78</v>
      </c>
      <c r="G4924" s="72">
        <v>8365</v>
      </c>
      <c r="P4924" s="26"/>
    </row>
    <row r="4925" spans="1:16" ht="14.5">
      <c r="A4925" s="3" t="s">
        <v>257</v>
      </c>
      <c r="B4925" s="3" t="s">
        <v>2885</v>
      </c>
      <c r="C4925" s="46" t="s">
        <v>8806</v>
      </c>
      <c r="D4925" s="41" t="str">
        <f ca="1">IFERROR(__xludf.DUMMYFUNCTION("IFERROR(ARRAYFORMULA(REGEXEXTRACT(C4925,""^(?:https?:\/\/)?(?:[^@\n]+@)?(?:www\.)?([^:\/\n]+)"")),"""")"),"mayowynnebaxter.co.uk")</f>
        <v>mayowynnebaxter.co.uk</v>
      </c>
      <c r="E4925" s="26" t="str">
        <f ca="1">IFERROR(__xludf.DUMMYFUNCTION("""COMPUTED_VALUE"""),"New")</f>
        <v>New</v>
      </c>
      <c r="F4925" s="72">
        <v>40</v>
      </c>
      <c r="G4925" s="72">
        <v>2581</v>
      </c>
      <c r="P4925" s="26"/>
    </row>
    <row r="4926" spans="1:16" ht="14.5">
      <c r="A4926" s="3" t="s">
        <v>257</v>
      </c>
      <c r="B4926" s="3" t="s">
        <v>2885</v>
      </c>
      <c r="C4926" s="46" t="s">
        <v>8807</v>
      </c>
      <c r="D4926" s="41" t="str">
        <f ca="1">IFERROR(__xludf.DUMMYFUNCTION("IFERROR(ARRAYFORMULA(REGEXEXTRACT(C4926,""^(?:https?:\/\/)?(?:[^@\n]+@)?(?:www\.)?([^:\/\n]+)"")),"""")"),"bristol.ac.uk")</f>
        <v>bristol.ac.uk</v>
      </c>
      <c r="E4926" s="26" t="str">
        <f ca="1">IFERROR(__xludf.DUMMYFUNCTION("""COMPUTED_VALUE"""),"New")</f>
        <v>New</v>
      </c>
      <c r="F4926" s="72">
        <v>85</v>
      </c>
      <c r="G4926" s="72">
        <v>349875</v>
      </c>
      <c r="P4926" s="26"/>
    </row>
    <row r="4927" spans="1:16" ht="14.5">
      <c r="A4927" s="3" t="s">
        <v>257</v>
      </c>
      <c r="B4927" s="3" t="s">
        <v>2885</v>
      </c>
      <c r="C4927" s="46" t="s">
        <v>8808</v>
      </c>
      <c r="D4927" s="41" t="str">
        <f ca="1">IFERROR(__xludf.DUMMYFUNCTION("IFERROR(ARRAYFORMULA(REGEXEXTRACT(C4927,""^(?:https?:\/\/)?(?:[^@\n]+@)?(?:www\.)?([^:\/\n]+)"")),"""")"),"bira.co.uk")</f>
        <v>bira.co.uk</v>
      </c>
      <c r="E4927" s="26" t="str">
        <f ca="1">IFERROR(__xludf.DUMMYFUNCTION("""COMPUTED_VALUE"""),"New")</f>
        <v>New</v>
      </c>
      <c r="F4927" s="72">
        <v>57</v>
      </c>
      <c r="G4927" s="72">
        <v>1648</v>
      </c>
      <c r="H4927" s="27" t="s">
        <v>8809</v>
      </c>
      <c r="I4927" s="27" t="s">
        <v>8810</v>
      </c>
      <c r="J4927" s="27" t="s">
        <v>8811</v>
      </c>
      <c r="K4927" s="27" t="s">
        <v>3772</v>
      </c>
      <c r="L4927" s="112"/>
      <c r="P4927" s="26"/>
    </row>
    <row r="4928" spans="1:16" ht="14.5">
      <c r="A4928" s="3" t="s">
        <v>257</v>
      </c>
      <c r="B4928" s="3" t="s">
        <v>2885</v>
      </c>
      <c r="C4928" s="46" t="s">
        <v>8812</v>
      </c>
      <c r="D4928" s="41" t="str">
        <f ca="1">IFERROR(__xludf.DUMMYFUNCTION("IFERROR(ARRAYFORMULA(REGEXEXTRACT(C4928,""^(?:https?:\/\/)?(?:[^@\n]+@)?(?:www\.)?([^:\/\n]+)"")),"""")"),"mooreks.co.uk")</f>
        <v>mooreks.co.uk</v>
      </c>
      <c r="E4928" s="26" t="str">
        <f ca="1">IFERROR(__xludf.DUMMYFUNCTION("""COMPUTED_VALUE"""),"New")</f>
        <v>New</v>
      </c>
      <c r="F4928" s="72">
        <v>58</v>
      </c>
      <c r="G4928" s="72">
        <v>20966</v>
      </c>
      <c r="H4928" s="27" t="s">
        <v>8813</v>
      </c>
      <c r="I4928" s="27" t="s">
        <v>8814</v>
      </c>
      <c r="K4928" s="27" t="s">
        <v>3829</v>
      </c>
      <c r="L4928" s="112"/>
      <c r="P4928" s="26"/>
    </row>
    <row r="4929" spans="1:16" ht="14.5">
      <c r="A4929" s="3" t="s">
        <v>257</v>
      </c>
      <c r="B4929" s="3" t="s">
        <v>2885</v>
      </c>
      <c r="C4929" s="46" t="s">
        <v>8815</v>
      </c>
      <c r="D4929" s="41" t="str">
        <f ca="1">IFERROR(__xludf.DUMMYFUNCTION("IFERROR(ARRAYFORMULA(REGEXEXTRACT(C4929,""^(?:https?:\/\/)?(?:[^@\n]+@)?(?:www\.)?([^:\/\n]+)"")),"""")"),"hinchilla.com")</f>
        <v>hinchilla.com</v>
      </c>
      <c r="E4929" s="26" t="str">
        <f ca="1">IFERROR(__xludf.DUMMYFUNCTION("""COMPUTED_VALUE"""),"New")</f>
        <v>New</v>
      </c>
      <c r="F4929" s="72">
        <v>53</v>
      </c>
      <c r="G4929" s="72">
        <v>1114</v>
      </c>
      <c r="P4929" s="26"/>
    </row>
    <row r="4930" spans="1:16" ht="14.5">
      <c r="A4930" s="3" t="s">
        <v>257</v>
      </c>
      <c r="B4930" s="3" t="s">
        <v>2885</v>
      </c>
      <c r="C4930" s="46" t="s">
        <v>8816</v>
      </c>
      <c r="D4930" s="41" t="str">
        <f ca="1">IFERROR(__xludf.DUMMYFUNCTION("IFERROR(ARRAYFORMULA(REGEXEXTRACT(C4930,""^(?:https?:\/\/)?(?:[^@\n]+@)?(?:www\.)?([^:\/\n]+)"")),"""")"),"newlawjournal.co.uk")</f>
        <v>newlawjournal.co.uk</v>
      </c>
      <c r="E4930" s="26" t="str">
        <f ca="1">IFERROR(__xludf.DUMMYFUNCTION("""COMPUTED_VALUE"""),"New")</f>
        <v>New</v>
      </c>
      <c r="F4930" s="72">
        <v>60</v>
      </c>
      <c r="G4930" s="72">
        <v>1345</v>
      </c>
      <c r="P4930" s="26"/>
    </row>
    <row r="4931" spans="1:16" ht="14.5">
      <c r="A4931" s="3" t="s">
        <v>257</v>
      </c>
      <c r="B4931" s="3" t="s">
        <v>2885</v>
      </c>
      <c r="C4931" s="46" t="s">
        <v>8817</v>
      </c>
      <c r="D4931" s="41" t="str">
        <f ca="1">IFERROR(__xludf.DUMMYFUNCTION("IFERROR(ARRAYFORMULA(REGEXEXTRACT(C4931,""^(?:https?:\/\/)?(?:[^@\n]+@)?(?:www\.)?([^:\/\n]+)"")),"""")"),"nfuonline.com")</f>
        <v>nfuonline.com</v>
      </c>
      <c r="E4931" s="26" t="str">
        <f ca="1">IFERROR(__xludf.DUMMYFUNCTION("""COMPUTED_VALUE"""),"New")</f>
        <v>New</v>
      </c>
      <c r="F4931" s="72">
        <v>76</v>
      </c>
      <c r="G4931" s="72">
        <v>16933</v>
      </c>
      <c r="H4931" s="27" t="s">
        <v>8818</v>
      </c>
      <c r="I4931" s="27" t="s">
        <v>8819</v>
      </c>
      <c r="K4931" s="27" t="s">
        <v>3772</v>
      </c>
      <c r="L4931" s="112"/>
      <c r="P4931" s="26"/>
    </row>
    <row r="4932" spans="1:16" ht="14.5">
      <c r="A4932" s="3" t="s">
        <v>257</v>
      </c>
      <c r="B4932" s="3" t="s">
        <v>2885</v>
      </c>
      <c r="C4932" s="46" t="s">
        <v>8820</v>
      </c>
      <c r="D4932" s="41" t="str">
        <f ca="1">IFERROR(__xludf.DUMMYFUNCTION("IFERROR(ARRAYFORMULA(REGEXEXTRACT(C4932,""^(?:https?:\/\/)?(?:[^@\n]+@)?(?:www\.)?([^:\/\n]+)"")),"""")"),"lboro.ac.uk")</f>
        <v>lboro.ac.uk</v>
      </c>
      <c r="E4932" s="26" t="str">
        <f ca="1">IFERROR(__xludf.DUMMYFUNCTION("""COMPUTED_VALUE"""),"New")</f>
        <v>New</v>
      </c>
      <c r="F4932" s="72">
        <v>81</v>
      </c>
      <c r="G4932" s="72">
        <v>134322</v>
      </c>
      <c r="P4932" s="26"/>
    </row>
    <row r="4933" spans="1:16" ht="14.5">
      <c r="A4933" s="3" t="s">
        <v>257</v>
      </c>
      <c r="B4933" s="3" t="s">
        <v>2885</v>
      </c>
      <c r="C4933" s="46" t="s">
        <v>8821</v>
      </c>
      <c r="D4933" s="41" t="str">
        <f ca="1">IFERROR(__xludf.DUMMYFUNCTION("IFERROR(ARRAYFORMULA(REGEXEXTRACT(C4933,""^(?:https?:\/\/)?(?:[^@\n]+@)?(?:www\.)?([^:\/\n]+)"")),"""")"),"quiltercheviot.com")</f>
        <v>quiltercheviot.com</v>
      </c>
      <c r="E4933" s="26" t="str">
        <f ca="1">IFERROR(__xludf.DUMMYFUNCTION("""COMPUTED_VALUE"""),"New")</f>
        <v>New</v>
      </c>
      <c r="F4933" s="72">
        <v>53</v>
      </c>
      <c r="G4933" s="72">
        <v>7490</v>
      </c>
      <c r="H4933" s="27" t="s">
        <v>8822</v>
      </c>
      <c r="I4933" s="27" t="s">
        <v>8823</v>
      </c>
      <c r="J4933" s="27" t="s">
        <v>8824</v>
      </c>
      <c r="K4933" s="27" t="s">
        <v>3772</v>
      </c>
      <c r="L4933" s="112"/>
      <c r="P4933" s="26"/>
    </row>
    <row r="4934" spans="1:16" ht="14.5">
      <c r="A4934" s="3" t="s">
        <v>257</v>
      </c>
      <c r="B4934" s="3" t="s">
        <v>2885</v>
      </c>
      <c r="C4934" s="46" t="s">
        <v>8825</v>
      </c>
      <c r="D4934" s="41" t="str">
        <f ca="1">IFERROR(__xludf.DUMMYFUNCTION("IFERROR(ARRAYFORMULA(REGEXEXTRACT(C4934,""^(?:https?:\/\/)?(?:[^@\n]+@)?(?:www\.)?([^:\/\n]+)"")),"""")"),"techvertu.co.uk")</f>
        <v>techvertu.co.uk</v>
      </c>
      <c r="E4934" s="26" t="str">
        <f ca="1">IFERROR(__xludf.DUMMYFUNCTION("""COMPUTED_VALUE"""),"New")</f>
        <v>New</v>
      </c>
      <c r="F4934" s="72">
        <v>35</v>
      </c>
      <c r="G4934" s="72">
        <v>10979</v>
      </c>
      <c r="J4934" s="27" t="s">
        <v>8826</v>
      </c>
      <c r="K4934" s="27" t="s">
        <v>5375</v>
      </c>
      <c r="L4934" s="112"/>
      <c r="P4934" s="26"/>
    </row>
    <row r="4935" spans="1:16" ht="14.5">
      <c r="A4935" s="3" t="s">
        <v>257</v>
      </c>
      <c r="B4935" s="3" t="s">
        <v>2885</v>
      </c>
      <c r="C4935" s="46" t="s">
        <v>8827</v>
      </c>
      <c r="D4935" s="41" t="str">
        <f ca="1">IFERROR(__xludf.DUMMYFUNCTION("IFERROR(ARRAYFORMULA(REGEXEXTRACT(C4935,""^(?:https?:\/\/)?(?:[^@\n]+@)?(?:www\.)?([^:\/\n]+)"")),"""")"),"midsummerplace.co.uk")</f>
        <v>midsummerplace.co.uk</v>
      </c>
      <c r="E4935" s="26" t="str">
        <f ca="1">IFERROR(__xludf.DUMMYFUNCTION("""COMPUTED_VALUE"""),"New")</f>
        <v>New</v>
      </c>
      <c r="F4935" s="72">
        <v>27</v>
      </c>
      <c r="G4935" s="72">
        <v>5456</v>
      </c>
      <c r="J4935" s="27" t="s">
        <v>8828</v>
      </c>
      <c r="K4935" s="27" t="s">
        <v>3772</v>
      </c>
      <c r="L4935" s="112"/>
      <c r="P4935" s="26"/>
    </row>
    <row r="4936" spans="1:16" ht="14.5" hidden="1">
      <c r="A4936" s="3" t="s">
        <v>257</v>
      </c>
      <c r="B4936" s="3" t="s">
        <v>2885</v>
      </c>
      <c r="C4936" s="46" t="s">
        <v>8829</v>
      </c>
      <c r="D4936" s="41" t="str">
        <f ca="1">IFERROR(__xludf.DUMMYFUNCTION("IFERROR(ARRAYFORMULA(REGEXEXTRACT(C4936,""^(?:https?:\/\/)?(?:[^@\n]+@)?(?:www\.)?([^:\/\n]+)"")),"""")"),"londonlovesbusiness.com")</f>
        <v>londonlovesbusiness.com</v>
      </c>
      <c r="E4936" s="26" t="str">
        <f ca="1">IFERROR(__xludf.DUMMYFUNCTION("""COMPUTED_VALUE"""),"Already Exists")</f>
        <v>Already Exists</v>
      </c>
      <c r="F4936" s="72">
        <v>71</v>
      </c>
      <c r="G4936" s="72">
        <v>10173</v>
      </c>
    </row>
    <row r="4937" spans="1:16" ht="14.5">
      <c r="A4937" s="3" t="s">
        <v>257</v>
      </c>
      <c r="B4937" s="3" t="s">
        <v>2885</v>
      </c>
      <c r="C4937" s="46" t="s">
        <v>8830</v>
      </c>
      <c r="D4937" s="41" t="str">
        <f ca="1">IFERROR(__xludf.DUMMYFUNCTION("IFERROR(ARRAYFORMULA(REGEXEXTRACT(C4937,""^(?:https?:\/\/)?(?:[^@\n]+@)?(?:www\.)?([^:\/\n]+)"")),"""")"),"theguardian.com")</f>
        <v>theguardian.com</v>
      </c>
      <c r="E4937" s="26" t="str">
        <f ca="1">IFERROR(__xludf.DUMMYFUNCTION("""COMPUTED_VALUE"""),"New")</f>
        <v>New</v>
      </c>
      <c r="F4937" s="72">
        <v>93</v>
      </c>
      <c r="G4937" s="72">
        <v>32925448</v>
      </c>
      <c r="H4937" s="27" t="s">
        <v>8831</v>
      </c>
      <c r="I4937" s="27" t="s">
        <v>8832</v>
      </c>
      <c r="J4937" s="27" t="s">
        <v>8833</v>
      </c>
      <c r="K4937" s="27" t="s">
        <v>3772</v>
      </c>
      <c r="L4937" s="112"/>
      <c r="P4937" s="26"/>
    </row>
    <row r="4938" spans="1:16" ht="14.5">
      <c r="A4938" s="3" t="s">
        <v>257</v>
      </c>
      <c r="B4938" s="3" t="s">
        <v>2885</v>
      </c>
      <c r="C4938" s="46" t="s">
        <v>8834</v>
      </c>
      <c r="D4938" s="41" t="str">
        <f ca="1">IFERROR(__xludf.DUMMYFUNCTION("IFERROR(ARRAYFORMULA(REGEXEXTRACT(C4938,""^(?:https?:\/\/)?(?:[^@\n]+@)?(?:www\.)?([^:\/\n]+)"")),"""")"),"bfff.co.uk")</f>
        <v>bfff.co.uk</v>
      </c>
      <c r="E4938" s="26" t="str">
        <f ca="1">IFERROR(__xludf.DUMMYFUNCTION("""COMPUTED_VALUE"""),"New")</f>
        <v>New</v>
      </c>
      <c r="F4938" s="72">
        <v>59</v>
      </c>
      <c r="G4938" s="72">
        <v>1225</v>
      </c>
      <c r="H4938" s="27" t="s">
        <v>8835</v>
      </c>
      <c r="I4938" s="27" t="s">
        <v>8836</v>
      </c>
      <c r="J4938" s="27" t="s">
        <v>8837</v>
      </c>
      <c r="K4938" s="27" t="s">
        <v>3772</v>
      </c>
      <c r="L4938" s="112"/>
      <c r="P4938" s="26"/>
    </row>
    <row r="4939" spans="1:16" ht="14.5">
      <c r="A4939" s="3" t="s">
        <v>257</v>
      </c>
      <c r="B4939" s="3" t="s">
        <v>2885</v>
      </c>
      <c r="C4939" s="46" t="s">
        <v>8838</v>
      </c>
      <c r="D4939" s="41" t="str">
        <f ca="1">IFERROR(__xludf.DUMMYFUNCTION("IFERROR(ARRAYFORMULA(REGEXEXTRACT(C4939,""^(?:https?:\/\/)?(?:[^@\n]+@)?(?:www\.)?([^:\/\n]+)"")),"""")"),"r-e-a.net")</f>
        <v>r-e-a.net</v>
      </c>
      <c r="E4939" s="26" t="str">
        <f ca="1">IFERROR(__xludf.DUMMYFUNCTION("""COMPUTED_VALUE"""),"New")</f>
        <v>New</v>
      </c>
      <c r="F4939" s="72">
        <v>67</v>
      </c>
      <c r="G4939" s="72">
        <v>1055</v>
      </c>
      <c r="H4939" s="27" t="s">
        <v>8839</v>
      </c>
      <c r="I4939" s="27" t="s">
        <v>8840</v>
      </c>
      <c r="J4939" s="27" t="s">
        <v>8841</v>
      </c>
      <c r="K4939" s="27" t="s">
        <v>3756</v>
      </c>
      <c r="L4939" s="112"/>
      <c r="P4939" s="26"/>
    </row>
    <row r="4940" spans="1:16" ht="14.5" hidden="1">
      <c r="A4940" s="3" t="s">
        <v>257</v>
      </c>
      <c r="B4940" s="3" t="s">
        <v>2885</v>
      </c>
      <c r="C4940" s="46" t="s">
        <v>8842</v>
      </c>
      <c r="D4940" s="41" t="str">
        <f ca="1">IFERROR(__xludf.DUMMYFUNCTION("IFERROR(ARRAYFORMULA(REGEXEXTRACT(C4940,""^(?:https?:\/\/)?(?:[^@\n]+@)?(?:www\.)?([^:\/\n]+)"")),"""")"),"finance-monthly.com")</f>
        <v>finance-monthly.com</v>
      </c>
      <c r="E4940" s="26" t="str">
        <f ca="1">IFERROR(__xludf.DUMMYFUNCTION("""COMPUTED_VALUE"""),"Already Exists")</f>
        <v>Already Exists</v>
      </c>
      <c r="F4940" s="72">
        <v>73</v>
      </c>
      <c r="G4940" s="72">
        <v>106422</v>
      </c>
    </row>
    <row r="4941" spans="1:16" ht="14.5">
      <c r="A4941" s="3" t="s">
        <v>257</v>
      </c>
      <c r="B4941" s="3" t="s">
        <v>2885</v>
      </c>
      <c r="C4941" s="46" t="s">
        <v>8843</v>
      </c>
      <c r="D4941" s="41" t="str">
        <f ca="1">IFERROR(__xludf.DUMMYFUNCTION("IFERROR(ARRAYFORMULA(REGEXEXTRACT(C4941,""^(?:https?:\/\/)?(?:[^@\n]+@)?(?:www\.)?([^:\/\n]+)"")),"""")"),"3pb.co.uk")</f>
        <v>3pb.co.uk</v>
      </c>
      <c r="E4941" s="26" t="str">
        <f ca="1">IFERROR(__xludf.DUMMYFUNCTION("""COMPUTED_VALUE"""),"New")</f>
        <v>New</v>
      </c>
      <c r="F4941" s="72">
        <v>47</v>
      </c>
      <c r="G4941" s="72">
        <v>3119</v>
      </c>
      <c r="P4941" s="26"/>
    </row>
    <row r="4942" spans="1:16" ht="14.5">
      <c r="A4942" s="3" t="s">
        <v>257</v>
      </c>
      <c r="B4942" s="3" t="s">
        <v>2885</v>
      </c>
      <c r="C4942" s="46" t="s">
        <v>8844</v>
      </c>
      <c r="D4942" s="41" t="str">
        <f ca="1">IFERROR(__xludf.DUMMYFUNCTION("IFERROR(ARRAYFORMULA(REGEXEXTRACT(C4942,""^(?:https?:\/\/)?(?:[^@\n]+@)?(?:www\.)?([^:\/\n]+)"")),"""")"),"lawsociety.org.uk")</f>
        <v>lawsociety.org.uk</v>
      </c>
      <c r="E4942" s="26" t="str">
        <f ca="1">IFERROR(__xludf.DUMMYFUNCTION("""COMPUTED_VALUE"""),"New")</f>
        <v>New</v>
      </c>
      <c r="F4942" s="72">
        <v>84</v>
      </c>
      <c r="G4942" s="72">
        <v>287120</v>
      </c>
      <c r="P4942" s="26"/>
    </row>
    <row r="4943" spans="1:16" ht="14.5">
      <c r="A4943" s="3" t="s">
        <v>257</v>
      </c>
      <c r="B4943" s="3" t="s">
        <v>2885</v>
      </c>
      <c r="C4943" s="46" t="s">
        <v>8845</v>
      </c>
      <c r="D4943" s="41" t="str">
        <f ca="1">IFERROR(__xludf.DUMMYFUNCTION("IFERROR(ARRAYFORMULA(REGEXEXTRACT(C4943,""^(?:https?:\/\/)?(?:[^@\n]+@)?(?:www\.)?([^:\/\n]+)"")),"""")"),"ipla.org.uk")</f>
        <v>ipla.org.uk</v>
      </c>
      <c r="E4943" s="26" t="str">
        <f ca="1">IFERROR(__xludf.DUMMYFUNCTION("""COMPUTED_VALUE"""),"New")</f>
        <v>New</v>
      </c>
      <c r="F4943" s="72">
        <v>21</v>
      </c>
      <c r="G4943" s="72">
        <v>1785</v>
      </c>
      <c r="P4943" s="26"/>
    </row>
    <row r="4944" spans="1:16" ht="14.5">
      <c r="A4944" s="3" t="s">
        <v>257</v>
      </c>
      <c r="B4944" s="3" t="s">
        <v>2885</v>
      </c>
      <c r="C4944" s="46" t="s">
        <v>8846</v>
      </c>
      <c r="D4944" s="41" t="str">
        <f ca="1">IFERROR(__xludf.DUMMYFUNCTION("IFERROR(ARRAYFORMULA(REGEXEXTRACT(C4944,""^(?:https?:\/\/)?(?:[^@\n]+@)?(?:www\.)?([^:\/\n]+)"")),"""")"),"nottinghamworld.com")</f>
        <v>nottinghamworld.com</v>
      </c>
      <c r="E4944" s="26" t="str">
        <f ca="1">IFERROR(__xludf.DUMMYFUNCTION("""COMPUTED_VALUE"""),"New")</f>
        <v>New</v>
      </c>
      <c r="F4944" s="72">
        <v>30</v>
      </c>
      <c r="G4944" s="72">
        <v>2876</v>
      </c>
      <c r="H4944" s="27" t="s">
        <v>8847</v>
      </c>
      <c r="I4944" s="27" t="s">
        <v>8848</v>
      </c>
      <c r="J4944" s="27" t="s">
        <v>8849</v>
      </c>
      <c r="K4944" s="27" t="s">
        <v>3772</v>
      </c>
      <c r="L4944" s="112"/>
      <c r="P4944" s="26"/>
    </row>
    <row r="4945" spans="1:16" ht="14.5">
      <c r="A4945" s="3" t="s">
        <v>257</v>
      </c>
      <c r="B4945" s="3" t="s">
        <v>2885</v>
      </c>
      <c r="C4945" s="46" t="s">
        <v>8850</v>
      </c>
      <c r="D4945" s="41" t="str">
        <f ca="1">IFERROR(__xludf.DUMMYFUNCTION("IFERROR(ARRAYFORMULA(REGEXEXTRACT(C4945,""^(?:https?:\/\/)?(?:[^@\n]+@)?(?:www\.)?([^:\/\n]+)"")),"""")"),"ntu.ac.uk")</f>
        <v>ntu.ac.uk</v>
      </c>
      <c r="E4945" s="26" t="str">
        <f ca="1">IFERROR(__xludf.DUMMYFUNCTION("""COMPUTED_VALUE"""),"New")</f>
        <v>New</v>
      </c>
      <c r="F4945" s="72">
        <v>79</v>
      </c>
      <c r="G4945" s="72">
        <v>202641</v>
      </c>
      <c r="P4945" s="26"/>
    </row>
    <row r="4946" spans="1:16" ht="14.5">
      <c r="A4946" s="3" t="s">
        <v>257</v>
      </c>
      <c r="B4946" s="3" t="s">
        <v>2885</v>
      </c>
      <c r="C4946" s="46" t="s">
        <v>8851</v>
      </c>
      <c r="D4946" s="41" t="str">
        <f ca="1">IFERROR(__xludf.DUMMYFUNCTION("IFERROR(ARRAYFORMULA(REGEXEXTRACT(C4946,""^(?:https?:\/\/)?(?:[^@\n]+@)?(?:www\.)?([^:\/\n]+)"")),"""")"),"sbs.nhs.uk")</f>
        <v>sbs.nhs.uk</v>
      </c>
      <c r="E4946" s="26" t="str">
        <f ca="1">IFERROR(__xludf.DUMMYFUNCTION("""COMPUTED_VALUE"""),"New")</f>
        <v>New</v>
      </c>
      <c r="F4946" s="72">
        <v>69</v>
      </c>
      <c r="G4946" s="72">
        <v>5794</v>
      </c>
      <c r="P4946" s="26"/>
    </row>
    <row r="4947" spans="1:16" ht="14.5">
      <c r="A4947" s="3" t="s">
        <v>257</v>
      </c>
      <c r="B4947" s="3" t="s">
        <v>2885</v>
      </c>
      <c r="C4947" s="46" t="s">
        <v>8852</v>
      </c>
      <c r="D4947" s="41" t="str">
        <f ca="1">IFERROR(__xludf.DUMMYFUNCTION("IFERROR(ARRAYFORMULA(REGEXEXTRACT(C4947,""^(?:https?:\/\/)?(?:[^@\n]+@)?(?:www\.)?([^:\/\n]+)"")),"""")"),"theengineer.co.uk")</f>
        <v>theengineer.co.uk</v>
      </c>
      <c r="E4947" s="26" t="str">
        <f ca="1">IFERROR(__xludf.DUMMYFUNCTION("""COMPUTED_VALUE"""),"New")</f>
        <v>New</v>
      </c>
      <c r="F4947" s="72">
        <v>75</v>
      </c>
      <c r="G4947" s="72">
        <v>3103</v>
      </c>
      <c r="H4947" s="27" t="s">
        <v>8853</v>
      </c>
      <c r="I4947" s="27" t="s">
        <v>8854</v>
      </c>
      <c r="J4947" s="27" t="s">
        <v>8855</v>
      </c>
      <c r="K4947" s="27" t="s">
        <v>3772</v>
      </c>
      <c r="L4947" s="112"/>
      <c r="P4947" s="26"/>
    </row>
    <row r="4948" spans="1:16" ht="14.5">
      <c r="A4948" s="3" t="s">
        <v>257</v>
      </c>
      <c r="B4948" s="3" t="s">
        <v>2885</v>
      </c>
      <c r="C4948" s="46" t="s">
        <v>8856</v>
      </c>
      <c r="D4948" s="41" t="str">
        <f ca="1">IFERROR(__xludf.DUMMYFUNCTION("IFERROR(ARRAYFORMULA(REGEXEXTRACT(C4948,""^(?:https?:\/\/)?(?:[^@\n]+@)?(?:www\.)?([^:\/\n]+)"")),"""")"),"failory.com")</f>
        <v>failory.com</v>
      </c>
      <c r="E4948" s="26" t="str">
        <f ca="1">IFERROR(__xludf.DUMMYFUNCTION("""COMPUTED_VALUE"""),"New")</f>
        <v>New</v>
      </c>
      <c r="F4948" s="72">
        <v>74</v>
      </c>
      <c r="G4948" s="72">
        <v>39121</v>
      </c>
      <c r="H4948" s="27" t="s">
        <v>8857</v>
      </c>
      <c r="I4948" s="27" t="s">
        <v>8858</v>
      </c>
      <c r="K4948" s="27" t="s">
        <v>8859</v>
      </c>
      <c r="L4948" s="112"/>
      <c r="P4948" s="26"/>
    </row>
    <row r="4949" spans="1:16" ht="14.5">
      <c r="A4949" s="3" t="s">
        <v>257</v>
      </c>
      <c r="B4949" s="3" t="s">
        <v>2885</v>
      </c>
      <c r="C4949" s="46" t="s">
        <v>8860</v>
      </c>
      <c r="D4949" s="41" t="str">
        <f ca="1">IFERROR(__xludf.DUMMYFUNCTION("IFERROR(ARRAYFORMULA(REGEXEXTRACT(C4949,""^(?:https?:\/\/)?(?:[^@\n]+@)?(?:www\.)?([^:\/\n]+)"")),"""")"),"med-techinsights.com")</f>
        <v>med-techinsights.com</v>
      </c>
      <c r="E4949" s="26" t="str">
        <f ca="1">IFERROR(__xludf.DUMMYFUNCTION("""COMPUTED_VALUE"""),"New")</f>
        <v>New</v>
      </c>
      <c r="F4949" s="72">
        <v>70</v>
      </c>
      <c r="G4949" s="72">
        <v>1345</v>
      </c>
      <c r="H4949" s="27" t="s">
        <v>8861</v>
      </c>
      <c r="I4949" s="27" t="s">
        <v>8862</v>
      </c>
      <c r="J4949" s="27" t="s">
        <v>8863</v>
      </c>
      <c r="K4949" s="27" t="s">
        <v>3772</v>
      </c>
      <c r="L4949" s="112"/>
      <c r="P4949" s="26"/>
    </row>
    <row r="4950" spans="1:16" ht="14.5">
      <c r="A4950" s="3" t="s">
        <v>257</v>
      </c>
      <c r="B4950" s="3" t="s">
        <v>2885</v>
      </c>
      <c r="C4950" s="46" t="s">
        <v>8864</v>
      </c>
      <c r="D4950" s="41" t="str">
        <f ca="1">IFERROR(__xludf.DUMMYFUNCTION("IFERROR(ARRAYFORMULA(REGEXEXTRACT(C4950,""^(?:https?:\/\/)?(?:[^@\n]+@)?(?:www\.)?([^:\/\n]+)"")),"""")"),"csa-uk.com")</f>
        <v>csa-uk.com</v>
      </c>
      <c r="E4950" s="26" t="str">
        <f ca="1">IFERROR(__xludf.DUMMYFUNCTION("""COMPUTED_VALUE"""),"New")</f>
        <v>New</v>
      </c>
      <c r="F4950" s="72">
        <v>66</v>
      </c>
      <c r="G4950" s="72">
        <v>21010</v>
      </c>
      <c r="P4950" s="26"/>
    </row>
    <row r="4951" spans="1:16" ht="14.5">
      <c r="A4951" s="3" t="s">
        <v>257</v>
      </c>
      <c r="B4951" s="3" t="s">
        <v>2885</v>
      </c>
      <c r="C4951" s="46" t="s">
        <v>8865</v>
      </c>
      <c r="D4951" s="41" t="str">
        <f ca="1">IFERROR(__xludf.DUMMYFUNCTION("IFERROR(ARRAYFORMULA(REGEXEXTRACT(C4951,""^(?:https?:\/\/)?(?:[^@\n]+@)?(?:www\.)?([^:\/\n]+)"")),"""")"),"pourmoi.co.uk")</f>
        <v>pourmoi.co.uk</v>
      </c>
      <c r="E4951" s="26" t="str">
        <f ca="1">IFERROR(__xludf.DUMMYFUNCTION("""COMPUTED_VALUE"""),"New")</f>
        <v>New</v>
      </c>
      <c r="F4951" s="72">
        <v>54</v>
      </c>
      <c r="G4951" s="72">
        <v>221626</v>
      </c>
      <c r="P4951" s="26"/>
    </row>
    <row r="4952" spans="1:16" ht="14.5">
      <c r="A4952" s="3" t="s">
        <v>257</v>
      </c>
      <c r="B4952" s="3" t="s">
        <v>2885</v>
      </c>
      <c r="C4952" s="46" t="s">
        <v>8866</v>
      </c>
      <c r="D4952" s="41" t="str">
        <f ca="1">IFERROR(__xludf.DUMMYFUNCTION("IFERROR(ARRAYFORMULA(REGEXEXTRACT(C4952,""^(?:https?:\/\/)?(?:[^@\n]+@)?(?:www\.)?([^:\/\n]+)"")),"""")"),"podcasts.apple.com")</f>
        <v>podcasts.apple.com</v>
      </c>
      <c r="E4952" s="26" t="str">
        <f ca="1">IFERROR(__xludf.DUMMYFUNCTION("""COMPUTED_VALUE"""),"New")</f>
        <v>New</v>
      </c>
      <c r="F4952" s="72">
        <v>97</v>
      </c>
      <c r="G4952" s="74">
        <v>433000000</v>
      </c>
      <c r="P4952" s="26"/>
    </row>
    <row r="4953" spans="1:16" ht="14.5">
      <c r="A4953" s="3" t="s">
        <v>257</v>
      </c>
      <c r="B4953" s="3" t="s">
        <v>2885</v>
      </c>
      <c r="C4953" s="46" t="s">
        <v>8867</v>
      </c>
      <c r="D4953" s="41" t="str">
        <f ca="1">IFERROR(__xludf.DUMMYFUNCTION("IFERROR(ARRAYFORMULA(REGEXEXTRACT(C4953,""^(?:https?:\/\/)?(?:[^@\n]+@)?(?:www\.)?([^:\/\n]+)"")),"""")"),"contendlegal.com")</f>
        <v>contendlegal.com</v>
      </c>
      <c r="E4953" s="26" t="str">
        <f ca="1">IFERROR(__xludf.DUMMYFUNCTION("""COMPUTED_VALUE"""),"New")</f>
        <v>New</v>
      </c>
      <c r="F4953" s="72">
        <v>20</v>
      </c>
      <c r="G4953" s="72">
        <v>26671</v>
      </c>
      <c r="P4953" s="26"/>
    </row>
    <row r="4954" spans="1:16" ht="14.5">
      <c r="A4954" s="3" t="s">
        <v>257</v>
      </c>
      <c r="B4954" s="3" t="s">
        <v>2885</v>
      </c>
      <c r="C4954" s="46" t="s">
        <v>8868</v>
      </c>
      <c r="D4954" s="41" t="str">
        <f ca="1">IFERROR(__xludf.DUMMYFUNCTION("IFERROR(ARRAYFORMULA(REGEXEXTRACT(C4954,""^(?:https?:\/\/)?(?:[^@\n]+@)?(?:www\.)?([^:\/\n]+)"")),"""")"),"economicpolicygroup.com")</f>
        <v>economicpolicygroup.com</v>
      </c>
      <c r="E4954" s="26" t="str">
        <f ca="1">IFERROR(__xludf.DUMMYFUNCTION("""COMPUTED_VALUE"""),"New")</f>
        <v>New</v>
      </c>
      <c r="F4954" s="72">
        <v>31</v>
      </c>
      <c r="G4954" s="72">
        <v>2229</v>
      </c>
      <c r="P4954" s="26"/>
    </row>
    <row r="4955" spans="1:16" ht="14.5">
      <c r="A4955" s="3" t="s">
        <v>257</v>
      </c>
      <c r="B4955" s="3" t="s">
        <v>2885</v>
      </c>
      <c r="C4955" s="46" t="s">
        <v>8869</v>
      </c>
      <c r="D4955" s="41" t="str">
        <f ca="1">IFERROR(__xludf.DUMMYFUNCTION("IFERROR(ARRAYFORMULA(REGEXEXTRACT(C4955,""^(?:https?:\/\/)?(?:[^@\n]+@)?(?:www\.)?([^:\/\n]+)"")),"""")"),"corporate.lovell.co.uk")</f>
        <v>corporate.lovell.co.uk</v>
      </c>
      <c r="E4955" s="26" t="str">
        <f ca="1">IFERROR(__xludf.DUMMYFUNCTION("""COMPUTED_VALUE"""),"New")</f>
        <v>New</v>
      </c>
      <c r="F4955" s="72">
        <v>58</v>
      </c>
      <c r="G4955" s="72">
        <v>17125</v>
      </c>
      <c r="P4955" s="26"/>
    </row>
    <row r="4956" spans="1:16" ht="14.5">
      <c r="A4956" s="3" t="s">
        <v>257</v>
      </c>
      <c r="B4956" s="3" t="s">
        <v>2885</v>
      </c>
      <c r="C4956" s="46" t="s">
        <v>8870</v>
      </c>
      <c r="D4956" s="41" t="str">
        <f ca="1">IFERROR(__xludf.DUMMYFUNCTION("IFERROR(ARRAYFORMULA(REGEXEXTRACT(C4956,""^(?:https?:\/\/)?(?:[^@\n]+@)?(?:www\.)?([^:\/\n]+)"")),"""")"),"entertainmentdaily.com")</f>
        <v>entertainmentdaily.com</v>
      </c>
      <c r="E4956" s="26" t="str">
        <f ca="1">IFERROR(__xludf.DUMMYFUNCTION("""COMPUTED_VALUE"""),"New")</f>
        <v>New</v>
      </c>
      <c r="F4956" s="72">
        <v>57</v>
      </c>
      <c r="G4956" s="72">
        <v>50218</v>
      </c>
      <c r="H4956" s="27" t="s">
        <v>8871</v>
      </c>
      <c r="J4956" s="27" t="s">
        <v>8872</v>
      </c>
      <c r="K4956" s="27" t="s">
        <v>3772</v>
      </c>
      <c r="L4956" s="112"/>
      <c r="P4956" s="26"/>
    </row>
    <row r="4957" spans="1:16" ht="14.5">
      <c r="A4957" s="3" t="s">
        <v>257</v>
      </c>
      <c r="B4957" s="3" t="s">
        <v>2885</v>
      </c>
      <c r="C4957" s="46" t="s">
        <v>8873</v>
      </c>
      <c r="D4957" s="41" t="str">
        <f ca="1">IFERROR(__xludf.DUMMYFUNCTION("IFERROR(ARRAYFORMULA(REGEXEXTRACT(C4957,""^(?:https?:\/\/)?(?:[^@\n]+@)?(?:www\.)?([^:\/\n]+)"")),"""")"),"thepropertybuyingcompany.co.uk")</f>
        <v>thepropertybuyingcompany.co.uk</v>
      </c>
      <c r="E4957" s="26" t="str">
        <f ca="1">IFERROR(__xludf.DUMMYFUNCTION("""COMPUTED_VALUE"""),"New")</f>
        <v>New</v>
      </c>
      <c r="F4957" s="72">
        <v>46</v>
      </c>
      <c r="G4957" s="72">
        <v>2027</v>
      </c>
      <c r="H4957" s="27" t="s">
        <v>8874</v>
      </c>
      <c r="I4957" s="27" t="s">
        <v>8875</v>
      </c>
      <c r="J4957" s="27" t="s">
        <v>8876</v>
      </c>
      <c r="K4957" s="27" t="s">
        <v>3853</v>
      </c>
      <c r="L4957" s="112"/>
      <c r="P4957" s="26"/>
    </row>
    <row r="4958" spans="1:16" ht="14.5">
      <c r="A4958" s="3" t="s">
        <v>257</v>
      </c>
      <c r="B4958" s="3" t="s">
        <v>2885</v>
      </c>
      <c r="C4958" s="46" t="s">
        <v>8877</v>
      </c>
      <c r="D4958" s="41" t="str">
        <f ca="1">IFERROR(__xludf.DUMMYFUNCTION("IFERROR(ARRAYFORMULA(REGEXEXTRACT(C4958,""^(?:https?:\/\/)?(?:[^@\n]+@)?(?:www\.)?([^:\/\n]+)"")),"""")"),"nottingham.ac.uk")</f>
        <v>nottingham.ac.uk</v>
      </c>
      <c r="E4958" s="26" t="str">
        <f ca="1">IFERROR(__xludf.DUMMYFUNCTION("""COMPUTED_VALUE"""),"New")</f>
        <v>New</v>
      </c>
      <c r="F4958" s="72">
        <v>84</v>
      </c>
      <c r="G4958" s="72">
        <v>443090</v>
      </c>
      <c r="P4958" s="26"/>
    </row>
    <row r="4959" spans="1:16" ht="14.5">
      <c r="A4959" s="3" t="s">
        <v>257</v>
      </c>
      <c r="B4959" s="3" t="s">
        <v>2885</v>
      </c>
      <c r="C4959" s="46" t="s">
        <v>8878</v>
      </c>
      <c r="D4959" s="41" t="str">
        <f ca="1">IFERROR(__xludf.DUMMYFUNCTION("IFERROR(ARRAYFORMULA(REGEXEXTRACT(C4959,""^(?:https?:\/\/)?(?:[^@\n]+@)?(?:www\.)?([^:\/\n]+)"")),"""")"),"bailii.org")</f>
        <v>bailii.org</v>
      </c>
      <c r="E4959" s="26" t="str">
        <f ca="1">IFERROR(__xludf.DUMMYFUNCTION("""COMPUTED_VALUE"""),"New")</f>
        <v>New</v>
      </c>
      <c r="F4959" s="72">
        <v>83</v>
      </c>
      <c r="G4959" s="72">
        <v>1264</v>
      </c>
      <c r="P4959" s="26"/>
    </row>
    <row r="4960" spans="1:16" ht="14.5">
      <c r="A4960" s="3" t="s">
        <v>257</v>
      </c>
      <c r="B4960" s="3" t="s">
        <v>2885</v>
      </c>
      <c r="C4960" s="46" t="s">
        <v>8879</v>
      </c>
      <c r="D4960" s="41" t="str">
        <f ca="1">IFERROR(__xludf.DUMMYFUNCTION("IFERROR(ARRAYFORMULA(REGEXEXTRACT(C4960,""^(?:https?:\/\/)?(?:[^@\n]+@)?(?:www\.)?([^:\/\n]+)"")),"""")"),"aoc.co.uk")</f>
        <v>aoc.co.uk</v>
      </c>
      <c r="E4960" s="26" t="str">
        <f ca="1">IFERROR(__xludf.DUMMYFUNCTION("""COMPUTED_VALUE"""),"New")</f>
        <v>New</v>
      </c>
      <c r="F4960" s="72">
        <v>67</v>
      </c>
      <c r="G4960" s="72">
        <v>5496</v>
      </c>
      <c r="P4960" s="26"/>
    </row>
    <row r="4961" spans="1:16" ht="14.5">
      <c r="A4961" s="3" t="s">
        <v>257</v>
      </c>
      <c r="B4961" s="3" t="s">
        <v>2885</v>
      </c>
      <c r="C4961" s="46" t="s">
        <v>8880</v>
      </c>
      <c r="D4961" s="41" t="str">
        <f ca="1">IFERROR(__xludf.DUMMYFUNCTION("IFERROR(ARRAYFORMULA(REGEXEXTRACT(C4961,""^(?:https?:\/\/)?(?:[^@\n]+@)?(?:www\.)?([^:\/\n]+)"")),"""")"),"offalyexpress.ie")</f>
        <v>offalyexpress.ie</v>
      </c>
      <c r="E4961" s="26" t="str">
        <f ca="1">IFERROR(__xludf.DUMMYFUNCTION("""COMPUTED_VALUE"""),"New")</f>
        <v>New</v>
      </c>
      <c r="F4961" s="72">
        <v>45</v>
      </c>
      <c r="G4961" s="72">
        <v>11389</v>
      </c>
      <c r="H4961" s="27" t="s">
        <v>8881</v>
      </c>
      <c r="I4961" s="27" t="s">
        <v>8882</v>
      </c>
      <c r="J4961" s="27" t="s">
        <v>8883</v>
      </c>
      <c r="K4961" s="27" t="s">
        <v>3772</v>
      </c>
      <c r="L4961" s="112"/>
      <c r="P4961" s="26"/>
    </row>
    <row r="4962" spans="1:16" ht="14.5">
      <c r="A4962" s="3" t="s">
        <v>257</v>
      </c>
      <c r="B4962" s="3" t="s">
        <v>2885</v>
      </c>
      <c r="C4962" s="46" t="s">
        <v>8884</v>
      </c>
      <c r="D4962" s="41" t="str">
        <f ca="1">IFERROR(__xludf.DUMMYFUNCTION("IFERROR(ARRAYFORMULA(REGEXEXTRACT(C4962,""^(?:https?:\/\/)?(?:[^@\n]+@)?(?:www\.)?([^:\/\n]+)"")),"""")"),"21stcenturylab.lincoln.ac.uk")</f>
        <v>21stcenturylab.lincoln.ac.uk</v>
      </c>
      <c r="E4962" s="26" t="str">
        <f ca="1">IFERROR(__xludf.DUMMYFUNCTION("""COMPUTED_VALUE"""),"New")</f>
        <v>New</v>
      </c>
      <c r="F4962" s="72">
        <v>77</v>
      </c>
      <c r="G4962" s="72">
        <v>69014</v>
      </c>
      <c r="P4962" s="26"/>
    </row>
    <row r="4963" spans="1:16" ht="14.5">
      <c r="A4963" s="3" t="s">
        <v>257</v>
      </c>
      <c r="B4963" s="3" t="s">
        <v>2885</v>
      </c>
      <c r="C4963" s="46" t="s">
        <v>8885</v>
      </c>
      <c r="D4963" s="41" t="str">
        <f ca="1">IFERROR(__xludf.DUMMYFUNCTION("IFERROR(ARRAYFORMULA(REGEXEXTRACT(C4963,""^(?:https?:\/\/)?(?:[^@\n]+@)?(?:www\.)?([^:\/\n]+)"")),"""")"),"stir.ac.uk")</f>
        <v>stir.ac.uk</v>
      </c>
      <c r="E4963" s="26" t="str">
        <f ca="1">IFERROR(__xludf.DUMMYFUNCTION("""COMPUTED_VALUE"""),"New")</f>
        <v>New</v>
      </c>
      <c r="F4963" s="72">
        <v>79</v>
      </c>
      <c r="G4963" s="72">
        <v>68302</v>
      </c>
      <c r="P4963" s="26"/>
    </row>
    <row r="4964" spans="1:16" ht="14.5">
      <c r="A4964" s="3" t="s">
        <v>257</v>
      </c>
      <c r="B4964" s="3" t="s">
        <v>2885</v>
      </c>
      <c r="C4964" s="46" t="s">
        <v>8886</v>
      </c>
      <c r="D4964" s="41" t="str">
        <f ca="1">IFERROR(__xludf.DUMMYFUNCTION("IFERROR(ARRAYFORMULA(REGEXEXTRACT(C4964,""^(?:https?:\/\/)?(?:[^@\n]+@)?(?:www\.)?([^:\/\n]+)"")),"""")"),"trademarklawyermagazine.com")</f>
        <v>trademarklawyermagazine.com</v>
      </c>
      <c r="E4964" s="26" t="str">
        <f ca="1">IFERROR(__xludf.DUMMYFUNCTION("""COMPUTED_VALUE"""),"New")</f>
        <v>New</v>
      </c>
      <c r="F4964" s="72">
        <v>53</v>
      </c>
      <c r="G4964" s="72">
        <v>5641</v>
      </c>
      <c r="P4964" s="26"/>
    </row>
    <row r="4965" spans="1:16" ht="14.5">
      <c r="A4965" s="3" t="s">
        <v>257</v>
      </c>
      <c r="B4965" s="3" t="s">
        <v>2885</v>
      </c>
      <c r="C4965" s="46" t="s">
        <v>8887</v>
      </c>
      <c r="D4965" s="41" t="str">
        <f ca="1">IFERROR(__xludf.DUMMYFUNCTION("IFERROR(ARRAYFORMULA(REGEXEXTRACT(C4965,""^(?:https?:\/\/)?(?:[^@\n]+@)?(?:www\.)?([^:\/\n]+)"")),"""")"),"cooperparry.com")</f>
        <v>cooperparry.com</v>
      </c>
      <c r="E4965" s="26" t="str">
        <f ca="1">IFERROR(__xludf.DUMMYFUNCTION("""COMPUTED_VALUE"""),"New")</f>
        <v>New</v>
      </c>
      <c r="F4965" s="72">
        <v>47</v>
      </c>
      <c r="G4965" s="72">
        <v>2915</v>
      </c>
      <c r="P4965" s="26"/>
    </row>
    <row r="4966" spans="1:16" ht="14.5">
      <c r="A4966" s="3" t="s">
        <v>257</v>
      </c>
      <c r="B4966" s="3" t="s">
        <v>2885</v>
      </c>
      <c r="C4966" s="46" t="s">
        <v>8888</v>
      </c>
      <c r="D4966" s="41" t="str">
        <f ca="1">IFERROR(__xludf.DUMMYFUNCTION("IFERROR(ARRAYFORMULA(REGEXEXTRACT(C4966,""^(?:https?:\/\/)?(?:[^@\n]+@)?(?:www\.)?([^:\/\n]+)"")),"""")"),"mha.co.uk")</f>
        <v>mha.co.uk</v>
      </c>
      <c r="E4966" s="26" t="str">
        <f ca="1">IFERROR(__xludf.DUMMYFUNCTION("""COMPUTED_VALUE"""),"New")</f>
        <v>New</v>
      </c>
      <c r="F4966" s="72">
        <v>60</v>
      </c>
      <c r="G4966" s="72">
        <v>18439</v>
      </c>
      <c r="P4966" s="26"/>
    </row>
    <row r="4967" spans="1:16" ht="14.5">
      <c r="A4967" s="3" t="s">
        <v>257</v>
      </c>
      <c r="B4967" s="3" t="s">
        <v>2885</v>
      </c>
      <c r="C4967" s="46" t="s">
        <v>8889</v>
      </c>
      <c r="D4967" s="41" t="str">
        <f ca="1">IFERROR(__xludf.DUMMYFUNCTION("IFERROR(ARRAYFORMULA(REGEXEXTRACT(C4967,""^(?:https?:\/\/)?(?:[^@\n]+@)?(?:www\.)?([^:\/\n]+)"")),"""")"),"gov.uk")</f>
        <v>gov.uk</v>
      </c>
      <c r="E4967" s="26" t="str">
        <f ca="1">IFERROR(__xludf.DUMMYFUNCTION("""COMPUTED_VALUE"""),"New")</f>
        <v>New</v>
      </c>
      <c r="F4967" s="72">
        <v>94</v>
      </c>
      <c r="G4967" s="72">
        <v>68447576</v>
      </c>
      <c r="P4967" s="26"/>
    </row>
    <row r="4968" spans="1:16" ht="14.5">
      <c r="A4968" s="3" t="s">
        <v>257</v>
      </c>
      <c r="B4968" s="3" t="s">
        <v>2885</v>
      </c>
      <c r="C4968" s="46" t="s">
        <v>8890</v>
      </c>
      <c r="D4968" s="41" t="str">
        <f ca="1">IFERROR(__xludf.DUMMYFUNCTION("IFERROR(ARRAYFORMULA(REGEXEXTRACT(C4968,""^(?:https?:\/\/)?(?:[^@\n]+@)?(?:www\.)?([^:\/\n]+)"")),"""")"),"legalsolutions.thomsonreuters.co.uk")</f>
        <v>legalsolutions.thomsonreuters.co.uk</v>
      </c>
      <c r="E4968" s="26" t="str">
        <f ca="1">IFERROR(__xludf.DUMMYFUNCTION("""COMPUTED_VALUE"""),"New")</f>
        <v>New</v>
      </c>
      <c r="F4968" s="72">
        <v>69</v>
      </c>
      <c r="G4968" s="72">
        <v>46242</v>
      </c>
      <c r="P4968" s="26"/>
    </row>
    <row r="4969" spans="1:16" ht="14.5">
      <c r="A4969" s="3" t="s">
        <v>257</v>
      </c>
      <c r="B4969" s="3" t="s">
        <v>2885</v>
      </c>
      <c r="C4969" s="46" t="s">
        <v>8891</v>
      </c>
      <c r="D4969" s="41" t="str">
        <f ca="1">IFERROR(__xludf.DUMMYFUNCTION("IFERROR(ARRAYFORMULA(REGEXEXTRACT(C4969,""^(?:https?:\/\/)?(?:[^@\n]+@)?(?:www\.)?([^:\/\n]+)"")),"""")"),"breakroom.cc")</f>
        <v>breakroom.cc</v>
      </c>
      <c r="E4969" s="26" t="str">
        <f ca="1">IFERROR(__xludf.DUMMYFUNCTION("""COMPUTED_VALUE"""),"New")</f>
        <v>New</v>
      </c>
      <c r="F4969" s="72">
        <v>38</v>
      </c>
      <c r="G4969" s="72">
        <v>69816</v>
      </c>
      <c r="P4969" s="26"/>
    </row>
    <row r="4970" spans="1:16" ht="14.5" hidden="1">
      <c r="A4970" s="3" t="s">
        <v>257</v>
      </c>
      <c r="B4970" s="3" t="s">
        <v>2885</v>
      </c>
      <c r="C4970" s="46" t="s">
        <v>8892</v>
      </c>
      <c r="D4970" s="41" t="str">
        <f ca="1">IFERROR(__xludf.DUMMYFUNCTION("IFERROR(ARRAYFORMULA(REGEXEXTRACT(C4970,""^(?:https?:\/\/)?(?:[^@\n]+@)?(?:www\.)?([^:\/\n]+)"")),"""")"),"buildington.co.uk")</f>
        <v>buildington.co.uk</v>
      </c>
      <c r="E4970" s="26" t="str">
        <f ca="1">IFERROR(__xludf.DUMMYFUNCTION("""COMPUTED_VALUE"""),"Already Exists")</f>
        <v>Already Exists</v>
      </c>
      <c r="F4970" s="72">
        <v>35</v>
      </c>
      <c r="G4970" s="72">
        <v>21456</v>
      </c>
    </row>
    <row r="4971" spans="1:16" ht="14.5">
      <c r="A4971" s="3" t="s">
        <v>257</v>
      </c>
      <c r="B4971" s="3" t="s">
        <v>2885</v>
      </c>
      <c r="C4971" s="46" t="s">
        <v>8893</v>
      </c>
      <c r="D4971" s="41" t="str">
        <f ca="1">IFERROR(__xludf.DUMMYFUNCTION("IFERROR(ARRAYFORMULA(REGEXEXTRACT(C4971,""^(?:https?:\/\/)?(?:[^@\n]+@)?(?:www\.)?([^:\/\n]+)"")),"""")"),"healthinnovation-em.org.uk")</f>
        <v>healthinnovation-em.org.uk</v>
      </c>
      <c r="E4971" s="26" t="str">
        <f ca="1">IFERROR(__xludf.DUMMYFUNCTION("""COMPUTED_VALUE"""),"New")</f>
        <v>New</v>
      </c>
      <c r="F4971" s="72">
        <v>43</v>
      </c>
      <c r="G4971" s="72">
        <v>2037</v>
      </c>
      <c r="P4971" s="26"/>
    </row>
    <row r="4972" spans="1:16" ht="14.5">
      <c r="A4972" s="3" t="s">
        <v>257</v>
      </c>
      <c r="B4972" s="3" t="s">
        <v>2885</v>
      </c>
      <c r="C4972" s="46" t="s">
        <v>8894</v>
      </c>
      <c r="D4972" s="41" t="str">
        <f ca="1">IFERROR(__xludf.DUMMYFUNCTION("IFERROR(ARRAYFORMULA(REGEXEXTRACT(C4972,""^(?:https?:\/\/)?(?:[^@\n]+@)?(?:www\.)?([^:\/\n]+)"")),"""")"),"freecodecamp.org")</f>
        <v>freecodecamp.org</v>
      </c>
      <c r="E4972" s="26" t="str">
        <f ca="1">IFERROR(__xludf.DUMMYFUNCTION("""COMPUTED_VALUE"""),"New")</f>
        <v>New</v>
      </c>
      <c r="F4972" s="72">
        <v>89</v>
      </c>
      <c r="G4972" s="72">
        <v>1105039</v>
      </c>
      <c r="P4972" s="26"/>
    </row>
    <row r="4973" spans="1:16" ht="14.5">
      <c r="A4973" s="3" t="s">
        <v>257</v>
      </c>
      <c r="B4973" s="3" t="s">
        <v>2885</v>
      </c>
      <c r="C4973" s="46" t="s">
        <v>8895</v>
      </c>
      <c r="D4973" s="41" t="str">
        <f ca="1">IFERROR(__xludf.DUMMYFUNCTION("IFERROR(ARRAYFORMULA(REGEXEXTRACT(C4973,""^(?:https?:\/\/)?(?:[^@\n]+@)?(?:www\.)?([^:\/\n]+)"")),"""")"),"journals.plos.org")</f>
        <v>journals.plos.org</v>
      </c>
      <c r="E4973" s="26" t="str">
        <f ca="1">IFERROR(__xludf.DUMMYFUNCTION("""COMPUTED_VALUE"""),"New")</f>
        <v>New</v>
      </c>
      <c r="F4973" s="72">
        <v>92</v>
      </c>
      <c r="G4973" s="72">
        <v>98563</v>
      </c>
      <c r="H4973" s="27" t="s">
        <v>8896</v>
      </c>
      <c r="I4973" s="27" t="s">
        <v>8897</v>
      </c>
      <c r="J4973" s="27" t="s">
        <v>8898</v>
      </c>
      <c r="K4973" s="27" t="s">
        <v>3772</v>
      </c>
      <c r="L4973" s="112"/>
      <c r="P4973" s="26"/>
    </row>
    <row r="4974" spans="1:16" ht="14.5">
      <c r="A4974" s="3" t="s">
        <v>257</v>
      </c>
      <c r="B4974" s="3" t="s">
        <v>2885</v>
      </c>
      <c r="C4974" s="46" t="s">
        <v>8899</v>
      </c>
      <c r="D4974" s="41" t="str">
        <f ca="1">IFERROR(__xludf.DUMMYFUNCTION("IFERROR(ARRAYFORMULA(REGEXEXTRACT(C4974,""^(?:https?:\/\/)?(?:[^@\n]+@)?(?:www\.)?([^:\/\n]+)"")),"""")"),"caremanagementmatters.co.uk")</f>
        <v>caremanagementmatters.co.uk</v>
      </c>
      <c r="E4974" s="26" t="str">
        <f ca="1">IFERROR(__xludf.DUMMYFUNCTION("""COMPUTED_VALUE"""),"New")</f>
        <v>New</v>
      </c>
      <c r="F4974" s="72">
        <v>50</v>
      </c>
      <c r="G4974" s="72">
        <v>2654</v>
      </c>
      <c r="P4974" s="26"/>
    </row>
    <row r="4975" spans="1:16" ht="14.5">
      <c r="A4975" s="3" t="s">
        <v>257</v>
      </c>
      <c r="B4975" s="3" t="s">
        <v>2885</v>
      </c>
      <c r="C4975" s="46" t="s">
        <v>8900</v>
      </c>
      <c r="D4975" s="41" t="str">
        <f ca="1">IFERROR(__xludf.DUMMYFUNCTION("IFERROR(ARRAYFORMULA(REGEXEXTRACT(C4975,""^(?:https?:\/\/)?(?:[^@\n]+@)?(?:www\.)?([^:\/\n]+)"")),"""")"),"bbh-blog.de")</f>
        <v>bbh-blog.de</v>
      </c>
      <c r="E4975" s="26" t="str">
        <f ca="1">IFERROR(__xludf.DUMMYFUNCTION("""COMPUTED_VALUE"""),"New")</f>
        <v>New</v>
      </c>
      <c r="F4975" s="72">
        <v>36</v>
      </c>
      <c r="G4975" s="72">
        <v>1006</v>
      </c>
      <c r="H4975" s="27" t="s">
        <v>8901</v>
      </c>
      <c r="I4975" s="27" t="s">
        <v>8902</v>
      </c>
      <c r="J4975" s="27" t="s">
        <v>8903</v>
      </c>
      <c r="K4975" s="27" t="s">
        <v>3853</v>
      </c>
      <c r="L4975" s="112"/>
      <c r="P4975" s="26"/>
    </row>
    <row r="4976" spans="1:16" ht="14.5">
      <c r="A4976" s="3" t="s">
        <v>257</v>
      </c>
      <c r="B4976" s="3" t="s">
        <v>2885</v>
      </c>
      <c r="C4976" s="46" t="s">
        <v>8904</v>
      </c>
      <c r="D4976" s="41" t="str">
        <f ca="1">IFERROR(__xludf.DUMMYFUNCTION("IFERROR(ARRAYFORMULA(REGEXEXTRACT(C4976,""^(?:https?:\/\/)?(?:[^@\n]+@)?(?:www\.)?([^:\/\n]+)"")),"""")"),"growthbusiness.co.uk")</f>
        <v>growthbusiness.co.uk</v>
      </c>
      <c r="E4976" s="26" t="str">
        <f ca="1">IFERROR(__xludf.DUMMYFUNCTION("""COMPUTED_VALUE"""),"New")</f>
        <v>New</v>
      </c>
      <c r="F4976" s="72">
        <v>66</v>
      </c>
      <c r="G4976" s="72">
        <v>2239</v>
      </c>
      <c r="H4976" s="27" t="s">
        <v>8905</v>
      </c>
      <c r="I4976" s="27" t="s">
        <v>8906</v>
      </c>
      <c r="J4976" s="27" t="s">
        <v>8907</v>
      </c>
      <c r="K4976" s="27" t="s">
        <v>3772</v>
      </c>
      <c r="L4976" s="112"/>
      <c r="P4976" s="26"/>
    </row>
    <row r="4977" spans="1:16" ht="14.5">
      <c r="A4977" s="3" t="s">
        <v>257</v>
      </c>
      <c r="B4977" s="3" t="s">
        <v>2885</v>
      </c>
      <c r="C4977" s="46" t="s">
        <v>8908</v>
      </c>
      <c r="D4977" s="41" t="str">
        <f ca="1">IFERROR(__xludf.DUMMYFUNCTION("IFERROR(ARRAYFORMULA(REGEXEXTRACT(C4977,""^(?:https?:\/\/)?(?:[^@\n]+@)?(?:www\.)?([^:\/\n]+)"")),"""")"),"peoplemanagement.co.uk")</f>
        <v>peoplemanagement.co.uk</v>
      </c>
      <c r="E4977" s="26" t="str">
        <f ca="1">IFERROR(__xludf.DUMMYFUNCTION("""COMPUTED_VALUE"""),"New")</f>
        <v>New</v>
      </c>
      <c r="F4977" s="72">
        <v>79</v>
      </c>
      <c r="G4977" s="72">
        <v>10784</v>
      </c>
      <c r="H4977" s="27" t="s">
        <v>8909</v>
      </c>
      <c r="I4977" s="27" t="s">
        <v>8910</v>
      </c>
      <c r="J4977" s="27" t="s">
        <v>8911</v>
      </c>
      <c r="K4977" s="27" t="s">
        <v>3772</v>
      </c>
      <c r="L4977" s="112"/>
      <c r="P4977" s="26"/>
    </row>
    <row r="4978" spans="1:16" ht="14.5">
      <c r="A4978" s="3" t="s">
        <v>257</v>
      </c>
      <c r="B4978" s="3" t="s">
        <v>2885</v>
      </c>
      <c r="C4978" s="46" t="s">
        <v>8912</v>
      </c>
      <c r="D4978" s="41" t="str">
        <f ca="1">IFERROR(__xludf.DUMMYFUNCTION("IFERROR(ARRAYFORMULA(REGEXEXTRACT(C4978,""^(?:https?:\/\/)?(?:[^@\n]+@)?(?:www\.)?([^:\/\n]+)"")),"""")"),"fundraising.co.uk")</f>
        <v>fundraising.co.uk</v>
      </c>
      <c r="E4978" s="26" t="str">
        <f ca="1">IFERROR(__xludf.DUMMYFUNCTION("""COMPUTED_VALUE"""),"New")</f>
        <v>New</v>
      </c>
      <c r="F4978" s="72">
        <v>71</v>
      </c>
      <c r="G4978" s="72">
        <v>1444</v>
      </c>
      <c r="H4978" s="27" t="s">
        <v>8913</v>
      </c>
      <c r="I4978" s="27" t="s">
        <v>8914</v>
      </c>
      <c r="J4978" s="27" t="s">
        <v>8915</v>
      </c>
      <c r="K4978" s="27" t="s">
        <v>3772</v>
      </c>
      <c r="L4978" s="112"/>
      <c r="P4978" s="26"/>
    </row>
    <row r="4979" spans="1:16" ht="14.5">
      <c r="A4979" s="3" t="s">
        <v>257</v>
      </c>
      <c r="B4979" s="3" t="s">
        <v>2885</v>
      </c>
      <c r="C4979" s="46" t="s">
        <v>8916</v>
      </c>
      <c r="D4979" s="41" t="str">
        <f ca="1">IFERROR(__xludf.DUMMYFUNCTION("IFERROR(ARRAYFORMULA(REGEXEXTRACT(C4979,""^(?:https?:\/\/)?(?:[^@\n]+@)?(?:www\.)?([^:\/\n]+)"")),"""")"),"thecpc.ac.uk")</f>
        <v>thecpc.ac.uk</v>
      </c>
      <c r="E4979" s="26" t="str">
        <f ca="1">IFERROR(__xludf.DUMMYFUNCTION("""COMPUTED_VALUE"""),"New")</f>
        <v>New</v>
      </c>
      <c r="F4979" s="72">
        <v>49</v>
      </c>
      <c r="G4979" s="72">
        <v>3600</v>
      </c>
      <c r="I4979" s="27" t="s">
        <v>8917</v>
      </c>
      <c r="J4979" s="27" t="s">
        <v>8918</v>
      </c>
      <c r="K4979" s="27" t="s">
        <v>3772</v>
      </c>
      <c r="L4979" s="112"/>
      <c r="P4979" s="26"/>
    </row>
    <row r="4980" spans="1:16" ht="14.5">
      <c r="A4980" s="3" t="s">
        <v>257</v>
      </c>
      <c r="B4980" s="3" t="s">
        <v>2885</v>
      </c>
      <c r="C4980" s="46" t="s">
        <v>8919</v>
      </c>
      <c r="D4980" s="41" t="str">
        <f ca="1">IFERROR(__xludf.DUMMYFUNCTION("IFERROR(ARRAYFORMULA(REGEXEXTRACT(C4980,""^(?:https?:\/\/)?(?:[^@\n]+@)?(?:www\.)?([^:\/\n]+)"")),"""")"),"thetab.com")</f>
        <v>thetab.com</v>
      </c>
      <c r="E4980" s="26" t="str">
        <f ca="1">IFERROR(__xludf.DUMMYFUNCTION("""COMPUTED_VALUE"""),"New")</f>
        <v>New</v>
      </c>
      <c r="F4980" s="72">
        <v>75</v>
      </c>
      <c r="G4980" s="72">
        <v>638214</v>
      </c>
      <c r="I4980" s="27" t="s">
        <v>8920</v>
      </c>
      <c r="J4980" s="27" t="s">
        <v>8921</v>
      </c>
      <c r="K4980" s="27" t="s">
        <v>3772</v>
      </c>
      <c r="L4980" s="112"/>
      <c r="P4980" s="26"/>
    </row>
    <row r="4981" spans="1:16" ht="14.5">
      <c r="A4981" s="3" t="s">
        <v>257</v>
      </c>
      <c r="B4981" s="3" t="s">
        <v>2885</v>
      </c>
      <c r="C4981" s="46" t="s">
        <v>8922</v>
      </c>
      <c r="D4981" s="41" t="str">
        <f ca="1">IFERROR(__xludf.DUMMYFUNCTION("IFERROR(ARRAYFORMULA(REGEXEXTRACT(C4981,""^(?:https?:\/\/)?(?:[^@\n]+@)?(?:www\.)?([^:\/\n]+)"")),"""")"),"business.warwickshire.gov.uk")</f>
        <v>business.warwickshire.gov.uk</v>
      </c>
      <c r="E4981" s="26" t="str">
        <f ca="1">IFERROR(__xludf.DUMMYFUNCTION("""COMPUTED_VALUE"""),"New")</f>
        <v>New</v>
      </c>
      <c r="F4981" s="72">
        <v>75</v>
      </c>
      <c r="G4981" s="72">
        <v>58815</v>
      </c>
      <c r="P4981" s="26"/>
    </row>
    <row r="4982" spans="1:16" ht="14.5" hidden="1">
      <c r="A4982" s="3" t="s">
        <v>257</v>
      </c>
      <c r="B4982" s="3" t="s">
        <v>2885</v>
      </c>
      <c r="C4982" s="46" t="s">
        <v>8923</v>
      </c>
      <c r="D4982" s="41" t="str">
        <f ca="1">IFERROR(__xludf.DUMMYFUNCTION("IFERROR(ARRAYFORMULA(REGEXEXTRACT(C4982,""^(?:https?:\/\/)?(?:[^@\n]+@)?(?:www\.)?([^:\/\n]+)"")),"""")"),"bisnow.com")</f>
        <v>bisnow.com</v>
      </c>
      <c r="E4982" s="26" t="str">
        <f ca="1">IFERROR(__xludf.DUMMYFUNCTION("""COMPUTED_VALUE"""),"Already Exists")</f>
        <v>Already Exists</v>
      </c>
      <c r="F4982" s="72">
        <v>81</v>
      </c>
      <c r="G4982" s="72">
        <v>25265</v>
      </c>
    </row>
    <row r="4983" spans="1:16" ht="14.5">
      <c r="A4983" s="3" t="s">
        <v>257</v>
      </c>
      <c r="B4983" s="3" t="s">
        <v>2885</v>
      </c>
      <c r="C4983" s="46" t="s">
        <v>8924</v>
      </c>
      <c r="D4983" s="41" t="str">
        <f ca="1">IFERROR(__xludf.DUMMYFUNCTION("IFERROR(ARRAYFORMULA(REGEXEXTRACT(C4983,""^(?:https?:\/\/)?(?:[^@\n]+@)?(?:www\.)?([^:\/\n]+)"")),"""")"),"retirementvillages.co.uk")</f>
        <v>retirementvillages.co.uk</v>
      </c>
      <c r="E4983" s="26" t="str">
        <f ca="1">IFERROR(__xludf.DUMMYFUNCTION("""COMPUTED_VALUE"""),"New")</f>
        <v>New</v>
      </c>
      <c r="F4983" s="72">
        <v>42</v>
      </c>
      <c r="G4983" s="72">
        <v>15077</v>
      </c>
      <c r="H4983" s="27" t="s">
        <v>8925</v>
      </c>
      <c r="I4983" s="27" t="s">
        <v>8926</v>
      </c>
      <c r="J4983" s="27" t="s">
        <v>8927</v>
      </c>
      <c r="K4983" s="27" t="s">
        <v>3853</v>
      </c>
      <c r="L4983" s="112"/>
      <c r="P4983" s="26"/>
    </row>
    <row r="4984" spans="1:16" ht="14.5">
      <c r="A4984" s="3" t="s">
        <v>257</v>
      </c>
      <c r="B4984" s="3" t="s">
        <v>2885</v>
      </c>
      <c r="C4984" s="46" t="s">
        <v>8928</v>
      </c>
      <c r="D4984" s="41" t="str">
        <f ca="1">IFERROR(__xludf.DUMMYFUNCTION("IFERROR(ARRAYFORMULA(REGEXEXTRACT(C4984,""^(?:https?:\/\/)?(?:[^@\n]+@)?(?:www\.)?([^:\/\n]+)"")),"""")"),"adch.org.uk")</f>
        <v>adch.org.uk</v>
      </c>
      <c r="E4984" s="26" t="str">
        <f ca="1">IFERROR(__xludf.DUMMYFUNCTION("""COMPUTED_VALUE"""),"New")</f>
        <v>New</v>
      </c>
      <c r="F4984" s="72">
        <v>57</v>
      </c>
      <c r="G4984" s="72">
        <v>1063</v>
      </c>
      <c r="P4984" s="26"/>
    </row>
    <row r="4985" spans="1:16" ht="14.5">
      <c r="A4985" s="3" t="s">
        <v>257</v>
      </c>
      <c r="B4985" s="3" t="s">
        <v>2885</v>
      </c>
      <c r="C4985" s="46" t="s">
        <v>8929</v>
      </c>
      <c r="D4985" s="41" t="str">
        <f ca="1">IFERROR(__xludf.DUMMYFUNCTION("IFERROR(ARRAYFORMULA(REGEXEXTRACT(C4985,""^(?:https?:\/\/)?(?:[^@\n]+@)?(?:www\.)?([^:\/\n]+)"")),"""")"),"fi.co")</f>
        <v>fi.co</v>
      </c>
      <c r="E4985" s="26" t="str">
        <f ca="1">IFERROR(__xludf.DUMMYFUNCTION("""COMPUTED_VALUE"""),"New")</f>
        <v>New</v>
      </c>
      <c r="F4985" s="72">
        <v>76</v>
      </c>
      <c r="G4985" s="72">
        <v>10005</v>
      </c>
      <c r="P4985" s="26"/>
    </row>
    <row r="4986" spans="1:16" ht="14.5" hidden="1">
      <c r="A4986" s="3" t="s">
        <v>257</v>
      </c>
      <c r="B4986" s="3" t="s">
        <v>2885</v>
      </c>
      <c r="C4986" s="46" t="s">
        <v>8930</v>
      </c>
      <c r="D4986" s="41" t="str">
        <f ca="1">IFERROR(__xludf.DUMMYFUNCTION("IFERROR(ARRAYFORMULA(REGEXEXTRACT(C4986,""^(?:https?:\/\/)?(?:[^@\n]+@)?(?:www\.)?([^:\/\n]+)"")),"""")"),"bmmagazine.co.uk")</f>
        <v>bmmagazine.co.uk</v>
      </c>
      <c r="E4986" s="26" t="str">
        <f ca="1">IFERROR(__xludf.DUMMYFUNCTION("""COMPUTED_VALUE"""),"Already Exists")</f>
        <v>Already Exists</v>
      </c>
      <c r="F4986" s="72">
        <v>77</v>
      </c>
      <c r="G4986" s="72">
        <v>7155</v>
      </c>
    </row>
    <row r="4987" spans="1:16" ht="14.5">
      <c r="A4987" s="3" t="s">
        <v>257</v>
      </c>
      <c r="B4987" s="3" t="s">
        <v>2885</v>
      </c>
      <c r="C4987" s="46" t="s">
        <v>8931</v>
      </c>
      <c r="D4987" s="41" t="str">
        <f ca="1">IFERROR(__xludf.DUMMYFUNCTION("IFERROR(ARRAYFORMULA(REGEXEXTRACT(C4987,""^(?:https?:\/\/)?(?:[^@\n]+@)?(?:www\.)?([^:\/\n]+)"")),"""")"),"moneynerd.co.uk")</f>
        <v>moneynerd.co.uk</v>
      </c>
      <c r="E4987" s="26" t="str">
        <f ca="1">IFERROR(__xludf.DUMMYFUNCTION("""COMPUTED_VALUE"""),"New")</f>
        <v>New</v>
      </c>
      <c r="F4987" s="72">
        <v>39</v>
      </c>
      <c r="G4987" s="72">
        <v>5986</v>
      </c>
      <c r="H4987" s="27" t="s">
        <v>8932</v>
      </c>
      <c r="I4987" s="27" t="s">
        <v>8933</v>
      </c>
      <c r="J4987" s="27" t="s">
        <v>8934</v>
      </c>
      <c r="K4987" s="27" t="s">
        <v>3829</v>
      </c>
      <c r="L4987" s="112"/>
      <c r="P4987" s="26"/>
    </row>
    <row r="4988" spans="1:16" ht="14.5">
      <c r="A4988" s="3" t="s">
        <v>257</v>
      </c>
      <c r="B4988" s="3" t="s">
        <v>2885</v>
      </c>
      <c r="C4988" s="46" t="s">
        <v>8935</v>
      </c>
      <c r="D4988" s="41" t="str">
        <f ca="1">IFERROR(__xludf.DUMMYFUNCTION("IFERROR(ARRAYFORMULA(REGEXEXTRACT(C4988,""^(?:https?:\/\/)?(?:[^@\n]+@)?(?:www\.)?([^:\/\n]+)"")),"""")"),"startupsmagazine.co.uk")</f>
        <v>startupsmagazine.co.uk</v>
      </c>
      <c r="E4988" s="26" t="str">
        <f ca="1">IFERROR(__xludf.DUMMYFUNCTION("""COMPUTED_VALUE"""),"New")</f>
        <v>New</v>
      </c>
      <c r="F4988" s="72">
        <v>74</v>
      </c>
      <c r="G4988" s="72">
        <v>2034</v>
      </c>
      <c r="H4988" s="27" t="s">
        <v>8936</v>
      </c>
      <c r="I4988" s="27" t="s">
        <v>8937</v>
      </c>
      <c r="J4988" s="27" t="s">
        <v>8938</v>
      </c>
      <c r="K4988" s="27" t="s">
        <v>3772</v>
      </c>
      <c r="L4988" s="112"/>
      <c r="P4988" s="26"/>
    </row>
    <row r="4989" spans="1:16" ht="14.5">
      <c r="A4989" s="3" t="s">
        <v>257</v>
      </c>
      <c r="B4989" s="3" t="s">
        <v>2885</v>
      </c>
      <c r="C4989" s="46" t="s">
        <v>8939</v>
      </c>
      <c r="D4989" s="41" t="str">
        <f ca="1">IFERROR(__xludf.DUMMYFUNCTION("IFERROR(ARRAYFORMULA(REGEXEXTRACT(C4989,""^(?:https?:\/\/)?(?:[^@\n]+@)?(?:www\.)?([^:\/\n]+)"")),"""")"),"extracare.org.uk")</f>
        <v>extracare.org.uk</v>
      </c>
      <c r="E4989" s="26" t="str">
        <f ca="1">IFERROR(__xludf.DUMMYFUNCTION("""COMPUTED_VALUE"""),"New")</f>
        <v>New</v>
      </c>
      <c r="F4989" s="72">
        <v>51</v>
      </c>
      <c r="G4989" s="72">
        <v>8782</v>
      </c>
      <c r="P4989" s="26"/>
    </row>
    <row r="4990" spans="1:16" ht="14.5">
      <c r="A4990" s="3" t="s">
        <v>257</v>
      </c>
      <c r="B4990" s="3" t="s">
        <v>2885</v>
      </c>
      <c r="C4990" s="46" t="s">
        <v>8940</v>
      </c>
      <c r="D4990" s="41" t="str">
        <f ca="1">IFERROR(__xludf.DUMMYFUNCTION("IFERROR(ARRAYFORMULA(REGEXEXTRACT(C4990,""^(?:https?:\/\/)?(?:[^@\n]+@)?(?:www\.)?([^:\/\n]+)"")),"""")"),"feweek.co.uk")</f>
        <v>feweek.co.uk</v>
      </c>
      <c r="E4990" s="26" t="str">
        <f ca="1">IFERROR(__xludf.DUMMYFUNCTION("""COMPUTED_VALUE"""),"New")</f>
        <v>New</v>
      </c>
      <c r="F4990" s="72">
        <v>70</v>
      </c>
      <c r="G4990" s="72">
        <v>11361</v>
      </c>
      <c r="P4990" s="26"/>
    </row>
    <row r="4991" spans="1:16" ht="14.5">
      <c r="A4991" s="3" t="s">
        <v>257</v>
      </c>
      <c r="B4991" s="3" t="s">
        <v>2885</v>
      </c>
      <c r="C4991" s="46" t="s">
        <v>8941</v>
      </c>
      <c r="D4991" s="41" t="str">
        <f ca="1">IFERROR(__xludf.DUMMYFUNCTION("IFERROR(ARRAYFORMULA(REGEXEXTRACT(C4991,""^(?:https?:\/\/)?(?:[^@\n]+@)?(?:www\.)?([^:\/\n]+)"")),"""")"),"resourcedm.com")</f>
        <v>resourcedm.com</v>
      </c>
      <c r="E4991" s="26" t="str">
        <f ca="1">IFERROR(__xludf.DUMMYFUNCTION("""COMPUTED_VALUE"""),"New")</f>
        <v>New</v>
      </c>
      <c r="F4991" s="72">
        <v>54</v>
      </c>
      <c r="G4991" s="72">
        <v>1263</v>
      </c>
      <c r="I4991" s="27" t="s">
        <v>8942</v>
      </c>
      <c r="J4991" s="27" t="s">
        <v>8943</v>
      </c>
      <c r="K4991" s="27" t="s">
        <v>8944</v>
      </c>
      <c r="L4991" s="112"/>
      <c r="P4991" s="26"/>
    </row>
    <row r="4992" spans="1:16" ht="14.5">
      <c r="A4992" s="3" t="s">
        <v>257</v>
      </c>
      <c r="B4992" s="3" t="s">
        <v>2885</v>
      </c>
      <c r="C4992" s="46" t="s">
        <v>8945</v>
      </c>
      <c r="D4992" s="41" t="str">
        <f ca="1">IFERROR(__xludf.DUMMYFUNCTION("IFERROR(ARRAYFORMULA(REGEXEXTRACT(C4992,""^(?:https?:\/\/)?(?:[^@\n]+@)?(?:www\.)?([^:\/\n]+)"")),"""")"),"academia.stackexchange.com")</f>
        <v>academia.stackexchange.com</v>
      </c>
      <c r="E4992" s="26" t="str">
        <f ca="1">IFERROR(__xludf.DUMMYFUNCTION("""COMPUTED_VALUE"""),"New")</f>
        <v>New</v>
      </c>
      <c r="F4992" s="72">
        <v>91</v>
      </c>
      <c r="G4992" s="72">
        <v>8265874</v>
      </c>
      <c r="P4992" s="26"/>
    </row>
    <row r="4993" spans="1:16" ht="14.5">
      <c r="A4993" s="3" t="s">
        <v>257</v>
      </c>
      <c r="B4993" s="3" t="s">
        <v>2885</v>
      </c>
      <c r="C4993" s="46" t="s">
        <v>8946</v>
      </c>
      <c r="D4993" s="41" t="str">
        <f ca="1">IFERROR(__xludf.DUMMYFUNCTION("IFERROR(ARRAYFORMULA(REGEXEXTRACT(C4993,""^(?:https?:\/\/)?(?:[^@\n]+@)?(?:www\.)?([^:\/\n]+)"")),"""")"),"crowncommercial.gov.uk")</f>
        <v>crowncommercial.gov.uk</v>
      </c>
      <c r="E4993" s="26" t="str">
        <f ca="1">IFERROR(__xludf.DUMMYFUNCTION("""COMPUTED_VALUE"""),"New")</f>
        <v>New</v>
      </c>
      <c r="F4993" s="72">
        <v>77</v>
      </c>
      <c r="G4993" s="72">
        <v>32801</v>
      </c>
      <c r="J4993" s="27" t="s">
        <v>8947</v>
      </c>
      <c r="K4993" s="27" t="s">
        <v>8948</v>
      </c>
      <c r="L4993" s="112"/>
      <c r="P4993" s="26"/>
    </row>
    <row r="4994" spans="1:16" ht="14.5">
      <c r="A4994" s="3" t="s">
        <v>257</v>
      </c>
      <c r="B4994" s="3" t="s">
        <v>2885</v>
      </c>
      <c r="C4994" s="46" t="s">
        <v>8949</v>
      </c>
      <c r="D4994" s="41" t="str">
        <f ca="1">IFERROR(__xludf.DUMMYFUNCTION("IFERROR(ARRAYFORMULA(REGEXEXTRACT(C4994,""^(?:https?:\/\/)?(?:[^@\n]+@)?(?:www\.)?([^:\/\n]+)"")),"""")"),"artificiallawyer.com")</f>
        <v>artificiallawyer.com</v>
      </c>
      <c r="E4994" s="26" t="str">
        <f ca="1">IFERROR(__xludf.DUMMYFUNCTION("""COMPUTED_VALUE"""),"New")</f>
        <v>New</v>
      </c>
      <c r="F4994" s="72">
        <v>72</v>
      </c>
      <c r="G4994" s="72">
        <v>5056</v>
      </c>
      <c r="P4994" s="26"/>
    </row>
    <row r="4995" spans="1:16" ht="14.5">
      <c r="A4995" s="3" t="s">
        <v>257</v>
      </c>
      <c r="B4995" s="3" t="s">
        <v>2885</v>
      </c>
      <c r="C4995" s="46" t="s">
        <v>8950</v>
      </c>
      <c r="D4995" s="41" t="str">
        <f ca="1">IFERROR(__xludf.DUMMYFUNCTION("IFERROR(ARRAYFORMULA(REGEXEXTRACT(C4995,""^(?:https?:\/\/)?(?:[^@\n]+@)?(?:www\.)?([^:\/\n]+)"")),"""")"),"denplan.co.uk")</f>
        <v>denplan.co.uk</v>
      </c>
      <c r="E4995" s="26" t="str">
        <f ca="1">IFERROR(__xludf.DUMMYFUNCTION("""COMPUTED_VALUE"""),"New")</f>
        <v>New</v>
      </c>
      <c r="F4995" s="72">
        <v>74</v>
      </c>
      <c r="G4995" s="72">
        <v>49600</v>
      </c>
      <c r="P4995" s="26"/>
    </row>
    <row r="4996" spans="1:16" ht="14.5">
      <c r="A4996" s="3" t="s">
        <v>257</v>
      </c>
      <c r="B4996" s="3" t="s">
        <v>2885</v>
      </c>
      <c r="C4996" s="46" t="s">
        <v>8951</v>
      </c>
      <c r="D4996" s="41" t="str">
        <f ca="1">IFERROR(__xludf.DUMMYFUNCTION("IFERROR(ARRAYFORMULA(REGEXEXTRACT(C4996,""^(?:https?:\/\/)?(?:[^@\n]+@)?(?:www\.)?([^:\/\n]+)"")),"""")"),"legaltechnology.com")</f>
        <v>legaltechnology.com</v>
      </c>
      <c r="E4996" s="26" t="str">
        <f ca="1">IFERROR(__xludf.DUMMYFUNCTION("""COMPUTED_VALUE"""),"New")</f>
        <v>New</v>
      </c>
      <c r="F4996" s="72">
        <v>67</v>
      </c>
      <c r="G4996" s="72">
        <v>4598</v>
      </c>
      <c r="P4996" s="26"/>
    </row>
    <row r="4997" spans="1:16" ht="14.5">
      <c r="A4997" s="3" t="s">
        <v>257</v>
      </c>
      <c r="B4997" s="3" t="s">
        <v>2885</v>
      </c>
      <c r="C4997" s="46" t="s">
        <v>8952</v>
      </c>
      <c r="D4997" s="41" t="str">
        <f ca="1">IFERROR(__xludf.DUMMYFUNCTION("IFERROR(ARRAYFORMULA(REGEXEXTRACT(C4997,""^(?:https?:\/\/)?(?:[^@\n]+@)?(?:www\.)?([^:\/\n]+)"")),"""")"),"newsletters.qs.com")</f>
        <v>newsletters.qs.com</v>
      </c>
      <c r="E4997" s="26" t="str">
        <f ca="1">IFERROR(__xludf.DUMMYFUNCTION("""COMPUTED_VALUE"""),"New")</f>
        <v>New</v>
      </c>
      <c r="F4997" s="72">
        <v>73</v>
      </c>
      <c r="G4997" s="72">
        <v>16780</v>
      </c>
      <c r="P4997" s="26"/>
    </row>
    <row r="4998" spans="1:16" ht="14.5">
      <c r="A4998" s="3" t="s">
        <v>257</v>
      </c>
      <c r="B4998" s="3" t="s">
        <v>2885</v>
      </c>
      <c r="C4998" s="46" t="s">
        <v>8953</v>
      </c>
      <c r="D4998" s="41" t="str">
        <f ca="1">IFERROR(__xludf.DUMMYFUNCTION("IFERROR(ARRAYFORMULA(REGEXEXTRACT(C4998,""^(?:https?:\/\/)?(?:[^@\n]+@)?(?:www\.)?([^:\/\n]+)"")),"""")"),"maddyness.com")</f>
        <v>maddyness.com</v>
      </c>
      <c r="E4998" s="26" t="str">
        <f ca="1">IFERROR(__xludf.DUMMYFUNCTION("""COMPUTED_VALUE"""),"New")</f>
        <v>New</v>
      </c>
      <c r="F4998" s="72">
        <v>79</v>
      </c>
      <c r="G4998" s="72">
        <v>38414</v>
      </c>
      <c r="P4998" s="26"/>
    </row>
    <row r="4999" spans="1:16" ht="14.5" hidden="1">
      <c r="A4999" s="3" t="s">
        <v>257</v>
      </c>
      <c r="B4999" s="3" t="s">
        <v>2885</v>
      </c>
      <c r="C4999" s="46" t="s">
        <v>8954</v>
      </c>
      <c r="D4999" s="41" t="str">
        <f ca="1">IFERROR(__xludf.DUMMYFUNCTION("IFERROR(ARRAYFORMULA(REGEXEXTRACT(C4999,""^(?:https?:\/\/)?(?:[^@\n]+@)?(?:www\.)?([^:\/\n]+)"")),"""")"),"acquisition-international.com")</f>
        <v>acquisition-international.com</v>
      </c>
      <c r="E4999" s="26" t="str">
        <f ca="1">IFERROR(__xludf.DUMMYFUNCTION("""COMPUTED_VALUE"""),"Already Exists")</f>
        <v>Already Exists</v>
      </c>
      <c r="F4999" s="72">
        <v>73</v>
      </c>
      <c r="G4999" s="72">
        <v>1001</v>
      </c>
    </row>
    <row r="5000" spans="1:16" ht="14.5">
      <c r="A5000" s="3" t="s">
        <v>257</v>
      </c>
      <c r="B5000" s="3" t="s">
        <v>2885</v>
      </c>
      <c r="C5000" s="46" t="s">
        <v>8955</v>
      </c>
      <c r="D5000" s="41" t="str">
        <f ca="1">IFERROR(__xludf.DUMMYFUNCTION("IFERROR(ARRAYFORMULA(REGEXEXTRACT(C5000,""^(?:https?:\/\/)?(?:[^@\n]+@)?(?:www\.)?([^:\/\n]+)"")),"""")"),"theboar.org")</f>
        <v>theboar.org</v>
      </c>
      <c r="E5000" s="26" t="str">
        <f ca="1">IFERROR(__xludf.DUMMYFUNCTION("""COMPUTED_VALUE"""),"New")</f>
        <v>New</v>
      </c>
      <c r="F5000" s="72">
        <v>59</v>
      </c>
      <c r="G5000" s="72">
        <v>17073</v>
      </c>
      <c r="P5000" s="26"/>
    </row>
    <row r="5001" spans="1:16" ht="14.5">
      <c r="A5001" s="3" t="s">
        <v>257</v>
      </c>
      <c r="B5001" s="3" t="s">
        <v>2885</v>
      </c>
      <c r="C5001" s="46" t="s">
        <v>8956</v>
      </c>
      <c r="D5001" s="41" t="str">
        <f ca="1">IFERROR(__xludf.DUMMYFUNCTION("IFERROR(ARRAYFORMULA(REGEXEXTRACT(C5001,""^(?:https?:\/\/)?(?:[^@\n]+@)?(?:www\.)?([^:\/\n]+)"")),"""")"),"bristolworld.com")</f>
        <v>bristolworld.com</v>
      </c>
      <c r="E5001" s="26" t="str">
        <f ca="1">IFERROR(__xludf.DUMMYFUNCTION("""COMPUTED_VALUE"""),"New")</f>
        <v>New</v>
      </c>
      <c r="F5001" s="72">
        <v>48</v>
      </c>
      <c r="G5001" s="72">
        <v>8676</v>
      </c>
      <c r="P5001" s="26"/>
    </row>
    <row r="5002" spans="1:16" ht="14.5">
      <c r="A5002" s="3" t="s">
        <v>257</v>
      </c>
      <c r="B5002" s="3" t="s">
        <v>2885</v>
      </c>
      <c r="C5002" s="46" t="s">
        <v>8957</v>
      </c>
      <c r="D5002" s="41" t="str">
        <f ca="1">IFERROR(__xludf.DUMMYFUNCTION("IFERROR(ARRAYFORMULA(REGEXEXTRACT(C5002,""^(?:https?:\/\/)?(?:[^@\n]+@)?(?:www\.)?([^:\/\n]+)"")),"""")"),"miltonkeynes.co.uk")</f>
        <v>miltonkeynes.co.uk</v>
      </c>
      <c r="E5002" s="26" t="str">
        <f ca="1">IFERROR(__xludf.DUMMYFUNCTION("""COMPUTED_VALUE"""),"New")</f>
        <v>New</v>
      </c>
      <c r="F5002" s="72">
        <v>63</v>
      </c>
      <c r="G5002" s="72">
        <v>18235</v>
      </c>
      <c r="P5002" s="26"/>
    </row>
    <row r="5003" spans="1:16" ht="14.5">
      <c r="A5003" s="3" t="s">
        <v>257</v>
      </c>
      <c r="B5003" s="3" t="s">
        <v>2885</v>
      </c>
      <c r="C5003" s="46" t="s">
        <v>8958</v>
      </c>
      <c r="D5003" s="41" t="str">
        <f ca="1">IFERROR(__xludf.DUMMYFUNCTION("IFERROR(ARRAYFORMULA(REGEXEXTRACT(C5003,""^(?:https?:\/\/)?(?:[^@\n]+@)?(?:www\.)?([^:\/\n]+)"")),"""")"),"wonkhe.com")</f>
        <v>wonkhe.com</v>
      </c>
      <c r="E5003" s="26" t="str">
        <f ca="1">IFERROR(__xludf.DUMMYFUNCTION("""COMPUTED_VALUE"""),"New")</f>
        <v>New</v>
      </c>
      <c r="F5003" s="72">
        <v>71</v>
      </c>
      <c r="G5003" s="72">
        <v>4816</v>
      </c>
      <c r="P5003" s="26"/>
    </row>
    <row r="5004" spans="1:16" ht="14.5">
      <c r="A5004" s="3" t="s">
        <v>257</v>
      </c>
      <c r="B5004" s="3" t="s">
        <v>2885</v>
      </c>
      <c r="C5004" s="46" t="s">
        <v>8959</v>
      </c>
      <c r="D5004" s="41" t="str">
        <f ca="1">IFERROR(__xludf.DUMMYFUNCTION("IFERROR(ARRAYFORMULA(REGEXEXTRACT(C5004,""^(?:https?:\/\/)?(?:[^@\n]+@)?(?:www\.)?([^:\/\n]+)"")),"""")"),"smallbusiness.co.uk")</f>
        <v>smallbusiness.co.uk</v>
      </c>
      <c r="E5004" s="26" t="str">
        <f ca="1">IFERROR(__xludf.DUMMYFUNCTION("""COMPUTED_VALUE"""),"New")</f>
        <v>New</v>
      </c>
      <c r="F5004" s="72">
        <v>75</v>
      </c>
      <c r="G5004" s="72">
        <v>59498</v>
      </c>
      <c r="P5004" s="26"/>
    </row>
    <row r="5005" spans="1:16" ht="14.5">
      <c r="A5005" s="3" t="s">
        <v>257</v>
      </c>
      <c r="B5005" s="3" t="s">
        <v>2885</v>
      </c>
      <c r="C5005" s="46" t="s">
        <v>8960</v>
      </c>
      <c r="D5005" s="41" t="str">
        <f ca="1">IFERROR(__xludf.DUMMYFUNCTION("IFERROR(ARRAYFORMULA(REGEXEXTRACT(C5005,""^(?:https?:\/\/)?(?:[^@\n]+@)?(?:www\.)?([^:\/\n]+)"")),"""")"),"legalbusiness.co.uk")</f>
        <v>legalbusiness.co.uk</v>
      </c>
      <c r="E5005" s="26" t="str">
        <f ca="1">IFERROR(__xludf.DUMMYFUNCTION("""COMPUTED_VALUE"""),"New")</f>
        <v>New</v>
      </c>
      <c r="F5005" s="72">
        <v>63</v>
      </c>
      <c r="G5005" s="72">
        <v>1342</v>
      </c>
      <c r="P5005" s="26"/>
    </row>
    <row r="5006" spans="1:16" ht="14.5">
      <c r="A5006" s="3" t="s">
        <v>257</v>
      </c>
      <c r="B5006" s="3" t="s">
        <v>2885</v>
      </c>
      <c r="C5006" s="46" t="s">
        <v>8961</v>
      </c>
      <c r="D5006" s="41" t="str">
        <f ca="1">IFERROR(__xludf.DUMMYFUNCTION("IFERROR(ARRAYFORMULA(REGEXEXTRACT(C5006,""^(?:https?:\/\/)?(?:[^@\n]+@)?(?:www\.)?([^:\/\n]+)"")),"""")"),"installeronline.co.uk")</f>
        <v>installeronline.co.uk</v>
      </c>
      <c r="E5006" s="26" t="str">
        <f ca="1">IFERROR(__xludf.DUMMYFUNCTION("""COMPUTED_VALUE"""),"New")</f>
        <v>New</v>
      </c>
      <c r="F5006" s="72">
        <v>60</v>
      </c>
      <c r="G5006" s="72">
        <v>2402</v>
      </c>
      <c r="P5006" s="26"/>
    </row>
    <row r="5007" spans="1:16" ht="14.5">
      <c r="A5007" s="3" t="s">
        <v>257</v>
      </c>
      <c r="B5007" s="3" t="s">
        <v>2885</v>
      </c>
      <c r="C5007" s="46" t="s">
        <v>8962</v>
      </c>
      <c r="D5007" s="41" t="str">
        <f ca="1">IFERROR(__xludf.DUMMYFUNCTION("IFERROR(ARRAYFORMULA(REGEXEXTRACT(C5007,""^(?:https?:\/\/)?(?:[^@\n]+@)?(?:www\.)?([^:\/\n]+)"")),"""")"),"todayswillsandprobate.co.uk")</f>
        <v>todayswillsandprobate.co.uk</v>
      </c>
      <c r="E5007" s="26" t="str">
        <f ca="1">IFERROR(__xludf.DUMMYFUNCTION("""COMPUTED_VALUE"""),"New")</f>
        <v>New</v>
      </c>
      <c r="F5007" s="72">
        <v>59</v>
      </c>
      <c r="G5007" s="72">
        <v>2920</v>
      </c>
      <c r="P5007" s="26"/>
    </row>
    <row r="5008" spans="1:16" ht="14.5">
      <c r="A5008" s="3" t="s">
        <v>257</v>
      </c>
      <c r="B5008" s="3" t="s">
        <v>2885</v>
      </c>
      <c r="C5008" s="46" t="s">
        <v>8963</v>
      </c>
      <c r="D5008" s="41" t="str">
        <f ca="1">IFERROR(__xludf.DUMMYFUNCTION("IFERROR(ARRAYFORMULA(REGEXEXTRACT(C5008,""^(?:https?:\/\/)?(?:[^@\n]+@)?(?:www\.)?([^:\/\n]+)"")),"""")"),"wealthandfinance.digital")</f>
        <v>wealthandfinance.digital</v>
      </c>
      <c r="E5008" s="26" t="str">
        <f ca="1">IFERROR(__xludf.DUMMYFUNCTION("""COMPUTED_VALUE"""),"New")</f>
        <v>New</v>
      </c>
      <c r="F5008" s="72">
        <v>66</v>
      </c>
      <c r="G5008" s="72">
        <v>1091</v>
      </c>
      <c r="P5008" s="26"/>
    </row>
    <row r="5009" spans="1:16" ht="14.5">
      <c r="A5009" s="3" t="s">
        <v>257</v>
      </c>
      <c r="B5009" s="3" t="s">
        <v>2885</v>
      </c>
      <c r="C5009" s="46" t="s">
        <v>8964</v>
      </c>
      <c r="D5009" s="41" t="str">
        <f ca="1">IFERROR(__xludf.DUMMYFUNCTION("IFERROR(ARRAYFORMULA(REGEXEXTRACT(C5009,""^(?:https?:\/\/)?(?:[^@\n]+@)?(?:www\.)?([^:\/\n]+)"")),"""")"),"lexology.com")</f>
        <v>lexology.com</v>
      </c>
      <c r="E5009" s="26" t="str">
        <f ca="1">IFERROR(__xludf.DUMMYFUNCTION("""COMPUTED_VALUE"""),"New")</f>
        <v>New</v>
      </c>
      <c r="F5009" s="72">
        <v>85</v>
      </c>
      <c r="G5009" s="72">
        <v>165137</v>
      </c>
      <c r="P5009" s="26"/>
    </row>
    <row r="5010" spans="1:16" ht="14.5">
      <c r="A5010" s="3" t="s">
        <v>257</v>
      </c>
      <c r="B5010" s="3" t="s">
        <v>2885</v>
      </c>
      <c r="C5010" s="46" t="s">
        <v>8965</v>
      </c>
      <c r="D5010" s="41" t="str">
        <f ca="1">IFERROR(__xludf.DUMMYFUNCTION("IFERROR(ARRAYFORMULA(REGEXEXTRACT(C5010,""^(?:https?:\/\/)?(?:[^@\n]+@)?(?:www\.)?([^:\/\n]+)"")),"""")"),"utw11297.utweb.utexas.edu")</f>
        <v>utw11297.utweb.utexas.edu</v>
      </c>
      <c r="E5010" s="26" t="str">
        <f ca="1">IFERROR(__xludf.DUMMYFUNCTION("""COMPUTED_VALUE"""),"New")</f>
        <v>New</v>
      </c>
      <c r="F5010" s="72">
        <v>90</v>
      </c>
      <c r="G5010" s="72">
        <v>1606349</v>
      </c>
      <c r="P5010" s="26"/>
    </row>
    <row r="5011" spans="1:16" ht="14.5">
      <c r="A5011" s="3" t="s">
        <v>257</v>
      </c>
      <c r="B5011" s="3" t="s">
        <v>2885</v>
      </c>
      <c r="C5011" s="46" t="s">
        <v>8966</v>
      </c>
      <c r="D5011" s="41" t="str">
        <f ca="1">IFERROR(__xludf.DUMMYFUNCTION("IFERROR(ARRAYFORMULA(REGEXEXTRACT(C5011,""^(?:https?:\/\/)?(?:[^@\n]+@)?(?:www\.)?([^:\/\n]+)"")),"""")"),"next-tech.com")</f>
        <v>next-tech.com</v>
      </c>
      <c r="E5011" s="26" t="str">
        <f ca="1">IFERROR(__xludf.DUMMYFUNCTION("""COMPUTED_VALUE"""),"New")</f>
        <v>New</v>
      </c>
      <c r="F5011" s="72">
        <v>47</v>
      </c>
      <c r="G5011" s="72">
        <v>3807</v>
      </c>
      <c r="P5011" s="26"/>
    </row>
    <row r="5012" spans="1:16" ht="14.5">
      <c r="A5012" s="3" t="s">
        <v>257</v>
      </c>
      <c r="B5012" s="3" t="s">
        <v>2885</v>
      </c>
      <c r="C5012" s="46" t="s">
        <v>8967</v>
      </c>
      <c r="D5012" s="41" t="str">
        <f ca="1">IFERROR(__xludf.DUMMYFUNCTION("IFERROR(ARRAYFORMULA(REGEXEXTRACT(C5012,""^(?:https?:\/\/)?(?:[^@\n]+@)?(?:www\.)?([^:\/\n]+)"")),"""")"),"bsky.app")</f>
        <v>bsky.app</v>
      </c>
      <c r="E5012" s="26" t="str">
        <f ca="1">IFERROR(__xludf.DUMMYFUNCTION("""COMPUTED_VALUE"""),"New")</f>
        <v>New</v>
      </c>
      <c r="F5012" s="72">
        <v>94</v>
      </c>
      <c r="G5012" s="72">
        <v>1274091</v>
      </c>
      <c r="P5012" s="26"/>
    </row>
    <row r="5013" spans="1:16" ht="14.5">
      <c r="A5013" s="3" t="s">
        <v>257</v>
      </c>
      <c r="B5013" s="3" t="s">
        <v>2885</v>
      </c>
      <c r="C5013" s="46" t="s">
        <v>8968</v>
      </c>
      <c r="D5013" s="41" t="str">
        <f ca="1">IFERROR(__xludf.DUMMYFUNCTION("IFERROR(ARRAYFORMULA(REGEXEXTRACT(C5013,""^(?:https?:\/\/)?(?:[^@\n]+@)?(?:www\.)?([^:\/\n]+)"")),"""")"),"elitebusinessmagazine.co.uk")</f>
        <v>elitebusinessmagazine.co.uk</v>
      </c>
      <c r="E5013" s="26" t="str">
        <f ca="1">IFERROR(__xludf.DUMMYFUNCTION("""COMPUTED_VALUE"""),"New")</f>
        <v>New</v>
      </c>
      <c r="F5013" s="72">
        <v>66</v>
      </c>
      <c r="G5013" s="72">
        <v>2422</v>
      </c>
      <c r="P5013" s="26"/>
    </row>
    <row r="5014" spans="1:16" ht="14.5">
      <c r="A5014" s="3" t="s">
        <v>257</v>
      </c>
      <c r="B5014" s="3" t="s">
        <v>2885</v>
      </c>
      <c r="C5014" s="46" t="s">
        <v>8969</v>
      </c>
      <c r="D5014" s="41" t="str">
        <f ca="1">IFERROR(__xludf.DUMMYFUNCTION("IFERROR(ARRAYFORMULA(REGEXEXTRACT(C5014,""^(?:https?:\/\/)?(?:[^@\n]+@)?(?:www\.)?([^:\/\n]+)"")),"""")"),"sheerluxe.com")</f>
        <v>sheerluxe.com</v>
      </c>
      <c r="E5014" s="26" t="str">
        <f ca="1">IFERROR(__xludf.DUMMYFUNCTION("""COMPUTED_VALUE"""),"New")</f>
        <v>New</v>
      </c>
      <c r="F5014" s="72">
        <v>75</v>
      </c>
      <c r="G5014" s="72">
        <v>143757</v>
      </c>
      <c r="P5014" s="26"/>
    </row>
    <row r="5015" spans="1:16" ht="14.5">
      <c r="A5015" s="3" t="s">
        <v>257</v>
      </c>
      <c r="B5015" s="3" t="s">
        <v>2885</v>
      </c>
      <c r="C5015" s="46" t="s">
        <v>8970</v>
      </c>
      <c r="D5015" s="41" t="str">
        <f ca="1">IFERROR(__xludf.DUMMYFUNCTION("IFERROR(ARRAYFORMULA(REGEXEXTRACT(C5015,""^(?:https?:\/\/)?(?:[^@\n]+@)?(?:www\.)?([^:\/\n]+)"")),"""")"),"serlecourt.co.uk")</f>
        <v>serlecourt.co.uk</v>
      </c>
      <c r="E5015" s="26" t="str">
        <f ca="1">IFERROR(__xludf.DUMMYFUNCTION("""COMPUTED_VALUE"""),"New")</f>
        <v>New</v>
      </c>
      <c r="F5015" s="72">
        <v>41</v>
      </c>
      <c r="G5015" s="72">
        <v>2267</v>
      </c>
      <c r="P5015" s="26"/>
    </row>
    <row r="5016" spans="1:16" ht="14.5">
      <c r="A5016" s="3" t="s">
        <v>257</v>
      </c>
      <c r="B5016" s="3" t="s">
        <v>2885</v>
      </c>
      <c r="C5016" s="46" t="s">
        <v>8971</v>
      </c>
      <c r="D5016" s="41" t="str">
        <f ca="1">IFERROR(__xludf.DUMMYFUNCTION("IFERROR(ARRAYFORMULA(REGEXEXTRACT(C5016,""^(?:https?:\/\/)?(?:[^@\n]+@)?(?:www\.)?([^:\/\n]+)"")),"""")"),"teamengland.org")</f>
        <v>teamengland.org</v>
      </c>
      <c r="E5016" s="26" t="str">
        <f ca="1">IFERROR(__xludf.DUMMYFUNCTION("""COMPUTED_VALUE"""),"New")</f>
        <v>New</v>
      </c>
      <c r="F5016" s="72">
        <v>49</v>
      </c>
      <c r="G5016" s="72">
        <v>6829</v>
      </c>
      <c r="P5016" s="26"/>
    </row>
    <row r="5017" spans="1:16" ht="14.5">
      <c r="A5017" s="3" t="s">
        <v>257</v>
      </c>
      <c r="B5017" s="3" t="s">
        <v>2885</v>
      </c>
      <c r="C5017" s="46" t="s">
        <v>8972</v>
      </c>
      <c r="D5017" s="41" t="str">
        <f ca="1">IFERROR(__xludf.DUMMYFUNCTION("IFERROR(ARRAYFORMULA(REGEXEXTRACT(C5017,""^(?:https?:\/\/)?(?:[^@\n]+@)?(?:www\.)?([^:\/\n]+)"")),"""")"),"financialpost.com")</f>
        <v>financialpost.com</v>
      </c>
      <c r="E5017" s="26" t="str">
        <f ca="1">IFERROR(__xludf.DUMMYFUNCTION("""COMPUTED_VALUE"""),"New")</f>
        <v>New</v>
      </c>
      <c r="F5017" s="72">
        <v>85</v>
      </c>
      <c r="G5017" s="72">
        <v>372152</v>
      </c>
      <c r="P5017" s="26"/>
    </row>
    <row r="5018" spans="1:16" ht="14.5">
      <c r="A5018" s="3" t="s">
        <v>257</v>
      </c>
      <c r="B5018" s="3" t="s">
        <v>2885</v>
      </c>
      <c r="C5018" s="46" t="s">
        <v>8973</v>
      </c>
      <c r="D5018" s="41" t="str">
        <f ca="1">IFERROR(__xludf.DUMMYFUNCTION("IFERROR(ARRAYFORMULA(REGEXEXTRACT(C5018,""^(?:https?:\/\/)?(?:[^@\n]+@)?(?:www\.)?([^:\/\n]+)"")),"""")"),"cbinsights.com")</f>
        <v>cbinsights.com</v>
      </c>
      <c r="E5018" s="26" t="str">
        <f ca="1">IFERROR(__xludf.DUMMYFUNCTION("""COMPUTED_VALUE"""),"New")</f>
        <v>New</v>
      </c>
      <c r="F5018" s="72">
        <v>86</v>
      </c>
      <c r="G5018" s="72">
        <v>104309</v>
      </c>
      <c r="P5018" s="26"/>
    </row>
    <row r="5019" spans="1:16" ht="14.5">
      <c r="A5019" s="3" t="s">
        <v>257</v>
      </c>
      <c r="B5019" s="3" t="s">
        <v>2885</v>
      </c>
      <c r="C5019" s="46" t="s">
        <v>8974</v>
      </c>
      <c r="D5019" s="41" t="str">
        <f ca="1">IFERROR(__xludf.DUMMYFUNCTION("IFERROR(ARRAYFORMULA(REGEXEXTRACT(C5019,""^(?:https?:\/\/)?(?:[^@\n]+@)?(?:www\.)?([^:\/\n]+)"")),"""")"),"appsruntheworld.com")</f>
        <v>appsruntheworld.com</v>
      </c>
      <c r="E5019" s="26" t="str">
        <f ca="1">IFERROR(__xludf.DUMMYFUNCTION("""COMPUTED_VALUE"""),"New")</f>
        <v>New</v>
      </c>
      <c r="F5019" s="72">
        <v>67</v>
      </c>
      <c r="G5019" s="72">
        <v>19797</v>
      </c>
    </row>
    <row r="5020" spans="1:16" ht="14.5">
      <c r="A5020" s="3" t="s">
        <v>257</v>
      </c>
      <c r="B5020" s="3" t="s">
        <v>2885</v>
      </c>
      <c r="C5020" s="46" t="s">
        <v>8975</v>
      </c>
      <c r="D5020" s="41" t="str">
        <f ca="1">IFERROR(__xludf.DUMMYFUNCTION("IFERROR(ARRAYFORMULA(REGEXEXTRACT(C5020,""^(?:https?:\/\/)?(?:[^@\n]+@)?(?:www\.)?([^:\/\n]+)"")),"""")"),"timeshighereducation.com")</f>
        <v>timeshighereducation.com</v>
      </c>
      <c r="E5020" s="26" t="str">
        <f ca="1">IFERROR(__xludf.DUMMYFUNCTION("""COMPUTED_VALUE"""),"New")</f>
        <v>New</v>
      </c>
      <c r="F5020" s="72">
        <v>85</v>
      </c>
      <c r="G5020" s="72">
        <v>738375</v>
      </c>
    </row>
    <row r="5021" spans="1:16" ht="14.5">
      <c r="A5021" s="3" t="s">
        <v>257</v>
      </c>
      <c r="B5021" s="3" t="s">
        <v>2885</v>
      </c>
      <c r="C5021" s="46" t="s">
        <v>8976</v>
      </c>
      <c r="D5021" s="41" t="str">
        <f ca="1">IFERROR(__xludf.DUMMYFUNCTION("IFERROR(ARRAYFORMULA(REGEXEXTRACT(C5021,""^(?:https?:\/\/)?(?:[^@\n]+@)?(?:www\.)?([^:\/\n]+)"")),"""")"),"inven.ai")</f>
        <v>inven.ai</v>
      </c>
      <c r="E5021" s="26" t="str">
        <f ca="1">IFERROR(__xludf.DUMMYFUNCTION("""COMPUTED_VALUE"""),"New")</f>
        <v>New</v>
      </c>
      <c r="F5021" s="72">
        <v>49</v>
      </c>
      <c r="G5021" s="72">
        <v>4910</v>
      </c>
    </row>
    <row r="5022" spans="1:16" ht="14.5">
      <c r="A5022" s="3" t="s">
        <v>257</v>
      </c>
      <c r="B5022" s="3" t="s">
        <v>2885</v>
      </c>
      <c r="C5022" s="46" t="s">
        <v>8977</v>
      </c>
      <c r="D5022" s="41" t="str">
        <f ca="1">IFERROR(__xludf.DUMMYFUNCTION("IFERROR(ARRAYFORMULA(REGEXEXTRACT(C5022,""^(?:https?:\/\/)?(?:[^@\n]+@)?(?:www\.)?([^:\/\n]+)"")),"""")"),"thelandsite.co.uk")</f>
        <v>thelandsite.co.uk</v>
      </c>
      <c r="E5022" s="26" t="str">
        <f ca="1">IFERROR(__xludf.DUMMYFUNCTION("""COMPUTED_VALUE"""),"New")</f>
        <v>New</v>
      </c>
      <c r="F5022" s="72">
        <v>31</v>
      </c>
      <c r="G5022" s="72">
        <v>1035</v>
      </c>
    </row>
    <row r="5023" spans="1:16" ht="14.5">
      <c r="A5023" s="3" t="s">
        <v>257</v>
      </c>
      <c r="B5023" s="3" t="s">
        <v>2885</v>
      </c>
      <c r="C5023" s="46" t="s">
        <v>8978</v>
      </c>
      <c r="D5023" s="41" t="str">
        <f ca="1">IFERROR(__xludf.DUMMYFUNCTION("IFERROR(ARRAYFORMULA(REGEXEXTRACT(C5023,""^(?:https?:\/\/)?(?:[^@\n]+@)?(?:www\.)?([^:\/\n]+)"")),"""")"),"retailgazette.co.uk")</f>
        <v>retailgazette.co.uk</v>
      </c>
      <c r="E5023" s="26" t="str">
        <f ca="1">IFERROR(__xludf.DUMMYFUNCTION("""COMPUTED_VALUE"""),"New")</f>
        <v>New</v>
      </c>
      <c r="F5023" s="72">
        <v>76</v>
      </c>
      <c r="G5023" s="72">
        <v>38389</v>
      </c>
    </row>
    <row r="5024" spans="1:16" ht="14.5">
      <c r="A5024" s="3" t="s">
        <v>257</v>
      </c>
      <c r="B5024" s="3" t="s">
        <v>2885</v>
      </c>
      <c r="C5024" s="46" t="s">
        <v>8979</v>
      </c>
      <c r="D5024" s="41" t="str">
        <f ca="1">IFERROR(__xludf.DUMMYFUNCTION("IFERROR(ARRAYFORMULA(REGEXEXTRACT(C5024,""^(?:https?:\/\/)?(?:[^@\n]+@)?(?:www\.)?([^:\/\n]+)"")),"""")"),"localgov.co.uk")</f>
        <v>localgov.co.uk</v>
      </c>
      <c r="E5024" s="26" t="str">
        <f ca="1">IFERROR(__xludf.DUMMYFUNCTION("""COMPUTED_VALUE"""),"New")</f>
        <v>New</v>
      </c>
      <c r="F5024" s="72">
        <v>66</v>
      </c>
      <c r="G5024" s="72">
        <v>10332</v>
      </c>
    </row>
    <row r="5025" spans="1:7" ht="14.5">
      <c r="A5025" s="3" t="s">
        <v>257</v>
      </c>
      <c r="B5025" s="3" t="s">
        <v>2885</v>
      </c>
      <c r="C5025" s="46" t="s">
        <v>8980</v>
      </c>
      <c r="D5025" s="41" t="str">
        <f ca="1">IFERROR(__xludf.DUMMYFUNCTION("IFERROR(ARRAYFORMULA(REGEXEXTRACT(C5025,""^(?:https?:\/\/)?(?:[^@\n]+@)?(?:www\.)?([^:\/\n]+)"")),"""")"),"thegayuk.com")</f>
        <v>thegayuk.com</v>
      </c>
      <c r="E5025" s="26" t="str">
        <f ca="1">IFERROR(__xludf.DUMMYFUNCTION("""COMPUTED_VALUE"""),"New")</f>
        <v>New</v>
      </c>
      <c r="F5025" s="72">
        <v>43</v>
      </c>
      <c r="G5025" s="72">
        <v>8104</v>
      </c>
    </row>
    <row r="5026" spans="1:7" ht="14.5">
      <c r="A5026" s="3" t="s">
        <v>257</v>
      </c>
      <c r="B5026" s="3" t="s">
        <v>2885</v>
      </c>
      <c r="C5026" s="46" t="s">
        <v>8981</v>
      </c>
      <c r="D5026" s="41" t="str">
        <f ca="1">IFERROR(__xludf.DUMMYFUNCTION("IFERROR(ARRAYFORMULA(REGEXEXTRACT(C5026,""^(?:https?:\/\/)?(?:[^@\n]+@)?(?:www\.)?([^:\/\n]+)"")),"""")"),"frostbrowntodd.com")</f>
        <v>frostbrowntodd.com</v>
      </c>
      <c r="E5026" s="26" t="str">
        <f ca="1">IFERROR(__xludf.DUMMYFUNCTION("""COMPUTED_VALUE"""),"New")</f>
        <v>New</v>
      </c>
      <c r="F5026" s="72">
        <v>69</v>
      </c>
      <c r="G5026" s="72">
        <v>5328</v>
      </c>
    </row>
    <row r="5027" spans="1:7" ht="14.5">
      <c r="A5027" s="3" t="s">
        <v>257</v>
      </c>
      <c r="B5027" s="3" t="s">
        <v>2885</v>
      </c>
      <c r="C5027" s="46" t="s">
        <v>8982</v>
      </c>
      <c r="D5027" s="41" t="str">
        <f ca="1">IFERROR(__xludf.DUMMYFUNCTION("IFERROR(ARRAYFORMULA(REGEXEXTRACT(C5027,""^(?:https?:\/\/)?(?:[^@\n]+@)?(?:www\.)?([^:\/\n]+)"")),"""")"),"globalbankingandfinance.com")</f>
        <v>globalbankingandfinance.com</v>
      </c>
      <c r="E5027" s="26" t="str">
        <f ca="1">IFERROR(__xludf.DUMMYFUNCTION("""COMPUTED_VALUE"""),"New")</f>
        <v>New</v>
      </c>
      <c r="F5027" s="72">
        <v>77</v>
      </c>
      <c r="G5027" s="72">
        <v>26541</v>
      </c>
    </row>
    <row r="5028" spans="1:7" ht="14.5">
      <c r="A5028" s="3" t="s">
        <v>257</v>
      </c>
      <c r="B5028" s="3" t="s">
        <v>2885</v>
      </c>
      <c r="C5028" s="46" t="s">
        <v>8983</v>
      </c>
      <c r="D5028" s="41" t="str">
        <f ca="1">IFERROR(__xludf.DUMMYFUNCTION("IFERROR(ARRAYFORMULA(REGEXEXTRACT(C5028,""^(?:https?:\/\/)?(?:[^@\n]+@)?(?:www\.)?([^:\/\n]+)"")),"""")"),"morningadvertiser.co.uk")</f>
        <v>morningadvertiser.co.uk</v>
      </c>
      <c r="E5028" s="26" t="str">
        <f ca="1">IFERROR(__xludf.DUMMYFUNCTION("""COMPUTED_VALUE"""),"New")</f>
        <v>New</v>
      </c>
      <c r="F5028" s="72">
        <v>71</v>
      </c>
      <c r="G5028" s="72">
        <v>5907</v>
      </c>
    </row>
    <row r="5029" spans="1:7" ht="14.5">
      <c r="A5029" s="3" t="s">
        <v>257</v>
      </c>
      <c r="B5029" s="3" t="s">
        <v>2885</v>
      </c>
      <c r="C5029" s="46" t="s">
        <v>8984</v>
      </c>
      <c r="D5029" s="41" t="str">
        <f ca="1">IFERROR(__xludf.DUMMYFUNCTION("IFERROR(ARRAYFORMULA(REGEXEXTRACT(C5029,""^(?:https?:\/\/)?(?:[^@\n]+@)?(?:www\.)?([^:\/\n]+)"")),"""")"),"insidehousing.co.uk")</f>
        <v>insidehousing.co.uk</v>
      </c>
      <c r="E5029" s="26" t="str">
        <f ca="1">IFERROR(__xludf.DUMMYFUNCTION("""COMPUTED_VALUE"""),"New")</f>
        <v>New</v>
      </c>
      <c r="F5029" s="72">
        <v>74</v>
      </c>
      <c r="G5029" s="72">
        <v>9375</v>
      </c>
    </row>
    <row r="5030" spans="1:7" ht="14.5">
      <c r="A5030" s="3" t="s">
        <v>257</v>
      </c>
      <c r="B5030" s="3" t="s">
        <v>2885</v>
      </c>
      <c r="C5030" s="46" t="s">
        <v>8985</v>
      </c>
      <c r="D5030" s="41" t="str">
        <f ca="1">IFERROR(__xludf.DUMMYFUNCTION("IFERROR(ARRAYFORMULA(REGEXEXTRACT(C5030,""^(?:https?:\/\/)?(?:[^@\n]+@)?(?:www\.)?([^:\/\n]+)"")),"""")"),"wigantoday.net")</f>
        <v>wigantoday.net</v>
      </c>
      <c r="E5030" s="26" t="str">
        <f ca="1">IFERROR(__xludf.DUMMYFUNCTION("""COMPUTED_VALUE"""),"New")</f>
        <v>New</v>
      </c>
      <c r="F5030" s="72">
        <v>65</v>
      </c>
      <c r="G5030" s="72">
        <v>49852</v>
      </c>
    </row>
    <row r="5031" spans="1:7" ht="14.5">
      <c r="A5031" s="3" t="s">
        <v>257</v>
      </c>
      <c r="B5031" s="3" t="s">
        <v>2885</v>
      </c>
      <c r="C5031" s="46" t="s">
        <v>8986</v>
      </c>
      <c r="D5031" s="41" t="str">
        <f ca="1">IFERROR(__xludf.DUMMYFUNCTION("IFERROR(ARRAYFORMULA(REGEXEXTRACT(C5031,""^(?:https?:\/\/)?(?:[^@\n]+@)?(?:www\.)?([^:\/\n]+)"")),"""")"),"bcllegal.com")</f>
        <v>bcllegal.com</v>
      </c>
      <c r="E5031" s="26" t="str">
        <f ca="1">IFERROR(__xludf.DUMMYFUNCTION("""COMPUTED_VALUE"""),"New")</f>
        <v>New</v>
      </c>
      <c r="F5031" s="72">
        <v>38</v>
      </c>
      <c r="G5031" s="72">
        <v>1576</v>
      </c>
    </row>
    <row r="5032" spans="1:7" ht="14.5">
      <c r="A5032" s="3" t="s">
        <v>257</v>
      </c>
      <c r="B5032" s="3" t="s">
        <v>2885</v>
      </c>
      <c r="C5032" s="46" t="s">
        <v>8987</v>
      </c>
      <c r="D5032" s="41" t="str">
        <f ca="1">IFERROR(__xludf.DUMMYFUNCTION("IFERROR(ARRAYFORMULA(REGEXEXTRACT(C5032,""^(?:https?:\/\/)?(?:[^@\n]+@)?(?:www\.)?([^:\/\n]+)"")),"""")"),"theplanner.co.uk")</f>
        <v>theplanner.co.uk</v>
      </c>
      <c r="E5032" s="26" t="str">
        <f ca="1">IFERROR(__xludf.DUMMYFUNCTION("""COMPUTED_VALUE"""),"New")</f>
        <v>New</v>
      </c>
      <c r="F5032" s="72">
        <v>57</v>
      </c>
      <c r="G5032" s="72">
        <v>2810</v>
      </c>
    </row>
    <row r="5033" spans="1:7" ht="14.5">
      <c r="A5033" s="3" t="s">
        <v>257</v>
      </c>
      <c r="B5033" s="3" t="s">
        <v>2885</v>
      </c>
      <c r="C5033" s="46" t="s">
        <v>8988</v>
      </c>
      <c r="D5033" s="41" t="str">
        <f ca="1">IFERROR(__xludf.DUMMYFUNCTION("IFERROR(ARRAYFORMULA(REGEXEXTRACT(C5033,""^(?:https?:\/\/)?(?:[^@\n]+@)?(?:www\.)?([^:\/\n]+)"")),"""")"),"blogs.bournemouth.ac.uk")</f>
        <v>blogs.bournemouth.ac.uk</v>
      </c>
      <c r="E5033" s="26" t="str">
        <f ca="1">IFERROR(__xludf.DUMMYFUNCTION("""COMPUTED_VALUE"""),"New")</f>
        <v>New</v>
      </c>
      <c r="F5033" s="72">
        <v>78</v>
      </c>
      <c r="G5033" s="72">
        <v>102238</v>
      </c>
    </row>
    <row r="5034" spans="1:7" ht="14.5">
      <c r="A5034" s="3" t="s">
        <v>257</v>
      </c>
      <c r="B5034" s="3" t="s">
        <v>2885</v>
      </c>
      <c r="C5034" s="46" t="s">
        <v>8989</v>
      </c>
      <c r="D5034" s="41" t="str">
        <f ca="1">IFERROR(__xludf.DUMMYFUNCTION("IFERROR(ARRAYFORMULA(REGEXEXTRACT(C5034,""^(?:https?:\/\/)?(?:[^@\n]+@)?(?:www\.)?([^:\/\n]+)"")),"""")"),"app.croneri.co.uk")</f>
        <v>app.croneri.co.uk</v>
      </c>
      <c r="E5034" s="26" t="str">
        <f ca="1">IFERROR(__xludf.DUMMYFUNCTION("""COMPUTED_VALUE"""),"New")</f>
        <v>New</v>
      </c>
      <c r="F5034" s="72">
        <v>70</v>
      </c>
      <c r="G5034" s="72">
        <v>46517</v>
      </c>
    </row>
    <row r="5035" spans="1:7" ht="14.5">
      <c r="A5035" s="3" t="s">
        <v>257</v>
      </c>
      <c r="B5035" s="3" t="s">
        <v>2885</v>
      </c>
      <c r="C5035" s="46" t="s">
        <v>8990</v>
      </c>
      <c r="D5035" s="41" t="str">
        <f ca="1">IFERROR(__xludf.DUMMYFUNCTION("IFERROR(ARRAYFORMULA(REGEXEXTRACT(C5035,""^(?:https?:\/\/)?(?:[^@\n]+@)?(?:www\.)?([^:\/\n]+)"")),"""")"),"legal500.fr")</f>
        <v>legal500.fr</v>
      </c>
      <c r="E5035" s="26" t="str">
        <f ca="1">IFERROR(__xludf.DUMMYFUNCTION("""COMPUTED_VALUE"""),"New")</f>
        <v>New</v>
      </c>
      <c r="F5035" s="72">
        <v>49</v>
      </c>
      <c r="G5035" s="72">
        <v>12202</v>
      </c>
    </row>
    <row r="5036" spans="1:7" ht="14.5">
      <c r="A5036" s="3" t="s">
        <v>257</v>
      </c>
      <c r="B5036" s="3" t="s">
        <v>2885</v>
      </c>
      <c r="C5036" s="46" t="s">
        <v>8991</v>
      </c>
      <c r="D5036" s="41" t="str">
        <f ca="1">IFERROR(__xludf.DUMMYFUNCTION("IFERROR(ARRAYFORMULA(REGEXEXTRACT(C5036,""^(?:https?:\/\/)?(?:[^@\n]+@)?(?:www\.)?([^:\/\n]+)"")),"""")"),"walesonline.co.uk")</f>
        <v>walesonline.co.uk</v>
      </c>
      <c r="E5036" s="26" t="str">
        <f ca="1">IFERROR(__xludf.DUMMYFUNCTION("""COMPUTED_VALUE"""),"New")</f>
        <v>New</v>
      </c>
      <c r="F5036" s="72">
        <v>81</v>
      </c>
      <c r="G5036" s="72">
        <v>1018646</v>
      </c>
    </row>
    <row r="5037" spans="1:7" ht="14.5">
      <c r="A5037" s="3" t="s">
        <v>257</v>
      </c>
      <c r="B5037" s="3" t="s">
        <v>2885</v>
      </c>
      <c r="C5037" s="46" t="s">
        <v>8992</v>
      </c>
      <c r="D5037" s="41" t="str">
        <f ca="1">IFERROR(__xludf.DUMMYFUNCTION("IFERROR(ARRAYFORMULA(REGEXEXTRACT(C5037,""^(?:https?:\/\/)?(?:[^@\n]+@)?(?:www\.)?([^:\/\n]+)"")),"""")"),"esmmagazine.com")</f>
        <v>esmmagazine.com</v>
      </c>
      <c r="E5037" s="26" t="str">
        <f ca="1">IFERROR(__xludf.DUMMYFUNCTION("""COMPUTED_VALUE"""),"New")</f>
        <v>New</v>
      </c>
      <c r="F5037" s="72">
        <v>67</v>
      </c>
      <c r="G5037" s="72">
        <v>6935</v>
      </c>
    </row>
    <row r="5038" spans="1:7" ht="14.5">
      <c r="A5038" s="3" t="s">
        <v>257</v>
      </c>
      <c r="B5038" s="3" t="s">
        <v>2885</v>
      </c>
      <c r="C5038" s="46" t="s">
        <v>8993</v>
      </c>
      <c r="D5038" s="41" t="str">
        <f ca="1">IFERROR(__xludf.DUMMYFUNCTION("IFERROR(ARRAYFORMULA(REGEXEXTRACT(C5038,""^(?:https?:\/\/)?(?:[^@\n]+@)?(?:www\.)?([^:\/\n]+)"")),"""")"),"growjo.com")</f>
        <v>growjo.com</v>
      </c>
      <c r="E5038" s="26" t="str">
        <f ca="1">IFERROR(__xludf.DUMMYFUNCTION("""COMPUTED_VALUE"""),"New")</f>
        <v>New</v>
      </c>
      <c r="F5038" s="72">
        <v>64</v>
      </c>
      <c r="G5038" s="72">
        <v>30242</v>
      </c>
    </row>
    <row r="5039" spans="1:7" ht="14.5">
      <c r="A5039" s="3" t="s">
        <v>257</v>
      </c>
      <c r="B5039" s="3" t="s">
        <v>2885</v>
      </c>
      <c r="C5039" s="46" t="s">
        <v>8994</v>
      </c>
      <c r="D5039" s="41" t="str">
        <f ca="1">IFERROR(__xludf.DUMMYFUNCTION("IFERROR(ARRAYFORMULA(REGEXEXTRACT(C5039,""^(?:https?:\/\/)?(?:[^@\n]+@)?(?:www\.)?([^:\/\n]+)"")),"""")"),"kingschambers.com")</f>
        <v>kingschambers.com</v>
      </c>
      <c r="E5039" s="26" t="str">
        <f ca="1">IFERROR(__xludf.DUMMYFUNCTION("""COMPUTED_VALUE"""),"New")</f>
        <v>New</v>
      </c>
      <c r="F5039" s="72">
        <v>64</v>
      </c>
      <c r="G5039" s="72">
        <v>4950</v>
      </c>
    </row>
    <row r="5040" spans="1:7" ht="14.5">
      <c r="A5040" s="3" t="s">
        <v>257</v>
      </c>
      <c r="B5040" s="3" t="s">
        <v>2885</v>
      </c>
      <c r="C5040" s="46" t="s">
        <v>8995</v>
      </c>
      <c r="D5040" s="41" t="str">
        <f ca="1">IFERROR(__xludf.DUMMYFUNCTION("IFERROR(ARRAYFORMULA(REGEXEXTRACT(C5040,""^(?:https?:\/\/)?(?:[^@\n]+@)?(?:www\.)?([^:\/\n]+)"")),"""")"),"cih.org")</f>
        <v>cih.org</v>
      </c>
      <c r="E5040" s="26" t="str">
        <f ca="1">IFERROR(__xludf.DUMMYFUNCTION("""COMPUTED_VALUE"""),"New")</f>
        <v>New</v>
      </c>
      <c r="F5040" s="72">
        <v>70</v>
      </c>
      <c r="G5040" s="72">
        <v>5178</v>
      </c>
    </row>
    <row r="5041" spans="1:7" ht="14.5">
      <c r="A5041" s="3" t="s">
        <v>257</v>
      </c>
      <c r="B5041" s="3" t="s">
        <v>2885</v>
      </c>
      <c r="C5041" s="46" t="s">
        <v>8996</v>
      </c>
      <c r="D5041" s="41" t="str">
        <f ca="1">IFERROR(__xludf.DUMMYFUNCTION("IFERROR(ARRAYFORMULA(REGEXEXTRACT(C5041,""^(?:https?:\/\/)?(?:[^@\n]+@)?(?:www\.)?([^:\/\n]+)"")),"""")"),"podchaser.com")</f>
        <v>podchaser.com</v>
      </c>
      <c r="E5041" s="26" t="str">
        <f ca="1">IFERROR(__xludf.DUMMYFUNCTION("""COMPUTED_VALUE"""),"New")</f>
        <v>New</v>
      </c>
      <c r="F5041" s="72">
        <v>85</v>
      </c>
      <c r="G5041" s="72">
        <v>172846</v>
      </c>
    </row>
    <row r="5042" spans="1:7" ht="14.5">
      <c r="A5042" s="3" t="s">
        <v>257</v>
      </c>
      <c r="B5042" s="3" t="s">
        <v>2885</v>
      </c>
      <c r="C5042" s="46" t="s">
        <v>8997</v>
      </c>
      <c r="D5042" s="41" t="str">
        <f ca="1">IFERROR(__xludf.DUMMYFUNCTION("IFERROR(ARRAYFORMULA(REGEXEXTRACT(C5042,""^(?:https?:\/\/)?(?:[^@\n]+@)?(?:www\.)?([^:\/\n]+)"")),"""")"),"thenegotiator.co.uk")</f>
        <v>thenegotiator.co.uk</v>
      </c>
      <c r="E5042" s="26" t="str">
        <f ca="1">IFERROR(__xludf.DUMMYFUNCTION("""COMPUTED_VALUE"""),"New")</f>
        <v>New</v>
      </c>
      <c r="F5042" s="72">
        <v>70</v>
      </c>
      <c r="G5042" s="72">
        <v>8036</v>
      </c>
    </row>
    <row r="5043" spans="1:7" ht="14.5">
      <c r="A5043" s="3" t="s">
        <v>257</v>
      </c>
      <c r="B5043" s="3" t="s">
        <v>2885</v>
      </c>
      <c r="C5043" s="46" t="s">
        <v>8998</v>
      </c>
      <c r="D5043" s="41" t="str">
        <f ca="1">IFERROR(__xludf.DUMMYFUNCTION("IFERROR(ARRAYFORMULA(REGEXEXTRACT(C5043,""^(?:https?:\/\/)?(?:[^@\n]+@)?(?:www\.)?([^:\/\n]+)"")),"""")"),"findmassleads.com")</f>
        <v>findmassleads.com</v>
      </c>
      <c r="E5043" s="26" t="str">
        <f ca="1">IFERROR(__xludf.DUMMYFUNCTION("""COMPUTED_VALUE"""),"New")</f>
        <v>New</v>
      </c>
      <c r="F5043" s="72">
        <v>33</v>
      </c>
      <c r="G5043" s="72">
        <v>81083</v>
      </c>
    </row>
    <row r="5044" spans="1:7" ht="14.5">
      <c r="A5044" s="3" t="s">
        <v>257</v>
      </c>
      <c r="B5044" s="3" t="s">
        <v>2885</v>
      </c>
      <c r="C5044" s="46" t="s">
        <v>8999</v>
      </c>
      <c r="D5044" s="41" t="str">
        <f ca="1">IFERROR(__xludf.DUMMYFUNCTION("IFERROR(ARRAYFORMULA(REGEXEXTRACT(C5044,""^(?:https?:\/\/)?(?:[^@\n]+@)?(?:www\.)?([^:\/\n]+)"")),"""")"),"manufacturingdigital.com")</f>
        <v>manufacturingdigital.com</v>
      </c>
      <c r="E5044" s="26" t="str">
        <f ca="1">IFERROR(__xludf.DUMMYFUNCTION("""COMPUTED_VALUE"""),"New")</f>
        <v>New</v>
      </c>
      <c r="F5044" s="72">
        <v>70</v>
      </c>
      <c r="G5044" s="72">
        <v>11488</v>
      </c>
    </row>
    <row r="5045" spans="1:7" ht="14.5">
      <c r="A5045" s="3" t="s">
        <v>257</v>
      </c>
      <c r="B5045" s="3" t="s">
        <v>2885</v>
      </c>
      <c r="C5045" s="46" t="s">
        <v>9000</v>
      </c>
      <c r="D5045" s="41" t="str">
        <f ca="1">IFERROR(__xludf.DUMMYFUNCTION("IFERROR(ARRAYFORMULA(REGEXEXTRACT(C5045,""^(?:https?:\/\/)?(?:[^@\n]+@)?(?:www\.)?([^:\/\n]+)"")),"""")"),"podcasts.marketingsociety.com")</f>
        <v>podcasts.marketingsociety.com</v>
      </c>
      <c r="E5045" s="26" t="str">
        <f ca="1">IFERROR(__xludf.DUMMYFUNCTION("""COMPUTED_VALUE"""),"New")</f>
        <v>New</v>
      </c>
      <c r="F5045" s="72">
        <v>68</v>
      </c>
      <c r="G5045" s="72">
        <v>2128</v>
      </c>
    </row>
    <row r="5046" spans="1:7" ht="14.5">
      <c r="A5046" s="3" t="s">
        <v>257</v>
      </c>
      <c r="B5046" s="3" t="s">
        <v>2885</v>
      </c>
      <c r="C5046" s="46" t="s">
        <v>9001</v>
      </c>
      <c r="D5046" s="41" t="str">
        <f ca="1">IFERROR(__xludf.DUMMYFUNCTION("IFERROR(ARRAYFORMULA(REGEXEXTRACT(C5046,""^(?:https?:\/\/)?(?:[^@\n]+@)?(?:www\.)?([^:\/\n]+)"")),"""")"),"huffingtonpost.co.uk")</f>
        <v>huffingtonpost.co.uk</v>
      </c>
      <c r="E5046" s="26" t="str">
        <f ca="1">IFERROR(__xludf.DUMMYFUNCTION("""COMPUTED_VALUE"""),"New")</f>
        <v>New</v>
      </c>
      <c r="F5046" s="72">
        <v>90</v>
      </c>
      <c r="G5046" s="72">
        <v>143720</v>
      </c>
    </row>
    <row r="5047" spans="1:7" ht="14.5">
      <c r="A5047" s="3" t="s">
        <v>257</v>
      </c>
      <c r="B5047" s="3" t="s">
        <v>2885</v>
      </c>
      <c r="C5047" s="46" t="s">
        <v>9002</v>
      </c>
      <c r="D5047" s="41" t="str">
        <f ca="1">IFERROR(__xludf.DUMMYFUNCTION("IFERROR(ARRAYFORMULA(REGEXEXTRACT(C5047,""^(?:https?:\/\/)?(?:[^@\n]+@)?(?:www\.)?([^:\/\n]+)"")),"""")"),"waterwise.org.uk")</f>
        <v>waterwise.org.uk</v>
      </c>
      <c r="E5047" s="26" t="str">
        <f ca="1">IFERROR(__xludf.DUMMYFUNCTION("""COMPUTED_VALUE"""),"New")</f>
        <v>New</v>
      </c>
      <c r="F5047" s="72">
        <v>71</v>
      </c>
      <c r="G5047" s="72">
        <v>1306</v>
      </c>
    </row>
    <row r="5048" spans="1:7" ht="14.5">
      <c r="A5048" s="3" t="s">
        <v>257</v>
      </c>
      <c r="B5048" s="3" t="s">
        <v>2885</v>
      </c>
      <c r="C5048" s="46" t="s">
        <v>9003</v>
      </c>
      <c r="D5048" s="41" t="str">
        <f ca="1">IFERROR(__xludf.DUMMYFUNCTION("IFERROR(ARRAYFORMULA(REGEXEXTRACT(C5048,""^(?:https?:\/\/)?(?:[^@\n]+@)?(?:www\.)?([^:\/\n]+)"")),"""")"),"mylocalservices.co.uk")</f>
        <v>mylocalservices.co.uk</v>
      </c>
      <c r="E5048" s="26" t="str">
        <f ca="1">IFERROR(__xludf.DUMMYFUNCTION("""COMPUTED_VALUE"""),"New")</f>
        <v>New</v>
      </c>
      <c r="F5048" s="72">
        <v>59</v>
      </c>
      <c r="G5048" s="72">
        <v>5545</v>
      </c>
    </row>
    <row r="5049" spans="1:7" ht="14.5">
      <c r="A5049" s="3" t="s">
        <v>257</v>
      </c>
      <c r="B5049" s="3" t="s">
        <v>2885</v>
      </c>
      <c r="C5049" s="46" t="s">
        <v>9004</v>
      </c>
      <c r="D5049" s="41" t="str">
        <f ca="1">IFERROR(__xludf.DUMMYFUNCTION("IFERROR(ARRAYFORMULA(REGEXEXTRACT(C5049,""^(?:https?:\/\/)?(?:[^@\n]+@)?(?:www\.)?([^:\/\n]+)"")),"""")"),"shma.legl.com")</f>
        <v>shma.legl.com</v>
      </c>
      <c r="E5049" s="26" t="str">
        <f ca="1">IFERROR(__xludf.DUMMYFUNCTION("""COMPUTED_VALUE"""),"New")</f>
        <v>New</v>
      </c>
      <c r="F5049" s="72">
        <v>51</v>
      </c>
      <c r="G5049" s="72">
        <v>1917</v>
      </c>
    </row>
    <row r="5050" spans="1:7" ht="14.5">
      <c r="A5050" s="3" t="s">
        <v>257</v>
      </c>
      <c r="B5050" s="3" t="s">
        <v>2885</v>
      </c>
      <c r="C5050" s="46" t="s">
        <v>9005</v>
      </c>
      <c r="D5050" s="41" t="str">
        <f ca="1">IFERROR(__xludf.DUMMYFUNCTION("IFERROR(ARRAYFORMULA(REGEXEXTRACT(C5050,""^(?:https?:\/\/)?(?:[^@\n]+@)?(?:www\.)?([^:\/\n]+)"")),"""")"),"jobs.privateequitylist.com")</f>
        <v>jobs.privateequitylist.com</v>
      </c>
      <c r="E5050" s="26" t="str">
        <f ca="1">IFERROR(__xludf.DUMMYFUNCTION("""COMPUTED_VALUE"""),"New")</f>
        <v>New</v>
      </c>
      <c r="F5050" s="72">
        <v>36</v>
      </c>
      <c r="G5050" s="72">
        <v>3667</v>
      </c>
    </row>
    <row r="5051" spans="1:7" ht="14.5">
      <c r="A5051" s="3" t="s">
        <v>257</v>
      </c>
      <c r="B5051" s="3" t="s">
        <v>2885</v>
      </c>
      <c r="C5051" s="46" t="s">
        <v>9006</v>
      </c>
      <c r="D5051" s="41" t="str">
        <f ca="1">IFERROR(__xludf.DUMMYFUNCTION("IFERROR(ARRAYFORMULA(REGEXEXTRACT(C5051,""^(?:https?:\/\/)?(?:[^@\n]+@)?(?:www\.)?([^:\/\n]+)"")),"""")"),"estatesearch.co.uk")</f>
        <v>estatesearch.co.uk</v>
      </c>
      <c r="E5051" s="26" t="str">
        <f ca="1">IFERROR(__xludf.DUMMYFUNCTION("""COMPUTED_VALUE"""),"New")</f>
        <v>New</v>
      </c>
      <c r="F5051" s="72">
        <v>36</v>
      </c>
      <c r="G5051" s="72">
        <v>1502</v>
      </c>
    </row>
    <row r="5052" spans="1:7" ht="14.5">
      <c r="A5052" s="3" t="s">
        <v>257</v>
      </c>
      <c r="B5052" s="3" t="s">
        <v>2885</v>
      </c>
      <c r="C5052" s="46" t="s">
        <v>9007</v>
      </c>
      <c r="D5052" s="41" t="str">
        <f ca="1">IFERROR(__xludf.DUMMYFUNCTION("IFERROR(ARRAYFORMULA(REGEXEXTRACT(C5052,""^(?:https?:\/\/)?(?:[^@\n]+@)?(?:www\.)?([^:\/\n]+)"")),"""")"),"prospeo.io")</f>
        <v>prospeo.io</v>
      </c>
      <c r="E5052" s="26" t="str">
        <f ca="1">IFERROR(__xludf.DUMMYFUNCTION("""COMPUTED_VALUE"""),"New")</f>
        <v>New</v>
      </c>
      <c r="F5052" s="72">
        <v>62</v>
      </c>
      <c r="G5052" s="72">
        <v>19749</v>
      </c>
    </row>
    <row r="5053" spans="1:7" ht="14.5">
      <c r="A5053" s="3" t="s">
        <v>257</v>
      </c>
      <c r="B5053" s="3" t="s">
        <v>2885</v>
      </c>
      <c r="C5053" s="46" t="s">
        <v>9008</v>
      </c>
      <c r="D5053" s="41" t="str">
        <f ca="1">IFERROR(__xludf.DUMMYFUNCTION("IFERROR(ARRAYFORMULA(REGEXEXTRACT(C5053,""^(?:https?:\/\/)?(?:[^@\n]+@)?(?:www\.)?([^:\/\n]+)"")),"""")"),"ukbaa.org.uk")</f>
        <v>ukbaa.org.uk</v>
      </c>
      <c r="E5053" s="26" t="str">
        <f ca="1">IFERROR(__xludf.DUMMYFUNCTION("""COMPUTED_VALUE"""),"New")</f>
        <v>New</v>
      </c>
      <c r="F5053" s="72">
        <v>62</v>
      </c>
      <c r="G5053" s="72">
        <v>1751</v>
      </c>
    </row>
    <row r="5054" spans="1:7" ht="14.5">
      <c r="A5054" s="3" t="s">
        <v>257</v>
      </c>
      <c r="B5054" s="3" t="s">
        <v>2885</v>
      </c>
      <c r="C5054" s="46" t="s">
        <v>9009</v>
      </c>
      <c r="D5054" s="41" t="str">
        <f ca="1">IFERROR(__xludf.DUMMYFUNCTION("IFERROR(ARRAYFORMULA(REGEXEXTRACT(C5054,""^(?:https?:\/\/)?(?:[^@\n]+@)?(?:www\.)?([^:\/\n]+)"")),"""")"),"parcelpending.com")</f>
        <v>parcelpending.com</v>
      </c>
      <c r="E5054" s="26" t="str">
        <f ca="1">IFERROR(__xludf.DUMMYFUNCTION("""COMPUTED_VALUE"""),"New")</f>
        <v>New</v>
      </c>
      <c r="F5054" s="72">
        <v>68</v>
      </c>
      <c r="G5054" s="72">
        <v>42995</v>
      </c>
    </row>
    <row r="5055" spans="1:7" ht="14.5">
      <c r="A5055" s="3" t="s">
        <v>257</v>
      </c>
      <c r="B5055" s="3" t="s">
        <v>2885</v>
      </c>
      <c r="C5055" s="46" t="s">
        <v>9010</v>
      </c>
      <c r="D5055" s="41" t="str">
        <f ca="1">IFERROR(__xludf.DUMMYFUNCTION("IFERROR(ARRAYFORMULA(REGEXEXTRACT(C5055,""^(?:https?:\/\/)?(?:[^@\n]+@)?(?:www\.)?([^:\/\n]+)"")),"""")"),"lix-it.com")</f>
        <v>lix-it.com</v>
      </c>
      <c r="E5055" s="26" t="str">
        <f ca="1">IFERROR(__xludf.DUMMYFUNCTION("""COMPUTED_VALUE"""),"New")</f>
        <v>New</v>
      </c>
      <c r="F5055" s="72">
        <v>39</v>
      </c>
      <c r="G5055" s="72">
        <v>1695</v>
      </c>
    </row>
    <row r="5056" spans="1:7" ht="14.5">
      <c r="A5056" s="3" t="s">
        <v>257</v>
      </c>
      <c r="B5056" s="3" t="s">
        <v>2885</v>
      </c>
      <c r="C5056" s="46" t="s">
        <v>9011</v>
      </c>
      <c r="D5056" s="41" t="str">
        <f ca="1">IFERROR(__xludf.DUMMYFUNCTION("IFERROR(ARRAYFORMULA(REGEXEXTRACT(C5056,""^(?:https?:\/\/)?(?:[^@\n]+@)?(?:www\.)?([^:\/\n]+)"")),"""")"),"inventorybase.co.uk")</f>
        <v>inventorybase.co.uk</v>
      </c>
      <c r="E5056" s="26" t="str">
        <f ca="1">IFERROR(__xludf.DUMMYFUNCTION("""COMPUTED_VALUE"""),"New")</f>
        <v>New</v>
      </c>
      <c r="F5056" s="72">
        <v>45</v>
      </c>
      <c r="G5056" s="72">
        <v>7329</v>
      </c>
    </row>
    <row r="5057" spans="1:7" ht="14.5">
      <c r="A5057" s="3" t="s">
        <v>257</v>
      </c>
      <c r="B5057" s="3" t="s">
        <v>2885</v>
      </c>
      <c r="C5057" s="46" t="s">
        <v>9012</v>
      </c>
      <c r="D5057" s="41" t="str">
        <f ca="1">IFERROR(__xludf.DUMMYFUNCTION("IFERROR(ARRAYFORMULA(REGEXEXTRACT(C5057,""^(?:https?:\/\/)?(?:[^@\n]+@)?(?:www\.)?([^:\/\n]+)"")),"""")"),"businesschief.com")</f>
        <v>businesschief.com</v>
      </c>
      <c r="E5057" s="26" t="str">
        <f ca="1">IFERROR(__xludf.DUMMYFUNCTION("""COMPUTED_VALUE"""),"New")</f>
        <v>New</v>
      </c>
      <c r="F5057" s="72">
        <v>71</v>
      </c>
      <c r="G5057" s="72">
        <v>15437</v>
      </c>
    </row>
    <row r="5058" spans="1:7" ht="14.5">
      <c r="A5058" s="3" t="s">
        <v>257</v>
      </c>
      <c r="B5058" s="3" t="s">
        <v>2885</v>
      </c>
      <c r="C5058" s="46" t="s">
        <v>9013</v>
      </c>
      <c r="D5058" s="41" t="str">
        <f ca="1">IFERROR(__xludf.DUMMYFUNCTION("IFERROR(ARRAYFORMULA(REGEXEXTRACT(C5058,""^(?:https?:\/\/)?(?:[^@\n]+@)?(?:www\.)?([^:\/\n]+)"")),"""")"),"retailsector.co.uk")</f>
        <v>retailsector.co.uk</v>
      </c>
      <c r="E5058" s="26" t="str">
        <f ca="1">IFERROR(__xludf.DUMMYFUNCTION("""COMPUTED_VALUE"""),"New")</f>
        <v>New</v>
      </c>
      <c r="F5058" s="72">
        <v>51</v>
      </c>
      <c r="G5058" s="72">
        <v>1209</v>
      </c>
    </row>
    <row r="5059" spans="1:7" ht="14.5">
      <c r="A5059" s="3" t="s">
        <v>257</v>
      </c>
      <c r="B5059" s="3" t="s">
        <v>2885</v>
      </c>
      <c r="C5059" s="46" t="s">
        <v>9014</v>
      </c>
      <c r="D5059" s="41" t="str">
        <f ca="1">IFERROR(__xludf.DUMMYFUNCTION("IFERROR(ARRAYFORMULA(REGEXEXTRACT(C5059,""^(?:https?:\/\/)?(?:[^@\n]+@)?(?:www\.)?([^:\/\n]+)"")),"""")"),"birminghamdev.bham.ac.uk")</f>
        <v>birminghamdev.bham.ac.uk</v>
      </c>
      <c r="E5059" s="26" t="str">
        <f ca="1">IFERROR(__xludf.DUMMYFUNCTION("""COMPUTED_VALUE"""),"New")</f>
        <v>New</v>
      </c>
      <c r="F5059" s="72">
        <v>80</v>
      </c>
      <c r="G5059" s="72">
        <v>30808</v>
      </c>
    </row>
    <row r="5060" spans="1:7" ht="14.5">
      <c r="A5060" s="3" t="s">
        <v>257</v>
      </c>
      <c r="B5060" s="3" t="s">
        <v>2885</v>
      </c>
      <c r="C5060" s="46" t="s">
        <v>9015</v>
      </c>
      <c r="D5060" s="41" t="str">
        <f ca="1">IFERROR(__xludf.DUMMYFUNCTION("IFERROR(ARRAYFORMULA(REGEXEXTRACT(C5060,""^(?:https?:\/\/)?(?:[^@\n]+@)?(?:www\.)?([^:\/\n]+)"")),"""")"),"live-uk-uon.contensis.com")</f>
        <v>live-uk-uon.contensis.com</v>
      </c>
      <c r="E5060" s="26" t="str">
        <f ca="1">IFERROR(__xludf.DUMMYFUNCTION("""COMPUTED_VALUE"""),"New")</f>
        <v>New</v>
      </c>
      <c r="F5060" s="72">
        <v>66</v>
      </c>
      <c r="G5060" s="72">
        <v>4880</v>
      </c>
    </row>
    <row r="5061" spans="1:7" ht="14.5">
      <c r="A5061" s="3" t="s">
        <v>257</v>
      </c>
      <c r="B5061" s="3" t="s">
        <v>2885</v>
      </c>
      <c r="C5061" s="46" t="s">
        <v>9016</v>
      </c>
      <c r="D5061" s="41" t="str">
        <f ca="1">IFERROR(__xludf.DUMMYFUNCTION("IFERROR(ARRAYFORMULA(REGEXEXTRACT(C5061,""^(?:https?:\/\/)?(?:[^@\n]+@)?(?:www\.)?([^:\/\n]+)"")),"""")"),"balkangreenenergynews.com")</f>
        <v>balkangreenenergynews.com</v>
      </c>
      <c r="E5061" s="26" t="str">
        <f ca="1">IFERROR(__xludf.DUMMYFUNCTION("""COMPUTED_VALUE"""),"New")</f>
        <v>New</v>
      </c>
      <c r="F5061" s="72">
        <v>70</v>
      </c>
      <c r="G5061" s="72">
        <v>3536</v>
      </c>
    </row>
    <row r="5062" spans="1:7" ht="14.5">
      <c r="A5062" s="3" t="s">
        <v>257</v>
      </c>
      <c r="B5062" s="3" t="s">
        <v>2885</v>
      </c>
      <c r="C5062" s="46" t="s">
        <v>9017</v>
      </c>
      <c r="D5062" s="41" t="str">
        <f ca="1">IFERROR(__xludf.DUMMYFUNCTION("IFERROR(ARRAYFORMULA(REGEXEXTRACT(C5062,""^(?:https?:\/\/)?(?:[^@\n]+@)?(?:www\.)?([^:\/\n]+)"")),"""")"),"information-age.com")</f>
        <v>information-age.com</v>
      </c>
      <c r="E5062" s="26" t="str">
        <f ca="1">IFERROR(__xludf.DUMMYFUNCTION("""COMPUTED_VALUE"""),"New")</f>
        <v>New</v>
      </c>
      <c r="F5062" s="72">
        <v>79</v>
      </c>
      <c r="G5062" s="72">
        <v>5042</v>
      </c>
    </row>
    <row r="5063" spans="1:7" ht="14.5">
      <c r="A5063" s="3" t="s">
        <v>257</v>
      </c>
      <c r="B5063" s="3" t="s">
        <v>2885</v>
      </c>
      <c r="C5063" s="46" t="s">
        <v>9018</v>
      </c>
      <c r="D5063" s="41" t="str">
        <f ca="1">IFERROR(__xludf.DUMMYFUNCTION("IFERROR(ARRAYFORMULA(REGEXEXTRACT(C5063,""^(?:https?:\/\/)?(?:[^@\n]+@)?(?:www\.)?([^:\/\n]+)"")),"""")"),"farminguk.com")</f>
        <v>farminguk.com</v>
      </c>
      <c r="E5063" s="26" t="str">
        <f ca="1">IFERROR(__xludf.DUMMYFUNCTION("""COMPUTED_VALUE"""),"New")</f>
        <v>New</v>
      </c>
      <c r="F5063" s="72">
        <v>68</v>
      </c>
      <c r="G5063" s="72">
        <v>9063</v>
      </c>
    </row>
    <row r="5064" spans="1:7" ht="14.5">
      <c r="A5064" s="3" t="s">
        <v>257</v>
      </c>
      <c r="B5064" s="3" t="s">
        <v>2885</v>
      </c>
      <c r="C5064" s="46" t="s">
        <v>9019</v>
      </c>
      <c r="D5064" s="41" t="str">
        <f ca="1">IFERROR(__xludf.DUMMYFUNCTION("IFERROR(ARRAYFORMULA(REGEXEXTRACT(C5064,""^(?:https?:\/\/)?(?:[^@\n]+@)?(?:www\.)?([^:\/\n]+)"")),"""")"),"step.org")</f>
        <v>step.org</v>
      </c>
      <c r="E5064" s="26" t="str">
        <f ca="1">IFERROR(__xludf.DUMMYFUNCTION("""COMPUTED_VALUE"""),"New")</f>
        <v>New</v>
      </c>
      <c r="F5064" s="72">
        <v>75</v>
      </c>
      <c r="G5064" s="72">
        <v>17680</v>
      </c>
    </row>
    <row r="5065" spans="1:7" ht="14.5">
      <c r="A5065" s="3" t="s">
        <v>257</v>
      </c>
      <c r="B5065" s="3" t="s">
        <v>2885</v>
      </c>
      <c r="C5065" s="46" t="s">
        <v>9020</v>
      </c>
      <c r="D5065" s="41" t="str">
        <f ca="1">IFERROR(__xludf.DUMMYFUNCTION("IFERROR(ARRAYFORMULA(REGEXEXTRACT(C5065,""^(?:https?:\/\/)?(?:[^@\n]+@)?(?:www\.)?([^:\/\n]+)"")),"""")"),"buildingtalk.com")</f>
        <v>buildingtalk.com</v>
      </c>
      <c r="E5065" s="26" t="str">
        <f ca="1">IFERROR(__xludf.DUMMYFUNCTION("""COMPUTED_VALUE"""),"New")</f>
        <v>New</v>
      </c>
      <c r="F5065" s="72">
        <v>45</v>
      </c>
      <c r="G5065" s="72">
        <v>1238</v>
      </c>
    </row>
    <row r="5066" spans="1:7" ht="14.5">
      <c r="A5066" s="3" t="s">
        <v>257</v>
      </c>
      <c r="B5066" s="3" t="s">
        <v>2885</v>
      </c>
      <c r="C5066" s="46" t="s">
        <v>9021</v>
      </c>
      <c r="D5066" s="41" t="str">
        <f ca="1">IFERROR(__xludf.DUMMYFUNCTION("IFERROR(ARRAYFORMULA(REGEXEXTRACT(C5066,""^(?:https?:\/\/)?(?:[^@\n]+@)?(?:www\.)?([^:\/\n]+)"")),"""")"),"ditchcarbon.com")</f>
        <v>ditchcarbon.com</v>
      </c>
      <c r="E5066" s="26" t="str">
        <f ca="1">IFERROR(__xludf.DUMMYFUNCTION("""COMPUTED_VALUE"""),"New")</f>
        <v>New</v>
      </c>
      <c r="F5066" s="72">
        <v>50</v>
      </c>
      <c r="G5066" s="72">
        <v>1380</v>
      </c>
    </row>
    <row r="5067" spans="1:7" ht="14.5">
      <c r="A5067" s="3" t="s">
        <v>257</v>
      </c>
      <c r="B5067" s="3" t="s">
        <v>2885</v>
      </c>
      <c r="C5067" s="46" t="s">
        <v>9022</v>
      </c>
      <c r="D5067" s="41" t="str">
        <f ca="1">IFERROR(__xludf.DUMMYFUNCTION("IFERROR(ARRAYFORMULA(REGEXEXTRACT(C5067,""^(?:https?:\/\/)?(?:[^@\n]+@)?(?:www\.)?([^:\/\n]+)"")),"""")"),"irishnews.com")</f>
        <v>irishnews.com</v>
      </c>
      <c r="E5067" s="26" t="str">
        <f ca="1">IFERROR(__xludf.DUMMYFUNCTION("""COMPUTED_VALUE"""),"New")</f>
        <v>New</v>
      </c>
      <c r="F5067" s="72">
        <v>76</v>
      </c>
      <c r="G5067" s="72">
        <v>177026</v>
      </c>
    </row>
    <row r="5068" spans="1:7" ht="14.5">
      <c r="A5068" s="3" t="s">
        <v>257</v>
      </c>
      <c r="B5068" s="3" t="s">
        <v>2885</v>
      </c>
      <c r="C5068" s="46" t="s">
        <v>9023</v>
      </c>
      <c r="D5068" s="41" t="str">
        <f ca="1">IFERROR(__xludf.DUMMYFUNCTION("IFERROR(ARRAYFORMULA(REGEXEXTRACT(C5068,""^(?:https?:\/\/)?(?:[^@\n]+@)?(?:www\.)?([^:\/\n]+)"")),"""")"),"lincolnshireworld.com")</f>
        <v>lincolnshireworld.com</v>
      </c>
      <c r="E5068" s="26" t="str">
        <f ca="1">IFERROR(__xludf.DUMMYFUNCTION("""COMPUTED_VALUE"""),"New")</f>
        <v>New</v>
      </c>
      <c r="F5068" s="72">
        <v>56</v>
      </c>
      <c r="G5068" s="72">
        <v>11149</v>
      </c>
    </row>
    <row r="5069" spans="1:7" ht="14.5">
      <c r="A5069" s="3" t="s">
        <v>257</v>
      </c>
      <c r="B5069" s="3" t="s">
        <v>2885</v>
      </c>
      <c r="C5069" s="46" t="s">
        <v>9024</v>
      </c>
      <c r="D5069" s="41" t="str">
        <f ca="1">IFERROR(__xludf.DUMMYFUNCTION("IFERROR(ARRAYFORMULA(REGEXEXTRACT(C5069,""^(?:https?:\/\/)?(?:[^@\n]+@)?(?:www\.)?([^:\/\n]+)"")),"""")"),"nottingham.co.uk")</f>
        <v>nottingham.co.uk</v>
      </c>
      <c r="E5069" s="26" t="str">
        <f ca="1">IFERROR(__xludf.DUMMYFUNCTION("""COMPUTED_VALUE"""),"New")</f>
        <v>New</v>
      </c>
      <c r="F5069" s="72">
        <v>50</v>
      </c>
      <c r="G5069" s="72">
        <v>1398</v>
      </c>
    </row>
    <row r="5070" spans="1:7" ht="14.5">
      <c r="A5070" s="3" t="s">
        <v>257</v>
      </c>
      <c r="B5070" s="3" t="s">
        <v>2885</v>
      </c>
      <c r="C5070" s="46" t="s">
        <v>9025</v>
      </c>
      <c r="D5070" s="41" t="str">
        <f ca="1">IFERROR(__xludf.DUMMYFUNCTION("IFERROR(ARRAYFORMULA(REGEXEXTRACT(C5070,""^(?:https?:\/\/)?(?:[^@\n]+@)?(?:www\.)?([^:\/\n]+)"")),"""")"),"practiceguides.chambers.com")</f>
        <v>practiceguides.chambers.com</v>
      </c>
      <c r="E5070" s="26" t="str">
        <f ca="1">IFERROR(__xludf.DUMMYFUNCTION("""COMPUTED_VALUE"""),"New")</f>
        <v>New</v>
      </c>
      <c r="F5070" s="72">
        <v>82</v>
      </c>
      <c r="G5070" s="72">
        <v>339645</v>
      </c>
    </row>
    <row r="5071" spans="1:7" ht="14.5">
      <c r="A5071" s="3" t="s">
        <v>257</v>
      </c>
      <c r="B5071" s="3" t="s">
        <v>2885</v>
      </c>
      <c r="C5071" s="46" t="s">
        <v>9026</v>
      </c>
      <c r="D5071" s="41" t="str">
        <f ca="1">IFERROR(__xludf.DUMMYFUNCTION("IFERROR(ARRAYFORMULA(REGEXEXTRACT(C5071,""^(?:https?:\/\/)?(?:[^@\n]+@)?(?:www\.)?([^:\/\n]+)"")),"""")"),"stage.hospiceuk.org")</f>
        <v>stage.hospiceuk.org</v>
      </c>
      <c r="E5071" s="26" t="str">
        <f ca="1">IFERROR(__xludf.DUMMYFUNCTION("""COMPUTED_VALUE"""),"New")</f>
        <v>New</v>
      </c>
      <c r="F5071" s="72">
        <v>75</v>
      </c>
      <c r="G5071" s="72">
        <v>35141</v>
      </c>
    </row>
    <row r="5072" spans="1:7" ht="14.5">
      <c r="A5072" s="3" t="s">
        <v>257</v>
      </c>
      <c r="B5072" s="3" t="s">
        <v>2885</v>
      </c>
      <c r="C5072" s="46" t="s">
        <v>9027</v>
      </c>
      <c r="D5072" s="41" t="str">
        <f ca="1">IFERROR(__xludf.DUMMYFUNCTION("IFERROR(ARRAYFORMULA(REGEXEXTRACT(C5072,""^(?:https?:\/\/)?(?:[^@\n]+@)?(?:www\.)?([^:\/\n]+)"")),"""")"),"wiza.co")</f>
        <v>wiza.co</v>
      </c>
      <c r="E5072" s="26" t="str">
        <f ca="1">IFERROR(__xludf.DUMMYFUNCTION("""COMPUTED_VALUE"""),"New")</f>
        <v>New</v>
      </c>
      <c r="F5072" s="72">
        <v>70</v>
      </c>
      <c r="G5072" s="72">
        <v>24102</v>
      </c>
    </row>
    <row r="5073" spans="1:7" ht="14.5">
      <c r="A5073" s="3" t="s">
        <v>257</v>
      </c>
      <c r="B5073" s="3" t="s">
        <v>2885</v>
      </c>
      <c r="C5073" s="46" t="s">
        <v>9028</v>
      </c>
      <c r="D5073" s="41" t="str">
        <f ca="1">IFERROR(__xludf.DUMMYFUNCTION("IFERROR(ARRAYFORMULA(REGEXEXTRACT(C5073,""^(?:https?:\/\/)?(?:[^@\n]+@)?(?:www\.)?([^:\/\n]+)"")),"""")"),"ainvest.com")</f>
        <v>ainvest.com</v>
      </c>
      <c r="E5073" s="26" t="str">
        <f ca="1">IFERROR(__xludf.DUMMYFUNCTION("""COMPUTED_VALUE"""),"New")</f>
        <v>New</v>
      </c>
      <c r="F5073" s="72">
        <v>77</v>
      </c>
      <c r="G5073" s="72">
        <v>30828</v>
      </c>
    </row>
    <row r="5074" spans="1:7" ht="14.5">
      <c r="A5074" s="3" t="s">
        <v>257</v>
      </c>
      <c r="B5074" s="3" t="s">
        <v>2885</v>
      </c>
      <c r="C5074" s="46" t="s">
        <v>9029</v>
      </c>
      <c r="D5074" s="41" t="str">
        <f ca="1">IFERROR(__xludf.DUMMYFUNCTION("IFERROR(ARRAYFORMULA(REGEXEXTRACT(C5074,""^(?:https?:\/\/)?(?:[^@\n]+@)?(?:www\.)?([^:\/\n]+)"")),"""")"),"feefo.com")</f>
        <v>feefo.com</v>
      </c>
      <c r="E5074" s="26" t="str">
        <f ca="1">IFERROR(__xludf.DUMMYFUNCTION("""COMPUTED_VALUE"""),"New")</f>
        <v>New</v>
      </c>
      <c r="F5074" s="72">
        <v>83</v>
      </c>
      <c r="G5074" s="72">
        <v>90243</v>
      </c>
    </row>
    <row r="5075" spans="1:7" ht="14.5">
      <c r="A5075" s="3" t="s">
        <v>257</v>
      </c>
      <c r="B5075" s="3" t="s">
        <v>2885</v>
      </c>
      <c r="C5075" s="46" t="s">
        <v>9030</v>
      </c>
      <c r="D5075" s="41" t="str">
        <f ca="1">IFERROR(__xludf.DUMMYFUNCTION("IFERROR(ARRAYFORMULA(REGEXEXTRACT(C5075,""^(?:https?:\/\/)?(?:[^@\n]+@)?(?:www\.)?([^:\/\n]+)"")),"""")"),"ireland-live.ie")</f>
        <v>ireland-live.ie</v>
      </c>
      <c r="E5075" s="26" t="str">
        <f ca="1">IFERROR(__xludf.DUMMYFUNCTION("""COMPUTED_VALUE"""),"New")</f>
        <v>New</v>
      </c>
      <c r="F5075" s="72">
        <v>53</v>
      </c>
      <c r="G5075" s="72">
        <v>21451</v>
      </c>
    </row>
    <row r="5076" spans="1:7" ht="14.5">
      <c r="A5076" s="3" t="s">
        <v>257</v>
      </c>
      <c r="B5076" s="3" t="s">
        <v>2885</v>
      </c>
      <c r="C5076" s="46" t="s">
        <v>9031</v>
      </c>
      <c r="D5076" s="41" t="str">
        <f ca="1">IFERROR(__xludf.DUMMYFUNCTION("IFERROR(ARRAYFORMULA(REGEXEXTRACT(C5076,""^(?:https?:\/\/)?(?:[^@\n]+@)?(?:www\.)?([^:\/\n]+)"")),"""")"),"nottinghampost.com")</f>
        <v>nottinghampost.com</v>
      </c>
      <c r="E5076" s="26" t="str">
        <f ca="1">IFERROR(__xludf.DUMMYFUNCTION("""COMPUTED_VALUE"""),"New")</f>
        <v>New</v>
      </c>
      <c r="F5076" s="72">
        <v>76</v>
      </c>
      <c r="G5076" s="72">
        <v>218611</v>
      </c>
    </row>
    <row r="5077" spans="1:7" ht="14.5">
      <c r="A5077" s="3" t="s">
        <v>257</v>
      </c>
      <c r="B5077" s="3" t="s">
        <v>2885</v>
      </c>
      <c r="C5077" s="46" t="s">
        <v>9032</v>
      </c>
      <c r="D5077" s="41" t="str">
        <f ca="1">IFERROR(__xludf.DUMMYFUNCTION("IFERROR(ARRAYFORMULA(REGEXEXTRACT(C5077,""^(?:https?:\/\/)?(?:[^@\n]+@)?(?:www\.)?([^:\/\n]+)"")),"""")"),"lifeledger.com")</f>
        <v>lifeledger.com</v>
      </c>
      <c r="E5077" s="26" t="str">
        <f ca="1">IFERROR(__xludf.DUMMYFUNCTION("""COMPUTED_VALUE"""),"New")</f>
        <v>New</v>
      </c>
      <c r="F5077" s="72">
        <v>56</v>
      </c>
      <c r="G5077" s="72">
        <v>2209</v>
      </c>
    </row>
    <row r="5078" spans="1:7" ht="14.5">
      <c r="A5078" s="3" t="s">
        <v>257</v>
      </c>
      <c r="B5078" s="3" t="s">
        <v>2885</v>
      </c>
      <c r="C5078" s="46" t="s">
        <v>9033</v>
      </c>
      <c r="D5078" s="41" t="str">
        <f ca="1">IFERROR(__xludf.DUMMYFUNCTION("IFERROR(ARRAYFORMULA(REGEXEXTRACT(C5078,""^(?:https?:\/\/)?(?:[^@\n]+@)?(?:www\.)?([^:\/\n]+)"")),"""")"),"what-franchise.com")</f>
        <v>what-franchise.com</v>
      </c>
      <c r="E5078" s="26" t="str">
        <f ca="1">IFERROR(__xludf.DUMMYFUNCTION("""COMPUTED_VALUE"""),"New")</f>
        <v>New</v>
      </c>
      <c r="F5078" s="72">
        <v>46</v>
      </c>
      <c r="G5078" s="72">
        <v>5449</v>
      </c>
    </row>
    <row r="5079" spans="1:7" ht="14.5">
      <c r="A5079" s="3" t="s">
        <v>257</v>
      </c>
      <c r="B5079" s="3" t="s">
        <v>2885</v>
      </c>
      <c r="C5079" s="46" t="s">
        <v>9034</v>
      </c>
      <c r="D5079" s="41" t="str">
        <f ca="1">IFERROR(__xludf.DUMMYFUNCTION("IFERROR(ARRAYFORMULA(REGEXEXTRACT(C5079,""^(?:https?:\/\/)?(?:[^@\n]+@)?(?:www\.)?([^:\/\n]+)"")),"""")"),"reviews.birdeye.com")</f>
        <v>reviews.birdeye.com</v>
      </c>
      <c r="E5079" s="26" t="str">
        <f ca="1">IFERROR(__xludf.DUMMYFUNCTION("""COMPUTED_VALUE"""),"New")</f>
        <v>New</v>
      </c>
      <c r="F5079" s="72">
        <v>85</v>
      </c>
      <c r="G5079" s="72">
        <v>394226</v>
      </c>
    </row>
    <row r="5080" spans="1:7" ht="14.5">
      <c r="A5080" s="3" t="s">
        <v>257</v>
      </c>
      <c r="B5080" s="3" t="s">
        <v>2885</v>
      </c>
      <c r="C5080" s="46" t="s">
        <v>9035</v>
      </c>
      <c r="D5080" s="41" t="str">
        <f ca="1">IFERROR(__xludf.DUMMYFUNCTION("IFERROR(ARRAYFORMULA(REGEXEXTRACT(C5080,""^(?:https?:\/\/)?(?:[^@\n]+@)?(?:www\.)?([^:\/\n]+)"")),"""")"),"thepioneergroup.com")</f>
        <v>thepioneergroup.com</v>
      </c>
      <c r="E5080" s="26" t="str">
        <f ca="1">IFERROR(__xludf.DUMMYFUNCTION("""COMPUTED_VALUE"""),"New")</f>
        <v>New</v>
      </c>
      <c r="F5080" s="72">
        <v>57</v>
      </c>
      <c r="G5080" s="72">
        <v>1868</v>
      </c>
    </row>
    <row r="5081" spans="1:7" ht="14.5">
      <c r="A5081" s="3" t="s">
        <v>257</v>
      </c>
      <c r="B5081" s="3" t="s">
        <v>2885</v>
      </c>
      <c r="C5081" s="46" t="s">
        <v>9036</v>
      </c>
      <c r="D5081" s="41" t="str">
        <f ca="1">IFERROR(__xludf.DUMMYFUNCTION("IFERROR(ARRAYFORMULA(REGEXEXTRACT(C5081,""^(?:https?:\/\/)?(?:[^@\n]+@)?(?:www\.)?([^:\/\n]+)"")),"""")"),"content.yudu.com")</f>
        <v>content.yudu.com</v>
      </c>
      <c r="E5081" s="26" t="str">
        <f ca="1">IFERROR(__xludf.DUMMYFUNCTION("""COMPUTED_VALUE"""),"New")</f>
        <v>New</v>
      </c>
      <c r="F5081" s="72">
        <v>82</v>
      </c>
      <c r="G5081" s="72">
        <v>1264</v>
      </c>
    </row>
    <row r="5082" spans="1:7" ht="14.5">
      <c r="A5082" s="3" t="s">
        <v>257</v>
      </c>
      <c r="B5082" s="3" t="s">
        <v>2885</v>
      </c>
      <c r="C5082" s="46" t="s">
        <v>9037</v>
      </c>
      <c r="D5082" s="41" t="str">
        <f ca="1">IFERROR(__xludf.DUMMYFUNCTION("IFERROR(ARRAYFORMULA(REGEXEXTRACT(C5082,""^(?:https?:\/\/)?(?:[^@\n]+@)?(?:www\.)?([^:\/\n]+)"")),"""")"),"isbl.org.uk")</f>
        <v>isbl.org.uk</v>
      </c>
      <c r="E5082" s="26" t="str">
        <f ca="1">IFERROR(__xludf.DUMMYFUNCTION("""COMPUTED_VALUE"""),"New")</f>
        <v>New</v>
      </c>
      <c r="F5082" s="72">
        <v>50</v>
      </c>
      <c r="G5082" s="72">
        <v>1534</v>
      </c>
    </row>
    <row r="5083" spans="1:7" ht="14.5">
      <c r="A5083" s="3" t="s">
        <v>257</v>
      </c>
      <c r="B5083" s="3" t="s">
        <v>2885</v>
      </c>
      <c r="C5083" s="46" t="s">
        <v>9038</v>
      </c>
      <c r="D5083" s="41" t="str">
        <f ca="1">IFERROR(__xludf.DUMMYFUNCTION("IFERROR(ARRAYFORMULA(REGEXEXTRACT(C5083,""^(?:https?:\/\/)?(?:[^@\n]+@)?(?:www\.)?([^:\/\n]+)"")),"""")"),"fwi.co.uk")</f>
        <v>fwi.co.uk</v>
      </c>
      <c r="E5083" s="26" t="str">
        <f ca="1">IFERROR(__xludf.DUMMYFUNCTION("""COMPUTED_VALUE"""),"New")</f>
        <v>New</v>
      </c>
      <c r="F5083" s="72">
        <v>76</v>
      </c>
      <c r="G5083" s="72">
        <v>53020</v>
      </c>
    </row>
    <row r="5084" spans="1:7" ht="14.5">
      <c r="A5084" s="3" t="s">
        <v>257</v>
      </c>
      <c r="B5084" s="3" t="s">
        <v>2885</v>
      </c>
      <c r="C5084" s="46" t="s">
        <v>9039</v>
      </c>
      <c r="D5084" s="41" t="str">
        <f ca="1">IFERROR(__xludf.DUMMYFUNCTION("IFERROR(ARRAYFORMULA(REGEXEXTRACT(C5084,""^(?:https?:\/\/)?(?:[^@\n]+@)?(?:www\.)?([^:\/\n]+)"")),"""")"),"simplylawjobs.com")</f>
        <v>simplylawjobs.com</v>
      </c>
      <c r="E5084" s="26" t="str">
        <f ca="1">IFERROR(__xludf.DUMMYFUNCTION("""COMPUTED_VALUE"""),"New")</f>
        <v>New</v>
      </c>
      <c r="F5084" s="72">
        <v>31</v>
      </c>
      <c r="G5084" s="72">
        <v>1872</v>
      </c>
    </row>
    <row r="5085" spans="1:7" ht="14.5">
      <c r="A5085" s="3" t="s">
        <v>257</v>
      </c>
      <c r="B5085" s="3" t="s">
        <v>2885</v>
      </c>
      <c r="C5085" s="46" t="s">
        <v>9040</v>
      </c>
      <c r="D5085" s="41" t="str">
        <f ca="1">IFERROR(__xludf.DUMMYFUNCTION("IFERROR(ARRAYFORMULA(REGEXEXTRACT(C5085,""^(?:https?:\/\/)?(?:[^@\n]+@)?(?:www\.)?([^:\/\n]+)"")),"""")"),"bpca.org.uk")</f>
        <v>bpca.org.uk</v>
      </c>
      <c r="E5085" s="26" t="str">
        <f ca="1">IFERROR(__xludf.DUMMYFUNCTION("""COMPUTED_VALUE"""),"New")</f>
        <v>New</v>
      </c>
      <c r="F5085" s="72">
        <v>75</v>
      </c>
      <c r="G5085" s="72">
        <v>49705</v>
      </c>
    </row>
    <row r="5086" spans="1:7" ht="14.5">
      <c r="A5086" s="3" t="s">
        <v>257</v>
      </c>
      <c r="B5086" s="3" t="s">
        <v>2885</v>
      </c>
      <c r="C5086" s="46" t="s">
        <v>9041</v>
      </c>
      <c r="D5086" s="41" t="str">
        <f ca="1">IFERROR(__xludf.DUMMYFUNCTION("IFERROR(ARRAYFORMULA(REGEXEXTRACT(C5086,""^(?:https?:\/\/)?(?:[^@\n]+@)?(?:www\.)?([^:\/\n]+)"")),"""")"),"sheffield-digital.captivate.fm")</f>
        <v>sheffield-digital.captivate.fm</v>
      </c>
      <c r="E5086" s="26" t="str">
        <f ca="1">IFERROR(__xludf.DUMMYFUNCTION("""COMPUTED_VALUE"""),"New")</f>
        <v>New</v>
      </c>
      <c r="F5086" s="72">
        <v>85</v>
      </c>
      <c r="G5086" s="72">
        <v>20088</v>
      </c>
    </row>
    <row r="5087" spans="1:7" ht="14.5">
      <c r="A5087" s="3" t="s">
        <v>257</v>
      </c>
      <c r="B5087" s="3" t="s">
        <v>2885</v>
      </c>
      <c r="C5087" s="46" t="s">
        <v>9042</v>
      </c>
      <c r="D5087" s="41" t="str">
        <f ca="1">IFERROR(__xludf.DUMMYFUNCTION("IFERROR(ARRAYFORMULA(REGEXEXTRACT(C5087,""^(?:https?:\/\/)?(?:[^@\n]+@)?(?:www\.)?([^:\/\n]+)"")),"""")"),"clay.earth")</f>
        <v>clay.earth</v>
      </c>
      <c r="E5087" s="26" t="str">
        <f ca="1">IFERROR(__xludf.DUMMYFUNCTION("""COMPUTED_VALUE"""),"New")</f>
        <v>New</v>
      </c>
      <c r="F5087" s="72">
        <v>66</v>
      </c>
      <c r="G5087" s="72">
        <v>11894</v>
      </c>
    </row>
    <row r="5088" spans="1:7" ht="14.5">
      <c r="A5088" s="3" t="s">
        <v>257</v>
      </c>
      <c r="B5088" s="3" t="s">
        <v>2885</v>
      </c>
      <c r="C5088" s="46" t="s">
        <v>9043</v>
      </c>
      <c r="D5088" s="41" t="str">
        <f ca="1">IFERROR(__xludf.DUMMYFUNCTION("IFERROR(ARRAYFORMULA(REGEXEXTRACT(C5088,""^(?:https?:\/\/)?(?:[^@\n]+@)?(?:www\.)?([^:\/\n]+)"")),"""")"),"kldiscovery.com")</f>
        <v>kldiscovery.com</v>
      </c>
      <c r="E5088" s="26" t="str">
        <f ca="1">IFERROR(__xludf.DUMMYFUNCTION("""COMPUTED_VALUE"""),"New")</f>
        <v>New</v>
      </c>
      <c r="F5088" s="72">
        <v>42</v>
      </c>
      <c r="G5088" s="72">
        <v>4164</v>
      </c>
    </row>
    <row r="5089" spans="1:7" ht="14.5">
      <c r="A5089" s="3" t="s">
        <v>257</v>
      </c>
      <c r="B5089" s="3" t="s">
        <v>2885</v>
      </c>
      <c r="C5089" s="46" t="s">
        <v>9044</v>
      </c>
      <c r="D5089" s="41" t="str">
        <f ca="1">IFERROR(__xludf.DUMMYFUNCTION("IFERROR(ARRAYFORMULA(REGEXEXTRACT(C5089,""^(?:https?:\/\/)?(?:[^@\n]+@)?(?:www\.)?([^:\/\n]+)"")),"""")"),"zabasearch.com")</f>
        <v>zabasearch.com</v>
      </c>
      <c r="E5089" s="26" t="str">
        <f ca="1">IFERROR(__xludf.DUMMYFUNCTION("""COMPUTED_VALUE"""),"New")</f>
        <v>New</v>
      </c>
      <c r="F5089" s="72">
        <v>58</v>
      </c>
      <c r="G5089" s="72">
        <v>54086</v>
      </c>
    </row>
    <row r="5090" spans="1:7" ht="14.5">
      <c r="A5090" s="3" t="s">
        <v>257</v>
      </c>
      <c r="B5090" s="3" t="s">
        <v>2885</v>
      </c>
      <c r="C5090" s="46" t="s">
        <v>9045</v>
      </c>
      <c r="D5090" s="41" t="str">
        <f ca="1">IFERROR(__xludf.DUMMYFUNCTION("IFERROR(ARRAYFORMULA(REGEXEXTRACT(C5090,""^(?:https?:\/\/)?(?:[^@\n]+@)?(?:www\.)?([^:\/\n]+)"")),"""")"),"fbtgibbons.com")</f>
        <v>fbtgibbons.com</v>
      </c>
      <c r="E5090" s="26" t="str">
        <f ca="1">IFERROR(__xludf.DUMMYFUNCTION("""COMPUTED_VALUE"""),"New")</f>
        <v>New</v>
      </c>
      <c r="F5090" s="72">
        <v>68</v>
      </c>
      <c r="G5090" s="72">
        <v>2279</v>
      </c>
    </row>
    <row r="5091" spans="1:7" ht="14.5">
      <c r="A5091" s="3" t="s">
        <v>257</v>
      </c>
      <c r="B5091" s="3" t="s">
        <v>2885</v>
      </c>
      <c r="C5091" s="46" t="s">
        <v>9046</v>
      </c>
      <c r="D5091" s="41" t="str">
        <f ca="1">IFERROR(__xludf.DUMMYFUNCTION("IFERROR(ARRAYFORMULA(REGEXEXTRACT(C5091,""^(?:https?:\/\/)?(?:[^@\n]+@)?(?:www\.)?([^:\/\n]+)"")),"""")"),"bitc.org.uk")</f>
        <v>bitc.org.uk</v>
      </c>
      <c r="E5091" s="26" t="str">
        <f ca="1">IFERROR(__xludf.DUMMYFUNCTION("""COMPUTED_VALUE"""),"New")</f>
        <v>New</v>
      </c>
      <c r="F5091" s="72">
        <v>78</v>
      </c>
      <c r="G5091" s="72">
        <v>2652</v>
      </c>
    </row>
    <row r="5092" spans="1:7" ht="14.5">
      <c r="A5092" s="3" t="s">
        <v>257</v>
      </c>
      <c r="B5092" s="3" t="s">
        <v>2885</v>
      </c>
      <c r="C5092" s="46" t="s">
        <v>9047</v>
      </c>
      <c r="D5092" s="41" t="str">
        <f ca="1">IFERROR(__xludf.DUMMYFUNCTION("IFERROR(ARRAYFORMULA(REGEXEXTRACT(C5092,""^(?:https?:\/\/)?(?:[^@\n]+@)?(?:www\.)?([^:\/\n]+)"")),"""")"),"warwickshireworld.com")</f>
        <v>warwickshireworld.com</v>
      </c>
      <c r="E5092" s="26" t="str">
        <f ca="1">IFERROR(__xludf.DUMMYFUNCTION("""COMPUTED_VALUE"""),"New")</f>
        <v>New</v>
      </c>
      <c r="F5092" s="72">
        <v>57</v>
      </c>
      <c r="G5092" s="72">
        <v>7342</v>
      </c>
    </row>
    <row r="5093" spans="1:7" ht="14.5">
      <c r="A5093" s="3" t="s">
        <v>257</v>
      </c>
      <c r="B5093" s="3" t="s">
        <v>2885</v>
      </c>
      <c r="C5093" s="46" t="s">
        <v>9048</v>
      </c>
      <c r="D5093" s="41" t="str">
        <f ca="1">IFERROR(__xludf.DUMMYFUNCTION("IFERROR(ARRAYFORMULA(REGEXEXTRACT(C5093,""^(?:https?:\/\/)?(?:[^@\n]+@)?(?:www\.)?([^:\/\n]+)"")),"""")"),"restaurantonline.co.uk")</f>
        <v>restaurantonline.co.uk</v>
      </c>
      <c r="E5093" s="26" t="str">
        <f ca="1">IFERROR(__xludf.DUMMYFUNCTION("""COMPUTED_VALUE"""),"New")</f>
        <v>New</v>
      </c>
      <c r="F5093" s="72">
        <v>71</v>
      </c>
      <c r="G5093" s="72">
        <v>17582</v>
      </c>
    </row>
    <row r="5094" spans="1:7" ht="14.5">
      <c r="A5094" s="3" t="s">
        <v>257</v>
      </c>
      <c r="B5094" s="3" t="s">
        <v>2885</v>
      </c>
      <c r="C5094" s="46" t="s">
        <v>9049</v>
      </c>
      <c r="D5094" s="41" t="str">
        <f ca="1">IFERROR(__xludf.DUMMYFUNCTION("IFERROR(ARRAYFORMULA(REGEXEXTRACT(C5094,""^(?:https?:\/\/)?(?:[^@\n]+@)?(?:www\.)?([^:\/\n]+)"")),"""")"),"constructionmanagement.co.uk")</f>
        <v>constructionmanagement.co.uk</v>
      </c>
      <c r="E5094" s="26" t="str">
        <f ca="1">IFERROR(__xludf.DUMMYFUNCTION("""COMPUTED_VALUE"""),"New")</f>
        <v>New</v>
      </c>
      <c r="F5094" s="72">
        <v>71</v>
      </c>
      <c r="G5094" s="72">
        <v>4810</v>
      </c>
    </row>
    <row r="5095" spans="1:7" ht="14.5">
      <c r="A5095" s="3" t="s">
        <v>257</v>
      </c>
      <c r="B5095" s="3" t="s">
        <v>2885</v>
      </c>
      <c r="C5095" s="46" t="s">
        <v>9050</v>
      </c>
      <c r="D5095" s="41" t="str">
        <f ca="1">IFERROR(__xludf.DUMMYFUNCTION("IFERROR(ARRAYFORMULA(REGEXEXTRACT(C5095,""^(?:https?:\/\/)?(?:[^@\n]+@)?(?:www\.)?([^:\/\n]+)"")),"""")"),"sanctuary-supported-living.co.uk")</f>
        <v>sanctuary-supported-living.co.uk</v>
      </c>
      <c r="E5095" s="26" t="str">
        <f ca="1">IFERROR(__xludf.DUMMYFUNCTION("""COMPUTED_VALUE"""),"New")</f>
        <v>New</v>
      </c>
      <c r="F5095" s="72">
        <v>48</v>
      </c>
      <c r="G5095" s="72">
        <v>6377</v>
      </c>
    </row>
    <row r="5096" spans="1:7" ht="14.5">
      <c r="A5096" s="3" t="s">
        <v>257</v>
      </c>
      <c r="B5096" s="3" t="s">
        <v>2885</v>
      </c>
      <c r="C5096" s="46" t="s">
        <v>9051</v>
      </c>
      <c r="D5096" s="41" t="str">
        <f ca="1">IFERROR(__xludf.DUMMYFUNCTION("IFERROR(ARRAYFORMULA(REGEXEXTRACT(C5096,""^(?:https?:\/\/)?(?:[^@\n]+@)?(?:www\.)?([^:\/\n]+)"")),"""")"),"orbithomes.org.uk")</f>
        <v>orbithomes.org.uk</v>
      </c>
      <c r="E5096" s="26" t="str">
        <f ca="1">IFERROR(__xludf.DUMMYFUNCTION("""COMPUTED_VALUE"""),"New")</f>
        <v>New</v>
      </c>
      <c r="F5096" s="72">
        <v>37</v>
      </c>
      <c r="G5096" s="72">
        <v>4759</v>
      </c>
    </row>
    <row r="5097" spans="1:7" ht="14.5" hidden="1">
      <c r="A5097" s="3" t="s">
        <v>257</v>
      </c>
      <c r="B5097" s="3" t="s">
        <v>2885</v>
      </c>
      <c r="C5097" s="46" t="s">
        <v>9052</v>
      </c>
      <c r="D5097" s="41" t="str">
        <f ca="1">IFERROR(__xludf.DUMMYFUNCTION("IFERROR(ARRAYFORMULA(REGEXEXTRACT(C5097,""^(?:https?:\/\/)?(?:[^@\n]+@)?(?:www\.)?([^:\/\n]+)"")),"""")"),"build-review.com")</f>
        <v>build-review.com</v>
      </c>
      <c r="E5097" s="26" t="str">
        <f ca="1">IFERROR(__xludf.DUMMYFUNCTION("""COMPUTED_VALUE"""),"Already Exists")</f>
        <v>Already Exists</v>
      </c>
      <c r="F5097" s="72">
        <v>74</v>
      </c>
      <c r="G5097" s="72">
        <v>1855</v>
      </c>
    </row>
    <row r="5098" spans="1:7" ht="14.5">
      <c r="A5098" s="3" t="s">
        <v>257</v>
      </c>
      <c r="B5098" s="3" t="s">
        <v>2885</v>
      </c>
      <c r="C5098" s="46" t="s">
        <v>9053</v>
      </c>
      <c r="D5098" s="41" t="str">
        <f ca="1">IFERROR(__xludf.DUMMYFUNCTION("IFERROR(ARRAYFORMULA(REGEXEXTRACT(C5098,""^(?:https?:\/\/)?(?:[^@\n]+@)?(?:www\.)?([^:\/\n]+)"")),"""")"),"clodura.ai")</f>
        <v>clodura.ai</v>
      </c>
      <c r="E5098" s="26" t="str">
        <f ca="1">IFERROR(__xludf.DUMMYFUNCTION("""COMPUTED_VALUE"""),"New")</f>
        <v>New</v>
      </c>
      <c r="F5098" s="72">
        <v>65</v>
      </c>
      <c r="G5098" s="72">
        <v>2801</v>
      </c>
    </row>
    <row r="5099" spans="1:7" ht="14.5">
      <c r="A5099" s="3" t="s">
        <v>257</v>
      </c>
      <c r="B5099" s="3" t="s">
        <v>2885</v>
      </c>
      <c r="C5099" s="46" t="s">
        <v>9054</v>
      </c>
      <c r="D5099" s="41" t="str">
        <f ca="1">IFERROR(__xludf.DUMMYFUNCTION("IFERROR(ARRAYFORMULA(REGEXEXTRACT(C5099,""^(?:https?:\/\/)?(?:[^@\n]+@)?(?:www\.)?([^:\/\n]+)"")),"""")"),"goodpods.com")</f>
        <v>goodpods.com</v>
      </c>
      <c r="E5099" s="26" t="str">
        <f ca="1">IFERROR(__xludf.DUMMYFUNCTION("""COMPUTED_VALUE"""),"New")</f>
        <v>New</v>
      </c>
      <c r="F5099" s="72">
        <v>81</v>
      </c>
      <c r="G5099" s="72">
        <v>11512</v>
      </c>
    </row>
    <row r="5100" spans="1:7" ht="14.5">
      <c r="A5100" s="3" t="s">
        <v>257</v>
      </c>
      <c r="B5100" s="3" t="s">
        <v>2885</v>
      </c>
      <c r="C5100" s="46" t="s">
        <v>9055</v>
      </c>
      <c r="D5100" s="41" t="str">
        <f ca="1">IFERROR(__xludf.DUMMYFUNCTION("IFERROR(ARRAYFORMULA(REGEXEXTRACT(C5100,""^(?:https?:\/\/)?(?:[^@\n]+@)?(?:www\.)?([^:\/\n]+)"")),"""")"),"corporatevision-news.com")</f>
        <v>corporatevision-news.com</v>
      </c>
      <c r="E5100" s="26" t="str">
        <f ca="1">IFERROR(__xludf.DUMMYFUNCTION("""COMPUTED_VALUE"""),"New")</f>
        <v>New</v>
      </c>
      <c r="F5100" s="72">
        <v>75</v>
      </c>
      <c r="G5100" s="72">
        <v>1740</v>
      </c>
    </row>
    <row r="5101" spans="1:7" ht="14.5">
      <c r="A5101" s="3" t="s">
        <v>257</v>
      </c>
      <c r="B5101" s="3" t="s">
        <v>2885</v>
      </c>
      <c r="C5101" s="46" t="s">
        <v>9056</v>
      </c>
      <c r="D5101" s="41" t="str">
        <f ca="1">IFERROR(__xludf.DUMMYFUNCTION("IFERROR(ARRAYFORMULA(REGEXEXTRACT(C5101,""^(?:https?:\/\/)?(?:[^@\n]+@)?(?:www\.)?([^:\/\n]+)"")),"""")"),"citma.org.uk")</f>
        <v>citma.org.uk</v>
      </c>
      <c r="E5101" s="26" t="str">
        <f ca="1">IFERROR(__xludf.DUMMYFUNCTION("""COMPUTED_VALUE"""),"New")</f>
        <v>New</v>
      </c>
      <c r="F5101" s="72">
        <v>69</v>
      </c>
      <c r="G5101" s="72">
        <v>3771</v>
      </c>
    </row>
    <row r="5102" spans="1:7" ht="14.5">
      <c r="A5102" s="3" t="s">
        <v>257</v>
      </c>
      <c r="B5102" s="3" t="s">
        <v>2885</v>
      </c>
      <c r="C5102" s="46" t="s">
        <v>9057</v>
      </c>
      <c r="D5102" s="41" t="str">
        <f ca="1">IFERROR(__xludf.DUMMYFUNCTION("IFERROR(ARRAYFORMULA(REGEXEXTRACT(C5102,""^(?:https?:\/\/)?(?:[^@\n]+@)?(?:www\.)?([^:\/\n]+)"")),"""")"),"ffnews.com")</f>
        <v>ffnews.com</v>
      </c>
      <c r="E5102" s="26" t="str">
        <f ca="1">IFERROR(__xludf.DUMMYFUNCTION("""COMPUTED_VALUE"""),"New")</f>
        <v>New</v>
      </c>
      <c r="F5102" s="72">
        <v>75</v>
      </c>
      <c r="G5102" s="72">
        <v>14180</v>
      </c>
    </row>
    <row r="5103" spans="1:7" ht="14.5">
      <c r="A5103" s="3" t="s">
        <v>257</v>
      </c>
      <c r="B5103" s="3" t="s">
        <v>2885</v>
      </c>
      <c r="C5103" s="46" t="s">
        <v>9058</v>
      </c>
      <c r="D5103" s="41" t="str">
        <f ca="1">IFERROR(__xludf.DUMMYFUNCTION("IFERROR(ARRAYFORMULA(REGEXEXTRACT(C5103,""^(?:https?:\/\/)?(?:[^@\n]+@)?(?:www\.)?([^:\/\n]+)"")),"""")"),"fenews.co.uk")</f>
        <v>fenews.co.uk</v>
      </c>
      <c r="E5103" s="26" t="str">
        <f ca="1">IFERROR(__xludf.DUMMYFUNCTION("""COMPUTED_VALUE"""),"New")</f>
        <v>New</v>
      </c>
      <c r="F5103" s="72">
        <v>74</v>
      </c>
      <c r="G5103" s="72">
        <v>4433</v>
      </c>
    </row>
    <row r="5104" spans="1:7" ht="14.5">
      <c r="A5104" s="3" t="s">
        <v>257</v>
      </c>
      <c r="B5104" s="3" t="s">
        <v>2885</v>
      </c>
      <c r="C5104" s="46" t="s">
        <v>9059</v>
      </c>
      <c r="D5104" s="41" t="str">
        <f ca="1">IFERROR(__xludf.DUMMYFUNCTION("IFERROR(ARRAYFORMULA(REGEXEXTRACT(C5104,""^(?:https?:\/\/)?(?:[^@\n]+@)?(?:www\.)?([^:\/\n]+)"")),"""")"),"shma.microsoftcrmportals.com")</f>
        <v>shma.microsoftcrmportals.com</v>
      </c>
      <c r="E5104" s="26" t="str">
        <f ca="1">IFERROR(__xludf.DUMMYFUNCTION("""COMPUTED_VALUE"""),"New")</f>
        <v>New</v>
      </c>
      <c r="F5104" s="72">
        <v>78</v>
      </c>
      <c r="G5104" s="72">
        <v>35011</v>
      </c>
    </row>
    <row r="5105" spans="1:7" ht="14.5">
      <c r="A5105" s="3" t="s">
        <v>257</v>
      </c>
      <c r="B5105" s="3" t="s">
        <v>2885</v>
      </c>
      <c r="C5105" s="46" t="s">
        <v>9060</v>
      </c>
      <c r="D5105" s="41" t="str">
        <f ca="1">IFERROR(__xludf.DUMMYFUNCTION("IFERROR(ARRAYFORMULA(REGEXEXTRACT(C5105,""^(?:https?:\/\/)?(?:[^@\n]+@)?(?:www\.)?([^:\/\n]+)"")),"""")"),"blogs.bath.ac.uk")</f>
        <v>blogs.bath.ac.uk</v>
      </c>
      <c r="E5105" s="26" t="str">
        <f ca="1">IFERROR(__xludf.DUMMYFUNCTION("""COMPUTED_VALUE"""),"New")</f>
        <v>New</v>
      </c>
      <c r="F5105" s="72">
        <v>82</v>
      </c>
      <c r="G5105" s="72">
        <v>273173</v>
      </c>
    </row>
    <row r="5106" spans="1:7" ht="14.5">
      <c r="A5106" s="3" t="s">
        <v>257</v>
      </c>
      <c r="B5106" s="3" t="s">
        <v>2885</v>
      </c>
      <c r="C5106" s="46" t="s">
        <v>9061</v>
      </c>
      <c r="D5106" s="41" t="str">
        <f ca="1">IFERROR(__xludf.DUMMYFUNCTION("IFERROR(ARRAYFORMULA(REGEXEXTRACT(C5106,""^(?:https?:\/\/)?(?:[^@\n]+@)?(?:www\.)?([^:\/\n]+)"")),"""")"),"dailypost.co.uk")</f>
        <v>dailypost.co.uk</v>
      </c>
      <c r="E5106" s="26" t="str">
        <f ca="1">IFERROR(__xludf.DUMMYFUNCTION("""COMPUTED_VALUE"""),"New")</f>
        <v>New</v>
      </c>
      <c r="F5106" s="72">
        <v>73</v>
      </c>
      <c r="G5106" s="72">
        <v>89753</v>
      </c>
    </row>
    <row r="5107" spans="1:7" ht="14.5">
      <c r="A5107" s="3" t="s">
        <v>257</v>
      </c>
      <c r="B5107" s="3" t="s">
        <v>2885</v>
      </c>
      <c r="C5107" s="46" t="s">
        <v>9062</v>
      </c>
      <c r="D5107" s="41" t="str">
        <f ca="1">IFERROR(__xludf.DUMMYFUNCTION("IFERROR(ARRAYFORMULA(REGEXEXTRACT(C5107,""^(?:https?:\/\/)?(?:[^@\n]+@)?(?:www\.)?([^:\/\n]+)"")),"""")"),"odp.org")</f>
        <v>odp.org</v>
      </c>
      <c r="E5107" s="26" t="str">
        <f ca="1">IFERROR(__xludf.DUMMYFUNCTION("""COMPUTED_VALUE"""),"New")</f>
        <v>New</v>
      </c>
      <c r="F5107" s="72">
        <v>37</v>
      </c>
      <c r="G5107" s="72">
        <v>1203</v>
      </c>
    </row>
    <row r="5108" spans="1:7" ht="14.5">
      <c r="A5108" s="3" t="s">
        <v>257</v>
      </c>
      <c r="B5108" s="3" t="s">
        <v>2885</v>
      </c>
      <c r="C5108" s="46" t="s">
        <v>9063</v>
      </c>
      <c r="D5108" s="41" t="str">
        <f ca="1">IFERROR(__xludf.DUMMYFUNCTION("IFERROR(ARRAYFORMULA(REGEXEXTRACT(C5108,""^(?:https?:\/\/)?(?:[^@\n]+@)?(?:www\.)?([^:\/\n]+)"")),"""")"),"thomsonlocal.com")</f>
        <v>thomsonlocal.com</v>
      </c>
      <c r="E5108" s="26" t="str">
        <f ca="1">IFERROR(__xludf.DUMMYFUNCTION("""COMPUTED_VALUE"""),"New")</f>
        <v>New</v>
      </c>
      <c r="F5108" s="72">
        <v>74</v>
      </c>
      <c r="G5108" s="72">
        <v>36367</v>
      </c>
    </row>
    <row r="5109" spans="1:7" ht="14.5">
      <c r="A5109" s="3" t="s">
        <v>257</v>
      </c>
      <c r="B5109" s="3" t="s">
        <v>2885</v>
      </c>
      <c r="C5109" s="46" t="s">
        <v>9064</v>
      </c>
      <c r="D5109" s="41" t="str">
        <f ca="1">IFERROR(__xludf.DUMMYFUNCTION("IFERROR(ARRAYFORMULA(REGEXEXTRACT(C5109,""^(?:https?:\/\/)?(?:[^@\n]+@)?(?:www\.)?([^:\/\n]+)"")),"""")"),"londonworld.com")</f>
        <v>londonworld.com</v>
      </c>
      <c r="E5109" s="26" t="str">
        <f ca="1">IFERROR(__xludf.DUMMYFUNCTION("""COMPUTED_VALUE"""),"New")</f>
        <v>New</v>
      </c>
      <c r="F5109" s="72">
        <v>60</v>
      </c>
      <c r="G5109" s="72">
        <v>81600</v>
      </c>
    </row>
    <row r="5110" spans="1:7" ht="14.5">
      <c r="A5110" s="3" t="s">
        <v>257</v>
      </c>
      <c r="B5110" s="3" t="s">
        <v>2885</v>
      </c>
      <c r="C5110" s="46" t="s">
        <v>9065</v>
      </c>
      <c r="D5110" s="41" t="str">
        <f ca="1">IFERROR(__xludf.DUMMYFUNCTION("IFERROR(ARRAYFORMULA(REGEXEXTRACT(C5110,""^(?:https?:\/\/)?(?:[^@\n]+@)?(?:www\.)?([^:\/\n]+)"")),"""")"),"everythingbranded.co.uk")</f>
        <v>everythingbranded.co.uk</v>
      </c>
      <c r="E5110" s="26" t="str">
        <f ca="1">IFERROR(__xludf.DUMMYFUNCTION("""COMPUTED_VALUE"""),"New")</f>
        <v>New</v>
      </c>
      <c r="F5110" s="72">
        <v>38</v>
      </c>
      <c r="G5110" s="72">
        <v>12863</v>
      </c>
    </row>
    <row r="5111" spans="1:7" ht="14.5">
      <c r="A5111" s="3" t="s">
        <v>257</v>
      </c>
      <c r="B5111" s="3" t="s">
        <v>2885</v>
      </c>
      <c r="C5111" s="46" t="s">
        <v>9066</v>
      </c>
      <c r="D5111" s="41" t="str">
        <f ca="1">IFERROR(__xludf.DUMMYFUNCTION("IFERROR(ARRAYFORMULA(REGEXEXTRACT(C5111,""^(?:https?:\/\/)?(?:[^@\n]+@)?(?:www\.)?([^:\/\n]+)"")),"""")"),"thehubamplius.uk.engagementhq.com")</f>
        <v>thehubamplius.uk.engagementhq.com</v>
      </c>
      <c r="E5111" s="26" t="str">
        <f ca="1">IFERROR(__xludf.DUMMYFUNCTION("""COMPUTED_VALUE"""),"New")</f>
        <v>New</v>
      </c>
      <c r="F5111" s="72">
        <v>73</v>
      </c>
      <c r="G5111" s="72">
        <v>2727</v>
      </c>
    </row>
    <row r="5112" spans="1:7" ht="14.5" hidden="1">
      <c r="A5112" s="3" t="s">
        <v>257</v>
      </c>
      <c r="B5112" s="3" t="s">
        <v>2885</v>
      </c>
      <c r="C5112" s="46" t="s">
        <v>9067</v>
      </c>
      <c r="D5112" s="41" t="str">
        <f ca="1">IFERROR(__xludf.DUMMYFUNCTION("IFERROR(ARRAYFORMULA(REGEXEXTRACT(C5112,""^(?:https?:\/\/)?(?:[^@\n]+@)?(?:www\.)?([^:\/\n]+)"")),"""")"),"inkl.com")</f>
        <v>inkl.com</v>
      </c>
      <c r="E5112" s="26" t="str">
        <f ca="1">IFERROR(__xludf.DUMMYFUNCTION("""COMPUTED_VALUE"""),"Already Exists")</f>
        <v>Already Exists</v>
      </c>
      <c r="F5112" s="72">
        <v>71</v>
      </c>
      <c r="G5112" s="72">
        <v>111027</v>
      </c>
    </row>
    <row r="5113" spans="1:7" ht="14.5">
      <c r="A5113" s="3" t="s">
        <v>257</v>
      </c>
      <c r="B5113" s="3" t="s">
        <v>2885</v>
      </c>
      <c r="C5113" s="46" t="s">
        <v>9068</v>
      </c>
      <c r="D5113" s="41" t="str">
        <f ca="1">IFERROR(__xludf.DUMMYFUNCTION("IFERROR(ARRAYFORMULA(REGEXEXTRACT(C5113,""^(?:https?:\/\/)?(?:[^@\n]+@)?(?:www\.)?([^:\/\n]+)"")),"""")"),"impressiondigital.com")</f>
        <v>impressiondigital.com</v>
      </c>
      <c r="E5113" s="26" t="str">
        <f ca="1">IFERROR(__xludf.DUMMYFUNCTION("""COMPUTED_VALUE"""),"New")</f>
        <v>New</v>
      </c>
      <c r="F5113" s="72">
        <v>67</v>
      </c>
      <c r="G5113" s="72">
        <v>41514</v>
      </c>
    </row>
    <row r="5114" spans="1:7" ht="14.5">
      <c r="A5114" s="3" t="s">
        <v>257</v>
      </c>
      <c r="B5114" s="3" t="s">
        <v>2885</v>
      </c>
      <c r="C5114" s="46" t="s">
        <v>9069</v>
      </c>
      <c r="D5114" s="41" t="str">
        <f ca="1">IFERROR(__xludf.DUMMYFUNCTION("IFERROR(ARRAYFORMULA(REGEXEXTRACT(C5114,""^(?:https?:\/\/)?(?:[^@\n]+@)?(?:www\.)?([^:\/\n]+)"")),"""")"),"legalfutures.co.uk")</f>
        <v>legalfutures.co.uk</v>
      </c>
      <c r="E5114" s="26" t="str">
        <f ca="1">IFERROR(__xludf.DUMMYFUNCTION("""COMPUTED_VALUE"""),"New")</f>
        <v>New</v>
      </c>
      <c r="F5114" s="72">
        <v>71</v>
      </c>
      <c r="G5114" s="72">
        <v>10864</v>
      </c>
    </row>
    <row r="5115" spans="1:7" ht="14.5">
      <c r="A5115" s="3" t="s">
        <v>257</v>
      </c>
      <c r="B5115" s="3" t="s">
        <v>2885</v>
      </c>
      <c r="C5115" s="46" t="s">
        <v>9070</v>
      </c>
      <c r="D5115" s="41" t="str">
        <f ca="1">IFERROR(__xludf.DUMMYFUNCTION("IFERROR(ARRAYFORMULA(REGEXEXTRACT(C5115,""^(?:https?:\/\/)?(?:[^@\n]+@)?(?:www\.)?([^:\/\n]+)"")),"""")"),"hulldailymail.co.uk")</f>
        <v>hulldailymail.co.uk</v>
      </c>
      <c r="E5115" s="26" t="str">
        <f ca="1">IFERROR(__xludf.DUMMYFUNCTION("""COMPUTED_VALUE"""),"New")</f>
        <v>New</v>
      </c>
      <c r="F5115" s="72">
        <v>73</v>
      </c>
      <c r="G5115" s="72">
        <v>134147</v>
      </c>
    </row>
    <row r="5116" spans="1:7" ht="14.5">
      <c r="A5116" s="3" t="s">
        <v>257</v>
      </c>
      <c r="B5116" s="3" t="s">
        <v>2885</v>
      </c>
      <c r="C5116" s="46" t="s">
        <v>9071</v>
      </c>
      <c r="D5116" s="41" t="str">
        <f ca="1">IFERROR(__xludf.DUMMYFUNCTION("IFERROR(ARRAYFORMULA(REGEXEXTRACT(C5116,""^(?:https?:\/\/)?(?:[^@\n]+@)?(?:www\.)?([^:\/\n]+)"")),"""")"),"lawcareers.net")</f>
        <v>lawcareers.net</v>
      </c>
      <c r="E5116" s="26" t="str">
        <f ca="1">IFERROR(__xludf.DUMMYFUNCTION("""COMPUTED_VALUE"""),"New")</f>
        <v>New</v>
      </c>
      <c r="F5116" s="72">
        <v>57</v>
      </c>
      <c r="G5116" s="72">
        <v>13238</v>
      </c>
    </row>
    <row r="5117" spans="1:7" ht="14.5">
      <c r="A5117" s="3" t="s">
        <v>257</v>
      </c>
      <c r="B5117" s="3" t="s">
        <v>2885</v>
      </c>
      <c r="C5117" s="46" t="s">
        <v>9072</v>
      </c>
      <c r="D5117" s="41" t="str">
        <f ca="1">IFERROR(__xludf.DUMMYFUNCTION("IFERROR(ARRAYFORMULA(REGEXEXTRACT(C5117,""^(?:https?:\/\/)?(?:[^@\n]+@)?(?:www\.)?([^:\/\n]+)"")),"""")"),"todaysconveyancer.co.uk")</f>
        <v>todaysconveyancer.co.uk</v>
      </c>
      <c r="E5117" s="26" t="str">
        <f ca="1">IFERROR(__xludf.DUMMYFUNCTION("""COMPUTED_VALUE"""),"New")</f>
        <v>New</v>
      </c>
      <c r="F5117" s="72">
        <v>61</v>
      </c>
      <c r="G5117" s="72">
        <v>7064</v>
      </c>
    </row>
    <row r="5118" spans="1:7" ht="14.5">
      <c r="A5118" s="3" t="s">
        <v>257</v>
      </c>
      <c r="B5118" s="3" t="s">
        <v>2885</v>
      </c>
      <c r="C5118" s="46" t="s">
        <v>9073</v>
      </c>
      <c r="D5118" s="41" t="str">
        <f ca="1">IFERROR(__xludf.DUMMYFUNCTION("IFERROR(ARRAYFORMULA(REGEXEXTRACT(C5118,""^(?:https?:\/\/)?(?:[^@\n]+@)?(?:www\.)?([^:\/\n]+)"")),"""")"),"accountancydaily.co")</f>
        <v>accountancydaily.co</v>
      </c>
      <c r="E5118" s="26" t="str">
        <f ca="1">IFERROR(__xludf.DUMMYFUNCTION("""COMPUTED_VALUE"""),"New")</f>
        <v>New</v>
      </c>
      <c r="F5118" s="72">
        <v>64</v>
      </c>
      <c r="G5118" s="72">
        <v>1739</v>
      </c>
    </row>
    <row r="5119" spans="1:7" ht="14.5">
      <c r="A5119" s="3" t="s">
        <v>257</v>
      </c>
      <c r="B5119" s="3" t="s">
        <v>2885</v>
      </c>
      <c r="C5119" s="46" t="s">
        <v>9074</v>
      </c>
      <c r="D5119" s="41" t="str">
        <f ca="1">IFERROR(__xludf.DUMMYFUNCTION("IFERROR(ARRAYFORMULA(REGEXEXTRACT(C5119,""^(?:https?:\/\/)?(?:[^@\n]+@)?(?:www\.)?([^:\/\n]+)"")),"""")"),"cmdrecruitment.com")</f>
        <v>cmdrecruitment.com</v>
      </c>
      <c r="E5119" s="26" t="str">
        <f ca="1">IFERROR(__xludf.DUMMYFUNCTION("""COMPUTED_VALUE"""),"New")</f>
        <v>New</v>
      </c>
      <c r="F5119" s="72">
        <v>32</v>
      </c>
      <c r="G5119" s="72">
        <v>2726</v>
      </c>
    </row>
    <row r="5120" spans="1:7" ht="14.5">
      <c r="A5120" s="3" t="s">
        <v>257</v>
      </c>
      <c r="B5120" s="3" t="s">
        <v>2885</v>
      </c>
      <c r="C5120" s="46" t="s">
        <v>9075</v>
      </c>
      <c r="D5120" s="41" t="str">
        <f ca="1">IFERROR(__xludf.DUMMYFUNCTION("IFERROR(ARRAYFORMULA(REGEXEXTRACT(C5120,""^(?:https?:\/\/)?(?:[^@\n]+@)?(?:www\.)?([^:\/\n]+)"")),"""")"),"moderncampground.com")</f>
        <v>moderncampground.com</v>
      </c>
      <c r="E5120" s="26" t="str">
        <f ca="1">IFERROR(__xludf.DUMMYFUNCTION("""COMPUTED_VALUE"""),"New")</f>
        <v>New</v>
      </c>
      <c r="F5120" s="72">
        <v>55</v>
      </c>
      <c r="G5120" s="72">
        <v>1296</v>
      </c>
    </row>
    <row r="5121" spans="1:7" ht="14.5">
      <c r="A5121" s="3" t="s">
        <v>257</v>
      </c>
      <c r="B5121" s="3" t="s">
        <v>2885</v>
      </c>
      <c r="C5121" s="46" t="s">
        <v>9076</v>
      </c>
      <c r="D5121" s="41" t="str">
        <f ca="1">IFERROR(__xludf.DUMMYFUNCTION("IFERROR(ARRAYFORMULA(REGEXEXTRACT(C5121,""^(?:https?:\/\/)?(?:[^@\n]+@)?(?:www\.)?([^:\/\n]+)"")),"""")"),"birminghamworld.uk")</f>
        <v>birminghamworld.uk</v>
      </c>
      <c r="E5121" s="26" t="str">
        <f ca="1">IFERROR(__xludf.DUMMYFUNCTION("""COMPUTED_VALUE"""),"New")</f>
        <v>New</v>
      </c>
      <c r="F5121" s="72">
        <v>56</v>
      </c>
      <c r="G5121" s="72">
        <v>18050</v>
      </c>
    </row>
    <row r="5122" spans="1:7" ht="14.5" hidden="1">
      <c r="A5122" s="3" t="s">
        <v>257</v>
      </c>
      <c r="B5122" s="3" t="s">
        <v>2885</v>
      </c>
      <c r="C5122" s="46" t="s">
        <v>9077</v>
      </c>
      <c r="D5122" s="41" t="str">
        <f ca="1">IFERROR(__xludf.DUMMYFUNCTION("IFERROR(ARRAYFORMULA(REGEXEXTRACT(C5122,""^(?:https?:\/\/)?(?:[^@\n]+@)?(?:www\.)?([^:\/\n]+)"")),"""")"),"londondaily.news")</f>
        <v>londondaily.news</v>
      </c>
      <c r="E5122" s="26" t="str">
        <f ca="1">IFERROR(__xludf.DUMMYFUNCTION("""COMPUTED_VALUE"""),"Already Exists")</f>
        <v>Already Exists</v>
      </c>
      <c r="F5122" s="72">
        <v>73</v>
      </c>
      <c r="G5122" s="72">
        <v>4177</v>
      </c>
    </row>
    <row r="5123" spans="1:7" ht="14.5">
      <c r="A5123" s="3" t="s">
        <v>257</v>
      </c>
      <c r="B5123" s="3" t="s">
        <v>2885</v>
      </c>
      <c r="C5123" s="46" t="s">
        <v>9078</v>
      </c>
      <c r="D5123" s="41" t="str">
        <f ca="1">IFERROR(__xludf.DUMMYFUNCTION("IFERROR(ARRAYFORMULA(REGEXEXTRACT(C5123,""^(?:https?:\/\/)?(?:[^@\n]+@)?(?:www\.)?([^:\/\n]+)"")),"""")"),"blogs.uwe.ac.uk")</f>
        <v>blogs.uwe.ac.uk</v>
      </c>
      <c r="E5123" s="26" t="str">
        <f ca="1">IFERROR(__xludf.DUMMYFUNCTION("""COMPUTED_VALUE"""),"New")</f>
        <v>New</v>
      </c>
      <c r="F5123" s="72">
        <v>79</v>
      </c>
      <c r="G5123" s="72">
        <v>116805</v>
      </c>
    </row>
    <row r="5124" spans="1:7" ht="14.5">
      <c r="A5124" s="3" t="s">
        <v>257</v>
      </c>
      <c r="B5124" s="3" t="s">
        <v>2885</v>
      </c>
      <c r="C5124" s="46" t="s">
        <v>9079</v>
      </c>
      <c r="D5124" s="41" t="str">
        <f ca="1">IFERROR(__xludf.DUMMYFUNCTION("IFERROR(ARRAYFORMULA(REGEXEXTRACT(C5124,""^(?:https?:\/\/)?(?:[^@\n]+@)?(?:www\.)?([^:\/\n]+)"")),"""")"),"realbusiness.co.uk")</f>
        <v>realbusiness.co.uk</v>
      </c>
      <c r="E5124" s="26" t="str">
        <f ca="1">IFERROR(__xludf.DUMMYFUNCTION("""COMPUTED_VALUE"""),"New")</f>
        <v>New</v>
      </c>
      <c r="F5124" s="72">
        <v>75</v>
      </c>
      <c r="G5124" s="72">
        <v>16564</v>
      </c>
    </row>
    <row r="5125" spans="1:7" ht="14.5">
      <c r="A5125" s="3" t="s">
        <v>257</v>
      </c>
      <c r="B5125" s="3" t="s">
        <v>2885</v>
      </c>
      <c r="C5125" s="46" t="s">
        <v>9080</v>
      </c>
      <c r="D5125" s="41" t="str">
        <f ca="1">IFERROR(__xludf.DUMMYFUNCTION("IFERROR(ARRAYFORMULA(REGEXEXTRACT(C5125,""^(?:https?:\/\/)?(?:[^@\n]+@)?(?:www\.)?([^:\/\n]+)"")),"""")"),"hrzone.com")</f>
        <v>hrzone.com</v>
      </c>
      <c r="E5125" s="26" t="str">
        <f ca="1">IFERROR(__xludf.DUMMYFUNCTION("""COMPUTED_VALUE"""),"New")</f>
        <v>New</v>
      </c>
      <c r="F5125" s="72">
        <v>74</v>
      </c>
      <c r="G5125" s="72">
        <v>2947</v>
      </c>
    </row>
    <row r="5126" spans="1:7" ht="14.5" hidden="1">
      <c r="A5126" s="3" t="s">
        <v>257</v>
      </c>
      <c r="B5126" s="3" t="s">
        <v>2885</v>
      </c>
      <c r="C5126" s="46" t="s">
        <v>9081</v>
      </c>
      <c r="D5126" s="41" t="str">
        <f ca="1">IFERROR(__xludf.DUMMYFUNCTION("IFERROR(ARRAYFORMULA(REGEXEXTRACT(C5126,""^(?:https?:\/\/)?(?:[^@\n]+@)?(?:www\.)?([^:\/\n]+)"")),"""")"),"propertywire.com")</f>
        <v>propertywire.com</v>
      </c>
      <c r="E5126" s="26" t="str">
        <f ca="1">IFERROR(__xludf.DUMMYFUNCTION("""COMPUTED_VALUE"""),"Already Exists")</f>
        <v>Already Exists</v>
      </c>
      <c r="F5126" s="72">
        <v>67</v>
      </c>
      <c r="G5126" s="72">
        <v>1083</v>
      </c>
    </row>
    <row r="5127" spans="1:7" ht="14.5">
      <c r="A5127" s="3" t="s">
        <v>257</v>
      </c>
      <c r="B5127" s="3" t="s">
        <v>2885</v>
      </c>
      <c r="C5127" s="46" t="s">
        <v>9082</v>
      </c>
      <c r="D5127" s="41" t="str">
        <f ca="1">IFERROR(__xludf.DUMMYFUNCTION("IFERROR(ARRAYFORMULA(REGEXEXTRACT(C5127,""^(?:https?:\/\/)?(?:[^@\n]+@)?(?:www\.)?([^:\/\n]+)"")),"""")"),"ceotodaymagazine.com")</f>
        <v>ceotodaymagazine.com</v>
      </c>
      <c r="E5127" s="26" t="str">
        <f ca="1">IFERROR(__xludf.DUMMYFUNCTION("""COMPUTED_VALUE"""),"New")</f>
        <v>New</v>
      </c>
      <c r="F5127" s="72">
        <v>74</v>
      </c>
      <c r="G5127" s="72">
        <v>11646</v>
      </c>
    </row>
    <row r="5128" spans="1:7" ht="14.5">
      <c r="A5128" s="3" t="s">
        <v>257</v>
      </c>
      <c r="B5128" s="3" t="s">
        <v>2885</v>
      </c>
      <c r="C5128" s="46" t="s">
        <v>9083</v>
      </c>
      <c r="D5128" s="41" t="str">
        <f ca="1">IFERROR(__xludf.DUMMYFUNCTION("IFERROR(ARRAYFORMULA(REGEXEXTRACT(C5128,""^(?:https?:\/\/)?(?:[^@\n]+@)?(?:www\.)?([^:\/\n]+)"")),"""")"),"scottishlegal.com")</f>
        <v>scottishlegal.com</v>
      </c>
      <c r="E5128" s="26" t="str">
        <f ca="1">IFERROR(__xludf.DUMMYFUNCTION("""COMPUTED_VALUE"""),"New")</f>
        <v>New</v>
      </c>
      <c r="F5128" s="72">
        <v>62</v>
      </c>
      <c r="G5128" s="72">
        <v>3698</v>
      </c>
    </row>
    <row r="5129" spans="1:7" ht="14.5">
      <c r="A5129" s="3" t="s">
        <v>257</v>
      </c>
      <c r="B5129" s="3" t="s">
        <v>2885</v>
      </c>
      <c r="C5129" s="46" t="s">
        <v>9084</v>
      </c>
      <c r="D5129" s="41" t="str">
        <f ca="1">IFERROR(__xludf.DUMMYFUNCTION("IFERROR(ARRAYFORMULA(REGEXEXTRACT(C5129,""^(?:https?:\/\/)?(?:[^@\n]+@)?(?:www\.)?([^:\/\n]+)"")),"""")"),"fastbase.com")</f>
        <v>fastbase.com</v>
      </c>
      <c r="E5129" s="26" t="str">
        <f ca="1">IFERROR(__xludf.DUMMYFUNCTION("""COMPUTED_VALUE"""),"New")</f>
        <v>New</v>
      </c>
      <c r="F5129" s="72">
        <v>46</v>
      </c>
      <c r="G5129" s="72">
        <v>1030</v>
      </c>
    </row>
    <row r="5130" spans="1:7" ht="14.5">
      <c r="A5130" s="3" t="s">
        <v>257</v>
      </c>
      <c r="B5130" s="3" t="s">
        <v>2885</v>
      </c>
      <c r="C5130" s="46" t="s">
        <v>9085</v>
      </c>
      <c r="D5130" s="41" t="str">
        <f ca="1">IFERROR(__xludf.DUMMYFUNCTION("IFERROR(ARRAYFORMULA(REGEXEXTRACT(C5130,""^(?:https?:\/\/)?(?:[^@\n]+@)?(?:www\.)?([^:\/\n]+)"")),"""")"),"myemail.constantcontact.com")</f>
        <v>myemail.constantcontact.com</v>
      </c>
      <c r="E5130" s="26" t="str">
        <f ca="1">IFERROR(__xludf.DUMMYFUNCTION("""COMPUTED_VALUE"""),"New")</f>
        <v>New</v>
      </c>
      <c r="F5130" s="72">
        <v>92</v>
      </c>
      <c r="G5130" s="72">
        <v>490020</v>
      </c>
    </row>
    <row r="5131" spans="1:7" ht="14.5">
      <c r="A5131" s="3" t="s">
        <v>257</v>
      </c>
      <c r="B5131" s="3" t="s">
        <v>2885</v>
      </c>
      <c r="C5131" s="46" t="s">
        <v>9086</v>
      </c>
      <c r="D5131" s="41" t="str">
        <f ca="1">IFERROR(__xludf.DUMMYFUNCTION("IFERROR(ARRAYFORMULA(REGEXEXTRACT(C5131,""^(?:https?:\/\/)?(?:[^@\n]+@)?(?:www\.)?([^:\/\n]+)"")),"""")"),"resolution.org.uk")</f>
        <v>resolution.org.uk</v>
      </c>
      <c r="E5131" s="26" t="str">
        <f ca="1">IFERROR(__xludf.DUMMYFUNCTION("""COMPUTED_VALUE"""),"New")</f>
        <v>New</v>
      </c>
      <c r="F5131" s="72">
        <v>74</v>
      </c>
      <c r="G5131" s="72">
        <v>13910</v>
      </c>
    </row>
    <row r="5132" spans="1:7" ht="14.5">
      <c r="A5132" s="3" t="s">
        <v>257</v>
      </c>
      <c r="B5132" s="57" t="s">
        <v>2884</v>
      </c>
      <c r="C5132" s="46" t="s">
        <v>9087</v>
      </c>
      <c r="D5132" s="41" t="str">
        <f ca="1">IFERROR(__xludf.DUMMYFUNCTION("IFERROR(ARRAYFORMULA(REGEXEXTRACT(C5132,""^(?:https?:\/\/)?(?:[^@\n]+@)?(?:www\.)?([^:\/\n]+)"")),"""")"),"bnbmanagementlondon.co.uk")</f>
        <v>bnbmanagementlondon.co.uk</v>
      </c>
      <c r="E5132" s="26" t="str">
        <f ca="1">IFERROR(__xludf.DUMMYFUNCTION("""COMPUTED_VALUE"""),"New")</f>
        <v>New</v>
      </c>
      <c r="F5132" s="72">
        <v>25</v>
      </c>
      <c r="G5132" s="72">
        <v>3657</v>
      </c>
    </row>
    <row r="5133" spans="1:7" ht="14.5">
      <c r="A5133" s="3" t="s">
        <v>257</v>
      </c>
      <c r="B5133" s="12" t="s">
        <v>2884</v>
      </c>
      <c r="C5133" s="46" t="s">
        <v>9088</v>
      </c>
      <c r="D5133" s="41" t="str">
        <f ca="1">IFERROR(__xludf.DUMMYFUNCTION("IFERROR(ARRAYFORMULA(REGEXEXTRACT(C5133,""^(?:https?:\/\/)?(?:[^@\n]+@)?(?:www\.)?([^:\/\n]+)"")),"""")"),"tpos.co.uk")</f>
        <v>tpos.co.uk</v>
      </c>
      <c r="E5133" s="26" t="str">
        <f ca="1">IFERROR(__xludf.DUMMYFUNCTION("""COMPUTED_VALUE"""),"New")</f>
        <v>New</v>
      </c>
      <c r="F5133" s="72">
        <v>83</v>
      </c>
      <c r="G5133" s="72">
        <v>16365</v>
      </c>
    </row>
    <row r="5134" spans="1:7" ht="14.5">
      <c r="A5134" s="3" t="s">
        <v>257</v>
      </c>
      <c r="B5134" s="12" t="s">
        <v>2884</v>
      </c>
      <c r="C5134" s="46" t="s">
        <v>9089</v>
      </c>
      <c r="D5134" s="41" t="str">
        <f ca="1">IFERROR(__xludf.DUMMYFUNCTION("IFERROR(ARRAYFORMULA(REGEXEXTRACT(C5134,""^(?:https?:\/\/)?(?:[^@\n]+@)?(?:www\.)?([^:\/\n]+)"")),"""")"),"grokipedia.com")</f>
        <v>grokipedia.com</v>
      </c>
      <c r="E5134" s="26" t="str">
        <f ca="1">IFERROR(__xludf.DUMMYFUNCTION("""COMPUTED_VALUE"""),"New")</f>
        <v>New</v>
      </c>
      <c r="F5134" s="72">
        <v>75</v>
      </c>
      <c r="G5134" s="72">
        <v>698607</v>
      </c>
    </row>
    <row r="5135" spans="1:7" ht="14.5">
      <c r="A5135" s="3" t="s">
        <v>257</v>
      </c>
      <c r="B5135" s="12" t="s">
        <v>2884</v>
      </c>
      <c r="C5135" s="46" t="s">
        <v>9090</v>
      </c>
      <c r="D5135" s="41" t="str">
        <f ca="1">IFERROR(__xludf.DUMMYFUNCTION("IFERROR(ARRAYFORMULA(REGEXEXTRACT(C5135,""^(?:https?:\/\/)?(?:[^@\n]+@)?(?:www\.)?([^:\/\n]+)"")),"""")"),"allagents.co.uk")</f>
        <v>allagents.co.uk</v>
      </c>
      <c r="E5135" s="26" t="str">
        <f ca="1">IFERROR(__xludf.DUMMYFUNCTION("""COMPUTED_VALUE"""),"New")</f>
        <v>New</v>
      </c>
      <c r="F5135" s="72">
        <v>67</v>
      </c>
      <c r="G5135" s="72">
        <v>38347</v>
      </c>
    </row>
    <row r="5136" spans="1:7" ht="14.5">
      <c r="A5136" s="3" t="s">
        <v>257</v>
      </c>
      <c r="B5136" s="12" t="s">
        <v>2884</v>
      </c>
      <c r="C5136" s="46" t="s">
        <v>9091</v>
      </c>
      <c r="D5136" s="41" t="str">
        <f ca="1">IFERROR(__xludf.DUMMYFUNCTION("IFERROR(ARRAYFORMULA(REGEXEXTRACT(C5136,""^(?:https?:\/\/)?(?:[^@\n]+@)?(?:www\.)?([^:\/\n]+)"")),"""")"),"vocal.media")</f>
        <v>vocal.media</v>
      </c>
      <c r="E5136" s="26" t="str">
        <f ca="1">IFERROR(__xludf.DUMMYFUNCTION("""COMPUTED_VALUE"""),"New")</f>
        <v>New</v>
      </c>
      <c r="F5136" s="72">
        <v>82</v>
      </c>
      <c r="G5136" s="72">
        <v>1529698</v>
      </c>
    </row>
    <row r="5137" spans="1:7" ht="14.5" hidden="1">
      <c r="A5137" s="3" t="s">
        <v>257</v>
      </c>
      <c r="B5137" s="12" t="s">
        <v>2884</v>
      </c>
      <c r="C5137" s="46" t="s">
        <v>9092</v>
      </c>
      <c r="D5137" s="41" t="str">
        <f ca="1">IFERROR(__xludf.DUMMYFUNCTION("IFERROR(ARRAYFORMULA(REGEXEXTRACT(C5137,""^(?:https?:\/\/)?(?:[^@\n]+@)?(?:www\.)?([^:\/\n]+)"")),"""")"),"thepinnaclelist.com")</f>
        <v>thepinnaclelist.com</v>
      </c>
      <c r="E5137" s="26" t="str">
        <f ca="1">IFERROR(__xludf.DUMMYFUNCTION("""COMPUTED_VALUE"""),"Already Exists")</f>
        <v>Already Exists</v>
      </c>
      <c r="F5137" s="72">
        <v>57</v>
      </c>
      <c r="G5137" s="72">
        <v>1096</v>
      </c>
    </row>
    <row r="5138" spans="1:7" ht="14.5" hidden="1">
      <c r="A5138" s="3" t="s">
        <v>257</v>
      </c>
      <c r="B5138" s="12" t="s">
        <v>2884</v>
      </c>
      <c r="C5138" s="46" t="s">
        <v>9093</v>
      </c>
      <c r="D5138" s="41" t="str">
        <f ca="1">IFERROR(__xludf.DUMMYFUNCTION("IFERROR(ARRAYFORMULA(REGEXEXTRACT(C5138,""^(?:https?:\/\/)?(?:[^@\n]+@)?(?:www\.)?([^:\/\n]+)"")),"""")"),"airbtics.com")</f>
        <v>airbtics.com</v>
      </c>
      <c r="E5138" s="26" t="str">
        <f ca="1">IFERROR(__xludf.DUMMYFUNCTION("""COMPUTED_VALUE"""),"Already Exists")</f>
        <v>Already Exists</v>
      </c>
      <c r="F5138" s="72">
        <v>60</v>
      </c>
      <c r="G5138" s="72">
        <v>15781</v>
      </c>
    </row>
    <row r="5139" spans="1:7" ht="14.5" hidden="1">
      <c r="A5139" s="3" t="s">
        <v>257</v>
      </c>
      <c r="B5139" s="12" t="s">
        <v>2884</v>
      </c>
      <c r="C5139" s="46" t="s">
        <v>9094</v>
      </c>
      <c r="D5139" s="41" t="str">
        <f ca="1">IFERROR(__xludf.DUMMYFUNCTION("IFERROR(ARRAYFORMULA(REGEXEXTRACT(C5139,""^(?:https?:\/\/)?(?:[^@\n]+@)?(?:www\.)?([^:\/\n]+)"")),"""")"),"aboutmanchester.co.uk")</f>
        <v>aboutmanchester.co.uk</v>
      </c>
      <c r="E5139" s="26" t="str">
        <f ca="1">IFERROR(__xludf.DUMMYFUNCTION("""COMPUTED_VALUE"""),"Already Exists")</f>
        <v>Already Exists</v>
      </c>
      <c r="F5139" s="72">
        <v>58</v>
      </c>
      <c r="G5139" s="72">
        <v>7623</v>
      </c>
    </row>
    <row r="5140" spans="1:7" ht="14.5">
      <c r="A5140" s="3" t="s">
        <v>257</v>
      </c>
      <c r="B5140" s="12" t="s">
        <v>2884</v>
      </c>
      <c r="C5140" s="46" t="s">
        <v>9095</v>
      </c>
      <c r="D5140" s="41" t="str">
        <f ca="1">IFERROR(__xludf.DUMMYFUNCTION("IFERROR(ARRAYFORMULA(REGEXEXTRACT(C5140,""^(?:https?:\/\/)?(?:[^@\n]+@)?(?:www\.)?([^:\/\n]+)"")),"""")"),"born2invest.com")</f>
        <v>born2invest.com</v>
      </c>
      <c r="E5140" s="26" t="str">
        <f ca="1">IFERROR(__xludf.DUMMYFUNCTION("""COMPUTED_VALUE"""),"New")</f>
        <v>New</v>
      </c>
      <c r="F5140" s="72">
        <v>57</v>
      </c>
      <c r="G5140" s="72">
        <v>3845</v>
      </c>
    </row>
    <row r="5141" spans="1:7" ht="14.5">
      <c r="A5141" s="3" t="s">
        <v>257</v>
      </c>
      <c r="B5141" s="12" t="s">
        <v>2884</v>
      </c>
      <c r="C5141" s="46" t="s">
        <v>9096</v>
      </c>
      <c r="D5141" s="41" t="str">
        <f ca="1">IFERROR(__xludf.DUMMYFUNCTION("IFERROR(ARRAYFORMULA(REGEXEXTRACT(C5141,""^(?:https?:\/\/)?(?:[^@\n]+@)?(?:www\.)?([^:\/\n]+)"")),"""")"),"thebusinessdesk.com")</f>
        <v>thebusinessdesk.com</v>
      </c>
      <c r="E5141" s="26" t="str">
        <f ca="1">IFERROR(__xludf.DUMMYFUNCTION("""COMPUTED_VALUE"""),"New")</f>
        <v>New</v>
      </c>
      <c r="F5141" s="72">
        <v>73</v>
      </c>
      <c r="G5141" s="72">
        <v>11488</v>
      </c>
    </row>
    <row r="5142" spans="1:7" ht="14.5" hidden="1">
      <c r="A5142" s="3" t="s">
        <v>257</v>
      </c>
      <c r="B5142" s="12" t="s">
        <v>2884</v>
      </c>
      <c r="C5142" s="46" t="s">
        <v>9097</v>
      </c>
      <c r="D5142" s="41" t="str">
        <f ca="1">IFERROR(__xludf.DUMMYFUNCTION("IFERROR(ARRAYFORMULA(REGEXEXTRACT(C5142,""^(?:https?:\/\/)?(?:[^@\n]+@)?(?:www\.)?([^:\/\n]+)"")),"""")"),"fortuneherald.com")</f>
        <v>fortuneherald.com</v>
      </c>
      <c r="E5142" s="26" t="str">
        <f ca="1">IFERROR(__xludf.DUMMYFUNCTION("""COMPUTED_VALUE"""),"Already Exists")</f>
        <v>Already Exists</v>
      </c>
      <c r="F5142" s="72">
        <v>70</v>
      </c>
      <c r="G5142" s="72">
        <v>1375</v>
      </c>
    </row>
    <row r="5143" spans="1:7" ht="14.5">
      <c r="A5143" s="3" t="s">
        <v>257</v>
      </c>
      <c r="B5143" s="12" t="s">
        <v>2884</v>
      </c>
      <c r="C5143" s="46" t="s">
        <v>9098</v>
      </c>
      <c r="D5143" s="41" t="str">
        <f ca="1">IFERROR(__xludf.DUMMYFUNCTION("IFERROR(ARRAYFORMULA(REGEXEXTRACT(C5143,""^(?:https?:\/\/)?(?:[^@\n]+@)?(?:www\.)?([^:\/\n]+)"")),"""")"),"rocketlawyer.com")</f>
        <v>rocketlawyer.com</v>
      </c>
      <c r="E5143" s="26" t="str">
        <f ca="1">IFERROR(__xludf.DUMMYFUNCTION("""COMPUTED_VALUE"""),"New")</f>
        <v>New</v>
      </c>
      <c r="F5143" s="72">
        <v>85</v>
      </c>
      <c r="G5143" s="72">
        <v>167038</v>
      </c>
    </row>
    <row r="5144" spans="1:7" ht="14.5">
      <c r="A5144" s="3" t="s">
        <v>257</v>
      </c>
      <c r="B5144" s="12" t="s">
        <v>2884</v>
      </c>
      <c r="C5144" s="46" t="s">
        <v>9099</v>
      </c>
      <c r="D5144" s="41" t="str">
        <f ca="1">IFERROR(__xludf.DUMMYFUNCTION("IFERROR(ARRAYFORMULA(REGEXEXTRACT(C5144,""^(?:https?:\/\/)?(?:[^@\n]+@)?(?:www\.)?([^:\/\n]+)"")),"""")"),"investropa.com")</f>
        <v>investropa.com</v>
      </c>
      <c r="E5144" s="26" t="str">
        <f ca="1">IFERROR(__xludf.DUMMYFUNCTION("""COMPUTED_VALUE"""),"New")</f>
        <v>New</v>
      </c>
      <c r="F5144" s="72">
        <v>55</v>
      </c>
      <c r="G5144" s="72">
        <v>1071</v>
      </c>
    </row>
    <row r="5145" spans="1:7" ht="14.5">
      <c r="A5145" s="3" t="s">
        <v>257</v>
      </c>
      <c r="B5145" s="12" t="s">
        <v>2884</v>
      </c>
      <c r="C5145" s="46" t="s">
        <v>9100</v>
      </c>
      <c r="D5145" s="41" t="str">
        <f ca="1">IFERROR(__xludf.DUMMYFUNCTION("IFERROR(ARRAYFORMULA(REGEXEXTRACT(C5145,""^(?:https?:\/\/)?(?:[^@\n]+@)?(?:www\.)?([^:\/\n]+)"")),"""")"),"designingbuildings.co.uk")</f>
        <v>designingbuildings.co.uk</v>
      </c>
      <c r="E5145" s="26" t="str">
        <f ca="1">IFERROR(__xludf.DUMMYFUNCTION("""COMPUTED_VALUE"""),"New")</f>
        <v>New</v>
      </c>
      <c r="F5145" s="72">
        <v>78</v>
      </c>
      <c r="G5145" s="72">
        <v>144197</v>
      </c>
    </row>
    <row r="5146" spans="1:7" ht="14.5" hidden="1">
      <c r="A5146" s="3" t="s">
        <v>257</v>
      </c>
      <c r="B5146" s="12" t="s">
        <v>2884</v>
      </c>
      <c r="C5146" s="46" t="s">
        <v>9101</v>
      </c>
      <c r="D5146" s="41" t="str">
        <f ca="1">IFERROR(__xludf.DUMMYFUNCTION("IFERROR(ARRAYFORMULA(REGEXEXTRACT(C5146,""^(?:https?:\/\/)?(?:[^@\n]+@)?(?:www\.)?([^:\/\n]+)"")),"""")"),"padmagazine.co.uk")</f>
        <v>padmagazine.co.uk</v>
      </c>
      <c r="E5146" s="26" t="str">
        <f ca="1">IFERROR(__xludf.DUMMYFUNCTION("""COMPUTED_VALUE"""),"Already Exists")</f>
        <v>Already Exists</v>
      </c>
      <c r="F5146" s="72">
        <v>32</v>
      </c>
      <c r="G5146" s="72">
        <v>1990</v>
      </c>
    </row>
    <row r="5147" spans="1:7" ht="14.5">
      <c r="A5147" s="3" t="s">
        <v>257</v>
      </c>
      <c r="B5147" s="12" t="s">
        <v>2884</v>
      </c>
      <c r="C5147" s="46" t="s">
        <v>9102</v>
      </c>
      <c r="D5147" s="41" t="str">
        <f ca="1">IFERROR(__xludf.DUMMYFUNCTION("IFERROR(ARRAYFORMULA(REGEXEXTRACT(C5147,""^(?:https?:\/\/)?(?:[^@\n]+@)?(?:www\.)?([^:\/\n]+)"")),"""")"),"wonkhe.com")</f>
        <v>wonkhe.com</v>
      </c>
      <c r="E5147" s="26" t="str">
        <f ca="1">IFERROR(__xludf.DUMMYFUNCTION("""COMPUTED_VALUE"""),"New")</f>
        <v>New</v>
      </c>
      <c r="F5147" s="72">
        <v>71</v>
      </c>
      <c r="G5147" s="72">
        <v>4816</v>
      </c>
    </row>
    <row r="5148" spans="1:7" ht="14.5">
      <c r="A5148" s="3" t="s">
        <v>257</v>
      </c>
      <c r="B5148" s="12" t="s">
        <v>2884</v>
      </c>
      <c r="C5148" s="46" t="s">
        <v>9103</v>
      </c>
      <c r="D5148" s="41" t="str">
        <f ca="1">IFERROR(__xludf.DUMMYFUNCTION("IFERROR(ARRAYFORMULA(REGEXEXTRACT(C5148,""^(?:https?:\/\/)?(?:[^@\n]+@)?(?:www\.)?([^:\/\n]+)"")),"""")"),"novaramedia.com")</f>
        <v>novaramedia.com</v>
      </c>
      <c r="E5148" s="26" t="str">
        <f ca="1">IFERROR(__xludf.DUMMYFUNCTION("""COMPUTED_VALUE"""),"New")</f>
        <v>New</v>
      </c>
      <c r="F5148" s="72">
        <v>70</v>
      </c>
      <c r="G5148" s="72">
        <v>13323</v>
      </c>
    </row>
    <row r="5149" spans="1:7" ht="14.5" hidden="1">
      <c r="A5149" s="3" t="s">
        <v>257</v>
      </c>
      <c r="B5149" s="12" t="s">
        <v>2884</v>
      </c>
      <c r="C5149" s="46" t="s">
        <v>9104</v>
      </c>
      <c r="D5149" s="41" t="str">
        <f ca="1">IFERROR(__xludf.DUMMYFUNCTION("IFERROR(ARRAYFORMULA(REGEXEXTRACT(C5149,""^(?:https?:\/\/)?(?:[^@\n]+@)?(?:www\.)?([^:\/\n]+)"")),"""")"),"flexhouse.org")</f>
        <v>flexhouse.org</v>
      </c>
      <c r="E5149" s="26" t="str">
        <f ca="1">IFERROR(__xludf.DUMMYFUNCTION("""COMPUTED_VALUE"""),"Already Exists")</f>
        <v>Already Exists</v>
      </c>
      <c r="F5149" s="72">
        <v>39</v>
      </c>
      <c r="G5149" s="72">
        <v>21856</v>
      </c>
    </row>
    <row r="5150" spans="1:7" ht="14.5">
      <c r="A5150" s="3" t="s">
        <v>257</v>
      </c>
      <c r="B5150" s="12" t="s">
        <v>2884</v>
      </c>
      <c r="C5150" s="46" t="s">
        <v>9105</v>
      </c>
      <c r="D5150" s="41" t="str">
        <f ca="1">IFERROR(__xludf.DUMMYFUNCTION("IFERROR(ARRAYFORMULA(REGEXEXTRACT(C5150,""^(?:https?:\/\/)?(?:[^@\n]+@)?(?:www\.)?([^:\/\n]+)"")),"""")"),"estateagenttoday.co.uk")</f>
        <v>estateagenttoday.co.uk</v>
      </c>
      <c r="E5150" s="26" t="str">
        <f ca="1">IFERROR(__xludf.DUMMYFUNCTION("""COMPUTED_VALUE"""),"New")</f>
        <v>New</v>
      </c>
      <c r="F5150" s="72">
        <v>71</v>
      </c>
      <c r="G5150" s="72">
        <v>4457</v>
      </c>
    </row>
    <row r="5151" spans="1:7" ht="14.5" hidden="1">
      <c r="A5151" s="3" t="s">
        <v>257</v>
      </c>
      <c r="B5151" s="12" t="s">
        <v>2884</v>
      </c>
      <c r="C5151" s="46" t="s">
        <v>9106</v>
      </c>
      <c r="D5151" s="41" t="str">
        <f ca="1">IFERROR(__xludf.DUMMYFUNCTION("IFERROR(ARRAYFORMULA(REGEXEXTRACT(C5151,""^(?:https?:\/\/)?(?:[^@\n]+@)?(?:www\.)?([^:\/\n]+)"")),"""")"),"landlordtoday.co.uk")</f>
        <v>landlordtoday.co.uk</v>
      </c>
      <c r="E5151" s="26" t="str">
        <f ca="1">IFERROR(__xludf.DUMMYFUNCTION("""COMPUTED_VALUE"""),"Already Exists")</f>
        <v>Already Exists</v>
      </c>
      <c r="F5151" s="72">
        <v>66</v>
      </c>
      <c r="G5151" s="72">
        <v>7334</v>
      </c>
    </row>
    <row r="5152" spans="1:7" ht="14.5" hidden="1">
      <c r="A5152" s="3" t="s">
        <v>257</v>
      </c>
      <c r="B5152" s="12" t="s">
        <v>2884</v>
      </c>
      <c r="C5152" s="46" t="s">
        <v>9107</v>
      </c>
      <c r="D5152" s="41" t="str">
        <f ca="1">IFERROR(__xludf.DUMMYFUNCTION("IFERROR(ARRAYFORMULA(REGEXEXTRACT(C5152,""^(?:https?:\/\/)?(?:[^@\n]+@)?(?:www\.)?([^:\/\n]+)"")),"""")"),"talentedladiesclub.com")</f>
        <v>talentedladiesclub.com</v>
      </c>
      <c r="E5152" s="26" t="str">
        <f ca="1">IFERROR(__xludf.DUMMYFUNCTION("""COMPUTED_VALUE"""),"Already Exists")</f>
        <v>Already Exists</v>
      </c>
      <c r="F5152" s="72">
        <v>61</v>
      </c>
      <c r="G5152" s="72">
        <v>1660</v>
      </c>
    </row>
    <row r="5153" spans="1:7" ht="14.5">
      <c r="A5153" s="3" t="s">
        <v>257</v>
      </c>
      <c r="B5153" s="12" t="s">
        <v>2884</v>
      </c>
      <c r="C5153" s="46" t="s">
        <v>9108</v>
      </c>
      <c r="D5153" s="41" t="str">
        <f ca="1">IFERROR(__xludf.DUMMYFUNCTION("IFERROR(ARRAYFORMULA(REGEXEXTRACT(C5153,""^(?:https?:\/\/)?(?:[^@\n]+@)?(?:www\.)?([^:\/\n]+)"")),"""")"),"newswire.com")</f>
        <v>newswire.com</v>
      </c>
      <c r="E5153" s="26" t="str">
        <f ca="1">IFERROR(__xludf.DUMMYFUNCTION("""COMPUTED_VALUE"""),"New")</f>
        <v>New</v>
      </c>
      <c r="F5153" s="72">
        <v>83</v>
      </c>
      <c r="G5153" s="72">
        <v>26849</v>
      </c>
    </row>
    <row r="5154" spans="1:7" ht="14.5" hidden="1">
      <c r="A5154" s="3" t="s">
        <v>257</v>
      </c>
      <c r="B5154" s="12" t="s">
        <v>2884</v>
      </c>
      <c r="C5154" s="46" t="s">
        <v>9109</v>
      </c>
      <c r="D5154" s="41" t="str">
        <f ca="1">IFERROR(__xludf.DUMMYFUNCTION("IFERROR(ARRAYFORMULA(REGEXEXTRACT(C5154,""^(?:https?:\/\/)?(?:[^@\n]+@)?(?:www\.)?([^:\/\n]+)"")),"""")"),"homebusinessmag.com")</f>
        <v>homebusinessmag.com</v>
      </c>
      <c r="E5154" s="26" t="str">
        <f ca="1">IFERROR(__xludf.DUMMYFUNCTION("""COMPUTED_VALUE"""),"Already Exists")</f>
        <v>Already Exists</v>
      </c>
      <c r="F5154" s="72">
        <v>71</v>
      </c>
      <c r="G5154" s="72">
        <v>1750</v>
      </c>
    </row>
    <row r="5155" spans="1:7" ht="14.5">
      <c r="A5155" s="3" t="s">
        <v>257</v>
      </c>
      <c r="B5155" s="12" t="s">
        <v>2884</v>
      </c>
      <c r="C5155" s="46" t="s">
        <v>9110</v>
      </c>
      <c r="D5155" s="41" t="str">
        <f ca="1">IFERROR(__xludf.DUMMYFUNCTION("IFERROR(ARRAYFORMULA(REGEXEXTRACT(C5155,""^(?:https?:\/\/)?(?:[^@\n]+@)?(?:www\.)?([^:\/\n]+)"")),"""")"),"ein.org.uk")</f>
        <v>ein.org.uk</v>
      </c>
      <c r="E5155" s="26" t="str">
        <f ca="1">IFERROR(__xludf.DUMMYFUNCTION("""COMPUTED_VALUE"""),"New")</f>
        <v>New</v>
      </c>
      <c r="F5155" s="72">
        <v>53</v>
      </c>
      <c r="G5155" s="72">
        <v>22242</v>
      </c>
    </row>
    <row r="5156" spans="1:7" ht="14.5">
      <c r="A5156" s="3" t="s">
        <v>257</v>
      </c>
      <c r="B5156" s="12" t="s">
        <v>2884</v>
      </c>
      <c r="C5156" s="46" t="s">
        <v>9111</v>
      </c>
      <c r="D5156" s="41" t="str">
        <f ca="1">IFERROR(__xludf.DUMMYFUNCTION("IFERROR(ARRAYFORMULA(REGEXEXTRACT(C5156,""^(?:https?:\/\/)?(?:[^@\n]+@)?(?:www\.)?([^:\/\n]+)"")),"""")"),"totalguidetomanchester.com")</f>
        <v>totalguidetomanchester.com</v>
      </c>
      <c r="E5156" s="26" t="str">
        <f ca="1">IFERROR(__xludf.DUMMYFUNCTION("""COMPUTED_VALUE"""),"New")</f>
        <v>New</v>
      </c>
      <c r="F5156" s="72">
        <v>22</v>
      </c>
      <c r="G5156" s="72">
        <v>1333</v>
      </c>
    </row>
    <row r="5157" spans="1:7" ht="14.5">
      <c r="A5157" s="3" t="s">
        <v>257</v>
      </c>
      <c r="B5157" s="12" t="s">
        <v>2884</v>
      </c>
      <c r="C5157" s="46" t="s">
        <v>9112</v>
      </c>
      <c r="D5157" s="41" t="str">
        <f ca="1">IFERROR(__xludf.DUMMYFUNCTION("IFERROR(ARRAYFORMULA(REGEXEXTRACT(C5157,""^(?:https?:\/\/)?(?:[^@\n]+@)?(?:www\.)?([^:\/\n]+)"")),"""")"),"professionalsuk.co.uk")</f>
        <v>professionalsuk.co.uk</v>
      </c>
      <c r="E5157" s="26" t="str">
        <f ca="1">IFERROR(__xludf.DUMMYFUNCTION("""COMPUTED_VALUE"""),"New")</f>
        <v>New</v>
      </c>
      <c r="F5157" s="72">
        <v>46</v>
      </c>
      <c r="G5157" s="72">
        <v>2326</v>
      </c>
    </row>
    <row r="5158" spans="1:7" ht="14.5" hidden="1">
      <c r="A5158" s="3" t="s">
        <v>257</v>
      </c>
      <c r="B5158" s="12" t="s">
        <v>2884</v>
      </c>
      <c r="C5158" s="46" t="s">
        <v>9113</v>
      </c>
      <c r="D5158" s="41" t="str">
        <f ca="1">IFERROR(__xludf.DUMMYFUNCTION("IFERROR(ARRAYFORMULA(REGEXEXTRACT(C5158,""^(?:https?:\/\/)?(?:[^@\n]+@)?(?:www\.)?([^:\/\n]+)"")),"""")"),"businessfirstonline.co.uk")</f>
        <v>businessfirstonline.co.uk</v>
      </c>
      <c r="E5158" s="26" t="str">
        <f ca="1">IFERROR(__xludf.DUMMYFUNCTION("""COMPUTED_VALUE"""),"Already Exists")</f>
        <v>Already Exists</v>
      </c>
      <c r="F5158" s="72">
        <v>50</v>
      </c>
      <c r="G5158" s="72">
        <v>1016</v>
      </c>
    </row>
    <row r="5159" spans="1:7" ht="14.5" hidden="1">
      <c r="A5159" s="3" t="s">
        <v>257</v>
      </c>
      <c r="B5159" s="12" t="s">
        <v>2884</v>
      </c>
      <c r="C5159" s="46" t="s">
        <v>9114</v>
      </c>
      <c r="D5159" s="41" t="str">
        <f ca="1">IFERROR(__xludf.DUMMYFUNCTION("IFERROR(ARRAYFORMULA(REGEXEXTRACT(C5159,""^(?:https?:\/\/)?(?:[^@\n]+@)?(?:www\.)?([^:\/\n]+)"")),"""")"),"bmmagazine.co.uk")</f>
        <v>bmmagazine.co.uk</v>
      </c>
      <c r="E5159" s="26" t="str">
        <f ca="1">IFERROR(__xludf.DUMMYFUNCTION("""COMPUTED_VALUE"""),"Already Exists")</f>
        <v>Already Exists</v>
      </c>
      <c r="F5159" s="72">
        <v>77</v>
      </c>
      <c r="G5159" s="72">
        <v>7155</v>
      </c>
    </row>
    <row r="5160" spans="1:7" ht="14.5" hidden="1">
      <c r="A5160" s="5"/>
      <c r="B5160" s="18"/>
      <c r="C5160" s="85"/>
      <c r="D5160" s="41"/>
      <c r="E5160" s="26" t="str">
        <f ca="1">IFERROR(__xludf.DUMMYFUNCTION("""COMPUTED_VALUE"""),"")</f>
        <v/>
      </c>
      <c r="F5160" s="72"/>
      <c r="G5160" s="72"/>
    </row>
    <row r="5161" spans="1:7" ht="14.5" hidden="1">
      <c r="A5161" s="5"/>
      <c r="B5161" s="18"/>
      <c r="C5161" s="85"/>
      <c r="D5161" s="41"/>
      <c r="E5161" s="26" t="str">
        <f ca="1">IFERROR(__xludf.DUMMYFUNCTION("""COMPUTED_VALUE"""),"")</f>
        <v/>
      </c>
      <c r="F5161" s="72"/>
      <c r="G5161" s="72"/>
    </row>
    <row r="5162" spans="1:7" ht="14.5" hidden="1">
      <c r="A5162" s="5"/>
      <c r="B5162" s="18"/>
      <c r="C5162" s="85"/>
      <c r="D5162" s="41"/>
      <c r="E5162" s="26" t="str">
        <f ca="1">IFERROR(__xludf.DUMMYFUNCTION("""COMPUTED_VALUE"""),"")</f>
        <v/>
      </c>
      <c r="F5162" s="72"/>
      <c r="G5162" s="72"/>
    </row>
    <row r="5163" spans="1:7" ht="14.5" hidden="1">
      <c r="A5163" s="5"/>
      <c r="B5163" s="18"/>
      <c r="C5163" s="85"/>
      <c r="D5163" s="41"/>
      <c r="E5163" s="26" t="str">
        <f ca="1">IFERROR(__xludf.DUMMYFUNCTION("""COMPUTED_VALUE"""),"")</f>
        <v/>
      </c>
      <c r="F5163" s="72"/>
      <c r="G5163" s="72"/>
    </row>
    <row r="5164" spans="1:7" ht="14.5" hidden="1">
      <c r="A5164" s="5"/>
      <c r="B5164" s="18"/>
      <c r="C5164" s="85"/>
      <c r="D5164" s="41"/>
      <c r="E5164" s="26" t="str">
        <f ca="1">IFERROR(__xludf.DUMMYFUNCTION("""COMPUTED_VALUE"""),"")</f>
        <v/>
      </c>
      <c r="F5164" s="72"/>
      <c r="G5164" s="72"/>
    </row>
    <row r="5165" spans="1:7" ht="14.5" hidden="1">
      <c r="A5165" s="5"/>
      <c r="B5165" s="18"/>
      <c r="C5165" s="85"/>
      <c r="D5165" s="41"/>
      <c r="E5165" s="26" t="str">
        <f ca="1">IFERROR(__xludf.DUMMYFUNCTION("""COMPUTED_VALUE"""),"")</f>
        <v/>
      </c>
      <c r="F5165" s="72"/>
      <c r="G5165" s="72"/>
    </row>
    <row r="5166" spans="1:7" ht="14.5" hidden="1">
      <c r="A5166" s="5"/>
      <c r="B5166" s="18"/>
      <c r="C5166" s="85"/>
      <c r="D5166" s="41"/>
      <c r="E5166" s="26" t="str">
        <f ca="1">IFERROR(__xludf.DUMMYFUNCTION("""COMPUTED_VALUE"""),"")</f>
        <v/>
      </c>
      <c r="F5166" s="72"/>
      <c r="G5166" s="72"/>
    </row>
    <row r="5167" spans="1:7" ht="14.5" hidden="1">
      <c r="A5167" s="5"/>
      <c r="B5167" s="18"/>
      <c r="C5167" s="85"/>
      <c r="D5167" s="41"/>
      <c r="E5167" s="26" t="str">
        <f ca="1">IFERROR(__xludf.DUMMYFUNCTION("""COMPUTED_VALUE"""),"")</f>
        <v/>
      </c>
      <c r="F5167" s="72"/>
      <c r="G5167" s="72"/>
    </row>
    <row r="5168" spans="1:7" ht="14.5" hidden="1">
      <c r="A5168" s="5"/>
      <c r="B5168" s="18"/>
      <c r="C5168" s="85"/>
      <c r="D5168" s="41"/>
      <c r="E5168" s="26" t="str">
        <f ca="1">IFERROR(__xludf.DUMMYFUNCTION("""COMPUTED_VALUE"""),"")</f>
        <v/>
      </c>
      <c r="F5168" s="72"/>
      <c r="G5168" s="72"/>
    </row>
    <row r="5169" spans="1:7" ht="14.5" hidden="1">
      <c r="A5169" s="5"/>
      <c r="B5169" s="18"/>
      <c r="C5169" s="85"/>
      <c r="D5169" s="41"/>
      <c r="E5169" s="26" t="str">
        <f ca="1">IFERROR(__xludf.DUMMYFUNCTION("""COMPUTED_VALUE"""),"")</f>
        <v/>
      </c>
      <c r="F5169" s="72"/>
      <c r="G5169" s="72"/>
    </row>
    <row r="5170" spans="1:7" ht="14.5" hidden="1">
      <c r="A5170" s="5"/>
      <c r="B5170" s="18"/>
      <c r="C5170" s="85"/>
      <c r="D5170" s="41"/>
      <c r="E5170" s="26" t="str">
        <f ca="1">IFERROR(__xludf.DUMMYFUNCTION("""COMPUTED_VALUE"""),"")</f>
        <v/>
      </c>
      <c r="F5170" s="72"/>
      <c r="G5170" s="72"/>
    </row>
    <row r="5171" spans="1:7" ht="14.5" hidden="1">
      <c r="A5171" s="5"/>
      <c r="B5171" s="18"/>
      <c r="C5171" s="85"/>
      <c r="D5171" s="41"/>
      <c r="E5171" s="26" t="str">
        <f ca="1">IFERROR(__xludf.DUMMYFUNCTION("""COMPUTED_VALUE"""),"")</f>
        <v/>
      </c>
      <c r="F5171" s="72"/>
      <c r="G5171" s="72"/>
    </row>
    <row r="5172" spans="1:7" ht="14.5" hidden="1">
      <c r="A5172" s="5"/>
      <c r="B5172" s="18"/>
      <c r="C5172" s="85"/>
      <c r="D5172" s="41"/>
      <c r="E5172" s="26" t="str">
        <f ca="1">IFERROR(__xludf.DUMMYFUNCTION("""COMPUTED_VALUE"""),"")</f>
        <v/>
      </c>
      <c r="F5172" s="72"/>
      <c r="G5172" s="72"/>
    </row>
    <row r="5173" spans="1:7" ht="14.5" hidden="1">
      <c r="A5173" s="5"/>
      <c r="B5173" s="18"/>
      <c r="C5173" s="85"/>
      <c r="D5173" s="41"/>
      <c r="E5173" s="26" t="str">
        <f ca="1">IFERROR(__xludf.DUMMYFUNCTION("""COMPUTED_VALUE"""),"")</f>
        <v/>
      </c>
      <c r="F5173" s="72"/>
      <c r="G5173" s="72"/>
    </row>
    <row r="5174" spans="1:7" ht="14.5" hidden="1">
      <c r="A5174" s="5"/>
      <c r="B5174" s="18"/>
      <c r="C5174" s="85"/>
      <c r="D5174" s="41"/>
      <c r="E5174" s="26" t="str">
        <f ca="1">IFERROR(__xludf.DUMMYFUNCTION("""COMPUTED_VALUE"""),"")</f>
        <v/>
      </c>
      <c r="F5174" s="72"/>
      <c r="G5174" s="72"/>
    </row>
    <row r="5175" spans="1:7" ht="14.5" hidden="1">
      <c r="A5175" s="5"/>
      <c r="B5175" s="18"/>
      <c r="C5175" s="85"/>
      <c r="D5175" s="41"/>
      <c r="E5175" s="26" t="str">
        <f ca="1">IFERROR(__xludf.DUMMYFUNCTION("""COMPUTED_VALUE"""),"")</f>
        <v/>
      </c>
      <c r="F5175" s="72"/>
      <c r="G5175" s="72"/>
    </row>
    <row r="5176" spans="1:7" ht="14.5" hidden="1">
      <c r="A5176" s="5"/>
      <c r="B5176" s="18"/>
      <c r="C5176" s="85"/>
      <c r="D5176" s="41"/>
      <c r="E5176" s="26" t="str">
        <f ca="1">IFERROR(__xludf.DUMMYFUNCTION("""COMPUTED_VALUE"""),"")</f>
        <v/>
      </c>
      <c r="F5176" s="72"/>
      <c r="G5176" s="72"/>
    </row>
    <row r="5177" spans="1:7" ht="14.5" hidden="1">
      <c r="A5177" s="5"/>
      <c r="B5177" s="18"/>
      <c r="C5177" s="85"/>
      <c r="D5177" s="41"/>
      <c r="E5177" s="26" t="str">
        <f ca="1">IFERROR(__xludf.DUMMYFUNCTION("""COMPUTED_VALUE"""),"")</f>
        <v/>
      </c>
      <c r="F5177" s="72"/>
      <c r="G5177" s="72"/>
    </row>
    <row r="5178" spans="1:7" ht="14.5" hidden="1">
      <c r="A5178" s="5"/>
      <c r="B5178" s="18"/>
      <c r="C5178" s="85"/>
      <c r="D5178" s="41"/>
      <c r="E5178" s="26" t="str">
        <f ca="1">IFERROR(__xludf.DUMMYFUNCTION("""COMPUTED_VALUE"""),"")</f>
        <v/>
      </c>
      <c r="F5178" s="72"/>
      <c r="G5178" s="72"/>
    </row>
    <row r="5179" spans="1:7" ht="14.5" hidden="1">
      <c r="A5179" s="5"/>
      <c r="B5179" s="18"/>
      <c r="C5179" s="85"/>
      <c r="D5179" s="41"/>
      <c r="E5179" s="26" t="str">
        <f ca="1">IFERROR(__xludf.DUMMYFUNCTION("""COMPUTED_VALUE"""),"")</f>
        <v/>
      </c>
      <c r="F5179" s="72"/>
      <c r="G5179" s="72"/>
    </row>
    <row r="5180" spans="1:7" ht="14.5" hidden="1">
      <c r="A5180" s="5"/>
      <c r="B5180" s="18"/>
      <c r="C5180" s="85"/>
      <c r="D5180" s="41"/>
      <c r="E5180" s="26" t="str">
        <f ca="1">IFERROR(__xludf.DUMMYFUNCTION("""COMPUTED_VALUE"""),"")</f>
        <v/>
      </c>
      <c r="F5180" s="72"/>
      <c r="G5180" s="72"/>
    </row>
    <row r="5181" spans="1:7" ht="14.5" hidden="1">
      <c r="A5181" s="5"/>
      <c r="B5181" s="18"/>
      <c r="C5181" s="85"/>
      <c r="D5181" s="41"/>
      <c r="E5181" s="26" t="str">
        <f ca="1">IFERROR(__xludf.DUMMYFUNCTION("""COMPUTED_VALUE"""),"")</f>
        <v/>
      </c>
      <c r="F5181" s="72"/>
      <c r="G5181" s="72"/>
    </row>
    <row r="5182" spans="1:7" ht="14.5" hidden="1">
      <c r="A5182" s="5"/>
      <c r="B5182" s="18"/>
      <c r="C5182" s="85"/>
      <c r="D5182" s="41"/>
      <c r="E5182" s="26" t="str">
        <f ca="1">IFERROR(__xludf.DUMMYFUNCTION("""COMPUTED_VALUE"""),"")</f>
        <v/>
      </c>
      <c r="F5182" s="72"/>
      <c r="G5182" s="72"/>
    </row>
    <row r="5183" spans="1:7" ht="14.5" hidden="1">
      <c r="A5183" s="5"/>
      <c r="B5183" s="18"/>
      <c r="C5183" s="85"/>
      <c r="D5183" s="41"/>
      <c r="E5183" s="26" t="str">
        <f ca="1">IFERROR(__xludf.DUMMYFUNCTION("""COMPUTED_VALUE"""),"")</f>
        <v/>
      </c>
      <c r="F5183" s="72"/>
      <c r="G5183" s="72"/>
    </row>
    <row r="5184" spans="1:7" ht="14.5" hidden="1">
      <c r="A5184" s="5"/>
      <c r="B5184" s="18"/>
      <c r="C5184" s="85"/>
      <c r="D5184" s="41"/>
      <c r="E5184" s="26" t="str">
        <f ca="1">IFERROR(__xludf.DUMMYFUNCTION("""COMPUTED_VALUE"""),"")</f>
        <v/>
      </c>
      <c r="F5184" s="72"/>
      <c r="G5184" s="72"/>
    </row>
    <row r="5185" spans="1:7" ht="14.5" hidden="1">
      <c r="A5185" s="5"/>
      <c r="B5185" s="18"/>
      <c r="C5185" s="85"/>
      <c r="D5185" s="41"/>
      <c r="E5185" s="26" t="str">
        <f ca="1">IFERROR(__xludf.DUMMYFUNCTION("""COMPUTED_VALUE"""),"")</f>
        <v/>
      </c>
      <c r="F5185" s="72"/>
      <c r="G5185" s="72"/>
    </row>
    <row r="5186" spans="1:7" ht="14.5" hidden="1">
      <c r="A5186" s="5"/>
      <c r="B5186" s="18"/>
      <c r="C5186" s="85"/>
      <c r="D5186" s="41"/>
      <c r="E5186" s="26" t="str">
        <f ca="1">IFERROR(__xludf.DUMMYFUNCTION("""COMPUTED_VALUE"""),"")</f>
        <v/>
      </c>
      <c r="F5186" s="72"/>
      <c r="G5186" s="72"/>
    </row>
    <row r="5187" spans="1:7" ht="14.5" hidden="1">
      <c r="A5187" s="5"/>
      <c r="B5187" s="18"/>
      <c r="C5187" s="85"/>
      <c r="D5187" s="41"/>
      <c r="E5187" s="26" t="str">
        <f ca="1">IFERROR(__xludf.DUMMYFUNCTION("""COMPUTED_VALUE"""),"")</f>
        <v/>
      </c>
      <c r="F5187" s="72"/>
      <c r="G5187" s="72"/>
    </row>
    <row r="5188" spans="1:7" ht="14.5" hidden="1">
      <c r="A5188" s="5"/>
      <c r="B5188" s="18"/>
      <c r="C5188" s="85"/>
      <c r="D5188" s="41"/>
      <c r="E5188" s="26" t="str">
        <f ca="1">IFERROR(__xludf.DUMMYFUNCTION("""COMPUTED_VALUE"""),"")</f>
        <v/>
      </c>
      <c r="F5188" s="72"/>
      <c r="G5188" s="72"/>
    </row>
    <row r="5189" spans="1:7" ht="14.5" hidden="1">
      <c r="A5189" s="5"/>
      <c r="B5189" s="18"/>
      <c r="C5189" s="85"/>
      <c r="D5189" s="41"/>
      <c r="E5189" s="26" t="str">
        <f ca="1">IFERROR(__xludf.DUMMYFUNCTION("""COMPUTED_VALUE"""),"")</f>
        <v/>
      </c>
      <c r="F5189" s="72"/>
      <c r="G5189" s="72"/>
    </row>
    <row r="5190" spans="1:7" ht="14.5" hidden="1">
      <c r="A5190" s="5"/>
      <c r="B5190" s="18"/>
      <c r="C5190" s="85"/>
      <c r="D5190" s="41"/>
      <c r="E5190" s="26" t="str">
        <f ca="1">IFERROR(__xludf.DUMMYFUNCTION("""COMPUTED_VALUE"""),"")</f>
        <v/>
      </c>
      <c r="F5190" s="72"/>
      <c r="G5190" s="72"/>
    </row>
    <row r="5191" spans="1:7" ht="14.5" hidden="1">
      <c r="A5191" s="5"/>
      <c r="B5191" s="18"/>
      <c r="C5191" s="85"/>
      <c r="D5191" s="41"/>
      <c r="E5191" s="26" t="str">
        <f ca="1">IFERROR(__xludf.DUMMYFUNCTION("""COMPUTED_VALUE"""),"")</f>
        <v/>
      </c>
      <c r="F5191" s="72"/>
      <c r="G5191" s="72"/>
    </row>
    <row r="5192" spans="1:7" ht="14.5" hidden="1">
      <c r="A5192" s="5"/>
      <c r="B5192" s="18"/>
      <c r="C5192" s="85"/>
      <c r="D5192" s="41"/>
      <c r="E5192" s="26" t="str">
        <f ca="1">IFERROR(__xludf.DUMMYFUNCTION("""COMPUTED_VALUE"""),"")</f>
        <v/>
      </c>
      <c r="F5192" s="72"/>
      <c r="G5192" s="72"/>
    </row>
    <row r="5193" spans="1:7" ht="14.5" hidden="1">
      <c r="A5193" s="5"/>
      <c r="B5193" s="18"/>
      <c r="C5193" s="85"/>
      <c r="D5193" s="41"/>
      <c r="E5193" s="26" t="str">
        <f ca="1">IFERROR(__xludf.DUMMYFUNCTION("""COMPUTED_VALUE"""),"")</f>
        <v/>
      </c>
      <c r="F5193" s="72"/>
      <c r="G5193" s="72"/>
    </row>
    <row r="5194" spans="1:7" ht="14.5" hidden="1">
      <c r="A5194" s="5"/>
      <c r="B5194" s="18"/>
      <c r="C5194" s="85"/>
      <c r="D5194" s="41"/>
      <c r="E5194" s="26" t="str">
        <f ca="1">IFERROR(__xludf.DUMMYFUNCTION("""COMPUTED_VALUE"""),"")</f>
        <v/>
      </c>
      <c r="F5194" s="72"/>
      <c r="G5194" s="72"/>
    </row>
    <row r="5195" spans="1:7" ht="14.5" hidden="1">
      <c r="A5195" s="5"/>
      <c r="B5195" s="18"/>
      <c r="C5195" s="85"/>
      <c r="D5195" s="41"/>
      <c r="E5195" s="26" t="str">
        <f ca="1">IFERROR(__xludf.DUMMYFUNCTION("""COMPUTED_VALUE"""),"")</f>
        <v/>
      </c>
      <c r="F5195" s="72"/>
      <c r="G5195" s="72"/>
    </row>
    <row r="5196" spans="1:7" ht="14.5" hidden="1">
      <c r="A5196" s="5"/>
      <c r="B5196" s="18"/>
      <c r="C5196" s="85"/>
      <c r="D5196" s="41"/>
      <c r="E5196" s="26" t="str">
        <f ca="1">IFERROR(__xludf.DUMMYFUNCTION("""COMPUTED_VALUE"""),"")</f>
        <v/>
      </c>
      <c r="F5196" s="72"/>
      <c r="G5196" s="72"/>
    </row>
    <row r="5197" spans="1:7" ht="14.5" hidden="1">
      <c r="A5197" s="5"/>
      <c r="B5197" s="18"/>
      <c r="C5197" s="85"/>
      <c r="D5197" s="41"/>
      <c r="E5197" s="26" t="str">
        <f ca="1">IFERROR(__xludf.DUMMYFUNCTION("""COMPUTED_VALUE"""),"")</f>
        <v/>
      </c>
      <c r="F5197" s="72"/>
      <c r="G5197" s="72"/>
    </row>
    <row r="5198" spans="1:7" ht="14.5" hidden="1">
      <c r="A5198" s="5"/>
      <c r="B5198" s="18"/>
      <c r="C5198" s="85"/>
      <c r="D5198" s="41"/>
      <c r="E5198" s="26" t="str">
        <f ca="1">IFERROR(__xludf.DUMMYFUNCTION("""COMPUTED_VALUE"""),"")</f>
        <v/>
      </c>
      <c r="F5198" s="72"/>
      <c r="G5198" s="72"/>
    </row>
    <row r="5199" spans="1:7" ht="14.5" hidden="1">
      <c r="A5199" s="5"/>
      <c r="B5199" s="18"/>
      <c r="C5199" s="85"/>
      <c r="D5199" s="41"/>
      <c r="E5199" s="26" t="str">
        <f ca="1">IFERROR(__xludf.DUMMYFUNCTION("""COMPUTED_VALUE"""),"")</f>
        <v/>
      </c>
      <c r="F5199" s="72"/>
      <c r="G5199" s="72"/>
    </row>
    <row r="5200" spans="1:7" ht="14.5" hidden="1">
      <c r="A5200" s="5"/>
      <c r="B5200" s="18"/>
      <c r="C5200" s="85"/>
      <c r="D5200" s="41"/>
      <c r="E5200" s="26" t="str">
        <f ca="1">IFERROR(__xludf.DUMMYFUNCTION("""COMPUTED_VALUE"""),"")</f>
        <v/>
      </c>
      <c r="F5200" s="72"/>
      <c r="G5200" s="72"/>
    </row>
    <row r="5201" spans="1:7" ht="14.5" hidden="1">
      <c r="A5201" s="5"/>
      <c r="B5201" s="18"/>
      <c r="C5201" s="85"/>
      <c r="D5201" s="41"/>
      <c r="E5201" s="26" t="str">
        <f ca="1">IFERROR(__xludf.DUMMYFUNCTION("""COMPUTED_VALUE"""),"")</f>
        <v/>
      </c>
      <c r="F5201" s="72"/>
      <c r="G5201" s="72"/>
    </row>
    <row r="5202" spans="1:7" ht="14.5" hidden="1">
      <c r="A5202" s="5"/>
      <c r="B5202" s="18"/>
      <c r="C5202" s="85"/>
      <c r="D5202" s="41"/>
      <c r="E5202" s="26" t="str">
        <f ca="1">IFERROR(__xludf.DUMMYFUNCTION("""COMPUTED_VALUE"""),"")</f>
        <v/>
      </c>
      <c r="F5202" s="72"/>
      <c r="G5202" s="72"/>
    </row>
    <row r="5203" spans="1:7" ht="14.5" hidden="1">
      <c r="A5203" s="5"/>
      <c r="B5203" s="18"/>
      <c r="C5203" s="85"/>
      <c r="D5203" s="41"/>
      <c r="E5203" s="26" t="str">
        <f ca="1">IFERROR(__xludf.DUMMYFUNCTION("""COMPUTED_VALUE"""),"")</f>
        <v/>
      </c>
      <c r="F5203" s="72"/>
      <c r="G5203" s="72"/>
    </row>
    <row r="5204" spans="1:7" ht="14.5" hidden="1">
      <c r="A5204" s="5"/>
      <c r="B5204" s="18"/>
      <c r="C5204" s="85"/>
      <c r="D5204" s="41"/>
      <c r="E5204" s="26" t="str">
        <f ca="1">IFERROR(__xludf.DUMMYFUNCTION("""COMPUTED_VALUE"""),"")</f>
        <v/>
      </c>
      <c r="F5204" s="72"/>
      <c r="G5204" s="72"/>
    </row>
    <row r="5205" spans="1:7" ht="14.5" hidden="1">
      <c r="A5205" s="5"/>
      <c r="B5205" s="18"/>
      <c r="C5205" s="85"/>
      <c r="D5205" s="41"/>
      <c r="E5205" s="26" t="str">
        <f ca="1">IFERROR(__xludf.DUMMYFUNCTION("""COMPUTED_VALUE"""),"")</f>
        <v/>
      </c>
      <c r="F5205" s="72"/>
      <c r="G5205" s="72"/>
    </row>
    <row r="5206" spans="1:7" ht="14.5" hidden="1">
      <c r="A5206" s="5"/>
      <c r="B5206" s="18"/>
      <c r="C5206" s="85"/>
      <c r="D5206" s="41"/>
      <c r="E5206" s="26" t="str">
        <f ca="1">IFERROR(__xludf.DUMMYFUNCTION("""COMPUTED_VALUE"""),"")</f>
        <v/>
      </c>
      <c r="F5206" s="72"/>
      <c r="G5206" s="72"/>
    </row>
    <row r="5207" spans="1:7" ht="14.5" hidden="1">
      <c r="A5207" s="5"/>
      <c r="B5207" s="18"/>
      <c r="C5207" s="85"/>
      <c r="D5207" s="41"/>
      <c r="E5207" s="26" t="str">
        <f ca="1">IFERROR(__xludf.DUMMYFUNCTION("""COMPUTED_VALUE"""),"")</f>
        <v/>
      </c>
      <c r="F5207" s="72"/>
      <c r="G5207" s="72"/>
    </row>
    <row r="5208" spans="1:7" ht="14.5" hidden="1">
      <c r="A5208" s="5"/>
      <c r="B5208" s="18"/>
      <c r="C5208" s="85"/>
      <c r="D5208" s="41"/>
      <c r="E5208" s="26" t="str">
        <f ca="1">IFERROR(__xludf.DUMMYFUNCTION("""COMPUTED_VALUE"""),"")</f>
        <v/>
      </c>
      <c r="F5208" s="72"/>
      <c r="G5208" s="72"/>
    </row>
    <row r="5209" spans="1:7" ht="14.5" hidden="1">
      <c r="A5209" s="5"/>
      <c r="B5209" s="18"/>
      <c r="C5209" s="85"/>
      <c r="D5209" s="41"/>
      <c r="E5209" s="26" t="str">
        <f ca="1">IFERROR(__xludf.DUMMYFUNCTION("""COMPUTED_VALUE"""),"")</f>
        <v/>
      </c>
      <c r="F5209" s="72"/>
      <c r="G5209" s="72"/>
    </row>
    <row r="5210" spans="1:7" ht="14.5" hidden="1">
      <c r="A5210" s="5"/>
      <c r="B5210" s="18"/>
      <c r="C5210" s="85"/>
      <c r="D5210" s="41"/>
      <c r="E5210" s="26" t="str">
        <f ca="1">IFERROR(__xludf.DUMMYFUNCTION("""COMPUTED_VALUE"""),"")</f>
        <v/>
      </c>
      <c r="F5210" s="72"/>
      <c r="G5210" s="72"/>
    </row>
    <row r="5211" spans="1:7" ht="14.5" hidden="1">
      <c r="A5211" s="5"/>
      <c r="B5211" s="18"/>
      <c r="C5211" s="85"/>
      <c r="D5211" s="41"/>
      <c r="E5211" s="26" t="str">
        <f ca="1">IFERROR(__xludf.DUMMYFUNCTION("""COMPUTED_VALUE"""),"")</f>
        <v/>
      </c>
      <c r="F5211" s="72"/>
      <c r="G5211" s="72"/>
    </row>
    <row r="5212" spans="1:7" ht="14.5" hidden="1">
      <c r="A5212" s="5"/>
      <c r="B5212" s="18"/>
      <c r="C5212" s="85"/>
      <c r="D5212" s="41"/>
      <c r="E5212" s="26" t="str">
        <f ca="1">IFERROR(__xludf.DUMMYFUNCTION("""COMPUTED_VALUE"""),"")</f>
        <v/>
      </c>
      <c r="F5212" s="72"/>
      <c r="G5212" s="72"/>
    </row>
    <row r="5213" spans="1:7" ht="14.5" hidden="1">
      <c r="A5213" s="5"/>
      <c r="B5213" s="18"/>
      <c r="C5213" s="85"/>
      <c r="D5213" s="41"/>
      <c r="E5213" s="26" t="str">
        <f ca="1">IFERROR(__xludf.DUMMYFUNCTION("""COMPUTED_VALUE"""),"")</f>
        <v/>
      </c>
      <c r="F5213" s="72"/>
      <c r="G5213" s="72"/>
    </row>
    <row r="5214" spans="1:7" ht="14.5" hidden="1">
      <c r="A5214" s="5"/>
      <c r="B5214" s="18"/>
      <c r="C5214" s="85"/>
      <c r="D5214" s="41"/>
      <c r="E5214" s="26" t="str">
        <f ca="1">IFERROR(__xludf.DUMMYFUNCTION("""COMPUTED_VALUE"""),"")</f>
        <v/>
      </c>
      <c r="F5214" s="72"/>
      <c r="G5214" s="72"/>
    </row>
    <row r="5215" spans="1:7" ht="14.5" hidden="1">
      <c r="A5215" s="5"/>
      <c r="B5215" s="18"/>
      <c r="C5215" s="85"/>
      <c r="D5215" s="41"/>
      <c r="E5215" s="26" t="str">
        <f ca="1">IFERROR(__xludf.DUMMYFUNCTION("""COMPUTED_VALUE"""),"")</f>
        <v/>
      </c>
      <c r="F5215" s="72"/>
      <c r="G5215" s="72"/>
    </row>
    <row r="5216" spans="1:7" ht="14.5" hidden="1">
      <c r="A5216" s="5"/>
      <c r="B5216" s="18"/>
      <c r="C5216" s="85"/>
      <c r="D5216" s="41"/>
      <c r="E5216" s="26" t="str">
        <f ca="1">IFERROR(__xludf.DUMMYFUNCTION("""COMPUTED_VALUE"""),"")</f>
        <v/>
      </c>
      <c r="F5216" s="72"/>
      <c r="G5216" s="72"/>
    </row>
    <row r="5217" spans="1:7" ht="14.5" hidden="1">
      <c r="A5217" s="5"/>
      <c r="B5217" s="18"/>
      <c r="C5217" s="85"/>
      <c r="D5217" s="41"/>
      <c r="E5217" s="26" t="str">
        <f ca="1">IFERROR(__xludf.DUMMYFUNCTION("""COMPUTED_VALUE"""),"")</f>
        <v/>
      </c>
      <c r="F5217" s="72"/>
      <c r="G5217" s="72"/>
    </row>
    <row r="5218" spans="1:7" ht="14.5" hidden="1">
      <c r="A5218" s="5"/>
      <c r="B5218" s="18"/>
      <c r="C5218" s="85"/>
      <c r="D5218" s="41"/>
      <c r="E5218" s="26" t="str">
        <f ca="1">IFERROR(__xludf.DUMMYFUNCTION("""COMPUTED_VALUE"""),"")</f>
        <v/>
      </c>
      <c r="F5218" s="72"/>
      <c r="G5218" s="72"/>
    </row>
    <row r="5219" spans="1:7" ht="14.5" hidden="1">
      <c r="A5219" s="5"/>
      <c r="B5219" s="18"/>
      <c r="C5219" s="85"/>
      <c r="D5219" s="41"/>
      <c r="E5219" s="26" t="str">
        <f ca="1">IFERROR(__xludf.DUMMYFUNCTION("""COMPUTED_VALUE"""),"")</f>
        <v/>
      </c>
      <c r="F5219" s="72"/>
      <c r="G5219" s="72"/>
    </row>
    <row r="5220" spans="1:7" ht="14.5" hidden="1">
      <c r="A5220" s="5"/>
      <c r="B5220" s="18"/>
      <c r="C5220" s="85"/>
      <c r="D5220" s="41"/>
      <c r="E5220" s="26" t="str">
        <f ca="1">IFERROR(__xludf.DUMMYFUNCTION("""COMPUTED_VALUE"""),"")</f>
        <v/>
      </c>
      <c r="F5220" s="72"/>
      <c r="G5220" s="72"/>
    </row>
    <row r="5221" spans="1:7" ht="14.5" hidden="1">
      <c r="A5221" s="5"/>
      <c r="B5221" s="18"/>
      <c r="C5221" s="85"/>
      <c r="D5221" s="41"/>
      <c r="E5221" s="26" t="str">
        <f ca="1">IFERROR(__xludf.DUMMYFUNCTION("""COMPUTED_VALUE"""),"")</f>
        <v/>
      </c>
      <c r="F5221" s="72"/>
      <c r="G5221" s="72"/>
    </row>
    <row r="5222" spans="1:7" ht="14.5" hidden="1">
      <c r="A5222" s="5"/>
      <c r="B5222" s="18"/>
      <c r="C5222" s="85"/>
      <c r="D5222" s="41"/>
      <c r="E5222" s="26" t="str">
        <f ca="1">IFERROR(__xludf.DUMMYFUNCTION("""COMPUTED_VALUE"""),"")</f>
        <v/>
      </c>
      <c r="F5222" s="72"/>
      <c r="G5222" s="72"/>
    </row>
    <row r="5223" spans="1:7" ht="14.5" hidden="1">
      <c r="A5223" s="5"/>
      <c r="B5223" s="18"/>
      <c r="C5223" s="85"/>
      <c r="D5223" s="41"/>
      <c r="E5223" s="26" t="str">
        <f ca="1">IFERROR(__xludf.DUMMYFUNCTION("""COMPUTED_VALUE"""),"")</f>
        <v/>
      </c>
      <c r="F5223" s="72"/>
      <c r="G5223" s="72"/>
    </row>
    <row r="5224" spans="1:7" ht="14.5" hidden="1">
      <c r="A5224" s="5"/>
      <c r="B5224" s="18"/>
      <c r="C5224" s="85"/>
      <c r="D5224" s="41"/>
      <c r="E5224" s="26" t="str">
        <f ca="1">IFERROR(__xludf.DUMMYFUNCTION("""COMPUTED_VALUE"""),"")</f>
        <v/>
      </c>
      <c r="F5224" s="72"/>
      <c r="G5224" s="72"/>
    </row>
    <row r="5225" spans="1:7" ht="14.5" hidden="1">
      <c r="A5225" s="5"/>
      <c r="B5225" s="18"/>
      <c r="C5225" s="85"/>
      <c r="D5225" s="41"/>
      <c r="E5225" s="26" t="str">
        <f ca="1">IFERROR(__xludf.DUMMYFUNCTION("""COMPUTED_VALUE"""),"")</f>
        <v/>
      </c>
      <c r="F5225" s="72"/>
      <c r="G5225" s="72"/>
    </row>
    <row r="5226" spans="1:7" ht="14.5" hidden="1">
      <c r="A5226" s="5"/>
      <c r="B5226" s="18"/>
      <c r="C5226" s="85"/>
      <c r="D5226" s="41"/>
      <c r="E5226" s="26" t="str">
        <f ca="1">IFERROR(__xludf.DUMMYFUNCTION("""COMPUTED_VALUE"""),"")</f>
        <v/>
      </c>
      <c r="F5226" s="72"/>
      <c r="G5226" s="72"/>
    </row>
    <row r="5227" spans="1:7" ht="14.5" hidden="1">
      <c r="A5227" s="5"/>
      <c r="B5227" s="18"/>
      <c r="C5227" s="85"/>
      <c r="D5227" s="41"/>
      <c r="E5227" s="26" t="str">
        <f ca="1">IFERROR(__xludf.DUMMYFUNCTION("""COMPUTED_VALUE"""),"")</f>
        <v/>
      </c>
      <c r="F5227" s="72"/>
      <c r="G5227" s="72"/>
    </row>
    <row r="5228" spans="1:7" ht="14.5" hidden="1">
      <c r="A5228" s="5"/>
      <c r="B5228" s="18"/>
      <c r="C5228" s="85"/>
      <c r="D5228" s="41"/>
      <c r="E5228" s="26" t="str">
        <f ca="1">IFERROR(__xludf.DUMMYFUNCTION("""COMPUTED_VALUE"""),"")</f>
        <v/>
      </c>
      <c r="F5228" s="72"/>
      <c r="G5228" s="72"/>
    </row>
    <row r="5229" spans="1:7" ht="14.5" hidden="1">
      <c r="A5229" s="5"/>
      <c r="B5229" s="18"/>
      <c r="C5229" s="85"/>
      <c r="D5229" s="41"/>
      <c r="E5229" s="26" t="str">
        <f ca="1">IFERROR(__xludf.DUMMYFUNCTION("""COMPUTED_VALUE"""),"")</f>
        <v/>
      </c>
      <c r="F5229" s="72"/>
      <c r="G5229" s="72"/>
    </row>
    <row r="5230" spans="1:7" ht="14.5" hidden="1">
      <c r="A5230" s="5"/>
      <c r="B5230" s="18"/>
      <c r="C5230" s="85"/>
      <c r="D5230" s="41"/>
      <c r="E5230" s="26" t="str">
        <f ca="1">IFERROR(__xludf.DUMMYFUNCTION("""COMPUTED_VALUE"""),"")</f>
        <v/>
      </c>
      <c r="F5230" s="72"/>
      <c r="G5230" s="72"/>
    </row>
    <row r="5231" spans="1:7" ht="14.5" hidden="1">
      <c r="A5231" s="5"/>
      <c r="B5231" s="18"/>
      <c r="C5231" s="85"/>
      <c r="D5231" s="41"/>
      <c r="E5231" s="26" t="str">
        <f ca="1">IFERROR(__xludf.DUMMYFUNCTION("""COMPUTED_VALUE"""),"")</f>
        <v/>
      </c>
      <c r="F5231" s="72"/>
      <c r="G5231" s="72"/>
    </row>
    <row r="5232" spans="1:7" ht="14.5" hidden="1">
      <c r="A5232" s="5"/>
      <c r="B5232" s="18"/>
      <c r="C5232" s="85"/>
      <c r="D5232" s="41"/>
      <c r="E5232" s="26" t="str">
        <f ca="1">IFERROR(__xludf.DUMMYFUNCTION("""COMPUTED_VALUE"""),"")</f>
        <v/>
      </c>
      <c r="F5232" s="72"/>
      <c r="G5232" s="72"/>
    </row>
    <row r="5233" spans="1:7" ht="14.5" hidden="1">
      <c r="A5233" s="5"/>
      <c r="B5233" s="18"/>
      <c r="C5233" s="85"/>
      <c r="D5233" s="41"/>
      <c r="E5233" s="26" t="str">
        <f ca="1">IFERROR(__xludf.DUMMYFUNCTION("""COMPUTED_VALUE"""),"")</f>
        <v/>
      </c>
      <c r="F5233" s="72"/>
      <c r="G5233" s="72"/>
    </row>
    <row r="5234" spans="1:7" ht="14.5" hidden="1">
      <c r="A5234" s="5"/>
      <c r="B5234" s="18"/>
      <c r="C5234" s="85"/>
      <c r="D5234" s="41"/>
      <c r="E5234" s="26" t="str">
        <f ca="1">IFERROR(__xludf.DUMMYFUNCTION("""COMPUTED_VALUE"""),"")</f>
        <v/>
      </c>
      <c r="F5234" s="72"/>
      <c r="G5234" s="72"/>
    </row>
    <row r="5235" spans="1:7" ht="14.5" hidden="1">
      <c r="A5235" s="5"/>
      <c r="B5235" s="18"/>
      <c r="C5235" s="85"/>
      <c r="D5235" s="41"/>
      <c r="E5235" s="26" t="str">
        <f ca="1">IFERROR(__xludf.DUMMYFUNCTION("""COMPUTED_VALUE"""),"")</f>
        <v/>
      </c>
      <c r="F5235" s="72"/>
      <c r="G5235" s="72"/>
    </row>
    <row r="5236" spans="1:7" ht="14.5" hidden="1">
      <c r="A5236" s="5"/>
      <c r="B5236" s="18"/>
      <c r="C5236" s="85"/>
      <c r="D5236" s="41"/>
      <c r="E5236" s="26" t="str">
        <f ca="1">IFERROR(__xludf.DUMMYFUNCTION("""COMPUTED_VALUE"""),"")</f>
        <v/>
      </c>
      <c r="F5236" s="72"/>
      <c r="G5236" s="72"/>
    </row>
    <row r="5237" spans="1:7" ht="14.5" hidden="1">
      <c r="A5237" s="5"/>
      <c r="B5237" s="18"/>
      <c r="C5237" s="85"/>
      <c r="D5237" s="41"/>
      <c r="E5237" s="26" t="str">
        <f ca="1">IFERROR(__xludf.DUMMYFUNCTION("""COMPUTED_VALUE"""),"")</f>
        <v/>
      </c>
      <c r="F5237" s="72"/>
      <c r="G5237" s="72"/>
    </row>
    <row r="5238" spans="1:7" ht="14.5" hidden="1">
      <c r="A5238" s="5"/>
      <c r="B5238" s="18"/>
      <c r="C5238" s="85"/>
      <c r="D5238" s="41"/>
      <c r="E5238" s="26" t="str">
        <f ca="1">IFERROR(__xludf.DUMMYFUNCTION("""COMPUTED_VALUE"""),"")</f>
        <v/>
      </c>
      <c r="F5238" s="72"/>
      <c r="G5238" s="72"/>
    </row>
    <row r="5239" spans="1:7" ht="14.5" hidden="1">
      <c r="A5239" s="5"/>
      <c r="B5239" s="18"/>
      <c r="C5239" s="85"/>
      <c r="D5239" s="41"/>
      <c r="E5239" s="26" t="str">
        <f ca="1">IFERROR(__xludf.DUMMYFUNCTION("""COMPUTED_VALUE"""),"")</f>
        <v/>
      </c>
      <c r="F5239" s="72"/>
      <c r="G5239" s="72"/>
    </row>
    <row r="5240" spans="1:7" ht="14.5" hidden="1">
      <c r="A5240" s="5"/>
      <c r="B5240" s="18"/>
      <c r="C5240" s="85"/>
      <c r="D5240" s="41"/>
      <c r="E5240" s="26" t="str">
        <f ca="1">IFERROR(__xludf.DUMMYFUNCTION("""COMPUTED_VALUE"""),"")</f>
        <v/>
      </c>
      <c r="F5240" s="72"/>
      <c r="G5240" s="72"/>
    </row>
    <row r="5241" spans="1:7" ht="14.5" hidden="1">
      <c r="A5241" s="5"/>
      <c r="B5241" s="18"/>
      <c r="C5241" s="85"/>
      <c r="D5241" s="41"/>
      <c r="E5241" s="26" t="str">
        <f ca="1">IFERROR(__xludf.DUMMYFUNCTION("""COMPUTED_VALUE"""),"")</f>
        <v/>
      </c>
      <c r="F5241" s="72"/>
      <c r="G5241" s="72"/>
    </row>
    <row r="5242" spans="1:7" ht="14.5" hidden="1">
      <c r="A5242" s="5"/>
      <c r="B5242" s="18"/>
      <c r="C5242" s="85"/>
      <c r="D5242" s="41"/>
      <c r="E5242" s="26" t="str">
        <f ca="1">IFERROR(__xludf.DUMMYFUNCTION("""COMPUTED_VALUE"""),"")</f>
        <v/>
      </c>
      <c r="F5242" s="72"/>
      <c r="G5242" s="72"/>
    </row>
    <row r="5243" spans="1:7" ht="14.5" hidden="1">
      <c r="A5243" s="5"/>
      <c r="B5243" s="18"/>
      <c r="C5243" s="85"/>
      <c r="D5243" s="41"/>
      <c r="E5243" s="26" t="str">
        <f ca="1">IFERROR(__xludf.DUMMYFUNCTION("""COMPUTED_VALUE"""),"")</f>
        <v/>
      </c>
      <c r="F5243" s="72"/>
      <c r="G5243" s="72"/>
    </row>
    <row r="5244" spans="1:7" ht="14.5" hidden="1">
      <c r="A5244" s="5"/>
      <c r="B5244" s="18"/>
      <c r="C5244" s="85"/>
      <c r="D5244" s="41"/>
      <c r="E5244" s="26" t="str">
        <f ca="1">IFERROR(__xludf.DUMMYFUNCTION("""COMPUTED_VALUE"""),"")</f>
        <v/>
      </c>
      <c r="F5244" s="72"/>
      <c r="G5244" s="72"/>
    </row>
    <row r="5245" spans="1:7" ht="14.5" hidden="1">
      <c r="A5245" s="5"/>
      <c r="B5245" s="18"/>
      <c r="C5245" s="85"/>
      <c r="D5245" s="41"/>
      <c r="E5245" s="26" t="str">
        <f ca="1">IFERROR(__xludf.DUMMYFUNCTION("""COMPUTED_VALUE"""),"")</f>
        <v/>
      </c>
      <c r="F5245" s="72"/>
      <c r="G5245" s="72"/>
    </row>
    <row r="5246" spans="1:7" ht="14.5" hidden="1">
      <c r="A5246" s="5"/>
      <c r="B5246" s="18"/>
      <c r="C5246" s="85"/>
      <c r="D5246" s="41"/>
      <c r="E5246" s="26" t="str">
        <f ca="1">IFERROR(__xludf.DUMMYFUNCTION("""COMPUTED_VALUE"""),"")</f>
        <v/>
      </c>
      <c r="F5246" s="72"/>
      <c r="G5246" s="72"/>
    </row>
    <row r="5247" spans="1:7" ht="14.5" hidden="1">
      <c r="A5247" s="5"/>
      <c r="B5247" s="18"/>
      <c r="C5247" s="85"/>
      <c r="D5247" s="41"/>
      <c r="E5247" s="26" t="str">
        <f ca="1">IFERROR(__xludf.DUMMYFUNCTION("""COMPUTED_VALUE"""),"")</f>
        <v/>
      </c>
      <c r="F5247" s="72"/>
      <c r="G5247" s="72"/>
    </row>
    <row r="5248" spans="1:7" ht="14.5" hidden="1">
      <c r="A5248" s="5"/>
      <c r="B5248" s="18"/>
      <c r="C5248" s="85"/>
      <c r="D5248" s="41"/>
      <c r="E5248" s="26" t="str">
        <f ca="1">IFERROR(__xludf.DUMMYFUNCTION("""COMPUTED_VALUE"""),"")</f>
        <v/>
      </c>
      <c r="F5248" s="72"/>
      <c r="G5248" s="72"/>
    </row>
    <row r="5249" spans="1:7" ht="14.5" hidden="1">
      <c r="A5249" s="5"/>
      <c r="B5249" s="18"/>
      <c r="C5249" s="85"/>
      <c r="D5249" s="41"/>
      <c r="E5249" s="26" t="str">
        <f ca="1">IFERROR(__xludf.DUMMYFUNCTION("""COMPUTED_VALUE"""),"")</f>
        <v/>
      </c>
      <c r="F5249" s="72"/>
      <c r="G5249" s="72"/>
    </row>
    <row r="5250" spans="1:7" ht="14.5" hidden="1">
      <c r="A5250" s="5"/>
      <c r="B5250" s="18"/>
      <c r="C5250" s="85"/>
      <c r="D5250" s="41"/>
      <c r="E5250" s="26" t="str">
        <f ca="1">IFERROR(__xludf.DUMMYFUNCTION("""COMPUTED_VALUE"""),"")</f>
        <v/>
      </c>
      <c r="F5250" s="72"/>
      <c r="G5250" s="72"/>
    </row>
    <row r="5251" spans="1:7" ht="14.5" hidden="1">
      <c r="A5251" s="5"/>
      <c r="B5251" s="18"/>
      <c r="C5251" s="85"/>
      <c r="D5251" s="41"/>
      <c r="E5251" s="26" t="str">
        <f ca="1">IFERROR(__xludf.DUMMYFUNCTION("""COMPUTED_VALUE"""),"")</f>
        <v/>
      </c>
      <c r="F5251" s="72"/>
      <c r="G5251" s="72"/>
    </row>
    <row r="5252" spans="1:7" ht="14.5" hidden="1">
      <c r="A5252" s="5"/>
      <c r="B5252" s="18"/>
      <c r="C5252" s="85"/>
      <c r="D5252" s="41"/>
      <c r="E5252" s="26" t="str">
        <f ca="1">IFERROR(__xludf.DUMMYFUNCTION("""COMPUTED_VALUE"""),"")</f>
        <v/>
      </c>
      <c r="F5252" s="72"/>
      <c r="G5252" s="72"/>
    </row>
    <row r="5253" spans="1:7" ht="14.5" hidden="1">
      <c r="A5253" s="5"/>
      <c r="B5253" s="18"/>
      <c r="C5253" s="85"/>
      <c r="D5253" s="41"/>
      <c r="E5253" s="26" t="str">
        <f ca="1">IFERROR(__xludf.DUMMYFUNCTION("""COMPUTED_VALUE"""),"")</f>
        <v/>
      </c>
      <c r="F5253" s="72"/>
      <c r="G5253" s="72"/>
    </row>
    <row r="5254" spans="1:7" ht="14.5" hidden="1">
      <c r="A5254" s="5"/>
      <c r="B5254" s="18"/>
      <c r="C5254" s="85"/>
      <c r="D5254" s="41"/>
      <c r="E5254" s="26" t="str">
        <f ca="1">IFERROR(__xludf.DUMMYFUNCTION("""COMPUTED_VALUE"""),"")</f>
        <v/>
      </c>
      <c r="F5254" s="72"/>
      <c r="G5254" s="72"/>
    </row>
    <row r="5255" spans="1:7" ht="14.5" hidden="1">
      <c r="A5255" s="5"/>
      <c r="B5255" s="18"/>
      <c r="C5255" s="85"/>
      <c r="D5255" s="41"/>
      <c r="E5255" s="26" t="str">
        <f ca="1">IFERROR(__xludf.DUMMYFUNCTION("""COMPUTED_VALUE"""),"")</f>
        <v/>
      </c>
      <c r="F5255" s="72"/>
      <c r="G5255" s="72"/>
    </row>
    <row r="5256" spans="1:7" ht="14.5" hidden="1">
      <c r="A5256" s="5"/>
      <c r="B5256" s="18"/>
      <c r="C5256" s="85"/>
      <c r="D5256" s="41"/>
      <c r="E5256" s="26" t="str">
        <f ca="1">IFERROR(__xludf.DUMMYFUNCTION("""COMPUTED_VALUE"""),"")</f>
        <v/>
      </c>
      <c r="F5256" s="72"/>
      <c r="G5256" s="72"/>
    </row>
    <row r="5257" spans="1:7" ht="14.5" hidden="1">
      <c r="A5257" s="5"/>
      <c r="B5257" s="18"/>
      <c r="C5257" s="85"/>
      <c r="D5257" s="41"/>
      <c r="E5257" s="26" t="str">
        <f ca="1">IFERROR(__xludf.DUMMYFUNCTION("""COMPUTED_VALUE"""),"")</f>
        <v/>
      </c>
      <c r="F5257" s="72"/>
      <c r="G5257" s="72"/>
    </row>
    <row r="5258" spans="1:7" ht="14.5" hidden="1">
      <c r="A5258" s="5"/>
      <c r="B5258" s="18"/>
      <c r="C5258" s="85"/>
      <c r="D5258" s="41"/>
      <c r="E5258" s="26" t="str">
        <f ca="1">IFERROR(__xludf.DUMMYFUNCTION("""COMPUTED_VALUE"""),"")</f>
        <v/>
      </c>
      <c r="F5258" s="72"/>
      <c r="G5258" s="72"/>
    </row>
    <row r="5259" spans="1:7" ht="14.5" hidden="1">
      <c r="A5259" s="5"/>
      <c r="B5259" s="18"/>
      <c r="C5259" s="85"/>
      <c r="D5259" s="41"/>
      <c r="E5259" s="26" t="str">
        <f ca="1">IFERROR(__xludf.DUMMYFUNCTION("""COMPUTED_VALUE"""),"")</f>
        <v/>
      </c>
      <c r="F5259" s="72"/>
      <c r="G5259" s="72"/>
    </row>
    <row r="5260" spans="1:7" ht="14.5" hidden="1">
      <c r="A5260" s="5"/>
      <c r="B5260" s="18"/>
      <c r="C5260" s="85"/>
      <c r="D5260" s="41"/>
      <c r="E5260" s="26" t="str">
        <f ca="1">IFERROR(__xludf.DUMMYFUNCTION("""COMPUTED_VALUE"""),"")</f>
        <v/>
      </c>
      <c r="F5260" s="72"/>
      <c r="G5260" s="72"/>
    </row>
    <row r="5261" spans="1:7" ht="14.5" hidden="1">
      <c r="A5261" s="5"/>
      <c r="B5261" s="18"/>
      <c r="C5261" s="85"/>
      <c r="D5261" s="41"/>
      <c r="E5261" s="26" t="str">
        <f ca="1">IFERROR(__xludf.DUMMYFUNCTION("""COMPUTED_VALUE"""),"")</f>
        <v/>
      </c>
      <c r="F5261" s="72"/>
      <c r="G5261" s="72"/>
    </row>
    <row r="5262" spans="1:7" ht="14.5" hidden="1">
      <c r="A5262" s="5"/>
      <c r="B5262" s="18"/>
      <c r="C5262" s="85"/>
      <c r="D5262" s="41"/>
      <c r="E5262" s="26" t="str">
        <f ca="1">IFERROR(__xludf.DUMMYFUNCTION("""COMPUTED_VALUE"""),"")</f>
        <v/>
      </c>
      <c r="F5262" s="72"/>
      <c r="G5262" s="72"/>
    </row>
    <row r="5263" spans="1:7" ht="14.5" hidden="1">
      <c r="A5263" s="5"/>
      <c r="B5263" s="18"/>
      <c r="C5263" s="85"/>
      <c r="D5263" s="41"/>
      <c r="E5263" s="26" t="str">
        <f ca="1">IFERROR(__xludf.DUMMYFUNCTION("""COMPUTED_VALUE"""),"")</f>
        <v/>
      </c>
      <c r="F5263" s="72"/>
      <c r="G5263" s="72"/>
    </row>
    <row r="5264" spans="1:7" ht="14.5" hidden="1">
      <c r="A5264" s="5"/>
      <c r="B5264" s="18"/>
      <c r="C5264" s="85"/>
      <c r="D5264" s="41"/>
      <c r="E5264" s="26" t="str">
        <f ca="1">IFERROR(__xludf.DUMMYFUNCTION("""COMPUTED_VALUE"""),"")</f>
        <v/>
      </c>
      <c r="F5264" s="72"/>
      <c r="G5264" s="72"/>
    </row>
    <row r="5265" spans="1:7" ht="14.5" hidden="1">
      <c r="A5265" s="5"/>
      <c r="B5265" s="18"/>
      <c r="C5265" s="85"/>
      <c r="D5265" s="41"/>
      <c r="E5265" s="26" t="str">
        <f ca="1">IFERROR(__xludf.DUMMYFUNCTION("""COMPUTED_VALUE"""),"")</f>
        <v/>
      </c>
      <c r="F5265" s="72"/>
      <c r="G5265" s="72"/>
    </row>
    <row r="5266" spans="1:7" ht="14.5" hidden="1">
      <c r="A5266" s="5"/>
      <c r="B5266" s="18"/>
      <c r="C5266" s="85"/>
      <c r="D5266" s="41"/>
      <c r="E5266" s="26" t="str">
        <f ca="1">IFERROR(__xludf.DUMMYFUNCTION("""COMPUTED_VALUE"""),"")</f>
        <v/>
      </c>
      <c r="F5266" s="72"/>
      <c r="G5266" s="72"/>
    </row>
    <row r="5267" spans="1:7" ht="14.5" hidden="1">
      <c r="A5267" s="5"/>
      <c r="B5267" s="18"/>
      <c r="C5267" s="85"/>
      <c r="D5267" s="41"/>
      <c r="E5267" s="26" t="str">
        <f ca="1">IFERROR(__xludf.DUMMYFUNCTION("""COMPUTED_VALUE"""),"")</f>
        <v/>
      </c>
      <c r="F5267" s="72"/>
      <c r="G5267" s="72"/>
    </row>
    <row r="5268" spans="1:7" ht="14.5" hidden="1">
      <c r="A5268" s="5"/>
      <c r="B5268" s="18"/>
      <c r="C5268" s="85"/>
      <c r="D5268" s="41"/>
      <c r="E5268" s="26" t="str">
        <f ca="1">IFERROR(__xludf.DUMMYFUNCTION("""COMPUTED_VALUE"""),"")</f>
        <v/>
      </c>
      <c r="F5268" s="72"/>
      <c r="G5268" s="72"/>
    </row>
    <row r="5269" spans="1:7" ht="14.5" hidden="1">
      <c r="A5269" s="5"/>
      <c r="B5269" s="18"/>
      <c r="C5269" s="85"/>
      <c r="D5269" s="41"/>
      <c r="E5269" s="26" t="str">
        <f ca="1">IFERROR(__xludf.DUMMYFUNCTION("""COMPUTED_VALUE"""),"")</f>
        <v/>
      </c>
      <c r="F5269" s="72"/>
      <c r="G5269" s="72"/>
    </row>
    <row r="5270" spans="1:7" ht="14.5" hidden="1">
      <c r="A5270" s="5"/>
      <c r="B5270" s="18"/>
      <c r="C5270" s="85"/>
      <c r="D5270" s="41"/>
      <c r="E5270" s="26" t="str">
        <f ca="1">IFERROR(__xludf.DUMMYFUNCTION("""COMPUTED_VALUE"""),"")</f>
        <v/>
      </c>
      <c r="F5270" s="72"/>
      <c r="G5270" s="72"/>
    </row>
    <row r="5271" spans="1:7" ht="14.5" hidden="1">
      <c r="A5271" s="5"/>
      <c r="B5271" s="18"/>
      <c r="C5271" s="85"/>
      <c r="D5271" s="41"/>
      <c r="E5271" s="26" t="str">
        <f ca="1">IFERROR(__xludf.DUMMYFUNCTION("""COMPUTED_VALUE"""),"")</f>
        <v/>
      </c>
      <c r="F5271" s="72"/>
      <c r="G5271" s="72"/>
    </row>
    <row r="5272" spans="1:7" ht="14.5" hidden="1">
      <c r="A5272" s="5"/>
      <c r="B5272" s="18"/>
      <c r="C5272" s="85"/>
      <c r="D5272" s="41"/>
      <c r="E5272" s="26" t="str">
        <f ca="1">IFERROR(__xludf.DUMMYFUNCTION("""COMPUTED_VALUE"""),"")</f>
        <v/>
      </c>
      <c r="F5272" s="72"/>
      <c r="G5272" s="72"/>
    </row>
    <row r="5273" spans="1:7" ht="14.5" hidden="1">
      <c r="A5273" s="5"/>
      <c r="B5273" s="18"/>
      <c r="C5273" s="85"/>
      <c r="D5273" s="41"/>
      <c r="E5273" s="26" t="str">
        <f ca="1">IFERROR(__xludf.DUMMYFUNCTION("""COMPUTED_VALUE"""),"")</f>
        <v/>
      </c>
      <c r="F5273" s="72"/>
      <c r="G5273" s="72"/>
    </row>
    <row r="5274" spans="1:7" ht="14.5" hidden="1">
      <c r="A5274" s="5"/>
      <c r="B5274" s="18"/>
      <c r="C5274" s="85"/>
      <c r="D5274" s="41"/>
      <c r="E5274" s="26" t="str">
        <f ca="1">IFERROR(__xludf.DUMMYFUNCTION("""COMPUTED_VALUE"""),"")</f>
        <v/>
      </c>
      <c r="F5274" s="72"/>
      <c r="G5274" s="72"/>
    </row>
    <row r="5275" spans="1:7" ht="14.5" hidden="1">
      <c r="A5275" s="5"/>
      <c r="B5275" s="18"/>
      <c r="C5275" s="85"/>
      <c r="D5275" s="41"/>
      <c r="E5275" s="26" t="str">
        <f ca="1">IFERROR(__xludf.DUMMYFUNCTION("""COMPUTED_VALUE"""),"")</f>
        <v/>
      </c>
      <c r="F5275" s="72"/>
      <c r="G5275" s="72"/>
    </row>
    <row r="5276" spans="1:7" ht="14.5" hidden="1">
      <c r="A5276" s="5"/>
      <c r="B5276" s="18"/>
      <c r="C5276" s="85"/>
      <c r="D5276" s="41"/>
      <c r="E5276" s="26" t="str">
        <f ca="1">IFERROR(__xludf.DUMMYFUNCTION("""COMPUTED_VALUE"""),"")</f>
        <v/>
      </c>
      <c r="F5276" s="72"/>
      <c r="G5276" s="72"/>
    </row>
    <row r="5277" spans="1:7" ht="14.5" hidden="1">
      <c r="A5277" s="5"/>
      <c r="B5277" s="18"/>
      <c r="C5277" s="85"/>
      <c r="D5277" s="41"/>
      <c r="E5277" s="26" t="str">
        <f ca="1">IFERROR(__xludf.DUMMYFUNCTION("""COMPUTED_VALUE"""),"")</f>
        <v/>
      </c>
      <c r="F5277" s="72"/>
      <c r="G5277" s="72"/>
    </row>
    <row r="5278" spans="1:7" ht="14.5" hidden="1">
      <c r="A5278" s="5"/>
      <c r="B5278" s="18"/>
      <c r="C5278" s="85"/>
      <c r="D5278" s="41"/>
      <c r="E5278" s="26" t="str">
        <f ca="1">IFERROR(__xludf.DUMMYFUNCTION("""COMPUTED_VALUE"""),"")</f>
        <v/>
      </c>
      <c r="F5278" s="72"/>
      <c r="G5278" s="72"/>
    </row>
    <row r="5279" spans="1:7" ht="14.5" hidden="1">
      <c r="A5279" s="5"/>
      <c r="B5279" s="18"/>
      <c r="C5279" s="85"/>
      <c r="D5279" s="41"/>
      <c r="E5279" s="26" t="str">
        <f ca="1">IFERROR(__xludf.DUMMYFUNCTION("""COMPUTED_VALUE"""),"")</f>
        <v/>
      </c>
      <c r="F5279" s="72"/>
      <c r="G5279" s="72"/>
    </row>
    <row r="5280" spans="1:7" ht="14.5" hidden="1">
      <c r="A5280" s="5"/>
      <c r="B5280" s="18"/>
      <c r="C5280" s="85"/>
      <c r="D5280" s="41"/>
      <c r="E5280" s="26" t="str">
        <f ca="1">IFERROR(__xludf.DUMMYFUNCTION("""COMPUTED_VALUE"""),"")</f>
        <v/>
      </c>
      <c r="F5280" s="72"/>
      <c r="G5280" s="72"/>
    </row>
    <row r="5281" spans="1:7" ht="14.5" hidden="1">
      <c r="A5281" s="5"/>
      <c r="B5281" s="18"/>
      <c r="C5281" s="85"/>
      <c r="D5281" s="41"/>
      <c r="E5281" s="26" t="str">
        <f ca="1">IFERROR(__xludf.DUMMYFUNCTION("""COMPUTED_VALUE"""),"")</f>
        <v/>
      </c>
      <c r="F5281" s="72"/>
      <c r="G5281" s="72"/>
    </row>
    <row r="5282" spans="1:7" ht="14.5" hidden="1">
      <c r="A5282" s="5"/>
      <c r="B5282" s="18"/>
      <c r="C5282" s="85"/>
      <c r="D5282" s="41"/>
      <c r="E5282" s="26" t="str">
        <f ca="1">IFERROR(__xludf.DUMMYFUNCTION("""COMPUTED_VALUE"""),"")</f>
        <v/>
      </c>
      <c r="F5282" s="72"/>
      <c r="G5282" s="72"/>
    </row>
    <row r="5283" spans="1:7" ht="14.5" hidden="1">
      <c r="A5283" s="5"/>
      <c r="B5283" s="18"/>
      <c r="C5283" s="85"/>
      <c r="D5283" s="41"/>
      <c r="E5283" s="26" t="str">
        <f ca="1">IFERROR(__xludf.DUMMYFUNCTION("""COMPUTED_VALUE"""),"")</f>
        <v/>
      </c>
      <c r="F5283" s="72"/>
      <c r="G5283" s="72"/>
    </row>
    <row r="5284" spans="1:7" ht="14.5" hidden="1">
      <c r="A5284" s="5"/>
      <c r="B5284" s="18"/>
      <c r="C5284" s="85"/>
      <c r="D5284" s="41"/>
      <c r="E5284" s="26" t="str">
        <f ca="1">IFERROR(__xludf.DUMMYFUNCTION("""COMPUTED_VALUE"""),"")</f>
        <v/>
      </c>
      <c r="F5284" s="72"/>
      <c r="G5284" s="72"/>
    </row>
    <row r="5285" spans="1:7" ht="14.5" hidden="1">
      <c r="A5285" s="5"/>
      <c r="B5285" s="18"/>
      <c r="C5285" s="85"/>
      <c r="D5285" s="41"/>
      <c r="E5285" s="26" t="str">
        <f ca="1">IFERROR(__xludf.DUMMYFUNCTION("""COMPUTED_VALUE"""),"")</f>
        <v/>
      </c>
      <c r="F5285" s="72"/>
      <c r="G5285" s="72"/>
    </row>
    <row r="5286" spans="1:7" ht="14.5" hidden="1">
      <c r="A5286" s="5"/>
      <c r="B5286" s="18"/>
      <c r="C5286" s="85"/>
      <c r="D5286" s="41"/>
      <c r="E5286" s="26" t="str">
        <f ca="1">IFERROR(__xludf.DUMMYFUNCTION("""COMPUTED_VALUE"""),"")</f>
        <v/>
      </c>
      <c r="F5286" s="72"/>
      <c r="G5286" s="72"/>
    </row>
    <row r="5287" spans="1:7" ht="14.5" hidden="1">
      <c r="A5287" s="5"/>
      <c r="B5287" s="18"/>
      <c r="C5287" s="85"/>
      <c r="D5287" s="41"/>
      <c r="E5287" s="26" t="str">
        <f ca="1">IFERROR(__xludf.DUMMYFUNCTION("""COMPUTED_VALUE"""),"")</f>
        <v/>
      </c>
      <c r="F5287" s="72"/>
      <c r="G5287" s="72"/>
    </row>
    <row r="5288" spans="1:7" ht="14.5" hidden="1">
      <c r="A5288" s="5"/>
      <c r="B5288" s="18"/>
      <c r="C5288" s="85"/>
      <c r="D5288" s="41"/>
      <c r="E5288" s="26" t="str">
        <f ca="1">IFERROR(__xludf.DUMMYFUNCTION("""COMPUTED_VALUE"""),"")</f>
        <v/>
      </c>
      <c r="F5288" s="72"/>
      <c r="G5288" s="72"/>
    </row>
    <row r="5289" spans="1:7" ht="14.5" hidden="1">
      <c r="A5289" s="5"/>
      <c r="B5289" s="18"/>
      <c r="C5289" s="85"/>
      <c r="D5289" s="41"/>
      <c r="E5289" s="26" t="str">
        <f ca="1">IFERROR(__xludf.DUMMYFUNCTION("""COMPUTED_VALUE"""),"")</f>
        <v/>
      </c>
      <c r="F5289" s="72"/>
      <c r="G5289" s="72"/>
    </row>
    <row r="5290" spans="1:7" ht="14.5" hidden="1">
      <c r="A5290" s="5"/>
      <c r="B5290" s="18"/>
      <c r="C5290" s="85"/>
      <c r="D5290" s="41"/>
      <c r="E5290" s="26" t="str">
        <f ca="1">IFERROR(__xludf.DUMMYFUNCTION("""COMPUTED_VALUE"""),"")</f>
        <v/>
      </c>
      <c r="F5290" s="72"/>
      <c r="G5290" s="72"/>
    </row>
    <row r="5291" spans="1:7" ht="14.5" hidden="1">
      <c r="A5291" s="5"/>
      <c r="B5291" s="18"/>
      <c r="C5291" s="85"/>
      <c r="D5291" s="41"/>
      <c r="E5291" s="26" t="str">
        <f ca="1">IFERROR(__xludf.DUMMYFUNCTION("""COMPUTED_VALUE"""),"")</f>
        <v/>
      </c>
      <c r="F5291" s="72"/>
      <c r="G5291" s="72"/>
    </row>
    <row r="5292" spans="1:7" ht="14.5" hidden="1">
      <c r="A5292" s="5"/>
      <c r="B5292" s="18"/>
      <c r="C5292" s="85"/>
      <c r="D5292" s="41"/>
      <c r="E5292" s="26" t="str">
        <f ca="1">IFERROR(__xludf.DUMMYFUNCTION("""COMPUTED_VALUE"""),"")</f>
        <v/>
      </c>
      <c r="F5292" s="72"/>
      <c r="G5292" s="72"/>
    </row>
    <row r="5293" spans="1:7" ht="14.5" hidden="1">
      <c r="A5293" s="5"/>
      <c r="B5293" s="18"/>
      <c r="C5293" s="85"/>
      <c r="D5293" s="41"/>
      <c r="E5293" s="26" t="str">
        <f ca="1">IFERROR(__xludf.DUMMYFUNCTION("""COMPUTED_VALUE"""),"")</f>
        <v/>
      </c>
      <c r="F5293" s="72"/>
      <c r="G5293" s="72"/>
    </row>
    <row r="5294" spans="1:7" ht="14.5" hidden="1">
      <c r="A5294" s="5"/>
      <c r="B5294" s="18"/>
      <c r="C5294" s="85"/>
      <c r="D5294" s="41"/>
      <c r="E5294" s="26" t="str">
        <f ca="1">IFERROR(__xludf.DUMMYFUNCTION("""COMPUTED_VALUE"""),"")</f>
        <v/>
      </c>
      <c r="F5294" s="72"/>
      <c r="G5294" s="72"/>
    </row>
    <row r="5295" spans="1:7" ht="14.5" hidden="1">
      <c r="A5295" s="5"/>
      <c r="B5295" s="18"/>
      <c r="C5295" s="85"/>
      <c r="D5295" s="41"/>
      <c r="E5295" s="26" t="str">
        <f ca="1">IFERROR(__xludf.DUMMYFUNCTION("""COMPUTED_VALUE"""),"")</f>
        <v/>
      </c>
      <c r="F5295" s="72"/>
      <c r="G5295" s="72"/>
    </row>
    <row r="5296" spans="1:7" ht="14.5" hidden="1">
      <c r="A5296" s="5"/>
      <c r="B5296" s="18"/>
      <c r="C5296" s="85"/>
      <c r="D5296" s="41"/>
      <c r="E5296" s="26" t="str">
        <f ca="1">IFERROR(__xludf.DUMMYFUNCTION("""COMPUTED_VALUE"""),"")</f>
        <v/>
      </c>
      <c r="F5296" s="72"/>
      <c r="G5296" s="72"/>
    </row>
    <row r="5297" spans="1:7" ht="14.5" hidden="1">
      <c r="A5297" s="5"/>
      <c r="B5297" s="18"/>
      <c r="C5297" s="85"/>
      <c r="D5297" s="41"/>
      <c r="E5297" s="26" t="str">
        <f ca="1">IFERROR(__xludf.DUMMYFUNCTION("""COMPUTED_VALUE"""),"")</f>
        <v/>
      </c>
      <c r="F5297" s="72"/>
      <c r="G5297" s="72"/>
    </row>
    <row r="5298" spans="1:7" ht="14.5" hidden="1">
      <c r="A5298" s="5"/>
      <c r="B5298" s="18"/>
      <c r="C5298" s="85"/>
      <c r="D5298" s="41"/>
      <c r="E5298" s="26" t="str">
        <f ca="1">IFERROR(__xludf.DUMMYFUNCTION("""COMPUTED_VALUE"""),"")</f>
        <v/>
      </c>
      <c r="F5298" s="72"/>
      <c r="G5298" s="72"/>
    </row>
    <row r="5299" spans="1:7" ht="14.5" hidden="1">
      <c r="A5299" s="5"/>
      <c r="B5299" s="18"/>
      <c r="C5299" s="85"/>
      <c r="D5299" s="41"/>
      <c r="E5299" s="26" t="str">
        <f ca="1">IFERROR(__xludf.DUMMYFUNCTION("""COMPUTED_VALUE"""),"")</f>
        <v/>
      </c>
      <c r="F5299" s="72"/>
      <c r="G5299" s="72"/>
    </row>
    <row r="5300" spans="1:7" ht="14.5" hidden="1">
      <c r="A5300" s="5"/>
      <c r="B5300" s="18"/>
      <c r="C5300" s="85"/>
      <c r="D5300" s="41"/>
      <c r="E5300" s="26" t="str">
        <f ca="1">IFERROR(__xludf.DUMMYFUNCTION("""COMPUTED_VALUE"""),"")</f>
        <v/>
      </c>
      <c r="F5300" s="72"/>
      <c r="G5300" s="72"/>
    </row>
    <row r="5301" spans="1:7" ht="14.5" hidden="1">
      <c r="A5301" s="5"/>
      <c r="B5301" s="18"/>
      <c r="C5301" s="85"/>
      <c r="D5301" s="41"/>
      <c r="E5301" s="26" t="str">
        <f ca="1">IFERROR(__xludf.DUMMYFUNCTION("""COMPUTED_VALUE"""),"")</f>
        <v/>
      </c>
      <c r="F5301" s="72"/>
      <c r="G5301" s="72"/>
    </row>
    <row r="5302" spans="1:7" ht="14.5" hidden="1">
      <c r="A5302" s="5"/>
      <c r="B5302" s="18"/>
      <c r="C5302" s="85"/>
      <c r="D5302" s="41"/>
      <c r="E5302" s="26" t="str">
        <f ca="1">IFERROR(__xludf.DUMMYFUNCTION("""COMPUTED_VALUE"""),"")</f>
        <v/>
      </c>
      <c r="F5302" s="72"/>
      <c r="G5302" s="72"/>
    </row>
    <row r="5303" spans="1:7" ht="14.5" hidden="1">
      <c r="A5303" s="5"/>
      <c r="B5303" s="18"/>
      <c r="C5303" s="85"/>
      <c r="D5303" s="41"/>
      <c r="E5303" s="26" t="str">
        <f ca="1">IFERROR(__xludf.DUMMYFUNCTION("""COMPUTED_VALUE"""),"")</f>
        <v/>
      </c>
      <c r="F5303" s="72"/>
      <c r="G5303" s="72"/>
    </row>
    <row r="5304" spans="1:7" ht="14.5" hidden="1">
      <c r="A5304" s="5"/>
      <c r="B5304" s="18"/>
      <c r="C5304" s="85"/>
      <c r="D5304" s="41"/>
      <c r="E5304" s="26" t="str">
        <f ca="1">IFERROR(__xludf.DUMMYFUNCTION("""COMPUTED_VALUE"""),"")</f>
        <v/>
      </c>
      <c r="F5304" s="72"/>
      <c r="G5304" s="72"/>
    </row>
    <row r="5305" spans="1:7" ht="14.5" hidden="1">
      <c r="A5305" s="5"/>
      <c r="B5305" s="18"/>
      <c r="C5305" s="85"/>
      <c r="D5305" s="41"/>
      <c r="E5305" s="26" t="str">
        <f ca="1">IFERROR(__xludf.DUMMYFUNCTION("""COMPUTED_VALUE"""),"")</f>
        <v/>
      </c>
      <c r="F5305" s="72"/>
      <c r="G5305" s="72"/>
    </row>
    <row r="5306" spans="1:7" ht="14.5" hidden="1">
      <c r="A5306" s="5"/>
      <c r="B5306" s="18"/>
      <c r="C5306" s="85"/>
      <c r="D5306" s="41"/>
      <c r="E5306" s="26" t="str">
        <f ca="1">IFERROR(__xludf.DUMMYFUNCTION("""COMPUTED_VALUE"""),"")</f>
        <v/>
      </c>
      <c r="F5306" s="72"/>
      <c r="G5306" s="72"/>
    </row>
    <row r="5307" spans="1:7" ht="14.5" hidden="1">
      <c r="A5307" s="5"/>
      <c r="B5307" s="18"/>
      <c r="C5307" s="85"/>
      <c r="D5307" s="41"/>
      <c r="E5307" s="26" t="str">
        <f ca="1">IFERROR(__xludf.DUMMYFUNCTION("""COMPUTED_VALUE"""),"")</f>
        <v/>
      </c>
      <c r="F5307" s="72"/>
      <c r="G5307" s="72"/>
    </row>
    <row r="5308" spans="1:7" ht="14.5" hidden="1">
      <c r="A5308" s="5"/>
      <c r="B5308" s="18"/>
      <c r="C5308" s="85"/>
      <c r="D5308" s="41"/>
      <c r="E5308" s="26" t="str">
        <f ca="1">IFERROR(__xludf.DUMMYFUNCTION("""COMPUTED_VALUE"""),"")</f>
        <v/>
      </c>
      <c r="F5308" s="72"/>
      <c r="G5308" s="72"/>
    </row>
    <row r="5309" spans="1:7" ht="14.5" hidden="1">
      <c r="A5309" s="5"/>
      <c r="B5309" s="18"/>
      <c r="C5309" s="85"/>
      <c r="D5309" s="41"/>
      <c r="E5309" s="26" t="str">
        <f ca="1">IFERROR(__xludf.DUMMYFUNCTION("""COMPUTED_VALUE"""),"")</f>
        <v/>
      </c>
      <c r="F5309" s="72"/>
      <c r="G5309" s="72"/>
    </row>
    <row r="5310" spans="1:7" ht="14.5" hidden="1">
      <c r="A5310" s="5"/>
      <c r="B5310" s="18"/>
      <c r="C5310" s="85"/>
      <c r="D5310" s="41"/>
      <c r="E5310" s="26" t="str">
        <f ca="1">IFERROR(__xludf.DUMMYFUNCTION("""COMPUTED_VALUE"""),"")</f>
        <v/>
      </c>
      <c r="F5310" s="72"/>
      <c r="G5310" s="72"/>
    </row>
    <row r="5311" spans="1:7" ht="14.5" hidden="1">
      <c r="A5311" s="5"/>
      <c r="B5311" s="18"/>
      <c r="C5311" s="85"/>
      <c r="D5311" s="41"/>
      <c r="E5311" s="26" t="str">
        <f ca="1">IFERROR(__xludf.DUMMYFUNCTION("""COMPUTED_VALUE"""),"")</f>
        <v/>
      </c>
      <c r="F5311" s="72"/>
      <c r="G5311" s="72"/>
    </row>
    <row r="5312" spans="1:7" ht="14.5" hidden="1">
      <c r="A5312" s="5"/>
      <c r="B5312" s="18"/>
      <c r="C5312" s="85"/>
      <c r="D5312" s="41"/>
      <c r="E5312" s="26" t="str">
        <f ca="1">IFERROR(__xludf.DUMMYFUNCTION("""COMPUTED_VALUE"""),"")</f>
        <v/>
      </c>
      <c r="F5312" s="72"/>
      <c r="G5312" s="72"/>
    </row>
    <row r="5313" spans="1:7" ht="14.5" hidden="1">
      <c r="A5313" s="5"/>
      <c r="B5313" s="18"/>
      <c r="C5313" s="85"/>
      <c r="D5313" s="41"/>
      <c r="E5313" s="26" t="str">
        <f ca="1">IFERROR(__xludf.DUMMYFUNCTION("""COMPUTED_VALUE"""),"")</f>
        <v/>
      </c>
      <c r="F5313" s="72"/>
      <c r="G5313" s="72"/>
    </row>
    <row r="5314" spans="1:7" ht="14.5" hidden="1">
      <c r="A5314" s="5"/>
      <c r="B5314" s="18"/>
      <c r="C5314" s="85"/>
      <c r="D5314" s="41"/>
      <c r="E5314" s="26" t="str">
        <f ca="1">IFERROR(__xludf.DUMMYFUNCTION("""COMPUTED_VALUE"""),"")</f>
        <v/>
      </c>
      <c r="F5314" s="72"/>
      <c r="G5314" s="72"/>
    </row>
    <row r="5315" spans="1:7" ht="14.5" hidden="1">
      <c r="A5315" s="5"/>
      <c r="B5315" s="18"/>
      <c r="C5315" s="85"/>
      <c r="D5315" s="41"/>
      <c r="E5315" s="26" t="str">
        <f ca="1">IFERROR(__xludf.DUMMYFUNCTION("""COMPUTED_VALUE"""),"")</f>
        <v/>
      </c>
      <c r="F5315" s="72"/>
      <c r="G5315" s="72"/>
    </row>
    <row r="5316" spans="1:7" ht="14.5" hidden="1">
      <c r="A5316" s="5"/>
      <c r="B5316" s="18"/>
      <c r="C5316" s="85"/>
      <c r="D5316" s="41"/>
      <c r="E5316" s="26" t="str">
        <f ca="1">IFERROR(__xludf.DUMMYFUNCTION("""COMPUTED_VALUE"""),"")</f>
        <v/>
      </c>
      <c r="F5316" s="72"/>
      <c r="G5316" s="72"/>
    </row>
    <row r="5317" spans="1:7" ht="14.5" hidden="1">
      <c r="A5317" s="5"/>
      <c r="B5317" s="18"/>
      <c r="C5317" s="85"/>
      <c r="D5317" s="41"/>
      <c r="E5317" s="26" t="str">
        <f ca="1">IFERROR(__xludf.DUMMYFUNCTION("""COMPUTED_VALUE"""),"")</f>
        <v/>
      </c>
      <c r="F5317" s="72"/>
      <c r="G5317" s="72"/>
    </row>
    <row r="5318" spans="1:7" ht="14.5" hidden="1">
      <c r="A5318" s="5"/>
      <c r="B5318" s="18"/>
      <c r="C5318" s="85"/>
      <c r="D5318" s="41"/>
      <c r="E5318" s="26" t="str">
        <f ca="1">IFERROR(__xludf.DUMMYFUNCTION("""COMPUTED_VALUE"""),"")</f>
        <v/>
      </c>
      <c r="F5318" s="72"/>
      <c r="G5318" s="72"/>
    </row>
    <row r="5319" spans="1:7" ht="14.5" hidden="1">
      <c r="A5319" s="5"/>
      <c r="B5319" s="18"/>
      <c r="C5319" s="85"/>
      <c r="D5319" s="41"/>
      <c r="E5319" s="26" t="str">
        <f ca="1">IFERROR(__xludf.DUMMYFUNCTION("""COMPUTED_VALUE"""),"")</f>
        <v/>
      </c>
      <c r="F5319" s="72"/>
      <c r="G5319" s="72"/>
    </row>
    <row r="5320" spans="1:7" ht="14.5" hidden="1">
      <c r="A5320" s="5"/>
      <c r="B5320" s="18"/>
      <c r="C5320" s="85"/>
      <c r="D5320" s="41"/>
      <c r="E5320" s="26" t="str">
        <f ca="1">IFERROR(__xludf.DUMMYFUNCTION("""COMPUTED_VALUE"""),"")</f>
        <v/>
      </c>
      <c r="F5320" s="72"/>
      <c r="G5320" s="72"/>
    </row>
    <row r="5321" spans="1:7" ht="14.5" hidden="1">
      <c r="A5321" s="5"/>
      <c r="B5321" s="18"/>
      <c r="C5321" s="85"/>
      <c r="D5321" s="41"/>
      <c r="E5321" s="26" t="str">
        <f ca="1">IFERROR(__xludf.DUMMYFUNCTION("""COMPUTED_VALUE"""),"")</f>
        <v/>
      </c>
      <c r="F5321" s="72"/>
      <c r="G5321" s="72"/>
    </row>
    <row r="5322" spans="1:7" ht="14.5" hidden="1">
      <c r="A5322" s="5"/>
      <c r="B5322" s="18"/>
      <c r="C5322" s="85"/>
      <c r="D5322" s="41"/>
      <c r="E5322" s="26" t="str">
        <f ca="1">IFERROR(__xludf.DUMMYFUNCTION("""COMPUTED_VALUE"""),"")</f>
        <v/>
      </c>
      <c r="F5322" s="72"/>
      <c r="G5322" s="72"/>
    </row>
    <row r="5323" spans="1:7" ht="14.5" hidden="1">
      <c r="A5323" s="5"/>
      <c r="B5323" s="18"/>
      <c r="C5323" s="85"/>
      <c r="D5323" s="41"/>
      <c r="E5323" s="26" t="str">
        <f ca="1">IFERROR(__xludf.DUMMYFUNCTION("""COMPUTED_VALUE"""),"")</f>
        <v/>
      </c>
      <c r="F5323" s="72"/>
      <c r="G5323" s="72"/>
    </row>
    <row r="5324" spans="1:7" ht="14.5" hidden="1">
      <c r="A5324" s="5"/>
      <c r="B5324" s="18"/>
      <c r="C5324" s="85"/>
      <c r="D5324" s="41"/>
      <c r="E5324" s="26" t="str">
        <f ca="1">IFERROR(__xludf.DUMMYFUNCTION("""COMPUTED_VALUE"""),"")</f>
        <v/>
      </c>
      <c r="F5324" s="72"/>
      <c r="G5324" s="72"/>
    </row>
    <row r="5325" spans="1:7" ht="14.5" hidden="1">
      <c r="A5325" s="5"/>
      <c r="B5325" s="18"/>
      <c r="C5325" s="85"/>
      <c r="D5325" s="41"/>
      <c r="E5325" s="26" t="str">
        <f ca="1">IFERROR(__xludf.DUMMYFUNCTION("""COMPUTED_VALUE"""),"")</f>
        <v/>
      </c>
      <c r="F5325" s="72"/>
      <c r="G5325" s="72"/>
    </row>
    <row r="5326" spans="1:7" ht="14.5" hidden="1">
      <c r="A5326" s="5"/>
      <c r="B5326" s="18"/>
      <c r="C5326" s="85"/>
      <c r="D5326" s="41"/>
      <c r="E5326" s="26" t="str">
        <f ca="1">IFERROR(__xludf.DUMMYFUNCTION("""COMPUTED_VALUE"""),"")</f>
        <v/>
      </c>
      <c r="F5326" s="72"/>
      <c r="G5326" s="72"/>
    </row>
    <row r="5327" spans="1:7" ht="14.5" hidden="1">
      <c r="A5327" s="5"/>
      <c r="B5327" s="18"/>
      <c r="C5327" s="85"/>
      <c r="D5327" s="41"/>
      <c r="E5327" s="26" t="str">
        <f ca="1">IFERROR(__xludf.DUMMYFUNCTION("""COMPUTED_VALUE"""),"")</f>
        <v/>
      </c>
      <c r="F5327" s="72"/>
      <c r="G5327" s="72"/>
    </row>
    <row r="5328" spans="1:7" ht="14.5" hidden="1">
      <c r="A5328" s="5"/>
      <c r="B5328" s="18"/>
      <c r="C5328" s="85"/>
      <c r="D5328" s="41"/>
      <c r="E5328" s="26" t="str">
        <f ca="1">IFERROR(__xludf.DUMMYFUNCTION("""COMPUTED_VALUE"""),"")</f>
        <v/>
      </c>
      <c r="F5328" s="72"/>
      <c r="G5328" s="72"/>
    </row>
    <row r="5329" spans="1:7" ht="14.5" hidden="1">
      <c r="A5329" s="5"/>
      <c r="B5329" s="18"/>
      <c r="C5329" s="85"/>
      <c r="D5329" s="41"/>
      <c r="E5329" s="26" t="str">
        <f ca="1">IFERROR(__xludf.DUMMYFUNCTION("""COMPUTED_VALUE"""),"")</f>
        <v/>
      </c>
      <c r="F5329" s="72"/>
      <c r="G5329" s="72"/>
    </row>
    <row r="5330" spans="1:7" ht="14.5" hidden="1">
      <c r="A5330" s="5"/>
      <c r="B5330" s="18"/>
      <c r="C5330" s="85"/>
      <c r="D5330" s="41"/>
      <c r="E5330" s="26" t="str">
        <f ca="1">IFERROR(__xludf.DUMMYFUNCTION("""COMPUTED_VALUE"""),"")</f>
        <v/>
      </c>
      <c r="F5330" s="72"/>
      <c r="G5330" s="72"/>
    </row>
    <row r="5331" spans="1:7" ht="14.5" hidden="1">
      <c r="A5331" s="5"/>
      <c r="B5331" s="18"/>
      <c r="C5331" s="85"/>
      <c r="D5331" s="41"/>
      <c r="E5331" s="26" t="str">
        <f ca="1">IFERROR(__xludf.DUMMYFUNCTION("""COMPUTED_VALUE"""),"")</f>
        <v/>
      </c>
      <c r="F5331" s="72"/>
      <c r="G5331" s="72"/>
    </row>
    <row r="5332" spans="1:7" ht="14.5" hidden="1">
      <c r="A5332" s="5"/>
      <c r="B5332" s="18"/>
      <c r="C5332" s="85"/>
      <c r="D5332" s="41"/>
      <c r="E5332" s="26" t="str">
        <f ca="1">IFERROR(__xludf.DUMMYFUNCTION("""COMPUTED_VALUE"""),"")</f>
        <v/>
      </c>
      <c r="F5332" s="72"/>
      <c r="G5332" s="72"/>
    </row>
    <row r="5333" spans="1:7" ht="14.5" hidden="1">
      <c r="A5333" s="5"/>
      <c r="B5333" s="18"/>
      <c r="C5333" s="85"/>
      <c r="D5333" s="41"/>
      <c r="E5333" s="26" t="str">
        <f ca="1">IFERROR(__xludf.DUMMYFUNCTION("""COMPUTED_VALUE"""),"")</f>
        <v/>
      </c>
      <c r="F5333" s="72"/>
      <c r="G5333" s="72"/>
    </row>
    <row r="5334" spans="1:7" ht="14.5" hidden="1">
      <c r="A5334" s="5"/>
      <c r="B5334" s="18"/>
      <c r="C5334" s="85"/>
      <c r="D5334" s="41"/>
      <c r="E5334" s="26" t="str">
        <f ca="1">IFERROR(__xludf.DUMMYFUNCTION("""COMPUTED_VALUE"""),"")</f>
        <v/>
      </c>
      <c r="F5334" s="72"/>
      <c r="G5334" s="72"/>
    </row>
    <row r="5335" spans="1:7" ht="14.5" hidden="1">
      <c r="A5335" s="5"/>
      <c r="B5335" s="18"/>
      <c r="C5335" s="85"/>
      <c r="D5335" s="41"/>
      <c r="E5335" s="26" t="str">
        <f ca="1">IFERROR(__xludf.DUMMYFUNCTION("""COMPUTED_VALUE"""),"")</f>
        <v/>
      </c>
      <c r="F5335" s="72"/>
      <c r="G5335" s="72"/>
    </row>
    <row r="5336" spans="1:7" ht="14.5" hidden="1">
      <c r="A5336" s="5"/>
      <c r="B5336" s="18"/>
      <c r="C5336" s="85"/>
      <c r="D5336" s="41"/>
      <c r="E5336" s="26" t="str">
        <f ca="1">IFERROR(__xludf.DUMMYFUNCTION("""COMPUTED_VALUE"""),"")</f>
        <v/>
      </c>
      <c r="F5336" s="72"/>
      <c r="G5336" s="72"/>
    </row>
    <row r="5337" spans="1:7" ht="14.5" hidden="1">
      <c r="A5337" s="5"/>
      <c r="B5337" s="18"/>
      <c r="C5337" s="85"/>
      <c r="D5337" s="41"/>
      <c r="E5337" s="26" t="str">
        <f ca="1">IFERROR(__xludf.DUMMYFUNCTION("""COMPUTED_VALUE"""),"")</f>
        <v/>
      </c>
      <c r="F5337" s="72"/>
      <c r="G5337" s="72"/>
    </row>
    <row r="5338" spans="1:7" ht="14.5" hidden="1">
      <c r="A5338" s="5"/>
      <c r="B5338" s="18"/>
      <c r="C5338" s="85"/>
      <c r="D5338" s="41"/>
      <c r="E5338" s="26" t="str">
        <f ca="1">IFERROR(__xludf.DUMMYFUNCTION("""COMPUTED_VALUE"""),"")</f>
        <v/>
      </c>
      <c r="F5338" s="72"/>
      <c r="G5338" s="72"/>
    </row>
    <row r="5339" spans="1:7" ht="14.5" hidden="1">
      <c r="A5339" s="5"/>
      <c r="B5339" s="18"/>
      <c r="C5339" s="85"/>
      <c r="D5339" s="41"/>
      <c r="E5339" s="26" t="str">
        <f ca="1">IFERROR(__xludf.DUMMYFUNCTION("""COMPUTED_VALUE"""),"")</f>
        <v/>
      </c>
      <c r="F5339" s="72"/>
      <c r="G5339" s="72"/>
    </row>
    <row r="5340" spans="1:7" ht="14.5" hidden="1">
      <c r="A5340" s="5"/>
      <c r="B5340" s="18"/>
      <c r="C5340" s="85"/>
      <c r="D5340" s="41"/>
      <c r="E5340" s="26" t="str">
        <f ca="1">IFERROR(__xludf.DUMMYFUNCTION("""COMPUTED_VALUE"""),"")</f>
        <v/>
      </c>
      <c r="F5340" s="72"/>
      <c r="G5340" s="72"/>
    </row>
    <row r="5341" spans="1:7" ht="14.5" hidden="1">
      <c r="A5341" s="5"/>
      <c r="B5341" s="18"/>
      <c r="C5341" s="85"/>
      <c r="D5341" s="41"/>
      <c r="E5341" s="26" t="str">
        <f ca="1">IFERROR(__xludf.DUMMYFUNCTION("""COMPUTED_VALUE"""),"")</f>
        <v/>
      </c>
      <c r="F5341" s="72"/>
      <c r="G5341" s="72"/>
    </row>
    <row r="5342" spans="1:7" ht="14.5" hidden="1">
      <c r="A5342" s="5"/>
      <c r="B5342" s="18"/>
      <c r="C5342" s="85"/>
      <c r="D5342" s="41"/>
      <c r="E5342" s="26" t="str">
        <f ca="1">IFERROR(__xludf.DUMMYFUNCTION("""COMPUTED_VALUE"""),"")</f>
        <v/>
      </c>
      <c r="F5342" s="72"/>
      <c r="G5342" s="72"/>
    </row>
    <row r="5343" spans="1:7" ht="14.5" hidden="1">
      <c r="A5343" s="5"/>
      <c r="B5343" s="18"/>
      <c r="C5343" s="85"/>
      <c r="D5343" s="41"/>
      <c r="E5343" s="26" t="str">
        <f ca="1">IFERROR(__xludf.DUMMYFUNCTION("""COMPUTED_VALUE"""),"")</f>
        <v/>
      </c>
      <c r="F5343" s="72"/>
      <c r="G5343" s="72"/>
    </row>
    <row r="5344" spans="1:7" ht="14.5" hidden="1">
      <c r="A5344" s="5"/>
      <c r="B5344" s="18"/>
      <c r="C5344" s="85"/>
      <c r="D5344" s="41"/>
      <c r="E5344" s="26" t="str">
        <f ca="1">IFERROR(__xludf.DUMMYFUNCTION("""COMPUTED_VALUE"""),"")</f>
        <v/>
      </c>
      <c r="F5344" s="72"/>
      <c r="G5344" s="72"/>
    </row>
    <row r="5345" spans="1:7" ht="14.5" hidden="1">
      <c r="A5345" s="5"/>
      <c r="B5345" s="18"/>
      <c r="C5345" s="85"/>
      <c r="D5345" s="41"/>
      <c r="E5345" s="26" t="str">
        <f ca="1">IFERROR(__xludf.DUMMYFUNCTION("""COMPUTED_VALUE"""),"")</f>
        <v/>
      </c>
      <c r="F5345" s="72"/>
      <c r="G5345" s="72"/>
    </row>
    <row r="5346" spans="1:7" ht="14.5" hidden="1">
      <c r="A5346" s="5"/>
      <c r="B5346" s="18"/>
      <c r="C5346" s="85"/>
      <c r="D5346" s="41"/>
      <c r="E5346" s="26" t="str">
        <f ca="1">IFERROR(__xludf.DUMMYFUNCTION("""COMPUTED_VALUE"""),"")</f>
        <v/>
      </c>
      <c r="F5346" s="72"/>
      <c r="G5346" s="72"/>
    </row>
    <row r="5347" spans="1:7" ht="14.5" hidden="1">
      <c r="A5347" s="5"/>
      <c r="B5347" s="18"/>
      <c r="C5347" s="85"/>
      <c r="D5347" s="41"/>
      <c r="E5347" s="26" t="str">
        <f ca="1">IFERROR(__xludf.DUMMYFUNCTION("""COMPUTED_VALUE"""),"")</f>
        <v/>
      </c>
      <c r="F5347" s="72"/>
      <c r="G5347" s="72"/>
    </row>
    <row r="5348" spans="1:7" ht="14.5" hidden="1">
      <c r="A5348" s="5"/>
      <c r="B5348" s="18"/>
      <c r="C5348" s="85"/>
      <c r="D5348" s="41"/>
      <c r="E5348" s="26" t="str">
        <f ca="1">IFERROR(__xludf.DUMMYFUNCTION("""COMPUTED_VALUE"""),"")</f>
        <v/>
      </c>
      <c r="F5348" s="72"/>
      <c r="G5348" s="72"/>
    </row>
    <row r="5349" spans="1:7" ht="14.5" hidden="1">
      <c r="A5349" s="5"/>
      <c r="B5349" s="18"/>
      <c r="C5349" s="85"/>
      <c r="D5349" s="41"/>
      <c r="E5349" s="26" t="str">
        <f ca="1">IFERROR(__xludf.DUMMYFUNCTION("""COMPUTED_VALUE"""),"")</f>
        <v/>
      </c>
      <c r="F5349" s="72"/>
      <c r="G5349" s="72"/>
    </row>
    <row r="5350" spans="1:7" ht="14.5" hidden="1">
      <c r="A5350" s="5"/>
      <c r="B5350" s="18"/>
      <c r="C5350" s="85"/>
      <c r="D5350" s="41"/>
      <c r="E5350" s="26" t="str">
        <f ca="1">IFERROR(__xludf.DUMMYFUNCTION("""COMPUTED_VALUE"""),"")</f>
        <v/>
      </c>
      <c r="F5350" s="72"/>
      <c r="G5350" s="72"/>
    </row>
    <row r="5351" spans="1:7" ht="14.5" hidden="1">
      <c r="A5351" s="5"/>
      <c r="B5351" s="18"/>
      <c r="C5351" s="85"/>
      <c r="D5351" s="41"/>
      <c r="E5351" s="26" t="str">
        <f ca="1">IFERROR(__xludf.DUMMYFUNCTION("""COMPUTED_VALUE"""),"")</f>
        <v/>
      </c>
      <c r="F5351" s="72"/>
      <c r="G5351" s="72"/>
    </row>
    <row r="5352" spans="1:7" ht="14.5" hidden="1">
      <c r="A5352" s="5"/>
      <c r="B5352" s="18"/>
      <c r="C5352" s="85"/>
      <c r="D5352" s="41"/>
      <c r="E5352" s="26" t="str">
        <f ca="1">IFERROR(__xludf.DUMMYFUNCTION("""COMPUTED_VALUE"""),"")</f>
        <v/>
      </c>
      <c r="F5352" s="72"/>
      <c r="G5352" s="72"/>
    </row>
    <row r="5353" spans="1:7" ht="14.5" hidden="1">
      <c r="A5353" s="5"/>
      <c r="B5353" s="18"/>
      <c r="C5353" s="85"/>
      <c r="D5353" s="41"/>
      <c r="E5353" s="26" t="str">
        <f ca="1">IFERROR(__xludf.DUMMYFUNCTION("""COMPUTED_VALUE"""),"")</f>
        <v/>
      </c>
      <c r="F5353" s="72"/>
      <c r="G5353" s="72"/>
    </row>
    <row r="5354" spans="1:7" ht="14.5" hidden="1">
      <c r="A5354" s="5"/>
      <c r="B5354" s="18"/>
      <c r="C5354" s="85"/>
      <c r="D5354" s="41"/>
      <c r="E5354" s="26" t="str">
        <f ca="1">IFERROR(__xludf.DUMMYFUNCTION("""COMPUTED_VALUE"""),"")</f>
        <v/>
      </c>
      <c r="F5354" s="72"/>
      <c r="G5354" s="72"/>
    </row>
    <row r="5355" spans="1:7" ht="14.5" hidden="1">
      <c r="A5355" s="5"/>
      <c r="B5355" s="18"/>
      <c r="C5355" s="85"/>
      <c r="D5355" s="41"/>
      <c r="E5355" s="26" t="str">
        <f ca="1">IFERROR(__xludf.DUMMYFUNCTION("""COMPUTED_VALUE"""),"")</f>
        <v/>
      </c>
      <c r="F5355" s="72"/>
      <c r="G5355" s="72"/>
    </row>
    <row r="5356" spans="1:7" ht="14.5" hidden="1">
      <c r="A5356" s="5"/>
      <c r="B5356" s="18"/>
      <c r="C5356" s="85"/>
      <c r="D5356" s="41"/>
      <c r="E5356" s="26" t="str">
        <f ca="1">IFERROR(__xludf.DUMMYFUNCTION("""COMPUTED_VALUE"""),"")</f>
        <v/>
      </c>
      <c r="F5356" s="72"/>
      <c r="G5356" s="72"/>
    </row>
    <row r="5357" spans="1:7" ht="14.5" hidden="1">
      <c r="A5357" s="5"/>
      <c r="B5357" s="18"/>
      <c r="C5357" s="85"/>
      <c r="D5357" s="41"/>
      <c r="E5357" s="26" t="str">
        <f ca="1">IFERROR(__xludf.DUMMYFUNCTION("""COMPUTED_VALUE"""),"")</f>
        <v/>
      </c>
      <c r="F5357" s="72"/>
      <c r="G5357" s="72"/>
    </row>
    <row r="5358" spans="1:7" ht="14.5" hidden="1">
      <c r="A5358" s="5"/>
      <c r="B5358" s="18"/>
      <c r="C5358" s="85"/>
      <c r="D5358" s="41"/>
      <c r="E5358" s="26" t="str">
        <f ca="1">IFERROR(__xludf.DUMMYFUNCTION("""COMPUTED_VALUE"""),"")</f>
        <v/>
      </c>
      <c r="F5358" s="72"/>
      <c r="G5358" s="72"/>
    </row>
    <row r="5359" spans="1:7" ht="14.5" hidden="1">
      <c r="A5359" s="5"/>
      <c r="B5359" s="18"/>
      <c r="C5359" s="85"/>
      <c r="D5359" s="41"/>
      <c r="E5359" s="26" t="str">
        <f ca="1">IFERROR(__xludf.DUMMYFUNCTION("""COMPUTED_VALUE"""),"")</f>
        <v/>
      </c>
      <c r="F5359" s="72"/>
      <c r="G5359" s="72"/>
    </row>
    <row r="5360" spans="1:7" ht="14.5" hidden="1">
      <c r="A5360" s="5"/>
      <c r="B5360" s="18"/>
      <c r="C5360" s="85"/>
      <c r="D5360" s="41"/>
      <c r="E5360" s="26" t="str">
        <f ca="1">IFERROR(__xludf.DUMMYFUNCTION("""COMPUTED_VALUE"""),"")</f>
        <v/>
      </c>
      <c r="F5360" s="72"/>
      <c r="G5360" s="72"/>
    </row>
    <row r="5361" spans="1:7" ht="14.5" hidden="1">
      <c r="A5361" s="5"/>
      <c r="B5361" s="18"/>
      <c r="C5361" s="85"/>
      <c r="D5361" s="41"/>
      <c r="E5361" s="26" t="str">
        <f ca="1">IFERROR(__xludf.DUMMYFUNCTION("""COMPUTED_VALUE"""),"")</f>
        <v/>
      </c>
      <c r="F5361" s="72"/>
      <c r="G5361" s="72"/>
    </row>
    <row r="5362" spans="1:7" ht="14.5" hidden="1">
      <c r="A5362" s="5"/>
      <c r="B5362" s="18"/>
      <c r="C5362" s="85"/>
      <c r="D5362" s="41"/>
      <c r="E5362" s="26" t="str">
        <f ca="1">IFERROR(__xludf.DUMMYFUNCTION("""COMPUTED_VALUE"""),"")</f>
        <v/>
      </c>
      <c r="F5362" s="72"/>
      <c r="G5362" s="72"/>
    </row>
    <row r="5363" spans="1:7" ht="14.5" hidden="1">
      <c r="A5363" s="5"/>
      <c r="B5363" s="18"/>
      <c r="C5363" s="85"/>
      <c r="D5363" s="41"/>
      <c r="E5363" s="26" t="str">
        <f ca="1">IFERROR(__xludf.DUMMYFUNCTION("""COMPUTED_VALUE"""),"")</f>
        <v/>
      </c>
      <c r="F5363" s="72"/>
      <c r="G5363" s="72"/>
    </row>
    <row r="5364" spans="1:7" ht="14.5" hidden="1">
      <c r="A5364" s="5"/>
      <c r="B5364" s="18"/>
      <c r="C5364" s="85"/>
      <c r="D5364" s="41"/>
      <c r="E5364" s="26" t="str">
        <f ca="1">IFERROR(__xludf.DUMMYFUNCTION("""COMPUTED_VALUE"""),"")</f>
        <v/>
      </c>
      <c r="F5364" s="72"/>
      <c r="G5364" s="72"/>
    </row>
    <row r="5365" spans="1:7" ht="14.5" hidden="1">
      <c r="A5365" s="5"/>
      <c r="B5365" s="18"/>
      <c r="C5365" s="85"/>
      <c r="D5365" s="41"/>
      <c r="E5365" s="26" t="str">
        <f ca="1">IFERROR(__xludf.DUMMYFUNCTION("""COMPUTED_VALUE"""),"")</f>
        <v/>
      </c>
      <c r="F5365" s="72"/>
      <c r="G5365" s="72"/>
    </row>
    <row r="5366" spans="1:7" ht="14.5" hidden="1">
      <c r="A5366" s="5"/>
      <c r="B5366" s="18"/>
      <c r="C5366" s="85"/>
      <c r="D5366" s="41"/>
      <c r="E5366" s="26" t="str">
        <f ca="1">IFERROR(__xludf.DUMMYFUNCTION("""COMPUTED_VALUE"""),"")</f>
        <v/>
      </c>
      <c r="F5366" s="72"/>
      <c r="G5366" s="72"/>
    </row>
    <row r="5367" spans="1:7" ht="14.5" hidden="1">
      <c r="A5367" s="5"/>
      <c r="B5367" s="18"/>
      <c r="C5367" s="85"/>
      <c r="D5367" s="41"/>
      <c r="E5367" s="26" t="str">
        <f ca="1">IFERROR(__xludf.DUMMYFUNCTION("""COMPUTED_VALUE"""),"")</f>
        <v/>
      </c>
      <c r="F5367" s="72"/>
      <c r="G5367" s="72"/>
    </row>
    <row r="5368" spans="1:7" ht="14.5" hidden="1">
      <c r="A5368" s="5"/>
      <c r="B5368" s="18"/>
      <c r="C5368" s="85"/>
      <c r="D5368" s="41"/>
      <c r="E5368" s="26" t="str">
        <f ca="1">IFERROR(__xludf.DUMMYFUNCTION("""COMPUTED_VALUE"""),"")</f>
        <v/>
      </c>
      <c r="F5368" s="72"/>
      <c r="G5368" s="72"/>
    </row>
    <row r="5369" spans="1:7" ht="14.5" hidden="1">
      <c r="A5369" s="5"/>
      <c r="B5369" s="18"/>
      <c r="C5369" s="85"/>
      <c r="D5369" s="41"/>
      <c r="E5369" s="26" t="str">
        <f ca="1">IFERROR(__xludf.DUMMYFUNCTION("""COMPUTED_VALUE"""),"")</f>
        <v/>
      </c>
      <c r="F5369" s="72"/>
      <c r="G5369" s="72"/>
    </row>
    <row r="5370" spans="1:7" ht="14.5" hidden="1">
      <c r="A5370" s="5"/>
      <c r="B5370" s="18"/>
      <c r="C5370" s="85"/>
      <c r="D5370" s="41"/>
      <c r="E5370" s="26" t="str">
        <f ca="1">IFERROR(__xludf.DUMMYFUNCTION("""COMPUTED_VALUE"""),"")</f>
        <v/>
      </c>
      <c r="F5370" s="72"/>
      <c r="G5370" s="72"/>
    </row>
    <row r="5371" spans="1:7" ht="14.5" hidden="1">
      <c r="A5371" s="5"/>
      <c r="B5371" s="18"/>
      <c r="C5371" s="85"/>
      <c r="D5371" s="41"/>
      <c r="E5371" s="26" t="str">
        <f ca="1">IFERROR(__xludf.DUMMYFUNCTION("""COMPUTED_VALUE"""),"")</f>
        <v/>
      </c>
      <c r="F5371" s="72"/>
      <c r="G5371" s="72"/>
    </row>
    <row r="5372" spans="1:7" ht="14.5" hidden="1">
      <c r="A5372" s="5"/>
      <c r="B5372" s="18"/>
      <c r="C5372" s="85"/>
      <c r="D5372" s="41"/>
      <c r="E5372" s="26" t="str">
        <f ca="1">IFERROR(__xludf.DUMMYFUNCTION("""COMPUTED_VALUE"""),"")</f>
        <v/>
      </c>
      <c r="F5372" s="72"/>
      <c r="G5372" s="72"/>
    </row>
    <row r="5373" spans="1:7" ht="14.5" hidden="1">
      <c r="A5373" s="5"/>
      <c r="B5373" s="18"/>
      <c r="C5373" s="85"/>
      <c r="D5373" s="41"/>
      <c r="E5373" s="26" t="str">
        <f ca="1">IFERROR(__xludf.DUMMYFUNCTION("""COMPUTED_VALUE"""),"")</f>
        <v/>
      </c>
      <c r="F5373" s="72"/>
      <c r="G5373" s="72"/>
    </row>
    <row r="5374" spans="1:7" ht="14.5" hidden="1">
      <c r="A5374" s="5"/>
      <c r="B5374" s="18"/>
      <c r="C5374" s="85"/>
      <c r="D5374" s="41"/>
      <c r="E5374" s="26" t="str">
        <f ca="1">IFERROR(__xludf.DUMMYFUNCTION("""COMPUTED_VALUE"""),"")</f>
        <v/>
      </c>
      <c r="F5374" s="72"/>
      <c r="G5374" s="72"/>
    </row>
    <row r="5375" spans="1:7" ht="14.5" hidden="1">
      <c r="A5375" s="5"/>
      <c r="B5375" s="18"/>
      <c r="C5375" s="85"/>
      <c r="D5375" s="41"/>
      <c r="E5375" s="26" t="str">
        <f ca="1">IFERROR(__xludf.DUMMYFUNCTION("""COMPUTED_VALUE"""),"")</f>
        <v/>
      </c>
      <c r="F5375" s="72"/>
      <c r="G5375" s="72"/>
    </row>
    <row r="5376" spans="1:7" ht="14.5" hidden="1">
      <c r="A5376" s="5"/>
      <c r="B5376" s="18"/>
      <c r="C5376" s="85"/>
      <c r="D5376" s="41"/>
      <c r="E5376" s="26" t="str">
        <f ca="1">IFERROR(__xludf.DUMMYFUNCTION("""COMPUTED_VALUE"""),"")</f>
        <v/>
      </c>
      <c r="F5376" s="72"/>
      <c r="G5376" s="72"/>
    </row>
    <row r="5377" spans="1:7" ht="14.5" hidden="1">
      <c r="A5377" s="5"/>
      <c r="B5377" s="18"/>
      <c r="C5377" s="85"/>
      <c r="D5377" s="41"/>
      <c r="E5377" s="26" t="str">
        <f ca="1">IFERROR(__xludf.DUMMYFUNCTION("""COMPUTED_VALUE"""),"")</f>
        <v/>
      </c>
      <c r="F5377" s="72"/>
      <c r="G5377" s="72"/>
    </row>
    <row r="5378" spans="1:7" ht="14.5" hidden="1">
      <c r="A5378" s="5"/>
      <c r="B5378" s="18"/>
      <c r="C5378" s="85"/>
      <c r="D5378" s="41"/>
      <c r="E5378" s="26" t="str">
        <f ca="1">IFERROR(__xludf.DUMMYFUNCTION("""COMPUTED_VALUE"""),"")</f>
        <v/>
      </c>
      <c r="F5378" s="72"/>
      <c r="G5378" s="72"/>
    </row>
    <row r="5379" spans="1:7" ht="14.5" hidden="1">
      <c r="A5379" s="5"/>
      <c r="B5379" s="18"/>
      <c r="C5379" s="85"/>
      <c r="D5379" s="41"/>
      <c r="E5379" s="26" t="str">
        <f ca="1">IFERROR(__xludf.DUMMYFUNCTION("""COMPUTED_VALUE"""),"")</f>
        <v/>
      </c>
      <c r="F5379" s="72"/>
      <c r="G5379" s="72"/>
    </row>
    <row r="5380" spans="1:7" ht="14.5" hidden="1">
      <c r="A5380" s="5"/>
      <c r="B5380" s="18"/>
      <c r="C5380" s="85"/>
      <c r="D5380" s="41"/>
      <c r="E5380" s="26" t="str">
        <f ca="1">IFERROR(__xludf.DUMMYFUNCTION("""COMPUTED_VALUE"""),"")</f>
        <v/>
      </c>
      <c r="F5380" s="72"/>
      <c r="G5380" s="72"/>
    </row>
    <row r="5381" spans="1:7" ht="14.5" hidden="1">
      <c r="A5381" s="5"/>
      <c r="B5381" s="18"/>
      <c r="C5381" s="85"/>
      <c r="D5381" s="41"/>
      <c r="E5381" s="26" t="str">
        <f ca="1">IFERROR(__xludf.DUMMYFUNCTION("""COMPUTED_VALUE"""),"")</f>
        <v/>
      </c>
      <c r="F5381" s="72"/>
      <c r="G5381" s="72"/>
    </row>
    <row r="5382" spans="1:7" ht="14.5" hidden="1">
      <c r="A5382" s="5"/>
      <c r="B5382" s="18"/>
      <c r="C5382" s="85"/>
      <c r="D5382" s="41"/>
      <c r="E5382" s="26" t="str">
        <f ca="1">IFERROR(__xludf.DUMMYFUNCTION("""COMPUTED_VALUE"""),"")</f>
        <v/>
      </c>
      <c r="F5382" s="72"/>
      <c r="G5382" s="72"/>
    </row>
    <row r="5383" spans="1:7" ht="14.5" hidden="1">
      <c r="A5383" s="5"/>
      <c r="B5383" s="18"/>
      <c r="C5383" s="85"/>
      <c r="D5383" s="41"/>
      <c r="E5383" s="26" t="str">
        <f ca="1">IFERROR(__xludf.DUMMYFUNCTION("""COMPUTED_VALUE"""),"")</f>
        <v/>
      </c>
      <c r="F5383" s="72"/>
      <c r="G5383" s="72"/>
    </row>
    <row r="5384" spans="1:7" ht="14.5" hidden="1">
      <c r="A5384" s="5"/>
      <c r="B5384" s="18"/>
      <c r="C5384" s="85"/>
      <c r="D5384" s="41"/>
      <c r="E5384" s="26" t="str">
        <f ca="1">IFERROR(__xludf.DUMMYFUNCTION("""COMPUTED_VALUE"""),"")</f>
        <v/>
      </c>
      <c r="F5384" s="72"/>
      <c r="G5384" s="72"/>
    </row>
    <row r="5385" spans="1:7" ht="14.5" hidden="1">
      <c r="A5385" s="5"/>
      <c r="B5385" s="18"/>
      <c r="C5385" s="85"/>
      <c r="D5385" s="41"/>
      <c r="E5385" s="26" t="str">
        <f ca="1">IFERROR(__xludf.DUMMYFUNCTION("""COMPUTED_VALUE"""),"")</f>
        <v/>
      </c>
      <c r="F5385" s="72"/>
      <c r="G5385" s="72"/>
    </row>
    <row r="5386" spans="1:7" ht="14.5" hidden="1">
      <c r="A5386" s="5"/>
      <c r="B5386" s="18"/>
      <c r="C5386" s="85"/>
      <c r="D5386" s="41"/>
      <c r="E5386" s="26" t="str">
        <f ca="1">IFERROR(__xludf.DUMMYFUNCTION("""COMPUTED_VALUE"""),"")</f>
        <v/>
      </c>
      <c r="F5386" s="72"/>
      <c r="G5386" s="72"/>
    </row>
    <row r="5387" spans="1:7" ht="14.5" hidden="1">
      <c r="A5387" s="5"/>
      <c r="B5387" s="18"/>
      <c r="C5387" s="85"/>
      <c r="D5387" s="41"/>
      <c r="E5387" s="26" t="str">
        <f ca="1">IFERROR(__xludf.DUMMYFUNCTION("""COMPUTED_VALUE"""),"")</f>
        <v/>
      </c>
      <c r="F5387" s="72"/>
      <c r="G5387" s="72"/>
    </row>
    <row r="5388" spans="1:7" ht="14.5" hidden="1">
      <c r="A5388" s="5"/>
      <c r="B5388" s="18"/>
      <c r="C5388" s="85"/>
      <c r="D5388" s="41"/>
      <c r="E5388" s="26" t="str">
        <f ca="1">IFERROR(__xludf.DUMMYFUNCTION("""COMPUTED_VALUE"""),"")</f>
        <v/>
      </c>
      <c r="F5388" s="72"/>
      <c r="G5388" s="72"/>
    </row>
    <row r="5389" spans="1:7" ht="14.5" hidden="1">
      <c r="A5389" s="5"/>
      <c r="B5389" s="18"/>
      <c r="C5389" s="85"/>
      <c r="D5389" s="41"/>
      <c r="E5389" s="26" t="str">
        <f ca="1">IFERROR(__xludf.DUMMYFUNCTION("""COMPUTED_VALUE"""),"")</f>
        <v/>
      </c>
      <c r="F5389" s="72"/>
      <c r="G5389" s="72"/>
    </row>
    <row r="5390" spans="1:7" ht="14.5" hidden="1">
      <c r="A5390" s="5"/>
      <c r="B5390" s="18"/>
      <c r="C5390" s="85"/>
      <c r="D5390" s="41"/>
      <c r="E5390" s="26" t="str">
        <f ca="1">IFERROR(__xludf.DUMMYFUNCTION("""COMPUTED_VALUE"""),"")</f>
        <v/>
      </c>
      <c r="F5390" s="72"/>
      <c r="G5390" s="72"/>
    </row>
    <row r="5391" spans="1:7" ht="14.5" hidden="1">
      <c r="A5391" s="5"/>
      <c r="B5391" s="18"/>
      <c r="C5391" s="85"/>
      <c r="D5391" s="41"/>
      <c r="E5391" s="26" t="str">
        <f ca="1">IFERROR(__xludf.DUMMYFUNCTION("""COMPUTED_VALUE"""),"")</f>
        <v/>
      </c>
      <c r="F5391" s="72"/>
      <c r="G5391" s="72"/>
    </row>
    <row r="5392" spans="1:7" ht="14.5" hidden="1">
      <c r="A5392" s="5"/>
      <c r="B5392" s="18"/>
      <c r="C5392" s="85"/>
      <c r="D5392" s="41"/>
      <c r="E5392" s="26" t="str">
        <f ca="1">IFERROR(__xludf.DUMMYFUNCTION("""COMPUTED_VALUE"""),"")</f>
        <v/>
      </c>
      <c r="F5392" s="72"/>
      <c r="G5392" s="72"/>
    </row>
    <row r="5393" spans="1:7" ht="14.5" hidden="1">
      <c r="A5393" s="5"/>
      <c r="B5393" s="18"/>
      <c r="C5393" s="85"/>
      <c r="D5393" s="41"/>
      <c r="E5393" s="26" t="str">
        <f ca="1">IFERROR(__xludf.DUMMYFUNCTION("""COMPUTED_VALUE"""),"")</f>
        <v/>
      </c>
      <c r="F5393" s="72"/>
      <c r="G5393" s="72"/>
    </row>
    <row r="5394" spans="1:7" ht="14.5" hidden="1">
      <c r="A5394" s="5"/>
      <c r="B5394" s="18"/>
      <c r="C5394" s="85"/>
      <c r="D5394" s="41"/>
      <c r="E5394" s="26" t="str">
        <f ca="1">IFERROR(__xludf.DUMMYFUNCTION("""COMPUTED_VALUE"""),"")</f>
        <v/>
      </c>
      <c r="F5394" s="72"/>
      <c r="G5394" s="72"/>
    </row>
    <row r="5395" spans="1:7" ht="14.5" hidden="1">
      <c r="A5395" s="5"/>
      <c r="B5395" s="18"/>
      <c r="C5395" s="85"/>
      <c r="D5395" s="41"/>
      <c r="E5395" s="26" t="str">
        <f ca="1">IFERROR(__xludf.DUMMYFUNCTION("""COMPUTED_VALUE"""),"")</f>
        <v/>
      </c>
      <c r="F5395" s="72"/>
      <c r="G5395" s="72"/>
    </row>
    <row r="5396" spans="1:7" ht="14.5" hidden="1">
      <c r="A5396" s="5"/>
      <c r="B5396" s="18"/>
      <c r="C5396" s="85"/>
      <c r="D5396" s="41"/>
      <c r="E5396" s="26" t="str">
        <f ca="1">IFERROR(__xludf.DUMMYFUNCTION("""COMPUTED_VALUE"""),"")</f>
        <v/>
      </c>
      <c r="F5396" s="72"/>
      <c r="G5396" s="72"/>
    </row>
    <row r="5397" spans="1:7" ht="14.5" hidden="1">
      <c r="A5397" s="5"/>
      <c r="B5397" s="18"/>
      <c r="C5397" s="85"/>
      <c r="D5397" s="41"/>
      <c r="E5397" s="26" t="str">
        <f ca="1">IFERROR(__xludf.DUMMYFUNCTION("""COMPUTED_VALUE"""),"")</f>
        <v/>
      </c>
      <c r="F5397" s="72"/>
      <c r="G5397" s="72"/>
    </row>
    <row r="5398" spans="1:7" ht="14.5" hidden="1">
      <c r="A5398" s="5"/>
      <c r="B5398" s="18"/>
      <c r="C5398" s="85"/>
      <c r="D5398" s="41"/>
      <c r="E5398" s="26" t="str">
        <f ca="1">IFERROR(__xludf.DUMMYFUNCTION("""COMPUTED_VALUE"""),"")</f>
        <v/>
      </c>
      <c r="F5398" s="72"/>
      <c r="G5398" s="72"/>
    </row>
    <row r="5399" spans="1:7" ht="14.5" hidden="1">
      <c r="A5399" s="5"/>
      <c r="B5399" s="18"/>
      <c r="C5399" s="85"/>
      <c r="D5399" s="41"/>
      <c r="E5399" s="26" t="str">
        <f ca="1">IFERROR(__xludf.DUMMYFUNCTION("""COMPUTED_VALUE"""),"")</f>
        <v/>
      </c>
      <c r="F5399" s="72"/>
      <c r="G5399" s="72"/>
    </row>
    <row r="5400" spans="1:7" ht="14.5" hidden="1">
      <c r="A5400" s="5"/>
      <c r="B5400" s="18"/>
      <c r="C5400" s="85"/>
      <c r="D5400" s="41"/>
      <c r="E5400" s="26" t="str">
        <f ca="1">IFERROR(__xludf.DUMMYFUNCTION("""COMPUTED_VALUE"""),"")</f>
        <v/>
      </c>
      <c r="F5400" s="72"/>
      <c r="G5400" s="72"/>
    </row>
    <row r="5401" spans="1:7" ht="14.5" hidden="1">
      <c r="A5401" s="5"/>
      <c r="B5401" s="18"/>
      <c r="C5401" s="85"/>
      <c r="D5401" s="41"/>
      <c r="E5401" s="26" t="str">
        <f ca="1">IFERROR(__xludf.DUMMYFUNCTION("""COMPUTED_VALUE"""),"")</f>
        <v/>
      </c>
      <c r="F5401" s="72"/>
      <c r="G5401" s="72"/>
    </row>
    <row r="5402" spans="1:7" ht="14.5" hidden="1">
      <c r="A5402" s="5"/>
      <c r="B5402" s="18"/>
      <c r="C5402" s="85"/>
      <c r="D5402" s="41"/>
      <c r="E5402" s="26" t="str">
        <f ca="1">IFERROR(__xludf.DUMMYFUNCTION("""COMPUTED_VALUE"""),"")</f>
        <v/>
      </c>
      <c r="F5402" s="72"/>
      <c r="G5402" s="72"/>
    </row>
    <row r="5403" spans="1:7" ht="14.5" hidden="1">
      <c r="A5403" s="5"/>
      <c r="B5403" s="18"/>
      <c r="C5403" s="85"/>
      <c r="D5403" s="41"/>
      <c r="E5403" s="26" t="str">
        <f ca="1">IFERROR(__xludf.DUMMYFUNCTION("""COMPUTED_VALUE"""),"")</f>
        <v/>
      </c>
      <c r="F5403" s="72"/>
      <c r="G5403" s="72"/>
    </row>
    <row r="5404" spans="1:7" ht="14.5" hidden="1">
      <c r="A5404" s="5"/>
      <c r="B5404" s="18"/>
      <c r="C5404" s="85"/>
      <c r="D5404" s="41"/>
      <c r="E5404" s="26" t="str">
        <f ca="1">IFERROR(__xludf.DUMMYFUNCTION("""COMPUTED_VALUE"""),"")</f>
        <v/>
      </c>
      <c r="F5404" s="72"/>
      <c r="G5404" s="72"/>
    </row>
    <row r="5405" spans="1:7" ht="14.5" hidden="1">
      <c r="A5405" s="5"/>
      <c r="B5405" s="18"/>
      <c r="C5405" s="85"/>
      <c r="D5405" s="41"/>
      <c r="E5405" s="26" t="str">
        <f ca="1">IFERROR(__xludf.DUMMYFUNCTION("""COMPUTED_VALUE"""),"")</f>
        <v/>
      </c>
      <c r="F5405" s="72"/>
      <c r="G5405" s="72"/>
    </row>
    <row r="5406" spans="1:7" ht="14.5" hidden="1">
      <c r="A5406" s="5"/>
      <c r="B5406" s="18"/>
      <c r="C5406" s="85"/>
      <c r="D5406" s="41"/>
      <c r="E5406" s="26" t="str">
        <f ca="1">IFERROR(__xludf.DUMMYFUNCTION("""COMPUTED_VALUE"""),"")</f>
        <v/>
      </c>
      <c r="F5406" s="72"/>
      <c r="G5406" s="72"/>
    </row>
    <row r="5407" spans="1:7" ht="14.5" hidden="1">
      <c r="A5407" s="5"/>
      <c r="B5407" s="18"/>
      <c r="C5407" s="85"/>
      <c r="D5407" s="41"/>
      <c r="E5407" s="26" t="str">
        <f ca="1">IFERROR(__xludf.DUMMYFUNCTION("""COMPUTED_VALUE"""),"")</f>
        <v/>
      </c>
      <c r="F5407" s="72"/>
      <c r="G5407" s="72"/>
    </row>
    <row r="5408" spans="1:7" ht="14.5" hidden="1">
      <c r="A5408" s="5"/>
      <c r="B5408" s="18"/>
      <c r="C5408" s="85"/>
      <c r="D5408" s="41"/>
      <c r="E5408" s="26" t="str">
        <f ca="1">IFERROR(__xludf.DUMMYFUNCTION("""COMPUTED_VALUE"""),"")</f>
        <v/>
      </c>
      <c r="F5408" s="72"/>
      <c r="G5408" s="72"/>
    </row>
    <row r="5409" spans="1:7" ht="14.5" hidden="1">
      <c r="A5409" s="5"/>
      <c r="B5409" s="18"/>
      <c r="C5409" s="85"/>
      <c r="D5409" s="41"/>
      <c r="E5409" s="26" t="str">
        <f ca="1">IFERROR(__xludf.DUMMYFUNCTION("""COMPUTED_VALUE"""),"")</f>
        <v/>
      </c>
      <c r="F5409" s="72"/>
      <c r="G5409" s="72"/>
    </row>
    <row r="5410" spans="1:7" ht="14.5" hidden="1">
      <c r="A5410" s="5"/>
      <c r="B5410" s="18"/>
      <c r="C5410" s="85"/>
      <c r="D5410" s="41"/>
      <c r="E5410" s="26" t="str">
        <f ca="1">IFERROR(__xludf.DUMMYFUNCTION("""COMPUTED_VALUE"""),"")</f>
        <v/>
      </c>
      <c r="F5410" s="72"/>
      <c r="G5410" s="72"/>
    </row>
    <row r="5411" spans="1:7" ht="14.5" hidden="1">
      <c r="A5411" s="5"/>
      <c r="B5411" s="18"/>
      <c r="C5411" s="85"/>
      <c r="D5411" s="41"/>
      <c r="E5411" s="26" t="str">
        <f ca="1">IFERROR(__xludf.DUMMYFUNCTION("""COMPUTED_VALUE"""),"")</f>
        <v/>
      </c>
      <c r="F5411" s="72"/>
      <c r="G5411" s="72"/>
    </row>
    <row r="5412" spans="1:7" ht="14.5" hidden="1">
      <c r="A5412" s="5"/>
      <c r="B5412" s="18"/>
      <c r="C5412" s="85"/>
      <c r="D5412" s="41"/>
      <c r="E5412" s="26" t="str">
        <f ca="1">IFERROR(__xludf.DUMMYFUNCTION("""COMPUTED_VALUE"""),"")</f>
        <v/>
      </c>
      <c r="F5412" s="72"/>
      <c r="G5412" s="72"/>
    </row>
    <row r="5413" spans="1:7" ht="14.5" hidden="1">
      <c r="A5413" s="5"/>
      <c r="B5413" s="18"/>
      <c r="C5413" s="85"/>
      <c r="D5413" s="41"/>
      <c r="E5413" s="26" t="str">
        <f ca="1">IFERROR(__xludf.DUMMYFUNCTION("""COMPUTED_VALUE"""),"")</f>
        <v/>
      </c>
      <c r="F5413" s="72"/>
      <c r="G5413" s="72"/>
    </row>
    <row r="5414" spans="1:7" ht="14.5" hidden="1">
      <c r="A5414" s="5"/>
      <c r="B5414" s="18"/>
      <c r="C5414" s="85"/>
      <c r="D5414" s="41"/>
      <c r="E5414" s="26" t="str">
        <f ca="1">IFERROR(__xludf.DUMMYFUNCTION("""COMPUTED_VALUE"""),"")</f>
        <v/>
      </c>
      <c r="F5414" s="72"/>
      <c r="G5414" s="72"/>
    </row>
    <row r="5415" spans="1:7" ht="14.5" hidden="1">
      <c r="A5415" s="5"/>
      <c r="B5415" s="18"/>
      <c r="C5415" s="85"/>
      <c r="D5415" s="41"/>
      <c r="E5415" s="26" t="str">
        <f ca="1">IFERROR(__xludf.DUMMYFUNCTION("""COMPUTED_VALUE"""),"")</f>
        <v/>
      </c>
      <c r="F5415" s="72"/>
      <c r="G5415" s="72"/>
    </row>
    <row r="5416" spans="1:7" ht="14.5" hidden="1">
      <c r="A5416" s="5"/>
      <c r="B5416" s="18"/>
      <c r="C5416" s="85"/>
      <c r="D5416" s="41"/>
      <c r="E5416" s="26" t="str">
        <f ca="1">IFERROR(__xludf.DUMMYFUNCTION("""COMPUTED_VALUE"""),"")</f>
        <v/>
      </c>
      <c r="F5416" s="72"/>
      <c r="G5416" s="72"/>
    </row>
    <row r="5417" spans="1:7" ht="14.5" hidden="1">
      <c r="A5417" s="5"/>
      <c r="B5417" s="18"/>
      <c r="C5417" s="85"/>
      <c r="D5417" s="41"/>
      <c r="E5417" s="26" t="str">
        <f ca="1">IFERROR(__xludf.DUMMYFUNCTION("""COMPUTED_VALUE"""),"")</f>
        <v/>
      </c>
      <c r="F5417" s="72"/>
      <c r="G5417" s="72"/>
    </row>
    <row r="5418" spans="1:7" ht="14.5" hidden="1">
      <c r="A5418" s="5"/>
      <c r="B5418" s="18"/>
      <c r="C5418" s="85"/>
      <c r="D5418" s="41"/>
      <c r="E5418" s="26" t="str">
        <f ca="1">IFERROR(__xludf.DUMMYFUNCTION("""COMPUTED_VALUE"""),"")</f>
        <v/>
      </c>
      <c r="F5418" s="72"/>
      <c r="G5418" s="72"/>
    </row>
    <row r="5419" spans="1:7" ht="14.5" hidden="1">
      <c r="A5419" s="5"/>
      <c r="B5419" s="18"/>
      <c r="C5419" s="85"/>
      <c r="D5419" s="41"/>
      <c r="E5419" s="26" t="str">
        <f ca="1">IFERROR(__xludf.DUMMYFUNCTION("""COMPUTED_VALUE"""),"")</f>
        <v/>
      </c>
      <c r="F5419" s="72"/>
      <c r="G5419" s="72"/>
    </row>
    <row r="5420" spans="1:7" ht="14.5" hidden="1">
      <c r="A5420" s="5"/>
      <c r="B5420" s="18"/>
      <c r="C5420" s="85"/>
      <c r="D5420" s="41"/>
      <c r="E5420" s="26" t="str">
        <f ca="1">IFERROR(__xludf.DUMMYFUNCTION("""COMPUTED_VALUE"""),"")</f>
        <v/>
      </c>
      <c r="F5420" s="72"/>
      <c r="G5420" s="72"/>
    </row>
    <row r="5421" spans="1:7" ht="14.5" hidden="1">
      <c r="A5421" s="5"/>
      <c r="B5421" s="18"/>
      <c r="C5421" s="85"/>
      <c r="D5421" s="41"/>
      <c r="E5421" s="26" t="str">
        <f ca="1">IFERROR(__xludf.DUMMYFUNCTION("""COMPUTED_VALUE"""),"")</f>
        <v/>
      </c>
      <c r="F5421" s="72"/>
      <c r="G5421" s="72"/>
    </row>
    <row r="5422" spans="1:7" ht="14.5" hidden="1">
      <c r="A5422" s="5"/>
      <c r="B5422" s="18"/>
      <c r="C5422" s="85"/>
      <c r="D5422" s="41"/>
      <c r="E5422" s="26" t="str">
        <f ca="1">IFERROR(__xludf.DUMMYFUNCTION("""COMPUTED_VALUE"""),"")</f>
        <v/>
      </c>
      <c r="F5422" s="72"/>
      <c r="G5422" s="72"/>
    </row>
    <row r="5423" spans="1:7" ht="14.5" hidden="1">
      <c r="A5423" s="5"/>
      <c r="B5423" s="18"/>
      <c r="C5423" s="85"/>
      <c r="D5423" s="41"/>
      <c r="E5423" s="26" t="str">
        <f ca="1">IFERROR(__xludf.DUMMYFUNCTION("""COMPUTED_VALUE"""),"")</f>
        <v/>
      </c>
      <c r="F5423" s="72"/>
      <c r="G5423" s="72"/>
    </row>
    <row r="5424" spans="1:7" ht="14.5" hidden="1">
      <c r="A5424" s="5"/>
      <c r="B5424" s="18"/>
      <c r="C5424" s="85"/>
      <c r="D5424" s="41"/>
      <c r="E5424" s="26" t="str">
        <f ca="1">IFERROR(__xludf.DUMMYFUNCTION("""COMPUTED_VALUE"""),"")</f>
        <v/>
      </c>
      <c r="F5424" s="72"/>
      <c r="G5424" s="72"/>
    </row>
    <row r="5425" spans="1:7" ht="14.5" hidden="1">
      <c r="A5425" s="5"/>
      <c r="B5425" s="18"/>
      <c r="C5425" s="85"/>
      <c r="D5425" s="41"/>
      <c r="E5425" s="26" t="str">
        <f ca="1">IFERROR(__xludf.DUMMYFUNCTION("""COMPUTED_VALUE"""),"")</f>
        <v/>
      </c>
      <c r="F5425" s="72"/>
      <c r="G5425" s="72"/>
    </row>
    <row r="5426" spans="1:7" ht="14.5" hidden="1">
      <c r="A5426" s="5"/>
      <c r="B5426" s="18"/>
      <c r="C5426" s="85"/>
      <c r="D5426" s="41"/>
      <c r="E5426" s="26" t="str">
        <f ca="1">IFERROR(__xludf.DUMMYFUNCTION("""COMPUTED_VALUE"""),"")</f>
        <v/>
      </c>
      <c r="F5426" s="72"/>
      <c r="G5426" s="72"/>
    </row>
    <row r="5427" spans="1:7" ht="14.5" hidden="1">
      <c r="A5427" s="5"/>
      <c r="B5427" s="18"/>
      <c r="C5427" s="85"/>
      <c r="D5427" s="41"/>
      <c r="E5427" s="26" t="str">
        <f ca="1">IFERROR(__xludf.DUMMYFUNCTION("""COMPUTED_VALUE"""),"")</f>
        <v/>
      </c>
      <c r="F5427" s="72"/>
      <c r="G5427" s="72"/>
    </row>
    <row r="5428" spans="1:7" ht="14.5" hidden="1">
      <c r="A5428" s="5"/>
      <c r="B5428" s="18"/>
      <c r="C5428" s="85"/>
      <c r="D5428" s="41"/>
      <c r="E5428" s="26" t="str">
        <f ca="1">IFERROR(__xludf.DUMMYFUNCTION("""COMPUTED_VALUE"""),"")</f>
        <v/>
      </c>
      <c r="F5428" s="72"/>
      <c r="G5428" s="72"/>
    </row>
    <row r="5429" spans="1:7" ht="14.5" hidden="1">
      <c r="A5429" s="5"/>
      <c r="B5429" s="18"/>
      <c r="C5429" s="85"/>
      <c r="D5429" s="41"/>
      <c r="E5429" s="26" t="str">
        <f ca="1">IFERROR(__xludf.DUMMYFUNCTION("""COMPUTED_VALUE"""),"")</f>
        <v/>
      </c>
      <c r="F5429" s="72"/>
      <c r="G5429" s="72"/>
    </row>
    <row r="5430" spans="1:7" ht="14.5" hidden="1">
      <c r="A5430" s="5"/>
      <c r="B5430" s="18"/>
      <c r="C5430" s="85"/>
      <c r="D5430" s="41"/>
      <c r="E5430" s="26" t="str">
        <f ca="1">IFERROR(__xludf.DUMMYFUNCTION("""COMPUTED_VALUE"""),"")</f>
        <v/>
      </c>
      <c r="F5430" s="72"/>
      <c r="G5430" s="72"/>
    </row>
    <row r="5431" spans="1:7" ht="14.5" hidden="1">
      <c r="A5431" s="5"/>
      <c r="B5431" s="18"/>
      <c r="C5431" s="85"/>
      <c r="D5431" s="41"/>
      <c r="E5431" s="26" t="str">
        <f ca="1">IFERROR(__xludf.DUMMYFUNCTION("""COMPUTED_VALUE"""),"")</f>
        <v/>
      </c>
      <c r="F5431" s="72"/>
      <c r="G5431" s="72"/>
    </row>
    <row r="5432" spans="1:7" ht="14.5" hidden="1">
      <c r="A5432" s="5"/>
      <c r="B5432" s="18"/>
      <c r="C5432" s="85"/>
      <c r="D5432" s="41"/>
      <c r="E5432" s="26" t="str">
        <f ca="1">IFERROR(__xludf.DUMMYFUNCTION("""COMPUTED_VALUE"""),"")</f>
        <v/>
      </c>
      <c r="F5432" s="72"/>
      <c r="G5432" s="72"/>
    </row>
    <row r="5433" spans="1:7" ht="14.5" hidden="1">
      <c r="A5433" s="5"/>
      <c r="B5433" s="18"/>
      <c r="C5433" s="85"/>
      <c r="D5433" s="41"/>
      <c r="E5433" s="26" t="str">
        <f ca="1">IFERROR(__xludf.DUMMYFUNCTION("""COMPUTED_VALUE"""),"")</f>
        <v/>
      </c>
      <c r="F5433" s="72"/>
      <c r="G5433" s="72"/>
    </row>
    <row r="5434" spans="1:7" ht="14.5" hidden="1">
      <c r="A5434" s="5"/>
      <c r="B5434" s="18"/>
      <c r="C5434" s="85"/>
      <c r="D5434" s="41"/>
      <c r="E5434" s="26" t="str">
        <f ca="1">IFERROR(__xludf.DUMMYFUNCTION("""COMPUTED_VALUE"""),"")</f>
        <v/>
      </c>
      <c r="F5434" s="72"/>
      <c r="G5434" s="72"/>
    </row>
    <row r="5435" spans="1:7" ht="14.5" hidden="1">
      <c r="A5435" s="5"/>
      <c r="B5435" s="18"/>
      <c r="C5435" s="85"/>
      <c r="D5435" s="41"/>
      <c r="E5435" s="26" t="str">
        <f ca="1">IFERROR(__xludf.DUMMYFUNCTION("""COMPUTED_VALUE"""),"")</f>
        <v/>
      </c>
      <c r="F5435" s="72"/>
      <c r="G5435" s="72"/>
    </row>
    <row r="5436" spans="1:7" ht="14.5" hidden="1">
      <c r="A5436" s="5"/>
      <c r="B5436" s="18"/>
      <c r="C5436" s="85"/>
      <c r="D5436" s="41"/>
      <c r="E5436" s="26" t="str">
        <f ca="1">IFERROR(__xludf.DUMMYFUNCTION("""COMPUTED_VALUE"""),"")</f>
        <v/>
      </c>
      <c r="F5436" s="72"/>
      <c r="G5436" s="72"/>
    </row>
    <row r="5437" spans="1:7" ht="14.5" hidden="1">
      <c r="A5437" s="5"/>
      <c r="B5437" s="18"/>
      <c r="C5437" s="85"/>
      <c r="D5437" s="41"/>
      <c r="E5437" s="26" t="str">
        <f ca="1">IFERROR(__xludf.DUMMYFUNCTION("""COMPUTED_VALUE"""),"")</f>
        <v/>
      </c>
      <c r="F5437" s="72"/>
      <c r="G5437" s="72"/>
    </row>
    <row r="5438" spans="1:7" ht="14.5" hidden="1">
      <c r="A5438" s="5"/>
      <c r="B5438" s="18"/>
      <c r="C5438" s="85"/>
      <c r="D5438" s="41"/>
      <c r="E5438" s="26" t="str">
        <f ca="1">IFERROR(__xludf.DUMMYFUNCTION("""COMPUTED_VALUE"""),"")</f>
        <v/>
      </c>
      <c r="F5438" s="72"/>
      <c r="G5438" s="72"/>
    </row>
    <row r="5439" spans="1:7" ht="14.5" hidden="1">
      <c r="A5439" s="5"/>
      <c r="B5439" s="18"/>
      <c r="C5439" s="85"/>
      <c r="D5439" s="41"/>
      <c r="E5439" s="26" t="str">
        <f ca="1">IFERROR(__xludf.DUMMYFUNCTION("""COMPUTED_VALUE"""),"")</f>
        <v/>
      </c>
      <c r="F5439" s="72"/>
      <c r="G5439" s="72"/>
    </row>
    <row r="5440" spans="1:7" ht="14.5" hidden="1">
      <c r="A5440" s="5"/>
      <c r="B5440" s="18"/>
      <c r="C5440" s="85"/>
      <c r="D5440" s="41"/>
      <c r="E5440" s="26" t="str">
        <f ca="1">IFERROR(__xludf.DUMMYFUNCTION("""COMPUTED_VALUE"""),"")</f>
        <v/>
      </c>
      <c r="F5440" s="72"/>
      <c r="G5440" s="72"/>
    </row>
    <row r="5441" spans="1:7" ht="14.5" hidden="1">
      <c r="A5441" s="5"/>
      <c r="B5441" s="18"/>
      <c r="C5441" s="85"/>
      <c r="D5441" s="41"/>
      <c r="E5441" s="26" t="str">
        <f ca="1">IFERROR(__xludf.DUMMYFUNCTION("""COMPUTED_VALUE"""),"")</f>
        <v/>
      </c>
      <c r="F5441" s="72"/>
      <c r="G5441" s="72"/>
    </row>
    <row r="5442" spans="1:7" ht="14.5" hidden="1">
      <c r="A5442" s="5"/>
      <c r="B5442" s="18"/>
      <c r="C5442" s="85"/>
      <c r="D5442" s="41"/>
      <c r="E5442" s="26" t="str">
        <f ca="1">IFERROR(__xludf.DUMMYFUNCTION("""COMPUTED_VALUE"""),"")</f>
        <v/>
      </c>
      <c r="F5442" s="72"/>
      <c r="G5442" s="72"/>
    </row>
    <row r="5443" spans="1:7" ht="14.5" hidden="1">
      <c r="A5443" s="5"/>
      <c r="B5443" s="18"/>
      <c r="C5443" s="85"/>
      <c r="D5443" s="41"/>
      <c r="E5443" s="26" t="str">
        <f ca="1">IFERROR(__xludf.DUMMYFUNCTION("""COMPUTED_VALUE"""),"")</f>
        <v/>
      </c>
      <c r="F5443" s="72"/>
      <c r="G5443" s="72"/>
    </row>
    <row r="5444" spans="1:7" ht="14.5" hidden="1">
      <c r="A5444" s="5"/>
      <c r="B5444" s="18"/>
      <c r="C5444" s="85"/>
      <c r="D5444" s="41"/>
      <c r="E5444" s="26" t="str">
        <f ca="1">IFERROR(__xludf.DUMMYFUNCTION("""COMPUTED_VALUE"""),"")</f>
        <v/>
      </c>
      <c r="F5444" s="72"/>
      <c r="G5444" s="72"/>
    </row>
    <row r="5445" spans="1:7" ht="14.5" hidden="1">
      <c r="A5445" s="5"/>
      <c r="B5445" s="18"/>
      <c r="C5445" s="85"/>
      <c r="D5445" s="41"/>
      <c r="E5445" s="26" t="str">
        <f ca="1">IFERROR(__xludf.DUMMYFUNCTION("""COMPUTED_VALUE"""),"")</f>
        <v/>
      </c>
      <c r="F5445" s="72"/>
      <c r="G5445" s="72"/>
    </row>
    <row r="5446" spans="1:7" ht="14.5" hidden="1">
      <c r="A5446" s="5"/>
      <c r="B5446" s="18"/>
      <c r="C5446" s="85"/>
      <c r="D5446" s="41"/>
      <c r="E5446" s="26" t="str">
        <f ca="1">IFERROR(__xludf.DUMMYFUNCTION("""COMPUTED_VALUE"""),"")</f>
        <v/>
      </c>
      <c r="F5446" s="72"/>
      <c r="G5446" s="72"/>
    </row>
    <row r="5447" spans="1:7" ht="14.5" hidden="1">
      <c r="A5447" s="5"/>
      <c r="B5447" s="18"/>
      <c r="C5447" s="85"/>
      <c r="D5447" s="41"/>
      <c r="E5447" s="26" t="str">
        <f ca="1">IFERROR(__xludf.DUMMYFUNCTION("""COMPUTED_VALUE"""),"")</f>
        <v/>
      </c>
      <c r="F5447" s="72"/>
      <c r="G5447" s="72"/>
    </row>
    <row r="5448" spans="1:7" ht="14.5" hidden="1">
      <c r="A5448" s="5"/>
      <c r="B5448" s="18"/>
      <c r="C5448" s="85"/>
      <c r="D5448" s="41"/>
      <c r="E5448" s="26" t="str">
        <f ca="1">IFERROR(__xludf.DUMMYFUNCTION("""COMPUTED_VALUE"""),"")</f>
        <v/>
      </c>
      <c r="F5448" s="72"/>
      <c r="G5448" s="72"/>
    </row>
    <row r="5449" spans="1:7" ht="14.5" hidden="1">
      <c r="A5449" s="5"/>
      <c r="B5449" s="18"/>
      <c r="C5449" s="85"/>
      <c r="D5449" s="41"/>
      <c r="E5449" s="26" t="str">
        <f ca="1">IFERROR(__xludf.DUMMYFUNCTION("""COMPUTED_VALUE"""),"")</f>
        <v/>
      </c>
      <c r="F5449" s="72"/>
      <c r="G5449" s="72"/>
    </row>
    <row r="5450" spans="1:7" ht="14.5" hidden="1">
      <c r="A5450" s="5"/>
      <c r="B5450" s="18"/>
      <c r="C5450" s="85"/>
      <c r="D5450" s="41"/>
      <c r="E5450" s="26" t="str">
        <f ca="1">IFERROR(__xludf.DUMMYFUNCTION("""COMPUTED_VALUE"""),"")</f>
        <v/>
      </c>
      <c r="F5450" s="72"/>
      <c r="G5450" s="72"/>
    </row>
    <row r="5451" spans="1:7" ht="14.5" hidden="1">
      <c r="A5451" s="5"/>
      <c r="B5451" s="18"/>
      <c r="C5451" s="85"/>
      <c r="D5451" s="41"/>
      <c r="E5451" s="26" t="str">
        <f ca="1">IFERROR(__xludf.DUMMYFUNCTION("""COMPUTED_VALUE"""),"")</f>
        <v/>
      </c>
      <c r="F5451" s="72"/>
      <c r="G5451" s="72"/>
    </row>
    <row r="5452" spans="1:7" ht="14.5" hidden="1">
      <c r="A5452" s="5"/>
      <c r="B5452" s="18"/>
      <c r="C5452" s="85"/>
      <c r="D5452" s="41"/>
      <c r="E5452" s="26" t="str">
        <f ca="1">IFERROR(__xludf.DUMMYFUNCTION("""COMPUTED_VALUE"""),"")</f>
        <v/>
      </c>
      <c r="F5452" s="72"/>
      <c r="G5452" s="72"/>
    </row>
    <row r="5453" spans="1:7" ht="14.5" hidden="1">
      <c r="A5453" s="5"/>
      <c r="B5453" s="18"/>
      <c r="C5453" s="85"/>
      <c r="D5453" s="41"/>
      <c r="E5453" s="26" t="str">
        <f ca="1">IFERROR(__xludf.DUMMYFUNCTION("""COMPUTED_VALUE"""),"")</f>
        <v/>
      </c>
      <c r="F5453" s="72"/>
      <c r="G5453" s="72"/>
    </row>
    <row r="5454" spans="1:7" ht="14.5" hidden="1">
      <c r="A5454" s="5"/>
      <c r="B5454" s="18"/>
      <c r="C5454" s="85"/>
      <c r="D5454" s="41"/>
      <c r="E5454" s="26" t="str">
        <f ca="1">IFERROR(__xludf.DUMMYFUNCTION("""COMPUTED_VALUE"""),"")</f>
        <v/>
      </c>
      <c r="F5454" s="72"/>
      <c r="G5454" s="72"/>
    </row>
    <row r="5455" spans="1:7" ht="14.5" hidden="1">
      <c r="A5455" s="5"/>
      <c r="B5455" s="18"/>
      <c r="C5455" s="85"/>
      <c r="D5455" s="41"/>
      <c r="E5455" s="26" t="str">
        <f ca="1">IFERROR(__xludf.DUMMYFUNCTION("""COMPUTED_VALUE"""),"")</f>
        <v/>
      </c>
      <c r="F5455" s="72"/>
      <c r="G5455" s="72"/>
    </row>
    <row r="5456" spans="1:7" ht="14.5" hidden="1">
      <c r="A5456" s="5"/>
      <c r="B5456" s="18"/>
      <c r="C5456" s="85"/>
      <c r="D5456" s="41"/>
      <c r="E5456" s="26" t="str">
        <f ca="1">IFERROR(__xludf.DUMMYFUNCTION("""COMPUTED_VALUE"""),"")</f>
        <v/>
      </c>
      <c r="F5456" s="72"/>
      <c r="G5456" s="72"/>
    </row>
    <row r="5457" spans="1:7" ht="14.5" hidden="1">
      <c r="A5457" s="5"/>
      <c r="B5457" s="18"/>
      <c r="C5457" s="85"/>
      <c r="D5457" s="41"/>
      <c r="E5457" s="26" t="str">
        <f ca="1">IFERROR(__xludf.DUMMYFUNCTION("""COMPUTED_VALUE"""),"")</f>
        <v/>
      </c>
      <c r="F5457" s="72"/>
      <c r="G5457" s="72"/>
    </row>
    <row r="5458" spans="1:7" ht="14.5" hidden="1">
      <c r="A5458" s="5"/>
      <c r="B5458" s="18"/>
      <c r="C5458" s="85"/>
      <c r="D5458" s="41"/>
      <c r="E5458" s="26" t="str">
        <f ca="1">IFERROR(__xludf.DUMMYFUNCTION("""COMPUTED_VALUE"""),"")</f>
        <v/>
      </c>
      <c r="F5458" s="72"/>
      <c r="G5458" s="72"/>
    </row>
    <row r="5459" spans="1:7" ht="14.5" hidden="1">
      <c r="A5459" s="5"/>
      <c r="B5459" s="18"/>
      <c r="C5459" s="85"/>
      <c r="D5459" s="41"/>
      <c r="E5459" s="26" t="str">
        <f ca="1">IFERROR(__xludf.DUMMYFUNCTION("""COMPUTED_VALUE"""),"")</f>
        <v/>
      </c>
      <c r="F5459" s="72"/>
      <c r="G5459" s="72"/>
    </row>
    <row r="5460" spans="1:7" ht="14.5" hidden="1">
      <c r="A5460" s="5"/>
      <c r="B5460" s="18"/>
      <c r="C5460" s="85"/>
      <c r="D5460" s="41"/>
      <c r="E5460" s="26" t="str">
        <f ca="1">IFERROR(__xludf.DUMMYFUNCTION("""COMPUTED_VALUE"""),"")</f>
        <v/>
      </c>
      <c r="F5460" s="72"/>
      <c r="G5460" s="72"/>
    </row>
    <row r="5461" spans="1:7" ht="14.5" hidden="1">
      <c r="A5461" s="5"/>
      <c r="B5461" s="18"/>
      <c r="C5461" s="85"/>
      <c r="D5461" s="41"/>
      <c r="E5461" s="26" t="str">
        <f ca="1">IFERROR(__xludf.DUMMYFUNCTION("""COMPUTED_VALUE"""),"")</f>
        <v/>
      </c>
      <c r="F5461" s="72"/>
      <c r="G5461" s="72"/>
    </row>
    <row r="5462" spans="1:7" ht="14.5" hidden="1">
      <c r="A5462" s="5"/>
      <c r="B5462" s="18"/>
      <c r="C5462" s="85"/>
      <c r="D5462" s="41"/>
      <c r="E5462" s="26" t="str">
        <f ca="1">IFERROR(__xludf.DUMMYFUNCTION("""COMPUTED_VALUE"""),"")</f>
        <v/>
      </c>
      <c r="F5462" s="72"/>
      <c r="G5462" s="72"/>
    </row>
    <row r="5463" spans="1:7" ht="14.5" hidden="1">
      <c r="A5463" s="5"/>
      <c r="B5463" s="18"/>
      <c r="C5463" s="85"/>
      <c r="D5463" s="41"/>
      <c r="E5463" s="26" t="str">
        <f ca="1">IFERROR(__xludf.DUMMYFUNCTION("""COMPUTED_VALUE"""),"")</f>
        <v/>
      </c>
      <c r="F5463" s="72"/>
      <c r="G5463" s="72"/>
    </row>
    <row r="5464" spans="1:7" ht="14.5" hidden="1">
      <c r="A5464" s="5"/>
      <c r="B5464" s="18"/>
      <c r="C5464" s="85"/>
      <c r="D5464" s="41"/>
      <c r="E5464" s="26" t="str">
        <f ca="1">IFERROR(__xludf.DUMMYFUNCTION("""COMPUTED_VALUE"""),"")</f>
        <v/>
      </c>
      <c r="F5464" s="72"/>
      <c r="G5464" s="72"/>
    </row>
    <row r="5465" spans="1:7" ht="14.5" hidden="1">
      <c r="A5465" s="5"/>
      <c r="B5465" s="18"/>
      <c r="C5465" s="85"/>
      <c r="D5465" s="41"/>
      <c r="E5465" s="26" t="str">
        <f ca="1">IFERROR(__xludf.DUMMYFUNCTION("""COMPUTED_VALUE"""),"")</f>
        <v/>
      </c>
      <c r="F5465" s="72"/>
      <c r="G5465" s="72"/>
    </row>
    <row r="5466" spans="1:7" ht="14.5" hidden="1">
      <c r="A5466" s="5"/>
      <c r="B5466" s="18"/>
      <c r="C5466" s="85"/>
      <c r="D5466" s="41"/>
      <c r="E5466" s="26" t="str">
        <f ca="1">IFERROR(__xludf.DUMMYFUNCTION("""COMPUTED_VALUE"""),"")</f>
        <v/>
      </c>
      <c r="F5466" s="72"/>
      <c r="G5466" s="72"/>
    </row>
    <row r="5467" spans="1:7" ht="14.5" hidden="1">
      <c r="A5467" s="5"/>
      <c r="B5467" s="18"/>
      <c r="C5467" s="85"/>
      <c r="D5467" s="41"/>
      <c r="E5467" s="26" t="str">
        <f ca="1">IFERROR(__xludf.DUMMYFUNCTION("""COMPUTED_VALUE"""),"")</f>
        <v/>
      </c>
      <c r="F5467" s="72"/>
      <c r="G5467" s="72"/>
    </row>
    <row r="5468" spans="1:7" ht="14.5" hidden="1">
      <c r="A5468" s="5"/>
      <c r="B5468" s="18"/>
      <c r="C5468" s="85"/>
      <c r="D5468" s="41"/>
      <c r="E5468" s="26" t="str">
        <f ca="1">IFERROR(__xludf.DUMMYFUNCTION("""COMPUTED_VALUE"""),"")</f>
        <v/>
      </c>
      <c r="F5468" s="72"/>
      <c r="G5468" s="72"/>
    </row>
    <row r="5469" spans="1:7" ht="14.5" hidden="1">
      <c r="A5469" s="5"/>
      <c r="B5469" s="18"/>
      <c r="C5469" s="85"/>
      <c r="D5469" s="41"/>
      <c r="E5469" s="26" t="str">
        <f ca="1">IFERROR(__xludf.DUMMYFUNCTION("""COMPUTED_VALUE"""),"")</f>
        <v/>
      </c>
      <c r="F5469" s="72"/>
      <c r="G5469" s="72"/>
    </row>
    <row r="5470" spans="1:7" ht="14.5" hidden="1">
      <c r="A5470" s="5"/>
      <c r="B5470" s="18"/>
      <c r="C5470" s="85"/>
      <c r="D5470" s="41"/>
      <c r="E5470" s="26" t="str">
        <f ca="1">IFERROR(__xludf.DUMMYFUNCTION("""COMPUTED_VALUE"""),"")</f>
        <v/>
      </c>
      <c r="F5470" s="72"/>
      <c r="G5470" s="72"/>
    </row>
    <row r="5471" spans="1:7" ht="14.5" hidden="1">
      <c r="A5471" s="5"/>
      <c r="B5471" s="18"/>
      <c r="C5471" s="85"/>
      <c r="D5471" s="41"/>
      <c r="E5471" s="26" t="str">
        <f ca="1">IFERROR(__xludf.DUMMYFUNCTION("""COMPUTED_VALUE"""),"")</f>
        <v/>
      </c>
      <c r="F5471" s="72"/>
      <c r="G5471" s="72"/>
    </row>
    <row r="5472" spans="1:7" ht="14.5" hidden="1">
      <c r="A5472" s="5"/>
      <c r="B5472" s="18"/>
      <c r="C5472" s="85"/>
      <c r="D5472" s="41"/>
      <c r="E5472" s="26" t="str">
        <f ca="1">IFERROR(__xludf.DUMMYFUNCTION("""COMPUTED_VALUE"""),"")</f>
        <v/>
      </c>
      <c r="F5472" s="72"/>
      <c r="G5472" s="72"/>
    </row>
    <row r="5473" spans="1:7" ht="14.5" hidden="1">
      <c r="A5473" s="5"/>
      <c r="B5473" s="18"/>
      <c r="C5473" s="85"/>
      <c r="D5473" s="41"/>
      <c r="E5473" s="26" t="str">
        <f ca="1">IFERROR(__xludf.DUMMYFUNCTION("""COMPUTED_VALUE"""),"")</f>
        <v/>
      </c>
      <c r="F5473" s="72"/>
      <c r="G5473" s="72"/>
    </row>
    <row r="5474" spans="1:7" ht="14.5" hidden="1">
      <c r="A5474" s="5"/>
      <c r="B5474" s="18"/>
      <c r="C5474" s="85"/>
      <c r="D5474" s="41"/>
      <c r="E5474" s="26" t="str">
        <f ca="1">IFERROR(__xludf.DUMMYFUNCTION("""COMPUTED_VALUE"""),"")</f>
        <v/>
      </c>
      <c r="F5474" s="72"/>
      <c r="G5474" s="72"/>
    </row>
    <row r="5475" spans="1:7" ht="14.5" hidden="1">
      <c r="A5475" s="5"/>
      <c r="B5475" s="18"/>
      <c r="C5475" s="85"/>
      <c r="D5475" s="41"/>
      <c r="E5475" s="26" t="str">
        <f ca="1">IFERROR(__xludf.DUMMYFUNCTION("""COMPUTED_VALUE"""),"")</f>
        <v/>
      </c>
      <c r="F5475" s="72"/>
      <c r="G5475" s="72"/>
    </row>
    <row r="5476" spans="1:7" ht="14.5" hidden="1">
      <c r="A5476" s="5"/>
      <c r="B5476" s="18"/>
      <c r="C5476" s="85"/>
      <c r="D5476" s="41"/>
      <c r="E5476" s="26" t="str">
        <f ca="1">IFERROR(__xludf.DUMMYFUNCTION("""COMPUTED_VALUE"""),"")</f>
        <v/>
      </c>
      <c r="F5476" s="72"/>
      <c r="G5476" s="72"/>
    </row>
    <row r="5477" spans="1:7" ht="14.5" hidden="1">
      <c r="A5477" s="5"/>
      <c r="B5477" s="18"/>
      <c r="C5477" s="85"/>
      <c r="D5477" s="41"/>
      <c r="E5477" s="26" t="str">
        <f ca="1">IFERROR(__xludf.DUMMYFUNCTION("""COMPUTED_VALUE"""),"")</f>
        <v/>
      </c>
      <c r="F5477" s="72"/>
      <c r="G5477" s="72"/>
    </row>
    <row r="5478" spans="1:7" ht="14.5" hidden="1">
      <c r="A5478" s="5"/>
      <c r="B5478" s="18"/>
      <c r="C5478" s="85"/>
      <c r="D5478" s="41"/>
      <c r="E5478" s="26" t="str">
        <f ca="1">IFERROR(__xludf.DUMMYFUNCTION("""COMPUTED_VALUE"""),"")</f>
        <v/>
      </c>
      <c r="F5478" s="72"/>
      <c r="G5478" s="72"/>
    </row>
    <row r="5479" spans="1:7" ht="14.5" hidden="1">
      <c r="A5479" s="5"/>
      <c r="B5479" s="18"/>
      <c r="C5479" s="85"/>
      <c r="D5479" s="41"/>
      <c r="E5479" s="26" t="str">
        <f ca="1">IFERROR(__xludf.DUMMYFUNCTION("""COMPUTED_VALUE"""),"")</f>
        <v/>
      </c>
      <c r="F5479" s="72"/>
      <c r="G5479" s="72"/>
    </row>
    <row r="5480" spans="1:7" ht="14.5" hidden="1">
      <c r="A5480" s="5"/>
      <c r="B5480" s="18"/>
      <c r="C5480" s="85"/>
      <c r="D5480" s="41"/>
      <c r="E5480" s="26" t="str">
        <f ca="1">IFERROR(__xludf.DUMMYFUNCTION("""COMPUTED_VALUE"""),"")</f>
        <v/>
      </c>
      <c r="F5480" s="72"/>
      <c r="G5480" s="72"/>
    </row>
    <row r="5481" spans="1:7" ht="14.5" hidden="1">
      <c r="A5481" s="5"/>
      <c r="B5481" s="18"/>
      <c r="C5481" s="85"/>
      <c r="D5481" s="41"/>
      <c r="E5481" s="26" t="str">
        <f ca="1">IFERROR(__xludf.DUMMYFUNCTION("""COMPUTED_VALUE"""),"")</f>
        <v/>
      </c>
      <c r="F5481" s="72"/>
      <c r="G5481" s="72"/>
    </row>
    <row r="5482" spans="1:7" ht="14.5" hidden="1">
      <c r="A5482" s="5"/>
      <c r="B5482" s="18"/>
      <c r="C5482" s="85"/>
      <c r="D5482" s="41"/>
      <c r="E5482" s="26" t="str">
        <f ca="1">IFERROR(__xludf.DUMMYFUNCTION("""COMPUTED_VALUE"""),"")</f>
        <v/>
      </c>
      <c r="F5482" s="72"/>
      <c r="G5482" s="72"/>
    </row>
    <row r="5483" spans="1:7" ht="14.5" hidden="1">
      <c r="A5483" s="5"/>
      <c r="B5483" s="18"/>
      <c r="C5483" s="85"/>
      <c r="D5483" s="41"/>
      <c r="E5483" s="26" t="str">
        <f ca="1">IFERROR(__xludf.DUMMYFUNCTION("""COMPUTED_VALUE"""),"")</f>
        <v/>
      </c>
      <c r="F5483" s="72"/>
      <c r="G5483" s="72"/>
    </row>
    <row r="5484" spans="1:7" ht="14.5" hidden="1">
      <c r="A5484" s="5"/>
      <c r="B5484" s="18"/>
      <c r="C5484" s="85"/>
      <c r="D5484" s="41"/>
      <c r="E5484" s="26" t="str">
        <f ca="1">IFERROR(__xludf.DUMMYFUNCTION("""COMPUTED_VALUE"""),"")</f>
        <v/>
      </c>
      <c r="F5484" s="72"/>
      <c r="G5484" s="72"/>
    </row>
    <row r="5485" spans="1:7" ht="14.5" hidden="1">
      <c r="A5485" s="5"/>
      <c r="B5485" s="18"/>
      <c r="C5485" s="85"/>
      <c r="D5485" s="41"/>
      <c r="E5485" s="26" t="str">
        <f ca="1">IFERROR(__xludf.DUMMYFUNCTION("""COMPUTED_VALUE"""),"")</f>
        <v/>
      </c>
      <c r="F5485" s="72"/>
      <c r="G5485" s="72"/>
    </row>
    <row r="5486" spans="1:7" ht="14.5" hidden="1">
      <c r="A5486" s="5"/>
      <c r="B5486" s="18"/>
      <c r="C5486" s="85"/>
      <c r="D5486" s="41"/>
      <c r="E5486" s="26" t="str">
        <f ca="1">IFERROR(__xludf.DUMMYFUNCTION("""COMPUTED_VALUE"""),"")</f>
        <v/>
      </c>
      <c r="F5486" s="72"/>
      <c r="G5486" s="72"/>
    </row>
    <row r="5487" spans="1:7" ht="14.5" hidden="1">
      <c r="A5487" s="5"/>
      <c r="B5487" s="18"/>
      <c r="C5487" s="85"/>
      <c r="D5487" s="41"/>
      <c r="E5487" s="26" t="str">
        <f ca="1">IFERROR(__xludf.DUMMYFUNCTION("""COMPUTED_VALUE"""),"")</f>
        <v/>
      </c>
      <c r="F5487" s="72"/>
      <c r="G5487" s="72"/>
    </row>
    <row r="5488" spans="1:7" ht="14.5" hidden="1">
      <c r="A5488" s="5"/>
      <c r="B5488" s="18"/>
      <c r="C5488" s="85"/>
      <c r="D5488" s="41"/>
      <c r="E5488" s="26" t="str">
        <f ca="1">IFERROR(__xludf.DUMMYFUNCTION("""COMPUTED_VALUE"""),"")</f>
        <v/>
      </c>
      <c r="F5488" s="72"/>
      <c r="G5488" s="72"/>
    </row>
    <row r="5489" spans="1:7" ht="14.5" hidden="1">
      <c r="A5489" s="5"/>
      <c r="B5489" s="18"/>
      <c r="C5489" s="85"/>
      <c r="D5489" s="41"/>
      <c r="E5489" s="26" t="str">
        <f ca="1">IFERROR(__xludf.DUMMYFUNCTION("""COMPUTED_VALUE"""),"")</f>
        <v/>
      </c>
      <c r="F5489" s="72"/>
      <c r="G5489" s="72"/>
    </row>
    <row r="5490" spans="1:7" ht="14.5" hidden="1">
      <c r="A5490" s="5"/>
      <c r="B5490" s="18"/>
      <c r="C5490" s="85"/>
      <c r="D5490" s="41"/>
      <c r="E5490" s="26" t="str">
        <f ca="1">IFERROR(__xludf.DUMMYFUNCTION("""COMPUTED_VALUE"""),"")</f>
        <v/>
      </c>
      <c r="F5490" s="72"/>
      <c r="G5490" s="72"/>
    </row>
    <row r="5491" spans="1:7" ht="14.5" hidden="1">
      <c r="A5491" s="5"/>
      <c r="B5491" s="18"/>
      <c r="C5491" s="85"/>
      <c r="D5491" s="41"/>
      <c r="E5491" s="26" t="str">
        <f ca="1">IFERROR(__xludf.DUMMYFUNCTION("""COMPUTED_VALUE"""),"")</f>
        <v/>
      </c>
      <c r="F5491" s="72"/>
      <c r="G5491" s="72"/>
    </row>
    <row r="5492" spans="1:7" ht="14.5" hidden="1">
      <c r="A5492" s="5"/>
      <c r="B5492" s="18"/>
      <c r="C5492" s="85"/>
      <c r="D5492" s="41"/>
      <c r="E5492" s="26" t="str">
        <f ca="1">IFERROR(__xludf.DUMMYFUNCTION("""COMPUTED_VALUE"""),"")</f>
        <v/>
      </c>
      <c r="F5492" s="72"/>
      <c r="G5492" s="72"/>
    </row>
    <row r="5493" spans="1:7" ht="14.5" hidden="1">
      <c r="A5493" s="5"/>
      <c r="B5493" s="18"/>
      <c r="C5493" s="85"/>
      <c r="D5493" s="41"/>
      <c r="E5493" s="26" t="str">
        <f ca="1">IFERROR(__xludf.DUMMYFUNCTION("""COMPUTED_VALUE"""),"")</f>
        <v/>
      </c>
      <c r="F5493" s="72"/>
      <c r="G5493" s="72"/>
    </row>
    <row r="5494" spans="1:7" ht="14.5" hidden="1">
      <c r="A5494" s="5"/>
      <c r="B5494" s="18"/>
      <c r="C5494" s="85"/>
      <c r="D5494" s="41"/>
      <c r="E5494" s="26" t="str">
        <f ca="1">IFERROR(__xludf.DUMMYFUNCTION("""COMPUTED_VALUE"""),"")</f>
        <v/>
      </c>
      <c r="F5494" s="72"/>
      <c r="G5494" s="72"/>
    </row>
    <row r="5495" spans="1:7" ht="14.5" hidden="1">
      <c r="A5495" s="5"/>
      <c r="B5495" s="18"/>
      <c r="C5495" s="85"/>
      <c r="D5495" s="41"/>
      <c r="E5495" s="26" t="str">
        <f ca="1">IFERROR(__xludf.DUMMYFUNCTION("""COMPUTED_VALUE"""),"")</f>
        <v/>
      </c>
      <c r="F5495" s="72"/>
      <c r="G5495" s="72"/>
    </row>
    <row r="5496" spans="1:7" ht="14.5" hidden="1">
      <c r="A5496" s="5"/>
      <c r="B5496" s="18"/>
      <c r="C5496" s="85"/>
      <c r="D5496" s="41"/>
      <c r="E5496" s="26" t="str">
        <f ca="1">IFERROR(__xludf.DUMMYFUNCTION("""COMPUTED_VALUE"""),"")</f>
        <v/>
      </c>
      <c r="F5496" s="72"/>
      <c r="G5496" s="72"/>
    </row>
    <row r="5497" spans="1:7" ht="14.5" hidden="1">
      <c r="A5497" s="5"/>
      <c r="B5497" s="18"/>
      <c r="C5497" s="85"/>
      <c r="D5497" s="41"/>
      <c r="E5497" s="26" t="str">
        <f ca="1">IFERROR(__xludf.DUMMYFUNCTION("""COMPUTED_VALUE"""),"")</f>
        <v/>
      </c>
      <c r="F5497" s="72"/>
      <c r="G5497" s="72"/>
    </row>
    <row r="5498" spans="1:7" ht="14.5" hidden="1">
      <c r="A5498" s="5"/>
      <c r="B5498" s="18"/>
      <c r="C5498" s="85"/>
      <c r="D5498" s="41"/>
      <c r="E5498" s="26" t="str">
        <f ca="1">IFERROR(__xludf.DUMMYFUNCTION("""COMPUTED_VALUE"""),"")</f>
        <v/>
      </c>
      <c r="F5498" s="72"/>
      <c r="G5498" s="72"/>
    </row>
    <row r="5499" spans="1:7" ht="14.5" hidden="1">
      <c r="A5499" s="5"/>
      <c r="B5499" s="18"/>
      <c r="C5499" s="85"/>
      <c r="D5499" s="41"/>
      <c r="E5499" s="26" t="str">
        <f ca="1">IFERROR(__xludf.DUMMYFUNCTION("""COMPUTED_VALUE"""),"")</f>
        <v/>
      </c>
      <c r="F5499" s="72"/>
      <c r="G5499" s="72"/>
    </row>
    <row r="5500" spans="1:7" ht="14.5" hidden="1">
      <c r="A5500" s="5"/>
      <c r="B5500" s="18"/>
      <c r="C5500" s="85"/>
      <c r="D5500" s="41"/>
      <c r="E5500" s="26" t="str">
        <f ca="1">IFERROR(__xludf.DUMMYFUNCTION("""COMPUTED_VALUE"""),"")</f>
        <v/>
      </c>
      <c r="F5500" s="72"/>
      <c r="G5500" s="72"/>
    </row>
    <row r="5501" spans="1:7" ht="14.5" hidden="1">
      <c r="A5501" s="5"/>
      <c r="B5501" s="18"/>
      <c r="C5501" s="85"/>
      <c r="D5501" s="41"/>
      <c r="E5501" s="26" t="str">
        <f ca="1">IFERROR(__xludf.DUMMYFUNCTION("""COMPUTED_VALUE"""),"")</f>
        <v/>
      </c>
      <c r="F5501" s="72"/>
      <c r="G5501" s="72"/>
    </row>
    <row r="5502" spans="1:7" ht="14.5" hidden="1">
      <c r="A5502" s="5"/>
      <c r="B5502" s="18"/>
      <c r="C5502" s="85"/>
      <c r="D5502" s="41"/>
      <c r="E5502" s="26" t="str">
        <f ca="1">IFERROR(__xludf.DUMMYFUNCTION("""COMPUTED_VALUE"""),"")</f>
        <v/>
      </c>
      <c r="F5502" s="72"/>
      <c r="G5502" s="72"/>
    </row>
    <row r="5503" spans="1:7" ht="14.5" hidden="1">
      <c r="A5503" s="5"/>
      <c r="B5503" s="18"/>
      <c r="C5503" s="85"/>
      <c r="D5503" s="41"/>
      <c r="E5503" s="26" t="str">
        <f ca="1">IFERROR(__xludf.DUMMYFUNCTION("""COMPUTED_VALUE"""),"")</f>
        <v/>
      </c>
      <c r="F5503" s="72"/>
      <c r="G5503" s="72"/>
    </row>
    <row r="5504" spans="1:7" ht="14.5" hidden="1">
      <c r="A5504" s="5"/>
      <c r="B5504" s="18"/>
      <c r="C5504" s="85"/>
      <c r="D5504" s="41"/>
      <c r="E5504" s="26" t="str">
        <f ca="1">IFERROR(__xludf.DUMMYFUNCTION("""COMPUTED_VALUE"""),"")</f>
        <v/>
      </c>
      <c r="F5504" s="72"/>
      <c r="G5504" s="72"/>
    </row>
    <row r="5505" spans="1:7" ht="14.5" hidden="1">
      <c r="A5505" s="5"/>
      <c r="B5505" s="18"/>
      <c r="C5505" s="85"/>
      <c r="D5505" s="41"/>
      <c r="E5505" s="26" t="str">
        <f ca="1">IFERROR(__xludf.DUMMYFUNCTION("""COMPUTED_VALUE"""),"")</f>
        <v/>
      </c>
      <c r="F5505" s="72"/>
      <c r="G5505" s="72"/>
    </row>
    <row r="5506" spans="1:7" ht="14.5" hidden="1">
      <c r="A5506" s="5"/>
      <c r="B5506" s="18"/>
      <c r="C5506" s="85"/>
      <c r="D5506" s="41"/>
      <c r="E5506" s="26" t="str">
        <f ca="1">IFERROR(__xludf.DUMMYFUNCTION("""COMPUTED_VALUE"""),"")</f>
        <v/>
      </c>
      <c r="F5506" s="72"/>
      <c r="G5506" s="72"/>
    </row>
    <row r="5507" spans="1:7" ht="14.5" hidden="1">
      <c r="A5507" s="5"/>
      <c r="B5507" s="18"/>
      <c r="C5507" s="85"/>
      <c r="D5507" s="41"/>
      <c r="E5507" s="26" t="str">
        <f ca="1">IFERROR(__xludf.DUMMYFUNCTION("""COMPUTED_VALUE"""),"")</f>
        <v/>
      </c>
      <c r="F5507" s="72"/>
      <c r="G5507" s="72"/>
    </row>
    <row r="5508" spans="1:7" ht="14.5" hidden="1">
      <c r="A5508" s="5"/>
      <c r="B5508" s="18"/>
      <c r="C5508" s="85"/>
      <c r="D5508" s="41"/>
      <c r="E5508" s="26" t="str">
        <f ca="1">IFERROR(__xludf.DUMMYFUNCTION("""COMPUTED_VALUE"""),"")</f>
        <v/>
      </c>
      <c r="F5508" s="72"/>
      <c r="G5508" s="72"/>
    </row>
    <row r="5509" spans="1:7" ht="14.5" hidden="1">
      <c r="A5509" s="5"/>
      <c r="B5509" s="18"/>
      <c r="C5509" s="85"/>
      <c r="D5509" s="41"/>
      <c r="E5509" s="26" t="str">
        <f ca="1">IFERROR(__xludf.DUMMYFUNCTION("""COMPUTED_VALUE"""),"")</f>
        <v/>
      </c>
      <c r="F5509" s="72"/>
      <c r="G5509" s="72"/>
    </row>
    <row r="5510" spans="1:7" ht="14.5" hidden="1">
      <c r="A5510" s="5"/>
      <c r="B5510" s="18"/>
      <c r="C5510" s="85"/>
      <c r="D5510" s="41"/>
      <c r="E5510" s="26" t="str">
        <f ca="1">IFERROR(__xludf.DUMMYFUNCTION("""COMPUTED_VALUE"""),"")</f>
        <v/>
      </c>
      <c r="F5510" s="72"/>
      <c r="G5510" s="72"/>
    </row>
    <row r="5511" spans="1:7" ht="14.5" hidden="1">
      <c r="A5511" s="5"/>
      <c r="B5511" s="18"/>
      <c r="C5511" s="85"/>
      <c r="D5511" s="41"/>
      <c r="E5511" s="26" t="str">
        <f ca="1">IFERROR(__xludf.DUMMYFUNCTION("""COMPUTED_VALUE"""),"")</f>
        <v/>
      </c>
      <c r="F5511" s="72"/>
      <c r="G5511" s="72"/>
    </row>
    <row r="5512" spans="1:7" ht="14.5" hidden="1">
      <c r="A5512" s="5"/>
      <c r="B5512" s="18"/>
      <c r="C5512" s="85"/>
      <c r="D5512" s="41"/>
      <c r="E5512" s="26" t="str">
        <f ca="1">IFERROR(__xludf.DUMMYFUNCTION("""COMPUTED_VALUE"""),"")</f>
        <v/>
      </c>
      <c r="F5512" s="72"/>
      <c r="G5512" s="72"/>
    </row>
    <row r="5513" spans="1:7" ht="14.5" hidden="1">
      <c r="A5513" s="5"/>
      <c r="B5513" s="18"/>
      <c r="C5513" s="85"/>
      <c r="D5513" s="41"/>
      <c r="E5513" s="26" t="str">
        <f ca="1">IFERROR(__xludf.DUMMYFUNCTION("""COMPUTED_VALUE"""),"")</f>
        <v/>
      </c>
      <c r="F5513" s="72"/>
      <c r="G5513" s="72"/>
    </row>
    <row r="5514" spans="1:7" ht="14.5" hidden="1">
      <c r="A5514" s="5"/>
      <c r="B5514" s="18"/>
      <c r="C5514" s="85"/>
      <c r="D5514" s="41"/>
      <c r="E5514" s="26" t="str">
        <f ca="1">IFERROR(__xludf.DUMMYFUNCTION("""COMPUTED_VALUE"""),"")</f>
        <v/>
      </c>
      <c r="F5514" s="72"/>
      <c r="G5514" s="72"/>
    </row>
    <row r="5515" spans="1:7" ht="14.5" hidden="1">
      <c r="A5515" s="5"/>
      <c r="B5515" s="18"/>
      <c r="C5515" s="85"/>
      <c r="D5515" s="41"/>
      <c r="E5515" s="26" t="str">
        <f ca="1">IFERROR(__xludf.DUMMYFUNCTION("""COMPUTED_VALUE"""),"")</f>
        <v/>
      </c>
      <c r="F5515" s="72"/>
      <c r="G5515" s="72"/>
    </row>
    <row r="5516" spans="1:7" ht="14.5" hidden="1">
      <c r="A5516" s="5"/>
      <c r="B5516" s="18"/>
      <c r="C5516" s="85"/>
      <c r="D5516" s="41"/>
      <c r="E5516" s="26" t="str">
        <f ca="1">IFERROR(__xludf.DUMMYFUNCTION("""COMPUTED_VALUE"""),"")</f>
        <v/>
      </c>
      <c r="F5516" s="72"/>
      <c r="G5516" s="72"/>
    </row>
    <row r="5517" spans="1:7" ht="14.5" hidden="1">
      <c r="A5517" s="5"/>
      <c r="B5517" s="18"/>
      <c r="C5517" s="85"/>
      <c r="D5517" s="41"/>
      <c r="E5517" s="26" t="str">
        <f ca="1">IFERROR(__xludf.DUMMYFUNCTION("""COMPUTED_VALUE"""),"")</f>
        <v/>
      </c>
      <c r="F5517" s="72"/>
      <c r="G5517" s="72"/>
    </row>
    <row r="5518" spans="1:7" ht="14.5" hidden="1">
      <c r="A5518" s="5"/>
      <c r="B5518" s="18"/>
      <c r="C5518" s="85"/>
      <c r="D5518" s="41"/>
      <c r="E5518" s="26" t="str">
        <f ca="1">IFERROR(__xludf.DUMMYFUNCTION("""COMPUTED_VALUE"""),"")</f>
        <v/>
      </c>
      <c r="F5518" s="72"/>
      <c r="G5518" s="72"/>
    </row>
    <row r="5519" spans="1:7" ht="14.5" hidden="1">
      <c r="A5519" s="5"/>
      <c r="B5519" s="18"/>
      <c r="C5519" s="85"/>
      <c r="D5519" s="41"/>
      <c r="E5519" s="26" t="str">
        <f ca="1">IFERROR(__xludf.DUMMYFUNCTION("""COMPUTED_VALUE"""),"")</f>
        <v/>
      </c>
      <c r="F5519" s="72"/>
      <c r="G5519" s="72"/>
    </row>
    <row r="5520" spans="1:7" ht="14.5" hidden="1">
      <c r="A5520" s="5"/>
      <c r="B5520" s="18"/>
      <c r="C5520" s="85"/>
      <c r="D5520" s="41"/>
      <c r="E5520" s="26" t="str">
        <f ca="1">IFERROR(__xludf.DUMMYFUNCTION("""COMPUTED_VALUE"""),"")</f>
        <v/>
      </c>
      <c r="F5520" s="72"/>
      <c r="G5520" s="72"/>
    </row>
    <row r="5521" spans="1:7" ht="14.5" hidden="1">
      <c r="A5521" s="5"/>
      <c r="B5521" s="18"/>
      <c r="C5521" s="85"/>
      <c r="D5521" s="41"/>
      <c r="E5521" s="26" t="str">
        <f ca="1">IFERROR(__xludf.DUMMYFUNCTION("""COMPUTED_VALUE"""),"")</f>
        <v/>
      </c>
      <c r="F5521" s="72"/>
      <c r="G5521" s="72"/>
    </row>
    <row r="5522" spans="1:7" ht="14.5" hidden="1">
      <c r="A5522" s="5"/>
      <c r="B5522" s="18"/>
      <c r="C5522" s="85"/>
      <c r="D5522" s="41"/>
      <c r="E5522" s="26" t="str">
        <f ca="1">IFERROR(__xludf.DUMMYFUNCTION("""COMPUTED_VALUE"""),"")</f>
        <v/>
      </c>
      <c r="F5522" s="72"/>
      <c r="G5522" s="72"/>
    </row>
    <row r="5523" spans="1:7" ht="14.5" hidden="1">
      <c r="A5523" s="5"/>
      <c r="B5523" s="18"/>
      <c r="C5523" s="85"/>
      <c r="D5523" s="41"/>
      <c r="E5523" s="26" t="str">
        <f ca="1">IFERROR(__xludf.DUMMYFUNCTION("""COMPUTED_VALUE"""),"")</f>
        <v/>
      </c>
      <c r="F5523" s="72"/>
      <c r="G5523" s="72"/>
    </row>
    <row r="5524" spans="1:7" ht="14.5" hidden="1">
      <c r="A5524" s="5"/>
      <c r="B5524" s="18"/>
      <c r="C5524" s="85"/>
      <c r="D5524" s="41"/>
      <c r="E5524" s="26" t="str">
        <f ca="1">IFERROR(__xludf.DUMMYFUNCTION("""COMPUTED_VALUE"""),"")</f>
        <v/>
      </c>
      <c r="F5524" s="72"/>
      <c r="G5524" s="72"/>
    </row>
    <row r="5525" spans="1:7" ht="14.5" hidden="1">
      <c r="A5525" s="5"/>
      <c r="B5525" s="18"/>
      <c r="C5525" s="85"/>
      <c r="D5525" s="41"/>
      <c r="E5525" s="26" t="str">
        <f ca="1">IFERROR(__xludf.DUMMYFUNCTION("""COMPUTED_VALUE"""),"")</f>
        <v/>
      </c>
      <c r="F5525" s="72"/>
      <c r="G5525" s="72"/>
    </row>
    <row r="5526" spans="1:7" ht="14.5" hidden="1">
      <c r="A5526" s="5"/>
      <c r="B5526" s="18"/>
      <c r="C5526" s="85"/>
      <c r="D5526" s="41"/>
      <c r="E5526" s="26" t="str">
        <f ca="1">IFERROR(__xludf.DUMMYFUNCTION("""COMPUTED_VALUE"""),"")</f>
        <v/>
      </c>
      <c r="F5526" s="72"/>
      <c r="G5526" s="72"/>
    </row>
    <row r="5527" spans="1:7" ht="14.5" hidden="1">
      <c r="A5527" s="5"/>
      <c r="B5527" s="18"/>
      <c r="C5527" s="85"/>
      <c r="D5527" s="41"/>
      <c r="E5527" s="26" t="str">
        <f ca="1">IFERROR(__xludf.DUMMYFUNCTION("""COMPUTED_VALUE"""),"")</f>
        <v/>
      </c>
      <c r="F5527" s="72"/>
      <c r="G5527" s="72"/>
    </row>
    <row r="5528" spans="1:7" ht="14.5" hidden="1">
      <c r="A5528" s="5"/>
      <c r="B5528" s="18"/>
      <c r="C5528" s="85"/>
      <c r="D5528" s="41"/>
      <c r="E5528" s="26" t="str">
        <f ca="1">IFERROR(__xludf.DUMMYFUNCTION("""COMPUTED_VALUE"""),"")</f>
        <v/>
      </c>
      <c r="F5528" s="72"/>
      <c r="G5528" s="72"/>
    </row>
    <row r="5529" spans="1:7" ht="14.5" hidden="1">
      <c r="A5529" s="5"/>
      <c r="B5529" s="18"/>
      <c r="C5529" s="85"/>
      <c r="D5529" s="41"/>
      <c r="E5529" s="26" t="str">
        <f ca="1">IFERROR(__xludf.DUMMYFUNCTION("""COMPUTED_VALUE"""),"")</f>
        <v/>
      </c>
      <c r="F5529" s="72"/>
      <c r="G5529" s="72"/>
    </row>
    <row r="5530" spans="1:7" ht="14.5" hidden="1">
      <c r="A5530" s="5"/>
      <c r="B5530" s="18"/>
      <c r="C5530" s="85"/>
      <c r="D5530" s="41"/>
      <c r="E5530" s="26" t="str">
        <f ca="1">IFERROR(__xludf.DUMMYFUNCTION("""COMPUTED_VALUE"""),"")</f>
        <v/>
      </c>
      <c r="F5530" s="72"/>
      <c r="G5530" s="72"/>
    </row>
    <row r="5531" spans="1:7" ht="14.5" hidden="1">
      <c r="A5531" s="5"/>
      <c r="B5531" s="18"/>
      <c r="C5531" s="85"/>
      <c r="D5531" s="41"/>
      <c r="E5531" s="26" t="str">
        <f ca="1">IFERROR(__xludf.DUMMYFUNCTION("""COMPUTED_VALUE"""),"")</f>
        <v/>
      </c>
      <c r="F5531" s="72"/>
      <c r="G5531" s="72"/>
    </row>
    <row r="5532" spans="1:7" ht="14.5" hidden="1">
      <c r="A5532" s="5"/>
      <c r="B5532" s="18"/>
      <c r="C5532" s="85"/>
      <c r="D5532" s="41"/>
      <c r="E5532" s="26" t="str">
        <f ca="1">IFERROR(__xludf.DUMMYFUNCTION("""COMPUTED_VALUE"""),"")</f>
        <v/>
      </c>
      <c r="F5532" s="72"/>
      <c r="G5532" s="72"/>
    </row>
    <row r="5533" spans="1:7" ht="14.5" hidden="1">
      <c r="A5533" s="5"/>
      <c r="B5533" s="18"/>
      <c r="C5533" s="85"/>
      <c r="D5533" s="41"/>
      <c r="E5533" s="26" t="str">
        <f ca="1">IFERROR(__xludf.DUMMYFUNCTION("""COMPUTED_VALUE"""),"")</f>
        <v/>
      </c>
      <c r="F5533" s="72"/>
      <c r="G5533" s="72"/>
    </row>
    <row r="5534" spans="1:7" ht="14.5" hidden="1">
      <c r="A5534" s="5"/>
      <c r="B5534" s="18"/>
      <c r="C5534" s="85"/>
      <c r="D5534" s="41"/>
      <c r="E5534" s="26" t="str">
        <f ca="1">IFERROR(__xludf.DUMMYFUNCTION("""COMPUTED_VALUE"""),"")</f>
        <v/>
      </c>
      <c r="F5534" s="72"/>
      <c r="G5534" s="72"/>
    </row>
    <row r="5535" spans="1:7" ht="14.5" hidden="1">
      <c r="A5535" s="5"/>
      <c r="B5535" s="18"/>
      <c r="C5535" s="85"/>
      <c r="D5535" s="41"/>
      <c r="E5535" s="26" t="str">
        <f ca="1">IFERROR(__xludf.DUMMYFUNCTION("""COMPUTED_VALUE"""),"")</f>
        <v/>
      </c>
      <c r="F5535" s="72"/>
      <c r="G5535" s="72"/>
    </row>
    <row r="5536" spans="1:7" ht="14.5" hidden="1">
      <c r="A5536" s="5"/>
      <c r="B5536" s="18"/>
      <c r="C5536" s="85"/>
      <c r="D5536" s="41"/>
      <c r="E5536" s="26" t="str">
        <f ca="1">IFERROR(__xludf.DUMMYFUNCTION("""COMPUTED_VALUE"""),"")</f>
        <v/>
      </c>
      <c r="F5536" s="72"/>
      <c r="G5536" s="72"/>
    </row>
    <row r="5537" spans="1:7" ht="14.5" hidden="1">
      <c r="A5537" s="5"/>
      <c r="B5537" s="18"/>
      <c r="C5537" s="85"/>
      <c r="D5537" s="41"/>
      <c r="E5537" s="26" t="str">
        <f ca="1">IFERROR(__xludf.DUMMYFUNCTION("""COMPUTED_VALUE"""),"")</f>
        <v/>
      </c>
      <c r="F5537" s="72"/>
      <c r="G5537" s="72"/>
    </row>
    <row r="5538" spans="1:7" ht="14.5" hidden="1">
      <c r="A5538" s="5"/>
      <c r="B5538" s="18"/>
      <c r="C5538" s="85"/>
      <c r="D5538" s="41"/>
      <c r="E5538" s="26" t="str">
        <f ca="1">IFERROR(__xludf.DUMMYFUNCTION("""COMPUTED_VALUE"""),"")</f>
        <v/>
      </c>
      <c r="F5538" s="72"/>
      <c r="G5538" s="72"/>
    </row>
    <row r="5539" spans="1:7" ht="14.5" hidden="1">
      <c r="A5539" s="5"/>
      <c r="B5539" s="18"/>
      <c r="C5539" s="85"/>
      <c r="D5539" s="41"/>
      <c r="E5539" s="26" t="str">
        <f ca="1">IFERROR(__xludf.DUMMYFUNCTION("""COMPUTED_VALUE"""),"")</f>
        <v/>
      </c>
      <c r="F5539" s="72"/>
      <c r="G5539" s="72"/>
    </row>
    <row r="5540" spans="1:7" ht="14.5" hidden="1">
      <c r="A5540" s="5"/>
      <c r="B5540" s="18"/>
      <c r="C5540" s="85"/>
      <c r="D5540" s="41"/>
      <c r="E5540" s="26" t="str">
        <f ca="1">IFERROR(__xludf.DUMMYFUNCTION("""COMPUTED_VALUE"""),"")</f>
        <v/>
      </c>
      <c r="F5540" s="72"/>
      <c r="G5540" s="72"/>
    </row>
    <row r="5541" spans="1:7" ht="14.5" hidden="1">
      <c r="A5541" s="5"/>
      <c r="B5541" s="18"/>
      <c r="C5541" s="85"/>
      <c r="D5541" s="41"/>
      <c r="E5541" s="26" t="str">
        <f ca="1">IFERROR(__xludf.DUMMYFUNCTION("""COMPUTED_VALUE"""),"")</f>
        <v/>
      </c>
      <c r="F5541" s="72"/>
      <c r="G5541" s="72"/>
    </row>
    <row r="5542" spans="1:7" ht="14.5" hidden="1">
      <c r="A5542" s="5"/>
      <c r="B5542" s="18"/>
      <c r="C5542" s="85"/>
      <c r="D5542" s="41"/>
      <c r="E5542" s="26" t="str">
        <f ca="1">IFERROR(__xludf.DUMMYFUNCTION("""COMPUTED_VALUE"""),"")</f>
        <v/>
      </c>
      <c r="F5542" s="72"/>
      <c r="G5542" s="72"/>
    </row>
    <row r="5543" spans="1:7" ht="14.5" hidden="1">
      <c r="A5543" s="5"/>
      <c r="B5543" s="18"/>
      <c r="C5543" s="85"/>
      <c r="D5543" s="41"/>
      <c r="E5543" s="26" t="str">
        <f ca="1">IFERROR(__xludf.DUMMYFUNCTION("""COMPUTED_VALUE"""),"")</f>
        <v/>
      </c>
      <c r="F5543" s="72"/>
      <c r="G5543" s="72"/>
    </row>
    <row r="5544" spans="1:7" ht="14.5" hidden="1">
      <c r="A5544" s="5"/>
      <c r="B5544" s="18"/>
      <c r="C5544" s="85"/>
      <c r="D5544" s="41"/>
      <c r="E5544" s="26" t="str">
        <f ca="1">IFERROR(__xludf.DUMMYFUNCTION("""COMPUTED_VALUE"""),"")</f>
        <v/>
      </c>
      <c r="F5544" s="72"/>
      <c r="G5544" s="72"/>
    </row>
    <row r="5545" spans="1:7" ht="14.5" hidden="1">
      <c r="A5545" s="5"/>
      <c r="B5545" s="18"/>
      <c r="C5545" s="85"/>
      <c r="D5545" s="41"/>
      <c r="E5545" s="26" t="str">
        <f ca="1">IFERROR(__xludf.DUMMYFUNCTION("""COMPUTED_VALUE"""),"")</f>
        <v/>
      </c>
      <c r="F5545" s="72"/>
      <c r="G5545" s="72"/>
    </row>
    <row r="5546" spans="1:7" ht="14.5" hidden="1">
      <c r="A5546" s="5"/>
      <c r="B5546" s="18"/>
      <c r="C5546" s="85"/>
      <c r="D5546" s="41"/>
      <c r="E5546" s="26" t="str">
        <f ca="1">IFERROR(__xludf.DUMMYFUNCTION("""COMPUTED_VALUE"""),"")</f>
        <v/>
      </c>
      <c r="F5546" s="72"/>
      <c r="G5546" s="72"/>
    </row>
    <row r="5547" spans="1:7" ht="14.5" hidden="1">
      <c r="A5547" s="5"/>
      <c r="B5547" s="18"/>
      <c r="C5547" s="85"/>
      <c r="D5547" s="41"/>
      <c r="E5547" s="26" t="str">
        <f ca="1">IFERROR(__xludf.DUMMYFUNCTION("""COMPUTED_VALUE"""),"")</f>
        <v/>
      </c>
      <c r="F5547" s="72"/>
      <c r="G5547" s="72"/>
    </row>
    <row r="5548" spans="1:7" ht="14.5" hidden="1">
      <c r="A5548" s="5"/>
      <c r="B5548" s="18"/>
      <c r="C5548" s="85"/>
      <c r="D5548" s="41"/>
      <c r="E5548" s="26" t="str">
        <f ca="1">IFERROR(__xludf.DUMMYFUNCTION("""COMPUTED_VALUE"""),"")</f>
        <v/>
      </c>
      <c r="F5548" s="72"/>
      <c r="G5548" s="72"/>
    </row>
    <row r="5549" spans="1:7" ht="14.5" hidden="1">
      <c r="A5549" s="5"/>
      <c r="B5549" s="18"/>
      <c r="C5549" s="85"/>
      <c r="D5549" s="41"/>
      <c r="E5549" s="26" t="str">
        <f ca="1">IFERROR(__xludf.DUMMYFUNCTION("""COMPUTED_VALUE"""),"")</f>
        <v/>
      </c>
      <c r="F5549" s="72"/>
      <c r="G5549" s="72"/>
    </row>
    <row r="5550" spans="1:7" ht="14.5" hidden="1">
      <c r="A5550" s="5"/>
      <c r="B5550" s="18"/>
      <c r="C5550" s="85"/>
      <c r="D5550" s="41"/>
      <c r="E5550" s="26" t="str">
        <f ca="1">IFERROR(__xludf.DUMMYFUNCTION("""COMPUTED_VALUE"""),"")</f>
        <v/>
      </c>
      <c r="F5550" s="72"/>
      <c r="G5550" s="72"/>
    </row>
    <row r="5551" spans="1:7" ht="14.5" hidden="1">
      <c r="A5551" s="5"/>
      <c r="B5551" s="18"/>
      <c r="C5551" s="85"/>
      <c r="D5551" s="41"/>
      <c r="E5551" s="26" t="str">
        <f ca="1">IFERROR(__xludf.DUMMYFUNCTION("""COMPUTED_VALUE"""),"")</f>
        <v/>
      </c>
      <c r="F5551" s="72"/>
      <c r="G5551" s="72"/>
    </row>
    <row r="5552" spans="1:7" ht="14.5" hidden="1">
      <c r="A5552" s="5"/>
      <c r="B5552" s="18"/>
      <c r="C5552" s="85"/>
      <c r="D5552" s="41"/>
      <c r="E5552" s="26" t="str">
        <f ca="1">IFERROR(__xludf.DUMMYFUNCTION("""COMPUTED_VALUE"""),"")</f>
        <v/>
      </c>
      <c r="F5552" s="72"/>
      <c r="G5552" s="72"/>
    </row>
    <row r="5553" spans="1:7" ht="14.5" hidden="1">
      <c r="A5553" s="5"/>
      <c r="B5553" s="18"/>
      <c r="C5553" s="85"/>
      <c r="D5553" s="41"/>
      <c r="E5553" s="26" t="str">
        <f ca="1">IFERROR(__xludf.DUMMYFUNCTION("""COMPUTED_VALUE"""),"")</f>
        <v/>
      </c>
      <c r="F5553" s="72"/>
      <c r="G5553" s="72"/>
    </row>
    <row r="5554" spans="1:7" ht="14.5" hidden="1">
      <c r="A5554" s="5"/>
      <c r="B5554" s="18"/>
      <c r="C5554" s="85"/>
      <c r="D5554" s="41"/>
      <c r="E5554" s="26" t="str">
        <f ca="1">IFERROR(__xludf.DUMMYFUNCTION("""COMPUTED_VALUE"""),"")</f>
        <v/>
      </c>
      <c r="F5554" s="72"/>
      <c r="G5554" s="72"/>
    </row>
    <row r="5555" spans="1:7" ht="14.5" hidden="1">
      <c r="A5555" s="5"/>
      <c r="B5555" s="18"/>
      <c r="C5555" s="85"/>
      <c r="D5555" s="41"/>
      <c r="E5555" s="26" t="str">
        <f ca="1">IFERROR(__xludf.DUMMYFUNCTION("""COMPUTED_VALUE"""),"")</f>
        <v/>
      </c>
      <c r="F5555" s="72"/>
      <c r="G5555" s="72"/>
    </row>
    <row r="5556" spans="1:7" ht="14.5" hidden="1">
      <c r="A5556" s="5"/>
      <c r="B5556" s="18"/>
      <c r="C5556" s="85"/>
      <c r="D5556" s="41"/>
      <c r="E5556" s="26" t="str">
        <f ca="1">IFERROR(__xludf.DUMMYFUNCTION("""COMPUTED_VALUE"""),"")</f>
        <v/>
      </c>
      <c r="F5556" s="72"/>
      <c r="G5556" s="72"/>
    </row>
    <row r="5557" spans="1:7" ht="14.5" hidden="1">
      <c r="A5557" s="5"/>
      <c r="B5557" s="18"/>
      <c r="C5557" s="85"/>
      <c r="D5557" s="41"/>
      <c r="E5557" s="26" t="str">
        <f ca="1">IFERROR(__xludf.DUMMYFUNCTION("""COMPUTED_VALUE"""),"")</f>
        <v/>
      </c>
      <c r="F5557" s="72"/>
      <c r="G5557" s="72"/>
    </row>
    <row r="5558" spans="1:7" ht="14.5" hidden="1">
      <c r="A5558" s="5"/>
      <c r="B5558" s="18"/>
      <c r="C5558" s="85"/>
      <c r="D5558" s="41"/>
      <c r="E5558" s="26" t="str">
        <f ca="1">IFERROR(__xludf.DUMMYFUNCTION("""COMPUTED_VALUE"""),"")</f>
        <v/>
      </c>
      <c r="F5558" s="72"/>
      <c r="G5558" s="72"/>
    </row>
    <row r="5559" spans="1:7" ht="14.5" hidden="1">
      <c r="A5559" s="5"/>
      <c r="B5559" s="18"/>
      <c r="C5559" s="85"/>
      <c r="D5559" s="41"/>
      <c r="E5559" s="26" t="str">
        <f ca="1">IFERROR(__xludf.DUMMYFUNCTION("""COMPUTED_VALUE"""),"")</f>
        <v/>
      </c>
      <c r="F5559" s="72"/>
      <c r="G5559" s="72"/>
    </row>
    <row r="5560" spans="1:7" ht="14.5" hidden="1">
      <c r="A5560" s="5"/>
      <c r="B5560" s="18"/>
      <c r="C5560" s="85"/>
      <c r="D5560" s="41"/>
      <c r="E5560" s="26" t="str">
        <f ca="1">IFERROR(__xludf.DUMMYFUNCTION("""COMPUTED_VALUE"""),"")</f>
        <v/>
      </c>
      <c r="F5560" s="72"/>
      <c r="G5560" s="72"/>
    </row>
    <row r="5561" spans="1:7" ht="14.5" hidden="1">
      <c r="A5561" s="5"/>
      <c r="B5561" s="18"/>
      <c r="C5561" s="85"/>
      <c r="D5561" s="41"/>
      <c r="E5561" s="26" t="str">
        <f ca="1">IFERROR(__xludf.DUMMYFUNCTION("""COMPUTED_VALUE"""),"")</f>
        <v/>
      </c>
      <c r="F5561" s="72"/>
      <c r="G5561" s="72"/>
    </row>
    <row r="5562" spans="1:7" ht="14.5" hidden="1">
      <c r="A5562" s="5"/>
      <c r="B5562" s="18"/>
      <c r="C5562" s="85"/>
      <c r="D5562" s="41"/>
      <c r="E5562" s="26" t="str">
        <f ca="1">IFERROR(__xludf.DUMMYFUNCTION("""COMPUTED_VALUE"""),"")</f>
        <v/>
      </c>
      <c r="F5562" s="72"/>
      <c r="G5562" s="72"/>
    </row>
    <row r="5563" spans="1:7" ht="14.5" hidden="1">
      <c r="A5563" s="5"/>
      <c r="B5563" s="18"/>
      <c r="C5563" s="85"/>
      <c r="D5563" s="41"/>
      <c r="E5563" s="26" t="str">
        <f ca="1">IFERROR(__xludf.DUMMYFUNCTION("""COMPUTED_VALUE"""),"")</f>
        <v/>
      </c>
      <c r="F5563" s="72"/>
      <c r="G5563" s="72"/>
    </row>
    <row r="5564" spans="1:7" ht="14.5" hidden="1">
      <c r="A5564" s="5"/>
      <c r="B5564" s="18"/>
      <c r="C5564" s="85"/>
      <c r="D5564" s="41"/>
      <c r="E5564" s="26" t="str">
        <f ca="1">IFERROR(__xludf.DUMMYFUNCTION("""COMPUTED_VALUE"""),"")</f>
        <v/>
      </c>
      <c r="F5564" s="72"/>
      <c r="G5564" s="72"/>
    </row>
    <row r="5565" spans="1:7" ht="14.5" hidden="1">
      <c r="A5565" s="5"/>
      <c r="B5565" s="18"/>
      <c r="C5565" s="85"/>
      <c r="D5565" s="41"/>
      <c r="E5565" s="26" t="str">
        <f ca="1">IFERROR(__xludf.DUMMYFUNCTION("""COMPUTED_VALUE"""),"")</f>
        <v/>
      </c>
      <c r="F5565" s="72"/>
      <c r="G5565" s="72"/>
    </row>
    <row r="5566" spans="1:7" ht="14.5" hidden="1">
      <c r="A5566" s="5"/>
      <c r="B5566" s="18"/>
      <c r="C5566" s="85"/>
      <c r="D5566" s="41"/>
      <c r="E5566" s="26" t="str">
        <f ca="1">IFERROR(__xludf.DUMMYFUNCTION("""COMPUTED_VALUE"""),"")</f>
        <v/>
      </c>
      <c r="F5566" s="72"/>
      <c r="G5566" s="72"/>
    </row>
    <row r="5567" spans="1:7" ht="14.5" hidden="1">
      <c r="A5567" s="5"/>
      <c r="B5567" s="18"/>
      <c r="C5567" s="85"/>
      <c r="D5567" s="41"/>
      <c r="E5567" s="26" t="str">
        <f ca="1">IFERROR(__xludf.DUMMYFUNCTION("""COMPUTED_VALUE"""),"")</f>
        <v/>
      </c>
      <c r="F5567" s="72"/>
      <c r="G5567" s="72"/>
    </row>
    <row r="5568" spans="1:7" ht="14.5" hidden="1">
      <c r="A5568" s="5"/>
      <c r="B5568" s="18"/>
      <c r="C5568" s="85"/>
      <c r="D5568" s="41"/>
      <c r="E5568" s="26" t="str">
        <f ca="1">IFERROR(__xludf.DUMMYFUNCTION("""COMPUTED_VALUE"""),"")</f>
        <v/>
      </c>
      <c r="F5568" s="72"/>
      <c r="G5568" s="72"/>
    </row>
    <row r="5569" spans="1:7" ht="14.5" hidden="1">
      <c r="A5569" s="5"/>
      <c r="B5569" s="18"/>
      <c r="C5569" s="85"/>
      <c r="D5569" s="41"/>
      <c r="E5569" s="26" t="str">
        <f ca="1">IFERROR(__xludf.DUMMYFUNCTION("""COMPUTED_VALUE"""),"")</f>
        <v/>
      </c>
      <c r="F5569" s="72"/>
      <c r="G5569" s="72"/>
    </row>
    <row r="5570" spans="1:7" ht="14.5" hidden="1">
      <c r="A5570" s="5"/>
      <c r="B5570" s="18"/>
      <c r="C5570" s="85"/>
      <c r="D5570" s="41"/>
      <c r="E5570" s="26" t="str">
        <f ca="1">IFERROR(__xludf.DUMMYFUNCTION("""COMPUTED_VALUE"""),"")</f>
        <v/>
      </c>
      <c r="F5570" s="72"/>
      <c r="G5570" s="72"/>
    </row>
    <row r="5571" spans="1:7" ht="14.5" hidden="1">
      <c r="A5571" s="5"/>
      <c r="B5571" s="18"/>
      <c r="C5571" s="85"/>
      <c r="D5571" s="41"/>
      <c r="E5571" s="26" t="str">
        <f ca="1">IFERROR(__xludf.DUMMYFUNCTION("""COMPUTED_VALUE"""),"")</f>
        <v/>
      </c>
      <c r="F5571" s="72"/>
      <c r="G5571" s="72"/>
    </row>
    <row r="5572" spans="1:7" ht="14.5" hidden="1">
      <c r="A5572" s="5"/>
      <c r="B5572" s="18"/>
      <c r="C5572" s="85"/>
      <c r="D5572" s="41"/>
      <c r="E5572" s="26" t="str">
        <f ca="1">IFERROR(__xludf.DUMMYFUNCTION("""COMPUTED_VALUE"""),"")</f>
        <v/>
      </c>
      <c r="F5572" s="72"/>
      <c r="G5572" s="72"/>
    </row>
    <row r="5573" spans="1:7" ht="14.5" hidden="1">
      <c r="A5573" s="5"/>
      <c r="B5573" s="18"/>
      <c r="C5573" s="85"/>
      <c r="D5573" s="41"/>
      <c r="E5573" s="26" t="str">
        <f ca="1">IFERROR(__xludf.DUMMYFUNCTION("""COMPUTED_VALUE"""),"")</f>
        <v/>
      </c>
      <c r="F5573" s="72"/>
      <c r="G5573" s="72"/>
    </row>
    <row r="5574" spans="1:7" ht="14.5" hidden="1">
      <c r="A5574" s="5"/>
      <c r="B5574" s="18"/>
      <c r="C5574" s="85"/>
      <c r="D5574" s="41"/>
      <c r="E5574" s="26" t="str">
        <f ca="1">IFERROR(__xludf.DUMMYFUNCTION("""COMPUTED_VALUE"""),"")</f>
        <v/>
      </c>
      <c r="F5574" s="72"/>
      <c r="G5574" s="72"/>
    </row>
    <row r="5575" spans="1:7" ht="14.5" hidden="1">
      <c r="A5575" s="5"/>
      <c r="B5575" s="18"/>
      <c r="C5575" s="85"/>
      <c r="D5575" s="41"/>
      <c r="E5575" s="26" t="str">
        <f ca="1">IFERROR(__xludf.DUMMYFUNCTION("""COMPUTED_VALUE"""),"")</f>
        <v/>
      </c>
      <c r="F5575" s="72"/>
      <c r="G5575" s="72"/>
    </row>
    <row r="5576" spans="1:7" ht="14.5" hidden="1">
      <c r="A5576" s="5"/>
      <c r="B5576" s="18"/>
      <c r="C5576" s="85"/>
      <c r="D5576" s="41"/>
      <c r="E5576" s="26" t="str">
        <f ca="1">IFERROR(__xludf.DUMMYFUNCTION("""COMPUTED_VALUE"""),"")</f>
        <v/>
      </c>
      <c r="F5576" s="72"/>
      <c r="G5576" s="72"/>
    </row>
    <row r="5577" spans="1:7" ht="14.5" hidden="1">
      <c r="A5577" s="5"/>
      <c r="B5577" s="18"/>
      <c r="C5577" s="85"/>
      <c r="D5577" s="41"/>
      <c r="E5577" s="26" t="str">
        <f ca="1">IFERROR(__xludf.DUMMYFUNCTION("""COMPUTED_VALUE"""),"")</f>
        <v/>
      </c>
      <c r="F5577" s="72"/>
      <c r="G5577" s="72"/>
    </row>
    <row r="5578" spans="1:7" ht="14.5" hidden="1">
      <c r="A5578" s="5"/>
      <c r="B5578" s="18"/>
      <c r="C5578" s="85"/>
      <c r="D5578" s="41"/>
      <c r="E5578" s="26" t="str">
        <f ca="1">IFERROR(__xludf.DUMMYFUNCTION("""COMPUTED_VALUE"""),"")</f>
        <v/>
      </c>
      <c r="F5578" s="72"/>
      <c r="G5578" s="72"/>
    </row>
    <row r="5579" spans="1:7" ht="14.5" hidden="1">
      <c r="A5579" s="5"/>
      <c r="B5579" s="18"/>
      <c r="C5579" s="85"/>
      <c r="D5579" s="41"/>
      <c r="E5579" s="26" t="str">
        <f ca="1">IFERROR(__xludf.DUMMYFUNCTION("""COMPUTED_VALUE"""),"")</f>
        <v/>
      </c>
      <c r="F5579" s="72"/>
      <c r="G5579" s="72"/>
    </row>
    <row r="5580" spans="1:7" ht="14.5" hidden="1">
      <c r="A5580" s="5"/>
      <c r="B5580" s="18"/>
      <c r="C5580" s="85"/>
      <c r="D5580" s="41"/>
      <c r="E5580" s="26" t="str">
        <f ca="1">IFERROR(__xludf.DUMMYFUNCTION("""COMPUTED_VALUE"""),"")</f>
        <v/>
      </c>
      <c r="F5580" s="72"/>
      <c r="G5580" s="72"/>
    </row>
    <row r="5581" spans="1:7" ht="14.5" hidden="1">
      <c r="A5581" s="5"/>
      <c r="B5581" s="18"/>
      <c r="C5581" s="85"/>
      <c r="D5581" s="41"/>
      <c r="E5581" s="26" t="str">
        <f ca="1">IFERROR(__xludf.DUMMYFUNCTION("""COMPUTED_VALUE"""),"")</f>
        <v/>
      </c>
      <c r="F5581" s="72"/>
      <c r="G5581" s="72"/>
    </row>
    <row r="5582" spans="1:7" ht="14.5" hidden="1">
      <c r="A5582" s="5"/>
      <c r="B5582" s="18"/>
      <c r="C5582" s="85"/>
      <c r="D5582" s="41"/>
      <c r="E5582" s="26" t="str">
        <f ca="1">IFERROR(__xludf.DUMMYFUNCTION("""COMPUTED_VALUE"""),"")</f>
        <v/>
      </c>
      <c r="F5582" s="72"/>
      <c r="G5582" s="72"/>
    </row>
    <row r="5583" spans="1:7" ht="14.5" hidden="1">
      <c r="A5583" s="5"/>
      <c r="B5583" s="18"/>
      <c r="C5583" s="85"/>
      <c r="D5583" s="41"/>
      <c r="E5583" s="26" t="str">
        <f ca="1">IFERROR(__xludf.DUMMYFUNCTION("""COMPUTED_VALUE"""),"")</f>
        <v/>
      </c>
      <c r="F5583" s="72"/>
      <c r="G5583" s="72"/>
    </row>
    <row r="5584" spans="1:7" ht="14.5" hidden="1">
      <c r="A5584" s="5"/>
      <c r="B5584" s="18"/>
      <c r="C5584" s="85"/>
      <c r="D5584" s="41"/>
      <c r="E5584" s="26" t="str">
        <f ca="1">IFERROR(__xludf.DUMMYFUNCTION("""COMPUTED_VALUE"""),"")</f>
        <v/>
      </c>
      <c r="F5584" s="72"/>
      <c r="G5584" s="72"/>
    </row>
    <row r="5585" spans="1:7" ht="14.5" hidden="1">
      <c r="A5585" s="5"/>
      <c r="B5585" s="18"/>
      <c r="C5585" s="85"/>
      <c r="D5585" s="41"/>
      <c r="E5585" s="26" t="str">
        <f ca="1">IFERROR(__xludf.DUMMYFUNCTION("""COMPUTED_VALUE"""),"")</f>
        <v/>
      </c>
      <c r="F5585" s="72"/>
      <c r="G5585" s="72"/>
    </row>
    <row r="5586" spans="1:7" ht="14.5" hidden="1">
      <c r="A5586" s="5"/>
      <c r="B5586" s="18"/>
      <c r="C5586" s="85"/>
      <c r="D5586" s="41"/>
      <c r="E5586" s="26" t="str">
        <f ca="1">IFERROR(__xludf.DUMMYFUNCTION("""COMPUTED_VALUE"""),"")</f>
        <v/>
      </c>
      <c r="F5586" s="72"/>
      <c r="G5586" s="72"/>
    </row>
    <row r="5587" spans="1:7" ht="14.5" hidden="1">
      <c r="A5587" s="5"/>
      <c r="B5587" s="18"/>
      <c r="C5587" s="85"/>
      <c r="D5587" s="41"/>
      <c r="E5587" s="26" t="str">
        <f ca="1">IFERROR(__xludf.DUMMYFUNCTION("""COMPUTED_VALUE"""),"")</f>
        <v/>
      </c>
      <c r="F5587" s="72"/>
      <c r="G5587" s="72"/>
    </row>
    <row r="5588" spans="1:7" ht="14.5" hidden="1">
      <c r="A5588" s="5"/>
      <c r="B5588" s="18"/>
      <c r="C5588" s="85"/>
      <c r="D5588" s="41"/>
      <c r="E5588" s="26" t="str">
        <f ca="1">IFERROR(__xludf.DUMMYFUNCTION("""COMPUTED_VALUE"""),"")</f>
        <v/>
      </c>
      <c r="F5588" s="72"/>
      <c r="G5588" s="72"/>
    </row>
    <row r="5589" spans="1:7" ht="14.5" hidden="1">
      <c r="A5589" s="5"/>
      <c r="B5589" s="18"/>
      <c r="C5589" s="85"/>
      <c r="D5589" s="41"/>
      <c r="E5589" s="26" t="str">
        <f ca="1">IFERROR(__xludf.DUMMYFUNCTION("""COMPUTED_VALUE"""),"")</f>
        <v/>
      </c>
      <c r="F5589" s="72"/>
      <c r="G5589" s="72"/>
    </row>
    <row r="5590" spans="1:7" ht="14.5" hidden="1">
      <c r="A5590" s="5"/>
      <c r="B5590" s="18"/>
      <c r="C5590" s="85"/>
      <c r="D5590" s="41"/>
      <c r="E5590" s="26" t="str">
        <f ca="1">IFERROR(__xludf.DUMMYFUNCTION("""COMPUTED_VALUE"""),"")</f>
        <v/>
      </c>
      <c r="F5590" s="72"/>
      <c r="G5590" s="72"/>
    </row>
    <row r="5591" spans="1:7" ht="14.5" hidden="1">
      <c r="A5591" s="5"/>
      <c r="B5591" s="18"/>
      <c r="C5591" s="85"/>
      <c r="D5591" s="41"/>
      <c r="E5591" s="26" t="str">
        <f ca="1">IFERROR(__xludf.DUMMYFUNCTION("""COMPUTED_VALUE"""),"")</f>
        <v/>
      </c>
      <c r="F5591" s="72"/>
      <c r="G5591" s="72"/>
    </row>
    <row r="5592" spans="1:7" ht="14.5" hidden="1">
      <c r="A5592" s="5"/>
      <c r="B5592" s="18"/>
      <c r="C5592" s="85"/>
      <c r="D5592" s="41"/>
      <c r="E5592" s="26" t="str">
        <f ca="1">IFERROR(__xludf.DUMMYFUNCTION("""COMPUTED_VALUE"""),"")</f>
        <v/>
      </c>
      <c r="F5592" s="72"/>
      <c r="G5592" s="72"/>
    </row>
    <row r="5593" spans="1:7" ht="14.5" hidden="1">
      <c r="A5593" s="5"/>
      <c r="B5593" s="18"/>
      <c r="C5593" s="85"/>
      <c r="D5593" s="41"/>
      <c r="E5593" s="26" t="str">
        <f ca="1">IFERROR(__xludf.DUMMYFUNCTION("""COMPUTED_VALUE"""),"")</f>
        <v/>
      </c>
      <c r="F5593" s="72"/>
      <c r="G5593" s="72"/>
    </row>
    <row r="5594" spans="1:7" ht="14.5" hidden="1">
      <c r="A5594" s="5"/>
      <c r="B5594" s="18"/>
      <c r="C5594" s="85"/>
      <c r="D5594" s="41"/>
      <c r="E5594" s="26" t="str">
        <f ca="1">IFERROR(__xludf.DUMMYFUNCTION("""COMPUTED_VALUE"""),"")</f>
        <v/>
      </c>
      <c r="F5594" s="72"/>
      <c r="G5594" s="72"/>
    </row>
    <row r="5595" spans="1:7" ht="14.5" hidden="1">
      <c r="A5595" s="5"/>
      <c r="B5595" s="18"/>
      <c r="C5595" s="85"/>
      <c r="D5595" s="41"/>
      <c r="E5595" s="26" t="str">
        <f ca="1">IFERROR(__xludf.DUMMYFUNCTION("""COMPUTED_VALUE"""),"")</f>
        <v/>
      </c>
      <c r="F5595" s="72"/>
      <c r="G5595" s="72"/>
    </row>
    <row r="5596" spans="1:7" ht="14.5" hidden="1">
      <c r="A5596" s="5"/>
      <c r="B5596" s="18"/>
      <c r="C5596" s="85"/>
      <c r="D5596" s="41"/>
      <c r="E5596" s="26" t="str">
        <f ca="1">IFERROR(__xludf.DUMMYFUNCTION("""COMPUTED_VALUE"""),"")</f>
        <v/>
      </c>
      <c r="F5596" s="72"/>
      <c r="G5596" s="72"/>
    </row>
    <row r="5597" spans="1:7" ht="14.5" hidden="1">
      <c r="A5597" s="5"/>
      <c r="B5597" s="18"/>
      <c r="C5597" s="85"/>
      <c r="D5597" s="41"/>
      <c r="E5597" s="26" t="str">
        <f ca="1">IFERROR(__xludf.DUMMYFUNCTION("""COMPUTED_VALUE"""),"")</f>
        <v/>
      </c>
      <c r="F5597" s="72"/>
      <c r="G5597" s="72"/>
    </row>
    <row r="5598" spans="1:7" ht="14.5" hidden="1">
      <c r="A5598" s="5"/>
      <c r="B5598" s="18"/>
      <c r="C5598" s="85"/>
      <c r="D5598" s="41"/>
      <c r="E5598" s="26" t="str">
        <f ca="1">IFERROR(__xludf.DUMMYFUNCTION("""COMPUTED_VALUE"""),"")</f>
        <v/>
      </c>
      <c r="F5598" s="72"/>
      <c r="G5598" s="72"/>
    </row>
    <row r="5599" spans="1:7" ht="14.5" hidden="1">
      <c r="A5599" s="5"/>
      <c r="B5599" s="18"/>
      <c r="C5599" s="85"/>
      <c r="D5599" s="41"/>
      <c r="E5599" s="26" t="str">
        <f ca="1">IFERROR(__xludf.DUMMYFUNCTION("""COMPUTED_VALUE"""),"")</f>
        <v/>
      </c>
      <c r="F5599" s="72"/>
      <c r="G5599" s="72"/>
    </row>
    <row r="5600" spans="1:7" ht="14.5" hidden="1">
      <c r="A5600" s="5"/>
      <c r="B5600" s="18"/>
      <c r="C5600" s="85"/>
      <c r="D5600" s="41"/>
      <c r="E5600" s="26" t="str">
        <f ca="1">IFERROR(__xludf.DUMMYFUNCTION("""COMPUTED_VALUE"""),"")</f>
        <v/>
      </c>
      <c r="F5600" s="72"/>
      <c r="G5600" s="72"/>
    </row>
    <row r="5601" spans="1:7" ht="14.5" hidden="1">
      <c r="A5601" s="5"/>
      <c r="B5601" s="18"/>
      <c r="C5601" s="85"/>
      <c r="D5601" s="41"/>
      <c r="E5601" s="26" t="str">
        <f ca="1">IFERROR(__xludf.DUMMYFUNCTION("""COMPUTED_VALUE"""),"")</f>
        <v/>
      </c>
      <c r="F5601" s="72"/>
      <c r="G5601" s="72"/>
    </row>
    <row r="5602" spans="1:7" ht="14.5" hidden="1">
      <c r="A5602" s="5"/>
      <c r="B5602" s="18"/>
      <c r="C5602" s="85"/>
      <c r="D5602" s="41"/>
      <c r="E5602" s="26" t="str">
        <f ca="1">IFERROR(__xludf.DUMMYFUNCTION("""COMPUTED_VALUE"""),"")</f>
        <v/>
      </c>
      <c r="F5602" s="72"/>
      <c r="G5602" s="72"/>
    </row>
    <row r="5603" spans="1:7" ht="14.5" hidden="1">
      <c r="A5603" s="5"/>
      <c r="B5603" s="18"/>
      <c r="C5603" s="85"/>
      <c r="D5603" s="41"/>
      <c r="E5603" s="26" t="str">
        <f ca="1">IFERROR(__xludf.DUMMYFUNCTION("""COMPUTED_VALUE"""),"")</f>
        <v/>
      </c>
      <c r="F5603" s="72"/>
      <c r="G5603" s="72"/>
    </row>
    <row r="5604" spans="1:7" ht="14.5" hidden="1">
      <c r="A5604" s="5"/>
      <c r="B5604" s="18"/>
      <c r="C5604" s="85"/>
      <c r="D5604" s="41"/>
      <c r="E5604" s="26" t="str">
        <f ca="1">IFERROR(__xludf.DUMMYFUNCTION("""COMPUTED_VALUE"""),"")</f>
        <v/>
      </c>
      <c r="F5604" s="72"/>
      <c r="G5604" s="72"/>
    </row>
    <row r="5605" spans="1:7" ht="14.5" hidden="1">
      <c r="A5605" s="5"/>
      <c r="B5605" s="18"/>
      <c r="C5605" s="85"/>
      <c r="D5605" s="41"/>
      <c r="E5605" s="26" t="str">
        <f ca="1">IFERROR(__xludf.DUMMYFUNCTION("""COMPUTED_VALUE"""),"")</f>
        <v/>
      </c>
      <c r="F5605" s="72"/>
      <c r="G5605" s="72"/>
    </row>
    <row r="5606" spans="1:7" ht="14.5" hidden="1">
      <c r="A5606" s="5"/>
      <c r="B5606" s="18"/>
      <c r="C5606" s="85"/>
      <c r="D5606" s="41"/>
      <c r="E5606" s="26" t="str">
        <f ca="1">IFERROR(__xludf.DUMMYFUNCTION("""COMPUTED_VALUE"""),"")</f>
        <v/>
      </c>
      <c r="F5606" s="72"/>
      <c r="G5606" s="72"/>
    </row>
    <row r="5607" spans="1:7" ht="14.5" hidden="1">
      <c r="A5607" s="5"/>
      <c r="B5607" s="18"/>
      <c r="C5607" s="85"/>
      <c r="D5607" s="41"/>
      <c r="E5607" s="26" t="str">
        <f ca="1">IFERROR(__xludf.DUMMYFUNCTION("""COMPUTED_VALUE"""),"")</f>
        <v/>
      </c>
      <c r="F5607" s="72"/>
      <c r="G5607" s="72"/>
    </row>
    <row r="5608" spans="1:7" ht="14.5" hidden="1">
      <c r="A5608" s="5"/>
      <c r="B5608" s="18"/>
      <c r="C5608" s="85"/>
      <c r="D5608" s="41"/>
      <c r="E5608" s="26" t="str">
        <f ca="1">IFERROR(__xludf.DUMMYFUNCTION("""COMPUTED_VALUE"""),"")</f>
        <v/>
      </c>
      <c r="F5608" s="72"/>
      <c r="G5608" s="72"/>
    </row>
    <row r="5609" spans="1:7" ht="14.5" hidden="1">
      <c r="A5609" s="5"/>
      <c r="B5609" s="18"/>
      <c r="C5609" s="85"/>
      <c r="D5609" s="41"/>
      <c r="E5609" s="26" t="str">
        <f ca="1">IFERROR(__xludf.DUMMYFUNCTION("""COMPUTED_VALUE"""),"")</f>
        <v/>
      </c>
      <c r="F5609" s="72"/>
      <c r="G5609" s="72"/>
    </row>
    <row r="5610" spans="1:7" ht="14.5" hidden="1">
      <c r="A5610" s="5"/>
      <c r="B5610" s="18"/>
      <c r="C5610" s="85"/>
      <c r="D5610" s="41"/>
      <c r="E5610" s="26" t="str">
        <f ca="1">IFERROR(__xludf.DUMMYFUNCTION("""COMPUTED_VALUE"""),"")</f>
        <v/>
      </c>
      <c r="F5610" s="72"/>
      <c r="G5610" s="72"/>
    </row>
    <row r="5611" spans="1:7" ht="14.5" hidden="1">
      <c r="A5611" s="5"/>
      <c r="B5611" s="18"/>
      <c r="C5611" s="85"/>
      <c r="D5611" s="41"/>
      <c r="E5611" s="26" t="str">
        <f ca="1">IFERROR(__xludf.DUMMYFUNCTION("""COMPUTED_VALUE"""),"")</f>
        <v/>
      </c>
      <c r="F5611" s="72"/>
      <c r="G5611" s="72"/>
    </row>
    <row r="5612" spans="1:7" ht="14.5" hidden="1">
      <c r="A5612" s="5"/>
      <c r="B5612" s="18"/>
      <c r="C5612" s="85"/>
      <c r="D5612" s="41"/>
      <c r="E5612" s="26" t="str">
        <f ca="1">IFERROR(__xludf.DUMMYFUNCTION("""COMPUTED_VALUE"""),"")</f>
        <v/>
      </c>
      <c r="F5612" s="72"/>
      <c r="G5612" s="72"/>
    </row>
    <row r="5613" spans="1:7" ht="14.5" hidden="1">
      <c r="A5613" s="5"/>
      <c r="B5613" s="18"/>
      <c r="C5613" s="85"/>
      <c r="D5613" s="41"/>
      <c r="E5613" s="26" t="str">
        <f ca="1">IFERROR(__xludf.DUMMYFUNCTION("""COMPUTED_VALUE"""),"")</f>
        <v/>
      </c>
      <c r="F5613" s="72"/>
      <c r="G5613" s="72"/>
    </row>
    <row r="5614" spans="1:7" ht="14.5" hidden="1">
      <c r="A5614" s="5"/>
      <c r="B5614" s="18"/>
      <c r="C5614" s="85"/>
      <c r="D5614" s="41"/>
      <c r="E5614" s="26" t="str">
        <f ca="1">IFERROR(__xludf.DUMMYFUNCTION("""COMPUTED_VALUE"""),"")</f>
        <v/>
      </c>
      <c r="F5614" s="72"/>
      <c r="G5614" s="72"/>
    </row>
    <row r="5615" spans="1:7" ht="14.5" hidden="1">
      <c r="A5615" s="5"/>
      <c r="B5615" s="18"/>
      <c r="C5615" s="85"/>
      <c r="D5615" s="41"/>
      <c r="E5615" s="26" t="str">
        <f ca="1">IFERROR(__xludf.DUMMYFUNCTION("""COMPUTED_VALUE"""),"")</f>
        <v/>
      </c>
      <c r="F5615" s="72"/>
      <c r="G5615" s="72"/>
    </row>
    <row r="5616" spans="1:7" ht="14.5" hidden="1">
      <c r="A5616" s="5"/>
      <c r="B5616" s="18"/>
      <c r="C5616" s="85"/>
      <c r="D5616" s="41"/>
      <c r="E5616" s="26" t="str">
        <f ca="1">IFERROR(__xludf.DUMMYFUNCTION("""COMPUTED_VALUE"""),"")</f>
        <v/>
      </c>
      <c r="F5616" s="72"/>
      <c r="G5616" s="72"/>
    </row>
    <row r="5617" spans="1:7" ht="14.5" hidden="1">
      <c r="A5617" s="5"/>
      <c r="B5617" s="18"/>
      <c r="C5617" s="85"/>
      <c r="D5617" s="41"/>
      <c r="E5617" s="26" t="str">
        <f ca="1">IFERROR(__xludf.DUMMYFUNCTION("""COMPUTED_VALUE"""),"")</f>
        <v/>
      </c>
      <c r="F5617" s="72"/>
      <c r="G5617" s="72"/>
    </row>
    <row r="5618" spans="1:7" ht="14.5" hidden="1">
      <c r="A5618" s="5"/>
      <c r="B5618" s="18"/>
      <c r="C5618" s="85"/>
      <c r="D5618" s="41"/>
      <c r="E5618" s="26" t="str">
        <f ca="1">IFERROR(__xludf.DUMMYFUNCTION("""COMPUTED_VALUE"""),"")</f>
        <v/>
      </c>
      <c r="F5618" s="72"/>
      <c r="G5618" s="72"/>
    </row>
    <row r="5619" spans="1:7" ht="14.5" hidden="1">
      <c r="A5619" s="5"/>
      <c r="B5619" s="18"/>
      <c r="C5619" s="85"/>
      <c r="D5619" s="41"/>
      <c r="E5619" s="26" t="str">
        <f ca="1">IFERROR(__xludf.DUMMYFUNCTION("""COMPUTED_VALUE"""),"")</f>
        <v/>
      </c>
      <c r="F5619" s="72"/>
      <c r="G5619" s="72"/>
    </row>
    <row r="5620" spans="1:7" ht="14.5" hidden="1">
      <c r="A5620" s="5"/>
      <c r="B5620" s="18"/>
      <c r="C5620" s="85"/>
      <c r="D5620" s="41"/>
      <c r="E5620" s="26" t="str">
        <f ca="1">IFERROR(__xludf.DUMMYFUNCTION("""COMPUTED_VALUE"""),"")</f>
        <v/>
      </c>
      <c r="F5620" s="72"/>
      <c r="G5620" s="72"/>
    </row>
    <row r="5621" spans="1:7" ht="14.5" hidden="1">
      <c r="A5621" s="5"/>
      <c r="B5621" s="18"/>
      <c r="C5621" s="85"/>
      <c r="D5621" s="41"/>
      <c r="E5621" s="26" t="str">
        <f ca="1">IFERROR(__xludf.DUMMYFUNCTION("""COMPUTED_VALUE"""),"")</f>
        <v/>
      </c>
      <c r="F5621" s="72"/>
      <c r="G5621" s="72"/>
    </row>
    <row r="5622" spans="1:7" ht="14.5" hidden="1">
      <c r="A5622" s="5"/>
      <c r="B5622" s="18"/>
      <c r="C5622" s="85"/>
      <c r="D5622" s="41"/>
      <c r="E5622" s="26" t="str">
        <f ca="1">IFERROR(__xludf.DUMMYFUNCTION("""COMPUTED_VALUE"""),"")</f>
        <v/>
      </c>
      <c r="F5622" s="72"/>
      <c r="G5622" s="72"/>
    </row>
    <row r="5623" spans="1:7" ht="14.5" hidden="1">
      <c r="A5623" s="5"/>
      <c r="B5623" s="18"/>
      <c r="C5623" s="85"/>
      <c r="D5623" s="41"/>
      <c r="E5623" s="26" t="str">
        <f ca="1">IFERROR(__xludf.DUMMYFUNCTION("""COMPUTED_VALUE"""),"")</f>
        <v/>
      </c>
      <c r="F5623" s="72"/>
      <c r="G5623" s="72"/>
    </row>
    <row r="5624" spans="1:7" ht="14.5" hidden="1">
      <c r="A5624" s="5"/>
      <c r="B5624" s="18"/>
      <c r="C5624" s="85"/>
      <c r="D5624" s="41"/>
      <c r="E5624" s="26" t="str">
        <f ca="1">IFERROR(__xludf.DUMMYFUNCTION("""COMPUTED_VALUE"""),"")</f>
        <v/>
      </c>
      <c r="F5624" s="72"/>
      <c r="G5624" s="72"/>
    </row>
    <row r="5625" spans="1:7" ht="14.5" hidden="1">
      <c r="A5625" s="5"/>
      <c r="B5625" s="18"/>
      <c r="C5625" s="85"/>
      <c r="D5625" s="41"/>
      <c r="E5625" s="26" t="str">
        <f ca="1">IFERROR(__xludf.DUMMYFUNCTION("""COMPUTED_VALUE"""),"")</f>
        <v/>
      </c>
      <c r="F5625" s="72"/>
      <c r="G5625" s="72"/>
    </row>
    <row r="5626" spans="1:7" ht="14.5" hidden="1">
      <c r="A5626" s="5"/>
      <c r="B5626" s="18"/>
      <c r="C5626" s="85"/>
      <c r="D5626" s="41"/>
      <c r="E5626" s="26" t="str">
        <f ca="1">IFERROR(__xludf.DUMMYFUNCTION("""COMPUTED_VALUE"""),"")</f>
        <v/>
      </c>
      <c r="F5626" s="72"/>
      <c r="G5626" s="72"/>
    </row>
    <row r="5627" spans="1:7" ht="14.5" hidden="1">
      <c r="A5627" s="5"/>
      <c r="B5627" s="18"/>
      <c r="C5627" s="85"/>
      <c r="D5627" s="41"/>
      <c r="E5627" s="26" t="str">
        <f ca="1">IFERROR(__xludf.DUMMYFUNCTION("""COMPUTED_VALUE"""),"")</f>
        <v/>
      </c>
      <c r="F5627" s="72"/>
      <c r="G5627" s="72"/>
    </row>
    <row r="5628" spans="1:7" ht="14.5" hidden="1">
      <c r="A5628" s="5"/>
      <c r="B5628" s="18"/>
      <c r="C5628" s="85"/>
      <c r="D5628" s="41"/>
      <c r="E5628" s="26" t="str">
        <f ca="1">IFERROR(__xludf.DUMMYFUNCTION("""COMPUTED_VALUE"""),"")</f>
        <v/>
      </c>
      <c r="F5628" s="72"/>
      <c r="G5628" s="72"/>
    </row>
    <row r="5629" spans="1:7" ht="14.5" hidden="1">
      <c r="A5629" s="5"/>
      <c r="B5629" s="18"/>
      <c r="C5629" s="85"/>
      <c r="D5629" s="41"/>
      <c r="E5629" s="26" t="str">
        <f ca="1">IFERROR(__xludf.DUMMYFUNCTION("""COMPUTED_VALUE"""),"")</f>
        <v/>
      </c>
      <c r="F5629" s="72"/>
      <c r="G5629" s="72"/>
    </row>
    <row r="5630" spans="1:7" ht="14.5" hidden="1">
      <c r="A5630" s="5"/>
      <c r="B5630" s="18"/>
      <c r="C5630" s="85"/>
      <c r="D5630" s="41"/>
      <c r="E5630" s="26" t="str">
        <f ca="1">IFERROR(__xludf.DUMMYFUNCTION("""COMPUTED_VALUE"""),"")</f>
        <v/>
      </c>
      <c r="F5630" s="72"/>
      <c r="G5630" s="72"/>
    </row>
    <row r="5631" spans="1:7" ht="14.5" hidden="1">
      <c r="A5631" s="5"/>
      <c r="B5631" s="18"/>
      <c r="C5631" s="85"/>
      <c r="D5631" s="41"/>
      <c r="E5631" s="26" t="str">
        <f ca="1">IFERROR(__xludf.DUMMYFUNCTION("""COMPUTED_VALUE"""),"")</f>
        <v/>
      </c>
      <c r="F5631" s="72"/>
      <c r="G5631" s="72"/>
    </row>
    <row r="5632" spans="1:7" ht="14.5" hidden="1">
      <c r="A5632" s="5"/>
      <c r="B5632" s="18"/>
      <c r="C5632" s="85"/>
      <c r="D5632" s="41"/>
      <c r="E5632" s="26" t="str">
        <f ca="1">IFERROR(__xludf.DUMMYFUNCTION("""COMPUTED_VALUE"""),"")</f>
        <v/>
      </c>
      <c r="F5632" s="72"/>
      <c r="G5632" s="72"/>
    </row>
    <row r="5633" spans="1:7" ht="14.5" hidden="1">
      <c r="A5633" s="5"/>
      <c r="B5633" s="18"/>
      <c r="C5633" s="85"/>
      <c r="D5633" s="41"/>
      <c r="E5633" s="26" t="str">
        <f ca="1">IFERROR(__xludf.DUMMYFUNCTION("""COMPUTED_VALUE"""),"")</f>
        <v/>
      </c>
      <c r="F5633" s="72"/>
      <c r="G5633" s="72"/>
    </row>
    <row r="5634" spans="1:7" ht="14.5" hidden="1">
      <c r="A5634" s="5"/>
      <c r="B5634" s="18"/>
      <c r="C5634" s="85"/>
      <c r="D5634" s="41"/>
      <c r="E5634" s="26" t="str">
        <f ca="1">IFERROR(__xludf.DUMMYFUNCTION("""COMPUTED_VALUE"""),"")</f>
        <v/>
      </c>
      <c r="F5634" s="72"/>
      <c r="G5634" s="72"/>
    </row>
    <row r="5635" spans="1:7" ht="14.5" hidden="1">
      <c r="A5635" s="5"/>
      <c r="B5635" s="18"/>
      <c r="C5635" s="85"/>
      <c r="D5635" s="41"/>
      <c r="E5635" s="26" t="str">
        <f ca="1">IFERROR(__xludf.DUMMYFUNCTION("""COMPUTED_VALUE"""),"")</f>
        <v/>
      </c>
      <c r="F5635" s="72"/>
      <c r="G5635" s="72"/>
    </row>
    <row r="5636" spans="1:7" ht="14.5" hidden="1">
      <c r="A5636" s="5"/>
      <c r="B5636" s="18"/>
      <c r="C5636" s="85"/>
      <c r="D5636" s="41"/>
      <c r="E5636" s="26" t="str">
        <f ca="1">IFERROR(__xludf.DUMMYFUNCTION("""COMPUTED_VALUE"""),"")</f>
        <v/>
      </c>
      <c r="F5636" s="72"/>
      <c r="G5636" s="72"/>
    </row>
    <row r="5637" spans="1:7" ht="14.5" hidden="1">
      <c r="A5637" s="5"/>
      <c r="B5637" s="18"/>
      <c r="C5637" s="85"/>
      <c r="D5637" s="41"/>
      <c r="E5637" s="26" t="str">
        <f ca="1">IFERROR(__xludf.DUMMYFUNCTION("""COMPUTED_VALUE"""),"")</f>
        <v/>
      </c>
      <c r="F5637" s="72"/>
      <c r="G5637" s="72"/>
    </row>
    <row r="5638" spans="1:7" ht="14.5" hidden="1">
      <c r="A5638" s="5"/>
      <c r="B5638" s="18"/>
      <c r="C5638" s="85"/>
      <c r="D5638" s="41"/>
      <c r="E5638" s="26" t="str">
        <f ca="1">IFERROR(__xludf.DUMMYFUNCTION("""COMPUTED_VALUE"""),"")</f>
        <v/>
      </c>
      <c r="F5638" s="72"/>
      <c r="G5638" s="72"/>
    </row>
    <row r="5639" spans="1:7" ht="14.5" hidden="1">
      <c r="A5639" s="5"/>
      <c r="B5639" s="18"/>
      <c r="C5639" s="85"/>
      <c r="D5639" s="41"/>
      <c r="E5639" s="26" t="str">
        <f ca="1">IFERROR(__xludf.DUMMYFUNCTION("""COMPUTED_VALUE"""),"")</f>
        <v/>
      </c>
      <c r="F5639" s="72"/>
      <c r="G5639" s="72"/>
    </row>
    <row r="5640" spans="1:7" ht="14.5" hidden="1">
      <c r="A5640" s="5"/>
      <c r="B5640" s="18"/>
      <c r="C5640" s="85"/>
      <c r="D5640" s="41"/>
      <c r="E5640" s="26" t="str">
        <f ca="1">IFERROR(__xludf.DUMMYFUNCTION("""COMPUTED_VALUE"""),"")</f>
        <v/>
      </c>
      <c r="F5640" s="72"/>
      <c r="G5640" s="72"/>
    </row>
    <row r="5641" spans="1:7" ht="14.5" hidden="1">
      <c r="A5641" s="5"/>
      <c r="B5641" s="18"/>
      <c r="C5641" s="85"/>
      <c r="D5641" s="41"/>
      <c r="E5641" s="26" t="str">
        <f ca="1">IFERROR(__xludf.DUMMYFUNCTION("""COMPUTED_VALUE"""),"")</f>
        <v/>
      </c>
      <c r="F5641" s="72"/>
      <c r="G5641" s="72"/>
    </row>
    <row r="5642" spans="1:7" ht="14.5" hidden="1">
      <c r="A5642" s="5"/>
      <c r="B5642" s="18"/>
      <c r="C5642" s="85"/>
      <c r="D5642" s="41"/>
      <c r="E5642" s="26" t="str">
        <f ca="1">IFERROR(__xludf.DUMMYFUNCTION("""COMPUTED_VALUE"""),"")</f>
        <v/>
      </c>
      <c r="F5642" s="72"/>
      <c r="G5642" s="72"/>
    </row>
    <row r="5643" spans="1:7" ht="14.5" hidden="1">
      <c r="A5643" s="5"/>
      <c r="B5643" s="18"/>
      <c r="C5643" s="85"/>
      <c r="D5643" s="41"/>
      <c r="E5643" s="26" t="str">
        <f ca="1">IFERROR(__xludf.DUMMYFUNCTION("""COMPUTED_VALUE"""),"")</f>
        <v/>
      </c>
      <c r="F5643" s="72"/>
      <c r="G5643" s="72"/>
    </row>
    <row r="5644" spans="1:7" ht="14.5" hidden="1">
      <c r="A5644" s="5"/>
      <c r="B5644" s="18"/>
      <c r="C5644" s="85"/>
      <c r="D5644" s="41"/>
      <c r="E5644" s="26" t="str">
        <f ca="1">IFERROR(__xludf.DUMMYFUNCTION("""COMPUTED_VALUE"""),"")</f>
        <v/>
      </c>
      <c r="F5644" s="72"/>
      <c r="G5644" s="72"/>
    </row>
    <row r="5645" spans="1:7" ht="14.5" hidden="1">
      <c r="A5645" s="5"/>
      <c r="B5645" s="18"/>
      <c r="C5645" s="85"/>
      <c r="D5645" s="41"/>
      <c r="E5645" s="26" t="str">
        <f ca="1">IFERROR(__xludf.DUMMYFUNCTION("""COMPUTED_VALUE"""),"")</f>
        <v/>
      </c>
      <c r="F5645" s="72"/>
      <c r="G5645" s="72"/>
    </row>
    <row r="5646" spans="1:7" ht="14.5" hidden="1">
      <c r="A5646" s="5"/>
      <c r="B5646" s="18"/>
      <c r="C5646" s="85"/>
      <c r="D5646" s="41"/>
      <c r="E5646" s="26" t="str">
        <f ca="1">IFERROR(__xludf.DUMMYFUNCTION("""COMPUTED_VALUE"""),"")</f>
        <v/>
      </c>
      <c r="F5646" s="72"/>
      <c r="G5646" s="72"/>
    </row>
    <row r="5647" spans="1:7" ht="14.5" hidden="1">
      <c r="A5647" s="5"/>
      <c r="B5647" s="18"/>
      <c r="C5647" s="85"/>
      <c r="D5647" s="41"/>
      <c r="E5647" s="26" t="str">
        <f ca="1">IFERROR(__xludf.DUMMYFUNCTION("""COMPUTED_VALUE"""),"")</f>
        <v/>
      </c>
      <c r="F5647" s="72"/>
      <c r="G5647" s="72"/>
    </row>
    <row r="5648" spans="1:7" ht="14.5" hidden="1">
      <c r="A5648" s="5"/>
      <c r="B5648" s="18"/>
      <c r="C5648" s="85"/>
      <c r="D5648" s="41"/>
      <c r="E5648" s="26" t="str">
        <f ca="1">IFERROR(__xludf.DUMMYFUNCTION("""COMPUTED_VALUE"""),"")</f>
        <v/>
      </c>
      <c r="F5648" s="72"/>
      <c r="G5648" s="72"/>
    </row>
    <row r="5649" spans="1:7" ht="14.5" hidden="1">
      <c r="A5649" s="5"/>
      <c r="B5649" s="18"/>
      <c r="C5649" s="85"/>
      <c r="D5649" s="41"/>
      <c r="E5649" s="26" t="str">
        <f ca="1">IFERROR(__xludf.DUMMYFUNCTION("""COMPUTED_VALUE"""),"")</f>
        <v/>
      </c>
      <c r="F5649" s="72"/>
      <c r="G5649" s="72"/>
    </row>
    <row r="5650" spans="1:7" ht="14.5" hidden="1">
      <c r="A5650" s="5"/>
      <c r="B5650" s="18"/>
      <c r="C5650" s="85"/>
      <c r="D5650" s="41"/>
      <c r="E5650" s="26" t="str">
        <f ca="1">IFERROR(__xludf.DUMMYFUNCTION("""COMPUTED_VALUE"""),"")</f>
        <v/>
      </c>
      <c r="F5650" s="72"/>
      <c r="G5650" s="72"/>
    </row>
    <row r="5651" spans="1:7" ht="14.5" hidden="1">
      <c r="A5651" s="5"/>
      <c r="B5651" s="18"/>
      <c r="C5651" s="85"/>
      <c r="D5651" s="41"/>
      <c r="E5651" s="26" t="str">
        <f ca="1">IFERROR(__xludf.DUMMYFUNCTION("""COMPUTED_VALUE"""),"")</f>
        <v/>
      </c>
      <c r="F5651" s="72"/>
      <c r="G5651" s="72"/>
    </row>
    <row r="5652" spans="1:7" ht="14.5" hidden="1">
      <c r="A5652" s="5"/>
      <c r="B5652" s="18"/>
      <c r="C5652" s="85"/>
      <c r="D5652" s="41"/>
      <c r="E5652" s="26" t="str">
        <f ca="1">IFERROR(__xludf.DUMMYFUNCTION("""COMPUTED_VALUE"""),"")</f>
        <v/>
      </c>
      <c r="F5652" s="72"/>
      <c r="G5652" s="72"/>
    </row>
    <row r="5653" spans="1:7" ht="14.5" hidden="1">
      <c r="A5653" s="5"/>
      <c r="B5653" s="18"/>
      <c r="C5653" s="85"/>
      <c r="D5653" s="41"/>
      <c r="E5653" s="26" t="str">
        <f ca="1">IFERROR(__xludf.DUMMYFUNCTION("""COMPUTED_VALUE"""),"")</f>
        <v/>
      </c>
      <c r="F5653" s="72"/>
      <c r="G5653" s="72"/>
    </row>
    <row r="5654" spans="1:7" ht="14.5" hidden="1">
      <c r="A5654" s="5"/>
      <c r="B5654" s="18"/>
      <c r="C5654" s="85"/>
      <c r="D5654" s="41"/>
      <c r="E5654" s="26" t="str">
        <f ca="1">IFERROR(__xludf.DUMMYFUNCTION("""COMPUTED_VALUE"""),"")</f>
        <v/>
      </c>
      <c r="F5654" s="72"/>
      <c r="G5654" s="72"/>
    </row>
    <row r="5655" spans="1:7" ht="14.5" hidden="1">
      <c r="A5655" s="5"/>
      <c r="B5655" s="18"/>
      <c r="C5655" s="85"/>
      <c r="D5655" s="41"/>
      <c r="E5655" s="26" t="str">
        <f ca="1">IFERROR(__xludf.DUMMYFUNCTION("""COMPUTED_VALUE"""),"")</f>
        <v/>
      </c>
      <c r="F5655" s="72"/>
      <c r="G5655" s="72"/>
    </row>
    <row r="5656" spans="1:7" ht="14.5" hidden="1">
      <c r="A5656" s="5"/>
      <c r="B5656" s="18"/>
      <c r="C5656" s="85"/>
      <c r="D5656" s="41"/>
      <c r="E5656" s="26" t="str">
        <f ca="1">IFERROR(__xludf.DUMMYFUNCTION("""COMPUTED_VALUE"""),"")</f>
        <v/>
      </c>
      <c r="F5656" s="72"/>
      <c r="G5656" s="72"/>
    </row>
    <row r="5657" spans="1:7" ht="14.5" hidden="1">
      <c r="A5657" s="5"/>
      <c r="B5657" s="18"/>
      <c r="C5657" s="85"/>
      <c r="D5657" s="41"/>
      <c r="E5657" s="26" t="str">
        <f ca="1">IFERROR(__xludf.DUMMYFUNCTION("""COMPUTED_VALUE"""),"")</f>
        <v/>
      </c>
      <c r="F5657" s="72"/>
      <c r="G5657" s="72"/>
    </row>
    <row r="5658" spans="1:7" ht="14.5" hidden="1">
      <c r="A5658" s="5"/>
      <c r="B5658" s="18"/>
      <c r="C5658" s="85"/>
      <c r="D5658" s="41"/>
      <c r="E5658" s="26" t="str">
        <f ca="1">IFERROR(__xludf.DUMMYFUNCTION("""COMPUTED_VALUE"""),"")</f>
        <v/>
      </c>
      <c r="F5658" s="72"/>
      <c r="G5658" s="72"/>
    </row>
    <row r="5659" spans="1:7" ht="14.5" hidden="1">
      <c r="A5659" s="5"/>
      <c r="B5659" s="18"/>
      <c r="C5659" s="85"/>
      <c r="D5659" s="41"/>
      <c r="E5659" s="26" t="str">
        <f ca="1">IFERROR(__xludf.DUMMYFUNCTION("""COMPUTED_VALUE"""),"")</f>
        <v/>
      </c>
      <c r="F5659" s="72"/>
      <c r="G5659" s="72"/>
    </row>
    <row r="5660" spans="1:7" ht="14.5" hidden="1">
      <c r="A5660" s="5"/>
      <c r="B5660" s="18"/>
      <c r="C5660" s="85"/>
      <c r="D5660" s="41"/>
      <c r="E5660" s="26" t="str">
        <f ca="1">IFERROR(__xludf.DUMMYFUNCTION("""COMPUTED_VALUE"""),"")</f>
        <v/>
      </c>
      <c r="F5660" s="72"/>
      <c r="G5660" s="72"/>
    </row>
    <row r="5661" spans="1:7" ht="14.5" hidden="1">
      <c r="A5661" s="5"/>
      <c r="B5661" s="18"/>
      <c r="C5661" s="85"/>
      <c r="D5661" s="41"/>
      <c r="E5661" s="26" t="str">
        <f ca="1">IFERROR(__xludf.DUMMYFUNCTION("""COMPUTED_VALUE"""),"")</f>
        <v/>
      </c>
      <c r="F5661" s="72"/>
      <c r="G5661" s="72"/>
    </row>
    <row r="5662" spans="1:7" ht="14.5" hidden="1">
      <c r="A5662" s="5"/>
      <c r="B5662" s="18"/>
      <c r="C5662" s="85"/>
      <c r="D5662" s="41"/>
      <c r="E5662" s="26" t="str">
        <f ca="1">IFERROR(__xludf.DUMMYFUNCTION("""COMPUTED_VALUE"""),"")</f>
        <v/>
      </c>
      <c r="F5662" s="72"/>
      <c r="G5662" s="72"/>
    </row>
    <row r="5663" spans="1:7" ht="14.5" hidden="1">
      <c r="A5663" s="5"/>
      <c r="B5663" s="18"/>
      <c r="C5663" s="85"/>
      <c r="D5663" s="41"/>
      <c r="E5663" s="26" t="str">
        <f ca="1">IFERROR(__xludf.DUMMYFUNCTION("""COMPUTED_VALUE"""),"")</f>
        <v/>
      </c>
      <c r="F5663" s="72"/>
      <c r="G5663" s="72"/>
    </row>
    <row r="5664" spans="1:7" ht="14.5" hidden="1">
      <c r="A5664" s="5"/>
      <c r="B5664" s="18"/>
      <c r="C5664" s="85"/>
      <c r="D5664" s="41"/>
      <c r="E5664" s="26" t="str">
        <f ca="1">IFERROR(__xludf.DUMMYFUNCTION("""COMPUTED_VALUE"""),"")</f>
        <v/>
      </c>
      <c r="F5664" s="72"/>
      <c r="G5664" s="72"/>
    </row>
    <row r="5665" spans="1:7" ht="14.5" hidden="1">
      <c r="A5665" s="5"/>
      <c r="B5665" s="18"/>
      <c r="C5665" s="85"/>
      <c r="D5665" s="41"/>
      <c r="E5665" s="26" t="str">
        <f ca="1">IFERROR(__xludf.DUMMYFUNCTION("""COMPUTED_VALUE"""),"")</f>
        <v/>
      </c>
      <c r="F5665" s="72"/>
      <c r="G5665" s="72"/>
    </row>
    <row r="5666" spans="1:7" ht="14.5" hidden="1">
      <c r="A5666" s="5"/>
      <c r="B5666" s="18"/>
      <c r="C5666" s="85"/>
      <c r="D5666" s="41"/>
      <c r="E5666" s="26" t="str">
        <f ca="1">IFERROR(__xludf.DUMMYFUNCTION("""COMPUTED_VALUE"""),"")</f>
        <v/>
      </c>
      <c r="F5666" s="72"/>
      <c r="G5666" s="72"/>
    </row>
    <row r="5667" spans="1:7" ht="14.5" hidden="1">
      <c r="A5667" s="5"/>
      <c r="B5667" s="18"/>
      <c r="C5667" s="85"/>
      <c r="D5667" s="41"/>
      <c r="E5667" s="26" t="str">
        <f ca="1">IFERROR(__xludf.DUMMYFUNCTION("""COMPUTED_VALUE"""),"")</f>
        <v/>
      </c>
      <c r="F5667" s="72"/>
      <c r="G5667" s="72"/>
    </row>
    <row r="5668" spans="1:7" ht="14.5" hidden="1">
      <c r="A5668" s="5"/>
      <c r="B5668" s="18"/>
      <c r="C5668" s="85"/>
      <c r="D5668" s="41"/>
      <c r="E5668" s="26" t="str">
        <f ca="1">IFERROR(__xludf.DUMMYFUNCTION("""COMPUTED_VALUE"""),"")</f>
        <v/>
      </c>
      <c r="F5668" s="72"/>
      <c r="G5668" s="72"/>
    </row>
    <row r="5669" spans="1:7" ht="14.5" hidden="1">
      <c r="A5669" s="5"/>
      <c r="B5669" s="18"/>
      <c r="C5669" s="85"/>
      <c r="D5669" s="41"/>
      <c r="E5669" s="26" t="str">
        <f ca="1">IFERROR(__xludf.DUMMYFUNCTION("""COMPUTED_VALUE"""),"")</f>
        <v/>
      </c>
      <c r="F5669" s="72"/>
      <c r="G5669" s="72"/>
    </row>
    <row r="5670" spans="1:7" ht="14.5" hidden="1">
      <c r="A5670" s="5"/>
      <c r="B5670" s="18"/>
      <c r="C5670" s="85"/>
      <c r="D5670" s="41"/>
      <c r="E5670" s="26" t="str">
        <f ca="1">IFERROR(__xludf.DUMMYFUNCTION("""COMPUTED_VALUE"""),"")</f>
        <v/>
      </c>
      <c r="F5670" s="72"/>
      <c r="G5670" s="72"/>
    </row>
    <row r="5671" spans="1:7" ht="14.5" hidden="1">
      <c r="A5671" s="5"/>
      <c r="B5671" s="18"/>
      <c r="C5671" s="85"/>
      <c r="D5671" s="41"/>
      <c r="E5671" s="26" t="str">
        <f ca="1">IFERROR(__xludf.DUMMYFUNCTION("""COMPUTED_VALUE"""),"")</f>
        <v/>
      </c>
      <c r="F5671" s="72"/>
      <c r="G5671" s="72"/>
    </row>
    <row r="5672" spans="1:7" ht="14.5" hidden="1">
      <c r="A5672" s="5"/>
      <c r="B5672" s="18"/>
      <c r="C5672" s="85"/>
      <c r="D5672" s="41"/>
      <c r="E5672" s="26" t="str">
        <f ca="1">IFERROR(__xludf.DUMMYFUNCTION("""COMPUTED_VALUE"""),"")</f>
        <v/>
      </c>
      <c r="F5672" s="72"/>
      <c r="G5672" s="72"/>
    </row>
    <row r="5673" spans="1:7" ht="14.5" hidden="1">
      <c r="A5673" s="5"/>
      <c r="B5673" s="18"/>
      <c r="C5673" s="85"/>
      <c r="D5673" s="41"/>
      <c r="E5673" s="26" t="str">
        <f ca="1">IFERROR(__xludf.DUMMYFUNCTION("""COMPUTED_VALUE"""),"")</f>
        <v/>
      </c>
      <c r="F5673" s="72"/>
      <c r="G5673" s="72"/>
    </row>
    <row r="5674" spans="1:7" ht="14.5" hidden="1">
      <c r="A5674" s="5"/>
      <c r="B5674" s="18"/>
      <c r="C5674" s="85"/>
      <c r="D5674" s="41"/>
      <c r="E5674" s="26" t="str">
        <f ca="1">IFERROR(__xludf.DUMMYFUNCTION("""COMPUTED_VALUE"""),"")</f>
        <v/>
      </c>
      <c r="F5674" s="72"/>
      <c r="G5674" s="72"/>
    </row>
    <row r="5675" spans="1:7" ht="14.5" hidden="1">
      <c r="A5675" s="5"/>
      <c r="B5675" s="18"/>
      <c r="C5675" s="85"/>
      <c r="D5675" s="41"/>
      <c r="E5675" s="26" t="str">
        <f ca="1">IFERROR(__xludf.DUMMYFUNCTION("""COMPUTED_VALUE"""),"")</f>
        <v/>
      </c>
      <c r="F5675" s="72"/>
      <c r="G5675" s="72"/>
    </row>
    <row r="5676" spans="1:7" ht="14.5" hidden="1">
      <c r="A5676" s="5"/>
      <c r="B5676" s="18"/>
      <c r="C5676" s="85"/>
      <c r="D5676" s="41"/>
      <c r="E5676" s="26" t="str">
        <f ca="1">IFERROR(__xludf.DUMMYFUNCTION("""COMPUTED_VALUE"""),"")</f>
        <v/>
      </c>
      <c r="F5676" s="72"/>
      <c r="G5676" s="72"/>
    </row>
    <row r="5677" spans="1:7" ht="14.5" hidden="1">
      <c r="A5677" s="5"/>
      <c r="B5677" s="18"/>
      <c r="C5677" s="85"/>
      <c r="D5677" s="41"/>
      <c r="E5677" s="26" t="str">
        <f ca="1">IFERROR(__xludf.DUMMYFUNCTION("""COMPUTED_VALUE"""),"")</f>
        <v/>
      </c>
      <c r="F5677" s="72"/>
      <c r="G5677" s="72"/>
    </row>
    <row r="5678" spans="1:7" ht="14.5" hidden="1">
      <c r="A5678" s="5"/>
      <c r="B5678" s="18"/>
      <c r="C5678" s="85"/>
      <c r="D5678" s="41"/>
      <c r="E5678" s="26" t="str">
        <f ca="1">IFERROR(__xludf.DUMMYFUNCTION("""COMPUTED_VALUE"""),"")</f>
        <v/>
      </c>
      <c r="F5678" s="72"/>
      <c r="G5678" s="72"/>
    </row>
    <row r="5679" spans="1:7" ht="14.5" hidden="1">
      <c r="A5679" s="5"/>
      <c r="B5679" s="18"/>
      <c r="C5679" s="85"/>
      <c r="D5679" s="41"/>
      <c r="E5679" s="26" t="str">
        <f ca="1">IFERROR(__xludf.DUMMYFUNCTION("""COMPUTED_VALUE"""),"")</f>
        <v/>
      </c>
      <c r="F5679" s="72"/>
      <c r="G5679" s="72"/>
    </row>
    <row r="5680" spans="1:7" ht="14.5" hidden="1">
      <c r="A5680" s="5"/>
      <c r="B5680" s="18"/>
      <c r="C5680" s="85"/>
      <c r="D5680" s="41"/>
      <c r="E5680" s="26" t="str">
        <f ca="1">IFERROR(__xludf.DUMMYFUNCTION("""COMPUTED_VALUE"""),"")</f>
        <v/>
      </c>
      <c r="F5680" s="72"/>
      <c r="G5680" s="72"/>
    </row>
    <row r="5681" spans="1:7" ht="14.5" hidden="1">
      <c r="A5681" s="5"/>
      <c r="B5681" s="18"/>
      <c r="C5681" s="85"/>
      <c r="D5681" s="41"/>
      <c r="E5681" s="26" t="str">
        <f ca="1">IFERROR(__xludf.DUMMYFUNCTION("""COMPUTED_VALUE"""),"")</f>
        <v/>
      </c>
      <c r="F5681" s="72"/>
      <c r="G5681" s="72"/>
    </row>
    <row r="5682" spans="1:7" ht="14.5" hidden="1">
      <c r="A5682" s="5"/>
      <c r="B5682" s="18"/>
      <c r="C5682" s="85"/>
      <c r="D5682" s="41"/>
      <c r="E5682" s="26" t="str">
        <f ca="1">IFERROR(__xludf.DUMMYFUNCTION("""COMPUTED_VALUE"""),"")</f>
        <v/>
      </c>
      <c r="F5682" s="72"/>
      <c r="G5682" s="72"/>
    </row>
    <row r="5683" spans="1:7" ht="14.5" hidden="1">
      <c r="A5683" s="5"/>
      <c r="B5683" s="18"/>
      <c r="C5683" s="85"/>
      <c r="D5683" s="41"/>
      <c r="E5683" s="26" t="str">
        <f ca="1">IFERROR(__xludf.DUMMYFUNCTION("""COMPUTED_VALUE"""),"")</f>
        <v/>
      </c>
      <c r="F5683" s="72"/>
      <c r="G5683" s="74"/>
    </row>
    <row r="5684" spans="1:7" ht="14.5" hidden="1">
      <c r="A5684" s="5"/>
      <c r="B5684" s="18"/>
      <c r="C5684" s="85"/>
      <c r="D5684" s="41"/>
      <c r="E5684" s="26" t="str">
        <f ca="1">IFERROR(__xludf.DUMMYFUNCTION("""COMPUTED_VALUE"""),"")</f>
        <v/>
      </c>
      <c r="F5684" s="72"/>
      <c r="G5684" s="72"/>
    </row>
    <row r="5685" spans="1:7" ht="14.5" hidden="1">
      <c r="A5685" s="5"/>
      <c r="B5685" s="18"/>
      <c r="C5685" s="85"/>
      <c r="D5685" s="41"/>
      <c r="E5685" s="26" t="str">
        <f ca="1">IFERROR(__xludf.DUMMYFUNCTION("""COMPUTED_VALUE"""),"")</f>
        <v/>
      </c>
      <c r="F5685" s="72"/>
      <c r="G5685" s="72"/>
    </row>
    <row r="5686" spans="1:7" ht="14.5" hidden="1">
      <c r="A5686" s="5"/>
      <c r="B5686" s="18"/>
      <c r="C5686" s="85"/>
      <c r="D5686" s="41"/>
      <c r="E5686" s="26" t="str">
        <f ca="1">IFERROR(__xludf.DUMMYFUNCTION("""COMPUTED_VALUE"""),"")</f>
        <v/>
      </c>
      <c r="F5686" s="72"/>
      <c r="G5686" s="72"/>
    </row>
    <row r="5687" spans="1:7" ht="14.5" hidden="1">
      <c r="A5687" s="5"/>
      <c r="B5687" s="18"/>
      <c r="C5687" s="85"/>
      <c r="D5687" s="41"/>
      <c r="E5687" s="26" t="str">
        <f ca="1">IFERROR(__xludf.DUMMYFUNCTION("""COMPUTED_VALUE"""),"")</f>
        <v/>
      </c>
      <c r="F5687" s="72"/>
      <c r="G5687" s="72"/>
    </row>
    <row r="5688" spans="1:7" ht="14.5" hidden="1">
      <c r="A5688" s="5"/>
      <c r="B5688" s="18"/>
      <c r="C5688" s="85"/>
      <c r="D5688" s="41"/>
      <c r="E5688" s="26" t="str">
        <f ca="1">IFERROR(__xludf.DUMMYFUNCTION("""COMPUTED_VALUE"""),"")</f>
        <v/>
      </c>
      <c r="F5688" s="72"/>
      <c r="G5688" s="72"/>
    </row>
    <row r="5689" spans="1:7" ht="14.5" hidden="1">
      <c r="A5689" s="5"/>
      <c r="B5689" s="18"/>
      <c r="C5689" s="85"/>
      <c r="D5689" s="41"/>
      <c r="E5689" s="26" t="str">
        <f ca="1">IFERROR(__xludf.DUMMYFUNCTION("""COMPUTED_VALUE"""),"")</f>
        <v/>
      </c>
      <c r="F5689" s="72"/>
      <c r="G5689" s="72"/>
    </row>
    <row r="5690" spans="1:7" ht="14.5" hidden="1">
      <c r="A5690" s="5"/>
      <c r="B5690" s="18"/>
      <c r="C5690" s="85"/>
      <c r="D5690" s="41"/>
      <c r="E5690" s="26" t="str">
        <f ca="1">IFERROR(__xludf.DUMMYFUNCTION("""COMPUTED_VALUE"""),"")</f>
        <v/>
      </c>
      <c r="F5690" s="72"/>
      <c r="G5690" s="72"/>
    </row>
    <row r="5691" spans="1:7" ht="14.5" hidden="1">
      <c r="A5691" s="5"/>
      <c r="B5691" s="18"/>
      <c r="C5691" s="85"/>
      <c r="D5691" s="41"/>
      <c r="E5691" s="26" t="str">
        <f ca="1">IFERROR(__xludf.DUMMYFUNCTION("""COMPUTED_VALUE"""),"")</f>
        <v/>
      </c>
      <c r="F5691" s="72"/>
      <c r="G5691" s="72"/>
    </row>
    <row r="5692" spans="1:7" ht="14.5" hidden="1">
      <c r="A5692" s="5"/>
      <c r="B5692" s="18"/>
      <c r="C5692" s="85"/>
      <c r="D5692" s="41"/>
      <c r="E5692" s="26" t="str">
        <f ca="1">IFERROR(__xludf.DUMMYFUNCTION("""COMPUTED_VALUE"""),"")</f>
        <v/>
      </c>
      <c r="F5692" s="72"/>
      <c r="G5692" s="72"/>
    </row>
    <row r="5693" spans="1:7" ht="14.5" hidden="1">
      <c r="A5693" s="5"/>
      <c r="B5693" s="18"/>
      <c r="C5693" s="85"/>
      <c r="D5693" s="41"/>
      <c r="E5693" s="26" t="str">
        <f ca="1">IFERROR(__xludf.DUMMYFUNCTION("""COMPUTED_VALUE"""),"")</f>
        <v/>
      </c>
      <c r="F5693" s="72"/>
      <c r="G5693" s="72"/>
    </row>
    <row r="5694" spans="1:7" ht="14.5" hidden="1">
      <c r="A5694" s="5"/>
      <c r="B5694" s="18"/>
      <c r="C5694" s="85"/>
      <c r="D5694" s="41"/>
      <c r="E5694" s="26" t="str">
        <f ca="1">IFERROR(__xludf.DUMMYFUNCTION("""COMPUTED_VALUE"""),"")</f>
        <v/>
      </c>
      <c r="F5694" s="72"/>
      <c r="G5694" s="72"/>
    </row>
    <row r="5695" spans="1:7" ht="14.5" hidden="1">
      <c r="A5695" s="5"/>
      <c r="B5695" s="18"/>
      <c r="C5695" s="85"/>
      <c r="D5695" s="41"/>
      <c r="E5695" s="26" t="str">
        <f ca="1">IFERROR(__xludf.DUMMYFUNCTION("""COMPUTED_VALUE"""),"")</f>
        <v/>
      </c>
      <c r="F5695" s="72"/>
      <c r="G5695" s="72"/>
    </row>
    <row r="5696" spans="1:7" ht="14.5" hidden="1">
      <c r="A5696" s="5"/>
      <c r="B5696" s="18"/>
      <c r="C5696" s="85"/>
      <c r="D5696" s="41"/>
      <c r="E5696" s="26" t="str">
        <f ca="1">IFERROR(__xludf.DUMMYFUNCTION("""COMPUTED_VALUE"""),"")</f>
        <v/>
      </c>
      <c r="F5696" s="72"/>
      <c r="G5696" s="72"/>
    </row>
    <row r="5697" spans="1:7" ht="14.5" hidden="1">
      <c r="A5697" s="5"/>
      <c r="B5697" s="18"/>
      <c r="C5697" s="85"/>
      <c r="D5697" s="41"/>
      <c r="E5697" s="26" t="str">
        <f ca="1">IFERROR(__xludf.DUMMYFUNCTION("""COMPUTED_VALUE"""),"")</f>
        <v/>
      </c>
      <c r="F5697" s="72"/>
      <c r="G5697" s="72"/>
    </row>
    <row r="5698" spans="1:7" ht="14.5" hidden="1">
      <c r="A5698" s="5"/>
      <c r="B5698" s="18"/>
      <c r="C5698" s="85"/>
      <c r="D5698" s="41"/>
      <c r="E5698" s="26" t="str">
        <f ca="1">IFERROR(__xludf.DUMMYFUNCTION("""COMPUTED_VALUE"""),"")</f>
        <v/>
      </c>
      <c r="F5698" s="72"/>
      <c r="G5698" s="72"/>
    </row>
    <row r="5699" spans="1:7" ht="14.5" hidden="1">
      <c r="A5699" s="5"/>
      <c r="B5699" s="18"/>
      <c r="C5699" s="85"/>
      <c r="D5699" s="41"/>
      <c r="E5699" s="26" t="str">
        <f ca="1">IFERROR(__xludf.DUMMYFUNCTION("""COMPUTED_VALUE"""),"")</f>
        <v/>
      </c>
      <c r="F5699" s="72"/>
      <c r="G5699" s="72"/>
    </row>
    <row r="5700" spans="1:7" ht="14.5" hidden="1">
      <c r="A5700" s="5"/>
      <c r="B5700" s="18"/>
      <c r="C5700" s="85"/>
      <c r="D5700" s="41"/>
      <c r="E5700" s="26" t="str">
        <f ca="1">IFERROR(__xludf.DUMMYFUNCTION("""COMPUTED_VALUE"""),"")</f>
        <v/>
      </c>
      <c r="F5700" s="72"/>
      <c r="G5700" s="72"/>
    </row>
    <row r="5701" spans="1:7" ht="14.5" hidden="1">
      <c r="A5701" s="5"/>
      <c r="B5701" s="18"/>
      <c r="C5701" s="85"/>
      <c r="D5701" s="41"/>
      <c r="E5701" s="26" t="str">
        <f ca="1">IFERROR(__xludf.DUMMYFUNCTION("""COMPUTED_VALUE"""),"")</f>
        <v/>
      </c>
      <c r="F5701" s="72"/>
      <c r="G5701" s="72"/>
    </row>
    <row r="5702" spans="1:7" ht="14.5" hidden="1">
      <c r="A5702" s="5"/>
      <c r="B5702" s="18"/>
      <c r="C5702" s="85"/>
      <c r="D5702" s="41"/>
      <c r="E5702" s="26" t="str">
        <f ca="1">IFERROR(__xludf.DUMMYFUNCTION("""COMPUTED_VALUE"""),"")</f>
        <v/>
      </c>
      <c r="F5702" s="72"/>
      <c r="G5702" s="72"/>
    </row>
    <row r="5703" spans="1:7" ht="14.5" hidden="1">
      <c r="A5703" s="5"/>
      <c r="B5703" s="18"/>
      <c r="C5703" s="85"/>
      <c r="D5703" s="41"/>
      <c r="E5703" s="26" t="str">
        <f ca="1">IFERROR(__xludf.DUMMYFUNCTION("""COMPUTED_VALUE"""),"")</f>
        <v/>
      </c>
      <c r="F5703" s="72"/>
      <c r="G5703" s="72"/>
    </row>
    <row r="5704" spans="1:7" ht="14.5" hidden="1">
      <c r="A5704" s="5"/>
      <c r="B5704" s="18"/>
      <c r="C5704" s="85"/>
      <c r="D5704" s="41"/>
      <c r="E5704" s="26" t="str">
        <f ca="1">IFERROR(__xludf.DUMMYFUNCTION("""COMPUTED_VALUE"""),"")</f>
        <v/>
      </c>
      <c r="F5704" s="72"/>
      <c r="G5704" s="72"/>
    </row>
    <row r="5705" spans="1:7" ht="14.5" hidden="1">
      <c r="A5705" s="5"/>
      <c r="B5705" s="18"/>
      <c r="C5705" s="85"/>
      <c r="D5705" s="41"/>
      <c r="E5705" s="26" t="str">
        <f ca="1">IFERROR(__xludf.DUMMYFUNCTION("""COMPUTED_VALUE"""),"")</f>
        <v/>
      </c>
      <c r="F5705" s="72"/>
      <c r="G5705" s="72"/>
    </row>
    <row r="5706" spans="1:7" ht="14.5" hidden="1">
      <c r="A5706" s="5"/>
      <c r="B5706" s="18"/>
      <c r="C5706" s="85"/>
      <c r="D5706" s="41"/>
      <c r="E5706" s="26" t="str">
        <f ca="1">IFERROR(__xludf.DUMMYFUNCTION("""COMPUTED_VALUE"""),"")</f>
        <v/>
      </c>
      <c r="F5706" s="72"/>
      <c r="G5706" s="72"/>
    </row>
    <row r="5707" spans="1:7" ht="14.5" hidden="1">
      <c r="A5707" s="5"/>
      <c r="B5707" s="18"/>
      <c r="C5707" s="85"/>
      <c r="D5707" s="41"/>
      <c r="E5707" s="26" t="str">
        <f ca="1">IFERROR(__xludf.DUMMYFUNCTION("""COMPUTED_VALUE"""),"")</f>
        <v/>
      </c>
      <c r="F5707" s="72"/>
      <c r="G5707" s="72"/>
    </row>
    <row r="5708" spans="1:7" ht="14.5" hidden="1">
      <c r="A5708" s="5"/>
      <c r="B5708" s="18"/>
      <c r="C5708" s="85"/>
      <c r="D5708" s="41"/>
      <c r="E5708" s="26" t="str">
        <f ca="1">IFERROR(__xludf.DUMMYFUNCTION("""COMPUTED_VALUE"""),"")</f>
        <v/>
      </c>
      <c r="F5708" s="72"/>
      <c r="G5708" s="72"/>
    </row>
    <row r="5709" spans="1:7" ht="14.5" hidden="1">
      <c r="A5709" s="5"/>
      <c r="B5709" s="18"/>
      <c r="C5709" s="85"/>
      <c r="D5709" s="41"/>
      <c r="E5709" s="26" t="str">
        <f ca="1">IFERROR(__xludf.DUMMYFUNCTION("""COMPUTED_VALUE"""),"")</f>
        <v/>
      </c>
      <c r="F5709" s="72"/>
      <c r="G5709" s="72"/>
    </row>
    <row r="5710" spans="1:7" ht="14.5" hidden="1">
      <c r="A5710" s="5"/>
      <c r="B5710" s="18"/>
      <c r="C5710" s="85"/>
      <c r="D5710" s="41"/>
      <c r="E5710" s="26" t="str">
        <f ca="1">IFERROR(__xludf.DUMMYFUNCTION("""COMPUTED_VALUE"""),"")</f>
        <v/>
      </c>
      <c r="F5710" s="72"/>
      <c r="G5710" s="72"/>
    </row>
    <row r="5711" spans="1:7" ht="14.5" hidden="1">
      <c r="A5711" s="5"/>
      <c r="B5711" s="18"/>
      <c r="C5711" s="85"/>
      <c r="D5711" s="41"/>
      <c r="E5711" s="26" t="str">
        <f ca="1">IFERROR(__xludf.DUMMYFUNCTION("""COMPUTED_VALUE"""),"")</f>
        <v/>
      </c>
      <c r="F5711" s="72"/>
      <c r="G5711" s="72"/>
    </row>
    <row r="5712" spans="1:7" ht="14.5" hidden="1">
      <c r="A5712" s="5"/>
      <c r="B5712" s="18"/>
      <c r="C5712" s="85"/>
      <c r="D5712" s="41"/>
      <c r="E5712" s="26" t="str">
        <f ca="1">IFERROR(__xludf.DUMMYFUNCTION("""COMPUTED_VALUE"""),"")</f>
        <v/>
      </c>
      <c r="F5712" s="72"/>
      <c r="G5712" s="72"/>
    </row>
    <row r="5713" spans="1:7" ht="14.5" hidden="1">
      <c r="A5713" s="5"/>
      <c r="B5713" s="18"/>
      <c r="C5713" s="85"/>
      <c r="D5713" s="41"/>
      <c r="E5713" s="26" t="str">
        <f ca="1">IFERROR(__xludf.DUMMYFUNCTION("""COMPUTED_VALUE"""),"")</f>
        <v/>
      </c>
      <c r="F5713" s="72"/>
      <c r="G5713" s="72"/>
    </row>
    <row r="5714" spans="1:7" ht="14.5" hidden="1">
      <c r="A5714" s="5"/>
      <c r="B5714" s="18"/>
      <c r="C5714" s="85"/>
      <c r="D5714" s="41"/>
      <c r="E5714" s="26" t="str">
        <f ca="1">IFERROR(__xludf.DUMMYFUNCTION("""COMPUTED_VALUE"""),"")</f>
        <v/>
      </c>
      <c r="F5714" s="72"/>
      <c r="G5714" s="72"/>
    </row>
    <row r="5715" spans="1:7" ht="14.5" hidden="1">
      <c r="A5715" s="5"/>
      <c r="B5715" s="18"/>
      <c r="C5715" s="85"/>
      <c r="D5715" s="41"/>
      <c r="E5715" s="26" t="str">
        <f ca="1">IFERROR(__xludf.DUMMYFUNCTION("""COMPUTED_VALUE"""),"")</f>
        <v/>
      </c>
      <c r="F5715" s="72"/>
      <c r="G5715" s="72"/>
    </row>
    <row r="5716" spans="1:7" ht="14.5" hidden="1">
      <c r="A5716" s="5"/>
      <c r="B5716" s="18"/>
      <c r="C5716" s="85"/>
      <c r="D5716" s="41"/>
      <c r="E5716" s="26" t="str">
        <f ca="1">IFERROR(__xludf.DUMMYFUNCTION("""COMPUTED_VALUE"""),"")</f>
        <v/>
      </c>
      <c r="F5716" s="72"/>
      <c r="G5716" s="72"/>
    </row>
    <row r="5717" spans="1:7" ht="14.5" hidden="1">
      <c r="A5717" s="5"/>
      <c r="B5717" s="18"/>
      <c r="C5717" s="85"/>
      <c r="D5717" s="41"/>
      <c r="E5717" s="26" t="str">
        <f ca="1">IFERROR(__xludf.DUMMYFUNCTION("""COMPUTED_VALUE"""),"")</f>
        <v/>
      </c>
      <c r="F5717" s="72"/>
      <c r="G5717" s="72"/>
    </row>
    <row r="5718" spans="1:7" ht="14.5" hidden="1">
      <c r="A5718" s="5"/>
      <c r="B5718" s="18"/>
      <c r="C5718" s="85"/>
      <c r="D5718" s="41"/>
      <c r="E5718" s="26" t="str">
        <f ca="1">IFERROR(__xludf.DUMMYFUNCTION("""COMPUTED_VALUE"""),"")</f>
        <v/>
      </c>
      <c r="F5718" s="72"/>
      <c r="G5718" s="72"/>
    </row>
    <row r="5719" spans="1:7" ht="14.5" hidden="1">
      <c r="A5719" s="5"/>
      <c r="B5719" s="18"/>
      <c r="C5719" s="85"/>
      <c r="D5719" s="41"/>
      <c r="E5719" s="26" t="str">
        <f ca="1">IFERROR(__xludf.DUMMYFUNCTION("""COMPUTED_VALUE"""),"")</f>
        <v/>
      </c>
      <c r="F5719" s="72"/>
      <c r="G5719" s="72"/>
    </row>
    <row r="5720" spans="1:7" ht="14.5" hidden="1">
      <c r="A5720" s="5"/>
      <c r="B5720" s="18"/>
      <c r="C5720" s="85"/>
      <c r="D5720" s="41"/>
      <c r="E5720" s="26" t="str">
        <f ca="1">IFERROR(__xludf.DUMMYFUNCTION("""COMPUTED_VALUE"""),"")</f>
        <v/>
      </c>
      <c r="F5720" s="72"/>
      <c r="G5720" s="72"/>
    </row>
    <row r="5721" spans="1:7" ht="14.5" hidden="1">
      <c r="A5721" s="5"/>
      <c r="B5721" s="18"/>
      <c r="C5721" s="85"/>
      <c r="D5721" s="41"/>
      <c r="E5721" s="26" t="str">
        <f ca="1">IFERROR(__xludf.DUMMYFUNCTION("""COMPUTED_VALUE"""),"")</f>
        <v/>
      </c>
      <c r="F5721" s="72"/>
      <c r="G5721" s="72"/>
    </row>
    <row r="5722" spans="1:7" ht="14.5" hidden="1">
      <c r="A5722" s="5"/>
      <c r="B5722" s="18"/>
      <c r="C5722" s="85"/>
      <c r="D5722" s="41"/>
      <c r="E5722" s="26" t="str">
        <f ca="1">IFERROR(__xludf.DUMMYFUNCTION("""COMPUTED_VALUE"""),"")</f>
        <v/>
      </c>
      <c r="F5722" s="72"/>
      <c r="G5722" s="72"/>
    </row>
    <row r="5723" spans="1:7" ht="14.5" hidden="1">
      <c r="A5723" s="5"/>
      <c r="B5723" s="18"/>
      <c r="C5723" s="85"/>
      <c r="D5723" s="41"/>
      <c r="E5723" s="26" t="str">
        <f ca="1">IFERROR(__xludf.DUMMYFUNCTION("""COMPUTED_VALUE"""),"")</f>
        <v/>
      </c>
      <c r="F5723" s="72"/>
      <c r="G5723" s="72"/>
    </row>
    <row r="5724" spans="1:7" ht="14.5" hidden="1">
      <c r="A5724" s="5"/>
      <c r="B5724" s="18"/>
      <c r="C5724" s="85"/>
      <c r="D5724" s="41"/>
      <c r="E5724" s="26" t="str">
        <f ca="1">IFERROR(__xludf.DUMMYFUNCTION("""COMPUTED_VALUE"""),"")</f>
        <v/>
      </c>
      <c r="F5724" s="72"/>
      <c r="G5724" s="72"/>
    </row>
    <row r="5725" spans="1:7" ht="14.5" hidden="1">
      <c r="A5725" s="5"/>
      <c r="B5725" s="18"/>
      <c r="C5725" s="85"/>
      <c r="D5725" s="41"/>
      <c r="E5725" s="26" t="str">
        <f ca="1">IFERROR(__xludf.DUMMYFUNCTION("""COMPUTED_VALUE"""),"")</f>
        <v/>
      </c>
      <c r="F5725" s="72"/>
      <c r="G5725" s="72"/>
    </row>
    <row r="5726" spans="1:7" ht="14.5" hidden="1">
      <c r="A5726" s="5"/>
      <c r="B5726" s="18"/>
      <c r="C5726" s="85"/>
      <c r="D5726" s="41"/>
      <c r="E5726" s="26" t="str">
        <f ca="1">IFERROR(__xludf.DUMMYFUNCTION("""COMPUTED_VALUE"""),"")</f>
        <v/>
      </c>
      <c r="F5726" s="72"/>
      <c r="G5726" s="72"/>
    </row>
    <row r="5727" spans="1:7" ht="14.5" hidden="1">
      <c r="A5727" s="5"/>
      <c r="B5727" s="18"/>
      <c r="C5727" s="85"/>
      <c r="D5727" s="41"/>
      <c r="E5727" s="26" t="str">
        <f ca="1">IFERROR(__xludf.DUMMYFUNCTION("""COMPUTED_VALUE"""),"")</f>
        <v/>
      </c>
      <c r="F5727" s="72"/>
      <c r="G5727" s="72"/>
    </row>
    <row r="5728" spans="1:7" ht="14.5" hidden="1">
      <c r="A5728" s="5"/>
      <c r="B5728" s="18"/>
      <c r="C5728" s="85"/>
      <c r="D5728" s="41"/>
      <c r="E5728" s="26" t="str">
        <f ca="1">IFERROR(__xludf.DUMMYFUNCTION("""COMPUTED_VALUE"""),"")</f>
        <v/>
      </c>
      <c r="F5728" s="72"/>
      <c r="G5728" s="72"/>
    </row>
    <row r="5729" spans="1:7" ht="14.5" hidden="1">
      <c r="A5729" s="5"/>
      <c r="B5729" s="18"/>
      <c r="C5729" s="85"/>
      <c r="D5729" s="41"/>
      <c r="E5729" s="26" t="str">
        <f ca="1">IFERROR(__xludf.DUMMYFUNCTION("""COMPUTED_VALUE"""),"")</f>
        <v/>
      </c>
      <c r="F5729" s="72"/>
      <c r="G5729" s="72"/>
    </row>
    <row r="5730" spans="1:7" ht="14.5" hidden="1">
      <c r="A5730" s="5"/>
      <c r="B5730" s="18"/>
      <c r="C5730" s="85"/>
      <c r="D5730" s="41"/>
      <c r="E5730" s="26" t="str">
        <f ca="1">IFERROR(__xludf.DUMMYFUNCTION("""COMPUTED_VALUE"""),"")</f>
        <v/>
      </c>
      <c r="F5730" s="72"/>
      <c r="G5730" s="72"/>
    </row>
    <row r="5731" spans="1:7" ht="14.5" hidden="1">
      <c r="A5731" s="5"/>
      <c r="B5731" s="18"/>
      <c r="C5731" s="85"/>
      <c r="D5731" s="41"/>
      <c r="E5731" s="26" t="str">
        <f ca="1">IFERROR(__xludf.DUMMYFUNCTION("""COMPUTED_VALUE"""),"")</f>
        <v/>
      </c>
      <c r="F5731" s="72"/>
      <c r="G5731" s="72"/>
    </row>
    <row r="5732" spans="1:7" ht="14.5" hidden="1">
      <c r="A5732" s="5"/>
      <c r="B5732" s="18"/>
      <c r="C5732" s="85"/>
      <c r="D5732" s="41"/>
      <c r="E5732" s="26" t="str">
        <f ca="1">IFERROR(__xludf.DUMMYFUNCTION("""COMPUTED_VALUE"""),"")</f>
        <v/>
      </c>
      <c r="F5732" s="72"/>
      <c r="G5732" s="72"/>
    </row>
    <row r="5733" spans="1:7" ht="14.5" hidden="1">
      <c r="A5733" s="5"/>
      <c r="B5733" s="18"/>
      <c r="C5733" s="85"/>
      <c r="D5733" s="41"/>
      <c r="E5733" s="26" t="str">
        <f ca="1">IFERROR(__xludf.DUMMYFUNCTION("""COMPUTED_VALUE"""),"")</f>
        <v/>
      </c>
      <c r="F5733" s="72"/>
      <c r="G5733" s="72"/>
    </row>
    <row r="5734" spans="1:7" ht="14.5" hidden="1">
      <c r="A5734" s="5"/>
      <c r="B5734" s="18"/>
      <c r="C5734" s="85"/>
      <c r="D5734" s="41"/>
      <c r="E5734" s="26" t="str">
        <f ca="1">IFERROR(__xludf.DUMMYFUNCTION("""COMPUTED_VALUE"""),"")</f>
        <v/>
      </c>
      <c r="F5734" s="72"/>
      <c r="G5734" s="72"/>
    </row>
    <row r="5735" spans="1:7" ht="14.5" hidden="1">
      <c r="A5735" s="5"/>
      <c r="B5735" s="18"/>
      <c r="C5735" s="85"/>
      <c r="D5735" s="41"/>
      <c r="E5735" s="26" t="str">
        <f ca="1">IFERROR(__xludf.DUMMYFUNCTION("""COMPUTED_VALUE"""),"")</f>
        <v/>
      </c>
      <c r="F5735" s="72"/>
      <c r="G5735" s="72"/>
    </row>
    <row r="5736" spans="1:7" ht="14.5" hidden="1">
      <c r="A5736" s="5"/>
      <c r="B5736" s="18"/>
      <c r="C5736" s="85"/>
      <c r="D5736" s="41"/>
      <c r="E5736" s="26" t="str">
        <f ca="1">IFERROR(__xludf.DUMMYFUNCTION("""COMPUTED_VALUE"""),"")</f>
        <v/>
      </c>
      <c r="F5736" s="72"/>
      <c r="G5736" s="72"/>
    </row>
    <row r="5737" spans="1:7" ht="14.5" hidden="1">
      <c r="A5737" s="5"/>
      <c r="B5737" s="18"/>
      <c r="C5737" s="85"/>
      <c r="D5737" s="41"/>
      <c r="E5737" s="26" t="str">
        <f ca="1">IFERROR(__xludf.DUMMYFUNCTION("""COMPUTED_VALUE"""),"")</f>
        <v/>
      </c>
      <c r="F5737" s="72"/>
      <c r="G5737" s="72"/>
    </row>
    <row r="5738" spans="1:7" ht="14.5" hidden="1">
      <c r="A5738" s="5"/>
      <c r="B5738" s="18"/>
      <c r="C5738" s="85"/>
      <c r="D5738" s="41"/>
      <c r="E5738" s="26" t="str">
        <f ca="1">IFERROR(__xludf.DUMMYFUNCTION("""COMPUTED_VALUE"""),"")</f>
        <v/>
      </c>
      <c r="F5738" s="72"/>
      <c r="G5738" s="72"/>
    </row>
    <row r="5739" spans="1:7" ht="14.5" hidden="1">
      <c r="A5739" s="5"/>
      <c r="B5739" s="18"/>
      <c r="C5739" s="85"/>
      <c r="D5739" s="41"/>
      <c r="E5739" s="26" t="str">
        <f ca="1">IFERROR(__xludf.DUMMYFUNCTION("""COMPUTED_VALUE"""),"")</f>
        <v/>
      </c>
      <c r="F5739" s="72"/>
      <c r="G5739" s="72"/>
    </row>
    <row r="5740" spans="1:7" ht="14.5" hidden="1">
      <c r="A5740" s="5"/>
      <c r="B5740" s="18"/>
      <c r="C5740" s="85"/>
      <c r="D5740" s="41"/>
      <c r="E5740" s="26" t="str">
        <f ca="1">IFERROR(__xludf.DUMMYFUNCTION("""COMPUTED_VALUE"""),"")</f>
        <v/>
      </c>
      <c r="F5740" s="72"/>
      <c r="G5740" s="72"/>
    </row>
    <row r="5741" spans="1:7" ht="14.5" hidden="1">
      <c r="A5741" s="5"/>
      <c r="B5741" s="18"/>
      <c r="C5741" s="85"/>
      <c r="D5741" s="41"/>
      <c r="E5741" s="26" t="str">
        <f ca="1">IFERROR(__xludf.DUMMYFUNCTION("""COMPUTED_VALUE"""),"")</f>
        <v/>
      </c>
      <c r="F5741" s="72"/>
      <c r="G5741" s="72"/>
    </row>
    <row r="5742" spans="1:7" ht="14.5" hidden="1">
      <c r="A5742" s="5"/>
      <c r="B5742" s="18"/>
      <c r="C5742" s="85"/>
      <c r="D5742" s="41"/>
      <c r="E5742" s="26" t="str">
        <f ca="1">IFERROR(__xludf.DUMMYFUNCTION("""COMPUTED_VALUE"""),"")</f>
        <v/>
      </c>
      <c r="F5742" s="72"/>
      <c r="G5742" s="72"/>
    </row>
    <row r="5743" spans="1:7" ht="14.5" hidden="1">
      <c r="A5743" s="5"/>
      <c r="B5743" s="18"/>
      <c r="C5743" s="85"/>
      <c r="D5743" s="41"/>
      <c r="E5743" s="26" t="str">
        <f ca="1">IFERROR(__xludf.DUMMYFUNCTION("""COMPUTED_VALUE"""),"")</f>
        <v/>
      </c>
      <c r="F5743" s="72"/>
      <c r="G5743" s="72"/>
    </row>
    <row r="5744" spans="1:7" ht="14.5" hidden="1">
      <c r="A5744" s="5"/>
      <c r="B5744" s="18"/>
      <c r="C5744" s="85"/>
      <c r="D5744" s="41"/>
      <c r="E5744" s="26" t="str">
        <f ca="1">IFERROR(__xludf.DUMMYFUNCTION("""COMPUTED_VALUE"""),"")</f>
        <v/>
      </c>
      <c r="F5744" s="72"/>
      <c r="G5744" s="72"/>
    </row>
    <row r="5745" spans="1:7" ht="14.5" hidden="1">
      <c r="A5745" s="5"/>
      <c r="B5745" s="18"/>
      <c r="C5745" s="85"/>
      <c r="D5745" s="41"/>
      <c r="E5745" s="26" t="str">
        <f ca="1">IFERROR(__xludf.DUMMYFUNCTION("""COMPUTED_VALUE"""),"")</f>
        <v/>
      </c>
      <c r="F5745" s="72"/>
      <c r="G5745" s="72"/>
    </row>
    <row r="5746" spans="1:7" ht="14.5" hidden="1">
      <c r="A5746" s="5"/>
      <c r="B5746" s="18"/>
      <c r="C5746" s="85"/>
      <c r="D5746" s="41"/>
      <c r="E5746" s="26" t="str">
        <f ca="1">IFERROR(__xludf.DUMMYFUNCTION("""COMPUTED_VALUE"""),"")</f>
        <v/>
      </c>
      <c r="F5746" s="72"/>
      <c r="G5746" s="72"/>
    </row>
    <row r="5747" spans="1:7" ht="14.5" hidden="1">
      <c r="A5747" s="5"/>
      <c r="B5747" s="18"/>
      <c r="C5747" s="85"/>
      <c r="D5747" s="41"/>
      <c r="E5747" s="26" t="str">
        <f ca="1">IFERROR(__xludf.DUMMYFUNCTION("""COMPUTED_VALUE"""),"")</f>
        <v/>
      </c>
      <c r="F5747" s="72"/>
      <c r="G5747" s="72"/>
    </row>
    <row r="5748" spans="1:7" ht="14.5" hidden="1">
      <c r="A5748" s="5"/>
      <c r="B5748" s="18"/>
      <c r="C5748" s="85"/>
      <c r="D5748" s="41"/>
      <c r="E5748" s="26" t="str">
        <f ca="1">IFERROR(__xludf.DUMMYFUNCTION("""COMPUTED_VALUE"""),"")</f>
        <v/>
      </c>
      <c r="F5748" s="72"/>
      <c r="G5748" s="72"/>
    </row>
    <row r="5749" spans="1:7" ht="14.5" hidden="1">
      <c r="A5749" s="5"/>
      <c r="B5749" s="18"/>
      <c r="C5749" s="85"/>
      <c r="D5749" s="41"/>
      <c r="E5749" s="26" t="str">
        <f ca="1">IFERROR(__xludf.DUMMYFUNCTION("""COMPUTED_VALUE"""),"")</f>
        <v/>
      </c>
      <c r="F5749" s="72"/>
      <c r="G5749" s="72"/>
    </row>
    <row r="5750" spans="1:7" ht="14.5" hidden="1">
      <c r="A5750" s="5"/>
      <c r="B5750" s="18"/>
      <c r="C5750" s="85"/>
      <c r="D5750" s="41"/>
      <c r="E5750" s="26" t="str">
        <f ca="1">IFERROR(__xludf.DUMMYFUNCTION("""COMPUTED_VALUE"""),"")</f>
        <v/>
      </c>
      <c r="F5750" s="72"/>
      <c r="G5750" s="72"/>
    </row>
    <row r="5751" spans="1:7" ht="14.5" hidden="1">
      <c r="A5751" s="5"/>
      <c r="B5751" s="18"/>
      <c r="C5751" s="85"/>
      <c r="D5751" s="41"/>
      <c r="E5751" s="26" t="str">
        <f ca="1">IFERROR(__xludf.DUMMYFUNCTION("""COMPUTED_VALUE"""),"")</f>
        <v/>
      </c>
      <c r="F5751" s="72"/>
      <c r="G5751" s="72"/>
    </row>
    <row r="5752" spans="1:7" ht="14.5" hidden="1">
      <c r="A5752" s="5"/>
      <c r="B5752" s="18"/>
      <c r="C5752" s="85"/>
      <c r="D5752" s="41"/>
      <c r="E5752" s="26" t="str">
        <f ca="1">IFERROR(__xludf.DUMMYFUNCTION("""COMPUTED_VALUE"""),"")</f>
        <v/>
      </c>
      <c r="F5752" s="72"/>
      <c r="G5752" s="72"/>
    </row>
    <row r="5753" spans="1:7" ht="14.5" hidden="1">
      <c r="A5753" s="5"/>
      <c r="B5753" s="18"/>
      <c r="C5753" s="85"/>
      <c r="D5753" s="41"/>
      <c r="E5753" s="26" t="str">
        <f ca="1">IFERROR(__xludf.DUMMYFUNCTION("""COMPUTED_VALUE"""),"")</f>
        <v/>
      </c>
      <c r="F5753" s="72"/>
      <c r="G5753" s="72"/>
    </row>
    <row r="5754" spans="1:7" ht="14.5" hidden="1">
      <c r="A5754" s="5"/>
      <c r="B5754" s="18"/>
      <c r="C5754" s="85"/>
      <c r="D5754" s="41"/>
      <c r="E5754" s="26" t="str">
        <f ca="1">IFERROR(__xludf.DUMMYFUNCTION("""COMPUTED_VALUE"""),"")</f>
        <v/>
      </c>
      <c r="F5754" s="72"/>
      <c r="G5754" s="72"/>
    </row>
    <row r="5755" spans="1:7" ht="14.5" hidden="1">
      <c r="A5755" s="5"/>
      <c r="B5755" s="18"/>
      <c r="C5755" s="85"/>
      <c r="D5755" s="41"/>
      <c r="E5755" s="26" t="str">
        <f ca="1">IFERROR(__xludf.DUMMYFUNCTION("""COMPUTED_VALUE"""),"")</f>
        <v/>
      </c>
      <c r="F5755" s="72"/>
      <c r="G5755" s="72"/>
    </row>
    <row r="5756" spans="1:7" ht="14.5" hidden="1">
      <c r="A5756" s="5"/>
      <c r="B5756" s="18"/>
      <c r="C5756" s="85"/>
      <c r="D5756" s="41"/>
      <c r="E5756" s="26" t="str">
        <f ca="1">IFERROR(__xludf.DUMMYFUNCTION("""COMPUTED_VALUE"""),"")</f>
        <v/>
      </c>
      <c r="F5756" s="72"/>
      <c r="G5756" s="72"/>
    </row>
    <row r="5757" spans="1:7" ht="14.5" hidden="1">
      <c r="A5757" s="5"/>
      <c r="B5757" s="18"/>
      <c r="C5757" s="85"/>
      <c r="D5757" s="41"/>
      <c r="E5757" s="26" t="str">
        <f ca="1">IFERROR(__xludf.DUMMYFUNCTION("""COMPUTED_VALUE"""),"")</f>
        <v/>
      </c>
      <c r="F5757" s="72"/>
      <c r="G5757" s="72"/>
    </row>
    <row r="5758" spans="1:7" ht="14.5" hidden="1">
      <c r="A5758" s="5"/>
      <c r="B5758" s="18"/>
      <c r="C5758" s="85"/>
      <c r="D5758" s="41"/>
      <c r="E5758" s="26" t="str">
        <f ca="1">IFERROR(__xludf.DUMMYFUNCTION("""COMPUTED_VALUE"""),"")</f>
        <v/>
      </c>
      <c r="F5758" s="72"/>
      <c r="G5758" s="72"/>
    </row>
    <row r="5759" spans="1:7" ht="14.5" hidden="1">
      <c r="A5759" s="5"/>
      <c r="B5759" s="18"/>
      <c r="C5759" s="85"/>
      <c r="D5759" s="41"/>
      <c r="E5759" s="26" t="str">
        <f ca="1">IFERROR(__xludf.DUMMYFUNCTION("""COMPUTED_VALUE"""),"")</f>
        <v/>
      </c>
      <c r="F5759" s="72"/>
      <c r="G5759" s="72"/>
    </row>
    <row r="5760" spans="1:7" ht="14.5" hidden="1">
      <c r="A5760" s="5"/>
      <c r="B5760" s="18"/>
      <c r="C5760" s="85"/>
      <c r="D5760" s="41"/>
      <c r="E5760" s="26" t="str">
        <f ca="1">IFERROR(__xludf.DUMMYFUNCTION("""COMPUTED_VALUE"""),"")</f>
        <v/>
      </c>
      <c r="F5760" s="72"/>
      <c r="G5760" s="72"/>
    </row>
    <row r="5761" spans="1:7" ht="14.5" hidden="1">
      <c r="A5761" s="5"/>
      <c r="B5761" s="18"/>
      <c r="C5761" s="85"/>
      <c r="D5761" s="41"/>
      <c r="E5761" s="26" t="str">
        <f ca="1">IFERROR(__xludf.DUMMYFUNCTION("""COMPUTED_VALUE"""),"")</f>
        <v/>
      </c>
      <c r="F5761" s="72"/>
      <c r="G5761" s="72"/>
    </row>
    <row r="5762" spans="1:7" ht="14.5" hidden="1">
      <c r="A5762" s="5"/>
      <c r="B5762" s="18"/>
      <c r="C5762" s="85"/>
      <c r="D5762" s="41"/>
      <c r="E5762" s="26" t="str">
        <f ca="1">IFERROR(__xludf.DUMMYFUNCTION("""COMPUTED_VALUE"""),"")</f>
        <v/>
      </c>
      <c r="F5762" s="72"/>
      <c r="G5762" s="72"/>
    </row>
    <row r="5763" spans="1:7" ht="14.5" hidden="1">
      <c r="A5763" s="5"/>
      <c r="B5763" s="18"/>
      <c r="C5763" s="85"/>
      <c r="D5763" s="41"/>
      <c r="E5763" s="26" t="str">
        <f ca="1">IFERROR(__xludf.DUMMYFUNCTION("""COMPUTED_VALUE"""),"")</f>
        <v/>
      </c>
      <c r="F5763" s="72"/>
      <c r="G5763" s="72"/>
    </row>
    <row r="5764" spans="1:7" ht="14.5" hidden="1">
      <c r="A5764" s="5"/>
      <c r="B5764" s="18"/>
      <c r="C5764" s="85"/>
      <c r="D5764" s="41"/>
      <c r="E5764" s="26" t="str">
        <f ca="1">IFERROR(__xludf.DUMMYFUNCTION("""COMPUTED_VALUE"""),"")</f>
        <v/>
      </c>
      <c r="F5764" s="72"/>
      <c r="G5764" s="72"/>
    </row>
    <row r="5765" spans="1:7" ht="14.5" hidden="1">
      <c r="A5765" s="5"/>
      <c r="B5765" s="18"/>
      <c r="C5765" s="85"/>
      <c r="D5765" s="41"/>
      <c r="E5765" s="26" t="str">
        <f ca="1">IFERROR(__xludf.DUMMYFUNCTION("""COMPUTED_VALUE"""),"")</f>
        <v/>
      </c>
      <c r="F5765" s="72"/>
      <c r="G5765" s="72"/>
    </row>
    <row r="5766" spans="1:7" ht="14.5" hidden="1">
      <c r="A5766" s="5"/>
      <c r="B5766" s="18"/>
      <c r="C5766" s="85"/>
      <c r="D5766" s="41"/>
      <c r="E5766" s="26" t="str">
        <f ca="1">IFERROR(__xludf.DUMMYFUNCTION("""COMPUTED_VALUE"""),"")</f>
        <v/>
      </c>
      <c r="F5766" s="72"/>
      <c r="G5766" s="72"/>
    </row>
    <row r="5767" spans="1:7" ht="14.5" hidden="1">
      <c r="A5767" s="5"/>
      <c r="B5767" s="18"/>
      <c r="C5767" s="85"/>
      <c r="D5767" s="41"/>
      <c r="E5767" s="26" t="str">
        <f ca="1">IFERROR(__xludf.DUMMYFUNCTION("""COMPUTED_VALUE"""),"")</f>
        <v/>
      </c>
      <c r="F5767" s="72"/>
      <c r="G5767" s="72"/>
    </row>
    <row r="5768" spans="1:7" ht="14.5" hidden="1">
      <c r="A5768" s="5"/>
      <c r="B5768" s="18"/>
      <c r="C5768" s="85"/>
      <c r="D5768" s="41"/>
      <c r="E5768" s="26" t="str">
        <f ca="1">IFERROR(__xludf.DUMMYFUNCTION("""COMPUTED_VALUE"""),"")</f>
        <v/>
      </c>
      <c r="F5768" s="72"/>
      <c r="G5768" s="72"/>
    </row>
    <row r="5769" spans="1:7" ht="14.5" hidden="1">
      <c r="A5769" s="5"/>
      <c r="B5769" s="18"/>
      <c r="C5769" s="85"/>
      <c r="D5769" s="41"/>
      <c r="E5769" s="26" t="str">
        <f ca="1">IFERROR(__xludf.DUMMYFUNCTION("""COMPUTED_VALUE"""),"")</f>
        <v/>
      </c>
      <c r="F5769" s="72"/>
      <c r="G5769" s="72"/>
    </row>
    <row r="5770" spans="1:7" ht="14.5" hidden="1">
      <c r="A5770" s="5"/>
      <c r="B5770" s="18"/>
      <c r="C5770" s="85"/>
      <c r="D5770" s="41"/>
      <c r="E5770" s="26" t="str">
        <f ca="1">IFERROR(__xludf.DUMMYFUNCTION("""COMPUTED_VALUE"""),"")</f>
        <v/>
      </c>
      <c r="F5770" s="72"/>
      <c r="G5770" s="72"/>
    </row>
    <row r="5771" spans="1:7" ht="14.5" hidden="1">
      <c r="A5771" s="5"/>
      <c r="B5771" s="18"/>
      <c r="C5771" s="85"/>
      <c r="D5771" s="41"/>
      <c r="E5771" s="26" t="str">
        <f ca="1">IFERROR(__xludf.DUMMYFUNCTION("""COMPUTED_VALUE"""),"")</f>
        <v/>
      </c>
      <c r="F5771" s="72"/>
      <c r="G5771" s="72"/>
    </row>
    <row r="5772" spans="1:7" ht="14.5" hidden="1">
      <c r="A5772" s="5"/>
      <c r="B5772" s="18"/>
      <c r="C5772" s="85"/>
      <c r="D5772" s="41"/>
      <c r="E5772" s="26" t="str">
        <f ca="1">IFERROR(__xludf.DUMMYFUNCTION("""COMPUTED_VALUE"""),"")</f>
        <v/>
      </c>
      <c r="F5772" s="72"/>
      <c r="G5772" s="72"/>
    </row>
    <row r="5773" spans="1:7" ht="14.5" hidden="1">
      <c r="A5773" s="5"/>
      <c r="B5773" s="18"/>
      <c r="C5773" s="85"/>
      <c r="D5773" s="41"/>
      <c r="E5773" s="26" t="str">
        <f ca="1">IFERROR(__xludf.DUMMYFUNCTION("""COMPUTED_VALUE"""),"")</f>
        <v/>
      </c>
      <c r="F5773" s="72"/>
      <c r="G5773" s="72"/>
    </row>
    <row r="5774" spans="1:7" ht="14.5" hidden="1">
      <c r="A5774" s="5"/>
      <c r="B5774" s="18"/>
      <c r="C5774" s="85"/>
      <c r="D5774" s="41"/>
      <c r="E5774" s="26" t="str">
        <f ca="1">IFERROR(__xludf.DUMMYFUNCTION("""COMPUTED_VALUE"""),"")</f>
        <v/>
      </c>
      <c r="F5774" s="72"/>
      <c r="G5774" s="72"/>
    </row>
    <row r="5775" spans="1:7" ht="14.5" hidden="1">
      <c r="A5775" s="5"/>
      <c r="B5775" s="18"/>
      <c r="C5775" s="85"/>
      <c r="D5775" s="41"/>
      <c r="E5775" s="26" t="str">
        <f ca="1">IFERROR(__xludf.DUMMYFUNCTION("""COMPUTED_VALUE"""),"")</f>
        <v/>
      </c>
      <c r="F5775" s="72"/>
      <c r="G5775" s="72"/>
    </row>
    <row r="5776" spans="1:7" ht="14.5" hidden="1">
      <c r="A5776" s="5"/>
      <c r="B5776" s="18"/>
      <c r="C5776" s="85"/>
      <c r="D5776" s="41"/>
      <c r="E5776" s="26" t="str">
        <f ca="1">IFERROR(__xludf.DUMMYFUNCTION("""COMPUTED_VALUE"""),"")</f>
        <v/>
      </c>
      <c r="F5776" s="72"/>
      <c r="G5776" s="72"/>
    </row>
    <row r="5777" spans="1:7" ht="14.5" hidden="1">
      <c r="A5777" s="5"/>
      <c r="B5777" s="18"/>
      <c r="C5777" s="85"/>
      <c r="D5777" s="41"/>
      <c r="E5777" s="26" t="str">
        <f ca="1">IFERROR(__xludf.DUMMYFUNCTION("""COMPUTED_VALUE"""),"")</f>
        <v/>
      </c>
      <c r="F5777" s="72"/>
      <c r="G5777" s="72"/>
    </row>
    <row r="5778" spans="1:7" ht="14.5" hidden="1">
      <c r="A5778" s="5"/>
      <c r="B5778" s="18"/>
      <c r="C5778" s="85"/>
      <c r="D5778" s="41"/>
      <c r="E5778" s="26" t="str">
        <f ca="1">IFERROR(__xludf.DUMMYFUNCTION("""COMPUTED_VALUE"""),"")</f>
        <v/>
      </c>
      <c r="F5778" s="72"/>
      <c r="G5778" s="72"/>
    </row>
    <row r="5779" spans="1:7" ht="14.5" hidden="1">
      <c r="A5779" s="5"/>
      <c r="B5779" s="18"/>
      <c r="C5779" s="85"/>
      <c r="D5779" s="41"/>
      <c r="E5779" s="26" t="str">
        <f ca="1">IFERROR(__xludf.DUMMYFUNCTION("""COMPUTED_VALUE"""),"")</f>
        <v/>
      </c>
      <c r="F5779" s="72"/>
      <c r="G5779" s="72"/>
    </row>
    <row r="5780" spans="1:7" ht="14.5" hidden="1">
      <c r="A5780" s="5"/>
      <c r="B5780" s="18"/>
      <c r="C5780" s="85"/>
      <c r="D5780" s="41"/>
      <c r="E5780" s="26" t="str">
        <f ca="1">IFERROR(__xludf.DUMMYFUNCTION("""COMPUTED_VALUE"""),"")</f>
        <v/>
      </c>
      <c r="F5780" s="72"/>
      <c r="G5780" s="72"/>
    </row>
    <row r="5781" spans="1:7" ht="14.5" hidden="1">
      <c r="A5781" s="5"/>
      <c r="B5781" s="18"/>
      <c r="C5781" s="85"/>
      <c r="D5781" s="41"/>
      <c r="E5781" s="26" t="str">
        <f ca="1">IFERROR(__xludf.DUMMYFUNCTION("""COMPUTED_VALUE"""),"")</f>
        <v/>
      </c>
      <c r="F5781" s="72"/>
      <c r="G5781" s="72"/>
    </row>
    <row r="5782" spans="1:7" ht="14.5" hidden="1">
      <c r="A5782" s="5"/>
      <c r="B5782" s="18"/>
      <c r="C5782" s="85"/>
      <c r="D5782" s="41"/>
      <c r="E5782" s="26" t="str">
        <f ca="1">IFERROR(__xludf.DUMMYFUNCTION("""COMPUTED_VALUE"""),"")</f>
        <v/>
      </c>
      <c r="F5782" s="72"/>
      <c r="G5782" s="72"/>
    </row>
    <row r="5783" spans="1:7" ht="14.5" hidden="1">
      <c r="A5783" s="5"/>
      <c r="B5783" s="18"/>
      <c r="C5783" s="85"/>
      <c r="D5783" s="41"/>
      <c r="E5783" s="26" t="str">
        <f ca="1">IFERROR(__xludf.DUMMYFUNCTION("""COMPUTED_VALUE"""),"")</f>
        <v/>
      </c>
      <c r="F5783" s="72"/>
      <c r="G5783" s="72"/>
    </row>
    <row r="5784" spans="1:7" ht="14.5" hidden="1">
      <c r="A5784" s="5"/>
      <c r="B5784" s="18"/>
      <c r="C5784" s="85"/>
      <c r="D5784" s="41"/>
      <c r="E5784" s="26" t="str">
        <f ca="1">IFERROR(__xludf.DUMMYFUNCTION("""COMPUTED_VALUE"""),"")</f>
        <v/>
      </c>
      <c r="F5784" s="72"/>
      <c r="G5784" s="72"/>
    </row>
    <row r="5785" spans="1:7" ht="14.5" hidden="1">
      <c r="A5785" s="5"/>
      <c r="B5785" s="18"/>
      <c r="C5785" s="85"/>
      <c r="D5785" s="41"/>
      <c r="E5785" s="26" t="str">
        <f ca="1">IFERROR(__xludf.DUMMYFUNCTION("""COMPUTED_VALUE"""),"")</f>
        <v/>
      </c>
      <c r="F5785" s="72"/>
      <c r="G5785" s="72"/>
    </row>
    <row r="5786" spans="1:7" ht="14.5" hidden="1">
      <c r="A5786" s="5"/>
      <c r="B5786" s="18"/>
      <c r="C5786" s="85"/>
      <c r="D5786" s="41"/>
      <c r="E5786" s="26" t="str">
        <f ca="1">IFERROR(__xludf.DUMMYFUNCTION("""COMPUTED_VALUE"""),"")</f>
        <v/>
      </c>
      <c r="F5786" s="72"/>
      <c r="G5786" s="72"/>
    </row>
    <row r="5787" spans="1:7" ht="14.5" hidden="1">
      <c r="A5787" s="5"/>
      <c r="B5787" s="18"/>
      <c r="C5787" s="85"/>
      <c r="D5787" s="41"/>
      <c r="E5787" s="26" t="str">
        <f ca="1">IFERROR(__xludf.DUMMYFUNCTION("""COMPUTED_VALUE"""),"")</f>
        <v/>
      </c>
      <c r="F5787" s="72"/>
      <c r="G5787" s="72"/>
    </row>
    <row r="5788" spans="1:7" ht="14.5" hidden="1">
      <c r="A5788" s="5"/>
      <c r="B5788" s="18"/>
      <c r="C5788" s="85"/>
      <c r="D5788" s="41"/>
      <c r="E5788" s="26" t="str">
        <f ca="1">IFERROR(__xludf.DUMMYFUNCTION("""COMPUTED_VALUE"""),"")</f>
        <v/>
      </c>
      <c r="F5788" s="72"/>
      <c r="G5788" s="72"/>
    </row>
    <row r="5789" spans="1:7" ht="14.5" hidden="1">
      <c r="A5789" s="5"/>
      <c r="B5789" s="18"/>
      <c r="C5789" s="85"/>
      <c r="D5789" s="41"/>
      <c r="E5789" s="26" t="str">
        <f ca="1">IFERROR(__xludf.DUMMYFUNCTION("""COMPUTED_VALUE"""),"")</f>
        <v/>
      </c>
      <c r="F5789" s="72"/>
      <c r="G5789" s="72"/>
    </row>
    <row r="5790" spans="1:7" ht="14.5" hidden="1">
      <c r="A5790" s="5"/>
      <c r="B5790" s="18"/>
      <c r="C5790" s="85"/>
      <c r="D5790" s="41"/>
      <c r="E5790" s="26" t="str">
        <f ca="1">IFERROR(__xludf.DUMMYFUNCTION("""COMPUTED_VALUE"""),"")</f>
        <v/>
      </c>
      <c r="F5790" s="72"/>
      <c r="G5790" s="72"/>
    </row>
    <row r="5791" spans="1:7" ht="14.5" hidden="1">
      <c r="A5791" s="5"/>
      <c r="B5791" s="18"/>
      <c r="C5791" s="85"/>
      <c r="D5791" s="41"/>
      <c r="E5791" s="26" t="str">
        <f ca="1">IFERROR(__xludf.DUMMYFUNCTION("""COMPUTED_VALUE"""),"")</f>
        <v/>
      </c>
      <c r="F5791" s="72"/>
      <c r="G5791" s="72"/>
    </row>
    <row r="5792" spans="1:7" ht="14.5" hidden="1">
      <c r="A5792" s="5"/>
      <c r="B5792" s="18"/>
      <c r="C5792" s="85"/>
      <c r="D5792" s="41"/>
      <c r="E5792" s="26" t="str">
        <f ca="1">IFERROR(__xludf.DUMMYFUNCTION("""COMPUTED_VALUE"""),"")</f>
        <v/>
      </c>
      <c r="F5792" s="72"/>
      <c r="G5792" s="72"/>
    </row>
    <row r="5793" spans="1:7" ht="14.5" hidden="1">
      <c r="A5793" s="5"/>
      <c r="B5793" s="18"/>
      <c r="C5793" s="85"/>
      <c r="D5793" s="41"/>
      <c r="E5793" s="26" t="str">
        <f ca="1">IFERROR(__xludf.DUMMYFUNCTION("""COMPUTED_VALUE"""),"")</f>
        <v/>
      </c>
      <c r="F5793" s="72"/>
      <c r="G5793" s="72"/>
    </row>
    <row r="5794" spans="1:7" ht="14.5" hidden="1">
      <c r="A5794" s="5"/>
      <c r="B5794" s="18"/>
      <c r="C5794" s="85"/>
      <c r="D5794" s="41"/>
      <c r="E5794" s="26" t="str">
        <f ca="1">IFERROR(__xludf.DUMMYFUNCTION("""COMPUTED_VALUE"""),"")</f>
        <v/>
      </c>
      <c r="F5794" s="72"/>
      <c r="G5794" s="72"/>
    </row>
    <row r="5795" spans="1:7" ht="14.5" hidden="1">
      <c r="A5795" s="5"/>
      <c r="B5795" s="18"/>
      <c r="C5795" s="85"/>
      <c r="D5795" s="41"/>
      <c r="E5795" s="26" t="str">
        <f ca="1">IFERROR(__xludf.DUMMYFUNCTION("""COMPUTED_VALUE"""),"")</f>
        <v/>
      </c>
      <c r="F5795" s="72"/>
      <c r="G5795" s="72"/>
    </row>
    <row r="5796" spans="1:7" ht="14.5" hidden="1">
      <c r="A5796" s="5"/>
      <c r="B5796" s="18"/>
      <c r="C5796" s="85"/>
      <c r="D5796" s="41"/>
      <c r="E5796" s="26" t="str">
        <f ca="1">IFERROR(__xludf.DUMMYFUNCTION("""COMPUTED_VALUE"""),"")</f>
        <v/>
      </c>
      <c r="F5796" s="72"/>
      <c r="G5796" s="72"/>
    </row>
    <row r="5797" spans="1:7" ht="14.5" hidden="1">
      <c r="A5797" s="5"/>
      <c r="B5797" s="18"/>
      <c r="C5797" s="85"/>
      <c r="D5797" s="41"/>
      <c r="E5797" s="26" t="str">
        <f ca="1">IFERROR(__xludf.DUMMYFUNCTION("""COMPUTED_VALUE"""),"")</f>
        <v/>
      </c>
      <c r="F5797" s="72"/>
      <c r="G5797" s="72"/>
    </row>
    <row r="5798" spans="1:7" ht="14.5" hidden="1">
      <c r="A5798" s="5"/>
      <c r="B5798" s="18"/>
      <c r="C5798" s="85"/>
      <c r="D5798" s="41"/>
      <c r="E5798" s="26" t="str">
        <f ca="1">IFERROR(__xludf.DUMMYFUNCTION("""COMPUTED_VALUE"""),"")</f>
        <v/>
      </c>
      <c r="F5798" s="72"/>
      <c r="G5798" s="72"/>
    </row>
    <row r="5799" spans="1:7" ht="14.5" hidden="1">
      <c r="A5799" s="5"/>
      <c r="B5799" s="18"/>
      <c r="C5799" s="85"/>
      <c r="D5799" s="41"/>
      <c r="E5799" s="26" t="str">
        <f ca="1">IFERROR(__xludf.DUMMYFUNCTION("""COMPUTED_VALUE"""),"")</f>
        <v/>
      </c>
      <c r="F5799" s="72"/>
      <c r="G5799" s="72"/>
    </row>
    <row r="5800" spans="1:7" ht="14.5" hidden="1">
      <c r="A5800" s="5"/>
      <c r="B5800" s="18"/>
      <c r="C5800" s="85"/>
      <c r="D5800" s="41"/>
      <c r="E5800" s="26" t="str">
        <f ca="1">IFERROR(__xludf.DUMMYFUNCTION("""COMPUTED_VALUE"""),"")</f>
        <v/>
      </c>
      <c r="F5800" s="72"/>
      <c r="G5800" s="72"/>
    </row>
    <row r="5801" spans="1:7" ht="14.5" hidden="1">
      <c r="A5801" s="5"/>
      <c r="B5801" s="18"/>
      <c r="C5801" s="85"/>
      <c r="D5801" s="41"/>
      <c r="E5801" s="26" t="str">
        <f ca="1">IFERROR(__xludf.DUMMYFUNCTION("""COMPUTED_VALUE"""),"")</f>
        <v/>
      </c>
      <c r="F5801" s="72"/>
      <c r="G5801" s="72"/>
    </row>
    <row r="5802" spans="1:7" ht="14.5" hidden="1">
      <c r="A5802" s="5"/>
      <c r="B5802" s="18"/>
      <c r="C5802" s="85"/>
      <c r="D5802" s="41"/>
      <c r="E5802" s="26" t="str">
        <f ca="1">IFERROR(__xludf.DUMMYFUNCTION("""COMPUTED_VALUE"""),"")</f>
        <v/>
      </c>
      <c r="F5802" s="72"/>
      <c r="G5802" s="72"/>
    </row>
    <row r="5803" spans="1:7" ht="14.5" hidden="1">
      <c r="A5803" s="5"/>
      <c r="B5803" s="18"/>
      <c r="C5803" s="85"/>
      <c r="D5803" s="41"/>
      <c r="E5803" s="26" t="str">
        <f ca="1">IFERROR(__xludf.DUMMYFUNCTION("""COMPUTED_VALUE"""),"")</f>
        <v/>
      </c>
      <c r="F5803" s="72"/>
      <c r="G5803" s="72"/>
    </row>
    <row r="5804" spans="1:7" ht="14.5" hidden="1">
      <c r="A5804" s="5"/>
      <c r="B5804" s="18"/>
      <c r="C5804" s="85"/>
      <c r="D5804" s="41"/>
      <c r="E5804" s="26" t="str">
        <f ca="1">IFERROR(__xludf.DUMMYFUNCTION("""COMPUTED_VALUE"""),"")</f>
        <v/>
      </c>
      <c r="F5804" s="72"/>
      <c r="G5804" s="72"/>
    </row>
    <row r="5805" spans="1:7" ht="14.5" hidden="1">
      <c r="A5805" s="5"/>
      <c r="B5805" s="18"/>
      <c r="C5805" s="85"/>
      <c r="D5805" s="41"/>
      <c r="E5805" s="26" t="str">
        <f ca="1">IFERROR(__xludf.DUMMYFUNCTION("""COMPUTED_VALUE"""),"")</f>
        <v/>
      </c>
      <c r="F5805" s="72"/>
      <c r="G5805" s="72"/>
    </row>
    <row r="5806" spans="1:7" ht="14.5" hidden="1">
      <c r="A5806" s="5"/>
      <c r="B5806" s="18"/>
      <c r="C5806" s="85"/>
      <c r="D5806" s="41"/>
      <c r="E5806" s="26" t="str">
        <f ca="1">IFERROR(__xludf.DUMMYFUNCTION("""COMPUTED_VALUE"""),"")</f>
        <v/>
      </c>
      <c r="F5806" s="72"/>
      <c r="G5806" s="72"/>
    </row>
    <row r="5807" spans="1:7" ht="14.5" hidden="1">
      <c r="A5807" s="5"/>
      <c r="B5807" s="18"/>
      <c r="C5807" s="85"/>
      <c r="D5807" s="41"/>
      <c r="E5807" s="26" t="str">
        <f ca="1">IFERROR(__xludf.DUMMYFUNCTION("""COMPUTED_VALUE"""),"")</f>
        <v/>
      </c>
      <c r="F5807" s="72"/>
      <c r="G5807" s="72"/>
    </row>
    <row r="5808" spans="1:7" ht="14.5" hidden="1">
      <c r="A5808" s="5"/>
      <c r="B5808" s="18"/>
      <c r="C5808" s="85"/>
      <c r="D5808" s="41"/>
      <c r="E5808" s="26" t="str">
        <f ca="1">IFERROR(__xludf.DUMMYFUNCTION("""COMPUTED_VALUE"""),"")</f>
        <v/>
      </c>
      <c r="F5808" s="72"/>
      <c r="G5808" s="72"/>
    </row>
    <row r="5809" spans="1:7" ht="14.5" hidden="1">
      <c r="A5809" s="5"/>
      <c r="B5809" s="18"/>
      <c r="C5809" s="85"/>
      <c r="D5809" s="41"/>
      <c r="E5809" s="26" t="str">
        <f ca="1">IFERROR(__xludf.DUMMYFUNCTION("""COMPUTED_VALUE"""),"")</f>
        <v/>
      </c>
      <c r="F5809" s="72"/>
      <c r="G5809" s="72"/>
    </row>
    <row r="5810" spans="1:7" ht="14.5" hidden="1">
      <c r="A5810" s="5"/>
      <c r="B5810" s="18"/>
      <c r="C5810" s="85"/>
      <c r="D5810" s="41"/>
      <c r="E5810" s="26" t="str">
        <f ca="1">IFERROR(__xludf.DUMMYFUNCTION("""COMPUTED_VALUE"""),"")</f>
        <v/>
      </c>
      <c r="F5810" s="72"/>
      <c r="G5810" s="72"/>
    </row>
    <row r="5811" spans="1:7" ht="14.5" hidden="1">
      <c r="A5811" s="5"/>
      <c r="B5811" s="18"/>
      <c r="C5811" s="85"/>
      <c r="D5811" s="41"/>
      <c r="E5811" s="26" t="str">
        <f ca="1">IFERROR(__xludf.DUMMYFUNCTION("""COMPUTED_VALUE"""),"")</f>
        <v/>
      </c>
      <c r="F5811" s="72"/>
      <c r="G5811" s="72"/>
    </row>
    <row r="5812" spans="1:7" ht="14.5" hidden="1">
      <c r="A5812" s="5"/>
      <c r="B5812" s="18"/>
      <c r="C5812" s="85"/>
      <c r="D5812" s="41"/>
      <c r="E5812" s="26" t="str">
        <f ca="1">IFERROR(__xludf.DUMMYFUNCTION("""COMPUTED_VALUE"""),"")</f>
        <v/>
      </c>
      <c r="F5812" s="72"/>
      <c r="G5812" s="72"/>
    </row>
    <row r="5813" spans="1:7" ht="14.5" hidden="1">
      <c r="A5813" s="5"/>
      <c r="B5813" s="18"/>
      <c r="C5813" s="85"/>
      <c r="D5813" s="41"/>
      <c r="E5813" s="26" t="str">
        <f ca="1">IFERROR(__xludf.DUMMYFUNCTION("""COMPUTED_VALUE"""),"")</f>
        <v/>
      </c>
      <c r="F5813" s="72"/>
      <c r="G5813" s="72"/>
    </row>
    <row r="5814" spans="1:7" ht="14.5" hidden="1">
      <c r="A5814" s="5"/>
      <c r="B5814" s="18"/>
      <c r="C5814" s="85"/>
      <c r="D5814" s="41"/>
      <c r="E5814" s="26" t="str">
        <f ca="1">IFERROR(__xludf.DUMMYFUNCTION("""COMPUTED_VALUE"""),"")</f>
        <v/>
      </c>
      <c r="F5814" s="72"/>
      <c r="G5814" s="72"/>
    </row>
    <row r="5815" spans="1:7" ht="14.5" hidden="1">
      <c r="A5815" s="5"/>
      <c r="B5815" s="18"/>
      <c r="C5815" s="85"/>
      <c r="D5815" s="41"/>
      <c r="E5815" s="26" t="str">
        <f ca="1">IFERROR(__xludf.DUMMYFUNCTION("""COMPUTED_VALUE"""),"")</f>
        <v/>
      </c>
      <c r="F5815" s="72"/>
      <c r="G5815" s="72"/>
    </row>
    <row r="5816" spans="1:7" ht="14.5" hidden="1">
      <c r="A5816" s="5"/>
      <c r="B5816" s="18"/>
      <c r="C5816" s="85"/>
      <c r="D5816" s="41"/>
      <c r="E5816" s="26" t="str">
        <f ca="1">IFERROR(__xludf.DUMMYFUNCTION("""COMPUTED_VALUE"""),"")</f>
        <v/>
      </c>
      <c r="F5816" s="72"/>
      <c r="G5816" s="72"/>
    </row>
    <row r="5817" spans="1:7" ht="14.5" hidden="1">
      <c r="A5817" s="5"/>
      <c r="B5817" s="18"/>
      <c r="C5817" s="85"/>
      <c r="D5817" s="41"/>
      <c r="E5817" s="26" t="str">
        <f ca="1">IFERROR(__xludf.DUMMYFUNCTION("""COMPUTED_VALUE"""),"")</f>
        <v/>
      </c>
      <c r="F5817" s="72"/>
      <c r="G5817" s="72"/>
    </row>
    <row r="5818" spans="1:7" ht="14.5" hidden="1">
      <c r="A5818" s="5"/>
      <c r="B5818" s="18"/>
      <c r="C5818" s="85"/>
      <c r="D5818" s="41"/>
      <c r="E5818" s="26" t="str">
        <f ca="1">IFERROR(__xludf.DUMMYFUNCTION("""COMPUTED_VALUE"""),"")</f>
        <v/>
      </c>
      <c r="F5818" s="72"/>
      <c r="G5818" s="72"/>
    </row>
    <row r="5819" spans="1:7" ht="14.5" hidden="1">
      <c r="A5819" s="5"/>
      <c r="B5819" s="18"/>
      <c r="C5819" s="85"/>
      <c r="D5819" s="41"/>
      <c r="E5819" s="26" t="str">
        <f ca="1">IFERROR(__xludf.DUMMYFUNCTION("""COMPUTED_VALUE"""),"")</f>
        <v/>
      </c>
      <c r="F5819" s="72"/>
      <c r="G5819" s="72"/>
    </row>
    <row r="5820" spans="1:7" ht="14.5" hidden="1">
      <c r="A5820" s="5"/>
      <c r="B5820" s="18"/>
      <c r="C5820" s="85"/>
      <c r="D5820" s="41"/>
      <c r="E5820" s="26" t="str">
        <f ca="1">IFERROR(__xludf.DUMMYFUNCTION("""COMPUTED_VALUE"""),"")</f>
        <v/>
      </c>
      <c r="F5820" s="72"/>
      <c r="G5820" s="72"/>
    </row>
    <row r="5821" spans="1:7" ht="14.5" hidden="1">
      <c r="A5821" s="5"/>
      <c r="B5821" s="18"/>
      <c r="C5821" s="85"/>
      <c r="D5821" s="41"/>
      <c r="E5821" s="26" t="str">
        <f ca="1">IFERROR(__xludf.DUMMYFUNCTION("""COMPUTED_VALUE"""),"")</f>
        <v/>
      </c>
      <c r="F5821" s="72"/>
      <c r="G5821" s="72"/>
    </row>
    <row r="5822" spans="1:7" ht="14.5" hidden="1">
      <c r="A5822" s="5"/>
      <c r="B5822" s="18"/>
      <c r="C5822" s="85"/>
      <c r="D5822" s="41"/>
      <c r="E5822" s="26" t="str">
        <f ca="1">IFERROR(__xludf.DUMMYFUNCTION("""COMPUTED_VALUE"""),"")</f>
        <v/>
      </c>
      <c r="F5822" s="72"/>
      <c r="G5822" s="72"/>
    </row>
    <row r="5823" spans="1:7" ht="14.5" hidden="1">
      <c r="A5823" s="5"/>
      <c r="B5823" s="18"/>
      <c r="C5823" s="85"/>
      <c r="D5823" s="41"/>
      <c r="E5823" s="26" t="str">
        <f ca="1">IFERROR(__xludf.DUMMYFUNCTION("""COMPUTED_VALUE"""),"")</f>
        <v/>
      </c>
      <c r="F5823" s="72"/>
      <c r="G5823" s="72"/>
    </row>
    <row r="5824" spans="1:7" ht="14.5" hidden="1">
      <c r="A5824" s="5"/>
      <c r="B5824" s="18"/>
      <c r="C5824" s="85"/>
      <c r="D5824" s="41"/>
      <c r="E5824" s="26" t="str">
        <f ca="1">IFERROR(__xludf.DUMMYFUNCTION("""COMPUTED_VALUE"""),"")</f>
        <v/>
      </c>
      <c r="F5824" s="72"/>
      <c r="G5824" s="72"/>
    </row>
    <row r="5825" spans="1:7" ht="14.5" hidden="1">
      <c r="A5825" s="5"/>
      <c r="B5825" s="18"/>
      <c r="C5825" s="85"/>
      <c r="D5825" s="41"/>
      <c r="E5825" s="26" t="str">
        <f ca="1">IFERROR(__xludf.DUMMYFUNCTION("""COMPUTED_VALUE"""),"")</f>
        <v/>
      </c>
      <c r="F5825" s="72"/>
      <c r="G5825" s="72"/>
    </row>
    <row r="5826" spans="1:7" ht="14.5" hidden="1">
      <c r="A5826" s="5"/>
      <c r="B5826" s="18"/>
      <c r="C5826" s="85"/>
      <c r="D5826" s="41"/>
      <c r="E5826" s="26" t="str">
        <f ca="1">IFERROR(__xludf.DUMMYFUNCTION("""COMPUTED_VALUE"""),"")</f>
        <v/>
      </c>
      <c r="F5826" s="72"/>
      <c r="G5826" s="72"/>
    </row>
    <row r="5827" spans="1:7" ht="14.5" hidden="1">
      <c r="A5827" s="5"/>
      <c r="B5827" s="18"/>
      <c r="C5827" s="85"/>
      <c r="D5827" s="41"/>
      <c r="E5827" s="26" t="str">
        <f ca="1">IFERROR(__xludf.DUMMYFUNCTION("""COMPUTED_VALUE"""),"")</f>
        <v/>
      </c>
      <c r="F5827" s="72"/>
      <c r="G5827" s="72"/>
    </row>
    <row r="5828" spans="1:7" ht="14.5" hidden="1">
      <c r="A5828" s="5"/>
      <c r="B5828" s="18"/>
      <c r="C5828" s="85"/>
      <c r="D5828" s="41"/>
      <c r="E5828" s="26" t="str">
        <f ca="1">IFERROR(__xludf.DUMMYFUNCTION("""COMPUTED_VALUE"""),"")</f>
        <v/>
      </c>
      <c r="F5828" s="72"/>
      <c r="G5828" s="72"/>
    </row>
    <row r="5829" spans="1:7" ht="14.5" hidden="1">
      <c r="A5829" s="5"/>
      <c r="B5829" s="18"/>
      <c r="C5829" s="85"/>
      <c r="D5829" s="41"/>
      <c r="E5829" s="26" t="str">
        <f ca="1">IFERROR(__xludf.DUMMYFUNCTION("""COMPUTED_VALUE"""),"")</f>
        <v/>
      </c>
      <c r="F5829" s="72"/>
      <c r="G5829" s="72"/>
    </row>
    <row r="5830" spans="1:7" ht="14.5" hidden="1">
      <c r="A5830" s="5"/>
      <c r="B5830" s="18"/>
      <c r="C5830" s="85"/>
      <c r="D5830" s="41"/>
      <c r="E5830" s="26" t="str">
        <f ca="1">IFERROR(__xludf.DUMMYFUNCTION("""COMPUTED_VALUE"""),"")</f>
        <v/>
      </c>
      <c r="F5830" s="72"/>
      <c r="G5830" s="72"/>
    </row>
    <row r="5831" spans="1:7" ht="14.5" hidden="1">
      <c r="A5831" s="5"/>
      <c r="B5831" s="18"/>
      <c r="C5831" s="85"/>
      <c r="D5831" s="41"/>
      <c r="E5831" s="26" t="str">
        <f ca="1">IFERROR(__xludf.DUMMYFUNCTION("""COMPUTED_VALUE"""),"")</f>
        <v/>
      </c>
      <c r="F5831" s="72"/>
      <c r="G5831" s="72"/>
    </row>
    <row r="5832" spans="1:7" ht="14.5" hidden="1">
      <c r="A5832" s="5"/>
      <c r="B5832" s="18"/>
      <c r="C5832" s="85"/>
      <c r="D5832" s="41"/>
      <c r="E5832" s="26" t="str">
        <f ca="1">IFERROR(__xludf.DUMMYFUNCTION("""COMPUTED_VALUE"""),"")</f>
        <v/>
      </c>
      <c r="F5832" s="72"/>
      <c r="G5832" s="72"/>
    </row>
    <row r="5833" spans="1:7" ht="14.5" hidden="1">
      <c r="A5833" s="5"/>
      <c r="B5833" s="18"/>
      <c r="C5833" s="85"/>
      <c r="D5833" s="41"/>
      <c r="E5833" s="26" t="str">
        <f ca="1">IFERROR(__xludf.DUMMYFUNCTION("""COMPUTED_VALUE"""),"")</f>
        <v/>
      </c>
      <c r="F5833" s="72"/>
      <c r="G5833" s="72"/>
    </row>
    <row r="5834" spans="1:7" ht="14.5" hidden="1">
      <c r="A5834" s="5"/>
      <c r="B5834" s="18"/>
      <c r="C5834" s="85"/>
      <c r="D5834" s="41"/>
      <c r="E5834" s="26" t="str">
        <f ca="1">IFERROR(__xludf.DUMMYFUNCTION("""COMPUTED_VALUE"""),"")</f>
        <v/>
      </c>
      <c r="F5834" s="72"/>
      <c r="G5834" s="72"/>
    </row>
    <row r="5835" spans="1:7" ht="14.5" hidden="1">
      <c r="A5835" s="5"/>
      <c r="B5835" s="18"/>
      <c r="C5835" s="85"/>
      <c r="D5835" s="41"/>
      <c r="E5835" s="26" t="str">
        <f ca="1">IFERROR(__xludf.DUMMYFUNCTION("""COMPUTED_VALUE"""),"")</f>
        <v/>
      </c>
      <c r="F5835" s="72"/>
      <c r="G5835" s="72"/>
    </row>
    <row r="5836" spans="1:7" ht="14.5" hidden="1">
      <c r="A5836" s="5"/>
      <c r="B5836" s="18"/>
      <c r="C5836" s="85"/>
      <c r="D5836" s="41"/>
      <c r="E5836" s="26" t="str">
        <f ca="1">IFERROR(__xludf.DUMMYFUNCTION("""COMPUTED_VALUE"""),"")</f>
        <v/>
      </c>
      <c r="F5836" s="72"/>
      <c r="G5836" s="72"/>
    </row>
    <row r="5837" spans="1:7" ht="14.5" hidden="1">
      <c r="A5837" s="5"/>
      <c r="B5837" s="18"/>
      <c r="C5837" s="85"/>
      <c r="D5837" s="41"/>
      <c r="E5837" s="26" t="str">
        <f ca="1">IFERROR(__xludf.DUMMYFUNCTION("""COMPUTED_VALUE"""),"")</f>
        <v/>
      </c>
      <c r="F5837" s="72"/>
      <c r="G5837" s="72"/>
    </row>
    <row r="5838" spans="1:7" ht="14.5" hidden="1">
      <c r="A5838" s="5"/>
      <c r="B5838" s="18"/>
      <c r="C5838" s="85"/>
      <c r="D5838" s="41"/>
      <c r="E5838" s="26" t="str">
        <f ca="1">IFERROR(__xludf.DUMMYFUNCTION("""COMPUTED_VALUE"""),"")</f>
        <v/>
      </c>
      <c r="F5838" s="72"/>
      <c r="G5838" s="72"/>
    </row>
    <row r="5839" spans="1:7" ht="14.5" hidden="1">
      <c r="A5839" s="5"/>
      <c r="B5839" s="18"/>
      <c r="C5839" s="85"/>
      <c r="D5839" s="41"/>
      <c r="E5839" s="26" t="str">
        <f ca="1">IFERROR(__xludf.DUMMYFUNCTION("""COMPUTED_VALUE"""),"")</f>
        <v/>
      </c>
      <c r="F5839" s="72"/>
      <c r="G5839" s="72"/>
    </row>
    <row r="5840" spans="1:7" ht="14.5" hidden="1">
      <c r="A5840" s="5"/>
      <c r="B5840" s="18"/>
      <c r="C5840" s="85"/>
      <c r="D5840" s="41"/>
      <c r="E5840" s="26" t="str">
        <f ca="1">IFERROR(__xludf.DUMMYFUNCTION("""COMPUTED_VALUE"""),"")</f>
        <v/>
      </c>
      <c r="F5840" s="72"/>
      <c r="G5840" s="72"/>
    </row>
    <row r="5841" spans="1:7" ht="14.5" hidden="1">
      <c r="A5841" s="5"/>
      <c r="B5841" s="18"/>
      <c r="C5841" s="85"/>
      <c r="D5841" s="41"/>
      <c r="E5841" s="26" t="str">
        <f ca="1">IFERROR(__xludf.DUMMYFUNCTION("""COMPUTED_VALUE"""),"")</f>
        <v/>
      </c>
      <c r="F5841" s="72"/>
      <c r="G5841" s="72"/>
    </row>
    <row r="5842" spans="1:7" ht="14.5" hidden="1">
      <c r="A5842" s="5"/>
      <c r="B5842" s="18"/>
      <c r="C5842" s="85"/>
      <c r="D5842" s="41"/>
      <c r="E5842" s="26" t="str">
        <f ca="1">IFERROR(__xludf.DUMMYFUNCTION("""COMPUTED_VALUE"""),"")</f>
        <v/>
      </c>
      <c r="F5842" s="72"/>
      <c r="G5842" s="72"/>
    </row>
    <row r="5843" spans="1:7" ht="14.5" hidden="1">
      <c r="A5843" s="5"/>
      <c r="B5843" s="18"/>
      <c r="C5843" s="85"/>
      <c r="D5843" s="41"/>
      <c r="E5843" s="26" t="str">
        <f ca="1">IFERROR(__xludf.DUMMYFUNCTION("""COMPUTED_VALUE"""),"")</f>
        <v/>
      </c>
      <c r="F5843" s="72"/>
      <c r="G5843" s="72"/>
    </row>
    <row r="5844" spans="1:7" ht="14.5" hidden="1">
      <c r="A5844" s="5"/>
      <c r="B5844" s="18"/>
      <c r="C5844" s="85"/>
      <c r="D5844" s="41"/>
      <c r="E5844" s="26" t="str">
        <f ca="1">IFERROR(__xludf.DUMMYFUNCTION("""COMPUTED_VALUE"""),"")</f>
        <v/>
      </c>
      <c r="F5844" s="72"/>
      <c r="G5844" s="72"/>
    </row>
    <row r="5845" spans="1:7" ht="14.5" hidden="1">
      <c r="A5845" s="5"/>
      <c r="B5845" s="18"/>
      <c r="C5845" s="85"/>
      <c r="D5845" s="41"/>
      <c r="E5845" s="26" t="str">
        <f ca="1">IFERROR(__xludf.DUMMYFUNCTION("""COMPUTED_VALUE"""),"")</f>
        <v/>
      </c>
      <c r="F5845" s="72"/>
      <c r="G5845" s="72"/>
    </row>
    <row r="5846" spans="1:7" ht="14.5" hidden="1">
      <c r="A5846" s="5"/>
      <c r="B5846" s="18"/>
      <c r="C5846" s="85"/>
      <c r="D5846" s="41"/>
      <c r="E5846" s="26" t="str">
        <f ca="1">IFERROR(__xludf.DUMMYFUNCTION("""COMPUTED_VALUE"""),"")</f>
        <v/>
      </c>
      <c r="F5846" s="72"/>
      <c r="G5846" s="72"/>
    </row>
    <row r="5847" spans="1:7" ht="14.5" hidden="1">
      <c r="A5847" s="5"/>
      <c r="B5847" s="18"/>
      <c r="C5847" s="85"/>
      <c r="D5847" s="41"/>
      <c r="E5847" s="26" t="str">
        <f ca="1">IFERROR(__xludf.DUMMYFUNCTION("""COMPUTED_VALUE"""),"")</f>
        <v/>
      </c>
      <c r="F5847" s="72"/>
      <c r="G5847" s="72"/>
    </row>
    <row r="5848" spans="1:7" ht="14.5" hidden="1">
      <c r="A5848" s="5"/>
      <c r="B5848" s="18"/>
      <c r="C5848" s="85"/>
      <c r="D5848" s="41"/>
      <c r="E5848" s="26" t="str">
        <f ca="1">IFERROR(__xludf.DUMMYFUNCTION("""COMPUTED_VALUE"""),"")</f>
        <v/>
      </c>
      <c r="F5848" s="72"/>
      <c r="G5848" s="72"/>
    </row>
    <row r="5849" spans="1:7" ht="14.5" hidden="1">
      <c r="A5849" s="5"/>
      <c r="B5849" s="18"/>
      <c r="C5849" s="85"/>
      <c r="D5849" s="41"/>
      <c r="E5849" s="26" t="str">
        <f ca="1">IFERROR(__xludf.DUMMYFUNCTION("""COMPUTED_VALUE"""),"")</f>
        <v/>
      </c>
      <c r="F5849" s="72"/>
      <c r="G5849" s="72"/>
    </row>
    <row r="5850" spans="1:7" ht="14.5" hidden="1">
      <c r="A5850" s="5"/>
      <c r="B5850" s="18"/>
      <c r="C5850" s="85"/>
      <c r="D5850" s="41"/>
      <c r="E5850" s="26" t="str">
        <f ca="1">IFERROR(__xludf.DUMMYFUNCTION("""COMPUTED_VALUE"""),"")</f>
        <v/>
      </c>
      <c r="F5850" s="72"/>
      <c r="G5850" s="72"/>
    </row>
    <row r="5851" spans="1:7" ht="14.5" hidden="1">
      <c r="A5851" s="5"/>
      <c r="B5851" s="18"/>
      <c r="C5851" s="85"/>
      <c r="D5851" s="41"/>
      <c r="E5851" s="26" t="str">
        <f ca="1">IFERROR(__xludf.DUMMYFUNCTION("""COMPUTED_VALUE"""),"")</f>
        <v/>
      </c>
      <c r="F5851" s="72"/>
      <c r="G5851" s="72"/>
    </row>
    <row r="5852" spans="1:7" ht="14.5" hidden="1">
      <c r="A5852" s="5"/>
      <c r="B5852" s="18"/>
      <c r="C5852" s="85"/>
      <c r="D5852" s="41"/>
      <c r="E5852" s="26" t="str">
        <f ca="1">IFERROR(__xludf.DUMMYFUNCTION("""COMPUTED_VALUE"""),"")</f>
        <v/>
      </c>
      <c r="F5852" s="72"/>
      <c r="G5852" s="72"/>
    </row>
    <row r="5853" spans="1:7" ht="14.5" hidden="1">
      <c r="A5853" s="5"/>
      <c r="B5853" s="18"/>
      <c r="C5853" s="85"/>
      <c r="D5853" s="41"/>
      <c r="E5853" s="26" t="str">
        <f ca="1">IFERROR(__xludf.DUMMYFUNCTION("""COMPUTED_VALUE"""),"")</f>
        <v/>
      </c>
      <c r="F5853" s="72"/>
      <c r="G5853" s="72"/>
    </row>
    <row r="5854" spans="1:7" ht="14.5" hidden="1">
      <c r="A5854" s="5"/>
      <c r="B5854" s="18"/>
      <c r="C5854" s="85"/>
      <c r="D5854" s="41"/>
      <c r="E5854" s="26" t="str">
        <f ca="1">IFERROR(__xludf.DUMMYFUNCTION("""COMPUTED_VALUE"""),"")</f>
        <v/>
      </c>
      <c r="F5854" s="72"/>
      <c r="G5854" s="72"/>
    </row>
    <row r="5855" spans="1:7" ht="14.5" hidden="1">
      <c r="A5855" s="5"/>
      <c r="B5855" s="18"/>
      <c r="C5855" s="85"/>
      <c r="D5855" s="41"/>
      <c r="E5855" s="26" t="str">
        <f ca="1">IFERROR(__xludf.DUMMYFUNCTION("""COMPUTED_VALUE"""),"")</f>
        <v/>
      </c>
      <c r="F5855" s="72"/>
      <c r="G5855" s="72"/>
    </row>
    <row r="5856" spans="1:7" ht="14.5" hidden="1">
      <c r="A5856" s="5"/>
      <c r="B5856" s="18"/>
      <c r="C5856" s="85"/>
      <c r="D5856" s="41"/>
      <c r="E5856" s="26" t="str">
        <f ca="1">IFERROR(__xludf.DUMMYFUNCTION("""COMPUTED_VALUE"""),"")</f>
        <v/>
      </c>
      <c r="F5856" s="72"/>
      <c r="G5856" s="72"/>
    </row>
    <row r="5857" spans="1:7" ht="14.5" hidden="1">
      <c r="A5857" s="5"/>
      <c r="B5857" s="18"/>
      <c r="C5857" s="85"/>
      <c r="D5857" s="41"/>
      <c r="E5857" s="26" t="str">
        <f ca="1">IFERROR(__xludf.DUMMYFUNCTION("""COMPUTED_VALUE"""),"")</f>
        <v/>
      </c>
      <c r="F5857" s="72"/>
      <c r="G5857" s="72"/>
    </row>
    <row r="5858" spans="1:7" ht="14.5" hidden="1">
      <c r="A5858" s="5"/>
      <c r="B5858" s="18"/>
      <c r="C5858" s="85"/>
      <c r="D5858" s="41"/>
      <c r="E5858" s="26" t="str">
        <f ca="1">IFERROR(__xludf.DUMMYFUNCTION("""COMPUTED_VALUE"""),"")</f>
        <v/>
      </c>
      <c r="F5858" s="72"/>
      <c r="G5858" s="72"/>
    </row>
    <row r="5859" spans="1:7" ht="14.5" hidden="1">
      <c r="A5859" s="5"/>
      <c r="B5859" s="18"/>
      <c r="C5859" s="85"/>
      <c r="D5859" s="41"/>
      <c r="E5859" s="26" t="str">
        <f ca="1">IFERROR(__xludf.DUMMYFUNCTION("""COMPUTED_VALUE"""),"")</f>
        <v/>
      </c>
      <c r="F5859" s="72"/>
      <c r="G5859" s="72"/>
    </row>
    <row r="5860" spans="1:7" ht="14.5" hidden="1">
      <c r="A5860" s="5"/>
      <c r="B5860" s="18"/>
      <c r="C5860" s="85"/>
      <c r="D5860" s="41"/>
      <c r="E5860" s="26" t="str">
        <f ca="1">IFERROR(__xludf.DUMMYFUNCTION("""COMPUTED_VALUE"""),"")</f>
        <v/>
      </c>
      <c r="F5860" s="72"/>
      <c r="G5860" s="72"/>
    </row>
    <row r="5861" spans="1:7" ht="14.5" hidden="1">
      <c r="A5861" s="5"/>
      <c r="B5861" s="18"/>
      <c r="C5861" s="85"/>
      <c r="D5861" s="41"/>
      <c r="E5861" s="26" t="str">
        <f ca="1">IFERROR(__xludf.DUMMYFUNCTION("""COMPUTED_VALUE"""),"")</f>
        <v/>
      </c>
      <c r="F5861" s="72"/>
      <c r="G5861" s="72"/>
    </row>
    <row r="5862" spans="1:7" ht="14.5" hidden="1">
      <c r="A5862" s="5"/>
      <c r="B5862" s="18"/>
      <c r="C5862" s="85"/>
      <c r="D5862" s="41"/>
      <c r="E5862" s="26" t="str">
        <f ca="1">IFERROR(__xludf.DUMMYFUNCTION("""COMPUTED_VALUE"""),"")</f>
        <v/>
      </c>
      <c r="F5862" s="72"/>
      <c r="G5862" s="72"/>
    </row>
    <row r="5863" spans="1:7" ht="14.5" hidden="1">
      <c r="A5863" s="5"/>
      <c r="B5863" s="18"/>
      <c r="C5863" s="85"/>
      <c r="D5863" s="41"/>
      <c r="E5863" s="26" t="str">
        <f ca="1">IFERROR(__xludf.DUMMYFUNCTION("""COMPUTED_VALUE"""),"")</f>
        <v/>
      </c>
      <c r="F5863" s="72"/>
      <c r="G5863" s="72"/>
    </row>
    <row r="5864" spans="1:7" ht="14.5" hidden="1">
      <c r="A5864" s="5"/>
      <c r="B5864" s="18"/>
      <c r="C5864" s="85"/>
      <c r="D5864" s="41"/>
      <c r="E5864" s="26" t="str">
        <f ca="1">IFERROR(__xludf.DUMMYFUNCTION("""COMPUTED_VALUE"""),"")</f>
        <v/>
      </c>
      <c r="F5864" s="72"/>
      <c r="G5864" s="72"/>
    </row>
    <row r="5865" spans="1:7" ht="14.5" hidden="1">
      <c r="A5865" s="5"/>
      <c r="B5865" s="18"/>
      <c r="C5865" s="85"/>
      <c r="D5865" s="41"/>
      <c r="E5865" s="26" t="str">
        <f ca="1">IFERROR(__xludf.DUMMYFUNCTION("""COMPUTED_VALUE"""),"")</f>
        <v/>
      </c>
      <c r="F5865" s="72"/>
      <c r="G5865" s="72"/>
    </row>
    <row r="5866" spans="1:7" ht="14.5" hidden="1">
      <c r="A5866" s="5"/>
      <c r="B5866" s="18"/>
      <c r="C5866" s="85"/>
      <c r="D5866" s="41"/>
      <c r="E5866" s="26" t="str">
        <f ca="1">IFERROR(__xludf.DUMMYFUNCTION("""COMPUTED_VALUE"""),"")</f>
        <v/>
      </c>
      <c r="F5866" s="72"/>
      <c r="G5866" s="72"/>
    </row>
    <row r="5867" spans="1:7" ht="14.5" hidden="1">
      <c r="A5867" s="5"/>
      <c r="B5867" s="18"/>
      <c r="C5867" s="85"/>
      <c r="D5867" s="41"/>
      <c r="E5867" s="26" t="str">
        <f ca="1">IFERROR(__xludf.DUMMYFUNCTION("""COMPUTED_VALUE"""),"")</f>
        <v/>
      </c>
      <c r="F5867" s="72"/>
      <c r="G5867" s="72"/>
    </row>
    <row r="5868" spans="1:7" ht="14.5" hidden="1">
      <c r="A5868" s="5"/>
      <c r="B5868" s="18"/>
      <c r="C5868" s="85"/>
      <c r="D5868" s="41"/>
      <c r="E5868" s="26" t="str">
        <f ca="1">IFERROR(__xludf.DUMMYFUNCTION("""COMPUTED_VALUE"""),"")</f>
        <v/>
      </c>
      <c r="F5868" s="72"/>
      <c r="G5868" s="72"/>
    </row>
    <row r="5869" spans="1:7" ht="14.5" hidden="1">
      <c r="A5869" s="5"/>
      <c r="B5869" s="18"/>
      <c r="C5869" s="85"/>
      <c r="D5869" s="41"/>
      <c r="E5869" s="26" t="str">
        <f ca="1">IFERROR(__xludf.DUMMYFUNCTION("""COMPUTED_VALUE"""),"")</f>
        <v/>
      </c>
      <c r="F5869" s="72"/>
      <c r="G5869" s="72"/>
    </row>
    <row r="5870" spans="1:7" ht="14.5" hidden="1">
      <c r="A5870" s="5"/>
      <c r="B5870" s="18"/>
      <c r="C5870" s="85"/>
      <c r="D5870" s="41"/>
      <c r="E5870" s="26" t="str">
        <f ca="1">IFERROR(__xludf.DUMMYFUNCTION("""COMPUTED_VALUE"""),"")</f>
        <v/>
      </c>
      <c r="F5870" s="72"/>
      <c r="G5870" s="72"/>
    </row>
    <row r="5871" spans="1:7" ht="14.5" hidden="1">
      <c r="A5871" s="5"/>
      <c r="B5871" s="18"/>
      <c r="C5871" s="85"/>
      <c r="D5871" s="41"/>
      <c r="E5871" s="26" t="str">
        <f ca="1">IFERROR(__xludf.DUMMYFUNCTION("""COMPUTED_VALUE"""),"")</f>
        <v/>
      </c>
      <c r="F5871" s="72"/>
      <c r="G5871" s="72"/>
    </row>
    <row r="5872" spans="1:7" ht="14.5" hidden="1">
      <c r="A5872" s="5"/>
      <c r="B5872" s="18"/>
      <c r="C5872" s="85"/>
      <c r="D5872" s="41"/>
      <c r="E5872" s="26" t="str">
        <f ca="1">IFERROR(__xludf.DUMMYFUNCTION("""COMPUTED_VALUE"""),"")</f>
        <v/>
      </c>
      <c r="F5872" s="72"/>
      <c r="G5872" s="72"/>
    </row>
    <row r="5873" spans="1:7" ht="14.5" hidden="1">
      <c r="A5873" s="5"/>
      <c r="B5873" s="18"/>
      <c r="C5873" s="85"/>
      <c r="D5873" s="41"/>
      <c r="E5873" s="26" t="str">
        <f ca="1">IFERROR(__xludf.DUMMYFUNCTION("""COMPUTED_VALUE"""),"")</f>
        <v/>
      </c>
      <c r="F5873" s="72"/>
      <c r="G5873" s="72"/>
    </row>
    <row r="5874" spans="1:7" ht="14.5" hidden="1">
      <c r="A5874" s="5"/>
      <c r="B5874" s="18"/>
      <c r="C5874" s="85"/>
      <c r="D5874" s="41"/>
      <c r="E5874" s="26" t="str">
        <f ca="1">IFERROR(__xludf.DUMMYFUNCTION("""COMPUTED_VALUE"""),"")</f>
        <v/>
      </c>
      <c r="F5874" s="72"/>
      <c r="G5874" s="72"/>
    </row>
    <row r="5875" spans="1:7" ht="14.5" hidden="1">
      <c r="A5875" s="5"/>
      <c r="B5875" s="18"/>
      <c r="C5875" s="85"/>
      <c r="D5875" s="41"/>
      <c r="E5875" s="26" t="str">
        <f ca="1">IFERROR(__xludf.DUMMYFUNCTION("""COMPUTED_VALUE"""),"")</f>
        <v/>
      </c>
      <c r="F5875" s="72"/>
      <c r="G5875" s="72"/>
    </row>
    <row r="5876" spans="1:7" ht="14.5" hidden="1">
      <c r="A5876" s="5"/>
      <c r="B5876" s="18"/>
      <c r="C5876" s="85"/>
      <c r="D5876" s="41"/>
      <c r="E5876" s="26" t="str">
        <f ca="1">IFERROR(__xludf.DUMMYFUNCTION("""COMPUTED_VALUE"""),"")</f>
        <v/>
      </c>
      <c r="F5876" s="72"/>
      <c r="G5876" s="72"/>
    </row>
    <row r="5877" spans="1:7" ht="14.5" hidden="1">
      <c r="A5877" s="5"/>
      <c r="B5877" s="18"/>
      <c r="C5877" s="85"/>
      <c r="D5877" s="41"/>
      <c r="E5877" s="26" t="str">
        <f ca="1">IFERROR(__xludf.DUMMYFUNCTION("""COMPUTED_VALUE"""),"")</f>
        <v/>
      </c>
      <c r="F5877" s="72"/>
      <c r="G5877" s="72"/>
    </row>
    <row r="5878" spans="1:7" ht="14.5" hidden="1">
      <c r="A5878" s="5"/>
      <c r="B5878" s="18"/>
      <c r="C5878" s="85"/>
      <c r="D5878" s="41"/>
      <c r="E5878" s="26" t="str">
        <f ca="1">IFERROR(__xludf.DUMMYFUNCTION("""COMPUTED_VALUE"""),"")</f>
        <v/>
      </c>
      <c r="F5878" s="72"/>
      <c r="G5878" s="72"/>
    </row>
    <row r="5879" spans="1:7" ht="14.5" hidden="1">
      <c r="A5879" s="5"/>
      <c r="B5879" s="18"/>
      <c r="C5879" s="85"/>
      <c r="D5879" s="41"/>
      <c r="E5879" s="26" t="str">
        <f ca="1">IFERROR(__xludf.DUMMYFUNCTION("""COMPUTED_VALUE"""),"")</f>
        <v/>
      </c>
      <c r="F5879" s="72"/>
      <c r="G5879" s="72"/>
    </row>
    <row r="5880" spans="1:7" ht="14.5" hidden="1">
      <c r="A5880" s="5"/>
      <c r="B5880" s="18"/>
      <c r="C5880" s="85"/>
      <c r="D5880" s="41"/>
      <c r="E5880" s="26" t="str">
        <f ca="1">IFERROR(__xludf.DUMMYFUNCTION("""COMPUTED_VALUE"""),"")</f>
        <v/>
      </c>
      <c r="F5880" s="72"/>
      <c r="G5880" s="72"/>
    </row>
    <row r="5881" spans="1:7" ht="14.5" hidden="1">
      <c r="A5881" s="5"/>
      <c r="B5881" s="18"/>
      <c r="C5881" s="85"/>
      <c r="D5881" s="41"/>
      <c r="E5881" s="26" t="str">
        <f ca="1">IFERROR(__xludf.DUMMYFUNCTION("""COMPUTED_VALUE"""),"")</f>
        <v/>
      </c>
      <c r="F5881" s="72"/>
      <c r="G5881" s="72"/>
    </row>
    <row r="5882" spans="1:7" ht="14.5" hidden="1">
      <c r="A5882" s="5"/>
      <c r="B5882" s="18"/>
      <c r="C5882" s="85"/>
      <c r="D5882" s="41"/>
      <c r="E5882" s="26" t="str">
        <f ca="1">IFERROR(__xludf.DUMMYFUNCTION("""COMPUTED_VALUE"""),"")</f>
        <v/>
      </c>
      <c r="F5882" s="72"/>
      <c r="G5882" s="72"/>
    </row>
    <row r="5883" spans="1:7" ht="14.5" hidden="1">
      <c r="A5883" s="5"/>
      <c r="B5883" s="18"/>
      <c r="C5883" s="85"/>
      <c r="D5883" s="41"/>
      <c r="E5883" s="26" t="str">
        <f ca="1">IFERROR(__xludf.DUMMYFUNCTION("""COMPUTED_VALUE"""),"")</f>
        <v/>
      </c>
      <c r="F5883" s="72"/>
      <c r="G5883" s="72"/>
    </row>
    <row r="5884" spans="1:7" ht="14.5" hidden="1">
      <c r="A5884" s="5"/>
      <c r="B5884" s="18"/>
      <c r="C5884" s="85"/>
      <c r="D5884" s="41"/>
      <c r="E5884" s="26" t="str">
        <f ca="1">IFERROR(__xludf.DUMMYFUNCTION("""COMPUTED_VALUE"""),"")</f>
        <v/>
      </c>
      <c r="F5884" s="72"/>
      <c r="G5884" s="72"/>
    </row>
    <row r="5885" spans="1:7" ht="14.5" hidden="1">
      <c r="A5885" s="5"/>
      <c r="B5885" s="18"/>
      <c r="C5885" s="85"/>
      <c r="D5885" s="41"/>
      <c r="E5885" s="26" t="str">
        <f ca="1">IFERROR(__xludf.DUMMYFUNCTION("""COMPUTED_VALUE"""),"")</f>
        <v/>
      </c>
      <c r="F5885" s="72"/>
      <c r="G5885" s="72"/>
    </row>
    <row r="5886" spans="1:7" ht="14.5" hidden="1">
      <c r="A5886" s="5"/>
      <c r="B5886" s="18"/>
      <c r="C5886" s="85"/>
      <c r="D5886" s="41"/>
      <c r="E5886" s="26" t="str">
        <f ca="1">IFERROR(__xludf.DUMMYFUNCTION("""COMPUTED_VALUE"""),"")</f>
        <v/>
      </c>
      <c r="F5886" s="72"/>
      <c r="G5886" s="72"/>
    </row>
    <row r="5887" spans="1:7" ht="14.5" hidden="1">
      <c r="A5887" s="5"/>
      <c r="B5887" s="18"/>
      <c r="C5887" s="85"/>
      <c r="D5887" s="41"/>
      <c r="E5887" s="26" t="str">
        <f ca="1">IFERROR(__xludf.DUMMYFUNCTION("""COMPUTED_VALUE"""),"")</f>
        <v/>
      </c>
      <c r="F5887" s="72"/>
      <c r="G5887" s="72"/>
    </row>
    <row r="5888" spans="1:7" ht="14.5" hidden="1">
      <c r="A5888" s="5"/>
      <c r="B5888" s="18"/>
      <c r="C5888" s="85"/>
      <c r="D5888" s="41"/>
      <c r="E5888" s="26" t="str">
        <f ca="1">IFERROR(__xludf.DUMMYFUNCTION("""COMPUTED_VALUE"""),"")</f>
        <v/>
      </c>
      <c r="F5888" s="72"/>
      <c r="G5888" s="72"/>
    </row>
    <row r="5889" spans="1:7" ht="14.5" hidden="1">
      <c r="A5889" s="5"/>
      <c r="B5889" s="18"/>
      <c r="C5889" s="85"/>
      <c r="D5889" s="41"/>
      <c r="E5889" s="26" t="str">
        <f ca="1">IFERROR(__xludf.DUMMYFUNCTION("""COMPUTED_VALUE"""),"")</f>
        <v/>
      </c>
      <c r="F5889" s="72"/>
      <c r="G5889" s="72"/>
    </row>
    <row r="5890" spans="1:7" ht="14.5" hidden="1">
      <c r="A5890" s="5"/>
      <c r="B5890" s="18"/>
      <c r="C5890" s="85"/>
      <c r="D5890" s="41"/>
      <c r="E5890" s="26" t="str">
        <f ca="1">IFERROR(__xludf.DUMMYFUNCTION("""COMPUTED_VALUE"""),"")</f>
        <v/>
      </c>
      <c r="F5890" s="72"/>
      <c r="G5890" s="72"/>
    </row>
    <row r="5891" spans="1:7" ht="14.5" hidden="1">
      <c r="A5891" s="5"/>
      <c r="B5891" s="18"/>
      <c r="C5891" s="85"/>
      <c r="D5891" s="41"/>
      <c r="E5891" s="26" t="str">
        <f ca="1">IFERROR(__xludf.DUMMYFUNCTION("""COMPUTED_VALUE"""),"")</f>
        <v/>
      </c>
      <c r="F5891" s="72"/>
      <c r="G5891" s="72"/>
    </row>
    <row r="5892" spans="1:7" ht="14.5" hidden="1">
      <c r="A5892" s="5"/>
      <c r="B5892" s="18"/>
      <c r="C5892" s="85"/>
      <c r="D5892" s="41"/>
      <c r="E5892" s="26" t="str">
        <f ca="1">IFERROR(__xludf.DUMMYFUNCTION("""COMPUTED_VALUE"""),"")</f>
        <v/>
      </c>
      <c r="F5892" s="72"/>
      <c r="G5892" s="72"/>
    </row>
    <row r="5893" spans="1:7" ht="14.5" hidden="1">
      <c r="A5893" s="5"/>
      <c r="B5893" s="18"/>
      <c r="C5893" s="85"/>
      <c r="D5893" s="41"/>
      <c r="E5893" s="26" t="str">
        <f ca="1">IFERROR(__xludf.DUMMYFUNCTION("""COMPUTED_VALUE"""),"")</f>
        <v/>
      </c>
      <c r="F5893" s="72"/>
      <c r="G5893" s="72"/>
    </row>
    <row r="5894" spans="1:7" ht="14.5" hidden="1">
      <c r="A5894" s="5"/>
      <c r="B5894" s="18"/>
      <c r="C5894" s="85"/>
      <c r="D5894" s="41"/>
      <c r="E5894" s="26" t="str">
        <f ca="1">IFERROR(__xludf.DUMMYFUNCTION("""COMPUTED_VALUE"""),"")</f>
        <v/>
      </c>
      <c r="F5894" s="72"/>
      <c r="G5894" s="72"/>
    </row>
    <row r="5895" spans="1:7" ht="14.5" hidden="1">
      <c r="A5895" s="5"/>
      <c r="B5895" s="18"/>
      <c r="C5895" s="85"/>
      <c r="D5895" s="41"/>
      <c r="E5895" s="26" t="str">
        <f ca="1">IFERROR(__xludf.DUMMYFUNCTION("""COMPUTED_VALUE"""),"")</f>
        <v/>
      </c>
      <c r="F5895" s="72"/>
      <c r="G5895" s="72"/>
    </row>
    <row r="5896" spans="1:7" ht="14.5" hidden="1">
      <c r="A5896" s="5"/>
      <c r="B5896" s="18"/>
      <c r="C5896" s="85"/>
      <c r="D5896" s="41"/>
      <c r="E5896" s="26" t="str">
        <f ca="1">IFERROR(__xludf.DUMMYFUNCTION("""COMPUTED_VALUE"""),"")</f>
        <v/>
      </c>
      <c r="F5896" s="72"/>
      <c r="G5896" s="72"/>
    </row>
    <row r="5897" spans="1:7" ht="14.5" hidden="1">
      <c r="A5897" s="5"/>
      <c r="B5897" s="18"/>
      <c r="C5897" s="85"/>
      <c r="D5897" s="41"/>
      <c r="E5897" s="26" t="str">
        <f ca="1">IFERROR(__xludf.DUMMYFUNCTION("""COMPUTED_VALUE"""),"")</f>
        <v/>
      </c>
      <c r="F5897" s="72"/>
      <c r="G5897" s="72"/>
    </row>
    <row r="5898" spans="1:7" ht="14.5" hidden="1">
      <c r="A5898" s="5"/>
      <c r="B5898" s="18"/>
      <c r="C5898" s="85"/>
      <c r="D5898" s="41"/>
      <c r="E5898" s="26" t="str">
        <f ca="1">IFERROR(__xludf.DUMMYFUNCTION("""COMPUTED_VALUE"""),"")</f>
        <v/>
      </c>
      <c r="F5898" s="72"/>
      <c r="G5898" s="72"/>
    </row>
    <row r="5899" spans="1:7" ht="14.5" hidden="1">
      <c r="A5899" s="5"/>
      <c r="B5899" s="18"/>
      <c r="C5899" s="85"/>
      <c r="D5899" s="41"/>
      <c r="E5899" s="26" t="str">
        <f ca="1">IFERROR(__xludf.DUMMYFUNCTION("""COMPUTED_VALUE"""),"")</f>
        <v/>
      </c>
      <c r="F5899" s="72"/>
      <c r="G5899" s="72"/>
    </row>
    <row r="5900" spans="1:7" ht="14.5" hidden="1">
      <c r="A5900" s="5"/>
      <c r="B5900" s="18"/>
      <c r="C5900" s="85"/>
      <c r="D5900" s="41"/>
      <c r="E5900" s="26" t="str">
        <f ca="1">IFERROR(__xludf.DUMMYFUNCTION("""COMPUTED_VALUE"""),"")</f>
        <v/>
      </c>
      <c r="F5900" s="72"/>
      <c r="G5900" s="72"/>
    </row>
    <row r="5901" spans="1:7" ht="14.5" hidden="1">
      <c r="A5901" s="5"/>
      <c r="B5901" s="18"/>
      <c r="C5901" s="85"/>
      <c r="D5901" s="41"/>
      <c r="E5901" s="26" t="str">
        <f ca="1">IFERROR(__xludf.DUMMYFUNCTION("""COMPUTED_VALUE"""),"")</f>
        <v/>
      </c>
      <c r="F5901" s="72"/>
      <c r="G5901" s="72"/>
    </row>
    <row r="5902" spans="1:7" ht="14.5" hidden="1">
      <c r="A5902" s="5"/>
      <c r="B5902" s="18"/>
      <c r="C5902" s="85"/>
      <c r="D5902" s="41"/>
      <c r="E5902" s="26" t="str">
        <f ca="1">IFERROR(__xludf.DUMMYFUNCTION("""COMPUTED_VALUE"""),"")</f>
        <v/>
      </c>
      <c r="F5902" s="72"/>
      <c r="G5902" s="72"/>
    </row>
    <row r="5903" spans="1:7" ht="14.5" hidden="1">
      <c r="A5903" s="5"/>
      <c r="B5903" s="18"/>
      <c r="C5903" s="85"/>
      <c r="D5903" s="41"/>
      <c r="E5903" s="26" t="str">
        <f ca="1">IFERROR(__xludf.DUMMYFUNCTION("""COMPUTED_VALUE"""),"")</f>
        <v/>
      </c>
      <c r="F5903" s="72"/>
      <c r="G5903" s="72"/>
    </row>
    <row r="5904" spans="1:7" ht="14.5" hidden="1">
      <c r="A5904" s="5"/>
      <c r="B5904" s="18"/>
      <c r="C5904" s="85"/>
      <c r="D5904" s="41"/>
      <c r="E5904" s="26" t="str">
        <f ca="1">IFERROR(__xludf.DUMMYFUNCTION("""COMPUTED_VALUE"""),"")</f>
        <v/>
      </c>
      <c r="F5904" s="72"/>
      <c r="G5904" s="72"/>
    </row>
    <row r="5905" spans="1:7" ht="14.5" hidden="1">
      <c r="A5905" s="5"/>
      <c r="B5905" s="18"/>
      <c r="C5905" s="85"/>
      <c r="D5905" s="41"/>
      <c r="E5905" s="26" t="str">
        <f ca="1">IFERROR(__xludf.DUMMYFUNCTION("""COMPUTED_VALUE"""),"")</f>
        <v/>
      </c>
      <c r="F5905" s="72"/>
      <c r="G5905" s="72"/>
    </row>
    <row r="5906" spans="1:7" ht="14.5" hidden="1">
      <c r="A5906" s="5"/>
      <c r="B5906" s="18"/>
      <c r="C5906" s="85"/>
      <c r="D5906" s="41"/>
      <c r="E5906" s="26" t="str">
        <f ca="1">IFERROR(__xludf.DUMMYFUNCTION("""COMPUTED_VALUE"""),"")</f>
        <v/>
      </c>
      <c r="F5906" s="72"/>
      <c r="G5906" s="72"/>
    </row>
    <row r="5907" spans="1:7" ht="14.5" hidden="1">
      <c r="A5907" s="5"/>
      <c r="B5907" s="18"/>
      <c r="C5907" s="85"/>
      <c r="D5907" s="41"/>
      <c r="E5907" s="26" t="str">
        <f ca="1">IFERROR(__xludf.DUMMYFUNCTION("""COMPUTED_VALUE"""),"")</f>
        <v/>
      </c>
      <c r="F5907" s="72"/>
      <c r="G5907" s="72"/>
    </row>
    <row r="5908" spans="1:7" ht="14.5" hidden="1">
      <c r="A5908" s="5"/>
      <c r="B5908" s="18"/>
      <c r="C5908" s="85"/>
      <c r="D5908" s="41"/>
      <c r="E5908" s="26" t="str">
        <f ca="1">IFERROR(__xludf.DUMMYFUNCTION("""COMPUTED_VALUE"""),"")</f>
        <v/>
      </c>
      <c r="F5908" s="72"/>
      <c r="G5908" s="72"/>
    </row>
    <row r="5909" spans="1:7" ht="14.5" hidden="1">
      <c r="A5909" s="5"/>
      <c r="B5909" s="18"/>
      <c r="C5909" s="85"/>
      <c r="D5909" s="41"/>
      <c r="E5909" s="26" t="str">
        <f ca="1">IFERROR(__xludf.DUMMYFUNCTION("""COMPUTED_VALUE"""),"")</f>
        <v/>
      </c>
      <c r="F5909" s="72"/>
      <c r="G5909" s="72"/>
    </row>
    <row r="5910" spans="1:7" ht="14.5" hidden="1">
      <c r="A5910" s="5"/>
      <c r="B5910" s="18"/>
      <c r="C5910" s="85"/>
      <c r="D5910" s="41"/>
      <c r="E5910" s="26" t="str">
        <f ca="1">IFERROR(__xludf.DUMMYFUNCTION("""COMPUTED_VALUE"""),"")</f>
        <v/>
      </c>
      <c r="F5910" s="72"/>
      <c r="G5910" s="72"/>
    </row>
    <row r="5911" spans="1:7" ht="14.5" hidden="1">
      <c r="A5911" s="5"/>
      <c r="B5911" s="18"/>
      <c r="C5911" s="85"/>
      <c r="D5911" s="41"/>
      <c r="E5911" s="26" t="str">
        <f ca="1">IFERROR(__xludf.DUMMYFUNCTION("""COMPUTED_VALUE"""),"")</f>
        <v/>
      </c>
      <c r="F5911" s="72"/>
      <c r="G5911" s="72"/>
    </row>
    <row r="5912" spans="1:7" ht="14.5" hidden="1">
      <c r="A5912" s="5"/>
      <c r="B5912" s="18"/>
      <c r="C5912" s="85"/>
      <c r="D5912" s="41"/>
      <c r="E5912" s="26" t="str">
        <f ca="1">IFERROR(__xludf.DUMMYFUNCTION("""COMPUTED_VALUE"""),"")</f>
        <v/>
      </c>
      <c r="F5912" s="72"/>
      <c r="G5912" s="72"/>
    </row>
    <row r="5913" spans="1:7" ht="14.5" hidden="1">
      <c r="A5913" s="5"/>
      <c r="B5913" s="18"/>
      <c r="C5913" s="85"/>
      <c r="D5913" s="41"/>
      <c r="E5913" s="26" t="str">
        <f ca="1">IFERROR(__xludf.DUMMYFUNCTION("""COMPUTED_VALUE"""),"")</f>
        <v/>
      </c>
      <c r="F5913" s="72"/>
      <c r="G5913" s="72"/>
    </row>
    <row r="5914" spans="1:7" ht="14.5" hidden="1">
      <c r="A5914" s="5"/>
      <c r="B5914" s="18"/>
      <c r="C5914" s="85"/>
      <c r="D5914" s="41"/>
      <c r="E5914" s="26" t="str">
        <f ca="1">IFERROR(__xludf.DUMMYFUNCTION("""COMPUTED_VALUE"""),"")</f>
        <v/>
      </c>
      <c r="F5914" s="72"/>
      <c r="G5914" s="72"/>
    </row>
    <row r="5915" spans="1:7" ht="14.5" hidden="1">
      <c r="A5915" s="5"/>
      <c r="B5915" s="18"/>
      <c r="C5915" s="85"/>
      <c r="D5915" s="41"/>
      <c r="E5915" s="26" t="str">
        <f ca="1">IFERROR(__xludf.DUMMYFUNCTION("""COMPUTED_VALUE"""),"")</f>
        <v/>
      </c>
      <c r="F5915" s="72"/>
      <c r="G5915" s="72"/>
    </row>
    <row r="5916" spans="1:7" ht="14.5" hidden="1">
      <c r="A5916" s="5"/>
      <c r="B5916" s="18"/>
      <c r="C5916" s="85"/>
      <c r="D5916" s="41"/>
      <c r="E5916" s="26" t="str">
        <f ca="1">IFERROR(__xludf.DUMMYFUNCTION("""COMPUTED_VALUE"""),"")</f>
        <v/>
      </c>
      <c r="F5916" s="72"/>
      <c r="G5916" s="72"/>
    </row>
    <row r="5917" spans="1:7" ht="14.5" hidden="1">
      <c r="A5917" s="5"/>
      <c r="B5917" s="18"/>
      <c r="C5917" s="85"/>
      <c r="D5917" s="41"/>
      <c r="E5917" s="26" t="str">
        <f ca="1">IFERROR(__xludf.DUMMYFUNCTION("""COMPUTED_VALUE"""),"")</f>
        <v/>
      </c>
      <c r="F5917" s="72"/>
      <c r="G5917" s="72"/>
    </row>
    <row r="5918" spans="1:7" ht="14.5" hidden="1">
      <c r="A5918" s="5"/>
      <c r="B5918" s="18"/>
      <c r="C5918" s="85"/>
      <c r="D5918" s="41"/>
      <c r="E5918" s="26" t="str">
        <f ca="1">IFERROR(__xludf.DUMMYFUNCTION("""COMPUTED_VALUE"""),"")</f>
        <v/>
      </c>
      <c r="F5918" s="72"/>
      <c r="G5918" s="72"/>
    </row>
    <row r="5919" spans="1:7" ht="14.5" hidden="1">
      <c r="A5919" s="5"/>
      <c r="B5919" s="18"/>
      <c r="C5919" s="85"/>
      <c r="D5919" s="41"/>
      <c r="E5919" s="26" t="str">
        <f ca="1">IFERROR(__xludf.DUMMYFUNCTION("""COMPUTED_VALUE"""),"")</f>
        <v/>
      </c>
      <c r="F5919" s="72"/>
      <c r="G5919" s="72"/>
    </row>
    <row r="5920" spans="1:7" ht="14.5" hidden="1">
      <c r="A5920" s="5"/>
      <c r="B5920" s="18"/>
      <c r="C5920" s="85"/>
      <c r="D5920" s="41"/>
      <c r="E5920" s="26" t="str">
        <f ca="1">IFERROR(__xludf.DUMMYFUNCTION("""COMPUTED_VALUE"""),"")</f>
        <v/>
      </c>
      <c r="F5920" s="72"/>
      <c r="G5920" s="72"/>
    </row>
    <row r="5921" spans="1:7" ht="14.5" hidden="1">
      <c r="A5921" s="5"/>
      <c r="B5921" s="18"/>
      <c r="C5921" s="85"/>
      <c r="D5921" s="41"/>
      <c r="E5921" s="26" t="str">
        <f ca="1">IFERROR(__xludf.DUMMYFUNCTION("""COMPUTED_VALUE"""),"")</f>
        <v/>
      </c>
      <c r="F5921" s="72"/>
      <c r="G5921" s="72"/>
    </row>
    <row r="5922" spans="1:7" ht="14.5" hidden="1">
      <c r="A5922" s="5"/>
      <c r="B5922" s="18"/>
      <c r="C5922" s="85"/>
      <c r="D5922" s="41"/>
      <c r="E5922" s="26" t="str">
        <f ca="1">IFERROR(__xludf.DUMMYFUNCTION("""COMPUTED_VALUE"""),"")</f>
        <v/>
      </c>
      <c r="F5922" s="72"/>
      <c r="G5922" s="72"/>
    </row>
    <row r="5923" spans="1:7" ht="14.5" hidden="1">
      <c r="A5923" s="5"/>
      <c r="B5923" s="18"/>
      <c r="C5923" s="85"/>
      <c r="D5923" s="41"/>
      <c r="E5923" s="26" t="str">
        <f ca="1">IFERROR(__xludf.DUMMYFUNCTION("""COMPUTED_VALUE"""),"")</f>
        <v/>
      </c>
      <c r="F5923" s="72"/>
      <c r="G5923" s="72"/>
    </row>
    <row r="5924" spans="1:7" ht="14.5" hidden="1">
      <c r="A5924" s="5"/>
      <c r="B5924" s="18"/>
      <c r="C5924" s="85"/>
      <c r="D5924" s="41"/>
      <c r="E5924" s="26" t="str">
        <f ca="1">IFERROR(__xludf.DUMMYFUNCTION("""COMPUTED_VALUE"""),"")</f>
        <v/>
      </c>
      <c r="F5924" s="72"/>
      <c r="G5924" s="72"/>
    </row>
    <row r="5925" spans="1:7" ht="14.5" hidden="1">
      <c r="A5925" s="5"/>
      <c r="B5925" s="18"/>
      <c r="C5925" s="85"/>
      <c r="D5925" s="41"/>
      <c r="E5925" s="26" t="str">
        <f ca="1">IFERROR(__xludf.DUMMYFUNCTION("""COMPUTED_VALUE"""),"")</f>
        <v/>
      </c>
      <c r="F5925" s="72"/>
      <c r="G5925" s="72"/>
    </row>
    <row r="5926" spans="1:7" ht="14.5" hidden="1">
      <c r="A5926" s="5"/>
      <c r="B5926" s="18"/>
      <c r="C5926" s="85"/>
      <c r="D5926" s="41"/>
      <c r="E5926" s="26" t="str">
        <f ca="1">IFERROR(__xludf.DUMMYFUNCTION("""COMPUTED_VALUE"""),"")</f>
        <v/>
      </c>
      <c r="F5926" s="72"/>
      <c r="G5926" s="72"/>
    </row>
    <row r="5927" spans="1:7" ht="14.5" hidden="1">
      <c r="A5927" s="5"/>
      <c r="B5927" s="18"/>
      <c r="C5927" s="85"/>
      <c r="D5927" s="41"/>
      <c r="E5927" s="26" t="str">
        <f ca="1">IFERROR(__xludf.DUMMYFUNCTION("""COMPUTED_VALUE"""),"")</f>
        <v/>
      </c>
      <c r="F5927" s="72"/>
      <c r="G5927" s="72"/>
    </row>
    <row r="5928" spans="1:7" ht="14.5" hidden="1">
      <c r="A5928" s="5"/>
      <c r="B5928" s="18"/>
      <c r="C5928" s="85"/>
      <c r="D5928" s="41"/>
      <c r="E5928" s="26" t="str">
        <f ca="1">IFERROR(__xludf.DUMMYFUNCTION("""COMPUTED_VALUE"""),"")</f>
        <v/>
      </c>
      <c r="F5928" s="72"/>
      <c r="G5928" s="72"/>
    </row>
    <row r="5929" spans="1:7" ht="14.5" hidden="1">
      <c r="A5929" s="5"/>
      <c r="B5929" s="18"/>
      <c r="C5929" s="85"/>
      <c r="D5929" s="41"/>
      <c r="E5929" s="26" t="str">
        <f ca="1">IFERROR(__xludf.DUMMYFUNCTION("""COMPUTED_VALUE"""),"")</f>
        <v/>
      </c>
      <c r="F5929" s="72"/>
      <c r="G5929" s="72"/>
    </row>
    <row r="5930" spans="1:7" ht="14.5" hidden="1">
      <c r="A5930" s="5"/>
      <c r="B5930" s="18"/>
      <c r="C5930" s="85"/>
      <c r="D5930" s="41"/>
      <c r="E5930" s="26" t="str">
        <f ca="1">IFERROR(__xludf.DUMMYFUNCTION("""COMPUTED_VALUE"""),"")</f>
        <v/>
      </c>
      <c r="F5930" s="72"/>
      <c r="G5930" s="72"/>
    </row>
    <row r="5931" spans="1:7" ht="14.5" hidden="1">
      <c r="A5931" s="5"/>
      <c r="B5931" s="18"/>
      <c r="C5931" s="85"/>
      <c r="D5931" s="41"/>
      <c r="E5931" s="26" t="str">
        <f ca="1">IFERROR(__xludf.DUMMYFUNCTION("""COMPUTED_VALUE"""),"")</f>
        <v/>
      </c>
      <c r="F5931" s="72"/>
      <c r="G5931" s="72"/>
    </row>
    <row r="5932" spans="1:7" ht="14.5" hidden="1">
      <c r="A5932" s="5"/>
      <c r="B5932" s="18"/>
      <c r="C5932" s="85"/>
      <c r="D5932" s="41"/>
      <c r="E5932" s="26" t="str">
        <f ca="1">IFERROR(__xludf.DUMMYFUNCTION("""COMPUTED_VALUE"""),"")</f>
        <v/>
      </c>
      <c r="F5932" s="72"/>
      <c r="G5932" s="72"/>
    </row>
    <row r="5933" spans="1:7" ht="14.5" hidden="1">
      <c r="A5933" s="5"/>
      <c r="B5933" s="18"/>
      <c r="C5933" s="85"/>
      <c r="D5933" s="41"/>
      <c r="E5933" s="26" t="str">
        <f ca="1">IFERROR(__xludf.DUMMYFUNCTION("""COMPUTED_VALUE"""),"")</f>
        <v/>
      </c>
      <c r="F5933" s="72"/>
      <c r="G5933" s="72"/>
    </row>
    <row r="5934" spans="1:7" ht="14.5" hidden="1">
      <c r="A5934" s="5"/>
      <c r="B5934" s="18"/>
      <c r="C5934" s="85"/>
      <c r="D5934" s="41"/>
      <c r="E5934" s="26" t="str">
        <f ca="1">IFERROR(__xludf.DUMMYFUNCTION("""COMPUTED_VALUE"""),"")</f>
        <v/>
      </c>
      <c r="F5934" s="72"/>
      <c r="G5934" s="72"/>
    </row>
    <row r="5935" spans="1:7" ht="14.5" hidden="1">
      <c r="A5935" s="5"/>
      <c r="B5935" s="18"/>
      <c r="C5935" s="85"/>
      <c r="D5935" s="41"/>
      <c r="E5935" s="26" t="str">
        <f ca="1">IFERROR(__xludf.DUMMYFUNCTION("""COMPUTED_VALUE"""),"")</f>
        <v/>
      </c>
      <c r="F5935" s="72"/>
      <c r="G5935" s="72"/>
    </row>
    <row r="5936" spans="1:7" ht="14.5" hidden="1">
      <c r="A5936" s="5"/>
      <c r="B5936" s="18"/>
      <c r="C5936" s="85"/>
      <c r="D5936" s="41"/>
      <c r="E5936" s="26" t="str">
        <f ca="1">IFERROR(__xludf.DUMMYFUNCTION("""COMPUTED_VALUE"""),"")</f>
        <v/>
      </c>
      <c r="F5936" s="72"/>
      <c r="G5936" s="72"/>
    </row>
    <row r="5937" spans="1:7" ht="14.5" hidden="1">
      <c r="A5937" s="5"/>
      <c r="B5937" s="18"/>
      <c r="C5937" s="85"/>
      <c r="D5937" s="41"/>
      <c r="E5937" s="26" t="str">
        <f ca="1">IFERROR(__xludf.DUMMYFUNCTION("""COMPUTED_VALUE"""),"")</f>
        <v/>
      </c>
      <c r="F5937" s="72"/>
      <c r="G5937" s="72"/>
    </row>
    <row r="5938" spans="1:7" ht="14.5" hidden="1">
      <c r="A5938" s="5"/>
      <c r="B5938" s="18"/>
      <c r="C5938" s="85"/>
      <c r="D5938" s="41"/>
      <c r="E5938" s="26" t="str">
        <f ca="1">IFERROR(__xludf.DUMMYFUNCTION("""COMPUTED_VALUE"""),"")</f>
        <v/>
      </c>
      <c r="F5938" s="72"/>
      <c r="G5938" s="72"/>
    </row>
    <row r="5939" spans="1:7" ht="14.5" hidden="1">
      <c r="A5939" s="5"/>
      <c r="B5939" s="18"/>
      <c r="C5939" s="85"/>
      <c r="D5939" s="41"/>
      <c r="E5939" s="26" t="str">
        <f ca="1">IFERROR(__xludf.DUMMYFUNCTION("""COMPUTED_VALUE"""),"")</f>
        <v/>
      </c>
      <c r="F5939" s="72"/>
      <c r="G5939" s="72"/>
    </row>
    <row r="5940" spans="1:7" ht="14.5" hidden="1">
      <c r="A5940" s="5"/>
      <c r="B5940" s="18"/>
      <c r="C5940" s="85"/>
      <c r="D5940" s="41"/>
      <c r="E5940" s="26" t="str">
        <f ca="1">IFERROR(__xludf.DUMMYFUNCTION("""COMPUTED_VALUE"""),"")</f>
        <v/>
      </c>
      <c r="F5940" s="72"/>
      <c r="G5940" s="72"/>
    </row>
    <row r="5941" spans="1:7" ht="14.5" hidden="1">
      <c r="A5941" s="5"/>
      <c r="B5941" s="18"/>
      <c r="C5941" s="85"/>
      <c r="D5941" s="41"/>
      <c r="E5941" s="26" t="str">
        <f ca="1">IFERROR(__xludf.DUMMYFUNCTION("""COMPUTED_VALUE"""),"")</f>
        <v/>
      </c>
      <c r="F5941" s="72"/>
      <c r="G5941" s="72"/>
    </row>
    <row r="5942" spans="1:7" ht="14.5" hidden="1">
      <c r="A5942" s="5"/>
      <c r="B5942" s="18"/>
      <c r="C5942" s="85"/>
      <c r="D5942" s="41"/>
      <c r="E5942" s="26" t="str">
        <f ca="1">IFERROR(__xludf.DUMMYFUNCTION("""COMPUTED_VALUE"""),"")</f>
        <v/>
      </c>
      <c r="F5942" s="72"/>
      <c r="G5942" s="72"/>
    </row>
    <row r="5943" spans="1:7" ht="14.5" hidden="1">
      <c r="A5943" s="5"/>
      <c r="B5943" s="18"/>
      <c r="C5943" s="85"/>
      <c r="D5943" s="41"/>
      <c r="E5943" s="26" t="str">
        <f ca="1">IFERROR(__xludf.DUMMYFUNCTION("""COMPUTED_VALUE"""),"")</f>
        <v/>
      </c>
      <c r="F5943" s="72"/>
      <c r="G5943" s="72"/>
    </row>
    <row r="5944" spans="1:7" ht="14.5" hidden="1">
      <c r="A5944" s="5"/>
      <c r="B5944" s="18"/>
      <c r="C5944" s="85"/>
      <c r="D5944" s="41"/>
      <c r="E5944" s="26" t="str">
        <f ca="1">IFERROR(__xludf.DUMMYFUNCTION("""COMPUTED_VALUE"""),"")</f>
        <v/>
      </c>
      <c r="F5944" s="72"/>
      <c r="G5944" s="72"/>
    </row>
    <row r="5945" spans="1:7" ht="14.5" hidden="1">
      <c r="A5945" s="5"/>
      <c r="B5945" s="18"/>
      <c r="C5945" s="85"/>
      <c r="D5945" s="41"/>
      <c r="E5945" s="26" t="str">
        <f ca="1">IFERROR(__xludf.DUMMYFUNCTION("""COMPUTED_VALUE"""),"")</f>
        <v/>
      </c>
      <c r="F5945" s="72"/>
      <c r="G5945" s="72"/>
    </row>
    <row r="5946" spans="1:7" ht="14.5" hidden="1">
      <c r="A5946" s="5"/>
      <c r="B5946" s="18"/>
      <c r="C5946" s="85"/>
      <c r="D5946" s="41"/>
      <c r="E5946" s="26" t="str">
        <f ca="1">IFERROR(__xludf.DUMMYFUNCTION("""COMPUTED_VALUE"""),"")</f>
        <v/>
      </c>
      <c r="F5946" s="72"/>
      <c r="G5946" s="72"/>
    </row>
    <row r="5947" spans="1:7" ht="14.5" hidden="1">
      <c r="A5947" s="5"/>
      <c r="B5947" s="18"/>
      <c r="C5947" s="85"/>
      <c r="D5947" s="41"/>
      <c r="E5947" s="26" t="str">
        <f ca="1">IFERROR(__xludf.DUMMYFUNCTION("""COMPUTED_VALUE"""),"")</f>
        <v/>
      </c>
      <c r="F5947" s="72"/>
      <c r="G5947" s="72"/>
    </row>
    <row r="5948" spans="1:7" ht="14.5" hidden="1">
      <c r="A5948" s="5"/>
      <c r="B5948" s="18"/>
      <c r="C5948" s="85"/>
      <c r="D5948" s="41"/>
      <c r="E5948" s="26" t="str">
        <f ca="1">IFERROR(__xludf.DUMMYFUNCTION("""COMPUTED_VALUE"""),"")</f>
        <v/>
      </c>
      <c r="F5948" s="72"/>
      <c r="G5948" s="72"/>
    </row>
    <row r="5949" spans="1:7" ht="14.5" hidden="1">
      <c r="A5949" s="5"/>
      <c r="B5949" s="18"/>
      <c r="C5949" s="85"/>
      <c r="D5949" s="41"/>
      <c r="E5949" s="26" t="str">
        <f ca="1">IFERROR(__xludf.DUMMYFUNCTION("""COMPUTED_VALUE"""),"")</f>
        <v/>
      </c>
      <c r="F5949" s="72"/>
      <c r="G5949" s="72"/>
    </row>
    <row r="5950" spans="1:7" ht="14.5" hidden="1">
      <c r="A5950" s="5"/>
      <c r="B5950" s="18"/>
      <c r="C5950" s="85"/>
      <c r="D5950" s="41"/>
      <c r="E5950" s="26" t="str">
        <f ca="1">IFERROR(__xludf.DUMMYFUNCTION("""COMPUTED_VALUE"""),"")</f>
        <v/>
      </c>
      <c r="F5950" s="72"/>
      <c r="G5950" s="72"/>
    </row>
    <row r="5951" spans="1:7" ht="14.5" hidden="1">
      <c r="A5951" s="5"/>
      <c r="B5951" s="18"/>
      <c r="C5951" s="85"/>
      <c r="D5951" s="41"/>
      <c r="E5951" s="26" t="str">
        <f ca="1">IFERROR(__xludf.DUMMYFUNCTION("""COMPUTED_VALUE"""),"")</f>
        <v/>
      </c>
      <c r="F5951" s="72"/>
      <c r="G5951" s="72"/>
    </row>
    <row r="5952" spans="1:7" ht="14.5" hidden="1">
      <c r="A5952" s="5"/>
      <c r="B5952" s="18"/>
      <c r="C5952" s="85"/>
      <c r="D5952" s="41"/>
      <c r="E5952" s="26" t="str">
        <f ca="1">IFERROR(__xludf.DUMMYFUNCTION("""COMPUTED_VALUE"""),"")</f>
        <v/>
      </c>
      <c r="F5952" s="72"/>
      <c r="G5952" s="72"/>
    </row>
    <row r="5953" spans="1:7" ht="14.5" hidden="1">
      <c r="A5953" s="5"/>
      <c r="B5953" s="18"/>
      <c r="C5953" s="85"/>
      <c r="D5953" s="41"/>
      <c r="E5953" s="26" t="str">
        <f ca="1">IFERROR(__xludf.DUMMYFUNCTION("""COMPUTED_VALUE"""),"")</f>
        <v/>
      </c>
      <c r="F5953" s="72"/>
      <c r="G5953" s="72"/>
    </row>
    <row r="5954" spans="1:7" ht="14.5" hidden="1">
      <c r="A5954" s="5"/>
      <c r="B5954" s="18"/>
      <c r="C5954" s="85"/>
      <c r="D5954" s="41"/>
      <c r="E5954" s="26" t="str">
        <f ca="1">IFERROR(__xludf.DUMMYFUNCTION("""COMPUTED_VALUE"""),"")</f>
        <v/>
      </c>
      <c r="F5954" s="72"/>
      <c r="G5954" s="72"/>
    </row>
    <row r="5955" spans="1:7" ht="14.5" hidden="1">
      <c r="A5955" s="5"/>
      <c r="B5955" s="18"/>
      <c r="C5955" s="85"/>
      <c r="D5955" s="41"/>
      <c r="E5955" s="26" t="str">
        <f ca="1">IFERROR(__xludf.DUMMYFUNCTION("""COMPUTED_VALUE"""),"")</f>
        <v/>
      </c>
      <c r="F5955" s="72"/>
      <c r="G5955" s="72"/>
    </row>
    <row r="5956" spans="1:7" ht="14.5" hidden="1">
      <c r="A5956" s="5"/>
      <c r="B5956" s="18"/>
      <c r="C5956" s="85"/>
      <c r="D5956" s="41"/>
      <c r="E5956" s="26" t="str">
        <f ca="1">IFERROR(__xludf.DUMMYFUNCTION("""COMPUTED_VALUE"""),"")</f>
        <v/>
      </c>
      <c r="F5956" s="72"/>
      <c r="G5956" s="72"/>
    </row>
    <row r="5957" spans="1:7" ht="14.5" hidden="1">
      <c r="A5957" s="5"/>
      <c r="B5957" s="18"/>
      <c r="C5957" s="85"/>
      <c r="D5957" s="41"/>
      <c r="E5957" s="26" t="str">
        <f ca="1">IFERROR(__xludf.DUMMYFUNCTION("""COMPUTED_VALUE"""),"")</f>
        <v/>
      </c>
      <c r="F5957" s="72"/>
      <c r="G5957" s="72"/>
    </row>
    <row r="5958" spans="1:7" ht="14.5" hidden="1">
      <c r="A5958" s="5"/>
      <c r="B5958" s="18"/>
      <c r="C5958" s="85"/>
      <c r="D5958" s="41"/>
      <c r="E5958" s="26" t="str">
        <f ca="1">IFERROR(__xludf.DUMMYFUNCTION("""COMPUTED_VALUE"""),"")</f>
        <v/>
      </c>
      <c r="F5958" s="72"/>
      <c r="G5958" s="72"/>
    </row>
    <row r="5959" spans="1:7" ht="14.5" hidden="1">
      <c r="A5959" s="5"/>
      <c r="B5959" s="18"/>
      <c r="C5959" s="85"/>
      <c r="D5959" s="41"/>
      <c r="E5959" s="26" t="str">
        <f ca="1">IFERROR(__xludf.DUMMYFUNCTION("""COMPUTED_VALUE"""),"")</f>
        <v/>
      </c>
      <c r="F5959" s="72"/>
      <c r="G5959" s="72"/>
    </row>
    <row r="5960" spans="1:7" ht="14.5" hidden="1">
      <c r="A5960" s="5"/>
      <c r="B5960" s="18"/>
      <c r="C5960" s="85"/>
      <c r="D5960" s="41"/>
      <c r="E5960" s="26" t="str">
        <f ca="1">IFERROR(__xludf.DUMMYFUNCTION("""COMPUTED_VALUE"""),"")</f>
        <v/>
      </c>
      <c r="F5960" s="72"/>
      <c r="G5960" s="72"/>
    </row>
    <row r="5961" spans="1:7" ht="14.5" hidden="1">
      <c r="A5961" s="5"/>
      <c r="B5961" s="18"/>
      <c r="C5961" s="85"/>
      <c r="D5961" s="41"/>
      <c r="E5961" s="26" t="str">
        <f ca="1">IFERROR(__xludf.DUMMYFUNCTION("""COMPUTED_VALUE"""),"")</f>
        <v/>
      </c>
      <c r="F5961" s="72"/>
      <c r="G5961" s="72"/>
    </row>
    <row r="5962" spans="1:7" ht="14.5" hidden="1">
      <c r="A5962" s="5"/>
      <c r="B5962" s="18"/>
      <c r="C5962" s="85"/>
      <c r="D5962" s="41"/>
      <c r="E5962" s="26" t="str">
        <f ca="1">IFERROR(__xludf.DUMMYFUNCTION("""COMPUTED_VALUE"""),"")</f>
        <v/>
      </c>
      <c r="F5962" s="72"/>
      <c r="G5962" s="72"/>
    </row>
    <row r="5963" spans="1:7" ht="14.5" hidden="1">
      <c r="A5963" s="5"/>
      <c r="B5963" s="18"/>
      <c r="C5963" s="85"/>
      <c r="D5963" s="41"/>
      <c r="E5963" s="26" t="str">
        <f ca="1">IFERROR(__xludf.DUMMYFUNCTION("""COMPUTED_VALUE"""),"")</f>
        <v/>
      </c>
      <c r="F5963" s="72"/>
      <c r="G5963" s="72"/>
    </row>
    <row r="5964" spans="1:7" ht="14.5" hidden="1">
      <c r="A5964" s="5"/>
      <c r="B5964" s="18"/>
      <c r="C5964" s="85"/>
      <c r="D5964" s="41"/>
      <c r="E5964" s="26" t="str">
        <f ca="1">IFERROR(__xludf.DUMMYFUNCTION("""COMPUTED_VALUE"""),"")</f>
        <v/>
      </c>
      <c r="F5964" s="72"/>
      <c r="G5964" s="72"/>
    </row>
    <row r="5965" spans="1:7" ht="14.5" hidden="1">
      <c r="A5965" s="5"/>
      <c r="B5965" s="18"/>
      <c r="C5965" s="85"/>
      <c r="D5965" s="41"/>
      <c r="E5965" s="26" t="str">
        <f ca="1">IFERROR(__xludf.DUMMYFUNCTION("""COMPUTED_VALUE"""),"")</f>
        <v/>
      </c>
      <c r="F5965" s="72"/>
      <c r="G5965" s="72"/>
    </row>
    <row r="5966" spans="1:7" ht="14.5" hidden="1">
      <c r="A5966" s="5"/>
      <c r="B5966" s="18"/>
      <c r="C5966" s="85"/>
      <c r="D5966" s="41"/>
      <c r="E5966" s="26" t="str">
        <f ca="1">IFERROR(__xludf.DUMMYFUNCTION("""COMPUTED_VALUE"""),"")</f>
        <v/>
      </c>
      <c r="F5966" s="72"/>
      <c r="G5966" s="72"/>
    </row>
    <row r="5967" spans="1:7" ht="14.5" hidden="1">
      <c r="A5967" s="5"/>
      <c r="B5967" s="18"/>
      <c r="C5967" s="85"/>
      <c r="D5967" s="41"/>
      <c r="E5967" s="26" t="str">
        <f ca="1">IFERROR(__xludf.DUMMYFUNCTION("""COMPUTED_VALUE"""),"")</f>
        <v/>
      </c>
      <c r="F5967" s="72"/>
      <c r="G5967" s="72"/>
    </row>
    <row r="5968" spans="1:7" ht="14.5" hidden="1">
      <c r="A5968" s="5"/>
      <c r="B5968" s="18"/>
      <c r="C5968" s="85"/>
      <c r="D5968" s="41"/>
      <c r="E5968" s="26" t="str">
        <f ca="1">IFERROR(__xludf.DUMMYFUNCTION("""COMPUTED_VALUE"""),"")</f>
        <v/>
      </c>
      <c r="F5968" s="72"/>
      <c r="G5968" s="72"/>
    </row>
    <row r="5969" spans="1:7" ht="14.5" hidden="1">
      <c r="A5969" s="5"/>
      <c r="B5969" s="18"/>
      <c r="C5969" s="85"/>
      <c r="D5969" s="41"/>
      <c r="E5969" s="26" t="str">
        <f ca="1">IFERROR(__xludf.DUMMYFUNCTION("""COMPUTED_VALUE"""),"")</f>
        <v/>
      </c>
      <c r="F5969" s="72"/>
      <c r="G5969" s="72"/>
    </row>
    <row r="5970" spans="1:7" ht="14.5" hidden="1">
      <c r="A5970" s="5"/>
      <c r="B5970" s="18"/>
      <c r="C5970" s="85"/>
      <c r="D5970" s="41"/>
      <c r="E5970" s="26" t="str">
        <f ca="1">IFERROR(__xludf.DUMMYFUNCTION("""COMPUTED_VALUE"""),"")</f>
        <v/>
      </c>
      <c r="F5970" s="72"/>
      <c r="G5970" s="72"/>
    </row>
    <row r="5971" spans="1:7" ht="14.5" hidden="1">
      <c r="A5971" s="5"/>
      <c r="B5971" s="18"/>
      <c r="C5971" s="85"/>
      <c r="D5971" s="41"/>
      <c r="E5971" s="26" t="str">
        <f ca="1">IFERROR(__xludf.DUMMYFUNCTION("""COMPUTED_VALUE"""),"")</f>
        <v/>
      </c>
      <c r="F5971" s="72"/>
      <c r="G5971" s="72"/>
    </row>
    <row r="5972" spans="1:7" ht="14.5" hidden="1">
      <c r="A5972" s="5"/>
      <c r="B5972" s="18"/>
      <c r="C5972" s="85"/>
      <c r="D5972" s="41"/>
      <c r="E5972" s="26" t="str">
        <f ca="1">IFERROR(__xludf.DUMMYFUNCTION("""COMPUTED_VALUE"""),"")</f>
        <v/>
      </c>
      <c r="F5972" s="72"/>
      <c r="G5972" s="72"/>
    </row>
    <row r="5973" spans="1:7" ht="14.5" hidden="1">
      <c r="A5973" s="5"/>
      <c r="B5973" s="18"/>
      <c r="C5973" s="85"/>
      <c r="D5973" s="41"/>
      <c r="E5973" s="26" t="str">
        <f ca="1">IFERROR(__xludf.DUMMYFUNCTION("""COMPUTED_VALUE"""),"")</f>
        <v/>
      </c>
      <c r="F5973" s="72"/>
      <c r="G5973" s="72"/>
    </row>
    <row r="5974" spans="1:7" ht="14.5" hidden="1">
      <c r="A5974" s="5"/>
      <c r="B5974" s="18"/>
      <c r="C5974" s="85"/>
      <c r="D5974" s="41"/>
      <c r="E5974" s="26" t="str">
        <f ca="1">IFERROR(__xludf.DUMMYFUNCTION("""COMPUTED_VALUE"""),"")</f>
        <v/>
      </c>
      <c r="F5974" s="72"/>
      <c r="G5974" s="72"/>
    </row>
    <row r="5975" spans="1:7" ht="14.5" hidden="1">
      <c r="A5975" s="5"/>
      <c r="B5975" s="18"/>
      <c r="C5975" s="85"/>
      <c r="D5975" s="41"/>
      <c r="E5975" s="26" t="str">
        <f ca="1">IFERROR(__xludf.DUMMYFUNCTION("""COMPUTED_VALUE"""),"")</f>
        <v/>
      </c>
      <c r="F5975" s="72"/>
      <c r="G5975" s="72"/>
    </row>
    <row r="5976" spans="1:7" ht="14.5" hidden="1">
      <c r="A5976" s="5"/>
      <c r="B5976" s="18"/>
      <c r="C5976" s="85"/>
      <c r="D5976" s="41"/>
      <c r="E5976" s="26" t="str">
        <f ca="1">IFERROR(__xludf.DUMMYFUNCTION("""COMPUTED_VALUE"""),"")</f>
        <v/>
      </c>
      <c r="F5976" s="72"/>
      <c r="G5976" s="72"/>
    </row>
    <row r="5977" spans="1:7" ht="14.5" hidden="1">
      <c r="A5977" s="5"/>
      <c r="B5977" s="18"/>
      <c r="C5977" s="85"/>
      <c r="D5977" s="41"/>
      <c r="E5977" s="26" t="str">
        <f ca="1">IFERROR(__xludf.DUMMYFUNCTION("""COMPUTED_VALUE"""),"")</f>
        <v/>
      </c>
      <c r="F5977" s="72"/>
      <c r="G5977" s="72"/>
    </row>
    <row r="5978" spans="1:7" ht="14.5" hidden="1">
      <c r="A5978" s="5"/>
      <c r="B5978" s="18"/>
      <c r="C5978" s="85"/>
      <c r="D5978" s="41"/>
      <c r="E5978" s="26" t="str">
        <f ca="1">IFERROR(__xludf.DUMMYFUNCTION("""COMPUTED_VALUE"""),"")</f>
        <v/>
      </c>
      <c r="F5978" s="72"/>
      <c r="G5978" s="72"/>
    </row>
    <row r="5979" spans="1:7" ht="14.5" hidden="1">
      <c r="A5979" s="5"/>
      <c r="B5979" s="18"/>
      <c r="C5979" s="85"/>
      <c r="D5979" s="41"/>
      <c r="E5979" s="26" t="str">
        <f ca="1">IFERROR(__xludf.DUMMYFUNCTION("""COMPUTED_VALUE"""),"")</f>
        <v/>
      </c>
      <c r="F5979" s="72"/>
      <c r="G5979" s="72"/>
    </row>
    <row r="5980" spans="1:7" ht="14.5" hidden="1">
      <c r="A5980" s="5"/>
      <c r="B5980" s="18"/>
      <c r="C5980" s="85"/>
      <c r="D5980" s="41"/>
      <c r="E5980" s="26" t="str">
        <f ca="1">IFERROR(__xludf.DUMMYFUNCTION("""COMPUTED_VALUE"""),"")</f>
        <v/>
      </c>
      <c r="F5980" s="72"/>
      <c r="G5980" s="72"/>
    </row>
    <row r="5981" spans="1:7" ht="14.5" hidden="1">
      <c r="A5981" s="5"/>
      <c r="B5981" s="18"/>
      <c r="C5981" s="85"/>
      <c r="D5981" s="41"/>
      <c r="E5981" s="26" t="str">
        <f ca="1">IFERROR(__xludf.DUMMYFUNCTION("""COMPUTED_VALUE"""),"")</f>
        <v/>
      </c>
      <c r="F5981" s="72"/>
      <c r="G5981" s="72"/>
    </row>
    <row r="5982" spans="1:7" ht="14.5" hidden="1">
      <c r="A5982" s="5"/>
      <c r="B5982" s="18"/>
      <c r="C5982" s="85"/>
      <c r="D5982" s="41"/>
      <c r="E5982" s="26" t="str">
        <f ca="1">IFERROR(__xludf.DUMMYFUNCTION("""COMPUTED_VALUE"""),"")</f>
        <v/>
      </c>
      <c r="F5982" s="72"/>
      <c r="G5982" s="72"/>
    </row>
    <row r="5983" spans="1:7" ht="14.5" hidden="1">
      <c r="A5983" s="5"/>
      <c r="B5983" s="18"/>
      <c r="C5983" s="85"/>
      <c r="D5983" s="41"/>
      <c r="E5983" s="26" t="str">
        <f ca="1">IFERROR(__xludf.DUMMYFUNCTION("""COMPUTED_VALUE"""),"")</f>
        <v/>
      </c>
      <c r="F5983" s="72"/>
      <c r="G5983" s="72"/>
    </row>
    <row r="5984" spans="1:7" ht="14.5" hidden="1">
      <c r="A5984" s="5"/>
      <c r="B5984" s="18"/>
      <c r="C5984" s="85"/>
      <c r="D5984" s="41"/>
      <c r="E5984" s="26" t="str">
        <f ca="1">IFERROR(__xludf.DUMMYFUNCTION("""COMPUTED_VALUE"""),"")</f>
        <v/>
      </c>
      <c r="F5984" s="72"/>
      <c r="G5984" s="72"/>
    </row>
    <row r="5985" spans="1:7" ht="14.5" hidden="1">
      <c r="A5985" s="5"/>
      <c r="B5985" s="18"/>
      <c r="C5985" s="85"/>
      <c r="D5985" s="41"/>
      <c r="E5985" s="26" t="str">
        <f ca="1">IFERROR(__xludf.DUMMYFUNCTION("""COMPUTED_VALUE"""),"")</f>
        <v/>
      </c>
      <c r="F5985" s="72"/>
      <c r="G5985" s="72"/>
    </row>
    <row r="5986" spans="1:7" ht="14.5" hidden="1">
      <c r="A5986" s="5"/>
      <c r="B5986" s="18"/>
      <c r="C5986" s="85"/>
      <c r="D5986" s="41"/>
      <c r="E5986" s="26" t="str">
        <f ca="1">IFERROR(__xludf.DUMMYFUNCTION("""COMPUTED_VALUE"""),"")</f>
        <v/>
      </c>
      <c r="F5986" s="72"/>
      <c r="G5986" s="72"/>
    </row>
    <row r="5987" spans="1:7" ht="14.5" hidden="1">
      <c r="A5987" s="5"/>
      <c r="B5987" s="18"/>
      <c r="C5987" s="85"/>
      <c r="D5987" s="41"/>
      <c r="E5987" s="26" t="str">
        <f ca="1">IFERROR(__xludf.DUMMYFUNCTION("""COMPUTED_VALUE"""),"")</f>
        <v/>
      </c>
      <c r="F5987" s="72"/>
      <c r="G5987" s="72"/>
    </row>
    <row r="5988" spans="1:7" ht="14.5" hidden="1">
      <c r="A5988" s="5"/>
      <c r="B5988" s="18"/>
      <c r="C5988" s="85"/>
      <c r="D5988" s="41"/>
      <c r="E5988" s="26" t="str">
        <f ca="1">IFERROR(__xludf.DUMMYFUNCTION("""COMPUTED_VALUE"""),"")</f>
        <v/>
      </c>
      <c r="F5988" s="72"/>
      <c r="G5988" s="72"/>
    </row>
    <row r="5989" spans="1:7" ht="14.5" hidden="1">
      <c r="A5989" s="5"/>
      <c r="B5989" s="18"/>
      <c r="C5989" s="85"/>
      <c r="D5989" s="41"/>
      <c r="E5989" s="26" t="str">
        <f ca="1">IFERROR(__xludf.DUMMYFUNCTION("""COMPUTED_VALUE"""),"")</f>
        <v/>
      </c>
      <c r="F5989" s="72"/>
      <c r="G5989" s="72"/>
    </row>
    <row r="5990" spans="1:7" ht="14.5" hidden="1">
      <c r="A5990" s="5"/>
      <c r="B5990" s="18"/>
      <c r="C5990" s="85"/>
      <c r="D5990" s="41"/>
      <c r="E5990" s="26" t="str">
        <f ca="1">IFERROR(__xludf.DUMMYFUNCTION("""COMPUTED_VALUE"""),"")</f>
        <v/>
      </c>
      <c r="F5990" s="72"/>
      <c r="G5990" s="72"/>
    </row>
    <row r="5991" spans="1:7" ht="14.5" hidden="1">
      <c r="A5991" s="5"/>
      <c r="B5991" s="18"/>
      <c r="C5991" s="85"/>
      <c r="D5991" s="41"/>
      <c r="E5991" s="26" t="str">
        <f ca="1">IFERROR(__xludf.DUMMYFUNCTION("""COMPUTED_VALUE"""),"")</f>
        <v/>
      </c>
      <c r="F5991" s="72"/>
      <c r="G5991" s="72"/>
    </row>
    <row r="5992" spans="1:7" ht="14.5" hidden="1">
      <c r="A5992" s="5"/>
      <c r="B5992" s="18"/>
      <c r="C5992" s="85"/>
      <c r="D5992" s="41"/>
      <c r="E5992" s="26" t="str">
        <f ca="1">IFERROR(__xludf.DUMMYFUNCTION("""COMPUTED_VALUE"""),"")</f>
        <v/>
      </c>
      <c r="F5992" s="72"/>
      <c r="G5992" s="72"/>
    </row>
    <row r="5993" spans="1:7" ht="14.5" hidden="1">
      <c r="A5993" s="5"/>
      <c r="B5993" s="18"/>
      <c r="C5993" s="85"/>
      <c r="D5993" s="41"/>
      <c r="E5993" s="26" t="str">
        <f ca="1">IFERROR(__xludf.DUMMYFUNCTION("""COMPUTED_VALUE"""),"")</f>
        <v/>
      </c>
      <c r="F5993" s="72"/>
      <c r="G5993" s="72"/>
    </row>
    <row r="5994" spans="1:7" ht="14.5" hidden="1">
      <c r="A5994" s="5"/>
      <c r="B5994" s="18"/>
      <c r="C5994" s="85"/>
      <c r="D5994" s="41"/>
      <c r="E5994" s="26" t="str">
        <f ca="1">IFERROR(__xludf.DUMMYFUNCTION("""COMPUTED_VALUE"""),"")</f>
        <v/>
      </c>
      <c r="F5994" s="72"/>
      <c r="G5994" s="72"/>
    </row>
    <row r="5995" spans="1:7" ht="14.5" hidden="1">
      <c r="A5995" s="5"/>
      <c r="B5995" s="18"/>
      <c r="C5995" s="85"/>
      <c r="D5995" s="41"/>
      <c r="E5995" s="26" t="str">
        <f ca="1">IFERROR(__xludf.DUMMYFUNCTION("""COMPUTED_VALUE"""),"")</f>
        <v/>
      </c>
      <c r="F5995" s="72"/>
      <c r="G5995" s="72"/>
    </row>
    <row r="5996" spans="1:7" ht="14.5" hidden="1">
      <c r="A5996" s="5"/>
      <c r="B5996" s="18"/>
      <c r="C5996" s="85"/>
      <c r="D5996" s="41"/>
      <c r="E5996" s="26" t="str">
        <f ca="1">IFERROR(__xludf.DUMMYFUNCTION("""COMPUTED_VALUE"""),"")</f>
        <v/>
      </c>
      <c r="F5996" s="72"/>
      <c r="G5996" s="72"/>
    </row>
    <row r="5997" spans="1:7" ht="14.5" hidden="1">
      <c r="A5997" s="5"/>
      <c r="B5997" s="18"/>
      <c r="C5997" s="85"/>
      <c r="D5997" s="41"/>
      <c r="E5997" s="26" t="str">
        <f ca="1">IFERROR(__xludf.DUMMYFUNCTION("""COMPUTED_VALUE"""),"")</f>
        <v/>
      </c>
      <c r="F5997" s="72"/>
      <c r="G5997" s="72"/>
    </row>
    <row r="5998" spans="1:7" ht="14.5" hidden="1">
      <c r="A5998" s="5"/>
      <c r="B5998" s="18"/>
      <c r="C5998" s="85"/>
      <c r="D5998" s="41"/>
      <c r="E5998" s="26" t="str">
        <f ca="1">IFERROR(__xludf.DUMMYFUNCTION("""COMPUTED_VALUE"""),"")</f>
        <v/>
      </c>
      <c r="F5998" s="72"/>
      <c r="G5998" s="72"/>
    </row>
    <row r="5999" spans="1:7" ht="14.5" hidden="1">
      <c r="A5999" s="5"/>
      <c r="B5999" s="18"/>
      <c r="C5999" s="85"/>
      <c r="D5999" s="41"/>
      <c r="E5999" s="26" t="str">
        <f ca="1">IFERROR(__xludf.DUMMYFUNCTION("""COMPUTED_VALUE"""),"")</f>
        <v/>
      </c>
      <c r="F5999" s="72"/>
      <c r="G5999" s="72"/>
    </row>
    <row r="6000" spans="1:7" ht="14.5" hidden="1">
      <c r="A6000" s="5"/>
      <c r="B6000" s="18"/>
      <c r="C6000" s="85"/>
      <c r="D6000" s="41"/>
      <c r="E6000" s="26" t="str">
        <f ca="1">IFERROR(__xludf.DUMMYFUNCTION("""COMPUTED_VALUE"""),"")</f>
        <v/>
      </c>
      <c r="F6000" s="72"/>
      <c r="G6000" s="72"/>
    </row>
    <row r="6001" spans="1:7" ht="14.5" hidden="1">
      <c r="A6001" s="5"/>
      <c r="B6001" s="18"/>
      <c r="C6001" s="85"/>
      <c r="D6001" s="41"/>
      <c r="E6001" s="26" t="str">
        <f ca="1">IFERROR(__xludf.DUMMYFUNCTION("""COMPUTED_VALUE"""),"")</f>
        <v/>
      </c>
      <c r="F6001" s="72"/>
      <c r="G6001" s="72"/>
    </row>
    <row r="6002" spans="1:7" ht="14.5" hidden="1">
      <c r="A6002" s="5"/>
      <c r="B6002" s="18"/>
      <c r="C6002" s="85"/>
      <c r="D6002" s="41"/>
      <c r="E6002" s="26" t="str">
        <f ca="1">IFERROR(__xludf.DUMMYFUNCTION("""COMPUTED_VALUE"""),"")</f>
        <v/>
      </c>
      <c r="F6002" s="72"/>
      <c r="G6002" s="72"/>
    </row>
    <row r="6003" spans="1:7" ht="14.5" hidden="1">
      <c r="A6003" s="5"/>
      <c r="B6003" s="18"/>
      <c r="C6003" s="85"/>
      <c r="D6003" s="41"/>
      <c r="E6003" s="26" t="str">
        <f ca="1">IFERROR(__xludf.DUMMYFUNCTION("""COMPUTED_VALUE"""),"")</f>
        <v/>
      </c>
      <c r="F6003" s="72"/>
      <c r="G6003" s="72"/>
    </row>
    <row r="6004" spans="1:7" ht="14.5" hidden="1">
      <c r="A6004" s="5"/>
      <c r="B6004" s="18"/>
      <c r="C6004" s="85"/>
      <c r="D6004" s="41"/>
      <c r="E6004" s="26" t="str">
        <f ca="1">IFERROR(__xludf.DUMMYFUNCTION("""COMPUTED_VALUE"""),"")</f>
        <v/>
      </c>
      <c r="F6004" s="72"/>
      <c r="G6004" s="72"/>
    </row>
    <row r="6005" spans="1:7" ht="14.5" hidden="1">
      <c r="A6005" s="5"/>
      <c r="B6005" s="18"/>
      <c r="C6005" s="85"/>
      <c r="D6005" s="41"/>
      <c r="E6005" s="26" t="str">
        <f ca="1">IFERROR(__xludf.DUMMYFUNCTION("""COMPUTED_VALUE"""),"")</f>
        <v/>
      </c>
      <c r="F6005" s="72"/>
      <c r="G6005" s="72"/>
    </row>
    <row r="6006" spans="1:7" ht="14.5" hidden="1">
      <c r="A6006" s="5"/>
      <c r="B6006" s="18"/>
      <c r="C6006" s="85"/>
      <c r="D6006" s="41"/>
      <c r="E6006" s="26" t="str">
        <f ca="1">IFERROR(__xludf.DUMMYFUNCTION("""COMPUTED_VALUE"""),"")</f>
        <v/>
      </c>
      <c r="F6006" s="72"/>
      <c r="G6006" s="72"/>
    </row>
    <row r="6007" spans="1:7" ht="14.5" hidden="1">
      <c r="A6007" s="5"/>
      <c r="B6007" s="18"/>
      <c r="C6007" s="85"/>
      <c r="D6007" s="41"/>
      <c r="E6007" s="26" t="str">
        <f ca="1">IFERROR(__xludf.DUMMYFUNCTION("""COMPUTED_VALUE"""),"")</f>
        <v/>
      </c>
      <c r="F6007" s="72"/>
      <c r="G6007" s="72"/>
    </row>
    <row r="6008" spans="1:7" ht="14.5" hidden="1">
      <c r="A6008" s="5"/>
      <c r="B6008" s="18"/>
      <c r="C6008" s="85"/>
      <c r="D6008" s="41"/>
      <c r="E6008" s="26" t="str">
        <f ca="1">IFERROR(__xludf.DUMMYFUNCTION("""COMPUTED_VALUE"""),"")</f>
        <v/>
      </c>
      <c r="F6008" s="72"/>
      <c r="G6008" s="72"/>
    </row>
    <row r="6009" spans="1:7" ht="14.5" hidden="1">
      <c r="A6009" s="5"/>
      <c r="B6009" s="18"/>
      <c r="C6009" s="85"/>
      <c r="D6009" s="41"/>
      <c r="E6009" s="26" t="str">
        <f ca="1">IFERROR(__xludf.DUMMYFUNCTION("""COMPUTED_VALUE"""),"")</f>
        <v/>
      </c>
      <c r="F6009" s="72"/>
      <c r="G6009" s="72"/>
    </row>
    <row r="6010" spans="1:7" ht="14.5" hidden="1">
      <c r="A6010" s="5"/>
      <c r="B6010" s="18"/>
      <c r="C6010" s="85"/>
      <c r="D6010" s="41"/>
      <c r="E6010" s="26" t="str">
        <f ca="1">IFERROR(__xludf.DUMMYFUNCTION("""COMPUTED_VALUE"""),"")</f>
        <v/>
      </c>
      <c r="F6010" s="72"/>
      <c r="G6010" s="72"/>
    </row>
    <row r="6011" spans="1:7" ht="14.5" hidden="1">
      <c r="A6011" s="5"/>
      <c r="B6011" s="18"/>
      <c r="C6011" s="85"/>
      <c r="D6011" s="41"/>
      <c r="E6011" s="26" t="str">
        <f ca="1">IFERROR(__xludf.DUMMYFUNCTION("""COMPUTED_VALUE"""),"")</f>
        <v/>
      </c>
      <c r="F6011" s="72"/>
      <c r="G6011" s="72"/>
    </row>
    <row r="6012" spans="1:7" ht="14.5" hidden="1">
      <c r="A6012" s="5"/>
      <c r="B6012" s="18"/>
      <c r="C6012" s="85"/>
      <c r="D6012" s="41"/>
      <c r="E6012" s="26" t="str">
        <f ca="1">IFERROR(__xludf.DUMMYFUNCTION("""COMPUTED_VALUE"""),"")</f>
        <v/>
      </c>
      <c r="F6012" s="72"/>
      <c r="G6012" s="72"/>
    </row>
    <row r="6013" spans="1:7" ht="14.5" hidden="1">
      <c r="A6013" s="5"/>
      <c r="B6013" s="18"/>
      <c r="C6013" s="85"/>
      <c r="D6013" s="41"/>
      <c r="E6013" s="26" t="str">
        <f ca="1">IFERROR(__xludf.DUMMYFUNCTION("""COMPUTED_VALUE"""),"")</f>
        <v/>
      </c>
      <c r="F6013" s="72"/>
      <c r="G6013" s="72"/>
    </row>
    <row r="6014" spans="1:7" ht="14.5" hidden="1">
      <c r="A6014" s="5"/>
      <c r="B6014" s="18"/>
      <c r="C6014" s="85"/>
      <c r="D6014" s="41"/>
      <c r="E6014" s="26" t="str">
        <f ca="1">IFERROR(__xludf.DUMMYFUNCTION("""COMPUTED_VALUE"""),"")</f>
        <v/>
      </c>
      <c r="F6014" s="72"/>
      <c r="G6014" s="72"/>
    </row>
    <row r="6015" spans="1:7" ht="14.5" hidden="1">
      <c r="A6015" s="5"/>
      <c r="B6015" s="18"/>
      <c r="C6015" s="85"/>
      <c r="D6015" s="41"/>
      <c r="E6015" s="26" t="str">
        <f ca="1">IFERROR(__xludf.DUMMYFUNCTION("""COMPUTED_VALUE"""),"")</f>
        <v/>
      </c>
      <c r="F6015" s="72"/>
      <c r="G6015" s="72"/>
    </row>
    <row r="6016" spans="1:7" ht="14.5" hidden="1">
      <c r="A6016" s="5"/>
      <c r="B6016" s="18"/>
      <c r="C6016" s="85"/>
      <c r="D6016" s="41"/>
      <c r="E6016" s="26" t="str">
        <f ca="1">IFERROR(__xludf.DUMMYFUNCTION("""COMPUTED_VALUE"""),"")</f>
        <v/>
      </c>
      <c r="F6016" s="72"/>
      <c r="G6016" s="72"/>
    </row>
    <row r="6017" spans="1:7" ht="14.5" hidden="1">
      <c r="A6017" s="5"/>
      <c r="B6017" s="18"/>
      <c r="C6017" s="85"/>
      <c r="D6017" s="41"/>
      <c r="E6017" s="26" t="str">
        <f ca="1">IFERROR(__xludf.DUMMYFUNCTION("""COMPUTED_VALUE"""),"")</f>
        <v/>
      </c>
      <c r="F6017" s="72"/>
      <c r="G6017" s="72"/>
    </row>
    <row r="6018" spans="1:7" ht="14.5" hidden="1">
      <c r="A6018" s="5"/>
      <c r="B6018" s="18"/>
      <c r="C6018" s="85"/>
      <c r="D6018" s="41"/>
      <c r="E6018" s="26" t="str">
        <f ca="1">IFERROR(__xludf.DUMMYFUNCTION("""COMPUTED_VALUE"""),"")</f>
        <v/>
      </c>
      <c r="F6018" s="72"/>
      <c r="G6018" s="72"/>
    </row>
    <row r="6019" spans="1:7" ht="14.5" hidden="1">
      <c r="A6019" s="5"/>
      <c r="B6019" s="18"/>
      <c r="C6019" s="85"/>
      <c r="D6019" s="41"/>
      <c r="E6019" s="26" t="str">
        <f ca="1">IFERROR(__xludf.DUMMYFUNCTION("""COMPUTED_VALUE"""),"")</f>
        <v/>
      </c>
      <c r="F6019" s="72"/>
      <c r="G6019" s="72"/>
    </row>
    <row r="6020" spans="1:7" ht="14.5" hidden="1">
      <c r="A6020" s="5"/>
      <c r="B6020" s="18"/>
      <c r="C6020" s="85"/>
      <c r="D6020" s="41"/>
      <c r="E6020" s="26" t="str">
        <f ca="1">IFERROR(__xludf.DUMMYFUNCTION("""COMPUTED_VALUE"""),"")</f>
        <v/>
      </c>
      <c r="F6020" s="72"/>
      <c r="G6020" s="72"/>
    </row>
    <row r="6021" spans="1:7" ht="14.5" hidden="1">
      <c r="A6021" s="5"/>
      <c r="B6021" s="18"/>
      <c r="C6021" s="85"/>
      <c r="D6021" s="41"/>
      <c r="E6021" s="26" t="str">
        <f ca="1">IFERROR(__xludf.DUMMYFUNCTION("""COMPUTED_VALUE"""),"")</f>
        <v/>
      </c>
      <c r="F6021" s="72"/>
      <c r="G6021" s="72"/>
    </row>
    <row r="6022" spans="1:7" ht="14.5" hidden="1">
      <c r="A6022" s="5"/>
      <c r="B6022" s="18"/>
      <c r="C6022" s="85"/>
      <c r="D6022" s="41"/>
      <c r="E6022" s="26" t="str">
        <f ca="1">IFERROR(__xludf.DUMMYFUNCTION("""COMPUTED_VALUE"""),"")</f>
        <v/>
      </c>
      <c r="F6022" s="72"/>
      <c r="G6022" s="72"/>
    </row>
    <row r="6023" spans="1:7" ht="14.5" hidden="1">
      <c r="A6023" s="5"/>
      <c r="B6023" s="18"/>
      <c r="C6023" s="85"/>
      <c r="D6023" s="41"/>
      <c r="E6023" s="26" t="str">
        <f ca="1">IFERROR(__xludf.DUMMYFUNCTION("""COMPUTED_VALUE"""),"")</f>
        <v/>
      </c>
      <c r="F6023" s="72"/>
      <c r="G6023" s="72"/>
    </row>
    <row r="6024" spans="1:7" ht="14.5" hidden="1">
      <c r="A6024" s="5"/>
      <c r="B6024" s="18"/>
      <c r="C6024" s="85"/>
      <c r="D6024" s="41"/>
      <c r="E6024" s="26" t="str">
        <f ca="1">IFERROR(__xludf.DUMMYFUNCTION("""COMPUTED_VALUE"""),"")</f>
        <v/>
      </c>
      <c r="F6024" s="72"/>
      <c r="G6024" s="72"/>
    </row>
    <row r="6025" spans="1:7" ht="14.5" hidden="1">
      <c r="A6025" s="5"/>
      <c r="B6025" s="18"/>
      <c r="C6025" s="85"/>
      <c r="D6025" s="41"/>
      <c r="E6025" s="26" t="str">
        <f ca="1">IFERROR(__xludf.DUMMYFUNCTION("""COMPUTED_VALUE"""),"")</f>
        <v/>
      </c>
      <c r="F6025" s="72"/>
      <c r="G6025" s="72"/>
    </row>
    <row r="6026" spans="1:7" ht="14.5" hidden="1">
      <c r="A6026" s="5"/>
      <c r="B6026" s="18"/>
      <c r="C6026" s="85"/>
      <c r="D6026" s="41"/>
      <c r="E6026" s="26" t="str">
        <f ca="1">IFERROR(__xludf.DUMMYFUNCTION("""COMPUTED_VALUE"""),"")</f>
        <v/>
      </c>
      <c r="F6026" s="72"/>
      <c r="G6026" s="72"/>
    </row>
    <row r="6027" spans="1:7" ht="14.5" hidden="1">
      <c r="A6027" s="5"/>
      <c r="B6027" s="18"/>
      <c r="C6027" s="85"/>
      <c r="D6027" s="41"/>
      <c r="E6027" s="26" t="str">
        <f ca="1">IFERROR(__xludf.DUMMYFUNCTION("""COMPUTED_VALUE"""),"")</f>
        <v/>
      </c>
      <c r="F6027" s="72"/>
      <c r="G6027" s="72"/>
    </row>
    <row r="6028" spans="1:7" ht="14.5" hidden="1">
      <c r="A6028" s="5"/>
      <c r="B6028" s="18"/>
      <c r="C6028" s="85"/>
      <c r="D6028" s="41"/>
      <c r="E6028" s="26" t="str">
        <f ca="1">IFERROR(__xludf.DUMMYFUNCTION("""COMPUTED_VALUE"""),"")</f>
        <v/>
      </c>
      <c r="F6028" s="72"/>
      <c r="G6028" s="72"/>
    </row>
    <row r="6029" spans="1:7" ht="14.5" hidden="1">
      <c r="A6029" s="5"/>
      <c r="B6029" s="18"/>
      <c r="C6029" s="85"/>
      <c r="D6029" s="41"/>
      <c r="E6029" s="26" t="str">
        <f ca="1">IFERROR(__xludf.DUMMYFUNCTION("""COMPUTED_VALUE"""),"")</f>
        <v/>
      </c>
      <c r="F6029" s="72"/>
      <c r="G6029" s="72"/>
    </row>
    <row r="6030" spans="1:7" ht="14.5" hidden="1">
      <c r="A6030" s="5"/>
      <c r="B6030" s="18"/>
      <c r="C6030" s="85"/>
      <c r="D6030" s="41"/>
      <c r="E6030" s="26" t="str">
        <f ca="1">IFERROR(__xludf.DUMMYFUNCTION("""COMPUTED_VALUE"""),"")</f>
        <v/>
      </c>
      <c r="F6030" s="72"/>
      <c r="G6030" s="72"/>
    </row>
    <row r="6031" spans="1:7" ht="14.5" hidden="1">
      <c r="A6031" s="5"/>
      <c r="B6031" s="18"/>
      <c r="C6031" s="85"/>
      <c r="D6031" s="41"/>
      <c r="E6031" s="26" t="str">
        <f ca="1">IFERROR(__xludf.DUMMYFUNCTION("""COMPUTED_VALUE"""),"")</f>
        <v/>
      </c>
      <c r="F6031" s="72"/>
      <c r="G6031" s="72"/>
    </row>
    <row r="6032" spans="1:7" ht="14.5" hidden="1">
      <c r="A6032" s="5"/>
      <c r="B6032" s="18"/>
      <c r="C6032" s="85"/>
      <c r="D6032" s="41"/>
      <c r="E6032" s="26" t="str">
        <f ca="1">IFERROR(__xludf.DUMMYFUNCTION("""COMPUTED_VALUE"""),"")</f>
        <v/>
      </c>
      <c r="F6032" s="72"/>
      <c r="G6032" s="72"/>
    </row>
    <row r="6033" spans="1:7" ht="14.5" hidden="1">
      <c r="A6033" s="5"/>
      <c r="B6033" s="18"/>
      <c r="C6033" s="85"/>
      <c r="D6033" s="41"/>
      <c r="E6033" s="26" t="str">
        <f ca="1">IFERROR(__xludf.DUMMYFUNCTION("""COMPUTED_VALUE"""),"")</f>
        <v/>
      </c>
      <c r="F6033" s="72"/>
      <c r="G6033" s="72"/>
    </row>
    <row r="6034" spans="1:7" ht="14.5" hidden="1">
      <c r="A6034" s="5"/>
      <c r="B6034" s="18"/>
      <c r="C6034" s="85"/>
      <c r="D6034" s="41"/>
      <c r="E6034" s="26" t="str">
        <f ca="1">IFERROR(__xludf.DUMMYFUNCTION("""COMPUTED_VALUE"""),"")</f>
        <v/>
      </c>
      <c r="F6034" s="72"/>
      <c r="G6034" s="72"/>
    </row>
    <row r="6035" spans="1:7" ht="14.5" hidden="1">
      <c r="A6035" s="5"/>
      <c r="B6035" s="18"/>
      <c r="C6035" s="85"/>
      <c r="D6035" s="41"/>
      <c r="E6035" s="26" t="str">
        <f ca="1">IFERROR(__xludf.DUMMYFUNCTION("""COMPUTED_VALUE"""),"")</f>
        <v/>
      </c>
      <c r="F6035" s="72"/>
      <c r="G6035" s="72"/>
    </row>
    <row r="6036" spans="1:7" ht="14.5" hidden="1">
      <c r="A6036" s="5"/>
      <c r="B6036" s="18"/>
      <c r="C6036" s="85"/>
      <c r="D6036" s="41"/>
      <c r="E6036" s="26" t="str">
        <f ca="1">IFERROR(__xludf.DUMMYFUNCTION("""COMPUTED_VALUE"""),"")</f>
        <v/>
      </c>
      <c r="F6036" s="72"/>
      <c r="G6036" s="72"/>
    </row>
    <row r="6037" spans="1:7" ht="14.5" hidden="1">
      <c r="A6037" s="5"/>
      <c r="B6037" s="18"/>
      <c r="C6037" s="85"/>
      <c r="D6037" s="41"/>
      <c r="E6037" s="26" t="str">
        <f ca="1">IFERROR(__xludf.DUMMYFUNCTION("""COMPUTED_VALUE"""),"")</f>
        <v/>
      </c>
      <c r="F6037" s="72"/>
      <c r="G6037" s="72"/>
    </row>
    <row r="6038" spans="1:7" ht="14.5" hidden="1">
      <c r="A6038" s="5"/>
      <c r="B6038" s="18"/>
      <c r="C6038" s="85"/>
      <c r="D6038" s="41"/>
      <c r="E6038" s="26" t="str">
        <f ca="1">IFERROR(__xludf.DUMMYFUNCTION("""COMPUTED_VALUE"""),"")</f>
        <v/>
      </c>
      <c r="F6038" s="72"/>
      <c r="G6038" s="72"/>
    </row>
    <row r="6039" spans="1:7" ht="14.5" hidden="1">
      <c r="A6039" s="5"/>
      <c r="B6039" s="18"/>
      <c r="C6039" s="85"/>
      <c r="D6039" s="41"/>
      <c r="E6039" s="26" t="str">
        <f ca="1">IFERROR(__xludf.DUMMYFUNCTION("""COMPUTED_VALUE"""),"")</f>
        <v/>
      </c>
      <c r="F6039" s="72"/>
      <c r="G6039" s="72"/>
    </row>
    <row r="6040" spans="1:7" ht="14.5" hidden="1">
      <c r="A6040" s="5"/>
      <c r="B6040" s="18"/>
      <c r="C6040" s="85"/>
      <c r="D6040" s="41"/>
      <c r="E6040" s="26" t="str">
        <f ca="1">IFERROR(__xludf.DUMMYFUNCTION("""COMPUTED_VALUE"""),"")</f>
        <v/>
      </c>
      <c r="F6040" s="72"/>
      <c r="G6040" s="72"/>
    </row>
    <row r="6041" spans="1:7" ht="14.5" hidden="1">
      <c r="A6041" s="5"/>
      <c r="B6041" s="18"/>
      <c r="C6041" s="85"/>
      <c r="D6041" s="41"/>
      <c r="E6041" s="26" t="str">
        <f ca="1">IFERROR(__xludf.DUMMYFUNCTION("""COMPUTED_VALUE"""),"")</f>
        <v/>
      </c>
      <c r="F6041" s="72"/>
      <c r="G6041" s="72"/>
    </row>
    <row r="6042" spans="1:7" ht="14.5" hidden="1">
      <c r="A6042" s="5"/>
      <c r="B6042" s="18"/>
      <c r="C6042" s="85"/>
      <c r="D6042" s="41"/>
      <c r="E6042" s="26" t="str">
        <f ca="1">IFERROR(__xludf.DUMMYFUNCTION("""COMPUTED_VALUE"""),"")</f>
        <v/>
      </c>
      <c r="F6042" s="72"/>
      <c r="G6042" s="72"/>
    </row>
    <row r="6043" spans="1:7" ht="14.5" hidden="1">
      <c r="A6043" s="5"/>
      <c r="B6043" s="18"/>
      <c r="C6043" s="85"/>
      <c r="D6043" s="41"/>
      <c r="E6043" s="26" t="str">
        <f ca="1">IFERROR(__xludf.DUMMYFUNCTION("""COMPUTED_VALUE"""),"")</f>
        <v/>
      </c>
      <c r="F6043" s="72"/>
      <c r="G6043" s="72"/>
    </row>
    <row r="6044" spans="1:7" ht="14.5" hidden="1">
      <c r="A6044" s="5"/>
      <c r="B6044" s="18"/>
      <c r="C6044" s="85"/>
      <c r="D6044" s="41"/>
      <c r="E6044" s="26" t="str">
        <f ca="1">IFERROR(__xludf.DUMMYFUNCTION("""COMPUTED_VALUE"""),"")</f>
        <v/>
      </c>
      <c r="F6044" s="72"/>
      <c r="G6044" s="72"/>
    </row>
    <row r="6045" spans="1:7" ht="14.5" hidden="1">
      <c r="A6045" s="5"/>
      <c r="B6045" s="18"/>
      <c r="C6045" s="85"/>
      <c r="D6045" s="41"/>
      <c r="E6045" s="26" t="str">
        <f ca="1">IFERROR(__xludf.DUMMYFUNCTION("""COMPUTED_VALUE"""),"")</f>
        <v/>
      </c>
      <c r="F6045" s="72"/>
      <c r="G6045" s="72"/>
    </row>
    <row r="6046" spans="1:7" ht="14.5" hidden="1">
      <c r="A6046" s="5"/>
      <c r="B6046" s="18"/>
      <c r="C6046" s="85"/>
      <c r="D6046" s="41"/>
      <c r="E6046" s="26" t="str">
        <f ca="1">IFERROR(__xludf.DUMMYFUNCTION("""COMPUTED_VALUE"""),"")</f>
        <v/>
      </c>
      <c r="F6046" s="72"/>
      <c r="G6046" s="72"/>
    </row>
    <row r="6047" spans="1:7" ht="14.5" hidden="1">
      <c r="A6047" s="5"/>
      <c r="B6047" s="18"/>
      <c r="C6047" s="85"/>
      <c r="D6047" s="41"/>
      <c r="E6047" s="26" t="str">
        <f ca="1">IFERROR(__xludf.DUMMYFUNCTION("""COMPUTED_VALUE"""),"")</f>
        <v/>
      </c>
      <c r="F6047" s="72"/>
      <c r="G6047" s="72"/>
    </row>
    <row r="6048" spans="1:7" ht="14.5" hidden="1">
      <c r="A6048" s="5"/>
      <c r="B6048" s="18"/>
      <c r="C6048" s="85"/>
      <c r="D6048" s="41"/>
      <c r="E6048" s="26" t="str">
        <f ca="1">IFERROR(__xludf.DUMMYFUNCTION("""COMPUTED_VALUE"""),"")</f>
        <v/>
      </c>
      <c r="F6048" s="72"/>
      <c r="G6048" s="72"/>
    </row>
    <row r="6049" spans="1:7" ht="14.5" hidden="1">
      <c r="A6049" s="5"/>
      <c r="B6049" s="18"/>
      <c r="C6049" s="85"/>
      <c r="D6049" s="41"/>
      <c r="E6049" s="26" t="str">
        <f ca="1">IFERROR(__xludf.DUMMYFUNCTION("""COMPUTED_VALUE"""),"")</f>
        <v/>
      </c>
      <c r="F6049" s="72"/>
      <c r="G6049" s="72"/>
    </row>
    <row r="6050" spans="1:7" ht="14.5" hidden="1">
      <c r="A6050" s="5"/>
      <c r="B6050" s="18"/>
      <c r="C6050" s="85"/>
      <c r="D6050" s="41"/>
      <c r="E6050" s="26" t="str">
        <f ca="1">IFERROR(__xludf.DUMMYFUNCTION("""COMPUTED_VALUE"""),"")</f>
        <v/>
      </c>
      <c r="F6050" s="72"/>
      <c r="G6050" s="72"/>
    </row>
    <row r="6051" spans="1:7" ht="14.5" hidden="1">
      <c r="A6051" s="5"/>
      <c r="B6051" s="18"/>
      <c r="C6051" s="85"/>
      <c r="D6051" s="41"/>
      <c r="E6051" s="26" t="str">
        <f ca="1">IFERROR(__xludf.DUMMYFUNCTION("""COMPUTED_VALUE"""),"")</f>
        <v/>
      </c>
      <c r="F6051" s="72"/>
      <c r="G6051" s="72"/>
    </row>
    <row r="6052" spans="1:7" ht="14.5" hidden="1">
      <c r="A6052" s="5"/>
      <c r="B6052" s="18"/>
      <c r="C6052" s="85"/>
      <c r="D6052" s="41"/>
      <c r="E6052" s="26" t="str">
        <f ca="1">IFERROR(__xludf.DUMMYFUNCTION("""COMPUTED_VALUE"""),"")</f>
        <v/>
      </c>
      <c r="F6052" s="72"/>
      <c r="G6052" s="72"/>
    </row>
    <row r="6053" spans="1:7" ht="14.5" hidden="1">
      <c r="A6053" s="5"/>
      <c r="B6053" s="18"/>
      <c r="C6053" s="85"/>
      <c r="D6053" s="41"/>
      <c r="E6053" s="26" t="str">
        <f ca="1">IFERROR(__xludf.DUMMYFUNCTION("""COMPUTED_VALUE"""),"")</f>
        <v/>
      </c>
      <c r="F6053" s="72"/>
      <c r="G6053" s="72"/>
    </row>
    <row r="6054" spans="1:7" ht="14.5" hidden="1">
      <c r="A6054" s="5"/>
      <c r="B6054" s="18"/>
      <c r="C6054" s="85"/>
      <c r="D6054" s="41"/>
      <c r="E6054" s="26" t="str">
        <f ca="1">IFERROR(__xludf.DUMMYFUNCTION("""COMPUTED_VALUE"""),"")</f>
        <v/>
      </c>
      <c r="F6054" s="72"/>
      <c r="G6054" s="72"/>
    </row>
    <row r="6055" spans="1:7" ht="14.5" hidden="1">
      <c r="A6055" s="5"/>
      <c r="B6055" s="18"/>
      <c r="C6055" s="85"/>
      <c r="D6055" s="41"/>
      <c r="E6055" s="26" t="str">
        <f ca="1">IFERROR(__xludf.DUMMYFUNCTION("""COMPUTED_VALUE"""),"")</f>
        <v/>
      </c>
      <c r="F6055" s="72"/>
      <c r="G6055" s="72"/>
    </row>
    <row r="6056" spans="1:7" ht="14.5" hidden="1">
      <c r="A6056" s="5"/>
      <c r="B6056" s="18"/>
      <c r="C6056" s="85"/>
      <c r="D6056" s="41"/>
      <c r="E6056" s="26" t="str">
        <f ca="1">IFERROR(__xludf.DUMMYFUNCTION("""COMPUTED_VALUE"""),"")</f>
        <v/>
      </c>
      <c r="F6056" s="72"/>
      <c r="G6056" s="72"/>
    </row>
    <row r="6057" spans="1:7" ht="14.5" hidden="1">
      <c r="A6057" s="5"/>
      <c r="B6057" s="18"/>
      <c r="C6057" s="85"/>
      <c r="D6057" s="41"/>
      <c r="E6057" s="26" t="str">
        <f ca="1">IFERROR(__xludf.DUMMYFUNCTION("""COMPUTED_VALUE"""),"")</f>
        <v/>
      </c>
      <c r="F6057" s="72"/>
      <c r="G6057" s="72"/>
    </row>
    <row r="6058" spans="1:7" ht="14.5" hidden="1">
      <c r="A6058" s="5"/>
      <c r="B6058" s="18"/>
      <c r="C6058" s="85"/>
      <c r="D6058" s="41"/>
      <c r="E6058" s="26" t="str">
        <f ca="1">IFERROR(__xludf.DUMMYFUNCTION("""COMPUTED_VALUE"""),"")</f>
        <v/>
      </c>
      <c r="F6058" s="72"/>
      <c r="G6058" s="72"/>
    </row>
    <row r="6059" spans="1:7" ht="14.5" hidden="1">
      <c r="A6059" s="5"/>
      <c r="B6059" s="18"/>
      <c r="C6059" s="85"/>
      <c r="D6059" s="41"/>
      <c r="E6059" s="26" t="str">
        <f ca="1">IFERROR(__xludf.DUMMYFUNCTION("""COMPUTED_VALUE"""),"")</f>
        <v/>
      </c>
      <c r="F6059" s="72"/>
      <c r="G6059" s="72"/>
    </row>
    <row r="6060" spans="1:7" ht="14.5" hidden="1">
      <c r="A6060" s="5"/>
      <c r="B6060" s="18"/>
      <c r="C6060" s="85"/>
      <c r="D6060" s="41"/>
      <c r="E6060" s="26" t="str">
        <f ca="1">IFERROR(__xludf.DUMMYFUNCTION("""COMPUTED_VALUE"""),"")</f>
        <v/>
      </c>
      <c r="F6060" s="72"/>
      <c r="G6060" s="72"/>
    </row>
    <row r="6061" spans="1:7" ht="14.5" hidden="1">
      <c r="A6061" s="5"/>
      <c r="B6061" s="18"/>
      <c r="C6061" s="85"/>
      <c r="D6061" s="41"/>
      <c r="E6061" s="26" t="str">
        <f ca="1">IFERROR(__xludf.DUMMYFUNCTION("""COMPUTED_VALUE"""),"")</f>
        <v/>
      </c>
      <c r="F6061" s="72"/>
      <c r="G6061" s="72"/>
    </row>
    <row r="6062" spans="1:7" ht="14.5" hidden="1">
      <c r="A6062" s="5"/>
      <c r="B6062" s="18"/>
      <c r="C6062" s="85"/>
      <c r="D6062" s="41"/>
      <c r="E6062" s="26" t="str">
        <f ca="1">IFERROR(__xludf.DUMMYFUNCTION("""COMPUTED_VALUE"""),"")</f>
        <v/>
      </c>
      <c r="F6062" s="72"/>
      <c r="G6062" s="72"/>
    </row>
    <row r="6063" spans="1:7" ht="14.5" hidden="1">
      <c r="A6063" s="5"/>
      <c r="B6063" s="18"/>
      <c r="C6063" s="85"/>
      <c r="D6063" s="41"/>
      <c r="E6063" s="26" t="str">
        <f ca="1">IFERROR(__xludf.DUMMYFUNCTION("""COMPUTED_VALUE"""),"")</f>
        <v/>
      </c>
      <c r="F6063" s="72"/>
      <c r="G6063" s="72"/>
    </row>
    <row r="6064" spans="1:7" ht="14.5" hidden="1">
      <c r="A6064" s="5"/>
      <c r="B6064" s="18"/>
      <c r="C6064" s="85"/>
      <c r="D6064" s="41"/>
      <c r="E6064" s="26" t="str">
        <f ca="1">IFERROR(__xludf.DUMMYFUNCTION("""COMPUTED_VALUE"""),"")</f>
        <v/>
      </c>
      <c r="F6064" s="72"/>
      <c r="G6064" s="72"/>
    </row>
    <row r="6065" spans="1:7" ht="14.5" hidden="1">
      <c r="A6065" s="5"/>
      <c r="B6065" s="18"/>
      <c r="C6065" s="85"/>
      <c r="D6065" s="41"/>
      <c r="E6065" s="26" t="str">
        <f ca="1">IFERROR(__xludf.DUMMYFUNCTION("""COMPUTED_VALUE"""),"")</f>
        <v/>
      </c>
      <c r="F6065" s="72"/>
      <c r="G6065" s="72"/>
    </row>
    <row r="6066" spans="1:7" ht="14.5" hidden="1">
      <c r="A6066" s="5"/>
      <c r="B6066" s="18"/>
      <c r="C6066" s="85"/>
      <c r="D6066" s="41"/>
      <c r="E6066" s="26" t="str">
        <f ca="1">IFERROR(__xludf.DUMMYFUNCTION("""COMPUTED_VALUE"""),"")</f>
        <v/>
      </c>
      <c r="F6066" s="72"/>
      <c r="G6066" s="72"/>
    </row>
    <row r="6067" spans="1:7" ht="14.5" hidden="1">
      <c r="A6067" s="5"/>
      <c r="B6067" s="18"/>
      <c r="C6067" s="85"/>
      <c r="D6067" s="41"/>
      <c r="E6067" s="26" t="str">
        <f ca="1">IFERROR(__xludf.DUMMYFUNCTION("""COMPUTED_VALUE"""),"")</f>
        <v/>
      </c>
      <c r="F6067" s="72"/>
      <c r="G6067" s="72"/>
    </row>
    <row r="6068" spans="1:7" ht="14.5" hidden="1">
      <c r="A6068" s="5"/>
      <c r="B6068" s="18"/>
      <c r="C6068" s="85"/>
      <c r="D6068" s="41"/>
      <c r="E6068" s="26" t="str">
        <f ca="1">IFERROR(__xludf.DUMMYFUNCTION("""COMPUTED_VALUE"""),"")</f>
        <v/>
      </c>
      <c r="F6068" s="72"/>
      <c r="G6068" s="72"/>
    </row>
    <row r="6069" spans="1:7" ht="14.5" hidden="1">
      <c r="A6069" s="5"/>
      <c r="B6069" s="18"/>
      <c r="C6069" s="85"/>
      <c r="D6069" s="41"/>
      <c r="E6069" s="26" t="str">
        <f ca="1">IFERROR(__xludf.DUMMYFUNCTION("""COMPUTED_VALUE"""),"")</f>
        <v/>
      </c>
      <c r="F6069" s="72"/>
      <c r="G6069" s="72"/>
    </row>
    <row r="6070" spans="1:7" ht="14.5" hidden="1">
      <c r="A6070" s="5"/>
      <c r="B6070" s="18"/>
      <c r="C6070" s="85"/>
      <c r="D6070" s="41"/>
      <c r="E6070" s="26" t="str">
        <f ca="1">IFERROR(__xludf.DUMMYFUNCTION("""COMPUTED_VALUE"""),"")</f>
        <v/>
      </c>
      <c r="F6070" s="72"/>
      <c r="G6070" s="72"/>
    </row>
    <row r="6071" spans="1:7" ht="14.5" hidden="1">
      <c r="A6071" s="5"/>
      <c r="B6071" s="18"/>
      <c r="C6071" s="85"/>
      <c r="D6071" s="41"/>
      <c r="E6071" s="26" t="str">
        <f ca="1">IFERROR(__xludf.DUMMYFUNCTION("""COMPUTED_VALUE"""),"")</f>
        <v/>
      </c>
      <c r="F6071" s="72"/>
      <c r="G6071" s="72"/>
    </row>
    <row r="6072" spans="1:7" ht="14.5" hidden="1">
      <c r="A6072" s="5"/>
      <c r="B6072" s="18"/>
      <c r="C6072" s="85"/>
      <c r="D6072" s="41"/>
      <c r="E6072" s="26" t="str">
        <f ca="1">IFERROR(__xludf.DUMMYFUNCTION("""COMPUTED_VALUE"""),"")</f>
        <v/>
      </c>
      <c r="F6072" s="72"/>
      <c r="G6072" s="72"/>
    </row>
    <row r="6073" spans="1:7" ht="14.5" hidden="1">
      <c r="A6073" s="5"/>
      <c r="B6073" s="18"/>
      <c r="C6073" s="85"/>
      <c r="D6073" s="41"/>
      <c r="E6073" s="26" t="str">
        <f ca="1">IFERROR(__xludf.DUMMYFUNCTION("""COMPUTED_VALUE"""),"")</f>
        <v/>
      </c>
      <c r="F6073" s="72"/>
      <c r="G6073" s="72"/>
    </row>
    <row r="6074" spans="1:7" ht="14.5" hidden="1">
      <c r="A6074" s="5"/>
      <c r="B6074" s="18"/>
      <c r="C6074" s="85"/>
      <c r="D6074" s="41"/>
      <c r="E6074" s="26" t="str">
        <f ca="1">IFERROR(__xludf.DUMMYFUNCTION("""COMPUTED_VALUE"""),"")</f>
        <v/>
      </c>
      <c r="F6074" s="72"/>
      <c r="G6074" s="72"/>
    </row>
    <row r="6075" spans="1:7" ht="14.5" hidden="1">
      <c r="A6075" s="5"/>
      <c r="B6075" s="18"/>
      <c r="C6075" s="85"/>
      <c r="D6075" s="41"/>
      <c r="E6075" s="26" t="str">
        <f ca="1">IFERROR(__xludf.DUMMYFUNCTION("""COMPUTED_VALUE"""),"")</f>
        <v/>
      </c>
      <c r="F6075" s="72"/>
      <c r="G6075" s="72"/>
    </row>
    <row r="6076" spans="1:7" ht="14.5" hidden="1">
      <c r="A6076" s="5"/>
      <c r="B6076" s="18"/>
      <c r="C6076" s="85"/>
      <c r="D6076" s="41"/>
      <c r="E6076" s="26" t="str">
        <f ca="1">IFERROR(__xludf.DUMMYFUNCTION("""COMPUTED_VALUE"""),"")</f>
        <v/>
      </c>
      <c r="F6076" s="72"/>
      <c r="G6076" s="72"/>
    </row>
    <row r="6077" spans="1:7" ht="14.5" hidden="1">
      <c r="A6077" s="5"/>
      <c r="B6077" s="18"/>
      <c r="C6077" s="85"/>
      <c r="D6077" s="41"/>
      <c r="E6077" s="26" t="str">
        <f ca="1">IFERROR(__xludf.DUMMYFUNCTION("""COMPUTED_VALUE"""),"")</f>
        <v/>
      </c>
      <c r="F6077" s="72"/>
      <c r="G6077" s="72"/>
    </row>
    <row r="6078" spans="1:7" ht="14.5" hidden="1">
      <c r="A6078" s="5"/>
      <c r="B6078" s="18"/>
      <c r="C6078" s="85"/>
      <c r="D6078" s="41"/>
      <c r="E6078" s="26" t="str">
        <f ca="1">IFERROR(__xludf.DUMMYFUNCTION("""COMPUTED_VALUE"""),"")</f>
        <v/>
      </c>
      <c r="F6078" s="72"/>
      <c r="G6078" s="72"/>
    </row>
    <row r="6079" spans="1:7" ht="14.5" hidden="1">
      <c r="A6079" s="5"/>
      <c r="B6079" s="18"/>
      <c r="C6079" s="85"/>
      <c r="D6079" s="41"/>
      <c r="E6079" s="26" t="str">
        <f ca="1">IFERROR(__xludf.DUMMYFUNCTION("""COMPUTED_VALUE"""),"")</f>
        <v/>
      </c>
      <c r="F6079" s="72"/>
      <c r="G6079" s="72"/>
    </row>
    <row r="6080" spans="1:7" ht="14.5" hidden="1">
      <c r="A6080" s="5"/>
      <c r="B6080" s="18"/>
      <c r="C6080" s="85"/>
      <c r="D6080" s="41"/>
      <c r="E6080" s="26" t="str">
        <f ca="1">IFERROR(__xludf.DUMMYFUNCTION("""COMPUTED_VALUE"""),"")</f>
        <v/>
      </c>
      <c r="F6080" s="72"/>
      <c r="G6080" s="72"/>
    </row>
    <row r="6081" spans="1:7" ht="14.5" hidden="1">
      <c r="A6081" s="5"/>
      <c r="B6081" s="18"/>
      <c r="C6081" s="85"/>
      <c r="D6081" s="41"/>
      <c r="E6081" s="26" t="str">
        <f ca="1">IFERROR(__xludf.DUMMYFUNCTION("""COMPUTED_VALUE"""),"")</f>
        <v/>
      </c>
      <c r="F6081" s="72"/>
      <c r="G6081" s="72"/>
    </row>
    <row r="6082" spans="1:7" ht="14.5" hidden="1">
      <c r="A6082" s="5"/>
      <c r="B6082" s="18"/>
      <c r="C6082" s="85"/>
      <c r="D6082" s="41"/>
      <c r="E6082" s="26" t="str">
        <f ca="1">IFERROR(__xludf.DUMMYFUNCTION("""COMPUTED_VALUE"""),"")</f>
        <v/>
      </c>
      <c r="F6082" s="72"/>
      <c r="G6082" s="72"/>
    </row>
    <row r="6083" spans="1:7" ht="14.5" hidden="1">
      <c r="A6083" s="5"/>
      <c r="B6083" s="18"/>
      <c r="C6083" s="85"/>
      <c r="D6083" s="41"/>
      <c r="E6083" s="26" t="str">
        <f ca="1">IFERROR(__xludf.DUMMYFUNCTION("""COMPUTED_VALUE"""),"")</f>
        <v/>
      </c>
      <c r="F6083" s="72"/>
      <c r="G6083" s="72"/>
    </row>
    <row r="6084" spans="1:7" ht="14.5" hidden="1">
      <c r="A6084" s="5"/>
      <c r="B6084" s="18"/>
      <c r="C6084" s="85"/>
      <c r="D6084" s="41"/>
      <c r="E6084" s="26" t="str">
        <f ca="1">IFERROR(__xludf.DUMMYFUNCTION("""COMPUTED_VALUE"""),"")</f>
        <v/>
      </c>
      <c r="F6084" s="72"/>
      <c r="G6084" s="72"/>
    </row>
    <row r="6085" spans="1:7" ht="14.5" hidden="1">
      <c r="A6085" s="5"/>
      <c r="B6085" s="18"/>
      <c r="C6085" s="85"/>
      <c r="D6085" s="41"/>
      <c r="E6085" s="26" t="str">
        <f ca="1">IFERROR(__xludf.DUMMYFUNCTION("""COMPUTED_VALUE"""),"")</f>
        <v/>
      </c>
      <c r="F6085" s="72"/>
      <c r="G6085" s="72"/>
    </row>
    <row r="6086" spans="1:7" ht="14.5" hidden="1">
      <c r="A6086" s="5"/>
      <c r="B6086" s="18"/>
      <c r="C6086" s="85"/>
      <c r="D6086" s="41"/>
      <c r="E6086" s="26" t="str">
        <f ca="1">IFERROR(__xludf.DUMMYFUNCTION("""COMPUTED_VALUE"""),"")</f>
        <v/>
      </c>
      <c r="F6086" s="72"/>
      <c r="G6086" s="72"/>
    </row>
    <row r="6087" spans="1:7" ht="14.5" hidden="1">
      <c r="A6087" s="5"/>
      <c r="B6087" s="18"/>
      <c r="C6087" s="85"/>
      <c r="D6087" s="41"/>
      <c r="E6087" s="26" t="str">
        <f ca="1">IFERROR(__xludf.DUMMYFUNCTION("""COMPUTED_VALUE"""),"")</f>
        <v/>
      </c>
      <c r="F6087" s="72"/>
      <c r="G6087" s="72"/>
    </row>
    <row r="6088" spans="1:7" ht="14.5" hidden="1">
      <c r="A6088" s="5"/>
      <c r="B6088" s="18"/>
      <c r="C6088" s="85"/>
      <c r="D6088" s="41"/>
      <c r="E6088" s="26" t="str">
        <f ca="1">IFERROR(__xludf.DUMMYFUNCTION("""COMPUTED_VALUE"""),"")</f>
        <v/>
      </c>
      <c r="F6088" s="72"/>
      <c r="G6088" s="72"/>
    </row>
    <row r="6089" spans="1:7" ht="14.5" hidden="1">
      <c r="A6089" s="5"/>
      <c r="B6089" s="18"/>
      <c r="C6089" s="85"/>
      <c r="D6089" s="41"/>
      <c r="E6089" s="26" t="str">
        <f ca="1">IFERROR(__xludf.DUMMYFUNCTION("""COMPUTED_VALUE"""),"")</f>
        <v/>
      </c>
      <c r="F6089" s="72"/>
      <c r="G6089" s="72"/>
    </row>
    <row r="6090" spans="1:7" ht="14.5" hidden="1">
      <c r="A6090" s="5"/>
      <c r="B6090" s="18"/>
      <c r="C6090" s="85"/>
      <c r="D6090" s="41"/>
      <c r="E6090" s="26" t="str">
        <f ca="1">IFERROR(__xludf.DUMMYFUNCTION("""COMPUTED_VALUE"""),"")</f>
        <v/>
      </c>
      <c r="F6090" s="72"/>
      <c r="G6090" s="72"/>
    </row>
    <row r="6091" spans="1:7" ht="14.5" hidden="1">
      <c r="A6091" s="5"/>
      <c r="B6091" s="18"/>
      <c r="C6091" s="85"/>
      <c r="D6091" s="41"/>
      <c r="E6091" s="26" t="str">
        <f ca="1">IFERROR(__xludf.DUMMYFUNCTION("""COMPUTED_VALUE"""),"")</f>
        <v/>
      </c>
      <c r="F6091" s="72"/>
      <c r="G6091" s="72"/>
    </row>
    <row r="6092" spans="1:7" ht="14.5" hidden="1">
      <c r="A6092" s="5"/>
      <c r="B6092" s="18"/>
      <c r="C6092" s="85"/>
      <c r="D6092" s="41"/>
      <c r="E6092" s="26" t="str">
        <f ca="1">IFERROR(__xludf.DUMMYFUNCTION("""COMPUTED_VALUE"""),"")</f>
        <v/>
      </c>
      <c r="F6092" s="72"/>
      <c r="G6092" s="72"/>
    </row>
    <row r="6093" spans="1:7" ht="14.5" hidden="1">
      <c r="A6093" s="5"/>
      <c r="B6093" s="18"/>
      <c r="C6093" s="85"/>
      <c r="D6093" s="41"/>
      <c r="E6093" s="26" t="str">
        <f ca="1">IFERROR(__xludf.DUMMYFUNCTION("""COMPUTED_VALUE"""),"")</f>
        <v/>
      </c>
      <c r="F6093" s="72"/>
      <c r="G6093" s="72"/>
    </row>
    <row r="6094" spans="1:7" ht="14.5" hidden="1">
      <c r="A6094" s="5"/>
      <c r="B6094" s="18"/>
      <c r="C6094" s="85"/>
      <c r="D6094" s="41"/>
      <c r="E6094" s="26" t="str">
        <f ca="1">IFERROR(__xludf.DUMMYFUNCTION("""COMPUTED_VALUE"""),"")</f>
        <v/>
      </c>
      <c r="F6094" s="72"/>
      <c r="G6094" s="72"/>
    </row>
    <row r="6095" spans="1:7" ht="14.5" hidden="1">
      <c r="A6095" s="5"/>
      <c r="B6095" s="18"/>
      <c r="C6095" s="85"/>
      <c r="D6095" s="41"/>
      <c r="E6095" s="26" t="str">
        <f ca="1">IFERROR(__xludf.DUMMYFUNCTION("""COMPUTED_VALUE"""),"")</f>
        <v/>
      </c>
      <c r="F6095" s="72"/>
      <c r="G6095" s="72"/>
    </row>
    <row r="6096" spans="1:7" ht="14.5" hidden="1">
      <c r="A6096" s="5"/>
      <c r="B6096" s="18"/>
      <c r="C6096" s="85"/>
      <c r="D6096" s="41"/>
      <c r="E6096" s="26" t="str">
        <f ca="1">IFERROR(__xludf.DUMMYFUNCTION("""COMPUTED_VALUE"""),"")</f>
        <v/>
      </c>
      <c r="F6096" s="72"/>
      <c r="G6096" s="72"/>
    </row>
    <row r="6097" spans="1:7" ht="14.5" hidden="1">
      <c r="A6097" s="5"/>
      <c r="B6097" s="18"/>
      <c r="C6097" s="85"/>
      <c r="D6097" s="41"/>
      <c r="E6097" s="26" t="str">
        <f ca="1">IFERROR(__xludf.DUMMYFUNCTION("""COMPUTED_VALUE"""),"")</f>
        <v/>
      </c>
      <c r="F6097" s="72"/>
      <c r="G6097" s="72"/>
    </row>
    <row r="6098" spans="1:7" ht="14.5" hidden="1">
      <c r="A6098" s="5"/>
      <c r="B6098" s="18"/>
      <c r="C6098" s="85"/>
      <c r="D6098" s="41"/>
      <c r="E6098" s="26" t="str">
        <f ca="1">IFERROR(__xludf.DUMMYFUNCTION("""COMPUTED_VALUE"""),"")</f>
        <v/>
      </c>
      <c r="F6098" s="72"/>
      <c r="G6098" s="72"/>
    </row>
    <row r="6099" spans="1:7" ht="14.5" hidden="1">
      <c r="A6099" s="5"/>
      <c r="B6099" s="18"/>
      <c r="C6099" s="85"/>
      <c r="D6099" s="41"/>
      <c r="E6099" s="26" t="str">
        <f ca="1">IFERROR(__xludf.DUMMYFUNCTION("""COMPUTED_VALUE"""),"")</f>
        <v/>
      </c>
      <c r="F6099" s="72"/>
      <c r="G6099" s="72"/>
    </row>
    <row r="6100" spans="1:7" ht="14.5" hidden="1">
      <c r="A6100" s="5"/>
      <c r="B6100" s="18"/>
      <c r="C6100" s="85"/>
      <c r="D6100" s="41"/>
      <c r="E6100" s="26" t="str">
        <f ca="1">IFERROR(__xludf.DUMMYFUNCTION("""COMPUTED_VALUE"""),"")</f>
        <v/>
      </c>
      <c r="F6100" s="72"/>
      <c r="G6100" s="72"/>
    </row>
    <row r="6101" spans="1:7" ht="14.5" hidden="1">
      <c r="A6101" s="5"/>
      <c r="B6101" s="18"/>
      <c r="C6101" s="85"/>
      <c r="D6101" s="41"/>
      <c r="E6101" s="26" t="str">
        <f ca="1">IFERROR(__xludf.DUMMYFUNCTION("""COMPUTED_VALUE"""),"")</f>
        <v/>
      </c>
      <c r="F6101" s="72"/>
      <c r="G6101" s="72"/>
    </row>
    <row r="6102" spans="1:7" ht="14.5" hidden="1">
      <c r="A6102" s="5"/>
      <c r="B6102" s="18"/>
      <c r="C6102" s="85"/>
      <c r="D6102" s="41"/>
      <c r="E6102" s="26" t="str">
        <f ca="1">IFERROR(__xludf.DUMMYFUNCTION("""COMPUTED_VALUE"""),"")</f>
        <v/>
      </c>
      <c r="F6102" s="72"/>
      <c r="G6102" s="72"/>
    </row>
    <row r="6103" spans="1:7" ht="14.5" hidden="1">
      <c r="A6103" s="5"/>
      <c r="B6103" s="18"/>
      <c r="C6103" s="85"/>
      <c r="D6103" s="41"/>
      <c r="E6103" s="26" t="str">
        <f ca="1">IFERROR(__xludf.DUMMYFUNCTION("""COMPUTED_VALUE"""),"")</f>
        <v/>
      </c>
      <c r="F6103" s="72"/>
      <c r="G6103" s="72"/>
    </row>
    <row r="6104" spans="1:7" ht="14.5" hidden="1">
      <c r="A6104" s="5"/>
      <c r="B6104" s="18"/>
      <c r="C6104" s="85"/>
      <c r="D6104" s="41"/>
      <c r="E6104" s="26" t="str">
        <f ca="1">IFERROR(__xludf.DUMMYFUNCTION("""COMPUTED_VALUE"""),"")</f>
        <v/>
      </c>
      <c r="F6104" s="72"/>
      <c r="G6104" s="72"/>
    </row>
    <row r="6105" spans="1:7" ht="14.5" hidden="1">
      <c r="A6105" s="5"/>
      <c r="B6105" s="18"/>
      <c r="C6105" s="85"/>
      <c r="D6105" s="41"/>
      <c r="E6105" s="26" t="str">
        <f ca="1">IFERROR(__xludf.DUMMYFUNCTION("""COMPUTED_VALUE"""),"")</f>
        <v/>
      </c>
      <c r="F6105" s="72"/>
      <c r="G6105" s="72"/>
    </row>
    <row r="6106" spans="1:7" ht="14.5" hidden="1">
      <c r="A6106" s="5"/>
      <c r="B6106" s="18"/>
      <c r="C6106" s="85"/>
      <c r="D6106" s="41"/>
      <c r="E6106" s="26" t="str">
        <f ca="1">IFERROR(__xludf.DUMMYFUNCTION("""COMPUTED_VALUE"""),"")</f>
        <v/>
      </c>
      <c r="F6106" s="72"/>
      <c r="G6106" s="72"/>
    </row>
    <row r="6107" spans="1:7" ht="14.5" hidden="1">
      <c r="A6107" s="5"/>
      <c r="B6107" s="18"/>
      <c r="C6107" s="85"/>
      <c r="D6107" s="41"/>
      <c r="E6107" s="26" t="str">
        <f ca="1">IFERROR(__xludf.DUMMYFUNCTION("""COMPUTED_VALUE"""),"")</f>
        <v/>
      </c>
      <c r="F6107" s="72"/>
      <c r="G6107" s="72"/>
    </row>
    <row r="6108" spans="1:7" ht="14.5" hidden="1">
      <c r="A6108" s="5"/>
      <c r="B6108" s="18"/>
      <c r="C6108" s="85"/>
      <c r="D6108" s="41"/>
      <c r="E6108" s="26" t="str">
        <f ca="1">IFERROR(__xludf.DUMMYFUNCTION("""COMPUTED_VALUE"""),"")</f>
        <v/>
      </c>
      <c r="F6108" s="72"/>
      <c r="G6108" s="72"/>
    </row>
    <row r="6109" spans="1:7" ht="14.5" hidden="1">
      <c r="A6109" s="5"/>
      <c r="B6109" s="18"/>
      <c r="C6109" s="85"/>
      <c r="D6109" s="41"/>
      <c r="E6109" s="26" t="str">
        <f ca="1">IFERROR(__xludf.DUMMYFUNCTION("""COMPUTED_VALUE"""),"")</f>
        <v/>
      </c>
      <c r="F6109" s="72"/>
      <c r="G6109" s="72"/>
    </row>
    <row r="6110" spans="1:7" ht="14.5" hidden="1">
      <c r="A6110" s="5"/>
      <c r="B6110" s="18"/>
      <c r="C6110" s="85"/>
      <c r="D6110" s="41"/>
      <c r="E6110" s="26" t="str">
        <f ca="1">IFERROR(__xludf.DUMMYFUNCTION("""COMPUTED_VALUE"""),"")</f>
        <v/>
      </c>
      <c r="F6110" s="72"/>
      <c r="G6110" s="72"/>
    </row>
    <row r="6111" spans="1:7" ht="14.5" hidden="1">
      <c r="A6111" s="5"/>
      <c r="B6111" s="18"/>
      <c r="C6111" s="85"/>
      <c r="D6111" s="41"/>
      <c r="E6111" s="26" t="str">
        <f ca="1">IFERROR(__xludf.DUMMYFUNCTION("""COMPUTED_VALUE"""),"")</f>
        <v/>
      </c>
      <c r="F6111" s="72"/>
      <c r="G6111" s="72"/>
    </row>
    <row r="6112" spans="1:7" ht="14.5" hidden="1">
      <c r="A6112" s="5"/>
      <c r="B6112" s="18"/>
      <c r="C6112" s="85"/>
      <c r="D6112" s="41"/>
      <c r="E6112" s="26" t="str">
        <f ca="1">IFERROR(__xludf.DUMMYFUNCTION("""COMPUTED_VALUE"""),"")</f>
        <v/>
      </c>
      <c r="F6112" s="72"/>
      <c r="G6112" s="72"/>
    </row>
    <row r="6113" spans="1:7" ht="14.5" hidden="1">
      <c r="A6113" s="5"/>
      <c r="B6113" s="18"/>
      <c r="C6113" s="85"/>
      <c r="D6113" s="41"/>
      <c r="E6113" s="26" t="str">
        <f ca="1">IFERROR(__xludf.DUMMYFUNCTION("""COMPUTED_VALUE"""),"")</f>
        <v/>
      </c>
      <c r="F6113" s="72"/>
      <c r="G6113" s="72"/>
    </row>
    <row r="6114" spans="1:7" ht="14.5" hidden="1">
      <c r="A6114" s="5"/>
      <c r="B6114" s="18"/>
      <c r="C6114" s="85"/>
      <c r="D6114" s="41"/>
      <c r="E6114" s="26" t="str">
        <f ca="1">IFERROR(__xludf.DUMMYFUNCTION("""COMPUTED_VALUE"""),"")</f>
        <v/>
      </c>
      <c r="F6114" s="72"/>
      <c r="G6114" s="72"/>
    </row>
    <row r="6115" spans="1:7" ht="14.5" hidden="1">
      <c r="A6115" s="5"/>
      <c r="B6115" s="18"/>
      <c r="C6115" s="85"/>
      <c r="D6115" s="41"/>
      <c r="E6115" s="26" t="str">
        <f ca="1">IFERROR(__xludf.DUMMYFUNCTION("""COMPUTED_VALUE"""),"")</f>
        <v/>
      </c>
      <c r="F6115" s="72"/>
      <c r="G6115" s="72"/>
    </row>
    <row r="6116" spans="1:7" ht="14.5" hidden="1">
      <c r="A6116" s="5"/>
      <c r="B6116" s="18"/>
      <c r="C6116" s="85"/>
      <c r="D6116" s="41"/>
      <c r="E6116" s="26" t="str">
        <f ca="1">IFERROR(__xludf.DUMMYFUNCTION("""COMPUTED_VALUE"""),"")</f>
        <v/>
      </c>
      <c r="F6116" s="72"/>
      <c r="G6116" s="72"/>
    </row>
    <row r="6117" spans="1:7" ht="14.5" hidden="1">
      <c r="A6117" s="5"/>
      <c r="B6117" s="18"/>
      <c r="C6117" s="85"/>
      <c r="D6117" s="41"/>
      <c r="E6117" s="26" t="str">
        <f ca="1">IFERROR(__xludf.DUMMYFUNCTION("""COMPUTED_VALUE"""),"")</f>
        <v/>
      </c>
      <c r="F6117" s="72"/>
      <c r="G6117" s="72"/>
    </row>
    <row r="6118" spans="1:7" ht="14.5" hidden="1">
      <c r="A6118" s="5"/>
      <c r="B6118" s="18"/>
      <c r="C6118" s="85"/>
      <c r="D6118" s="41"/>
      <c r="E6118" s="26" t="str">
        <f ca="1">IFERROR(__xludf.DUMMYFUNCTION("""COMPUTED_VALUE"""),"")</f>
        <v/>
      </c>
      <c r="F6118" s="72"/>
      <c r="G6118" s="72"/>
    </row>
    <row r="6119" spans="1:7" ht="14.5" hidden="1">
      <c r="A6119" s="5"/>
      <c r="B6119" s="18"/>
      <c r="C6119" s="85"/>
      <c r="D6119" s="41"/>
      <c r="E6119" s="26" t="str">
        <f ca="1">IFERROR(__xludf.DUMMYFUNCTION("""COMPUTED_VALUE"""),"")</f>
        <v/>
      </c>
      <c r="F6119" s="72"/>
      <c r="G6119" s="72"/>
    </row>
    <row r="6120" spans="1:7" ht="14.5" hidden="1">
      <c r="A6120" s="5"/>
      <c r="B6120" s="18"/>
      <c r="C6120" s="85"/>
      <c r="D6120" s="41"/>
      <c r="E6120" s="26" t="str">
        <f ca="1">IFERROR(__xludf.DUMMYFUNCTION("""COMPUTED_VALUE"""),"")</f>
        <v/>
      </c>
      <c r="F6120" s="72"/>
      <c r="G6120" s="72"/>
    </row>
    <row r="6121" spans="1:7" ht="14.5" hidden="1">
      <c r="A6121" s="5"/>
      <c r="B6121" s="18"/>
      <c r="C6121" s="85"/>
      <c r="D6121" s="41"/>
      <c r="E6121" s="26" t="str">
        <f ca="1">IFERROR(__xludf.DUMMYFUNCTION("""COMPUTED_VALUE"""),"")</f>
        <v/>
      </c>
      <c r="F6121" s="72"/>
      <c r="G6121" s="72"/>
    </row>
    <row r="6122" spans="1:7" ht="14.5" hidden="1">
      <c r="A6122" s="5"/>
      <c r="B6122" s="18"/>
      <c r="C6122" s="85"/>
      <c r="D6122" s="41"/>
      <c r="E6122" s="26" t="str">
        <f ca="1">IFERROR(__xludf.DUMMYFUNCTION("""COMPUTED_VALUE"""),"")</f>
        <v/>
      </c>
      <c r="F6122" s="72"/>
      <c r="G6122" s="72"/>
    </row>
    <row r="6123" spans="1:7" ht="14.5" hidden="1">
      <c r="A6123" s="5"/>
      <c r="B6123" s="18"/>
      <c r="C6123" s="85"/>
      <c r="D6123" s="41"/>
      <c r="E6123" s="26" t="str">
        <f ca="1">IFERROR(__xludf.DUMMYFUNCTION("""COMPUTED_VALUE"""),"")</f>
        <v/>
      </c>
      <c r="F6123" s="72"/>
      <c r="G6123" s="72"/>
    </row>
    <row r="6124" spans="1:7" ht="14.5" hidden="1">
      <c r="A6124" s="5"/>
      <c r="B6124" s="18"/>
      <c r="C6124" s="85"/>
      <c r="D6124" s="41"/>
      <c r="E6124" s="26" t="str">
        <f ca="1">IFERROR(__xludf.DUMMYFUNCTION("""COMPUTED_VALUE"""),"")</f>
        <v/>
      </c>
      <c r="F6124" s="72"/>
      <c r="G6124" s="72"/>
    </row>
    <row r="6125" spans="1:7" ht="14.5" hidden="1">
      <c r="A6125" s="5"/>
      <c r="B6125" s="18"/>
      <c r="C6125" s="85"/>
      <c r="D6125" s="41"/>
      <c r="E6125" s="26" t="str">
        <f ca="1">IFERROR(__xludf.DUMMYFUNCTION("""COMPUTED_VALUE"""),"")</f>
        <v/>
      </c>
      <c r="F6125" s="72"/>
      <c r="G6125" s="72"/>
    </row>
    <row r="6126" spans="1:7" ht="14.5" hidden="1">
      <c r="A6126" s="5"/>
      <c r="B6126" s="18"/>
      <c r="C6126" s="85"/>
      <c r="D6126" s="41"/>
      <c r="E6126" s="26" t="str">
        <f ca="1">IFERROR(__xludf.DUMMYFUNCTION("""COMPUTED_VALUE"""),"")</f>
        <v/>
      </c>
      <c r="F6126" s="72"/>
      <c r="G6126" s="72"/>
    </row>
    <row r="6127" spans="1:7" ht="14.5" hidden="1">
      <c r="A6127" s="5"/>
      <c r="B6127" s="18"/>
      <c r="C6127" s="85"/>
      <c r="D6127" s="41"/>
      <c r="E6127" s="26" t="str">
        <f ca="1">IFERROR(__xludf.DUMMYFUNCTION("""COMPUTED_VALUE"""),"")</f>
        <v/>
      </c>
      <c r="F6127" s="72"/>
      <c r="G6127" s="72"/>
    </row>
    <row r="6128" spans="1:7" ht="14.5" hidden="1">
      <c r="A6128" s="5"/>
      <c r="B6128" s="18"/>
      <c r="C6128" s="85"/>
      <c r="D6128" s="41"/>
      <c r="E6128" s="26" t="str">
        <f ca="1">IFERROR(__xludf.DUMMYFUNCTION("""COMPUTED_VALUE"""),"")</f>
        <v/>
      </c>
      <c r="F6128" s="72"/>
      <c r="G6128" s="72"/>
    </row>
    <row r="6129" spans="1:7" ht="14.5" hidden="1">
      <c r="A6129" s="5"/>
      <c r="B6129" s="18"/>
      <c r="C6129" s="85"/>
      <c r="D6129" s="41"/>
      <c r="E6129" s="26" t="str">
        <f ca="1">IFERROR(__xludf.DUMMYFUNCTION("""COMPUTED_VALUE"""),"")</f>
        <v/>
      </c>
      <c r="F6129" s="72"/>
      <c r="G6129" s="72"/>
    </row>
    <row r="6130" spans="1:7" ht="14.5" hidden="1">
      <c r="A6130" s="5"/>
      <c r="B6130" s="18"/>
      <c r="C6130" s="85"/>
      <c r="D6130" s="41"/>
      <c r="E6130" s="26" t="str">
        <f ca="1">IFERROR(__xludf.DUMMYFUNCTION("""COMPUTED_VALUE"""),"")</f>
        <v/>
      </c>
      <c r="F6130" s="72"/>
      <c r="G6130" s="72"/>
    </row>
    <row r="6131" spans="1:7" ht="14.5" hidden="1">
      <c r="A6131" s="5"/>
      <c r="B6131" s="18"/>
      <c r="C6131" s="85"/>
      <c r="D6131" s="41"/>
      <c r="E6131" s="26" t="str">
        <f ca="1">IFERROR(__xludf.DUMMYFUNCTION("""COMPUTED_VALUE"""),"")</f>
        <v/>
      </c>
      <c r="F6131" s="72"/>
      <c r="G6131" s="72"/>
    </row>
    <row r="6132" spans="1:7" ht="14.5" hidden="1">
      <c r="A6132" s="5"/>
      <c r="B6132" s="18"/>
      <c r="C6132" s="85"/>
      <c r="D6132" s="41"/>
      <c r="E6132" s="26" t="str">
        <f ca="1">IFERROR(__xludf.DUMMYFUNCTION("""COMPUTED_VALUE"""),"")</f>
        <v/>
      </c>
      <c r="F6132" s="72"/>
      <c r="G6132" s="72"/>
    </row>
    <row r="6133" spans="1:7" ht="14.5" hidden="1">
      <c r="A6133" s="5"/>
      <c r="B6133" s="18"/>
      <c r="C6133" s="85"/>
      <c r="D6133" s="41"/>
      <c r="E6133" s="26" t="str">
        <f ca="1">IFERROR(__xludf.DUMMYFUNCTION("""COMPUTED_VALUE"""),"")</f>
        <v/>
      </c>
      <c r="F6133" s="72"/>
      <c r="G6133" s="72"/>
    </row>
    <row r="6134" spans="1:7" ht="14.5" hidden="1">
      <c r="A6134" s="5"/>
      <c r="B6134" s="18"/>
      <c r="C6134" s="85"/>
      <c r="D6134" s="41"/>
      <c r="E6134" s="26" t="str">
        <f ca="1">IFERROR(__xludf.DUMMYFUNCTION("""COMPUTED_VALUE"""),"")</f>
        <v/>
      </c>
      <c r="F6134" s="72"/>
      <c r="G6134" s="72"/>
    </row>
    <row r="6135" spans="1:7" ht="14.5" hidden="1">
      <c r="A6135" s="5"/>
      <c r="B6135" s="18"/>
      <c r="C6135" s="85"/>
      <c r="D6135" s="41"/>
      <c r="E6135" s="26" t="str">
        <f ca="1">IFERROR(__xludf.DUMMYFUNCTION("""COMPUTED_VALUE"""),"")</f>
        <v/>
      </c>
      <c r="F6135" s="72"/>
      <c r="G6135" s="72"/>
    </row>
    <row r="6136" spans="1:7" ht="14.5" hidden="1">
      <c r="A6136" s="5"/>
      <c r="B6136" s="18"/>
      <c r="C6136" s="85"/>
      <c r="D6136" s="41"/>
      <c r="E6136" s="26" t="str">
        <f ca="1">IFERROR(__xludf.DUMMYFUNCTION("""COMPUTED_VALUE"""),"")</f>
        <v/>
      </c>
      <c r="F6136" s="72"/>
      <c r="G6136" s="72"/>
    </row>
    <row r="6137" spans="1:7" ht="14.5" hidden="1">
      <c r="A6137" s="5"/>
      <c r="B6137" s="18"/>
      <c r="C6137" s="85"/>
      <c r="D6137" s="41"/>
      <c r="E6137" s="26" t="str">
        <f ca="1">IFERROR(__xludf.DUMMYFUNCTION("""COMPUTED_VALUE"""),"")</f>
        <v/>
      </c>
      <c r="F6137" s="72"/>
      <c r="G6137" s="72"/>
    </row>
    <row r="6138" spans="1:7" ht="14.5" hidden="1">
      <c r="A6138" s="5"/>
      <c r="B6138" s="18"/>
      <c r="C6138" s="85"/>
      <c r="D6138" s="41"/>
      <c r="E6138" s="26" t="str">
        <f ca="1">IFERROR(__xludf.DUMMYFUNCTION("""COMPUTED_VALUE"""),"")</f>
        <v/>
      </c>
      <c r="F6138" s="72"/>
      <c r="G6138" s="72"/>
    </row>
    <row r="6139" spans="1:7" ht="14.5" hidden="1">
      <c r="A6139" s="5"/>
      <c r="B6139" s="18"/>
      <c r="C6139" s="85"/>
      <c r="D6139" s="41"/>
      <c r="E6139" s="26" t="str">
        <f ca="1">IFERROR(__xludf.DUMMYFUNCTION("""COMPUTED_VALUE"""),"")</f>
        <v/>
      </c>
      <c r="F6139" s="72"/>
      <c r="G6139" s="72"/>
    </row>
    <row r="6140" spans="1:7" ht="14.5" hidden="1">
      <c r="A6140" s="5"/>
      <c r="B6140" s="18"/>
      <c r="C6140" s="85"/>
      <c r="D6140" s="41"/>
      <c r="E6140" s="26" t="str">
        <f ca="1">IFERROR(__xludf.DUMMYFUNCTION("""COMPUTED_VALUE"""),"")</f>
        <v/>
      </c>
      <c r="F6140" s="72"/>
      <c r="G6140" s="72"/>
    </row>
    <row r="6141" spans="1:7" ht="14.5" hidden="1">
      <c r="A6141" s="5"/>
      <c r="B6141" s="18"/>
      <c r="C6141" s="85"/>
      <c r="D6141" s="41"/>
      <c r="E6141" s="26" t="str">
        <f ca="1">IFERROR(__xludf.DUMMYFUNCTION("""COMPUTED_VALUE"""),"")</f>
        <v/>
      </c>
      <c r="F6141" s="72"/>
      <c r="G6141" s="72"/>
    </row>
    <row r="6142" spans="1:7" ht="14.5" hidden="1">
      <c r="A6142" s="5"/>
      <c r="B6142" s="18"/>
      <c r="C6142" s="85"/>
      <c r="D6142" s="41"/>
      <c r="E6142" s="26" t="str">
        <f ca="1">IFERROR(__xludf.DUMMYFUNCTION("""COMPUTED_VALUE"""),"")</f>
        <v/>
      </c>
      <c r="F6142" s="72"/>
      <c r="G6142" s="72"/>
    </row>
    <row r="6143" spans="1:7" ht="14.5" hidden="1">
      <c r="A6143" s="5"/>
      <c r="B6143" s="18"/>
      <c r="C6143" s="85"/>
      <c r="D6143" s="41"/>
      <c r="E6143" s="26" t="str">
        <f ca="1">IFERROR(__xludf.DUMMYFUNCTION("""COMPUTED_VALUE"""),"")</f>
        <v/>
      </c>
      <c r="F6143" s="72"/>
      <c r="G6143" s="72"/>
    </row>
    <row r="6144" spans="1:7" ht="14.5" hidden="1">
      <c r="A6144" s="5"/>
      <c r="B6144" s="18"/>
      <c r="C6144" s="85"/>
      <c r="D6144" s="41"/>
      <c r="E6144" s="26" t="str">
        <f ca="1">IFERROR(__xludf.DUMMYFUNCTION("""COMPUTED_VALUE"""),"")</f>
        <v/>
      </c>
      <c r="F6144" s="72"/>
      <c r="G6144" s="72"/>
    </row>
    <row r="6145" spans="1:7" ht="14.5" hidden="1">
      <c r="A6145" s="5"/>
      <c r="B6145" s="18"/>
      <c r="C6145" s="85"/>
      <c r="D6145" s="41"/>
      <c r="E6145" s="26" t="str">
        <f ca="1">IFERROR(__xludf.DUMMYFUNCTION("""COMPUTED_VALUE"""),"")</f>
        <v/>
      </c>
      <c r="F6145" s="72"/>
      <c r="G6145" s="72"/>
    </row>
    <row r="6146" spans="1:7" ht="14.5" hidden="1">
      <c r="A6146" s="5"/>
      <c r="B6146" s="18"/>
      <c r="C6146" s="85"/>
      <c r="D6146" s="41"/>
      <c r="E6146" s="26" t="str">
        <f ca="1">IFERROR(__xludf.DUMMYFUNCTION("""COMPUTED_VALUE"""),"")</f>
        <v/>
      </c>
      <c r="F6146" s="72"/>
      <c r="G6146" s="72"/>
    </row>
    <row r="6147" spans="1:7" ht="14.5" hidden="1">
      <c r="A6147" s="5"/>
      <c r="B6147" s="18"/>
      <c r="C6147" s="85"/>
      <c r="D6147" s="41"/>
      <c r="E6147" s="26" t="str">
        <f ca="1">IFERROR(__xludf.DUMMYFUNCTION("""COMPUTED_VALUE"""),"")</f>
        <v/>
      </c>
      <c r="F6147" s="72"/>
      <c r="G6147" s="72"/>
    </row>
    <row r="6148" spans="1:7" ht="14.5" hidden="1">
      <c r="A6148" s="5"/>
      <c r="B6148" s="18"/>
      <c r="C6148" s="85"/>
      <c r="D6148" s="41"/>
      <c r="E6148" s="26" t="str">
        <f ca="1">IFERROR(__xludf.DUMMYFUNCTION("""COMPUTED_VALUE"""),"")</f>
        <v/>
      </c>
      <c r="F6148" s="72"/>
      <c r="G6148" s="72"/>
    </row>
    <row r="6149" spans="1:7" ht="14.5" hidden="1">
      <c r="A6149" s="5"/>
      <c r="B6149" s="18"/>
      <c r="C6149" s="85"/>
      <c r="D6149" s="41"/>
      <c r="E6149" s="26" t="str">
        <f ca="1">IFERROR(__xludf.DUMMYFUNCTION("""COMPUTED_VALUE"""),"")</f>
        <v/>
      </c>
      <c r="F6149" s="72"/>
      <c r="G6149" s="72"/>
    </row>
    <row r="6150" spans="1:7" ht="14.5" hidden="1">
      <c r="A6150" s="5"/>
      <c r="B6150" s="18"/>
      <c r="C6150" s="85"/>
      <c r="D6150" s="41"/>
      <c r="E6150" s="26" t="str">
        <f ca="1">IFERROR(__xludf.DUMMYFUNCTION("""COMPUTED_VALUE"""),"")</f>
        <v/>
      </c>
      <c r="F6150" s="72"/>
      <c r="G6150" s="72"/>
    </row>
    <row r="6151" spans="1:7" ht="14.5" hidden="1">
      <c r="A6151" s="5"/>
      <c r="B6151" s="18"/>
      <c r="C6151" s="85"/>
      <c r="D6151" s="41"/>
      <c r="E6151" s="26" t="str">
        <f ca="1">IFERROR(__xludf.DUMMYFUNCTION("""COMPUTED_VALUE"""),"")</f>
        <v/>
      </c>
      <c r="F6151" s="72"/>
      <c r="G6151" s="72"/>
    </row>
    <row r="6152" spans="1:7" ht="14.5" hidden="1">
      <c r="A6152" s="5"/>
      <c r="B6152" s="18"/>
      <c r="C6152" s="85"/>
      <c r="D6152" s="41"/>
      <c r="E6152" s="26" t="str">
        <f ca="1">IFERROR(__xludf.DUMMYFUNCTION("""COMPUTED_VALUE"""),"")</f>
        <v/>
      </c>
      <c r="F6152" s="72"/>
      <c r="G6152" s="72"/>
    </row>
    <row r="6153" spans="1:7" ht="14.5" hidden="1">
      <c r="A6153" s="5"/>
      <c r="B6153" s="18"/>
      <c r="C6153" s="85"/>
      <c r="D6153" s="41"/>
      <c r="E6153" s="26" t="str">
        <f ca="1">IFERROR(__xludf.DUMMYFUNCTION("""COMPUTED_VALUE"""),"")</f>
        <v/>
      </c>
      <c r="F6153" s="72"/>
      <c r="G6153" s="72"/>
    </row>
    <row r="6154" spans="1:7" ht="14.5" hidden="1">
      <c r="A6154" s="5"/>
      <c r="B6154" s="18"/>
      <c r="C6154" s="85"/>
      <c r="D6154" s="41"/>
      <c r="E6154" s="26" t="str">
        <f ca="1">IFERROR(__xludf.DUMMYFUNCTION("""COMPUTED_VALUE"""),"")</f>
        <v/>
      </c>
      <c r="F6154" s="72"/>
      <c r="G6154" s="72"/>
    </row>
    <row r="6155" spans="1:7" ht="14.5" hidden="1">
      <c r="A6155" s="5"/>
      <c r="B6155" s="18"/>
      <c r="C6155" s="85"/>
      <c r="D6155" s="41"/>
      <c r="E6155" s="26" t="str">
        <f ca="1">IFERROR(__xludf.DUMMYFUNCTION("""COMPUTED_VALUE"""),"")</f>
        <v/>
      </c>
      <c r="F6155" s="72"/>
      <c r="G6155" s="72"/>
    </row>
    <row r="6156" spans="1:7" ht="14.5" hidden="1">
      <c r="A6156" s="5"/>
      <c r="B6156" s="18"/>
      <c r="C6156" s="85"/>
      <c r="D6156" s="41"/>
      <c r="E6156" s="26" t="str">
        <f ca="1">IFERROR(__xludf.DUMMYFUNCTION("""COMPUTED_VALUE"""),"")</f>
        <v/>
      </c>
      <c r="F6156" s="72"/>
      <c r="G6156" s="72"/>
    </row>
    <row r="6157" spans="1:7" ht="14.5" hidden="1">
      <c r="A6157" s="5"/>
      <c r="B6157" s="18"/>
      <c r="C6157" s="85"/>
      <c r="D6157" s="41"/>
      <c r="E6157" s="26" t="str">
        <f ca="1">IFERROR(__xludf.DUMMYFUNCTION("""COMPUTED_VALUE"""),"")</f>
        <v/>
      </c>
      <c r="F6157" s="72"/>
      <c r="G6157" s="72"/>
    </row>
    <row r="6158" spans="1:7" ht="14.5" hidden="1">
      <c r="A6158" s="5"/>
      <c r="B6158" s="18"/>
      <c r="C6158" s="85"/>
      <c r="D6158" s="41"/>
      <c r="E6158" s="26" t="str">
        <f ca="1">IFERROR(__xludf.DUMMYFUNCTION("""COMPUTED_VALUE"""),"")</f>
        <v/>
      </c>
      <c r="F6158" s="72"/>
      <c r="G6158" s="72"/>
    </row>
    <row r="6159" spans="1:7" ht="14.5" hidden="1">
      <c r="A6159" s="5"/>
      <c r="B6159" s="18"/>
      <c r="C6159" s="85"/>
      <c r="D6159" s="41"/>
      <c r="E6159" s="26" t="str">
        <f ca="1">IFERROR(__xludf.DUMMYFUNCTION("""COMPUTED_VALUE"""),"")</f>
        <v/>
      </c>
      <c r="F6159" s="72"/>
      <c r="G6159" s="72"/>
    </row>
    <row r="6160" spans="1:7" ht="14.5" hidden="1">
      <c r="A6160" s="5"/>
      <c r="B6160" s="18"/>
      <c r="C6160" s="85"/>
      <c r="D6160" s="41"/>
      <c r="E6160" s="26" t="str">
        <f ca="1">IFERROR(__xludf.DUMMYFUNCTION("""COMPUTED_VALUE"""),"")</f>
        <v/>
      </c>
      <c r="F6160" s="72"/>
      <c r="G6160" s="72"/>
    </row>
    <row r="6161" spans="1:7" ht="14.5" hidden="1">
      <c r="A6161" s="5"/>
      <c r="B6161" s="18"/>
      <c r="C6161" s="85"/>
      <c r="D6161" s="41"/>
      <c r="E6161" s="26" t="str">
        <f ca="1">IFERROR(__xludf.DUMMYFUNCTION("""COMPUTED_VALUE"""),"")</f>
        <v/>
      </c>
      <c r="F6161" s="72"/>
      <c r="G6161" s="72"/>
    </row>
    <row r="6162" spans="1:7" ht="14.5" hidden="1">
      <c r="A6162" s="5"/>
      <c r="B6162" s="18"/>
      <c r="C6162" s="85"/>
      <c r="D6162" s="41"/>
      <c r="E6162" s="26" t="str">
        <f ca="1">IFERROR(__xludf.DUMMYFUNCTION("""COMPUTED_VALUE"""),"")</f>
        <v/>
      </c>
      <c r="F6162" s="72"/>
      <c r="G6162" s="72"/>
    </row>
    <row r="6163" spans="1:7" ht="14.5" hidden="1">
      <c r="A6163" s="5"/>
      <c r="B6163" s="18"/>
      <c r="C6163" s="85"/>
      <c r="D6163" s="41"/>
      <c r="E6163" s="26" t="str">
        <f ca="1">IFERROR(__xludf.DUMMYFUNCTION("""COMPUTED_VALUE"""),"")</f>
        <v/>
      </c>
      <c r="F6163" s="72"/>
      <c r="G6163" s="72"/>
    </row>
    <row r="6164" spans="1:7" ht="14.5" hidden="1">
      <c r="A6164" s="5"/>
      <c r="B6164" s="18"/>
      <c r="C6164" s="85"/>
      <c r="D6164" s="41"/>
      <c r="E6164" s="26" t="str">
        <f ca="1">IFERROR(__xludf.DUMMYFUNCTION("""COMPUTED_VALUE"""),"")</f>
        <v/>
      </c>
      <c r="F6164" s="72"/>
      <c r="G6164" s="72"/>
    </row>
    <row r="6165" spans="1:7" ht="14.5" hidden="1">
      <c r="A6165" s="5"/>
      <c r="B6165" s="18"/>
      <c r="C6165" s="85"/>
      <c r="D6165" s="41"/>
      <c r="E6165" s="26" t="str">
        <f ca="1">IFERROR(__xludf.DUMMYFUNCTION("""COMPUTED_VALUE"""),"")</f>
        <v/>
      </c>
      <c r="F6165" s="72"/>
      <c r="G6165" s="72"/>
    </row>
    <row r="6166" spans="1:7" ht="14.5" hidden="1">
      <c r="A6166" s="5"/>
      <c r="B6166" s="18"/>
      <c r="C6166" s="85"/>
      <c r="D6166" s="41"/>
      <c r="E6166" s="26" t="str">
        <f ca="1">IFERROR(__xludf.DUMMYFUNCTION("""COMPUTED_VALUE"""),"")</f>
        <v/>
      </c>
      <c r="F6166" s="72"/>
      <c r="G6166" s="72"/>
    </row>
    <row r="6167" spans="1:7" ht="14.5" hidden="1">
      <c r="A6167" s="5"/>
      <c r="B6167" s="18"/>
      <c r="C6167" s="85"/>
      <c r="D6167" s="41"/>
      <c r="E6167" s="26" t="str">
        <f ca="1">IFERROR(__xludf.DUMMYFUNCTION("""COMPUTED_VALUE"""),"")</f>
        <v/>
      </c>
      <c r="F6167" s="72"/>
      <c r="G6167" s="72"/>
    </row>
    <row r="6168" spans="1:7" ht="14.5" hidden="1">
      <c r="A6168" s="5"/>
      <c r="B6168" s="18"/>
      <c r="C6168" s="85"/>
      <c r="D6168" s="41"/>
      <c r="E6168" s="26" t="str">
        <f ca="1">IFERROR(__xludf.DUMMYFUNCTION("""COMPUTED_VALUE"""),"")</f>
        <v/>
      </c>
      <c r="F6168" s="72"/>
      <c r="G6168" s="72"/>
    </row>
    <row r="6169" spans="1:7" ht="14.5" hidden="1">
      <c r="A6169" s="5"/>
      <c r="B6169" s="18"/>
      <c r="C6169" s="85"/>
      <c r="D6169" s="41"/>
      <c r="E6169" s="26" t="str">
        <f ca="1">IFERROR(__xludf.DUMMYFUNCTION("""COMPUTED_VALUE"""),"")</f>
        <v/>
      </c>
      <c r="F6169" s="72"/>
      <c r="G6169" s="72"/>
    </row>
    <row r="6170" spans="1:7" ht="14.5" hidden="1">
      <c r="A6170" s="5"/>
      <c r="B6170" s="18"/>
      <c r="C6170" s="85"/>
      <c r="D6170" s="41"/>
      <c r="E6170" s="26" t="str">
        <f ca="1">IFERROR(__xludf.DUMMYFUNCTION("""COMPUTED_VALUE"""),"")</f>
        <v/>
      </c>
      <c r="F6170" s="72"/>
      <c r="G6170" s="72"/>
    </row>
    <row r="6171" spans="1:7" ht="14.5" hidden="1">
      <c r="A6171" s="5"/>
      <c r="B6171" s="18"/>
      <c r="C6171" s="85"/>
      <c r="D6171" s="41"/>
      <c r="E6171" s="26" t="str">
        <f ca="1">IFERROR(__xludf.DUMMYFUNCTION("""COMPUTED_VALUE"""),"")</f>
        <v/>
      </c>
      <c r="F6171" s="72"/>
      <c r="G6171" s="72"/>
    </row>
    <row r="6172" spans="1:7" ht="14.5" hidden="1">
      <c r="A6172" s="5"/>
      <c r="B6172" s="18"/>
      <c r="C6172" s="85"/>
      <c r="D6172" s="41"/>
      <c r="E6172" s="26" t="str">
        <f ca="1">IFERROR(__xludf.DUMMYFUNCTION("""COMPUTED_VALUE"""),"")</f>
        <v/>
      </c>
      <c r="F6172" s="72"/>
      <c r="G6172" s="72"/>
    </row>
    <row r="6173" spans="1:7" ht="14.5" hidden="1">
      <c r="A6173" s="5"/>
      <c r="B6173" s="18"/>
      <c r="C6173" s="85"/>
      <c r="D6173" s="41"/>
      <c r="E6173" s="26" t="str">
        <f ca="1">IFERROR(__xludf.DUMMYFUNCTION("""COMPUTED_VALUE"""),"")</f>
        <v/>
      </c>
      <c r="F6173" s="72"/>
      <c r="G6173" s="72"/>
    </row>
    <row r="6174" spans="1:7" ht="14.5" hidden="1">
      <c r="A6174" s="5"/>
      <c r="B6174" s="18"/>
      <c r="C6174" s="85"/>
      <c r="D6174" s="41"/>
      <c r="E6174" s="26" t="str">
        <f ca="1">IFERROR(__xludf.DUMMYFUNCTION("""COMPUTED_VALUE"""),"")</f>
        <v/>
      </c>
      <c r="F6174" s="72"/>
      <c r="G6174" s="72"/>
    </row>
    <row r="6175" spans="1:7" ht="14.5" hidden="1">
      <c r="A6175" s="5"/>
      <c r="B6175" s="18"/>
      <c r="C6175" s="85"/>
      <c r="D6175" s="41"/>
      <c r="E6175" s="26" t="str">
        <f ca="1">IFERROR(__xludf.DUMMYFUNCTION("""COMPUTED_VALUE"""),"")</f>
        <v/>
      </c>
      <c r="F6175" s="72"/>
      <c r="G6175" s="72"/>
    </row>
    <row r="6176" spans="1:7" ht="14.5" hidden="1">
      <c r="A6176" s="5"/>
      <c r="B6176" s="18"/>
      <c r="C6176" s="85"/>
      <c r="D6176" s="41"/>
      <c r="E6176" s="26" t="str">
        <f ca="1">IFERROR(__xludf.DUMMYFUNCTION("""COMPUTED_VALUE"""),"")</f>
        <v/>
      </c>
      <c r="F6176" s="72"/>
      <c r="G6176" s="72"/>
    </row>
    <row r="6177" spans="1:7" ht="14.5" hidden="1">
      <c r="A6177" s="5"/>
      <c r="B6177" s="18"/>
      <c r="C6177" s="85"/>
      <c r="D6177" s="41"/>
      <c r="E6177" s="26" t="str">
        <f ca="1">IFERROR(__xludf.DUMMYFUNCTION("""COMPUTED_VALUE"""),"")</f>
        <v/>
      </c>
      <c r="F6177" s="72"/>
      <c r="G6177" s="72"/>
    </row>
    <row r="6178" spans="1:7" ht="14.5" hidden="1">
      <c r="A6178" s="5"/>
      <c r="B6178" s="18"/>
      <c r="C6178" s="85"/>
      <c r="D6178" s="41"/>
      <c r="E6178" s="26" t="str">
        <f ca="1">IFERROR(__xludf.DUMMYFUNCTION("""COMPUTED_VALUE"""),"")</f>
        <v/>
      </c>
      <c r="F6178" s="72"/>
      <c r="G6178" s="72"/>
    </row>
    <row r="6179" spans="1:7" ht="14.5" hidden="1">
      <c r="A6179" s="5"/>
      <c r="B6179" s="18"/>
      <c r="C6179" s="85"/>
      <c r="D6179" s="41"/>
      <c r="E6179" s="26" t="str">
        <f ca="1">IFERROR(__xludf.DUMMYFUNCTION("""COMPUTED_VALUE"""),"")</f>
        <v/>
      </c>
      <c r="F6179" s="72"/>
      <c r="G6179" s="72"/>
    </row>
    <row r="6180" spans="1:7" ht="14.5" hidden="1">
      <c r="A6180" s="5"/>
      <c r="B6180" s="18"/>
      <c r="C6180" s="85"/>
      <c r="D6180" s="41"/>
      <c r="E6180" s="26" t="str">
        <f ca="1">IFERROR(__xludf.DUMMYFUNCTION("""COMPUTED_VALUE"""),"")</f>
        <v/>
      </c>
      <c r="F6180" s="72"/>
      <c r="G6180" s="72"/>
    </row>
    <row r="6181" spans="1:7" ht="14.5" hidden="1">
      <c r="A6181" s="5"/>
      <c r="B6181" s="18"/>
      <c r="C6181" s="85"/>
      <c r="D6181" s="41"/>
      <c r="E6181" s="26" t="str">
        <f ca="1">IFERROR(__xludf.DUMMYFUNCTION("""COMPUTED_VALUE"""),"")</f>
        <v/>
      </c>
      <c r="F6181" s="72"/>
      <c r="G6181" s="72"/>
    </row>
    <row r="6182" spans="1:7" ht="14.5" hidden="1">
      <c r="A6182" s="5"/>
      <c r="B6182" s="18"/>
      <c r="C6182" s="85"/>
      <c r="D6182" s="41"/>
      <c r="E6182" s="26" t="str">
        <f ca="1">IFERROR(__xludf.DUMMYFUNCTION("""COMPUTED_VALUE"""),"")</f>
        <v/>
      </c>
      <c r="F6182" s="72"/>
      <c r="G6182" s="72"/>
    </row>
    <row r="6183" spans="1:7" ht="14.5" hidden="1">
      <c r="A6183" s="5"/>
      <c r="B6183" s="18"/>
      <c r="C6183" s="85"/>
      <c r="D6183" s="41"/>
      <c r="E6183" s="26" t="str">
        <f ca="1">IFERROR(__xludf.DUMMYFUNCTION("""COMPUTED_VALUE"""),"")</f>
        <v/>
      </c>
      <c r="F6183" s="72"/>
      <c r="G6183" s="72"/>
    </row>
    <row r="6184" spans="1:7" ht="14.5" hidden="1">
      <c r="A6184" s="5"/>
      <c r="B6184" s="18"/>
      <c r="C6184" s="85"/>
      <c r="D6184" s="41"/>
      <c r="E6184" s="26" t="str">
        <f ca="1">IFERROR(__xludf.DUMMYFUNCTION("""COMPUTED_VALUE"""),"")</f>
        <v/>
      </c>
      <c r="F6184" s="72"/>
      <c r="G6184" s="72"/>
    </row>
    <row r="6185" spans="1:7" ht="14.5" hidden="1">
      <c r="A6185" s="5"/>
      <c r="B6185" s="18"/>
      <c r="C6185" s="85"/>
      <c r="D6185" s="41"/>
      <c r="E6185" s="26" t="str">
        <f ca="1">IFERROR(__xludf.DUMMYFUNCTION("""COMPUTED_VALUE"""),"")</f>
        <v/>
      </c>
      <c r="F6185" s="72"/>
      <c r="G6185" s="72"/>
    </row>
    <row r="6186" spans="1:7" ht="14.5" hidden="1">
      <c r="A6186" s="5"/>
      <c r="B6186" s="18"/>
      <c r="C6186" s="85"/>
      <c r="D6186" s="41"/>
      <c r="E6186" s="26" t="str">
        <f ca="1">IFERROR(__xludf.DUMMYFUNCTION("""COMPUTED_VALUE"""),"")</f>
        <v/>
      </c>
      <c r="F6186" s="72"/>
      <c r="G6186" s="72"/>
    </row>
    <row r="6187" spans="1:7" ht="14.5" hidden="1">
      <c r="A6187" s="5"/>
      <c r="B6187" s="18"/>
      <c r="C6187" s="85"/>
      <c r="D6187" s="41"/>
      <c r="E6187" s="26" t="str">
        <f ca="1">IFERROR(__xludf.DUMMYFUNCTION("""COMPUTED_VALUE"""),"")</f>
        <v/>
      </c>
      <c r="F6187" s="72"/>
      <c r="G6187" s="72"/>
    </row>
    <row r="6188" spans="1:7" ht="14.5" hidden="1">
      <c r="A6188" s="5"/>
      <c r="B6188" s="18"/>
      <c r="C6188" s="85"/>
      <c r="D6188" s="41"/>
      <c r="E6188" s="26" t="str">
        <f ca="1">IFERROR(__xludf.DUMMYFUNCTION("""COMPUTED_VALUE"""),"")</f>
        <v/>
      </c>
      <c r="F6188" s="72"/>
      <c r="G6188" s="72"/>
    </row>
    <row r="6189" spans="1:7" ht="14.5" hidden="1">
      <c r="A6189" s="5"/>
      <c r="B6189" s="18"/>
      <c r="C6189" s="85"/>
      <c r="D6189" s="41"/>
      <c r="E6189" s="26" t="str">
        <f ca="1">IFERROR(__xludf.DUMMYFUNCTION("""COMPUTED_VALUE"""),"")</f>
        <v/>
      </c>
      <c r="F6189" s="72"/>
      <c r="G6189" s="72"/>
    </row>
    <row r="6190" spans="1:7" ht="14.5" hidden="1">
      <c r="A6190" s="5"/>
      <c r="B6190" s="18"/>
      <c r="C6190" s="85"/>
      <c r="D6190" s="41"/>
      <c r="E6190" s="26" t="str">
        <f ca="1">IFERROR(__xludf.DUMMYFUNCTION("""COMPUTED_VALUE"""),"")</f>
        <v/>
      </c>
      <c r="F6190" s="72"/>
      <c r="G6190" s="72"/>
    </row>
    <row r="6191" spans="1:7" ht="14.5" hidden="1">
      <c r="A6191" s="5"/>
      <c r="B6191" s="18"/>
      <c r="C6191" s="85"/>
      <c r="D6191" s="41"/>
      <c r="E6191" s="26" t="str">
        <f ca="1">IFERROR(__xludf.DUMMYFUNCTION("""COMPUTED_VALUE"""),"")</f>
        <v/>
      </c>
      <c r="F6191" s="72"/>
      <c r="G6191" s="72"/>
    </row>
    <row r="6192" spans="1:7" ht="14.5" hidden="1">
      <c r="A6192" s="5"/>
      <c r="B6192" s="18"/>
      <c r="C6192" s="85"/>
      <c r="D6192" s="41"/>
      <c r="E6192" s="26" t="str">
        <f ca="1">IFERROR(__xludf.DUMMYFUNCTION("""COMPUTED_VALUE"""),"")</f>
        <v/>
      </c>
      <c r="F6192" s="72"/>
      <c r="G6192" s="72"/>
    </row>
    <row r="6193" spans="1:7" ht="14.5" hidden="1">
      <c r="A6193" s="5"/>
      <c r="B6193" s="18"/>
      <c r="C6193" s="85"/>
      <c r="D6193" s="41"/>
      <c r="E6193" s="26" t="str">
        <f ca="1">IFERROR(__xludf.DUMMYFUNCTION("""COMPUTED_VALUE"""),"")</f>
        <v/>
      </c>
      <c r="F6193" s="72"/>
      <c r="G6193" s="72"/>
    </row>
    <row r="6194" spans="1:7" ht="14.5" hidden="1">
      <c r="A6194" s="5"/>
      <c r="B6194" s="18"/>
      <c r="C6194" s="85"/>
      <c r="D6194" s="41"/>
      <c r="E6194" s="26" t="str">
        <f ca="1">IFERROR(__xludf.DUMMYFUNCTION("""COMPUTED_VALUE"""),"")</f>
        <v/>
      </c>
      <c r="F6194" s="72"/>
      <c r="G6194" s="72"/>
    </row>
    <row r="6195" spans="1:7" ht="14.5" hidden="1">
      <c r="A6195" s="5"/>
      <c r="B6195" s="18"/>
      <c r="C6195" s="85"/>
      <c r="D6195" s="41"/>
      <c r="E6195" s="26" t="str">
        <f ca="1">IFERROR(__xludf.DUMMYFUNCTION("""COMPUTED_VALUE"""),"")</f>
        <v/>
      </c>
      <c r="F6195" s="72"/>
      <c r="G6195" s="72"/>
    </row>
    <row r="6196" spans="1:7" ht="14.5" hidden="1">
      <c r="A6196" s="5"/>
      <c r="B6196" s="18"/>
      <c r="C6196" s="85"/>
      <c r="D6196" s="41"/>
      <c r="E6196" s="26" t="str">
        <f ca="1">IFERROR(__xludf.DUMMYFUNCTION("""COMPUTED_VALUE"""),"")</f>
        <v/>
      </c>
      <c r="F6196" s="72"/>
      <c r="G6196" s="72"/>
    </row>
    <row r="6197" spans="1:7" ht="14.5" hidden="1">
      <c r="A6197" s="5"/>
      <c r="B6197" s="18"/>
      <c r="C6197" s="85"/>
      <c r="D6197" s="41"/>
      <c r="E6197" s="26" t="str">
        <f ca="1">IFERROR(__xludf.DUMMYFUNCTION("""COMPUTED_VALUE"""),"")</f>
        <v/>
      </c>
      <c r="F6197" s="72"/>
      <c r="G6197" s="72"/>
    </row>
    <row r="6198" spans="1:7" ht="14.5" hidden="1">
      <c r="A6198" s="5"/>
      <c r="B6198" s="18"/>
      <c r="C6198" s="85"/>
      <c r="D6198" s="41"/>
      <c r="E6198" s="26" t="str">
        <f ca="1">IFERROR(__xludf.DUMMYFUNCTION("""COMPUTED_VALUE"""),"")</f>
        <v/>
      </c>
      <c r="F6198" s="72"/>
      <c r="G6198" s="72"/>
    </row>
    <row r="6199" spans="1:7" ht="14.5" hidden="1">
      <c r="A6199" s="5"/>
      <c r="B6199" s="18"/>
      <c r="C6199" s="85"/>
      <c r="D6199" s="41"/>
      <c r="E6199" s="26" t="str">
        <f ca="1">IFERROR(__xludf.DUMMYFUNCTION("""COMPUTED_VALUE"""),"")</f>
        <v/>
      </c>
      <c r="F6199" s="72"/>
      <c r="G6199" s="72"/>
    </row>
    <row r="6200" spans="1:7" ht="14.5" hidden="1">
      <c r="A6200" s="5"/>
      <c r="B6200" s="18"/>
      <c r="C6200" s="85"/>
      <c r="D6200" s="41"/>
      <c r="E6200" s="26" t="str">
        <f ca="1">IFERROR(__xludf.DUMMYFUNCTION("""COMPUTED_VALUE"""),"")</f>
        <v/>
      </c>
      <c r="F6200" s="72"/>
      <c r="G6200" s="72"/>
    </row>
    <row r="6201" spans="1:7" ht="14.5" hidden="1">
      <c r="A6201" s="5"/>
      <c r="B6201" s="18"/>
      <c r="C6201" s="85"/>
      <c r="D6201" s="41"/>
      <c r="E6201" s="26" t="str">
        <f ca="1">IFERROR(__xludf.DUMMYFUNCTION("""COMPUTED_VALUE"""),"")</f>
        <v/>
      </c>
      <c r="F6201" s="72"/>
      <c r="G6201" s="72"/>
    </row>
    <row r="6202" spans="1:7" ht="14.5" hidden="1">
      <c r="A6202" s="5"/>
      <c r="B6202" s="18"/>
      <c r="C6202" s="85"/>
      <c r="D6202" s="41"/>
      <c r="E6202" s="26" t="str">
        <f ca="1">IFERROR(__xludf.DUMMYFUNCTION("""COMPUTED_VALUE"""),"")</f>
        <v/>
      </c>
      <c r="F6202" s="72"/>
      <c r="G6202" s="72"/>
    </row>
    <row r="6203" spans="1:7" ht="14.5" hidden="1">
      <c r="A6203" s="5"/>
      <c r="B6203" s="18"/>
      <c r="C6203" s="85"/>
      <c r="D6203" s="41"/>
      <c r="E6203" s="26" t="str">
        <f ca="1">IFERROR(__xludf.DUMMYFUNCTION("""COMPUTED_VALUE"""),"")</f>
        <v/>
      </c>
      <c r="F6203" s="72"/>
      <c r="G6203" s="72"/>
    </row>
    <row r="6204" spans="1:7" ht="14.5" hidden="1">
      <c r="A6204" s="5"/>
      <c r="B6204" s="18"/>
      <c r="C6204" s="85"/>
      <c r="D6204" s="41"/>
      <c r="E6204" s="26" t="str">
        <f ca="1">IFERROR(__xludf.DUMMYFUNCTION("""COMPUTED_VALUE"""),"")</f>
        <v/>
      </c>
      <c r="F6204" s="72"/>
      <c r="G6204" s="72"/>
    </row>
    <row r="6205" spans="1:7" ht="14.5" hidden="1">
      <c r="A6205" s="5"/>
      <c r="B6205" s="18"/>
      <c r="C6205" s="85"/>
      <c r="D6205" s="41"/>
      <c r="E6205" s="26" t="str">
        <f ca="1">IFERROR(__xludf.DUMMYFUNCTION("""COMPUTED_VALUE"""),"")</f>
        <v/>
      </c>
      <c r="F6205" s="72"/>
      <c r="G6205" s="72"/>
    </row>
    <row r="6206" spans="1:7" ht="14.5" hidden="1">
      <c r="A6206" s="5"/>
      <c r="B6206" s="18"/>
      <c r="C6206" s="85"/>
      <c r="D6206" s="41"/>
      <c r="E6206" s="26" t="str">
        <f ca="1">IFERROR(__xludf.DUMMYFUNCTION("""COMPUTED_VALUE"""),"")</f>
        <v/>
      </c>
      <c r="F6206" s="72"/>
      <c r="G6206" s="72"/>
    </row>
    <row r="6207" spans="1:7" ht="14.5" hidden="1">
      <c r="A6207" s="5"/>
      <c r="B6207" s="18"/>
      <c r="C6207" s="85"/>
      <c r="D6207" s="41"/>
      <c r="E6207" s="26" t="str">
        <f ca="1">IFERROR(__xludf.DUMMYFUNCTION("""COMPUTED_VALUE"""),"")</f>
        <v/>
      </c>
      <c r="F6207" s="72"/>
      <c r="G6207" s="72"/>
    </row>
    <row r="6208" spans="1:7" ht="14.5" hidden="1">
      <c r="A6208" s="5"/>
      <c r="B6208" s="18"/>
      <c r="C6208" s="85"/>
      <c r="D6208" s="41"/>
      <c r="E6208" s="26" t="str">
        <f ca="1">IFERROR(__xludf.DUMMYFUNCTION("""COMPUTED_VALUE"""),"")</f>
        <v/>
      </c>
      <c r="F6208" s="72"/>
      <c r="G6208" s="72"/>
    </row>
    <row r="6209" spans="1:7" ht="14.5" hidden="1">
      <c r="A6209" s="5"/>
      <c r="B6209" s="18"/>
      <c r="C6209" s="85"/>
      <c r="D6209" s="41"/>
      <c r="E6209" s="26" t="str">
        <f ca="1">IFERROR(__xludf.DUMMYFUNCTION("""COMPUTED_VALUE"""),"")</f>
        <v/>
      </c>
      <c r="F6209" s="72"/>
      <c r="G6209" s="72"/>
    </row>
    <row r="6210" spans="1:7" ht="14.5" hidden="1">
      <c r="A6210" s="5"/>
      <c r="B6210" s="18"/>
      <c r="C6210" s="85"/>
      <c r="D6210" s="41"/>
      <c r="E6210" s="26" t="str">
        <f ca="1">IFERROR(__xludf.DUMMYFUNCTION("""COMPUTED_VALUE"""),"")</f>
        <v/>
      </c>
      <c r="F6210" s="72"/>
      <c r="G6210" s="72"/>
    </row>
    <row r="6211" spans="1:7" ht="14.5" hidden="1">
      <c r="A6211" s="5"/>
      <c r="B6211" s="18"/>
      <c r="C6211" s="85"/>
      <c r="D6211" s="41"/>
      <c r="E6211" s="26" t="str">
        <f ca="1">IFERROR(__xludf.DUMMYFUNCTION("""COMPUTED_VALUE"""),"")</f>
        <v/>
      </c>
      <c r="F6211" s="72"/>
      <c r="G6211" s="72"/>
    </row>
    <row r="6212" spans="1:7" ht="14.5" hidden="1">
      <c r="A6212" s="5"/>
      <c r="B6212" s="18"/>
      <c r="C6212" s="85"/>
      <c r="D6212" s="41"/>
      <c r="E6212" s="26" t="str">
        <f ca="1">IFERROR(__xludf.DUMMYFUNCTION("""COMPUTED_VALUE"""),"")</f>
        <v/>
      </c>
      <c r="F6212" s="72"/>
      <c r="G6212" s="72"/>
    </row>
    <row r="6213" spans="1:7" ht="14.5" hidden="1">
      <c r="A6213" s="5"/>
      <c r="B6213" s="18"/>
      <c r="C6213" s="85"/>
      <c r="D6213" s="41"/>
      <c r="E6213" s="26" t="str">
        <f ca="1">IFERROR(__xludf.DUMMYFUNCTION("""COMPUTED_VALUE"""),"")</f>
        <v/>
      </c>
      <c r="F6213" s="72"/>
      <c r="G6213" s="72"/>
    </row>
    <row r="6214" spans="1:7" ht="14.5" hidden="1">
      <c r="A6214" s="5"/>
      <c r="B6214" s="18"/>
      <c r="C6214" s="85"/>
      <c r="D6214" s="41"/>
      <c r="E6214" s="26" t="str">
        <f ca="1">IFERROR(__xludf.DUMMYFUNCTION("""COMPUTED_VALUE"""),"")</f>
        <v/>
      </c>
      <c r="F6214" s="72"/>
      <c r="G6214" s="72"/>
    </row>
    <row r="6215" spans="1:7" ht="14.5" hidden="1">
      <c r="A6215" s="5"/>
      <c r="B6215" s="18"/>
      <c r="C6215" s="85"/>
      <c r="D6215" s="41"/>
      <c r="E6215" s="26" t="str">
        <f ca="1">IFERROR(__xludf.DUMMYFUNCTION("""COMPUTED_VALUE"""),"")</f>
        <v/>
      </c>
      <c r="F6215" s="72"/>
      <c r="G6215" s="72"/>
    </row>
    <row r="6216" spans="1:7" ht="14.5" hidden="1">
      <c r="A6216" s="5"/>
      <c r="B6216" s="18"/>
      <c r="C6216" s="85"/>
      <c r="D6216" s="41"/>
      <c r="E6216" s="26" t="str">
        <f ca="1">IFERROR(__xludf.DUMMYFUNCTION("""COMPUTED_VALUE"""),"")</f>
        <v/>
      </c>
      <c r="F6216" s="72"/>
      <c r="G6216" s="72"/>
    </row>
    <row r="6217" spans="1:7" ht="14.5" hidden="1">
      <c r="A6217" s="5"/>
      <c r="B6217" s="18"/>
      <c r="C6217" s="85"/>
      <c r="D6217" s="41"/>
      <c r="E6217" s="26" t="str">
        <f ca="1">IFERROR(__xludf.DUMMYFUNCTION("""COMPUTED_VALUE"""),"")</f>
        <v/>
      </c>
      <c r="F6217" s="72"/>
      <c r="G6217" s="72"/>
    </row>
    <row r="6218" spans="1:7" ht="14.5" hidden="1">
      <c r="A6218" s="5"/>
      <c r="B6218" s="18"/>
      <c r="C6218" s="85"/>
      <c r="D6218" s="41"/>
      <c r="E6218" s="26" t="str">
        <f ca="1">IFERROR(__xludf.DUMMYFUNCTION("""COMPUTED_VALUE"""),"")</f>
        <v/>
      </c>
      <c r="F6218" s="72"/>
      <c r="G6218" s="72"/>
    </row>
    <row r="6219" spans="1:7" ht="14.5" hidden="1">
      <c r="A6219" s="5"/>
      <c r="B6219" s="18"/>
      <c r="C6219" s="85"/>
      <c r="D6219" s="41"/>
      <c r="E6219" s="26" t="str">
        <f ca="1">IFERROR(__xludf.DUMMYFUNCTION("""COMPUTED_VALUE"""),"")</f>
        <v/>
      </c>
      <c r="F6219" s="72"/>
      <c r="G6219" s="72"/>
    </row>
    <row r="6220" spans="1:7" ht="14.5" hidden="1">
      <c r="A6220" s="5"/>
      <c r="B6220" s="18"/>
      <c r="C6220" s="85"/>
      <c r="D6220" s="41"/>
      <c r="E6220" s="26" t="str">
        <f ca="1">IFERROR(__xludf.DUMMYFUNCTION("""COMPUTED_VALUE"""),"")</f>
        <v/>
      </c>
      <c r="F6220" s="72"/>
      <c r="G6220" s="72"/>
    </row>
    <row r="6221" spans="1:7" ht="14.5" hidden="1">
      <c r="A6221" s="5"/>
      <c r="B6221" s="18"/>
      <c r="C6221" s="85"/>
      <c r="D6221" s="41"/>
      <c r="E6221" s="26" t="str">
        <f ca="1">IFERROR(__xludf.DUMMYFUNCTION("""COMPUTED_VALUE"""),"")</f>
        <v/>
      </c>
      <c r="F6221" s="72"/>
      <c r="G6221" s="72"/>
    </row>
    <row r="6222" spans="1:7" ht="14.5" hidden="1">
      <c r="A6222" s="5"/>
      <c r="B6222" s="18"/>
      <c r="C6222" s="85"/>
      <c r="D6222" s="41"/>
      <c r="E6222" s="26" t="str">
        <f ca="1">IFERROR(__xludf.DUMMYFUNCTION("""COMPUTED_VALUE"""),"")</f>
        <v/>
      </c>
      <c r="F6222" s="72"/>
      <c r="G6222" s="72"/>
    </row>
    <row r="6223" spans="1:7" ht="14.5" hidden="1">
      <c r="A6223" s="5"/>
      <c r="B6223" s="18"/>
      <c r="C6223" s="85"/>
      <c r="D6223" s="41"/>
      <c r="E6223" s="26" t="str">
        <f ca="1">IFERROR(__xludf.DUMMYFUNCTION("""COMPUTED_VALUE"""),"")</f>
        <v/>
      </c>
      <c r="F6223" s="72"/>
      <c r="G6223" s="72"/>
    </row>
    <row r="6224" spans="1:7" ht="14.5" hidden="1">
      <c r="A6224" s="5"/>
      <c r="B6224" s="18"/>
      <c r="C6224" s="85"/>
      <c r="D6224" s="41"/>
      <c r="E6224" s="26" t="str">
        <f ca="1">IFERROR(__xludf.DUMMYFUNCTION("""COMPUTED_VALUE"""),"")</f>
        <v/>
      </c>
      <c r="F6224" s="72"/>
      <c r="G6224" s="72"/>
    </row>
    <row r="6225" spans="1:7" ht="14.5" hidden="1">
      <c r="A6225" s="5"/>
      <c r="B6225" s="18"/>
      <c r="C6225" s="85"/>
      <c r="D6225" s="41"/>
      <c r="E6225" s="26" t="str">
        <f ca="1">IFERROR(__xludf.DUMMYFUNCTION("""COMPUTED_VALUE"""),"")</f>
        <v/>
      </c>
      <c r="F6225" s="72"/>
      <c r="G6225" s="72"/>
    </row>
    <row r="6226" spans="1:7" ht="14.5" hidden="1">
      <c r="A6226" s="5"/>
      <c r="B6226" s="18"/>
      <c r="C6226" s="85"/>
      <c r="D6226" s="41"/>
      <c r="E6226" s="26" t="str">
        <f ca="1">IFERROR(__xludf.DUMMYFUNCTION("""COMPUTED_VALUE"""),"")</f>
        <v/>
      </c>
      <c r="F6226" s="72"/>
      <c r="G6226" s="72"/>
    </row>
    <row r="6227" spans="1:7" ht="14.5" hidden="1">
      <c r="A6227" s="5"/>
      <c r="B6227" s="18"/>
      <c r="C6227" s="85"/>
      <c r="D6227" s="41"/>
      <c r="E6227" s="26" t="str">
        <f ca="1">IFERROR(__xludf.DUMMYFUNCTION("""COMPUTED_VALUE"""),"")</f>
        <v/>
      </c>
      <c r="F6227" s="72"/>
      <c r="G6227" s="72"/>
    </row>
    <row r="6228" spans="1:7" ht="14.5" hidden="1">
      <c r="A6228" s="5"/>
      <c r="B6228" s="18"/>
      <c r="C6228" s="85"/>
      <c r="D6228" s="41"/>
      <c r="E6228" s="26" t="str">
        <f ca="1">IFERROR(__xludf.DUMMYFUNCTION("""COMPUTED_VALUE"""),"")</f>
        <v/>
      </c>
      <c r="F6228" s="72"/>
      <c r="G6228" s="72"/>
    </row>
    <row r="6229" spans="1:7" ht="14.5" hidden="1">
      <c r="A6229" s="5"/>
      <c r="B6229" s="18"/>
      <c r="C6229" s="85"/>
      <c r="D6229" s="41"/>
      <c r="E6229" s="26" t="str">
        <f ca="1">IFERROR(__xludf.DUMMYFUNCTION("""COMPUTED_VALUE"""),"")</f>
        <v/>
      </c>
      <c r="F6229" s="72"/>
      <c r="G6229" s="72"/>
    </row>
    <row r="6230" spans="1:7" ht="14.5" hidden="1">
      <c r="A6230" s="5"/>
      <c r="B6230" s="18"/>
      <c r="C6230" s="85"/>
      <c r="D6230" s="41"/>
      <c r="E6230" s="26" t="str">
        <f ca="1">IFERROR(__xludf.DUMMYFUNCTION("""COMPUTED_VALUE"""),"")</f>
        <v/>
      </c>
      <c r="F6230" s="72"/>
      <c r="G6230" s="72"/>
    </row>
    <row r="6231" spans="1:7" ht="14.5" hidden="1">
      <c r="A6231" s="5"/>
      <c r="B6231" s="18"/>
      <c r="C6231" s="85"/>
      <c r="D6231" s="41"/>
      <c r="E6231" s="26" t="str">
        <f ca="1">IFERROR(__xludf.DUMMYFUNCTION("""COMPUTED_VALUE"""),"")</f>
        <v/>
      </c>
      <c r="F6231" s="72"/>
      <c r="G6231" s="72"/>
    </row>
    <row r="6232" spans="1:7" ht="14.5" hidden="1">
      <c r="A6232" s="5"/>
      <c r="B6232" s="18"/>
      <c r="C6232" s="85"/>
      <c r="D6232" s="41"/>
      <c r="E6232" s="26" t="str">
        <f ca="1">IFERROR(__xludf.DUMMYFUNCTION("""COMPUTED_VALUE"""),"")</f>
        <v/>
      </c>
      <c r="F6232" s="72"/>
      <c r="G6232" s="72"/>
    </row>
    <row r="6233" spans="1:7" ht="14.5" hidden="1">
      <c r="A6233" s="5"/>
      <c r="B6233" s="18"/>
      <c r="C6233" s="85"/>
      <c r="D6233" s="41"/>
      <c r="E6233" s="26" t="str">
        <f ca="1">IFERROR(__xludf.DUMMYFUNCTION("""COMPUTED_VALUE"""),"")</f>
        <v/>
      </c>
      <c r="F6233" s="72"/>
      <c r="G6233" s="72"/>
    </row>
    <row r="6234" spans="1:7" ht="14.5" hidden="1">
      <c r="A6234" s="5"/>
      <c r="B6234" s="18"/>
      <c r="C6234" s="85"/>
      <c r="D6234" s="41"/>
      <c r="E6234" s="26" t="str">
        <f ca="1">IFERROR(__xludf.DUMMYFUNCTION("""COMPUTED_VALUE"""),"")</f>
        <v/>
      </c>
      <c r="F6234" s="72"/>
      <c r="G6234" s="72"/>
    </row>
    <row r="6235" spans="1:7" ht="14.5" hidden="1">
      <c r="A6235" s="5"/>
      <c r="B6235" s="18"/>
      <c r="C6235" s="85"/>
      <c r="D6235" s="41"/>
      <c r="E6235" s="26" t="str">
        <f ca="1">IFERROR(__xludf.DUMMYFUNCTION("""COMPUTED_VALUE"""),"")</f>
        <v/>
      </c>
      <c r="F6235" s="72"/>
      <c r="G6235" s="72"/>
    </row>
    <row r="6236" spans="1:7" ht="14.5" hidden="1">
      <c r="A6236" s="5"/>
      <c r="B6236" s="18"/>
      <c r="C6236" s="85"/>
      <c r="D6236" s="41"/>
      <c r="E6236" s="26" t="str">
        <f ca="1">IFERROR(__xludf.DUMMYFUNCTION("""COMPUTED_VALUE"""),"")</f>
        <v/>
      </c>
      <c r="F6236" s="72"/>
      <c r="G6236" s="72"/>
    </row>
    <row r="6237" spans="1:7" ht="14.5" hidden="1">
      <c r="A6237" s="5"/>
      <c r="B6237" s="18"/>
      <c r="C6237" s="85"/>
      <c r="D6237" s="41"/>
      <c r="E6237" s="26" t="str">
        <f ca="1">IFERROR(__xludf.DUMMYFUNCTION("""COMPUTED_VALUE"""),"")</f>
        <v/>
      </c>
      <c r="F6237" s="72"/>
      <c r="G6237" s="72"/>
    </row>
    <row r="6238" spans="1:7" ht="14.5" hidden="1">
      <c r="A6238" s="5"/>
      <c r="B6238" s="18"/>
      <c r="C6238" s="85"/>
      <c r="D6238" s="41"/>
      <c r="E6238" s="26" t="str">
        <f ca="1">IFERROR(__xludf.DUMMYFUNCTION("""COMPUTED_VALUE"""),"")</f>
        <v/>
      </c>
      <c r="F6238" s="72"/>
      <c r="G6238" s="72"/>
    </row>
    <row r="6239" spans="1:7" ht="14.5" hidden="1">
      <c r="A6239" s="5"/>
      <c r="B6239" s="18"/>
      <c r="C6239" s="85"/>
      <c r="D6239" s="41"/>
      <c r="E6239" s="26" t="str">
        <f ca="1">IFERROR(__xludf.DUMMYFUNCTION("""COMPUTED_VALUE"""),"")</f>
        <v/>
      </c>
      <c r="F6239" s="72"/>
      <c r="G6239" s="72"/>
    </row>
    <row r="6240" spans="1:7" ht="14.5" hidden="1">
      <c r="A6240" s="5"/>
      <c r="B6240" s="18"/>
      <c r="C6240" s="85"/>
      <c r="D6240" s="41"/>
      <c r="E6240" s="26" t="str">
        <f ca="1">IFERROR(__xludf.DUMMYFUNCTION("""COMPUTED_VALUE"""),"")</f>
        <v/>
      </c>
      <c r="F6240" s="72"/>
      <c r="G6240" s="72"/>
    </row>
    <row r="6241" spans="1:7" ht="14.5" hidden="1">
      <c r="A6241" s="5"/>
      <c r="B6241" s="18"/>
      <c r="C6241" s="85"/>
      <c r="D6241" s="41"/>
      <c r="E6241" s="26" t="str">
        <f ca="1">IFERROR(__xludf.DUMMYFUNCTION("""COMPUTED_VALUE"""),"")</f>
        <v/>
      </c>
      <c r="F6241" s="72"/>
      <c r="G6241" s="72"/>
    </row>
    <row r="6242" spans="1:7" ht="14.5" hidden="1">
      <c r="A6242" s="5"/>
      <c r="B6242" s="18"/>
      <c r="C6242" s="85"/>
      <c r="D6242" s="41"/>
      <c r="E6242" s="26" t="str">
        <f ca="1">IFERROR(__xludf.DUMMYFUNCTION("""COMPUTED_VALUE"""),"")</f>
        <v/>
      </c>
      <c r="F6242" s="72"/>
      <c r="G6242" s="72"/>
    </row>
    <row r="6243" spans="1:7" ht="14.5" hidden="1">
      <c r="A6243" s="5"/>
      <c r="B6243" s="18"/>
      <c r="C6243" s="85"/>
      <c r="D6243" s="41"/>
      <c r="E6243" s="26" t="str">
        <f ca="1">IFERROR(__xludf.DUMMYFUNCTION("""COMPUTED_VALUE"""),"")</f>
        <v/>
      </c>
      <c r="F6243" s="72"/>
      <c r="G6243" s="72"/>
    </row>
    <row r="6244" spans="1:7" ht="14.5" hidden="1">
      <c r="A6244" s="5"/>
      <c r="B6244" s="18"/>
      <c r="C6244" s="85"/>
      <c r="D6244" s="41"/>
      <c r="E6244" s="26" t="str">
        <f ca="1">IFERROR(__xludf.DUMMYFUNCTION("""COMPUTED_VALUE"""),"")</f>
        <v/>
      </c>
      <c r="F6244" s="72"/>
      <c r="G6244" s="72"/>
    </row>
    <row r="6245" spans="1:7" ht="14.5" hidden="1">
      <c r="A6245" s="5"/>
      <c r="B6245" s="18"/>
      <c r="C6245" s="85"/>
      <c r="D6245" s="41"/>
      <c r="E6245" s="26" t="str">
        <f ca="1">IFERROR(__xludf.DUMMYFUNCTION("""COMPUTED_VALUE"""),"")</f>
        <v/>
      </c>
      <c r="F6245" s="72"/>
      <c r="G6245" s="72"/>
    </row>
    <row r="6246" spans="1:7" ht="14.5" hidden="1">
      <c r="A6246" s="5"/>
      <c r="B6246" s="18"/>
      <c r="C6246" s="85"/>
      <c r="D6246" s="41"/>
      <c r="E6246" s="26" t="str">
        <f ca="1">IFERROR(__xludf.DUMMYFUNCTION("""COMPUTED_VALUE"""),"")</f>
        <v/>
      </c>
      <c r="F6246" s="72"/>
      <c r="G6246" s="72"/>
    </row>
    <row r="6247" spans="1:7" ht="14.5" hidden="1">
      <c r="A6247" s="5"/>
      <c r="B6247" s="18"/>
      <c r="C6247" s="85"/>
      <c r="D6247" s="41"/>
      <c r="E6247" s="26" t="str">
        <f ca="1">IFERROR(__xludf.DUMMYFUNCTION("""COMPUTED_VALUE"""),"")</f>
        <v/>
      </c>
      <c r="F6247" s="72"/>
      <c r="G6247" s="72"/>
    </row>
    <row r="6248" spans="1:7" ht="14.5" hidden="1">
      <c r="A6248" s="5"/>
      <c r="B6248" s="18"/>
      <c r="C6248" s="85"/>
      <c r="D6248" s="41"/>
      <c r="E6248" s="26" t="str">
        <f ca="1">IFERROR(__xludf.DUMMYFUNCTION("""COMPUTED_VALUE"""),"")</f>
        <v/>
      </c>
      <c r="F6248" s="72"/>
      <c r="G6248" s="72"/>
    </row>
    <row r="6249" spans="1:7" ht="14.5" hidden="1">
      <c r="A6249" s="5"/>
      <c r="B6249" s="18"/>
      <c r="C6249" s="85"/>
      <c r="D6249" s="41"/>
      <c r="E6249" s="26" t="str">
        <f ca="1">IFERROR(__xludf.DUMMYFUNCTION("""COMPUTED_VALUE"""),"")</f>
        <v/>
      </c>
      <c r="F6249" s="72"/>
      <c r="G6249" s="72"/>
    </row>
    <row r="6250" spans="1:7" ht="14.5" hidden="1">
      <c r="A6250" s="5"/>
      <c r="B6250" s="18"/>
      <c r="C6250" s="85"/>
      <c r="D6250" s="41"/>
      <c r="E6250" s="26" t="str">
        <f ca="1">IFERROR(__xludf.DUMMYFUNCTION("""COMPUTED_VALUE"""),"")</f>
        <v/>
      </c>
      <c r="F6250" s="72"/>
      <c r="G6250" s="72"/>
    </row>
    <row r="6251" spans="1:7" ht="14.5" hidden="1">
      <c r="A6251" s="5"/>
      <c r="B6251" s="18"/>
      <c r="C6251" s="85"/>
      <c r="D6251" s="41"/>
      <c r="E6251" s="26" t="str">
        <f ca="1">IFERROR(__xludf.DUMMYFUNCTION("""COMPUTED_VALUE"""),"")</f>
        <v/>
      </c>
      <c r="F6251" s="72"/>
      <c r="G6251" s="72"/>
    </row>
    <row r="6252" spans="1:7" ht="14.5" hidden="1">
      <c r="A6252" s="5"/>
      <c r="B6252" s="18"/>
      <c r="C6252" s="85"/>
      <c r="D6252" s="41"/>
      <c r="E6252" s="26" t="str">
        <f ca="1">IFERROR(__xludf.DUMMYFUNCTION("""COMPUTED_VALUE"""),"")</f>
        <v/>
      </c>
      <c r="F6252" s="72"/>
      <c r="G6252" s="72"/>
    </row>
    <row r="6253" spans="1:7" ht="14.5" hidden="1">
      <c r="A6253" s="5"/>
      <c r="B6253" s="18"/>
      <c r="C6253" s="85"/>
      <c r="D6253" s="41"/>
      <c r="E6253" s="26" t="str">
        <f ca="1">IFERROR(__xludf.DUMMYFUNCTION("""COMPUTED_VALUE"""),"")</f>
        <v/>
      </c>
      <c r="F6253" s="72"/>
      <c r="G6253" s="72"/>
    </row>
    <row r="6254" spans="1:7" ht="14.5" hidden="1">
      <c r="A6254" s="5"/>
      <c r="B6254" s="18"/>
      <c r="C6254" s="85"/>
      <c r="D6254" s="41"/>
      <c r="E6254" s="26" t="str">
        <f ca="1">IFERROR(__xludf.DUMMYFUNCTION("""COMPUTED_VALUE"""),"")</f>
        <v/>
      </c>
      <c r="F6254" s="72"/>
      <c r="G6254" s="72"/>
    </row>
    <row r="6255" spans="1:7" ht="14.5" hidden="1">
      <c r="A6255" s="5"/>
      <c r="B6255" s="18"/>
      <c r="C6255" s="85"/>
      <c r="D6255" s="41"/>
      <c r="E6255" s="26" t="str">
        <f ca="1">IFERROR(__xludf.DUMMYFUNCTION("""COMPUTED_VALUE"""),"")</f>
        <v/>
      </c>
      <c r="F6255" s="72"/>
      <c r="G6255" s="72"/>
    </row>
    <row r="6256" spans="1:7" ht="14.5" hidden="1">
      <c r="A6256" s="5"/>
      <c r="B6256" s="18"/>
      <c r="C6256" s="85"/>
      <c r="D6256" s="41"/>
      <c r="E6256" s="26" t="str">
        <f ca="1">IFERROR(__xludf.DUMMYFUNCTION("""COMPUTED_VALUE"""),"")</f>
        <v/>
      </c>
      <c r="F6256" s="72"/>
      <c r="G6256" s="72"/>
    </row>
    <row r="6257" spans="1:7" ht="14.5" hidden="1">
      <c r="A6257" s="5"/>
      <c r="B6257" s="18"/>
      <c r="C6257" s="85"/>
      <c r="D6257" s="41"/>
      <c r="E6257" s="26" t="str">
        <f ca="1">IFERROR(__xludf.DUMMYFUNCTION("""COMPUTED_VALUE"""),"")</f>
        <v/>
      </c>
      <c r="F6257" s="72"/>
      <c r="G6257" s="72"/>
    </row>
    <row r="6258" spans="1:7" ht="14.5" hidden="1">
      <c r="A6258" s="5"/>
      <c r="B6258" s="18"/>
      <c r="C6258" s="85"/>
      <c r="D6258" s="41"/>
      <c r="E6258" s="26" t="str">
        <f ca="1">IFERROR(__xludf.DUMMYFUNCTION("""COMPUTED_VALUE"""),"")</f>
        <v/>
      </c>
      <c r="F6258" s="72"/>
      <c r="G6258" s="72"/>
    </row>
    <row r="6259" spans="1:7" ht="14.5" hidden="1">
      <c r="A6259" s="5"/>
      <c r="B6259" s="18"/>
      <c r="C6259" s="85"/>
      <c r="D6259" s="41"/>
      <c r="E6259" s="26" t="str">
        <f ca="1">IFERROR(__xludf.DUMMYFUNCTION("""COMPUTED_VALUE"""),"")</f>
        <v/>
      </c>
      <c r="F6259" s="72"/>
      <c r="G6259" s="72"/>
    </row>
    <row r="6260" spans="1:7" ht="14.5" hidden="1">
      <c r="A6260" s="5"/>
      <c r="B6260" s="18"/>
      <c r="C6260" s="85"/>
      <c r="D6260" s="41"/>
      <c r="E6260" s="26" t="str">
        <f ca="1">IFERROR(__xludf.DUMMYFUNCTION("""COMPUTED_VALUE"""),"")</f>
        <v/>
      </c>
      <c r="F6260" s="72"/>
      <c r="G6260" s="72"/>
    </row>
    <row r="6261" spans="1:7" ht="14.5" hidden="1">
      <c r="A6261" s="5"/>
      <c r="B6261" s="18"/>
      <c r="C6261" s="85"/>
      <c r="D6261" s="41"/>
      <c r="E6261" s="26" t="str">
        <f ca="1">IFERROR(__xludf.DUMMYFUNCTION("""COMPUTED_VALUE"""),"")</f>
        <v/>
      </c>
      <c r="F6261" s="72"/>
      <c r="G6261" s="72"/>
    </row>
    <row r="6262" spans="1:7" ht="14.5" hidden="1">
      <c r="A6262" s="5"/>
      <c r="B6262" s="18"/>
      <c r="C6262" s="85"/>
      <c r="D6262" s="41"/>
      <c r="E6262" s="26" t="str">
        <f ca="1">IFERROR(__xludf.DUMMYFUNCTION("""COMPUTED_VALUE"""),"")</f>
        <v/>
      </c>
      <c r="F6262" s="72"/>
      <c r="G6262" s="72"/>
    </row>
    <row r="6263" spans="1:7" ht="14.5" hidden="1">
      <c r="A6263" s="5"/>
      <c r="B6263" s="18"/>
      <c r="C6263" s="85"/>
      <c r="D6263" s="41"/>
      <c r="E6263" s="26" t="str">
        <f ca="1">IFERROR(__xludf.DUMMYFUNCTION("""COMPUTED_VALUE"""),"")</f>
        <v/>
      </c>
      <c r="F6263" s="72"/>
      <c r="G6263" s="72"/>
    </row>
    <row r="6264" spans="1:7" ht="14.5" hidden="1">
      <c r="A6264" s="5"/>
      <c r="B6264" s="18"/>
      <c r="C6264" s="85"/>
      <c r="D6264" s="41"/>
      <c r="E6264" s="26" t="str">
        <f ca="1">IFERROR(__xludf.DUMMYFUNCTION("""COMPUTED_VALUE"""),"")</f>
        <v/>
      </c>
      <c r="F6264" s="72"/>
      <c r="G6264" s="72"/>
    </row>
    <row r="6265" spans="1:7" ht="14.5" hidden="1">
      <c r="A6265" s="5"/>
      <c r="B6265" s="18"/>
      <c r="C6265" s="85"/>
      <c r="D6265" s="41"/>
      <c r="E6265" s="26" t="str">
        <f ca="1">IFERROR(__xludf.DUMMYFUNCTION("""COMPUTED_VALUE"""),"")</f>
        <v/>
      </c>
      <c r="F6265" s="72"/>
      <c r="G6265" s="72"/>
    </row>
    <row r="6266" spans="1:7" ht="14.5" hidden="1">
      <c r="A6266" s="5"/>
      <c r="B6266" s="18"/>
      <c r="C6266" s="85"/>
      <c r="D6266" s="41"/>
      <c r="E6266" s="26" t="str">
        <f ca="1">IFERROR(__xludf.DUMMYFUNCTION("""COMPUTED_VALUE"""),"")</f>
        <v/>
      </c>
      <c r="F6266" s="72"/>
      <c r="G6266" s="72"/>
    </row>
    <row r="6267" spans="1:7" ht="14.5" hidden="1">
      <c r="A6267" s="5"/>
      <c r="B6267" s="18"/>
      <c r="C6267" s="85"/>
      <c r="D6267" s="41"/>
      <c r="E6267" s="26" t="str">
        <f ca="1">IFERROR(__xludf.DUMMYFUNCTION("""COMPUTED_VALUE"""),"")</f>
        <v/>
      </c>
      <c r="F6267" s="72"/>
      <c r="G6267" s="72"/>
    </row>
    <row r="6268" spans="1:7" ht="14.5" hidden="1">
      <c r="A6268" s="5"/>
      <c r="B6268" s="18"/>
      <c r="C6268" s="85"/>
      <c r="D6268" s="41"/>
      <c r="E6268" s="26" t="str">
        <f ca="1">IFERROR(__xludf.DUMMYFUNCTION("""COMPUTED_VALUE"""),"")</f>
        <v/>
      </c>
      <c r="F6268" s="72"/>
      <c r="G6268" s="72"/>
    </row>
    <row r="6269" spans="1:7" ht="14.5" hidden="1">
      <c r="A6269" s="5"/>
      <c r="B6269" s="18"/>
      <c r="C6269" s="85"/>
      <c r="D6269" s="41"/>
      <c r="E6269" s="26" t="str">
        <f ca="1">IFERROR(__xludf.DUMMYFUNCTION("""COMPUTED_VALUE"""),"")</f>
        <v/>
      </c>
      <c r="F6269" s="72"/>
      <c r="G6269" s="72"/>
    </row>
    <row r="6270" spans="1:7" ht="14.5" hidden="1">
      <c r="A6270" s="5"/>
      <c r="B6270" s="18"/>
      <c r="C6270" s="85"/>
      <c r="D6270" s="41"/>
      <c r="E6270" s="26" t="str">
        <f ca="1">IFERROR(__xludf.DUMMYFUNCTION("""COMPUTED_VALUE"""),"")</f>
        <v/>
      </c>
      <c r="F6270" s="72"/>
      <c r="G6270" s="72"/>
    </row>
    <row r="6271" spans="1:7" ht="14.5" hidden="1">
      <c r="A6271" s="5"/>
      <c r="B6271" s="18"/>
      <c r="C6271" s="85"/>
      <c r="D6271" s="41"/>
      <c r="E6271" s="26" t="str">
        <f ca="1">IFERROR(__xludf.DUMMYFUNCTION("""COMPUTED_VALUE"""),"")</f>
        <v/>
      </c>
      <c r="F6271" s="72"/>
      <c r="G6271" s="72"/>
    </row>
    <row r="6272" spans="1:7" ht="14.5" hidden="1">
      <c r="A6272" s="5"/>
      <c r="B6272" s="18"/>
      <c r="C6272" s="85"/>
      <c r="D6272" s="41"/>
      <c r="E6272" s="26" t="str">
        <f ca="1">IFERROR(__xludf.DUMMYFUNCTION("""COMPUTED_VALUE"""),"")</f>
        <v/>
      </c>
      <c r="F6272" s="72"/>
      <c r="G6272" s="72"/>
    </row>
    <row r="6273" spans="1:7" ht="14.5" hidden="1">
      <c r="A6273" s="5"/>
      <c r="B6273" s="18"/>
      <c r="C6273" s="85"/>
      <c r="D6273" s="41"/>
      <c r="E6273" s="26" t="str">
        <f ca="1">IFERROR(__xludf.DUMMYFUNCTION("""COMPUTED_VALUE"""),"")</f>
        <v/>
      </c>
      <c r="F6273" s="72"/>
      <c r="G6273" s="72"/>
    </row>
    <row r="6274" spans="1:7" ht="14.5" hidden="1">
      <c r="A6274" s="5"/>
      <c r="B6274" s="18"/>
      <c r="C6274" s="85"/>
      <c r="D6274" s="41"/>
      <c r="E6274" s="26" t="str">
        <f ca="1">IFERROR(__xludf.DUMMYFUNCTION("""COMPUTED_VALUE"""),"")</f>
        <v/>
      </c>
      <c r="F6274" s="72"/>
      <c r="G6274" s="72"/>
    </row>
    <row r="6275" spans="1:7" ht="14.5" hidden="1">
      <c r="A6275" s="5"/>
      <c r="B6275" s="18"/>
      <c r="C6275" s="85"/>
      <c r="D6275" s="41"/>
      <c r="E6275" s="26" t="str">
        <f ca="1">IFERROR(__xludf.DUMMYFUNCTION("""COMPUTED_VALUE"""),"")</f>
        <v/>
      </c>
      <c r="F6275" s="72"/>
      <c r="G6275" s="72"/>
    </row>
    <row r="6276" spans="1:7" ht="14.5" hidden="1">
      <c r="A6276" s="5"/>
      <c r="B6276" s="18"/>
      <c r="C6276" s="85"/>
      <c r="D6276" s="41"/>
      <c r="E6276" s="26" t="str">
        <f ca="1">IFERROR(__xludf.DUMMYFUNCTION("""COMPUTED_VALUE"""),"")</f>
        <v/>
      </c>
      <c r="F6276" s="72"/>
      <c r="G6276" s="72"/>
    </row>
    <row r="6277" spans="1:7" ht="14.5" hidden="1">
      <c r="A6277" s="5"/>
      <c r="B6277" s="18"/>
      <c r="C6277" s="85"/>
      <c r="D6277" s="41"/>
      <c r="E6277" s="26" t="str">
        <f ca="1">IFERROR(__xludf.DUMMYFUNCTION("""COMPUTED_VALUE"""),"")</f>
        <v/>
      </c>
      <c r="F6277" s="72"/>
      <c r="G6277" s="72"/>
    </row>
    <row r="6278" spans="1:7" ht="14.5" hidden="1">
      <c r="A6278" s="5"/>
      <c r="B6278" s="18"/>
      <c r="C6278" s="85"/>
      <c r="D6278" s="41"/>
      <c r="E6278" s="26" t="str">
        <f ca="1">IFERROR(__xludf.DUMMYFUNCTION("""COMPUTED_VALUE"""),"")</f>
        <v/>
      </c>
      <c r="F6278" s="72"/>
      <c r="G6278" s="72"/>
    </row>
    <row r="6279" spans="1:7" ht="14.5" hidden="1">
      <c r="A6279" s="5"/>
      <c r="B6279" s="18"/>
      <c r="C6279" s="85"/>
      <c r="D6279" s="41"/>
      <c r="E6279" s="26" t="str">
        <f ca="1">IFERROR(__xludf.DUMMYFUNCTION("""COMPUTED_VALUE"""),"")</f>
        <v/>
      </c>
      <c r="F6279" s="72"/>
      <c r="G6279" s="72"/>
    </row>
    <row r="6280" spans="1:7" ht="14.5" hidden="1">
      <c r="A6280" s="5"/>
      <c r="B6280" s="18"/>
      <c r="C6280" s="85"/>
      <c r="D6280" s="41"/>
      <c r="E6280" s="26" t="str">
        <f ca="1">IFERROR(__xludf.DUMMYFUNCTION("""COMPUTED_VALUE"""),"")</f>
        <v/>
      </c>
      <c r="F6280" s="72"/>
      <c r="G6280" s="72"/>
    </row>
    <row r="6281" spans="1:7" ht="14.5" hidden="1">
      <c r="A6281" s="5"/>
      <c r="B6281" s="18"/>
      <c r="C6281" s="85"/>
      <c r="D6281" s="41"/>
      <c r="E6281" s="26" t="str">
        <f ca="1">IFERROR(__xludf.DUMMYFUNCTION("""COMPUTED_VALUE"""),"")</f>
        <v/>
      </c>
      <c r="F6281" s="72"/>
      <c r="G6281" s="72"/>
    </row>
    <row r="6282" spans="1:7" ht="14.5" hidden="1">
      <c r="A6282" s="5"/>
      <c r="B6282" s="18"/>
      <c r="C6282" s="85"/>
      <c r="D6282" s="41"/>
      <c r="E6282" s="26" t="str">
        <f ca="1">IFERROR(__xludf.DUMMYFUNCTION("""COMPUTED_VALUE"""),"")</f>
        <v/>
      </c>
      <c r="F6282" s="72"/>
      <c r="G6282" s="72"/>
    </row>
    <row r="6283" spans="1:7" ht="14.5" hidden="1">
      <c r="A6283" s="5"/>
      <c r="B6283" s="18"/>
      <c r="C6283" s="85"/>
      <c r="D6283" s="41"/>
      <c r="E6283" s="26" t="str">
        <f ca="1">IFERROR(__xludf.DUMMYFUNCTION("""COMPUTED_VALUE"""),"")</f>
        <v/>
      </c>
      <c r="F6283" s="72"/>
      <c r="G6283" s="72"/>
    </row>
    <row r="6284" spans="1:7" ht="14.5" hidden="1">
      <c r="A6284" s="5"/>
      <c r="B6284" s="18"/>
      <c r="C6284" s="85"/>
      <c r="D6284" s="41"/>
      <c r="E6284" s="26" t="str">
        <f ca="1">IFERROR(__xludf.DUMMYFUNCTION("""COMPUTED_VALUE"""),"")</f>
        <v/>
      </c>
      <c r="F6284" s="72"/>
      <c r="G6284" s="72"/>
    </row>
    <row r="6285" spans="1:7" ht="14.5" hidden="1">
      <c r="A6285" s="5"/>
      <c r="B6285" s="18"/>
      <c r="C6285" s="85"/>
      <c r="D6285" s="41"/>
      <c r="E6285" s="26" t="str">
        <f ca="1">IFERROR(__xludf.DUMMYFUNCTION("""COMPUTED_VALUE"""),"")</f>
        <v/>
      </c>
      <c r="F6285" s="72"/>
      <c r="G6285" s="72"/>
    </row>
    <row r="6286" spans="1:7" ht="14.5" hidden="1">
      <c r="A6286" s="5"/>
      <c r="B6286" s="18"/>
      <c r="C6286" s="85"/>
      <c r="D6286" s="41"/>
      <c r="E6286" s="26" t="str">
        <f ca="1">IFERROR(__xludf.DUMMYFUNCTION("""COMPUTED_VALUE"""),"")</f>
        <v/>
      </c>
      <c r="F6286" s="72"/>
      <c r="G6286" s="72"/>
    </row>
    <row r="6287" spans="1:7" ht="14.5" hidden="1">
      <c r="A6287" s="5"/>
      <c r="B6287" s="18"/>
      <c r="C6287" s="85"/>
      <c r="D6287" s="41"/>
      <c r="E6287" s="26" t="str">
        <f ca="1">IFERROR(__xludf.DUMMYFUNCTION("""COMPUTED_VALUE"""),"")</f>
        <v/>
      </c>
      <c r="F6287" s="72"/>
      <c r="G6287" s="72"/>
    </row>
    <row r="6288" spans="1:7" ht="14.5" hidden="1">
      <c r="A6288" s="5"/>
      <c r="B6288" s="18"/>
      <c r="C6288" s="85"/>
      <c r="D6288" s="41"/>
      <c r="E6288" s="26" t="str">
        <f ca="1">IFERROR(__xludf.DUMMYFUNCTION("""COMPUTED_VALUE"""),"")</f>
        <v/>
      </c>
      <c r="F6288" s="72"/>
      <c r="G6288" s="72"/>
    </row>
    <row r="6289" spans="1:7" ht="14.5" hidden="1">
      <c r="A6289" s="5"/>
      <c r="B6289" s="18"/>
      <c r="C6289" s="85"/>
      <c r="D6289" s="41"/>
      <c r="E6289" s="26" t="str">
        <f ca="1">IFERROR(__xludf.DUMMYFUNCTION("""COMPUTED_VALUE"""),"")</f>
        <v/>
      </c>
      <c r="F6289" s="72"/>
      <c r="G6289" s="72"/>
    </row>
    <row r="6290" spans="1:7" ht="14.5" hidden="1">
      <c r="A6290" s="5"/>
      <c r="B6290" s="18"/>
      <c r="C6290" s="85"/>
      <c r="D6290" s="41"/>
      <c r="E6290" s="26" t="str">
        <f ca="1">IFERROR(__xludf.DUMMYFUNCTION("""COMPUTED_VALUE"""),"")</f>
        <v/>
      </c>
      <c r="F6290" s="72"/>
      <c r="G6290" s="72"/>
    </row>
    <row r="6291" spans="1:7" ht="14.5" hidden="1">
      <c r="A6291" s="5"/>
      <c r="B6291" s="18"/>
      <c r="C6291" s="85"/>
      <c r="D6291" s="41"/>
      <c r="E6291" s="26" t="str">
        <f ca="1">IFERROR(__xludf.DUMMYFUNCTION("""COMPUTED_VALUE"""),"")</f>
        <v/>
      </c>
      <c r="F6291" s="72"/>
      <c r="G6291" s="72"/>
    </row>
    <row r="6292" spans="1:7" ht="14.5" hidden="1">
      <c r="A6292" s="5"/>
      <c r="B6292" s="18"/>
      <c r="C6292" s="85"/>
      <c r="D6292" s="41"/>
      <c r="E6292" s="26" t="str">
        <f ca="1">IFERROR(__xludf.DUMMYFUNCTION("""COMPUTED_VALUE"""),"")</f>
        <v/>
      </c>
      <c r="F6292" s="72"/>
      <c r="G6292" s="72"/>
    </row>
    <row r="6293" spans="1:7" ht="14.5" hidden="1">
      <c r="A6293" s="5"/>
      <c r="B6293" s="18"/>
      <c r="C6293" s="85"/>
      <c r="D6293" s="41"/>
      <c r="E6293" s="26" t="str">
        <f ca="1">IFERROR(__xludf.DUMMYFUNCTION("""COMPUTED_VALUE"""),"")</f>
        <v/>
      </c>
      <c r="F6293" s="72"/>
      <c r="G6293" s="72"/>
    </row>
    <row r="6294" spans="1:7" ht="14.5" hidden="1">
      <c r="A6294" s="5"/>
      <c r="B6294" s="18"/>
      <c r="C6294" s="85"/>
      <c r="D6294" s="41"/>
      <c r="E6294" s="26" t="str">
        <f ca="1">IFERROR(__xludf.DUMMYFUNCTION("""COMPUTED_VALUE"""),"")</f>
        <v/>
      </c>
      <c r="F6294" s="72"/>
      <c r="G6294" s="72"/>
    </row>
    <row r="6295" spans="1:7" ht="14.5" hidden="1">
      <c r="A6295" s="5"/>
      <c r="B6295" s="18"/>
      <c r="C6295" s="85"/>
      <c r="D6295" s="41"/>
      <c r="E6295" s="26" t="str">
        <f ca="1">IFERROR(__xludf.DUMMYFUNCTION("""COMPUTED_VALUE"""),"")</f>
        <v/>
      </c>
      <c r="F6295" s="72"/>
      <c r="G6295" s="72"/>
    </row>
    <row r="6296" spans="1:7" ht="14.5" hidden="1">
      <c r="A6296" s="5"/>
      <c r="B6296" s="18"/>
      <c r="C6296" s="85"/>
      <c r="D6296" s="41"/>
      <c r="E6296" s="26" t="str">
        <f ca="1">IFERROR(__xludf.DUMMYFUNCTION("""COMPUTED_VALUE"""),"")</f>
        <v/>
      </c>
      <c r="F6296" s="72"/>
      <c r="G6296" s="72"/>
    </row>
    <row r="6297" spans="1:7" ht="14.5" hidden="1">
      <c r="A6297" s="5"/>
      <c r="B6297" s="18"/>
      <c r="C6297" s="85"/>
      <c r="D6297" s="41"/>
      <c r="E6297" s="26" t="str">
        <f ca="1">IFERROR(__xludf.DUMMYFUNCTION("""COMPUTED_VALUE"""),"")</f>
        <v/>
      </c>
      <c r="F6297" s="72"/>
      <c r="G6297" s="72"/>
    </row>
    <row r="6298" spans="1:7" ht="14.5" hidden="1">
      <c r="A6298" s="5"/>
      <c r="B6298" s="18"/>
      <c r="C6298" s="85"/>
      <c r="D6298" s="41"/>
      <c r="E6298" s="26" t="str">
        <f ca="1">IFERROR(__xludf.DUMMYFUNCTION("""COMPUTED_VALUE"""),"")</f>
        <v/>
      </c>
      <c r="F6298" s="72"/>
      <c r="G6298" s="72"/>
    </row>
    <row r="6299" spans="1:7" ht="14.5" hidden="1">
      <c r="A6299" s="5"/>
      <c r="B6299" s="18"/>
      <c r="C6299" s="85"/>
      <c r="D6299" s="41"/>
      <c r="E6299" s="26" t="str">
        <f ca="1">IFERROR(__xludf.DUMMYFUNCTION("""COMPUTED_VALUE"""),"")</f>
        <v/>
      </c>
      <c r="F6299" s="72"/>
      <c r="G6299" s="72"/>
    </row>
    <row r="6300" spans="1:7" ht="14.5" hidden="1">
      <c r="A6300" s="5"/>
      <c r="B6300" s="18"/>
      <c r="C6300" s="85"/>
      <c r="D6300" s="41"/>
      <c r="E6300" s="26" t="str">
        <f ca="1">IFERROR(__xludf.DUMMYFUNCTION("""COMPUTED_VALUE"""),"")</f>
        <v/>
      </c>
      <c r="F6300" s="72"/>
      <c r="G6300" s="72"/>
    </row>
    <row r="6301" spans="1:7" ht="14.5" hidden="1">
      <c r="A6301" s="5"/>
      <c r="B6301" s="18"/>
      <c r="C6301" s="85"/>
      <c r="D6301" s="41"/>
      <c r="E6301" s="26" t="str">
        <f ca="1">IFERROR(__xludf.DUMMYFUNCTION("""COMPUTED_VALUE"""),"")</f>
        <v/>
      </c>
      <c r="F6301" s="72"/>
      <c r="G6301" s="72"/>
    </row>
    <row r="6302" spans="1:7" ht="14.5" hidden="1">
      <c r="A6302" s="5"/>
      <c r="B6302" s="18"/>
      <c r="C6302" s="85"/>
      <c r="D6302" s="41"/>
      <c r="E6302" s="26" t="str">
        <f ca="1">IFERROR(__xludf.DUMMYFUNCTION("""COMPUTED_VALUE"""),"")</f>
        <v/>
      </c>
      <c r="F6302" s="72"/>
      <c r="G6302" s="72"/>
    </row>
    <row r="6303" spans="1:7" ht="14.5" hidden="1">
      <c r="A6303" s="5"/>
      <c r="B6303" s="18"/>
      <c r="C6303" s="85"/>
      <c r="D6303" s="41"/>
      <c r="E6303" s="26" t="str">
        <f ca="1">IFERROR(__xludf.DUMMYFUNCTION("""COMPUTED_VALUE"""),"")</f>
        <v/>
      </c>
      <c r="F6303" s="72"/>
      <c r="G6303" s="72"/>
    </row>
    <row r="6304" spans="1:7" ht="14.5" hidden="1">
      <c r="A6304" s="5"/>
      <c r="B6304" s="18"/>
      <c r="C6304" s="85"/>
      <c r="D6304" s="41"/>
      <c r="E6304" s="26" t="str">
        <f ca="1">IFERROR(__xludf.DUMMYFUNCTION("""COMPUTED_VALUE"""),"")</f>
        <v/>
      </c>
      <c r="F6304" s="72"/>
      <c r="G6304" s="72"/>
    </row>
    <row r="6305" spans="1:7" ht="14.5" hidden="1">
      <c r="A6305" s="5"/>
      <c r="B6305" s="18"/>
      <c r="C6305" s="85"/>
      <c r="D6305" s="41"/>
      <c r="E6305" s="26" t="str">
        <f ca="1">IFERROR(__xludf.DUMMYFUNCTION("""COMPUTED_VALUE"""),"")</f>
        <v/>
      </c>
      <c r="F6305" s="72"/>
      <c r="G6305" s="72"/>
    </row>
    <row r="6306" spans="1:7" ht="14.5" hidden="1">
      <c r="A6306" s="5"/>
      <c r="B6306" s="18"/>
      <c r="C6306" s="85"/>
      <c r="D6306" s="41"/>
      <c r="E6306" s="26" t="str">
        <f ca="1">IFERROR(__xludf.DUMMYFUNCTION("""COMPUTED_VALUE"""),"")</f>
        <v/>
      </c>
      <c r="F6306" s="72"/>
      <c r="G6306" s="72"/>
    </row>
    <row r="6307" spans="1:7" ht="14.5" hidden="1">
      <c r="A6307" s="5"/>
      <c r="B6307" s="18"/>
      <c r="C6307" s="85"/>
      <c r="D6307" s="41"/>
      <c r="E6307" s="26" t="str">
        <f ca="1">IFERROR(__xludf.DUMMYFUNCTION("""COMPUTED_VALUE"""),"")</f>
        <v/>
      </c>
      <c r="F6307" s="72"/>
      <c r="G6307" s="72"/>
    </row>
    <row r="6308" spans="1:7" ht="14.5" hidden="1">
      <c r="A6308" s="5"/>
      <c r="B6308" s="18"/>
      <c r="C6308" s="85"/>
      <c r="D6308" s="41"/>
      <c r="E6308" s="26" t="str">
        <f ca="1">IFERROR(__xludf.DUMMYFUNCTION("""COMPUTED_VALUE"""),"")</f>
        <v/>
      </c>
      <c r="F6308" s="72"/>
      <c r="G6308" s="72"/>
    </row>
    <row r="6309" spans="1:7" ht="14.5" hidden="1">
      <c r="A6309" s="5"/>
      <c r="B6309" s="18"/>
      <c r="C6309" s="85"/>
      <c r="D6309" s="41"/>
      <c r="E6309" s="26" t="str">
        <f ca="1">IFERROR(__xludf.DUMMYFUNCTION("""COMPUTED_VALUE"""),"")</f>
        <v/>
      </c>
      <c r="F6309" s="72"/>
      <c r="G6309" s="72"/>
    </row>
    <row r="6310" spans="1:7" ht="14.5" hidden="1">
      <c r="A6310" s="5"/>
      <c r="B6310" s="18"/>
      <c r="C6310" s="85"/>
      <c r="D6310" s="41"/>
      <c r="E6310" s="26" t="str">
        <f ca="1">IFERROR(__xludf.DUMMYFUNCTION("""COMPUTED_VALUE"""),"")</f>
        <v/>
      </c>
      <c r="F6310" s="72"/>
      <c r="G6310" s="72"/>
    </row>
    <row r="6311" spans="1:7" ht="14.5" hidden="1">
      <c r="A6311" s="5"/>
      <c r="B6311" s="18"/>
      <c r="C6311" s="85"/>
      <c r="D6311" s="41"/>
      <c r="E6311" s="26" t="str">
        <f ca="1">IFERROR(__xludf.DUMMYFUNCTION("""COMPUTED_VALUE"""),"")</f>
        <v/>
      </c>
      <c r="F6311" s="72"/>
      <c r="G6311" s="72"/>
    </row>
    <row r="6312" spans="1:7" ht="14.5" hidden="1">
      <c r="A6312" s="5"/>
      <c r="B6312" s="18"/>
      <c r="C6312" s="85"/>
      <c r="D6312" s="41"/>
      <c r="E6312" s="26" t="str">
        <f ca="1">IFERROR(__xludf.DUMMYFUNCTION("""COMPUTED_VALUE"""),"")</f>
        <v/>
      </c>
      <c r="F6312" s="72"/>
      <c r="G6312" s="72"/>
    </row>
    <row r="6313" spans="1:7" ht="14.5" hidden="1">
      <c r="A6313" s="5"/>
      <c r="B6313" s="18"/>
      <c r="C6313" s="85"/>
      <c r="D6313" s="41"/>
      <c r="E6313" s="26" t="str">
        <f ca="1">IFERROR(__xludf.DUMMYFUNCTION("""COMPUTED_VALUE"""),"")</f>
        <v/>
      </c>
      <c r="F6313" s="72"/>
      <c r="G6313" s="72"/>
    </row>
    <row r="6314" spans="1:7" ht="14.5" hidden="1">
      <c r="A6314" s="5"/>
      <c r="B6314" s="18"/>
      <c r="C6314" s="85"/>
      <c r="D6314" s="41"/>
      <c r="E6314" s="26" t="str">
        <f ca="1">IFERROR(__xludf.DUMMYFUNCTION("""COMPUTED_VALUE"""),"")</f>
        <v/>
      </c>
      <c r="F6314" s="72"/>
      <c r="G6314" s="72"/>
    </row>
    <row r="6315" spans="1:7" ht="14.5" hidden="1">
      <c r="A6315" s="5"/>
      <c r="B6315" s="18"/>
      <c r="C6315" s="85"/>
      <c r="D6315" s="41"/>
      <c r="E6315" s="26" t="str">
        <f ca="1">IFERROR(__xludf.DUMMYFUNCTION("""COMPUTED_VALUE"""),"")</f>
        <v/>
      </c>
      <c r="F6315" s="72"/>
      <c r="G6315" s="72"/>
    </row>
    <row r="6316" spans="1:7" ht="14.5" hidden="1">
      <c r="A6316" s="5"/>
      <c r="B6316" s="18"/>
      <c r="C6316" s="85"/>
      <c r="D6316" s="41"/>
      <c r="E6316" s="26" t="str">
        <f ca="1">IFERROR(__xludf.DUMMYFUNCTION("""COMPUTED_VALUE"""),"")</f>
        <v/>
      </c>
      <c r="F6316" s="72"/>
      <c r="G6316" s="72"/>
    </row>
    <row r="6317" spans="1:7" ht="14.5" hidden="1">
      <c r="A6317" s="5"/>
      <c r="B6317" s="18"/>
      <c r="C6317" s="85"/>
      <c r="D6317" s="41"/>
      <c r="E6317" s="26" t="str">
        <f ca="1">IFERROR(__xludf.DUMMYFUNCTION("""COMPUTED_VALUE"""),"")</f>
        <v/>
      </c>
      <c r="F6317" s="72"/>
      <c r="G6317" s="72"/>
    </row>
    <row r="6318" spans="1:7" ht="14.5" hidden="1">
      <c r="A6318" s="5"/>
      <c r="B6318" s="18"/>
      <c r="C6318" s="85"/>
      <c r="D6318" s="41"/>
      <c r="E6318" s="26" t="str">
        <f ca="1">IFERROR(__xludf.DUMMYFUNCTION("""COMPUTED_VALUE"""),"")</f>
        <v/>
      </c>
      <c r="F6318" s="72"/>
      <c r="G6318" s="72"/>
    </row>
    <row r="6319" spans="1:7" ht="14.5" hidden="1">
      <c r="A6319" s="5"/>
      <c r="B6319" s="18"/>
      <c r="C6319" s="85"/>
      <c r="D6319" s="41"/>
      <c r="E6319" s="26" t="str">
        <f ca="1">IFERROR(__xludf.DUMMYFUNCTION("""COMPUTED_VALUE"""),"")</f>
        <v/>
      </c>
      <c r="F6319" s="72"/>
      <c r="G6319" s="72"/>
    </row>
    <row r="6320" spans="1:7" ht="14.5" hidden="1">
      <c r="A6320" s="5"/>
      <c r="B6320" s="18"/>
      <c r="C6320" s="85"/>
      <c r="D6320" s="41"/>
      <c r="E6320" s="26" t="str">
        <f ca="1">IFERROR(__xludf.DUMMYFUNCTION("""COMPUTED_VALUE"""),"")</f>
        <v/>
      </c>
      <c r="F6320" s="72"/>
      <c r="G6320" s="72"/>
    </row>
    <row r="6321" spans="1:7" ht="14.5" hidden="1">
      <c r="A6321" s="5"/>
      <c r="B6321" s="18"/>
      <c r="C6321" s="85"/>
      <c r="D6321" s="41"/>
      <c r="E6321" s="26" t="str">
        <f ca="1">IFERROR(__xludf.DUMMYFUNCTION("""COMPUTED_VALUE"""),"")</f>
        <v/>
      </c>
      <c r="F6321" s="72"/>
      <c r="G6321" s="72"/>
    </row>
    <row r="6322" spans="1:7" ht="14.5" hidden="1">
      <c r="A6322" s="5"/>
      <c r="B6322" s="18"/>
      <c r="C6322" s="85"/>
      <c r="D6322" s="41"/>
      <c r="E6322" s="26" t="str">
        <f ca="1">IFERROR(__xludf.DUMMYFUNCTION("""COMPUTED_VALUE"""),"")</f>
        <v/>
      </c>
      <c r="F6322" s="72"/>
      <c r="G6322" s="72"/>
    </row>
    <row r="6323" spans="1:7" ht="14.5" hidden="1">
      <c r="A6323" s="5"/>
      <c r="B6323" s="18"/>
      <c r="C6323" s="85"/>
      <c r="D6323" s="41"/>
      <c r="E6323" s="26" t="str">
        <f ca="1">IFERROR(__xludf.DUMMYFUNCTION("""COMPUTED_VALUE"""),"")</f>
        <v/>
      </c>
      <c r="F6323" s="72"/>
      <c r="G6323" s="72"/>
    </row>
    <row r="6324" spans="1:7" ht="14.5" hidden="1">
      <c r="A6324" s="5"/>
      <c r="B6324" s="18"/>
      <c r="C6324" s="85"/>
      <c r="D6324" s="41"/>
      <c r="E6324" s="26" t="str">
        <f ca="1">IFERROR(__xludf.DUMMYFUNCTION("""COMPUTED_VALUE"""),"")</f>
        <v/>
      </c>
      <c r="F6324" s="72"/>
      <c r="G6324" s="72"/>
    </row>
    <row r="6325" spans="1:7" ht="14.5" hidden="1">
      <c r="A6325" s="5"/>
      <c r="B6325" s="18"/>
      <c r="C6325" s="85"/>
      <c r="D6325" s="41"/>
      <c r="E6325" s="26" t="str">
        <f ca="1">IFERROR(__xludf.DUMMYFUNCTION("""COMPUTED_VALUE"""),"")</f>
        <v/>
      </c>
      <c r="F6325" s="72"/>
      <c r="G6325" s="72"/>
    </row>
    <row r="6326" spans="1:7" ht="14.5" hidden="1">
      <c r="A6326" s="5"/>
      <c r="B6326" s="18"/>
      <c r="C6326" s="85"/>
      <c r="D6326" s="41"/>
      <c r="E6326" s="26" t="str">
        <f ca="1">IFERROR(__xludf.DUMMYFUNCTION("""COMPUTED_VALUE"""),"")</f>
        <v/>
      </c>
      <c r="F6326" s="72"/>
      <c r="G6326" s="72"/>
    </row>
    <row r="6327" spans="1:7" ht="14.5" hidden="1">
      <c r="A6327" s="5"/>
      <c r="B6327" s="18"/>
      <c r="C6327" s="85"/>
      <c r="D6327" s="41"/>
      <c r="E6327" s="26" t="str">
        <f ca="1">IFERROR(__xludf.DUMMYFUNCTION("""COMPUTED_VALUE"""),"")</f>
        <v/>
      </c>
      <c r="F6327" s="72"/>
      <c r="G6327" s="72"/>
    </row>
    <row r="6328" spans="1:7" ht="14.5" hidden="1">
      <c r="A6328" s="5"/>
      <c r="B6328" s="18"/>
      <c r="C6328" s="85"/>
      <c r="D6328" s="41"/>
      <c r="E6328" s="26" t="str">
        <f ca="1">IFERROR(__xludf.DUMMYFUNCTION("""COMPUTED_VALUE"""),"")</f>
        <v/>
      </c>
      <c r="F6328" s="72"/>
      <c r="G6328" s="72"/>
    </row>
    <row r="6329" spans="1:7" ht="14.5" hidden="1">
      <c r="A6329" s="5"/>
      <c r="B6329" s="18"/>
      <c r="C6329" s="85"/>
      <c r="D6329" s="41"/>
      <c r="E6329" s="26" t="str">
        <f ca="1">IFERROR(__xludf.DUMMYFUNCTION("""COMPUTED_VALUE"""),"")</f>
        <v/>
      </c>
      <c r="F6329" s="72"/>
      <c r="G6329" s="72"/>
    </row>
    <row r="6330" spans="1:7" ht="14.5" hidden="1">
      <c r="A6330" s="5"/>
      <c r="B6330" s="18"/>
      <c r="C6330" s="85"/>
      <c r="D6330" s="41"/>
      <c r="E6330" s="26" t="str">
        <f ca="1">IFERROR(__xludf.DUMMYFUNCTION("""COMPUTED_VALUE"""),"")</f>
        <v/>
      </c>
      <c r="F6330" s="72"/>
      <c r="G6330" s="72"/>
    </row>
    <row r="6331" spans="1:7" ht="14.5" hidden="1">
      <c r="A6331" s="5"/>
      <c r="B6331" s="18"/>
      <c r="C6331" s="85"/>
      <c r="D6331" s="41"/>
      <c r="E6331" s="26" t="str">
        <f ca="1">IFERROR(__xludf.DUMMYFUNCTION("""COMPUTED_VALUE"""),"")</f>
        <v/>
      </c>
      <c r="F6331" s="72"/>
      <c r="G6331" s="72"/>
    </row>
    <row r="6332" spans="1:7" ht="14.5" hidden="1">
      <c r="A6332" s="5"/>
      <c r="B6332" s="18"/>
      <c r="C6332" s="85"/>
      <c r="D6332" s="41"/>
      <c r="E6332" s="26" t="str">
        <f ca="1">IFERROR(__xludf.DUMMYFUNCTION("""COMPUTED_VALUE"""),"")</f>
        <v/>
      </c>
      <c r="F6332" s="72"/>
      <c r="G6332" s="72"/>
    </row>
    <row r="6333" spans="1:7" ht="14.5" hidden="1">
      <c r="A6333" s="5"/>
      <c r="B6333" s="18"/>
      <c r="C6333" s="85"/>
      <c r="D6333" s="41"/>
      <c r="E6333" s="26" t="str">
        <f ca="1">IFERROR(__xludf.DUMMYFUNCTION("""COMPUTED_VALUE"""),"")</f>
        <v/>
      </c>
      <c r="F6333" s="72"/>
      <c r="G6333" s="72"/>
    </row>
    <row r="6334" spans="1:7" ht="14.5" hidden="1">
      <c r="A6334" s="5"/>
      <c r="B6334" s="18"/>
      <c r="C6334" s="85"/>
      <c r="D6334" s="41"/>
      <c r="E6334" s="26" t="str">
        <f ca="1">IFERROR(__xludf.DUMMYFUNCTION("""COMPUTED_VALUE"""),"")</f>
        <v/>
      </c>
      <c r="F6334" s="72"/>
      <c r="G6334" s="72"/>
    </row>
    <row r="6335" spans="1:7" ht="14.5" hidden="1">
      <c r="A6335" s="5"/>
      <c r="B6335" s="18"/>
      <c r="C6335" s="85"/>
      <c r="D6335" s="41"/>
      <c r="E6335" s="26" t="str">
        <f ca="1">IFERROR(__xludf.DUMMYFUNCTION("""COMPUTED_VALUE"""),"")</f>
        <v/>
      </c>
      <c r="F6335" s="72"/>
      <c r="G6335" s="72"/>
    </row>
    <row r="6336" spans="1:7" ht="14.5" hidden="1">
      <c r="A6336" s="5"/>
      <c r="B6336" s="18"/>
      <c r="C6336" s="85"/>
      <c r="D6336" s="41"/>
      <c r="E6336" s="26" t="str">
        <f ca="1">IFERROR(__xludf.DUMMYFUNCTION("""COMPUTED_VALUE"""),"")</f>
        <v/>
      </c>
      <c r="F6336" s="72"/>
      <c r="G6336" s="72"/>
    </row>
    <row r="6337" spans="1:7" ht="14.5" hidden="1">
      <c r="A6337" s="5"/>
      <c r="B6337" s="18"/>
      <c r="C6337" s="85"/>
      <c r="D6337" s="41"/>
      <c r="E6337" s="26" t="str">
        <f ca="1">IFERROR(__xludf.DUMMYFUNCTION("""COMPUTED_VALUE"""),"")</f>
        <v/>
      </c>
      <c r="F6337" s="72"/>
      <c r="G6337" s="72"/>
    </row>
    <row r="6338" spans="1:7" ht="14.5" hidden="1">
      <c r="A6338" s="5"/>
      <c r="B6338" s="18"/>
      <c r="C6338" s="85"/>
      <c r="D6338" s="41"/>
      <c r="E6338" s="26" t="str">
        <f ca="1">IFERROR(__xludf.DUMMYFUNCTION("""COMPUTED_VALUE"""),"")</f>
        <v/>
      </c>
      <c r="F6338" s="72"/>
      <c r="G6338" s="72"/>
    </row>
    <row r="6339" spans="1:7" ht="14.5" hidden="1">
      <c r="A6339" s="5"/>
      <c r="B6339" s="18"/>
      <c r="C6339" s="85"/>
      <c r="D6339" s="41"/>
      <c r="E6339" s="26" t="str">
        <f ca="1">IFERROR(__xludf.DUMMYFUNCTION("""COMPUTED_VALUE"""),"")</f>
        <v/>
      </c>
      <c r="F6339" s="72"/>
      <c r="G6339" s="72"/>
    </row>
    <row r="6340" spans="1:7" ht="14.5" hidden="1">
      <c r="A6340" s="5"/>
      <c r="B6340" s="18"/>
      <c r="C6340" s="85"/>
      <c r="D6340" s="41"/>
      <c r="E6340" s="26" t="str">
        <f ca="1">IFERROR(__xludf.DUMMYFUNCTION("""COMPUTED_VALUE"""),"")</f>
        <v/>
      </c>
      <c r="F6340" s="72"/>
      <c r="G6340" s="72"/>
    </row>
    <row r="6341" spans="1:7" ht="14.5" hidden="1">
      <c r="A6341" s="5"/>
      <c r="B6341" s="18"/>
      <c r="C6341" s="85"/>
      <c r="D6341" s="41"/>
      <c r="E6341" s="26" t="str">
        <f ca="1">IFERROR(__xludf.DUMMYFUNCTION("""COMPUTED_VALUE"""),"")</f>
        <v/>
      </c>
      <c r="F6341" s="72"/>
      <c r="G6341" s="72"/>
    </row>
    <row r="6342" spans="1:7" ht="14.5" hidden="1">
      <c r="A6342" s="5"/>
      <c r="B6342" s="18"/>
      <c r="C6342" s="85"/>
      <c r="D6342" s="41"/>
      <c r="E6342" s="26" t="str">
        <f ca="1">IFERROR(__xludf.DUMMYFUNCTION("""COMPUTED_VALUE"""),"")</f>
        <v/>
      </c>
      <c r="F6342" s="72"/>
      <c r="G6342" s="72"/>
    </row>
    <row r="6343" spans="1:7" ht="14.5" hidden="1">
      <c r="A6343" s="5"/>
      <c r="B6343" s="18"/>
      <c r="C6343" s="85"/>
      <c r="D6343" s="41"/>
      <c r="E6343" s="26" t="str">
        <f ca="1">IFERROR(__xludf.DUMMYFUNCTION("""COMPUTED_VALUE"""),"")</f>
        <v/>
      </c>
      <c r="F6343" s="72"/>
      <c r="G6343" s="72"/>
    </row>
    <row r="6344" spans="1:7" ht="14.5" hidden="1">
      <c r="A6344" s="5"/>
      <c r="B6344" s="18"/>
      <c r="C6344" s="85"/>
      <c r="D6344" s="41"/>
      <c r="E6344" s="26" t="str">
        <f ca="1">IFERROR(__xludf.DUMMYFUNCTION("""COMPUTED_VALUE"""),"")</f>
        <v/>
      </c>
      <c r="F6344" s="72"/>
      <c r="G6344" s="72"/>
    </row>
    <row r="6345" spans="1:7" ht="14.5" hidden="1">
      <c r="A6345" s="5"/>
      <c r="B6345" s="18"/>
      <c r="C6345" s="85"/>
      <c r="D6345" s="41"/>
      <c r="E6345" s="26" t="str">
        <f ca="1">IFERROR(__xludf.DUMMYFUNCTION("""COMPUTED_VALUE"""),"")</f>
        <v/>
      </c>
      <c r="F6345" s="72"/>
      <c r="G6345" s="72"/>
    </row>
    <row r="6346" spans="1:7" ht="14.5" hidden="1">
      <c r="A6346" s="5"/>
      <c r="B6346" s="18"/>
      <c r="C6346" s="85"/>
      <c r="D6346" s="41"/>
      <c r="E6346" s="26" t="str">
        <f ca="1">IFERROR(__xludf.DUMMYFUNCTION("""COMPUTED_VALUE"""),"")</f>
        <v/>
      </c>
      <c r="F6346" s="72"/>
      <c r="G6346" s="72"/>
    </row>
    <row r="6347" spans="1:7" ht="14.5" hidden="1">
      <c r="A6347" s="5"/>
      <c r="B6347" s="18"/>
      <c r="C6347" s="85"/>
      <c r="D6347" s="41"/>
      <c r="E6347" s="26" t="str">
        <f ca="1">IFERROR(__xludf.DUMMYFUNCTION("""COMPUTED_VALUE"""),"")</f>
        <v/>
      </c>
      <c r="F6347" s="72"/>
      <c r="G6347" s="72"/>
    </row>
    <row r="6348" spans="1:7" ht="14.5" hidden="1">
      <c r="A6348" s="5"/>
      <c r="B6348" s="18"/>
      <c r="C6348" s="85"/>
      <c r="D6348" s="41"/>
      <c r="E6348" s="26" t="str">
        <f ca="1">IFERROR(__xludf.DUMMYFUNCTION("""COMPUTED_VALUE"""),"")</f>
        <v/>
      </c>
      <c r="F6348" s="72"/>
      <c r="G6348" s="72"/>
    </row>
    <row r="6349" spans="1:7" ht="14.5" hidden="1">
      <c r="A6349" s="5"/>
      <c r="B6349" s="18"/>
      <c r="C6349" s="85"/>
      <c r="D6349" s="41"/>
      <c r="E6349" s="26" t="str">
        <f ca="1">IFERROR(__xludf.DUMMYFUNCTION("""COMPUTED_VALUE"""),"")</f>
        <v/>
      </c>
      <c r="F6349" s="72"/>
      <c r="G6349" s="72"/>
    </row>
    <row r="6350" spans="1:7" ht="14.5" hidden="1">
      <c r="A6350" s="5"/>
      <c r="B6350" s="18"/>
      <c r="C6350" s="85"/>
      <c r="D6350" s="41"/>
      <c r="E6350" s="26" t="str">
        <f ca="1">IFERROR(__xludf.DUMMYFUNCTION("""COMPUTED_VALUE"""),"")</f>
        <v/>
      </c>
      <c r="F6350" s="72"/>
      <c r="G6350" s="72"/>
    </row>
    <row r="6351" spans="1:7" ht="14.5" hidden="1">
      <c r="A6351" s="5"/>
      <c r="B6351" s="18"/>
      <c r="C6351" s="85"/>
      <c r="D6351" s="41"/>
      <c r="E6351" s="26" t="str">
        <f ca="1">IFERROR(__xludf.DUMMYFUNCTION("""COMPUTED_VALUE"""),"")</f>
        <v/>
      </c>
      <c r="F6351" s="72"/>
      <c r="G6351" s="72"/>
    </row>
    <row r="6352" spans="1:7" ht="14.5" hidden="1">
      <c r="A6352" s="5"/>
      <c r="B6352" s="18"/>
      <c r="C6352" s="85"/>
      <c r="D6352" s="41"/>
      <c r="E6352" s="26" t="str">
        <f ca="1">IFERROR(__xludf.DUMMYFUNCTION("""COMPUTED_VALUE"""),"")</f>
        <v/>
      </c>
      <c r="F6352" s="72"/>
      <c r="G6352" s="72"/>
    </row>
    <row r="6353" spans="1:7" ht="14.5" hidden="1">
      <c r="A6353" s="5"/>
      <c r="B6353" s="18"/>
      <c r="C6353" s="85"/>
      <c r="D6353" s="41"/>
      <c r="E6353" s="26" t="str">
        <f ca="1">IFERROR(__xludf.DUMMYFUNCTION("""COMPUTED_VALUE"""),"")</f>
        <v/>
      </c>
      <c r="F6353" s="72"/>
      <c r="G6353" s="72"/>
    </row>
    <row r="6354" spans="1:7" ht="14.5" hidden="1">
      <c r="A6354" s="5"/>
      <c r="B6354" s="18"/>
      <c r="C6354" s="85"/>
      <c r="D6354" s="41"/>
      <c r="E6354" s="26" t="str">
        <f ca="1">IFERROR(__xludf.DUMMYFUNCTION("""COMPUTED_VALUE"""),"")</f>
        <v/>
      </c>
      <c r="F6354" s="72"/>
      <c r="G6354" s="72"/>
    </row>
    <row r="6355" spans="1:7" ht="14.5" hidden="1">
      <c r="A6355" s="5"/>
      <c r="B6355" s="18"/>
      <c r="C6355" s="85"/>
      <c r="D6355" s="41"/>
      <c r="E6355" s="26" t="str">
        <f ca="1">IFERROR(__xludf.DUMMYFUNCTION("""COMPUTED_VALUE"""),"")</f>
        <v/>
      </c>
      <c r="F6355" s="72"/>
      <c r="G6355" s="72"/>
    </row>
    <row r="6356" spans="1:7" ht="14.5" hidden="1">
      <c r="A6356" s="5"/>
      <c r="B6356" s="18"/>
      <c r="C6356" s="85"/>
      <c r="D6356" s="41"/>
      <c r="E6356" s="26" t="str">
        <f ca="1">IFERROR(__xludf.DUMMYFUNCTION("""COMPUTED_VALUE"""),"")</f>
        <v/>
      </c>
      <c r="F6356" s="72"/>
      <c r="G6356" s="72"/>
    </row>
    <row r="6357" spans="1:7" ht="14.5" hidden="1">
      <c r="A6357" s="5"/>
      <c r="B6357" s="18"/>
      <c r="C6357" s="85"/>
      <c r="D6357" s="41"/>
      <c r="E6357" s="26" t="str">
        <f ca="1">IFERROR(__xludf.DUMMYFUNCTION("""COMPUTED_VALUE"""),"")</f>
        <v/>
      </c>
      <c r="F6357" s="72"/>
      <c r="G6357" s="72"/>
    </row>
    <row r="6358" spans="1:7" ht="14.5" hidden="1">
      <c r="A6358" s="5"/>
      <c r="B6358" s="18"/>
      <c r="C6358" s="85"/>
      <c r="D6358" s="41"/>
      <c r="E6358" s="26" t="str">
        <f ca="1">IFERROR(__xludf.DUMMYFUNCTION("""COMPUTED_VALUE"""),"")</f>
        <v/>
      </c>
      <c r="F6358" s="72"/>
      <c r="G6358" s="72"/>
    </row>
    <row r="6359" spans="1:7" ht="14.5" hidden="1">
      <c r="A6359" s="5"/>
      <c r="B6359" s="18"/>
      <c r="C6359" s="85"/>
      <c r="D6359" s="41"/>
      <c r="E6359" s="26" t="str">
        <f ca="1">IFERROR(__xludf.DUMMYFUNCTION("""COMPUTED_VALUE"""),"")</f>
        <v/>
      </c>
      <c r="F6359" s="72"/>
      <c r="G6359" s="72"/>
    </row>
    <row r="6360" spans="1:7" ht="14.5" hidden="1">
      <c r="A6360" s="5"/>
      <c r="B6360" s="18"/>
      <c r="C6360" s="85"/>
      <c r="D6360" s="41"/>
      <c r="E6360" s="26" t="str">
        <f ca="1">IFERROR(__xludf.DUMMYFUNCTION("""COMPUTED_VALUE"""),"")</f>
        <v/>
      </c>
      <c r="F6360" s="72"/>
      <c r="G6360" s="72"/>
    </row>
    <row r="6361" spans="1:7" ht="14.5" hidden="1">
      <c r="A6361" s="5"/>
      <c r="B6361" s="18"/>
      <c r="C6361" s="85"/>
      <c r="D6361" s="41"/>
      <c r="E6361" s="26" t="str">
        <f ca="1">IFERROR(__xludf.DUMMYFUNCTION("""COMPUTED_VALUE"""),"")</f>
        <v/>
      </c>
      <c r="F6361" s="72"/>
      <c r="G6361" s="72"/>
    </row>
    <row r="6362" spans="1:7" ht="14.5" hidden="1">
      <c r="A6362" s="5"/>
      <c r="B6362" s="18"/>
      <c r="C6362" s="85"/>
      <c r="D6362" s="41"/>
      <c r="E6362" s="26" t="str">
        <f ca="1">IFERROR(__xludf.DUMMYFUNCTION("""COMPUTED_VALUE"""),"")</f>
        <v/>
      </c>
      <c r="F6362" s="72"/>
      <c r="G6362" s="72"/>
    </row>
    <row r="6363" spans="1:7" ht="14.5" hidden="1">
      <c r="A6363" s="5"/>
      <c r="B6363" s="18"/>
      <c r="C6363" s="85"/>
      <c r="D6363" s="41"/>
      <c r="E6363" s="26" t="str">
        <f ca="1">IFERROR(__xludf.DUMMYFUNCTION("""COMPUTED_VALUE"""),"")</f>
        <v/>
      </c>
      <c r="F6363" s="72"/>
      <c r="G6363" s="72"/>
    </row>
    <row r="6364" spans="1:7" ht="14.5" hidden="1">
      <c r="A6364" s="5"/>
      <c r="B6364" s="18"/>
      <c r="C6364" s="85"/>
      <c r="D6364" s="41"/>
      <c r="E6364" s="26" t="str">
        <f ca="1">IFERROR(__xludf.DUMMYFUNCTION("""COMPUTED_VALUE"""),"")</f>
        <v/>
      </c>
      <c r="F6364" s="72"/>
      <c r="G6364" s="72"/>
    </row>
    <row r="6365" spans="1:7" ht="14.5" hidden="1">
      <c r="A6365" s="5"/>
      <c r="B6365" s="18"/>
      <c r="C6365" s="85"/>
      <c r="D6365" s="41"/>
      <c r="E6365" s="26" t="str">
        <f ca="1">IFERROR(__xludf.DUMMYFUNCTION("""COMPUTED_VALUE"""),"")</f>
        <v/>
      </c>
      <c r="F6365" s="72"/>
      <c r="G6365" s="72"/>
    </row>
    <row r="6366" spans="1:7" ht="14.5" hidden="1">
      <c r="A6366" s="5"/>
      <c r="B6366" s="18"/>
      <c r="C6366" s="85"/>
      <c r="D6366" s="41"/>
      <c r="E6366" s="26" t="str">
        <f ca="1">IFERROR(__xludf.DUMMYFUNCTION("""COMPUTED_VALUE"""),"")</f>
        <v/>
      </c>
      <c r="F6366" s="72"/>
      <c r="G6366" s="72"/>
    </row>
    <row r="6367" spans="1:7" ht="14.5" hidden="1">
      <c r="A6367" s="5"/>
      <c r="B6367" s="18"/>
      <c r="C6367" s="85"/>
      <c r="D6367" s="41"/>
      <c r="E6367" s="26" t="str">
        <f ca="1">IFERROR(__xludf.DUMMYFUNCTION("""COMPUTED_VALUE"""),"")</f>
        <v/>
      </c>
      <c r="F6367" s="72"/>
      <c r="G6367" s="72"/>
    </row>
    <row r="6368" spans="1:7" ht="14.5" hidden="1">
      <c r="A6368" s="5"/>
      <c r="B6368" s="18"/>
      <c r="C6368" s="85"/>
      <c r="D6368" s="41"/>
      <c r="E6368" s="26" t="str">
        <f ca="1">IFERROR(__xludf.DUMMYFUNCTION("""COMPUTED_VALUE"""),"")</f>
        <v/>
      </c>
      <c r="F6368" s="72"/>
      <c r="G6368" s="72"/>
    </row>
    <row r="6369" spans="1:7" ht="14.5" hidden="1">
      <c r="A6369" s="5"/>
      <c r="B6369" s="18"/>
      <c r="C6369" s="85"/>
      <c r="D6369" s="41"/>
      <c r="E6369" s="26" t="str">
        <f ca="1">IFERROR(__xludf.DUMMYFUNCTION("""COMPUTED_VALUE"""),"")</f>
        <v/>
      </c>
      <c r="F6369" s="72"/>
      <c r="G6369" s="72"/>
    </row>
    <row r="6370" spans="1:7" ht="14.5" hidden="1">
      <c r="A6370" s="5"/>
      <c r="B6370" s="18"/>
      <c r="C6370" s="85"/>
      <c r="D6370" s="41"/>
      <c r="E6370" s="26" t="str">
        <f ca="1">IFERROR(__xludf.DUMMYFUNCTION("""COMPUTED_VALUE"""),"")</f>
        <v/>
      </c>
      <c r="F6370" s="72"/>
      <c r="G6370" s="72"/>
    </row>
    <row r="6371" spans="1:7" ht="14.5" hidden="1">
      <c r="A6371" s="5"/>
      <c r="B6371" s="18"/>
      <c r="C6371" s="85"/>
      <c r="D6371" s="41"/>
      <c r="E6371" s="26" t="str">
        <f ca="1">IFERROR(__xludf.DUMMYFUNCTION("""COMPUTED_VALUE"""),"")</f>
        <v/>
      </c>
      <c r="F6371" s="72"/>
      <c r="G6371" s="72"/>
    </row>
    <row r="6372" spans="1:7" ht="14.5" hidden="1">
      <c r="A6372" s="5"/>
      <c r="B6372" s="18"/>
      <c r="C6372" s="85"/>
      <c r="D6372" s="41"/>
      <c r="E6372" s="26" t="str">
        <f ca="1">IFERROR(__xludf.DUMMYFUNCTION("""COMPUTED_VALUE"""),"")</f>
        <v/>
      </c>
      <c r="F6372" s="72"/>
      <c r="G6372" s="72"/>
    </row>
    <row r="6373" spans="1:7" ht="14.5" hidden="1">
      <c r="A6373" s="5"/>
      <c r="B6373" s="18"/>
      <c r="C6373" s="85"/>
      <c r="D6373" s="41"/>
      <c r="E6373" s="26" t="str">
        <f ca="1">IFERROR(__xludf.DUMMYFUNCTION("""COMPUTED_VALUE"""),"")</f>
        <v/>
      </c>
      <c r="F6373" s="72"/>
      <c r="G6373" s="72"/>
    </row>
    <row r="6374" spans="1:7" ht="14.5" hidden="1">
      <c r="A6374" s="5"/>
      <c r="B6374" s="18"/>
      <c r="C6374" s="85"/>
      <c r="D6374" s="41"/>
      <c r="E6374" s="26" t="str">
        <f ca="1">IFERROR(__xludf.DUMMYFUNCTION("""COMPUTED_VALUE"""),"")</f>
        <v/>
      </c>
      <c r="F6374" s="72"/>
      <c r="G6374" s="72"/>
    </row>
    <row r="6375" spans="1:7" ht="14.5" hidden="1">
      <c r="A6375" s="5"/>
      <c r="B6375" s="18"/>
      <c r="C6375" s="85"/>
      <c r="D6375" s="41"/>
      <c r="E6375" s="26" t="str">
        <f ca="1">IFERROR(__xludf.DUMMYFUNCTION("""COMPUTED_VALUE"""),"")</f>
        <v/>
      </c>
      <c r="F6375" s="72"/>
      <c r="G6375" s="72"/>
    </row>
    <row r="6376" spans="1:7" ht="14.5" hidden="1">
      <c r="A6376" s="5"/>
      <c r="B6376" s="18"/>
      <c r="C6376" s="85"/>
      <c r="D6376" s="41"/>
      <c r="E6376" s="26" t="str">
        <f ca="1">IFERROR(__xludf.DUMMYFUNCTION("""COMPUTED_VALUE"""),"")</f>
        <v/>
      </c>
      <c r="F6376" s="72"/>
      <c r="G6376" s="72"/>
    </row>
    <row r="6377" spans="1:7" ht="14.5" hidden="1">
      <c r="A6377" s="5"/>
      <c r="B6377" s="18"/>
      <c r="C6377" s="85"/>
      <c r="D6377" s="41"/>
      <c r="E6377" s="26" t="str">
        <f ca="1">IFERROR(__xludf.DUMMYFUNCTION("""COMPUTED_VALUE"""),"")</f>
        <v/>
      </c>
      <c r="F6377" s="72"/>
      <c r="G6377" s="72"/>
    </row>
    <row r="6378" spans="1:7" ht="14.5" hidden="1">
      <c r="A6378" s="5"/>
      <c r="B6378" s="18"/>
      <c r="C6378" s="85"/>
      <c r="D6378" s="41"/>
      <c r="E6378" s="26" t="str">
        <f ca="1">IFERROR(__xludf.DUMMYFUNCTION("""COMPUTED_VALUE"""),"")</f>
        <v/>
      </c>
      <c r="F6378" s="72"/>
      <c r="G6378" s="72"/>
    </row>
    <row r="6379" spans="1:7" ht="14.5" hidden="1">
      <c r="A6379" s="5"/>
      <c r="B6379" s="18"/>
      <c r="C6379" s="85"/>
      <c r="D6379" s="41"/>
      <c r="E6379" s="26" t="str">
        <f ca="1">IFERROR(__xludf.DUMMYFUNCTION("""COMPUTED_VALUE"""),"")</f>
        <v/>
      </c>
      <c r="F6379" s="72"/>
      <c r="G6379" s="72"/>
    </row>
    <row r="6380" spans="1:7" ht="14.5" hidden="1">
      <c r="A6380" s="5"/>
      <c r="B6380" s="18"/>
      <c r="C6380" s="85"/>
      <c r="D6380" s="41"/>
      <c r="E6380" s="26" t="str">
        <f ca="1">IFERROR(__xludf.DUMMYFUNCTION("""COMPUTED_VALUE"""),"")</f>
        <v/>
      </c>
      <c r="F6380" s="72"/>
      <c r="G6380" s="72"/>
    </row>
    <row r="6381" spans="1:7" ht="14.5" hidden="1">
      <c r="A6381" s="5"/>
      <c r="B6381" s="18"/>
      <c r="C6381" s="85"/>
      <c r="D6381" s="41"/>
      <c r="E6381" s="26" t="str">
        <f ca="1">IFERROR(__xludf.DUMMYFUNCTION("""COMPUTED_VALUE"""),"")</f>
        <v/>
      </c>
      <c r="F6381" s="72"/>
      <c r="G6381" s="72"/>
    </row>
    <row r="6382" spans="1:7" ht="14.5" hidden="1">
      <c r="A6382" s="5"/>
      <c r="B6382" s="18"/>
      <c r="C6382" s="85"/>
      <c r="D6382" s="41"/>
      <c r="E6382" s="26" t="str">
        <f ca="1">IFERROR(__xludf.DUMMYFUNCTION("""COMPUTED_VALUE"""),"")</f>
        <v/>
      </c>
      <c r="F6382" s="72"/>
      <c r="G6382" s="72"/>
    </row>
    <row r="6383" spans="1:7" ht="14.5" hidden="1">
      <c r="A6383" s="5"/>
      <c r="B6383" s="18"/>
      <c r="C6383" s="85"/>
      <c r="D6383" s="41"/>
      <c r="E6383" s="26" t="str">
        <f ca="1">IFERROR(__xludf.DUMMYFUNCTION("""COMPUTED_VALUE"""),"")</f>
        <v/>
      </c>
      <c r="F6383" s="72"/>
      <c r="G6383" s="72"/>
    </row>
    <row r="6384" spans="1:7" ht="14.5" hidden="1">
      <c r="A6384" s="5"/>
      <c r="B6384" s="18"/>
      <c r="C6384" s="85"/>
      <c r="D6384" s="41"/>
      <c r="E6384" s="26" t="str">
        <f ca="1">IFERROR(__xludf.DUMMYFUNCTION("""COMPUTED_VALUE"""),"")</f>
        <v/>
      </c>
      <c r="F6384" s="72"/>
      <c r="G6384" s="72"/>
    </row>
    <row r="6385" spans="1:7" ht="14.5" hidden="1">
      <c r="A6385" s="5"/>
      <c r="B6385" s="18"/>
      <c r="C6385" s="85"/>
      <c r="D6385" s="41"/>
      <c r="E6385" s="26" t="str">
        <f ca="1">IFERROR(__xludf.DUMMYFUNCTION("""COMPUTED_VALUE"""),"")</f>
        <v/>
      </c>
      <c r="F6385" s="72"/>
      <c r="G6385" s="72"/>
    </row>
    <row r="6386" spans="1:7" ht="14.5" hidden="1">
      <c r="A6386" s="5"/>
      <c r="B6386" s="18"/>
      <c r="C6386" s="85"/>
      <c r="D6386" s="41"/>
      <c r="E6386" s="26" t="str">
        <f ca="1">IFERROR(__xludf.DUMMYFUNCTION("""COMPUTED_VALUE"""),"")</f>
        <v/>
      </c>
      <c r="F6386" s="72"/>
      <c r="G6386" s="72"/>
    </row>
    <row r="6387" spans="1:7" ht="14.5" hidden="1">
      <c r="A6387" s="5"/>
      <c r="B6387" s="18"/>
      <c r="C6387" s="85"/>
      <c r="D6387" s="41"/>
      <c r="E6387" s="26" t="str">
        <f ca="1">IFERROR(__xludf.DUMMYFUNCTION("""COMPUTED_VALUE"""),"")</f>
        <v/>
      </c>
      <c r="F6387" s="72"/>
      <c r="G6387" s="72"/>
    </row>
    <row r="6388" spans="1:7" ht="14.5" hidden="1">
      <c r="A6388" s="5"/>
      <c r="B6388" s="18"/>
      <c r="C6388" s="85"/>
      <c r="D6388" s="41"/>
      <c r="E6388" s="26" t="str">
        <f ca="1">IFERROR(__xludf.DUMMYFUNCTION("""COMPUTED_VALUE"""),"")</f>
        <v/>
      </c>
      <c r="F6388" s="72"/>
      <c r="G6388" s="72"/>
    </row>
    <row r="6389" spans="1:7" ht="14.5" hidden="1">
      <c r="A6389" s="5"/>
      <c r="B6389" s="18"/>
      <c r="C6389" s="85"/>
      <c r="D6389" s="41"/>
      <c r="E6389" s="26" t="str">
        <f ca="1">IFERROR(__xludf.DUMMYFUNCTION("""COMPUTED_VALUE"""),"")</f>
        <v/>
      </c>
      <c r="F6389" s="72"/>
      <c r="G6389" s="72"/>
    </row>
    <row r="6390" spans="1:7" ht="14.5" hidden="1">
      <c r="A6390" s="5"/>
      <c r="B6390" s="18"/>
      <c r="C6390" s="85"/>
      <c r="D6390" s="41"/>
      <c r="E6390" s="26" t="str">
        <f ca="1">IFERROR(__xludf.DUMMYFUNCTION("""COMPUTED_VALUE"""),"")</f>
        <v/>
      </c>
      <c r="F6390" s="72"/>
      <c r="G6390" s="72"/>
    </row>
    <row r="6391" spans="1:7" ht="14.5" hidden="1">
      <c r="A6391" s="5"/>
      <c r="B6391" s="18"/>
      <c r="C6391" s="85"/>
      <c r="D6391" s="41"/>
      <c r="E6391" s="26" t="str">
        <f ca="1">IFERROR(__xludf.DUMMYFUNCTION("""COMPUTED_VALUE"""),"")</f>
        <v/>
      </c>
      <c r="F6391" s="72"/>
      <c r="G6391" s="72"/>
    </row>
    <row r="6392" spans="1:7" ht="14.5" hidden="1">
      <c r="A6392" s="5"/>
      <c r="B6392" s="18"/>
      <c r="C6392" s="85"/>
      <c r="D6392" s="41"/>
      <c r="E6392" s="26" t="str">
        <f ca="1">IFERROR(__xludf.DUMMYFUNCTION("""COMPUTED_VALUE"""),"")</f>
        <v/>
      </c>
      <c r="F6392" s="72"/>
      <c r="G6392" s="72"/>
    </row>
    <row r="6393" spans="1:7" ht="14.5" hidden="1">
      <c r="A6393" s="5"/>
      <c r="B6393" s="18"/>
      <c r="C6393" s="85"/>
      <c r="D6393" s="41"/>
      <c r="E6393" s="26" t="str">
        <f ca="1">IFERROR(__xludf.DUMMYFUNCTION("""COMPUTED_VALUE"""),"")</f>
        <v/>
      </c>
      <c r="F6393" s="72"/>
      <c r="G6393" s="72"/>
    </row>
    <row r="6394" spans="1:7" ht="14.5" hidden="1">
      <c r="A6394" s="5"/>
      <c r="B6394" s="18"/>
      <c r="C6394" s="85"/>
      <c r="D6394" s="41"/>
      <c r="E6394" s="26" t="str">
        <f ca="1">IFERROR(__xludf.DUMMYFUNCTION("""COMPUTED_VALUE"""),"")</f>
        <v/>
      </c>
      <c r="F6394" s="72"/>
      <c r="G6394" s="72"/>
    </row>
    <row r="6395" spans="1:7" ht="14.5" hidden="1">
      <c r="A6395" s="5"/>
      <c r="B6395" s="18"/>
      <c r="C6395" s="85"/>
      <c r="D6395" s="41"/>
      <c r="E6395" s="26" t="str">
        <f ca="1">IFERROR(__xludf.DUMMYFUNCTION("""COMPUTED_VALUE"""),"")</f>
        <v/>
      </c>
      <c r="F6395" s="72"/>
      <c r="G6395" s="72"/>
    </row>
    <row r="6396" spans="1:7" ht="14.5" hidden="1">
      <c r="A6396" s="5"/>
      <c r="B6396" s="18"/>
      <c r="C6396" s="85"/>
      <c r="D6396" s="41"/>
      <c r="E6396" s="26" t="str">
        <f ca="1">IFERROR(__xludf.DUMMYFUNCTION("""COMPUTED_VALUE"""),"")</f>
        <v/>
      </c>
      <c r="F6396" s="72"/>
      <c r="G6396" s="72"/>
    </row>
    <row r="6397" spans="1:7" ht="14.5" hidden="1">
      <c r="A6397" s="5"/>
      <c r="B6397" s="18"/>
      <c r="C6397" s="85"/>
      <c r="D6397" s="41"/>
      <c r="E6397" s="26" t="str">
        <f ca="1">IFERROR(__xludf.DUMMYFUNCTION("""COMPUTED_VALUE"""),"")</f>
        <v/>
      </c>
      <c r="F6397" s="72"/>
      <c r="G6397" s="72"/>
    </row>
    <row r="6398" spans="1:7" ht="14.5" hidden="1">
      <c r="A6398" s="5"/>
      <c r="B6398" s="18"/>
      <c r="C6398" s="85"/>
      <c r="D6398" s="41"/>
      <c r="E6398" s="26" t="str">
        <f ca="1">IFERROR(__xludf.DUMMYFUNCTION("""COMPUTED_VALUE"""),"")</f>
        <v/>
      </c>
      <c r="F6398" s="72"/>
      <c r="G6398" s="72"/>
    </row>
    <row r="6399" spans="1:7" ht="14.5" hidden="1">
      <c r="A6399" s="5"/>
      <c r="B6399" s="18"/>
      <c r="C6399" s="85"/>
      <c r="D6399" s="41"/>
      <c r="E6399" s="26" t="str">
        <f ca="1">IFERROR(__xludf.DUMMYFUNCTION("""COMPUTED_VALUE"""),"")</f>
        <v/>
      </c>
      <c r="F6399" s="72"/>
      <c r="G6399" s="72"/>
    </row>
    <row r="6400" spans="1:7" ht="14.5" hidden="1">
      <c r="A6400" s="5"/>
      <c r="B6400" s="18"/>
      <c r="C6400" s="85"/>
      <c r="D6400" s="41"/>
      <c r="E6400" s="26" t="str">
        <f ca="1">IFERROR(__xludf.DUMMYFUNCTION("""COMPUTED_VALUE"""),"")</f>
        <v/>
      </c>
      <c r="F6400" s="72"/>
      <c r="G6400" s="72"/>
    </row>
    <row r="6401" spans="1:7" ht="14.5" hidden="1">
      <c r="A6401" s="5"/>
      <c r="B6401" s="18"/>
      <c r="C6401" s="85"/>
      <c r="D6401" s="41"/>
      <c r="E6401" s="26" t="str">
        <f ca="1">IFERROR(__xludf.DUMMYFUNCTION("""COMPUTED_VALUE"""),"")</f>
        <v/>
      </c>
      <c r="F6401" s="72"/>
      <c r="G6401" s="72"/>
    </row>
    <row r="6402" spans="1:7" ht="14.5" hidden="1">
      <c r="A6402" s="5"/>
      <c r="B6402" s="18"/>
      <c r="C6402" s="85"/>
      <c r="D6402" s="41"/>
      <c r="E6402" s="26" t="str">
        <f ca="1">IFERROR(__xludf.DUMMYFUNCTION("""COMPUTED_VALUE"""),"")</f>
        <v/>
      </c>
      <c r="F6402" s="72"/>
      <c r="G6402" s="72"/>
    </row>
    <row r="6403" spans="1:7" ht="14.5" hidden="1">
      <c r="A6403" s="5"/>
      <c r="B6403" s="18"/>
      <c r="C6403" s="85"/>
      <c r="D6403" s="41"/>
      <c r="E6403" s="26" t="str">
        <f ca="1">IFERROR(__xludf.DUMMYFUNCTION("""COMPUTED_VALUE"""),"")</f>
        <v/>
      </c>
      <c r="F6403" s="72"/>
      <c r="G6403" s="72"/>
    </row>
    <row r="6404" spans="1:7" ht="14.5" hidden="1">
      <c r="A6404" s="5"/>
      <c r="B6404" s="18"/>
      <c r="C6404" s="85"/>
      <c r="D6404" s="41"/>
      <c r="E6404" s="26" t="str">
        <f ca="1">IFERROR(__xludf.DUMMYFUNCTION("""COMPUTED_VALUE"""),"")</f>
        <v/>
      </c>
      <c r="F6404" s="72"/>
      <c r="G6404" s="72"/>
    </row>
    <row r="6405" spans="1:7" ht="14.5" hidden="1">
      <c r="A6405" s="5"/>
      <c r="B6405" s="18"/>
      <c r="C6405" s="85"/>
      <c r="D6405" s="41"/>
      <c r="E6405" s="26" t="str">
        <f ca="1">IFERROR(__xludf.DUMMYFUNCTION("""COMPUTED_VALUE"""),"")</f>
        <v/>
      </c>
      <c r="F6405" s="72"/>
      <c r="G6405" s="72"/>
    </row>
    <row r="6406" spans="1:7" ht="14.5" hidden="1">
      <c r="A6406" s="5"/>
      <c r="B6406" s="18"/>
      <c r="C6406" s="85"/>
      <c r="D6406" s="41"/>
      <c r="E6406" s="26" t="str">
        <f ca="1">IFERROR(__xludf.DUMMYFUNCTION("""COMPUTED_VALUE"""),"")</f>
        <v/>
      </c>
      <c r="F6406" s="72"/>
      <c r="G6406" s="72"/>
    </row>
    <row r="6407" spans="1:7" ht="14.5" hidden="1">
      <c r="A6407" s="5"/>
      <c r="B6407" s="18"/>
      <c r="C6407" s="85"/>
      <c r="D6407" s="41"/>
      <c r="E6407" s="26" t="str">
        <f ca="1">IFERROR(__xludf.DUMMYFUNCTION("""COMPUTED_VALUE"""),"")</f>
        <v/>
      </c>
      <c r="F6407" s="72"/>
      <c r="G6407" s="72"/>
    </row>
    <row r="6408" spans="1:7" ht="14.5" hidden="1">
      <c r="A6408" s="5"/>
      <c r="B6408" s="18"/>
      <c r="C6408" s="85"/>
      <c r="D6408" s="41"/>
      <c r="E6408" s="26" t="str">
        <f ca="1">IFERROR(__xludf.DUMMYFUNCTION("""COMPUTED_VALUE"""),"")</f>
        <v/>
      </c>
      <c r="F6408" s="72"/>
      <c r="G6408" s="72"/>
    </row>
    <row r="6409" spans="1:7" ht="14.5" hidden="1">
      <c r="A6409" s="5"/>
      <c r="B6409" s="18"/>
      <c r="C6409" s="85"/>
      <c r="D6409" s="41"/>
      <c r="E6409" s="26" t="str">
        <f ca="1">IFERROR(__xludf.DUMMYFUNCTION("""COMPUTED_VALUE"""),"")</f>
        <v/>
      </c>
      <c r="F6409" s="72"/>
      <c r="G6409" s="72"/>
    </row>
    <row r="6410" spans="1:7" ht="14.5" hidden="1">
      <c r="A6410" s="5"/>
      <c r="B6410" s="18"/>
      <c r="C6410" s="85"/>
      <c r="D6410" s="41"/>
      <c r="E6410" s="26" t="str">
        <f ca="1">IFERROR(__xludf.DUMMYFUNCTION("""COMPUTED_VALUE"""),"")</f>
        <v/>
      </c>
      <c r="F6410" s="72"/>
      <c r="G6410" s="72"/>
    </row>
    <row r="6411" spans="1:7" ht="14.5" hidden="1">
      <c r="A6411" s="5"/>
      <c r="B6411" s="18"/>
      <c r="C6411" s="85"/>
      <c r="D6411" s="41"/>
      <c r="E6411" s="26" t="str">
        <f ca="1">IFERROR(__xludf.DUMMYFUNCTION("""COMPUTED_VALUE"""),"")</f>
        <v/>
      </c>
      <c r="F6411" s="72"/>
      <c r="G6411" s="72"/>
    </row>
    <row r="6412" spans="1:7" ht="14.5" hidden="1">
      <c r="A6412" s="5"/>
      <c r="B6412" s="18"/>
      <c r="C6412" s="85"/>
      <c r="D6412" s="41"/>
      <c r="E6412" s="26" t="str">
        <f ca="1">IFERROR(__xludf.DUMMYFUNCTION("""COMPUTED_VALUE"""),"")</f>
        <v/>
      </c>
      <c r="F6412" s="72"/>
      <c r="G6412" s="72"/>
    </row>
    <row r="6413" spans="1:7" ht="14.5" hidden="1">
      <c r="A6413" s="5"/>
      <c r="B6413" s="18"/>
      <c r="C6413" s="85"/>
      <c r="D6413" s="41"/>
      <c r="E6413" s="26" t="str">
        <f ca="1">IFERROR(__xludf.DUMMYFUNCTION("""COMPUTED_VALUE"""),"")</f>
        <v/>
      </c>
      <c r="F6413" s="72"/>
      <c r="G6413" s="72"/>
    </row>
    <row r="6414" spans="1:7" ht="14.5" hidden="1">
      <c r="A6414" s="5"/>
      <c r="B6414" s="18"/>
      <c r="C6414" s="85"/>
      <c r="D6414" s="41"/>
      <c r="E6414" s="26" t="str">
        <f ca="1">IFERROR(__xludf.DUMMYFUNCTION("""COMPUTED_VALUE"""),"")</f>
        <v/>
      </c>
      <c r="F6414" s="72"/>
      <c r="G6414" s="72"/>
    </row>
    <row r="6415" spans="1:7" ht="14.5" hidden="1">
      <c r="A6415" s="5"/>
      <c r="B6415" s="18"/>
      <c r="C6415" s="85"/>
      <c r="D6415" s="41"/>
      <c r="E6415" s="26" t="str">
        <f ca="1">IFERROR(__xludf.DUMMYFUNCTION("""COMPUTED_VALUE"""),"")</f>
        <v/>
      </c>
      <c r="F6415" s="72"/>
      <c r="G6415" s="72"/>
    </row>
    <row r="6416" spans="1:7" ht="14.5" hidden="1">
      <c r="A6416" s="5"/>
      <c r="B6416" s="18"/>
      <c r="C6416" s="85"/>
      <c r="D6416" s="41"/>
      <c r="E6416" s="26" t="str">
        <f ca="1">IFERROR(__xludf.DUMMYFUNCTION("""COMPUTED_VALUE"""),"")</f>
        <v/>
      </c>
      <c r="F6416" s="72"/>
      <c r="G6416" s="72"/>
    </row>
    <row r="6417" spans="1:7" ht="14.5" hidden="1">
      <c r="A6417" s="5"/>
      <c r="B6417" s="18"/>
      <c r="C6417" s="85"/>
      <c r="D6417" s="41"/>
      <c r="E6417" s="26" t="str">
        <f ca="1">IFERROR(__xludf.DUMMYFUNCTION("""COMPUTED_VALUE"""),"")</f>
        <v/>
      </c>
      <c r="F6417" s="72"/>
      <c r="G6417" s="72"/>
    </row>
    <row r="6418" spans="1:7" ht="14.5" hidden="1">
      <c r="A6418" s="5"/>
      <c r="B6418" s="18"/>
      <c r="C6418" s="85"/>
      <c r="D6418" s="41"/>
      <c r="E6418" s="26" t="str">
        <f ca="1">IFERROR(__xludf.DUMMYFUNCTION("""COMPUTED_VALUE"""),"")</f>
        <v/>
      </c>
      <c r="F6418" s="72"/>
      <c r="G6418" s="72"/>
    </row>
    <row r="6419" spans="1:7" ht="14.5" hidden="1">
      <c r="A6419" s="5"/>
      <c r="B6419" s="18"/>
      <c r="C6419" s="85"/>
      <c r="D6419" s="41"/>
      <c r="E6419" s="26" t="str">
        <f ca="1">IFERROR(__xludf.DUMMYFUNCTION("""COMPUTED_VALUE"""),"")</f>
        <v/>
      </c>
      <c r="F6419" s="72"/>
      <c r="G6419" s="72"/>
    </row>
    <row r="6420" spans="1:7" ht="14.5" hidden="1">
      <c r="A6420" s="5"/>
      <c r="B6420" s="18"/>
      <c r="C6420" s="85"/>
      <c r="D6420" s="41"/>
      <c r="E6420" s="26" t="str">
        <f ca="1">IFERROR(__xludf.DUMMYFUNCTION("""COMPUTED_VALUE"""),"")</f>
        <v/>
      </c>
      <c r="F6420" s="72"/>
      <c r="G6420" s="72"/>
    </row>
    <row r="6421" spans="1:7" ht="14.5" hidden="1">
      <c r="A6421" s="5"/>
      <c r="B6421" s="18"/>
      <c r="C6421" s="85"/>
      <c r="D6421" s="41"/>
      <c r="E6421" s="26" t="str">
        <f ca="1">IFERROR(__xludf.DUMMYFUNCTION("""COMPUTED_VALUE"""),"")</f>
        <v/>
      </c>
      <c r="F6421" s="72"/>
      <c r="G6421" s="72"/>
    </row>
    <row r="6422" spans="1:7" ht="14.5" hidden="1">
      <c r="A6422" s="5"/>
      <c r="B6422" s="18"/>
      <c r="C6422" s="85"/>
      <c r="D6422" s="41"/>
      <c r="E6422" s="26" t="str">
        <f ca="1">IFERROR(__xludf.DUMMYFUNCTION("""COMPUTED_VALUE"""),"")</f>
        <v/>
      </c>
      <c r="F6422" s="72"/>
      <c r="G6422" s="72"/>
    </row>
    <row r="6423" spans="1:7" ht="14.5" hidden="1">
      <c r="A6423" s="5"/>
      <c r="B6423" s="18"/>
      <c r="C6423" s="85"/>
      <c r="D6423" s="41"/>
      <c r="E6423" s="26" t="str">
        <f ca="1">IFERROR(__xludf.DUMMYFUNCTION("""COMPUTED_VALUE"""),"")</f>
        <v/>
      </c>
      <c r="F6423" s="72"/>
      <c r="G6423" s="72"/>
    </row>
    <row r="6424" spans="1:7" ht="14.5" hidden="1">
      <c r="A6424" s="5"/>
      <c r="B6424" s="18"/>
      <c r="C6424" s="85"/>
      <c r="D6424" s="41"/>
      <c r="E6424" s="26" t="str">
        <f ca="1">IFERROR(__xludf.DUMMYFUNCTION("""COMPUTED_VALUE"""),"")</f>
        <v/>
      </c>
      <c r="F6424" s="72"/>
      <c r="G6424" s="72"/>
    </row>
    <row r="6425" spans="1:7" ht="14.5" hidden="1">
      <c r="A6425" s="5"/>
      <c r="B6425" s="18"/>
      <c r="C6425" s="85"/>
      <c r="D6425" s="41"/>
      <c r="E6425" s="26" t="str">
        <f ca="1">IFERROR(__xludf.DUMMYFUNCTION("""COMPUTED_VALUE"""),"")</f>
        <v/>
      </c>
      <c r="F6425" s="72"/>
      <c r="G6425" s="72"/>
    </row>
    <row r="6426" spans="1:7" ht="14.5" hidden="1">
      <c r="A6426" s="5"/>
      <c r="B6426" s="18"/>
      <c r="C6426" s="85"/>
      <c r="D6426" s="41"/>
      <c r="E6426" s="26" t="str">
        <f ca="1">IFERROR(__xludf.DUMMYFUNCTION("""COMPUTED_VALUE"""),"")</f>
        <v/>
      </c>
      <c r="F6426" s="72"/>
      <c r="G6426" s="72"/>
    </row>
    <row r="6427" spans="1:7" ht="14.5" hidden="1">
      <c r="A6427" s="5"/>
      <c r="B6427" s="18"/>
      <c r="C6427" s="85"/>
      <c r="D6427" s="41"/>
      <c r="E6427" s="26" t="str">
        <f ca="1">IFERROR(__xludf.DUMMYFUNCTION("""COMPUTED_VALUE"""),"")</f>
        <v/>
      </c>
      <c r="F6427" s="72"/>
      <c r="G6427" s="72"/>
    </row>
    <row r="6428" spans="1:7" ht="14.5" hidden="1">
      <c r="A6428" s="5"/>
      <c r="B6428" s="18"/>
      <c r="C6428" s="85"/>
      <c r="D6428" s="41"/>
      <c r="E6428" s="26" t="str">
        <f ca="1">IFERROR(__xludf.DUMMYFUNCTION("""COMPUTED_VALUE"""),"")</f>
        <v/>
      </c>
      <c r="F6428" s="72"/>
      <c r="G6428" s="72"/>
    </row>
    <row r="6429" spans="1:7" ht="14.5" hidden="1">
      <c r="A6429" s="5"/>
      <c r="B6429" s="18"/>
      <c r="C6429" s="85"/>
      <c r="D6429" s="41"/>
      <c r="E6429" s="26" t="str">
        <f ca="1">IFERROR(__xludf.DUMMYFUNCTION("""COMPUTED_VALUE"""),"")</f>
        <v/>
      </c>
      <c r="F6429" s="72"/>
      <c r="G6429" s="72"/>
    </row>
    <row r="6430" spans="1:7" ht="14.5" hidden="1">
      <c r="A6430" s="5"/>
      <c r="B6430" s="18"/>
      <c r="C6430" s="85"/>
      <c r="D6430" s="41"/>
      <c r="E6430" s="26" t="str">
        <f ca="1">IFERROR(__xludf.DUMMYFUNCTION("""COMPUTED_VALUE"""),"")</f>
        <v/>
      </c>
      <c r="F6430" s="72"/>
      <c r="G6430" s="72"/>
    </row>
    <row r="6431" spans="1:7" ht="14.5" hidden="1">
      <c r="A6431" s="5"/>
      <c r="B6431" s="18"/>
      <c r="C6431" s="85"/>
      <c r="D6431" s="41"/>
      <c r="E6431" s="26" t="str">
        <f ca="1">IFERROR(__xludf.DUMMYFUNCTION("""COMPUTED_VALUE"""),"")</f>
        <v/>
      </c>
      <c r="F6431" s="72"/>
      <c r="G6431" s="72"/>
    </row>
    <row r="6432" spans="1:7" ht="14.5" hidden="1">
      <c r="A6432" s="5"/>
      <c r="B6432" s="18"/>
      <c r="C6432" s="85"/>
      <c r="D6432" s="41"/>
      <c r="E6432" s="26" t="str">
        <f ca="1">IFERROR(__xludf.DUMMYFUNCTION("""COMPUTED_VALUE"""),"")</f>
        <v/>
      </c>
      <c r="F6432" s="72"/>
      <c r="G6432" s="72"/>
    </row>
    <row r="6433" spans="1:7" ht="14.5" hidden="1">
      <c r="A6433" s="5"/>
      <c r="B6433" s="18"/>
      <c r="C6433" s="85"/>
      <c r="D6433" s="41"/>
      <c r="E6433" s="26" t="str">
        <f ca="1">IFERROR(__xludf.DUMMYFUNCTION("""COMPUTED_VALUE"""),"")</f>
        <v/>
      </c>
      <c r="F6433" s="72"/>
      <c r="G6433" s="72"/>
    </row>
    <row r="6434" spans="1:7" ht="14.5" hidden="1">
      <c r="A6434" s="5"/>
      <c r="B6434" s="18"/>
      <c r="C6434" s="85"/>
      <c r="D6434" s="41"/>
      <c r="E6434" s="26" t="str">
        <f ca="1">IFERROR(__xludf.DUMMYFUNCTION("""COMPUTED_VALUE"""),"")</f>
        <v/>
      </c>
      <c r="F6434" s="72"/>
      <c r="G6434" s="72"/>
    </row>
    <row r="6435" spans="1:7" ht="14.5" hidden="1">
      <c r="A6435" s="5"/>
      <c r="B6435" s="18"/>
      <c r="C6435" s="85"/>
      <c r="D6435" s="41"/>
      <c r="E6435" s="26" t="str">
        <f ca="1">IFERROR(__xludf.DUMMYFUNCTION("""COMPUTED_VALUE"""),"")</f>
        <v/>
      </c>
      <c r="F6435" s="72"/>
      <c r="G6435" s="72"/>
    </row>
    <row r="6436" spans="1:7" ht="14.5" hidden="1">
      <c r="A6436" s="5"/>
      <c r="B6436" s="18"/>
      <c r="C6436" s="85"/>
      <c r="D6436" s="41"/>
      <c r="E6436" s="26" t="str">
        <f ca="1">IFERROR(__xludf.DUMMYFUNCTION("""COMPUTED_VALUE"""),"")</f>
        <v/>
      </c>
      <c r="F6436" s="72"/>
      <c r="G6436" s="72"/>
    </row>
    <row r="6437" spans="1:7" ht="14.5" hidden="1">
      <c r="A6437" s="5"/>
      <c r="B6437" s="18"/>
      <c r="C6437" s="85"/>
      <c r="D6437" s="41"/>
      <c r="E6437" s="26" t="str">
        <f ca="1">IFERROR(__xludf.DUMMYFUNCTION("""COMPUTED_VALUE"""),"")</f>
        <v/>
      </c>
      <c r="F6437" s="72"/>
      <c r="G6437" s="72"/>
    </row>
    <row r="6438" spans="1:7" ht="14.5" hidden="1">
      <c r="A6438" s="5"/>
      <c r="B6438" s="18"/>
      <c r="C6438" s="85"/>
      <c r="D6438" s="41"/>
      <c r="E6438" s="26" t="str">
        <f ca="1">IFERROR(__xludf.DUMMYFUNCTION("""COMPUTED_VALUE"""),"")</f>
        <v/>
      </c>
      <c r="F6438" s="72"/>
      <c r="G6438" s="72"/>
    </row>
    <row r="6439" spans="1:7" ht="14.5" hidden="1">
      <c r="A6439" s="5"/>
      <c r="B6439" s="18"/>
      <c r="C6439" s="85"/>
      <c r="D6439" s="41"/>
      <c r="E6439" s="26" t="str">
        <f ca="1">IFERROR(__xludf.DUMMYFUNCTION("""COMPUTED_VALUE"""),"")</f>
        <v/>
      </c>
      <c r="F6439" s="72"/>
      <c r="G6439" s="72"/>
    </row>
    <row r="6440" spans="1:7" ht="14.5" hidden="1">
      <c r="A6440" s="5"/>
      <c r="B6440" s="18"/>
      <c r="C6440" s="85"/>
      <c r="D6440" s="41"/>
      <c r="E6440" s="26" t="str">
        <f ca="1">IFERROR(__xludf.DUMMYFUNCTION("""COMPUTED_VALUE"""),"")</f>
        <v/>
      </c>
      <c r="F6440" s="72"/>
      <c r="G6440" s="72"/>
    </row>
    <row r="6441" spans="1:7" ht="14.5" hidden="1">
      <c r="A6441" s="5"/>
      <c r="B6441" s="18"/>
      <c r="C6441" s="85"/>
      <c r="D6441" s="41"/>
      <c r="E6441" s="26" t="str">
        <f ca="1">IFERROR(__xludf.DUMMYFUNCTION("""COMPUTED_VALUE"""),"")</f>
        <v/>
      </c>
      <c r="F6441" s="72"/>
      <c r="G6441" s="72"/>
    </row>
    <row r="6442" spans="1:7" ht="14.5" hidden="1">
      <c r="A6442" s="5"/>
      <c r="B6442" s="18"/>
      <c r="C6442" s="85"/>
      <c r="D6442" s="41"/>
      <c r="E6442" s="26" t="str">
        <f ca="1">IFERROR(__xludf.DUMMYFUNCTION("""COMPUTED_VALUE"""),"")</f>
        <v/>
      </c>
      <c r="F6442" s="72"/>
      <c r="G6442" s="72"/>
    </row>
    <row r="6443" spans="1:7" ht="14.5" hidden="1">
      <c r="A6443" s="5"/>
      <c r="B6443" s="18"/>
      <c r="C6443" s="85"/>
      <c r="D6443" s="41"/>
      <c r="E6443" s="26" t="str">
        <f ca="1">IFERROR(__xludf.DUMMYFUNCTION("""COMPUTED_VALUE"""),"")</f>
        <v/>
      </c>
      <c r="F6443" s="72"/>
      <c r="G6443" s="72"/>
    </row>
    <row r="6444" spans="1:7" ht="14.5" hidden="1">
      <c r="A6444" s="5"/>
      <c r="B6444" s="18"/>
      <c r="C6444" s="85"/>
      <c r="D6444" s="41"/>
      <c r="E6444" s="26" t="str">
        <f ca="1">IFERROR(__xludf.DUMMYFUNCTION("""COMPUTED_VALUE"""),"")</f>
        <v/>
      </c>
      <c r="F6444" s="72"/>
      <c r="G6444" s="72"/>
    </row>
    <row r="6445" spans="1:7" ht="14.5" hidden="1">
      <c r="A6445" s="5"/>
      <c r="B6445" s="18"/>
      <c r="C6445" s="85"/>
      <c r="D6445" s="41"/>
      <c r="E6445" s="26" t="str">
        <f ca="1">IFERROR(__xludf.DUMMYFUNCTION("""COMPUTED_VALUE"""),"")</f>
        <v/>
      </c>
      <c r="F6445" s="72"/>
      <c r="G6445" s="72"/>
    </row>
    <row r="6446" spans="1:7" ht="14.5" hidden="1">
      <c r="A6446" s="5"/>
      <c r="B6446" s="18"/>
      <c r="C6446" s="85"/>
      <c r="D6446" s="41"/>
      <c r="E6446" s="26" t="str">
        <f ca="1">IFERROR(__xludf.DUMMYFUNCTION("""COMPUTED_VALUE"""),"")</f>
        <v/>
      </c>
      <c r="F6446" s="72"/>
      <c r="G6446" s="72"/>
    </row>
    <row r="6447" spans="1:7" ht="14.5" hidden="1">
      <c r="A6447" s="5"/>
      <c r="B6447" s="18"/>
      <c r="C6447" s="85"/>
      <c r="D6447" s="41"/>
      <c r="E6447" s="26" t="str">
        <f ca="1">IFERROR(__xludf.DUMMYFUNCTION("""COMPUTED_VALUE"""),"")</f>
        <v/>
      </c>
      <c r="F6447" s="72"/>
      <c r="G6447" s="72"/>
    </row>
    <row r="6448" spans="1:7" ht="14.5" hidden="1">
      <c r="A6448" s="5"/>
      <c r="B6448" s="18"/>
      <c r="C6448" s="85"/>
      <c r="D6448" s="41"/>
      <c r="E6448" s="26" t="str">
        <f ca="1">IFERROR(__xludf.DUMMYFUNCTION("""COMPUTED_VALUE"""),"")</f>
        <v/>
      </c>
      <c r="F6448" s="72"/>
      <c r="G6448" s="72"/>
    </row>
    <row r="6449" spans="1:7" ht="14.5" hidden="1">
      <c r="A6449" s="5"/>
      <c r="B6449" s="18"/>
      <c r="C6449" s="85"/>
      <c r="D6449" s="41"/>
      <c r="E6449" s="26" t="str">
        <f ca="1">IFERROR(__xludf.DUMMYFUNCTION("""COMPUTED_VALUE"""),"")</f>
        <v/>
      </c>
      <c r="F6449" s="72"/>
      <c r="G6449" s="72"/>
    </row>
    <row r="6450" spans="1:7" ht="14.5" hidden="1">
      <c r="A6450" s="5"/>
      <c r="B6450" s="18"/>
      <c r="C6450" s="85"/>
      <c r="D6450" s="41"/>
      <c r="E6450" s="26" t="str">
        <f ca="1">IFERROR(__xludf.DUMMYFUNCTION("""COMPUTED_VALUE"""),"")</f>
        <v/>
      </c>
      <c r="F6450" s="72"/>
      <c r="G6450" s="72"/>
    </row>
    <row r="6451" spans="1:7" ht="14.5" hidden="1">
      <c r="A6451" s="5"/>
      <c r="B6451" s="18"/>
      <c r="C6451" s="85"/>
      <c r="D6451" s="41"/>
      <c r="E6451" s="26" t="str">
        <f ca="1">IFERROR(__xludf.DUMMYFUNCTION("""COMPUTED_VALUE"""),"")</f>
        <v/>
      </c>
      <c r="F6451" s="72"/>
      <c r="G6451" s="72"/>
    </row>
    <row r="6452" spans="1:7" ht="14.5" hidden="1">
      <c r="A6452" s="5"/>
      <c r="B6452" s="18"/>
      <c r="C6452" s="85"/>
      <c r="D6452" s="41"/>
      <c r="E6452" s="26" t="str">
        <f ca="1">IFERROR(__xludf.DUMMYFUNCTION("""COMPUTED_VALUE"""),"")</f>
        <v/>
      </c>
      <c r="F6452" s="72"/>
      <c r="G6452" s="72"/>
    </row>
    <row r="6453" spans="1:7" ht="14.5" hidden="1">
      <c r="A6453" s="5"/>
      <c r="B6453" s="18"/>
      <c r="C6453" s="85"/>
      <c r="D6453" s="41"/>
      <c r="E6453" s="26" t="str">
        <f ca="1">IFERROR(__xludf.DUMMYFUNCTION("""COMPUTED_VALUE"""),"")</f>
        <v/>
      </c>
      <c r="F6453" s="72"/>
      <c r="G6453" s="72"/>
    </row>
    <row r="6454" spans="1:7" ht="14.5" hidden="1">
      <c r="A6454" s="5"/>
      <c r="B6454" s="18"/>
      <c r="C6454" s="85"/>
      <c r="D6454" s="41"/>
      <c r="E6454" s="26" t="str">
        <f ca="1">IFERROR(__xludf.DUMMYFUNCTION("""COMPUTED_VALUE"""),"")</f>
        <v/>
      </c>
      <c r="F6454" s="72"/>
      <c r="G6454" s="72"/>
    </row>
    <row r="6455" spans="1:7" ht="14.5" hidden="1">
      <c r="A6455" s="5"/>
      <c r="B6455" s="18"/>
      <c r="C6455" s="85"/>
      <c r="D6455" s="41"/>
      <c r="E6455" s="26" t="str">
        <f ca="1">IFERROR(__xludf.DUMMYFUNCTION("""COMPUTED_VALUE"""),"")</f>
        <v/>
      </c>
      <c r="F6455" s="72"/>
      <c r="G6455" s="72"/>
    </row>
    <row r="6456" spans="1:7" ht="14.5" hidden="1">
      <c r="A6456" s="5"/>
      <c r="B6456" s="18"/>
      <c r="C6456" s="85"/>
      <c r="D6456" s="41"/>
      <c r="E6456" s="26" t="str">
        <f ca="1">IFERROR(__xludf.DUMMYFUNCTION("""COMPUTED_VALUE"""),"")</f>
        <v/>
      </c>
      <c r="F6456" s="72"/>
      <c r="G6456" s="72"/>
    </row>
    <row r="6457" spans="1:7" ht="14.5" hidden="1">
      <c r="A6457" s="5"/>
      <c r="B6457" s="18"/>
      <c r="C6457" s="85"/>
      <c r="D6457" s="41"/>
      <c r="E6457" s="26" t="str">
        <f ca="1">IFERROR(__xludf.DUMMYFUNCTION("""COMPUTED_VALUE"""),"")</f>
        <v/>
      </c>
      <c r="F6457" s="72"/>
      <c r="G6457" s="72"/>
    </row>
    <row r="6458" spans="1:7" ht="14.5" hidden="1">
      <c r="A6458" s="5"/>
      <c r="B6458" s="18"/>
      <c r="C6458" s="85"/>
      <c r="D6458" s="41"/>
      <c r="E6458" s="26" t="str">
        <f ca="1">IFERROR(__xludf.DUMMYFUNCTION("""COMPUTED_VALUE"""),"")</f>
        <v/>
      </c>
      <c r="F6458" s="72"/>
      <c r="G6458" s="72"/>
    </row>
    <row r="6459" spans="1:7" ht="14.5" hidden="1">
      <c r="A6459" s="5"/>
      <c r="B6459" s="18"/>
      <c r="C6459" s="85"/>
      <c r="D6459" s="41"/>
      <c r="E6459" s="26" t="str">
        <f ca="1">IFERROR(__xludf.DUMMYFUNCTION("""COMPUTED_VALUE"""),"")</f>
        <v/>
      </c>
      <c r="F6459" s="72"/>
      <c r="G6459" s="72"/>
    </row>
    <row r="6460" spans="1:7" ht="14.5" hidden="1">
      <c r="A6460" s="5"/>
      <c r="B6460" s="18"/>
      <c r="C6460" s="85"/>
      <c r="D6460" s="41"/>
      <c r="E6460" s="26" t="str">
        <f ca="1">IFERROR(__xludf.DUMMYFUNCTION("""COMPUTED_VALUE"""),"")</f>
        <v/>
      </c>
      <c r="F6460" s="72"/>
      <c r="G6460" s="72"/>
    </row>
    <row r="6461" spans="1:7" ht="14.5" hidden="1">
      <c r="A6461" s="5"/>
      <c r="B6461" s="18"/>
      <c r="C6461" s="85"/>
      <c r="D6461" s="41"/>
      <c r="E6461" s="26" t="str">
        <f ca="1">IFERROR(__xludf.DUMMYFUNCTION("""COMPUTED_VALUE"""),"")</f>
        <v/>
      </c>
      <c r="F6461" s="72"/>
      <c r="G6461" s="72"/>
    </row>
    <row r="6462" spans="1:7" ht="14.5" hidden="1">
      <c r="A6462" s="5"/>
      <c r="B6462" s="18"/>
      <c r="C6462" s="85"/>
      <c r="D6462" s="41"/>
      <c r="E6462" s="26" t="str">
        <f ca="1">IFERROR(__xludf.DUMMYFUNCTION("""COMPUTED_VALUE"""),"")</f>
        <v/>
      </c>
      <c r="F6462" s="72"/>
      <c r="G6462" s="72"/>
    </row>
    <row r="6463" spans="1:7" ht="14.5" hidden="1">
      <c r="A6463" s="5"/>
      <c r="B6463" s="18"/>
      <c r="C6463" s="85"/>
      <c r="D6463" s="41"/>
      <c r="E6463" s="26" t="str">
        <f ca="1">IFERROR(__xludf.DUMMYFUNCTION("""COMPUTED_VALUE"""),"")</f>
        <v/>
      </c>
      <c r="F6463" s="72"/>
      <c r="G6463" s="72"/>
    </row>
    <row r="6464" spans="1:7" ht="14.5" hidden="1">
      <c r="A6464" s="5"/>
      <c r="B6464" s="18"/>
      <c r="C6464" s="85"/>
      <c r="D6464" s="41"/>
      <c r="E6464" s="26" t="str">
        <f ca="1">IFERROR(__xludf.DUMMYFUNCTION("""COMPUTED_VALUE"""),"")</f>
        <v/>
      </c>
      <c r="F6464" s="72"/>
      <c r="G6464" s="72"/>
    </row>
    <row r="6465" spans="1:7" ht="14.5" hidden="1">
      <c r="A6465" s="5"/>
      <c r="B6465" s="18"/>
      <c r="C6465" s="85"/>
      <c r="D6465" s="41"/>
      <c r="E6465" s="26" t="str">
        <f ca="1">IFERROR(__xludf.DUMMYFUNCTION("""COMPUTED_VALUE"""),"")</f>
        <v/>
      </c>
      <c r="F6465" s="72"/>
      <c r="G6465" s="72"/>
    </row>
    <row r="6466" spans="1:7" ht="14.5" hidden="1">
      <c r="A6466" s="5"/>
      <c r="B6466" s="18"/>
      <c r="C6466" s="85"/>
      <c r="D6466" s="41"/>
      <c r="E6466" s="26" t="str">
        <f ca="1">IFERROR(__xludf.DUMMYFUNCTION("""COMPUTED_VALUE"""),"")</f>
        <v/>
      </c>
      <c r="F6466" s="72"/>
      <c r="G6466" s="72"/>
    </row>
    <row r="6467" spans="1:7" ht="14.5" hidden="1">
      <c r="A6467" s="5"/>
      <c r="B6467" s="18"/>
      <c r="C6467" s="85"/>
      <c r="D6467" s="41"/>
      <c r="E6467" s="26" t="str">
        <f ca="1">IFERROR(__xludf.DUMMYFUNCTION("""COMPUTED_VALUE"""),"")</f>
        <v/>
      </c>
      <c r="F6467" s="72"/>
      <c r="G6467" s="72"/>
    </row>
    <row r="6468" spans="1:7" ht="14.5" hidden="1">
      <c r="A6468" s="5"/>
      <c r="B6468" s="18"/>
      <c r="C6468" s="85"/>
      <c r="D6468" s="41"/>
      <c r="E6468" s="26" t="str">
        <f ca="1">IFERROR(__xludf.DUMMYFUNCTION("""COMPUTED_VALUE"""),"")</f>
        <v/>
      </c>
      <c r="F6468" s="72"/>
      <c r="G6468" s="72"/>
    </row>
    <row r="6469" spans="1:7" ht="14.5" hidden="1">
      <c r="A6469" s="5"/>
      <c r="B6469" s="18"/>
      <c r="C6469" s="85"/>
      <c r="D6469" s="41"/>
      <c r="E6469" s="26" t="str">
        <f ca="1">IFERROR(__xludf.DUMMYFUNCTION("""COMPUTED_VALUE"""),"")</f>
        <v/>
      </c>
      <c r="F6469" s="72"/>
      <c r="G6469" s="72"/>
    </row>
    <row r="6470" spans="1:7" ht="14.5" hidden="1">
      <c r="A6470" s="5"/>
      <c r="B6470" s="18"/>
      <c r="C6470" s="85"/>
      <c r="D6470" s="41"/>
      <c r="E6470" s="26" t="str">
        <f ca="1">IFERROR(__xludf.DUMMYFUNCTION("""COMPUTED_VALUE"""),"")</f>
        <v/>
      </c>
      <c r="F6470" s="72"/>
      <c r="G6470" s="72"/>
    </row>
    <row r="6471" spans="1:7" ht="14.5" hidden="1">
      <c r="A6471" s="5"/>
      <c r="B6471" s="18"/>
      <c r="C6471" s="85"/>
      <c r="D6471" s="41"/>
      <c r="E6471" s="26" t="str">
        <f ca="1">IFERROR(__xludf.DUMMYFUNCTION("""COMPUTED_VALUE"""),"")</f>
        <v/>
      </c>
      <c r="F6471" s="72"/>
      <c r="G6471" s="72"/>
    </row>
    <row r="6472" spans="1:7" ht="14.5" hidden="1">
      <c r="A6472" s="5"/>
      <c r="B6472" s="18"/>
      <c r="C6472" s="85"/>
      <c r="D6472" s="41"/>
      <c r="E6472" s="26" t="str">
        <f ca="1">IFERROR(__xludf.DUMMYFUNCTION("""COMPUTED_VALUE"""),"")</f>
        <v/>
      </c>
      <c r="F6472" s="72"/>
      <c r="G6472" s="72"/>
    </row>
    <row r="6473" spans="1:7" ht="14.5" hidden="1">
      <c r="A6473" s="5"/>
      <c r="B6473" s="18"/>
      <c r="C6473" s="85"/>
      <c r="D6473" s="41"/>
      <c r="E6473" s="26" t="str">
        <f ca="1">IFERROR(__xludf.DUMMYFUNCTION("""COMPUTED_VALUE"""),"")</f>
        <v/>
      </c>
      <c r="F6473" s="72"/>
      <c r="G6473" s="72"/>
    </row>
    <row r="6474" spans="1:7" ht="14.5" hidden="1">
      <c r="A6474" s="5"/>
      <c r="B6474" s="18"/>
      <c r="C6474" s="85"/>
      <c r="D6474" s="41"/>
      <c r="E6474" s="26" t="str">
        <f ca="1">IFERROR(__xludf.DUMMYFUNCTION("""COMPUTED_VALUE"""),"")</f>
        <v/>
      </c>
      <c r="F6474" s="72"/>
      <c r="G6474" s="72"/>
    </row>
    <row r="6475" spans="1:7" ht="14.5" hidden="1">
      <c r="A6475" s="5"/>
      <c r="B6475" s="18"/>
      <c r="C6475" s="85"/>
      <c r="D6475" s="41"/>
      <c r="E6475" s="26" t="str">
        <f ca="1">IFERROR(__xludf.DUMMYFUNCTION("""COMPUTED_VALUE"""),"")</f>
        <v/>
      </c>
      <c r="F6475" s="72"/>
      <c r="G6475" s="72"/>
    </row>
    <row r="6476" spans="1:7" ht="14.5" hidden="1">
      <c r="A6476" s="5"/>
      <c r="B6476" s="18"/>
      <c r="C6476" s="85"/>
      <c r="D6476" s="41"/>
      <c r="E6476" s="26" t="str">
        <f ca="1">IFERROR(__xludf.DUMMYFUNCTION("""COMPUTED_VALUE"""),"")</f>
        <v/>
      </c>
      <c r="F6476" s="72"/>
      <c r="G6476" s="72"/>
    </row>
    <row r="6477" spans="1:7" ht="14.5" hidden="1">
      <c r="A6477" s="5"/>
      <c r="B6477" s="18"/>
      <c r="C6477" s="85"/>
      <c r="D6477" s="41"/>
      <c r="E6477" s="26" t="str">
        <f ca="1">IFERROR(__xludf.DUMMYFUNCTION("""COMPUTED_VALUE"""),"")</f>
        <v/>
      </c>
      <c r="F6477" s="72"/>
      <c r="G6477" s="72"/>
    </row>
    <row r="6478" spans="1:7" ht="14.5" hidden="1">
      <c r="A6478" s="5"/>
      <c r="B6478" s="18"/>
      <c r="C6478" s="85"/>
      <c r="D6478" s="41"/>
      <c r="E6478" s="26" t="str">
        <f ca="1">IFERROR(__xludf.DUMMYFUNCTION("""COMPUTED_VALUE"""),"")</f>
        <v/>
      </c>
      <c r="F6478" s="72"/>
      <c r="G6478" s="72"/>
    </row>
    <row r="6479" spans="1:7" ht="14.5" hidden="1">
      <c r="A6479" s="5"/>
      <c r="B6479" s="18"/>
      <c r="C6479" s="85"/>
      <c r="D6479" s="41"/>
      <c r="E6479" s="26" t="str">
        <f ca="1">IFERROR(__xludf.DUMMYFUNCTION("""COMPUTED_VALUE"""),"")</f>
        <v/>
      </c>
      <c r="F6479" s="72"/>
      <c r="G6479" s="72"/>
    </row>
    <row r="6480" spans="1:7" ht="14.5" hidden="1">
      <c r="A6480" s="5"/>
      <c r="B6480" s="18"/>
      <c r="C6480" s="85"/>
      <c r="D6480" s="41"/>
      <c r="E6480" s="26" t="str">
        <f ca="1">IFERROR(__xludf.DUMMYFUNCTION("""COMPUTED_VALUE"""),"")</f>
        <v/>
      </c>
      <c r="F6480" s="72"/>
      <c r="G6480" s="72"/>
    </row>
    <row r="6481" spans="1:7" ht="14.5" hidden="1">
      <c r="A6481" s="5"/>
      <c r="B6481" s="18"/>
      <c r="C6481" s="85"/>
      <c r="D6481" s="41"/>
      <c r="E6481" s="26" t="str">
        <f ca="1">IFERROR(__xludf.DUMMYFUNCTION("""COMPUTED_VALUE"""),"")</f>
        <v/>
      </c>
      <c r="F6481" s="72"/>
      <c r="G6481" s="72"/>
    </row>
    <row r="6482" spans="1:7" ht="14.5" hidden="1">
      <c r="A6482" s="5"/>
      <c r="B6482" s="18"/>
      <c r="C6482" s="85"/>
      <c r="D6482" s="41"/>
      <c r="E6482" s="26" t="str">
        <f ca="1">IFERROR(__xludf.DUMMYFUNCTION("""COMPUTED_VALUE"""),"")</f>
        <v/>
      </c>
      <c r="F6482" s="72"/>
      <c r="G6482" s="72"/>
    </row>
    <row r="6483" spans="1:7" ht="14.5" hidden="1">
      <c r="A6483" s="5"/>
      <c r="B6483" s="18"/>
      <c r="C6483" s="85"/>
      <c r="D6483" s="41"/>
      <c r="E6483" s="26" t="str">
        <f ca="1">IFERROR(__xludf.DUMMYFUNCTION("""COMPUTED_VALUE"""),"")</f>
        <v/>
      </c>
      <c r="F6483" s="72"/>
      <c r="G6483" s="72"/>
    </row>
    <row r="6484" spans="1:7" ht="14.5" hidden="1">
      <c r="A6484" s="5"/>
      <c r="B6484" s="18"/>
      <c r="C6484" s="85"/>
      <c r="D6484" s="41"/>
      <c r="E6484" s="26" t="str">
        <f ca="1">IFERROR(__xludf.DUMMYFUNCTION("""COMPUTED_VALUE"""),"")</f>
        <v/>
      </c>
      <c r="F6484" s="72"/>
      <c r="G6484" s="72"/>
    </row>
    <row r="6485" spans="1:7" ht="14.5" hidden="1">
      <c r="A6485" s="5"/>
      <c r="B6485" s="18"/>
      <c r="C6485" s="85"/>
      <c r="D6485" s="41"/>
      <c r="E6485" s="26" t="str">
        <f ca="1">IFERROR(__xludf.DUMMYFUNCTION("""COMPUTED_VALUE"""),"")</f>
        <v/>
      </c>
      <c r="F6485" s="72"/>
      <c r="G6485" s="72"/>
    </row>
    <row r="6486" spans="1:7" ht="14.5" hidden="1">
      <c r="A6486" s="5"/>
      <c r="B6486" s="18"/>
      <c r="C6486" s="85"/>
      <c r="D6486" s="41"/>
      <c r="E6486" s="26" t="str">
        <f ca="1">IFERROR(__xludf.DUMMYFUNCTION("""COMPUTED_VALUE"""),"")</f>
        <v/>
      </c>
      <c r="F6486" s="72"/>
      <c r="G6486" s="72"/>
    </row>
    <row r="6487" spans="1:7" ht="14.5" hidden="1">
      <c r="A6487" s="5"/>
      <c r="B6487" s="18"/>
      <c r="C6487" s="85"/>
      <c r="D6487" s="41"/>
      <c r="E6487" s="26" t="str">
        <f ca="1">IFERROR(__xludf.DUMMYFUNCTION("""COMPUTED_VALUE"""),"")</f>
        <v/>
      </c>
      <c r="F6487" s="72"/>
      <c r="G6487" s="72"/>
    </row>
    <row r="6488" spans="1:7" ht="14.5" hidden="1">
      <c r="A6488" s="5"/>
      <c r="B6488" s="18"/>
      <c r="C6488" s="85"/>
      <c r="D6488" s="41"/>
      <c r="E6488" s="26" t="str">
        <f ca="1">IFERROR(__xludf.DUMMYFUNCTION("""COMPUTED_VALUE"""),"")</f>
        <v/>
      </c>
      <c r="F6488" s="72"/>
      <c r="G6488" s="72"/>
    </row>
    <row r="6489" spans="1:7" ht="14.5" hidden="1">
      <c r="A6489" s="5"/>
      <c r="B6489" s="18"/>
      <c r="C6489" s="85"/>
      <c r="D6489" s="41"/>
      <c r="E6489" s="26" t="str">
        <f ca="1">IFERROR(__xludf.DUMMYFUNCTION("""COMPUTED_VALUE"""),"")</f>
        <v/>
      </c>
      <c r="F6489" s="72"/>
      <c r="G6489" s="72"/>
    </row>
    <row r="6490" spans="1:7" ht="14.5" hidden="1">
      <c r="A6490" s="5"/>
      <c r="B6490" s="18"/>
      <c r="C6490" s="85"/>
      <c r="D6490" s="41"/>
      <c r="E6490" s="26" t="str">
        <f ca="1">IFERROR(__xludf.DUMMYFUNCTION("""COMPUTED_VALUE"""),"")</f>
        <v/>
      </c>
      <c r="F6490" s="72"/>
      <c r="G6490" s="72"/>
    </row>
    <row r="6491" spans="1:7" ht="14.5" hidden="1">
      <c r="A6491" s="5"/>
      <c r="B6491" s="18"/>
      <c r="C6491" s="85"/>
      <c r="D6491" s="41"/>
      <c r="E6491" s="26" t="str">
        <f ca="1">IFERROR(__xludf.DUMMYFUNCTION("""COMPUTED_VALUE"""),"")</f>
        <v/>
      </c>
      <c r="F6491" s="72"/>
      <c r="G6491" s="72"/>
    </row>
    <row r="6492" spans="1:7" ht="14.5" hidden="1">
      <c r="A6492" s="5"/>
      <c r="B6492" s="18"/>
      <c r="C6492" s="85"/>
      <c r="D6492" s="41"/>
      <c r="E6492" s="26" t="str">
        <f ca="1">IFERROR(__xludf.DUMMYFUNCTION("""COMPUTED_VALUE"""),"")</f>
        <v/>
      </c>
      <c r="F6492" s="72"/>
      <c r="G6492" s="72"/>
    </row>
    <row r="6493" spans="1:7" ht="14.5" hidden="1">
      <c r="A6493" s="5"/>
      <c r="B6493" s="18"/>
      <c r="C6493" s="85"/>
      <c r="D6493" s="41"/>
      <c r="E6493" s="26" t="str">
        <f ca="1">IFERROR(__xludf.DUMMYFUNCTION("""COMPUTED_VALUE"""),"")</f>
        <v/>
      </c>
      <c r="F6493" s="72"/>
      <c r="G6493" s="72"/>
    </row>
    <row r="6494" spans="1:7" ht="14.5" hidden="1">
      <c r="A6494" s="5"/>
      <c r="B6494" s="18"/>
      <c r="C6494" s="85"/>
      <c r="D6494" s="41"/>
      <c r="E6494" s="26" t="str">
        <f ca="1">IFERROR(__xludf.DUMMYFUNCTION("""COMPUTED_VALUE"""),"")</f>
        <v/>
      </c>
      <c r="F6494" s="72"/>
      <c r="G6494" s="72"/>
    </row>
    <row r="6495" spans="1:7" ht="14.5" hidden="1">
      <c r="A6495" s="5"/>
      <c r="B6495" s="18"/>
      <c r="C6495" s="85"/>
      <c r="D6495" s="41"/>
      <c r="E6495" s="26" t="str">
        <f ca="1">IFERROR(__xludf.DUMMYFUNCTION("""COMPUTED_VALUE"""),"")</f>
        <v/>
      </c>
      <c r="F6495" s="72"/>
      <c r="G6495" s="72"/>
    </row>
    <row r="6496" spans="1:7" ht="14.5" hidden="1">
      <c r="A6496" s="5"/>
      <c r="B6496" s="18"/>
      <c r="C6496" s="85"/>
      <c r="D6496" s="41"/>
      <c r="E6496" s="26" t="str">
        <f ca="1">IFERROR(__xludf.DUMMYFUNCTION("""COMPUTED_VALUE"""),"")</f>
        <v/>
      </c>
      <c r="F6496" s="72"/>
      <c r="G6496" s="72"/>
    </row>
    <row r="6497" spans="1:7" ht="14.5" hidden="1">
      <c r="A6497" s="5"/>
      <c r="B6497" s="18"/>
      <c r="C6497" s="85"/>
      <c r="D6497" s="41"/>
      <c r="E6497" s="26" t="str">
        <f ca="1">IFERROR(__xludf.DUMMYFUNCTION("""COMPUTED_VALUE"""),"")</f>
        <v/>
      </c>
      <c r="F6497" s="72"/>
      <c r="G6497" s="72"/>
    </row>
    <row r="6498" spans="1:7" ht="14.5" hidden="1">
      <c r="A6498" s="5"/>
      <c r="B6498" s="18"/>
      <c r="C6498" s="85"/>
      <c r="D6498" s="41"/>
      <c r="E6498" s="26" t="str">
        <f ca="1">IFERROR(__xludf.DUMMYFUNCTION("""COMPUTED_VALUE"""),"")</f>
        <v/>
      </c>
      <c r="F6498" s="72"/>
      <c r="G6498" s="72"/>
    </row>
    <row r="6499" spans="1:7" ht="14.5" hidden="1">
      <c r="A6499" s="5"/>
      <c r="B6499" s="18"/>
      <c r="C6499" s="85"/>
      <c r="D6499" s="41"/>
      <c r="E6499" s="26" t="str">
        <f ca="1">IFERROR(__xludf.DUMMYFUNCTION("""COMPUTED_VALUE"""),"")</f>
        <v/>
      </c>
      <c r="F6499" s="72"/>
      <c r="G6499" s="72"/>
    </row>
    <row r="6500" spans="1:7" ht="14.5" hidden="1">
      <c r="A6500" s="5"/>
      <c r="B6500" s="18"/>
      <c r="C6500" s="85"/>
      <c r="D6500" s="41"/>
      <c r="E6500" s="26" t="str">
        <f ca="1">IFERROR(__xludf.DUMMYFUNCTION("""COMPUTED_VALUE"""),"")</f>
        <v/>
      </c>
      <c r="F6500" s="72"/>
      <c r="G6500" s="72"/>
    </row>
    <row r="6501" spans="1:7" ht="14.5" hidden="1">
      <c r="A6501" s="5"/>
      <c r="B6501" s="18"/>
      <c r="C6501" s="85"/>
      <c r="D6501" s="41"/>
      <c r="E6501" s="26" t="str">
        <f ca="1">IFERROR(__xludf.DUMMYFUNCTION("""COMPUTED_VALUE"""),"")</f>
        <v/>
      </c>
      <c r="F6501" s="72"/>
      <c r="G6501" s="72"/>
    </row>
    <row r="6502" spans="1:7" ht="14.5" hidden="1">
      <c r="A6502" s="5"/>
      <c r="B6502" s="18"/>
      <c r="C6502" s="85"/>
      <c r="D6502" s="41"/>
      <c r="E6502" s="26" t="str">
        <f ca="1">IFERROR(__xludf.DUMMYFUNCTION("""COMPUTED_VALUE"""),"")</f>
        <v/>
      </c>
      <c r="F6502" s="72"/>
      <c r="G6502" s="72"/>
    </row>
    <row r="6503" spans="1:7" ht="14.5" hidden="1">
      <c r="A6503" s="5"/>
      <c r="B6503" s="18"/>
      <c r="C6503" s="85"/>
      <c r="D6503" s="41"/>
      <c r="E6503" s="26" t="str">
        <f ca="1">IFERROR(__xludf.DUMMYFUNCTION("""COMPUTED_VALUE"""),"")</f>
        <v/>
      </c>
      <c r="F6503" s="72"/>
      <c r="G6503" s="72"/>
    </row>
    <row r="6504" spans="1:7" ht="14.5" hidden="1">
      <c r="A6504" s="5"/>
      <c r="B6504" s="18"/>
      <c r="C6504" s="85"/>
      <c r="D6504" s="41"/>
      <c r="E6504" s="26" t="str">
        <f ca="1">IFERROR(__xludf.DUMMYFUNCTION("""COMPUTED_VALUE"""),"")</f>
        <v/>
      </c>
      <c r="F6504" s="72"/>
      <c r="G6504" s="72"/>
    </row>
    <row r="6505" spans="1:7" ht="14.5" hidden="1">
      <c r="A6505" s="5"/>
      <c r="B6505" s="18"/>
      <c r="C6505" s="85"/>
      <c r="D6505" s="41"/>
      <c r="E6505" s="26" t="str">
        <f ca="1">IFERROR(__xludf.DUMMYFUNCTION("""COMPUTED_VALUE"""),"")</f>
        <v/>
      </c>
      <c r="F6505" s="72"/>
      <c r="G6505" s="72"/>
    </row>
    <row r="6506" spans="1:7" ht="14.5" hidden="1">
      <c r="A6506" s="5"/>
      <c r="B6506" s="18"/>
      <c r="C6506" s="85"/>
      <c r="D6506" s="41"/>
      <c r="E6506" s="26" t="str">
        <f ca="1">IFERROR(__xludf.DUMMYFUNCTION("""COMPUTED_VALUE"""),"")</f>
        <v/>
      </c>
      <c r="F6506" s="72"/>
      <c r="G6506" s="72"/>
    </row>
    <row r="6507" spans="1:7" ht="14.5" hidden="1">
      <c r="A6507" s="5"/>
      <c r="B6507" s="18"/>
      <c r="C6507" s="85"/>
      <c r="D6507" s="41"/>
      <c r="E6507" s="26" t="str">
        <f ca="1">IFERROR(__xludf.DUMMYFUNCTION("""COMPUTED_VALUE"""),"")</f>
        <v/>
      </c>
      <c r="F6507" s="72"/>
      <c r="G6507" s="72"/>
    </row>
    <row r="6508" spans="1:7" ht="14.5" hidden="1">
      <c r="A6508" s="5"/>
      <c r="B6508" s="18"/>
      <c r="C6508" s="85"/>
      <c r="D6508" s="41"/>
      <c r="E6508" s="26" t="str">
        <f ca="1">IFERROR(__xludf.DUMMYFUNCTION("""COMPUTED_VALUE"""),"")</f>
        <v/>
      </c>
      <c r="F6508" s="72"/>
      <c r="G6508" s="72"/>
    </row>
    <row r="6509" spans="1:7" ht="14.5" hidden="1">
      <c r="A6509" s="5"/>
      <c r="B6509" s="18"/>
      <c r="C6509" s="85"/>
      <c r="D6509" s="41"/>
      <c r="E6509" s="26" t="str">
        <f ca="1">IFERROR(__xludf.DUMMYFUNCTION("""COMPUTED_VALUE"""),"")</f>
        <v/>
      </c>
      <c r="F6509" s="72"/>
      <c r="G6509" s="72"/>
    </row>
    <row r="6510" spans="1:7" ht="14.5" hidden="1">
      <c r="A6510" s="5"/>
      <c r="B6510" s="18"/>
      <c r="C6510" s="85"/>
      <c r="D6510" s="41"/>
      <c r="E6510" s="26" t="str">
        <f ca="1">IFERROR(__xludf.DUMMYFUNCTION("""COMPUTED_VALUE"""),"")</f>
        <v/>
      </c>
      <c r="F6510" s="72"/>
      <c r="G6510" s="72"/>
    </row>
    <row r="6511" spans="1:7" ht="14.5" hidden="1">
      <c r="A6511" s="5"/>
      <c r="B6511" s="18"/>
      <c r="C6511" s="85"/>
      <c r="D6511" s="41"/>
      <c r="E6511" s="26" t="str">
        <f ca="1">IFERROR(__xludf.DUMMYFUNCTION("""COMPUTED_VALUE"""),"")</f>
        <v/>
      </c>
      <c r="F6511" s="72"/>
      <c r="G6511" s="72"/>
    </row>
    <row r="6512" spans="1:7" ht="14.5" hidden="1">
      <c r="A6512" s="5"/>
      <c r="B6512" s="18"/>
      <c r="C6512" s="85"/>
      <c r="D6512" s="41"/>
      <c r="E6512" s="26" t="str">
        <f ca="1">IFERROR(__xludf.DUMMYFUNCTION("""COMPUTED_VALUE"""),"")</f>
        <v/>
      </c>
      <c r="F6512" s="72"/>
      <c r="G6512" s="72"/>
    </row>
    <row r="6513" spans="1:7" ht="14.5" hidden="1">
      <c r="A6513" s="5"/>
      <c r="B6513" s="18"/>
      <c r="C6513" s="85"/>
      <c r="D6513" s="41"/>
      <c r="E6513" s="26" t="str">
        <f ca="1">IFERROR(__xludf.DUMMYFUNCTION("""COMPUTED_VALUE"""),"")</f>
        <v/>
      </c>
      <c r="F6513" s="72"/>
      <c r="G6513" s="72"/>
    </row>
    <row r="6514" spans="1:7" ht="14.5" hidden="1">
      <c r="A6514" s="5"/>
      <c r="B6514" s="18"/>
      <c r="C6514" s="85"/>
      <c r="D6514" s="41"/>
      <c r="E6514" s="26" t="str">
        <f ca="1">IFERROR(__xludf.DUMMYFUNCTION("""COMPUTED_VALUE"""),"")</f>
        <v/>
      </c>
      <c r="F6514" s="72"/>
      <c r="G6514" s="72"/>
    </row>
    <row r="6515" spans="1:7" ht="14.5" hidden="1">
      <c r="A6515" s="5"/>
      <c r="B6515" s="18"/>
      <c r="C6515" s="85"/>
      <c r="D6515" s="41"/>
      <c r="E6515" s="26" t="str">
        <f ca="1">IFERROR(__xludf.DUMMYFUNCTION("""COMPUTED_VALUE"""),"")</f>
        <v/>
      </c>
      <c r="F6515" s="72"/>
      <c r="G6515" s="72"/>
    </row>
    <row r="6516" spans="1:7" ht="14.5" hidden="1">
      <c r="A6516" s="5"/>
      <c r="B6516" s="18"/>
      <c r="C6516" s="85"/>
      <c r="D6516" s="41"/>
      <c r="E6516" s="26" t="str">
        <f ca="1">IFERROR(__xludf.DUMMYFUNCTION("""COMPUTED_VALUE"""),"")</f>
        <v/>
      </c>
      <c r="F6516" s="72"/>
      <c r="G6516" s="72"/>
    </row>
    <row r="6517" spans="1:7" ht="14.5" hidden="1">
      <c r="A6517" s="5"/>
      <c r="B6517" s="18"/>
      <c r="C6517" s="85"/>
      <c r="D6517" s="41"/>
      <c r="E6517" s="26" t="str">
        <f ca="1">IFERROR(__xludf.DUMMYFUNCTION("""COMPUTED_VALUE"""),"")</f>
        <v/>
      </c>
      <c r="F6517" s="72"/>
      <c r="G6517" s="72"/>
    </row>
    <row r="6518" spans="1:7" ht="14.5" hidden="1">
      <c r="A6518" s="5"/>
      <c r="B6518" s="18"/>
      <c r="C6518" s="85"/>
      <c r="D6518" s="41"/>
      <c r="E6518" s="26" t="str">
        <f ca="1">IFERROR(__xludf.DUMMYFUNCTION("""COMPUTED_VALUE"""),"")</f>
        <v/>
      </c>
      <c r="F6518" s="72"/>
      <c r="G6518" s="72"/>
    </row>
    <row r="6519" spans="1:7" ht="14.5" hidden="1">
      <c r="A6519" s="5"/>
      <c r="B6519" s="18"/>
      <c r="C6519" s="85"/>
      <c r="D6519" s="41"/>
      <c r="E6519" s="26" t="str">
        <f ca="1">IFERROR(__xludf.DUMMYFUNCTION("""COMPUTED_VALUE"""),"")</f>
        <v/>
      </c>
      <c r="F6519" s="72"/>
      <c r="G6519" s="72"/>
    </row>
    <row r="6520" spans="1:7" ht="14.5" hidden="1">
      <c r="A6520" s="5"/>
      <c r="B6520" s="18"/>
      <c r="C6520" s="85"/>
      <c r="D6520" s="41"/>
      <c r="E6520" s="26" t="str">
        <f ca="1">IFERROR(__xludf.DUMMYFUNCTION("""COMPUTED_VALUE"""),"")</f>
        <v/>
      </c>
      <c r="F6520" s="72"/>
      <c r="G6520" s="72"/>
    </row>
    <row r="6521" spans="1:7" ht="14.5" hidden="1">
      <c r="A6521" s="5"/>
      <c r="B6521" s="18"/>
      <c r="C6521" s="85"/>
      <c r="D6521" s="41"/>
      <c r="E6521" s="26" t="str">
        <f ca="1">IFERROR(__xludf.DUMMYFUNCTION("""COMPUTED_VALUE"""),"")</f>
        <v/>
      </c>
      <c r="F6521" s="72"/>
      <c r="G6521" s="72"/>
    </row>
    <row r="6522" spans="1:7" ht="14.5" hidden="1">
      <c r="A6522" s="5"/>
      <c r="B6522" s="18"/>
      <c r="C6522" s="85"/>
      <c r="D6522" s="41"/>
      <c r="E6522" s="26" t="str">
        <f ca="1">IFERROR(__xludf.DUMMYFUNCTION("""COMPUTED_VALUE"""),"")</f>
        <v/>
      </c>
      <c r="F6522" s="72"/>
      <c r="G6522" s="72"/>
    </row>
    <row r="6523" spans="1:7" ht="14.5" hidden="1">
      <c r="A6523" s="5"/>
      <c r="B6523" s="18"/>
      <c r="C6523" s="85"/>
      <c r="D6523" s="41"/>
      <c r="E6523" s="26" t="str">
        <f ca="1">IFERROR(__xludf.DUMMYFUNCTION("""COMPUTED_VALUE"""),"")</f>
        <v/>
      </c>
      <c r="F6523" s="72"/>
      <c r="G6523" s="72"/>
    </row>
    <row r="6524" spans="1:7" ht="14.5" hidden="1">
      <c r="A6524" s="5"/>
      <c r="B6524" s="18"/>
      <c r="C6524" s="85"/>
      <c r="D6524" s="41"/>
      <c r="E6524" s="26" t="str">
        <f ca="1">IFERROR(__xludf.DUMMYFUNCTION("""COMPUTED_VALUE"""),"")</f>
        <v/>
      </c>
      <c r="F6524" s="72"/>
      <c r="G6524" s="72"/>
    </row>
    <row r="6525" spans="1:7" ht="14.5" hidden="1">
      <c r="A6525" s="5"/>
      <c r="B6525" s="18"/>
      <c r="C6525" s="85"/>
      <c r="D6525" s="41"/>
      <c r="E6525" s="26" t="str">
        <f ca="1">IFERROR(__xludf.DUMMYFUNCTION("""COMPUTED_VALUE"""),"")</f>
        <v/>
      </c>
      <c r="F6525" s="72"/>
      <c r="G6525" s="72"/>
    </row>
    <row r="6526" spans="1:7" ht="14.5" hidden="1">
      <c r="A6526" s="5"/>
      <c r="B6526" s="18"/>
      <c r="C6526" s="85"/>
      <c r="D6526" s="41"/>
      <c r="E6526" s="26" t="str">
        <f ca="1">IFERROR(__xludf.DUMMYFUNCTION("""COMPUTED_VALUE"""),"")</f>
        <v/>
      </c>
      <c r="F6526" s="72"/>
      <c r="G6526" s="72"/>
    </row>
    <row r="6527" spans="1:7" ht="14.5" hidden="1">
      <c r="A6527" s="5"/>
      <c r="B6527" s="18"/>
      <c r="C6527" s="85"/>
      <c r="D6527" s="41"/>
      <c r="E6527" s="26" t="str">
        <f ca="1">IFERROR(__xludf.DUMMYFUNCTION("""COMPUTED_VALUE"""),"")</f>
        <v/>
      </c>
      <c r="F6527" s="72"/>
      <c r="G6527" s="72"/>
    </row>
    <row r="6528" spans="1:7" ht="14.5" hidden="1">
      <c r="A6528" s="5"/>
      <c r="B6528" s="18"/>
      <c r="C6528" s="85"/>
      <c r="D6528" s="41"/>
      <c r="E6528" s="26" t="str">
        <f ca="1">IFERROR(__xludf.DUMMYFUNCTION("""COMPUTED_VALUE"""),"")</f>
        <v/>
      </c>
      <c r="F6528" s="72"/>
      <c r="G6528" s="72"/>
    </row>
    <row r="6529" spans="1:7" ht="14.5" hidden="1">
      <c r="A6529" s="5"/>
      <c r="B6529" s="18"/>
      <c r="C6529" s="85"/>
      <c r="D6529" s="41"/>
      <c r="E6529" s="26" t="str">
        <f ca="1">IFERROR(__xludf.DUMMYFUNCTION("""COMPUTED_VALUE"""),"")</f>
        <v/>
      </c>
      <c r="F6529" s="72"/>
      <c r="G6529" s="72"/>
    </row>
    <row r="6530" spans="1:7" ht="14.5" hidden="1">
      <c r="A6530" s="5"/>
      <c r="B6530" s="18"/>
      <c r="C6530" s="85"/>
      <c r="D6530" s="41"/>
      <c r="E6530" s="26" t="str">
        <f ca="1">IFERROR(__xludf.DUMMYFUNCTION("""COMPUTED_VALUE"""),"")</f>
        <v/>
      </c>
      <c r="F6530" s="72"/>
      <c r="G6530" s="72"/>
    </row>
    <row r="6531" spans="1:7" ht="14.5" hidden="1">
      <c r="A6531" s="5"/>
      <c r="B6531" s="18"/>
      <c r="C6531" s="85"/>
      <c r="D6531" s="41"/>
      <c r="E6531" s="26" t="str">
        <f ca="1">IFERROR(__xludf.DUMMYFUNCTION("""COMPUTED_VALUE"""),"")</f>
        <v/>
      </c>
      <c r="F6531" s="72"/>
      <c r="G6531" s="72"/>
    </row>
    <row r="6532" spans="1:7" ht="14.5" hidden="1">
      <c r="A6532" s="5"/>
      <c r="B6532" s="18"/>
      <c r="C6532" s="85"/>
      <c r="D6532" s="41"/>
      <c r="E6532" s="26" t="str">
        <f ca="1">IFERROR(__xludf.DUMMYFUNCTION("""COMPUTED_VALUE"""),"")</f>
        <v/>
      </c>
      <c r="F6532" s="72"/>
      <c r="G6532" s="72"/>
    </row>
    <row r="6533" spans="1:7" ht="14.5" hidden="1">
      <c r="A6533" s="5"/>
      <c r="B6533" s="18"/>
      <c r="C6533" s="85"/>
      <c r="D6533" s="41"/>
      <c r="E6533" s="26" t="str">
        <f ca="1">IFERROR(__xludf.DUMMYFUNCTION("""COMPUTED_VALUE"""),"")</f>
        <v/>
      </c>
      <c r="F6533" s="72"/>
      <c r="G6533" s="72"/>
    </row>
    <row r="6534" spans="1:7" ht="14.5" hidden="1">
      <c r="A6534" s="5"/>
      <c r="B6534" s="18"/>
      <c r="C6534" s="85"/>
      <c r="D6534" s="41"/>
      <c r="E6534" s="26" t="str">
        <f ca="1">IFERROR(__xludf.DUMMYFUNCTION("""COMPUTED_VALUE"""),"")</f>
        <v/>
      </c>
      <c r="F6534" s="72"/>
      <c r="G6534" s="72"/>
    </row>
    <row r="6535" spans="1:7" ht="14.5" hidden="1">
      <c r="A6535" s="5"/>
      <c r="B6535" s="18"/>
      <c r="C6535" s="85"/>
      <c r="D6535" s="41"/>
      <c r="E6535" s="26" t="str">
        <f ca="1">IFERROR(__xludf.DUMMYFUNCTION("""COMPUTED_VALUE"""),"")</f>
        <v/>
      </c>
      <c r="F6535" s="72"/>
      <c r="G6535" s="72"/>
    </row>
    <row r="6536" spans="1:7" ht="14.5" hidden="1">
      <c r="A6536" s="5"/>
      <c r="B6536" s="18"/>
      <c r="C6536" s="85"/>
      <c r="D6536" s="41"/>
      <c r="E6536" s="26" t="str">
        <f ca="1">IFERROR(__xludf.DUMMYFUNCTION("""COMPUTED_VALUE"""),"")</f>
        <v/>
      </c>
      <c r="F6536" s="72"/>
      <c r="G6536" s="72"/>
    </row>
    <row r="6537" spans="1:7" ht="14.5" hidden="1">
      <c r="A6537" s="5"/>
      <c r="B6537" s="18"/>
      <c r="C6537" s="85"/>
      <c r="D6537" s="41"/>
      <c r="E6537" s="26" t="str">
        <f ca="1">IFERROR(__xludf.DUMMYFUNCTION("""COMPUTED_VALUE"""),"")</f>
        <v/>
      </c>
      <c r="F6537" s="72"/>
      <c r="G6537" s="72"/>
    </row>
    <row r="6538" spans="1:7" ht="14.5" hidden="1">
      <c r="A6538" s="5"/>
      <c r="B6538" s="18"/>
      <c r="C6538" s="85"/>
      <c r="D6538" s="41"/>
      <c r="E6538" s="26" t="str">
        <f ca="1">IFERROR(__xludf.DUMMYFUNCTION("""COMPUTED_VALUE"""),"")</f>
        <v/>
      </c>
      <c r="F6538" s="72"/>
      <c r="G6538" s="72"/>
    </row>
    <row r="6539" spans="1:7" ht="14.5" hidden="1">
      <c r="A6539" s="5"/>
      <c r="B6539" s="18"/>
      <c r="C6539" s="85"/>
      <c r="D6539" s="41"/>
      <c r="E6539" s="26" t="str">
        <f ca="1">IFERROR(__xludf.DUMMYFUNCTION("""COMPUTED_VALUE"""),"")</f>
        <v/>
      </c>
      <c r="F6539" s="72"/>
      <c r="G6539" s="72"/>
    </row>
    <row r="6540" spans="1:7" ht="14.5" hidden="1">
      <c r="A6540" s="5"/>
      <c r="B6540" s="18"/>
      <c r="C6540" s="85"/>
      <c r="D6540" s="41"/>
      <c r="E6540" s="26" t="str">
        <f ca="1">IFERROR(__xludf.DUMMYFUNCTION("""COMPUTED_VALUE"""),"")</f>
        <v/>
      </c>
      <c r="F6540" s="72"/>
      <c r="G6540" s="72"/>
    </row>
    <row r="6541" spans="1:7" ht="14.5" hidden="1">
      <c r="A6541" s="5"/>
      <c r="B6541" s="18"/>
      <c r="C6541" s="85"/>
      <c r="D6541" s="41"/>
      <c r="E6541" s="26" t="str">
        <f ca="1">IFERROR(__xludf.DUMMYFUNCTION("""COMPUTED_VALUE"""),"")</f>
        <v/>
      </c>
      <c r="F6541" s="72"/>
      <c r="G6541" s="72"/>
    </row>
    <row r="6542" spans="1:7" ht="14.5" hidden="1">
      <c r="A6542" s="5"/>
      <c r="B6542" s="18"/>
      <c r="C6542" s="85"/>
      <c r="D6542" s="41"/>
      <c r="E6542" s="26" t="str">
        <f ca="1">IFERROR(__xludf.DUMMYFUNCTION("""COMPUTED_VALUE"""),"")</f>
        <v/>
      </c>
      <c r="F6542" s="72"/>
      <c r="G6542" s="72"/>
    </row>
    <row r="6543" spans="1:7" ht="14.5" hidden="1">
      <c r="A6543" s="5"/>
      <c r="B6543" s="18"/>
      <c r="C6543" s="85"/>
      <c r="D6543" s="41"/>
      <c r="E6543" s="26" t="str">
        <f ca="1">IFERROR(__xludf.DUMMYFUNCTION("""COMPUTED_VALUE"""),"")</f>
        <v/>
      </c>
      <c r="F6543" s="72"/>
      <c r="G6543" s="72"/>
    </row>
    <row r="6544" spans="1:7" ht="14.5" hidden="1">
      <c r="A6544" s="5"/>
      <c r="B6544" s="18"/>
      <c r="C6544" s="85"/>
      <c r="D6544" s="41"/>
      <c r="E6544" s="26" t="str">
        <f ca="1">IFERROR(__xludf.DUMMYFUNCTION("""COMPUTED_VALUE"""),"")</f>
        <v/>
      </c>
      <c r="F6544" s="72"/>
      <c r="G6544" s="72"/>
    </row>
    <row r="6545" spans="1:7" ht="14.5" hidden="1">
      <c r="A6545" s="5"/>
      <c r="B6545" s="18"/>
      <c r="C6545" s="85"/>
      <c r="D6545" s="41"/>
      <c r="E6545" s="26" t="str">
        <f ca="1">IFERROR(__xludf.DUMMYFUNCTION("""COMPUTED_VALUE"""),"")</f>
        <v/>
      </c>
      <c r="F6545" s="72"/>
      <c r="G6545" s="72"/>
    </row>
    <row r="6546" spans="1:7" ht="14.5" hidden="1">
      <c r="A6546" s="5"/>
      <c r="B6546" s="18"/>
      <c r="C6546" s="85"/>
      <c r="D6546" s="41"/>
      <c r="E6546" s="26" t="str">
        <f ca="1">IFERROR(__xludf.DUMMYFUNCTION("""COMPUTED_VALUE"""),"")</f>
        <v/>
      </c>
      <c r="F6546" s="72"/>
      <c r="G6546" s="72"/>
    </row>
    <row r="6547" spans="1:7" ht="14.5" hidden="1">
      <c r="A6547" s="5"/>
      <c r="B6547" s="18"/>
      <c r="C6547" s="85"/>
      <c r="D6547" s="41"/>
      <c r="E6547" s="26" t="str">
        <f ca="1">IFERROR(__xludf.DUMMYFUNCTION("""COMPUTED_VALUE"""),"")</f>
        <v/>
      </c>
      <c r="F6547" s="72"/>
      <c r="G6547" s="72"/>
    </row>
    <row r="6548" spans="1:7" ht="14.5" hidden="1">
      <c r="A6548" s="5"/>
      <c r="B6548" s="18"/>
      <c r="C6548" s="85"/>
      <c r="D6548" s="41"/>
      <c r="E6548" s="26" t="str">
        <f ca="1">IFERROR(__xludf.DUMMYFUNCTION("""COMPUTED_VALUE"""),"")</f>
        <v/>
      </c>
      <c r="F6548" s="72"/>
      <c r="G6548" s="72"/>
    </row>
    <row r="6549" spans="1:7" ht="14.5" hidden="1">
      <c r="A6549" s="5"/>
      <c r="B6549" s="18"/>
      <c r="C6549" s="85"/>
      <c r="D6549" s="41"/>
      <c r="E6549" s="26" t="str">
        <f ca="1">IFERROR(__xludf.DUMMYFUNCTION("""COMPUTED_VALUE"""),"")</f>
        <v/>
      </c>
      <c r="F6549" s="72"/>
      <c r="G6549" s="72"/>
    </row>
    <row r="6550" spans="1:7" ht="14.5" hidden="1">
      <c r="A6550" s="5"/>
      <c r="B6550" s="18"/>
      <c r="C6550" s="85"/>
      <c r="D6550" s="41"/>
      <c r="E6550" s="26" t="str">
        <f ca="1">IFERROR(__xludf.DUMMYFUNCTION("""COMPUTED_VALUE"""),"")</f>
        <v/>
      </c>
      <c r="F6550" s="72"/>
      <c r="G6550" s="72"/>
    </row>
    <row r="6551" spans="1:7" ht="14.5" hidden="1">
      <c r="A6551" s="5"/>
      <c r="B6551" s="18"/>
      <c r="C6551" s="85"/>
      <c r="D6551" s="41"/>
      <c r="E6551" s="26" t="str">
        <f ca="1">IFERROR(__xludf.DUMMYFUNCTION("""COMPUTED_VALUE"""),"")</f>
        <v/>
      </c>
      <c r="F6551" s="72"/>
      <c r="G6551" s="72"/>
    </row>
    <row r="6552" spans="1:7" ht="14.5" hidden="1">
      <c r="A6552" s="5"/>
      <c r="B6552" s="18"/>
      <c r="C6552" s="85"/>
      <c r="D6552" s="41"/>
      <c r="E6552" s="26" t="str">
        <f ca="1">IFERROR(__xludf.DUMMYFUNCTION("""COMPUTED_VALUE"""),"")</f>
        <v/>
      </c>
      <c r="F6552" s="72"/>
      <c r="G6552" s="72"/>
    </row>
    <row r="6553" spans="1:7" ht="14.5" hidden="1">
      <c r="A6553" s="5"/>
      <c r="B6553" s="18"/>
      <c r="C6553" s="85"/>
      <c r="D6553" s="41"/>
      <c r="E6553" s="26" t="str">
        <f ca="1">IFERROR(__xludf.DUMMYFUNCTION("""COMPUTED_VALUE"""),"")</f>
        <v/>
      </c>
      <c r="F6553" s="72"/>
      <c r="G6553" s="72"/>
    </row>
    <row r="6554" spans="1:7" ht="14.5" hidden="1">
      <c r="A6554" s="5"/>
      <c r="B6554" s="18"/>
      <c r="C6554" s="85"/>
      <c r="D6554" s="41"/>
      <c r="E6554" s="26" t="str">
        <f ca="1">IFERROR(__xludf.DUMMYFUNCTION("""COMPUTED_VALUE"""),"")</f>
        <v/>
      </c>
      <c r="F6554" s="72"/>
      <c r="G6554" s="72"/>
    </row>
    <row r="6555" spans="1:7" ht="14.5" hidden="1">
      <c r="A6555" s="5"/>
      <c r="B6555" s="18"/>
      <c r="C6555" s="85"/>
      <c r="D6555" s="41"/>
      <c r="E6555" s="26" t="str">
        <f ca="1">IFERROR(__xludf.DUMMYFUNCTION("""COMPUTED_VALUE"""),"")</f>
        <v/>
      </c>
      <c r="F6555" s="72"/>
      <c r="G6555" s="72"/>
    </row>
    <row r="6556" spans="1:7" ht="14.5" hidden="1">
      <c r="A6556" s="5"/>
      <c r="B6556" s="18"/>
      <c r="C6556" s="85"/>
      <c r="D6556" s="41"/>
      <c r="E6556" s="26" t="str">
        <f ca="1">IFERROR(__xludf.DUMMYFUNCTION("""COMPUTED_VALUE"""),"")</f>
        <v/>
      </c>
      <c r="F6556" s="72"/>
      <c r="G6556" s="72"/>
    </row>
    <row r="6557" spans="1:7" ht="14.5" hidden="1">
      <c r="A6557" s="5"/>
      <c r="B6557" s="18"/>
      <c r="C6557" s="85"/>
      <c r="D6557" s="41"/>
      <c r="E6557" s="26" t="str">
        <f ca="1">IFERROR(__xludf.DUMMYFUNCTION("""COMPUTED_VALUE"""),"")</f>
        <v/>
      </c>
      <c r="F6557" s="72"/>
      <c r="G6557" s="72"/>
    </row>
    <row r="6558" spans="1:7" ht="14.5" hidden="1">
      <c r="A6558" s="5"/>
      <c r="B6558" s="18"/>
      <c r="C6558" s="85"/>
      <c r="D6558" s="41"/>
      <c r="E6558" s="26" t="str">
        <f ca="1">IFERROR(__xludf.DUMMYFUNCTION("""COMPUTED_VALUE"""),"")</f>
        <v/>
      </c>
      <c r="F6558" s="72"/>
      <c r="G6558" s="72"/>
    </row>
    <row r="6559" spans="1:7" ht="14.5" hidden="1">
      <c r="A6559" s="5"/>
      <c r="B6559" s="18"/>
      <c r="C6559" s="85"/>
      <c r="D6559" s="41"/>
      <c r="E6559" s="26" t="str">
        <f ca="1">IFERROR(__xludf.DUMMYFUNCTION("""COMPUTED_VALUE"""),"")</f>
        <v/>
      </c>
      <c r="F6559" s="72"/>
      <c r="G6559" s="72"/>
    </row>
    <row r="6560" spans="1:7" ht="14.5" hidden="1">
      <c r="A6560" s="5"/>
      <c r="B6560" s="18"/>
      <c r="C6560" s="85"/>
      <c r="D6560" s="41"/>
      <c r="E6560" s="26" t="str">
        <f ca="1">IFERROR(__xludf.DUMMYFUNCTION("""COMPUTED_VALUE"""),"")</f>
        <v/>
      </c>
      <c r="F6560" s="72"/>
      <c r="G6560" s="72"/>
    </row>
    <row r="6561" spans="1:7" ht="14.5" hidden="1">
      <c r="A6561" s="5"/>
      <c r="B6561" s="18"/>
      <c r="C6561" s="85"/>
      <c r="D6561" s="41"/>
      <c r="E6561" s="26" t="str">
        <f ca="1">IFERROR(__xludf.DUMMYFUNCTION("""COMPUTED_VALUE"""),"")</f>
        <v/>
      </c>
      <c r="F6561" s="72"/>
      <c r="G6561" s="72"/>
    </row>
    <row r="6562" spans="1:7" ht="14.5" hidden="1">
      <c r="A6562" s="5"/>
      <c r="B6562" s="18"/>
      <c r="C6562" s="85"/>
      <c r="D6562" s="41"/>
      <c r="E6562" s="26" t="str">
        <f ca="1">IFERROR(__xludf.DUMMYFUNCTION("""COMPUTED_VALUE"""),"")</f>
        <v/>
      </c>
      <c r="F6562" s="72"/>
      <c r="G6562" s="72"/>
    </row>
    <row r="6563" spans="1:7" ht="14.5" hidden="1">
      <c r="A6563" s="5"/>
      <c r="B6563" s="18"/>
      <c r="C6563" s="85"/>
      <c r="D6563" s="41"/>
      <c r="E6563" s="26" t="str">
        <f ca="1">IFERROR(__xludf.DUMMYFUNCTION("""COMPUTED_VALUE"""),"")</f>
        <v/>
      </c>
      <c r="F6563" s="72"/>
      <c r="G6563" s="72"/>
    </row>
    <row r="6564" spans="1:7" ht="14.5" hidden="1">
      <c r="A6564" s="5"/>
      <c r="B6564" s="18"/>
      <c r="C6564" s="85"/>
      <c r="D6564" s="41"/>
      <c r="E6564" s="26" t="str">
        <f ca="1">IFERROR(__xludf.DUMMYFUNCTION("""COMPUTED_VALUE"""),"")</f>
        <v/>
      </c>
      <c r="F6564" s="72"/>
      <c r="G6564" s="72"/>
    </row>
    <row r="6565" spans="1:7" ht="14.5" hidden="1">
      <c r="A6565" s="5"/>
      <c r="B6565" s="18"/>
      <c r="C6565" s="85"/>
      <c r="D6565" s="41"/>
      <c r="E6565" s="26" t="str">
        <f ca="1">IFERROR(__xludf.DUMMYFUNCTION("""COMPUTED_VALUE"""),"")</f>
        <v/>
      </c>
      <c r="F6565" s="72"/>
      <c r="G6565" s="72"/>
    </row>
    <row r="6566" spans="1:7" ht="14.5" hidden="1">
      <c r="A6566" s="5"/>
      <c r="B6566" s="18"/>
      <c r="C6566" s="85"/>
      <c r="D6566" s="41"/>
      <c r="E6566" s="26" t="str">
        <f ca="1">IFERROR(__xludf.DUMMYFUNCTION("""COMPUTED_VALUE"""),"")</f>
        <v/>
      </c>
      <c r="F6566" s="72"/>
      <c r="G6566" s="72"/>
    </row>
    <row r="6567" spans="1:7" ht="14.5" hidden="1">
      <c r="A6567" s="5"/>
      <c r="B6567" s="18"/>
      <c r="C6567" s="85"/>
      <c r="D6567" s="41"/>
      <c r="E6567" s="26" t="str">
        <f ca="1">IFERROR(__xludf.DUMMYFUNCTION("""COMPUTED_VALUE"""),"")</f>
        <v/>
      </c>
      <c r="F6567" s="72"/>
      <c r="G6567" s="72"/>
    </row>
    <row r="6568" spans="1:7" ht="14.5" hidden="1">
      <c r="A6568" s="5"/>
      <c r="B6568" s="18"/>
      <c r="C6568" s="85"/>
      <c r="D6568" s="41"/>
      <c r="E6568" s="26" t="str">
        <f ca="1">IFERROR(__xludf.DUMMYFUNCTION("""COMPUTED_VALUE"""),"")</f>
        <v/>
      </c>
      <c r="F6568" s="72"/>
      <c r="G6568" s="72"/>
    </row>
    <row r="6569" spans="1:7" ht="14.5" hidden="1">
      <c r="A6569" s="5"/>
      <c r="B6569" s="18"/>
      <c r="C6569" s="85"/>
      <c r="D6569" s="41"/>
      <c r="E6569" s="26" t="str">
        <f ca="1">IFERROR(__xludf.DUMMYFUNCTION("""COMPUTED_VALUE"""),"")</f>
        <v/>
      </c>
      <c r="F6569" s="72"/>
      <c r="G6569" s="72"/>
    </row>
    <row r="6570" spans="1:7" ht="14.5" hidden="1">
      <c r="A6570" s="5"/>
      <c r="B6570" s="18"/>
      <c r="C6570" s="85"/>
      <c r="D6570" s="41"/>
      <c r="E6570" s="26" t="str">
        <f ca="1">IFERROR(__xludf.DUMMYFUNCTION("""COMPUTED_VALUE"""),"")</f>
        <v/>
      </c>
      <c r="F6570" s="72"/>
      <c r="G6570" s="72"/>
    </row>
    <row r="6571" spans="1:7" ht="14.5" hidden="1">
      <c r="A6571" s="5"/>
      <c r="B6571" s="18"/>
      <c r="C6571" s="85"/>
      <c r="D6571" s="41"/>
      <c r="E6571" s="26" t="str">
        <f ca="1">IFERROR(__xludf.DUMMYFUNCTION("""COMPUTED_VALUE"""),"")</f>
        <v/>
      </c>
      <c r="F6571" s="72"/>
      <c r="G6571" s="72"/>
    </row>
    <row r="6572" spans="1:7" ht="14.5" hidden="1">
      <c r="A6572" s="5"/>
      <c r="B6572" s="18"/>
      <c r="C6572" s="85"/>
      <c r="D6572" s="41"/>
      <c r="E6572" s="26" t="str">
        <f ca="1">IFERROR(__xludf.DUMMYFUNCTION("""COMPUTED_VALUE"""),"")</f>
        <v/>
      </c>
      <c r="F6572" s="72"/>
      <c r="G6572" s="72"/>
    </row>
    <row r="6573" spans="1:7" ht="14.5" hidden="1">
      <c r="A6573" s="5"/>
      <c r="B6573" s="18"/>
      <c r="C6573" s="85"/>
      <c r="D6573" s="41"/>
      <c r="E6573" s="26" t="str">
        <f ca="1">IFERROR(__xludf.DUMMYFUNCTION("""COMPUTED_VALUE"""),"")</f>
        <v/>
      </c>
      <c r="F6573" s="72"/>
      <c r="G6573" s="72"/>
    </row>
    <row r="6574" spans="1:7" ht="14.5" hidden="1">
      <c r="A6574" s="5"/>
      <c r="B6574" s="18"/>
      <c r="C6574" s="85"/>
      <c r="D6574" s="41"/>
      <c r="E6574" s="26" t="str">
        <f ca="1">IFERROR(__xludf.DUMMYFUNCTION("""COMPUTED_VALUE"""),"")</f>
        <v/>
      </c>
      <c r="F6574" s="72"/>
      <c r="G6574" s="72"/>
    </row>
    <row r="6575" spans="1:7" ht="14.5" hidden="1">
      <c r="A6575" s="5"/>
      <c r="B6575" s="18"/>
      <c r="C6575" s="85"/>
      <c r="D6575" s="41"/>
      <c r="E6575" s="26" t="str">
        <f ca="1">IFERROR(__xludf.DUMMYFUNCTION("""COMPUTED_VALUE"""),"")</f>
        <v/>
      </c>
      <c r="F6575" s="72"/>
      <c r="G6575" s="72"/>
    </row>
    <row r="6576" spans="1:7" ht="14.5" hidden="1">
      <c r="A6576" s="5"/>
      <c r="B6576" s="18"/>
      <c r="C6576" s="85"/>
      <c r="D6576" s="41"/>
      <c r="E6576" s="26" t="str">
        <f ca="1">IFERROR(__xludf.DUMMYFUNCTION("""COMPUTED_VALUE"""),"")</f>
        <v/>
      </c>
      <c r="F6576" s="72"/>
      <c r="G6576" s="72"/>
    </row>
    <row r="6577" spans="1:7" ht="14.5" hidden="1">
      <c r="A6577" s="5"/>
      <c r="B6577" s="18"/>
      <c r="C6577" s="85"/>
      <c r="D6577" s="41"/>
      <c r="E6577" s="26" t="str">
        <f ca="1">IFERROR(__xludf.DUMMYFUNCTION("""COMPUTED_VALUE"""),"")</f>
        <v/>
      </c>
      <c r="F6577" s="72"/>
      <c r="G6577" s="72"/>
    </row>
    <row r="6578" spans="1:7" ht="14.5" hidden="1">
      <c r="A6578" s="5"/>
      <c r="B6578" s="18"/>
      <c r="C6578" s="85"/>
      <c r="D6578" s="41"/>
      <c r="E6578" s="26" t="str">
        <f ca="1">IFERROR(__xludf.DUMMYFUNCTION("""COMPUTED_VALUE"""),"")</f>
        <v/>
      </c>
      <c r="F6578" s="72"/>
      <c r="G6578" s="72"/>
    </row>
    <row r="6579" spans="1:7" ht="14.5" hidden="1">
      <c r="A6579" s="5"/>
      <c r="B6579" s="18"/>
      <c r="C6579" s="85"/>
      <c r="D6579" s="41"/>
      <c r="E6579" s="26" t="str">
        <f ca="1">IFERROR(__xludf.DUMMYFUNCTION("""COMPUTED_VALUE"""),"")</f>
        <v/>
      </c>
      <c r="F6579" s="72"/>
      <c r="G6579" s="72"/>
    </row>
    <row r="6580" spans="1:7" ht="14.5" hidden="1">
      <c r="A6580" s="5"/>
      <c r="B6580" s="18"/>
      <c r="C6580" s="85"/>
      <c r="D6580" s="41"/>
      <c r="E6580" s="26" t="str">
        <f ca="1">IFERROR(__xludf.DUMMYFUNCTION("""COMPUTED_VALUE"""),"")</f>
        <v/>
      </c>
      <c r="F6580" s="72"/>
      <c r="G6580" s="72"/>
    </row>
    <row r="6581" spans="1:7" ht="14.5" hidden="1">
      <c r="A6581" s="5"/>
      <c r="B6581" s="18"/>
      <c r="C6581" s="85"/>
      <c r="D6581" s="41"/>
      <c r="E6581" s="26" t="str">
        <f ca="1">IFERROR(__xludf.DUMMYFUNCTION("""COMPUTED_VALUE"""),"")</f>
        <v/>
      </c>
      <c r="F6581" s="72"/>
      <c r="G6581" s="72"/>
    </row>
    <row r="6582" spans="1:7" ht="14.5" hidden="1">
      <c r="A6582" s="5"/>
      <c r="B6582" s="18"/>
      <c r="C6582" s="85"/>
      <c r="D6582" s="41"/>
      <c r="E6582" s="26" t="str">
        <f ca="1">IFERROR(__xludf.DUMMYFUNCTION("""COMPUTED_VALUE"""),"")</f>
        <v/>
      </c>
      <c r="F6582" s="72"/>
      <c r="G6582" s="72"/>
    </row>
    <row r="6583" spans="1:7" ht="14.5" hidden="1">
      <c r="A6583" s="5"/>
      <c r="B6583" s="18"/>
      <c r="C6583" s="85"/>
      <c r="D6583" s="41"/>
      <c r="E6583" s="26" t="str">
        <f ca="1">IFERROR(__xludf.DUMMYFUNCTION("""COMPUTED_VALUE"""),"")</f>
        <v/>
      </c>
      <c r="F6583" s="72"/>
      <c r="G6583" s="72"/>
    </row>
    <row r="6584" spans="1:7" ht="14.5" hidden="1">
      <c r="A6584" s="5"/>
      <c r="B6584" s="18"/>
      <c r="C6584" s="85"/>
      <c r="D6584" s="41"/>
      <c r="E6584" s="26" t="str">
        <f ca="1">IFERROR(__xludf.DUMMYFUNCTION("""COMPUTED_VALUE"""),"")</f>
        <v/>
      </c>
      <c r="F6584" s="72"/>
      <c r="G6584" s="72"/>
    </row>
    <row r="6585" spans="1:7" ht="14.5" hidden="1">
      <c r="A6585" s="5"/>
      <c r="B6585" s="18"/>
      <c r="C6585" s="85"/>
      <c r="D6585" s="41"/>
      <c r="E6585" s="26" t="str">
        <f ca="1">IFERROR(__xludf.DUMMYFUNCTION("""COMPUTED_VALUE"""),"")</f>
        <v/>
      </c>
      <c r="F6585" s="72"/>
      <c r="G6585" s="72"/>
    </row>
    <row r="6586" spans="1:7" ht="14.5" hidden="1">
      <c r="A6586" s="5"/>
      <c r="B6586" s="18"/>
      <c r="C6586" s="85"/>
      <c r="D6586" s="41"/>
      <c r="E6586" s="26" t="str">
        <f ca="1">IFERROR(__xludf.DUMMYFUNCTION("""COMPUTED_VALUE"""),"")</f>
        <v/>
      </c>
      <c r="F6586" s="72"/>
      <c r="G6586" s="72"/>
    </row>
    <row r="6587" spans="1:7" ht="14.5" hidden="1">
      <c r="A6587" s="5"/>
      <c r="B6587" s="18"/>
      <c r="C6587" s="85"/>
      <c r="D6587" s="41"/>
      <c r="E6587" s="26" t="str">
        <f ca="1">IFERROR(__xludf.DUMMYFUNCTION("""COMPUTED_VALUE"""),"")</f>
        <v/>
      </c>
      <c r="F6587" s="72"/>
      <c r="G6587" s="72"/>
    </row>
    <row r="6588" spans="1:7" ht="14.5" hidden="1">
      <c r="A6588" s="5"/>
      <c r="B6588" s="18"/>
      <c r="C6588" s="85"/>
      <c r="D6588" s="41"/>
      <c r="E6588" s="26" t="str">
        <f ca="1">IFERROR(__xludf.DUMMYFUNCTION("""COMPUTED_VALUE"""),"")</f>
        <v/>
      </c>
      <c r="F6588" s="72"/>
      <c r="G6588" s="72"/>
    </row>
    <row r="6589" spans="1:7" ht="14.5" hidden="1">
      <c r="A6589" s="5"/>
      <c r="B6589" s="18"/>
      <c r="C6589" s="85"/>
      <c r="D6589" s="41"/>
      <c r="E6589" s="26" t="str">
        <f ca="1">IFERROR(__xludf.DUMMYFUNCTION("""COMPUTED_VALUE"""),"")</f>
        <v/>
      </c>
      <c r="F6589" s="72"/>
      <c r="G6589" s="72"/>
    </row>
    <row r="6590" spans="1:7" ht="14.5" hidden="1">
      <c r="A6590" s="5"/>
      <c r="B6590" s="18"/>
      <c r="C6590" s="85"/>
      <c r="D6590" s="41"/>
      <c r="E6590" s="26" t="str">
        <f ca="1">IFERROR(__xludf.DUMMYFUNCTION("""COMPUTED_VALUE"""),"")</f>
        <v/>
      </c>
      <c r="F6590" s="72"/>
      <c r="G6590" s="72"/>
    </row>
    <row r="6591" spans="1:7" ht="14.5" hidden="1">
      <c r="A6591" s="5"/>
      <c r="B6591" s="18"/>
      <c r="C6591" s="85"/>
      <c r="D6591" s="41"/>
      <c r="E6591" s="26" t="str">
        <f ca="1">IFERROR(__xludf.DUMMYFUNCTION("""COMPUTED_VALUE"""),"")</f>
        <v/>
      </c>
      <c r="F6591" s="72"/>
      <c r="G6591" s="72"/>
    </row>
    <row r="6592" spans="1:7" ht="14.5" hidden="1">
      <c r="A6592" s="5"/>
      <c r="B6592" s="18"/>
      <c r="C6592" s="85"/>
      <c r="D6592" s="41"/>
      <c r="E6592" s="26" t="str">
        <f ca="1">IFERROR(__xludf.DUMMYFUNCTION("""COMPUTED_VALUE"""),"")</f>
        <v/>
      </c>
      <c r="F6592" s="72"/>
      <c r="G6592" s="72"/>
    </row>
    <row r="6593" spans="1:7" ht="14.5" hidden="1">
      <c r="A6593" s="5"/>
      <c r="B6593" s="18"/>
      <c r="C6593" s="85"/>
      <c r="D6593" s="41"/>
      <c r="E6593" s="26" t="str">
        <f ca="1">IFERROR(__xludf.DUMMYFUNCTION("""COMPUTED_VALUE"""),"")</f>
        <v/>
      </c>
      <c r="F6593" s="72"/>
      <c r="G6593" s="72"/>
    </row>
    <row r="6594" spans="1:7" ht="14.5" hidden="1">
      <c r="A6594" s="5"/>
      <c r="B6594" s="18"/>
      <c r="C6594" s="85"/>
      <c r="D6594" s="41"/>
      <c r="E6594" s="26" t="str">
        <f ca="1">IFERROR(__xludf.DUMMYFUNCTION("""COMPUTED_VALUE"""),"")</f>
        <v/>
      </c>
      <c r="F6594" s="72"/>
      <c r="G6594" s="72"/>
    </row>
    <row r="6595" spans="1:7" ht="14.5" hidden="1">
      <c r="A6595" s="5"/>
      <c r="B6595" s="18"/>
      <c r="C6595" s="85"/>
      <c r="D6595" s="41"/>
      <c r="E6595" s="26" t="str">
        <f ca="1">IFERROR(__xludf.DUMMYFUNCTION("""COMPUTED_VALUE"""),"")</f>
        <v/>
      </c>
      <c r="F6595" s="72"/>
      <c r="G6595" s="72"/>
    </row>
    <row r="6596" spans="1:7" ht="14.5" hidden="1">
      <c r="A6596" s="5"/>
      <c r="B6596" s="18"/>
      <c r="C6596" s="85"/>
      <c r="D6596" s="41"/>
      <c r="E6596" s="26" t="str">
        <f ca="1">IFERROR(__xludf.DUMMYFUNCTION("""COMPUTED_VALUE"""),"")</f>
        <v/>
      </c>
      <c r="F6596" s="72"/>
      <c r="G6596" s="72"/>
    </row>
    <row r="6597" spans="1:7" ht="14.5" hidden="1">
      <c r="A6597" s="5"/>
      <c r="B6597" s="18"/>
      <c r="C6597" s="85"/>
      <c r="D6597" s="41"/>
      <c r="E6597" s="26" t="str">
        <f ca="1">IFERROR(__xludf.DUMMYFUNCTION("""COMPUTED_VALUE"""),"")</f>
        <v/>
      </c>
      <c r="F6597" s="72"/>
      <c r="G6597" s="72"/>
    </row>
    <row r="6598" spans="1:7" ht="14.5" hidden="1">
      <c r="A6598" s="5"/>
      <c r="B6598" s="18"/>
      <c r="C6598" s="85"/>
      <c r="D6598" s="41"/>
      <c r="E6598" s="26" t="str">
        <f ca="1">IFERROR(__xludf.DUMMYFUNCTION("""COMPUTED_VALUE"""),"")</f>
        <v/>
      </c>
      <c r="F6598" s="72"/>
      <c r="G6598" s="72"/>
    </row>
    <row r="6599" spans="1:7" ht="14.5" hidden="1">
      <c r="A6599" s="5"/>
      <c r="B6599" s="18"/>
      <c r="C6599" s="85"/>
      <c r="D6599" s="41"/>
      <c r="E6599" s="26" t="str">
        <f ca="1">IFERROR(__xludf.DUMMYFUNCTION("""COMPUTED_VALUE"""),"")</f>
        <v/>
      </c>
      <c r="F6599" s="72"/>
      <c r="G6599" s="72"/>
    </row>
    <row r="6600" spans="1:7" ht="14.5" hidden="1">
      <c r="A6600" s="5"/>
      <c r="B6600" s="18"/>
      <c r="C6600" s="85"/>
      <c r="D6600" s="41"/>
      <c r="E6600" s="26" t="str">
        <f ca="1">IFERROR(__xludf.DUMMYFUNCTION("""COMPUTED_VALUE"""),"")</f>
        <v/>
      </c>
      <c r="F6600" s="72"/>
      <c r="G6600" s="72"/>
    </row>
    <row r="6601" spans="1:7" ht="14.5" hidden="1">
      <c r="A6601" s="5"/>
      <c r="B6601" s="18"/>
      <c r="C6601" s="85"/>
      <c r="D6601" s="41"/>
      <c r="E6601" s="26" t="str">
        <f ca="1">IFERROR(__xludf.DUMMYFUNCTION("""COMPUTED_VALUE"""),"")</f>
        <v/>
      </c>
      <c r="F6601" s="72"/>
      <c r="G6601" s="72"/>
    </row>
    <row r="6602" spans="1:7" ht="14.5" hidden="1">
      <c r="A6602" s="5"/>
      <c r="B6602" s="18"/>
      <c r="C6602" s="85"/>
      <c r="D6602" s="41"/>
      <c r="E6602" s="26" t="str">
        <f ca="1">IFERROR(__xludf.DUMMYFUNCTION("""COMPUTED_VALUE"""),"")</f>
        <v/>
      </c>
      <c r="F6602" s="72"/>
      <c r="G6602" s="72"/>
    </row>
    <row r="6603" spans="1:7" ht="14.5" hidden="1">
      <c r="A6603" s="5"/>
      <c r="B6603" s="18"/>
      <c r="C6603" s="85"/>
      <c r="D6603" s="41"/>
      <c r="E6603" s="26" t="str">
        <f ca="1">IFERROR(__xludf.DUMMYFUNCTION("""COMPUTED_VALUE"""),"")</f>
        <v/>
      </c>
      <c r="F6603" s="72"/>
      <c r="G6603" s="72"/>
    </row>
    <row r="6604" spans="1:7" ht="14.5" hidden="1">
      <c r="A6604" s="5"/>
      <c r="B6604" s="18"/>
      <c r="C6604" s="85"/>
      <c r="D6604" s="41"/>
      <c r="E6604" s="26" t="str">
        <f ca="1">IFERROR(__xludf.DUMMYFUNCTION("""COMPUTED_VALUE"""),"")</f>
        <v/>
      </c>
      <c r="F6604" s="72"/>
      <c r="G6604" s="72"/>
    </row>
    <row r="6605" spans="1:7" ht="14.5" hidden="1">
      <c r="A6605" s="5"/>
      <c r="B6605" s="18"/>
      <c r="C6605" s="85"/>
      <c r="D6605" s="41"/>
      <c r="E6605" s="26" t="str">
        <f ca="1">IFERROR(__xludf.DUMMYFUNCTION("""COMPUTED_VALUE"""),"")</f>
        <v/>
      </c>
      <c r="F6605" s="72"/>
      <c r="G6605" s="72"/>
    </row>
    <row r="6606" spans="1:7" ht="14.5" hidden="1">
      <c r="A6606" s="5"/>
      <c r="B6606" s="18"/>
      <c r="C6606" s="85"/>
      <c r="D6606" s="41"/>
      <c r="E6606" s="26" t="str">
        <f ca="1">IFERROR(__xludf.DUMMYFUNCTION("""COMPUTED_VALUE"""),"")</f>
        <v/>
      </c>
      <c r="F6606" s="72"/>
      <c r="G6606" s="72"/>
    </row>
    <row r="6607" spans="1:7" ht="14.5" hidden="1">
      <c r="A6607" s="5"/>
      <c r="B6607" s="18"/>
      <c r="C6607" s="85"/>
      <c r="D6607" s="41"/>
      <c r="E6607" s="26" t="str">
        <f ca="1">IFERROR(__xludf.DUMMYFUNCTION("""COMPUTED_VALUE"""),"")</f>
        <v/>
      </c>
      <c r="F6607" s="72"/>
      <c r="G6607" s="72"/>
    </row>
    <row r="6608" spans="1:7" ht="14.5" hidden="1">
      <c r="A6608" s="5"/>
      <c r="B6608" s="18"/>
      <c r="C6608" s="85"/>
      <c r="D6608" s="41"/>
      <c r="E6608" s="26" t="str">
        <f ca="1">IFERROR(__xludf.DUMMYFUNCTION("""COMPUTED_VALUE"""),"")</f>
        <v/>
      </c>
      <c r="F6608" s="72"/>
      <c r="G6608" s="72"/>
    </row>
    <row r="6609" spans="1:7" ht="14.5" hidden="1">
      <c r="A6609" s="5"/>
      <c r="B6609" s="18"/>
      <c r="C6609" s="85"/>
      <c r="D6609" s="41"/>
      <c r="E6609" s="26" t="str">
        <f ca="1">IFERROR(__xludf.DUMMYFUNCTION("""COMPUTED_VALUE"""),"")</f>
        <v/>
      </c>
      <c r="F6609" s="72"/>
      <c r="G6609" s="72"/>
    </row>
    <row r="6610" spans="1:7" ht="14.5" hidden="1">
      <c r="A6610" s="5"/>
      <c r="B6610" s="18"/>
      <c r="C6610" s="85"/>
      <c r="D6610" s="41"/>
      <c r="E6610" s="26" t="str">
        <f ca="1">IFERROR(__xludf.DUMMYFUNCTION("""COMPUTED_VALUE"""),"")</f>
        <v/>
      </c>
      <c r="F6610" s="72"/>
      <c r="G6610" s="72"/>
    </row>
    <row r="6611" spans="1:7" ht="14.5" hidden="1">
      <c r="A6611" s="5"/>
      <c r="B6611" s="18"/>
      <c r="C6611" s="85"/>
      <c r="D6611" s="41"/>
      <c r="E6611" s="26" t="str">
        <f ca="1">IFERROR(__xludf.DUMMYFUNCTION("""COMPUTED_VALUE"""),"")</f>
        <v/>
      </c>
      <c r="F6611" s="72"/>
      <c r="G6611" s="72"/>
    </row>
    <row r="6612" spans="1:7" ht="14.5" hidden="1">
      <c r="A6612" s="5"/>
      <c r="B6612" s="18"/>
      <c r="C6612" s="85"/>
      <c r="D6612" s="41"/>
      <c r="E6612" s="26" t="str">
        <f ca="1">IFERROR(__xludf.DUMMYFUNCTION("""COMPUTED_VALUE"""),"")</f>
        <v/>
      </c>
      <c r="F6612" s="72"/>
      <c r="G6612" s="72"/>
    </row>
    <row r="6613" spans="1:7" ht="14.5" hidden="1">
      <c r="A6613" s="5"/>
      <c r="B6613" s="18"/>
      <c r="C6613" s="85"/>
      <c r="D6613" s="41"/>
      <c r="E6613" s="26" t="str">
        <f ca="1">IFERROR(__xludf.DUMMYFUNCTION("""COMPUTED_VALUE"""),"")</f>
        <v/>
      </c>
      <c r="F6613" s="72"/>
      <c r="G6613" s="72"/>
    </row>
    <row r="6614" spans="1:7" ht="14.5" hidden="1">
      <c r="A6614" s="5"/>
      <c r="B6614" s="18"/>
      <c r="C6614" s="85"/>
      <c r="D6614" s="41"/>
      <c r="E6614" s="26" t="str">
        <f ca="1">IFERROR(__xludf.DUMMYFUNCTION("""COMPUTED_VALUE"""),"")</f>
        <v/>
      </c>
      <c r="F6614" s="72"/>
      <c r="G6614" s="72"/>
    </row>
    <row r="6615" spans="1:7" ht="14.5" hidden="1">
      <c r="A6615" s="5"/>
      <c r="B6615" s="18"/>
      <c r="C6615" s="85"/>
      <c r="D6615" s="41"/>
      <c r="E6615" s="26" t="str">
        <f ca="1">IFERROR(__xludf.DUMMYFUNCTION("""COMPUTED_VALUE"""),"")</f>
        <v/>
      </c>
      <c r="F6615" s="72"/>
      <c r="G6615" s="72"/>
    </row>
    <row r="6616" spans="1:7" ht="14.5" hidden="1">
      <c r="A6616" s="5"/>
      <c r="B6616" s="18"/>
      <c r="C6616" s="85"/>
      <c r="D6616" s="41"/>
      <c r="E6616" s="26" t="str">
        <f ca="1">IFERROR(__xludf.DUMMYFUNCTION("""COMPUTED_VALUE"""),"")</f>
        <v/>
      </c>
      <c r="F6616" s="72"/>
      <c r="G6616" s="72"/>
    </row>
    <row r="6617" spans="1:7" ht="14.5" hidden="1">
      <c r="A6617" s="5"/>
      <c r="B6617" s="18"/>
      <c r="C6617" s="85"/>
      <c r="D6617" s="41"/>
      <c r="E6617" s="26" t="str">
        <f ca="1">IFERROR(__xludf.DUMMYFUNCTION("""COMPUTED_VALUE"""),"")</f>
        <v/>
      </c>
      <c r="F6617" s="72"/>
      <c r="G6617" s="72"/>
    </row>
    <row r="6618" spans="1:7" ht="14.5" hidden="1">
      <c r="A6618" s="5"/>
      <c r="B6618" s="18"/>
      <c r="C6618" s="85"/>
      <c r="D6618" s="41"/>
      <c r="E6618" s="26" t="str">
        <f ca="1">IFERROR(__xludf.DUMMYFUNCTION("""COMPUTED_VALUE"""),"")</f>
        <v/>
      </c>
      <c r="F6618" s="72"/>
      <c r="G6618" s="72"/>
    </row>
    <row r="6619" spans="1:7" ht="14.5" hidden="1">
      <c r="A6619" s="5"/>
      <c r="B6619" s="18"/>
      <c r="C6619" s="85"/>
      <c r="D6619" s="41"/>
      <c r="E6619" s="26" t="str">
        <f ca="1">IFERROR(__xludf.DUMMYFUNCTION("""COMPUTED_VALUE"""),"")</f>
        <v/>
      </c>
      <c r="F6619" s="72"/>
      <c r="G6619" s="72"/>
    </row>
    <row r="6620" spans="1:7" ht="14.5" hidden="1">
      <c r="A6620" s="5"/>
      <c r="B6620" s="18"/>
      <c r="C6620" s="85"/>
      <c r="D6620" s="41"/>
      <c r="E6620" s="26" t="str">
        <f ca="1">IFERROR(__xludf.DUMMYFUNCTION("""COMPUTED_VALUE"""),"")</f>
        <v/>
      </c>
      <c r="F6620" s="72"/>
      <c r="G6620" s="72"/>
    </row>
    <row r="6621" spans="1:7" ht="14.5" hidden="1">
      <c r="A6621" s="5"/>
      <c r="B6621" s="18"/>
      <c r="C6621" s="85"/>
      <c r="D6621" s="41"/>
      <c r="E6621" s="26" t="str">
        <f ca="1">IFERROR(__xludf.DUMMYFUNCTION("""COMPUTED_VALUE"""),"")</f>
        <v/>
      </c>
      <c r="F6621" s="72"/>
      <c r="G6621" s="72"/>
    </row>
    <row r="6622" spans="1:7" ht="14.5" hidden="1">
      <c r="A6622" s="5"/>
      <c r="B6622" s="18"/>
      <c r="C6622" s="85"/>
      <c r="D6622" s="41"/>
      <c r="E6622" s="26" t="str">
        <f ca="1">IFERROR(__xludf.DUMMYFUNCTION("""COMPUTED_VALUE"""),"")</f>
        <v/>
      </c>
      <c r="F6622" s="72"/>
      <c r="G6622" s="72"/>
    </row>
    <row r="6623" spans="1:7" ht="14.5" hidden="1">
      <c r="A6623" s="5"/>
      <c r="B6623" s="18"/>
      <c r="C6623" s="85"/>
      <c r="D6623" s="41"/>
      <c r="E6623" s="26" t="str">
        <f ca="1">IFERROR(__xludf.DUMMYFUNCTION("""COMPUTED_VALUE"""),"")</f>
        <v/>
      </c>
      <c r="F6623" s="72"/>
      <c r="G6623" s="72"/>
    </row>
    <row r="6624" spans="1:7" ht="14.5" hidden="1">
      <c r="A6624" s="5"/>
      <c r="B6624" s="18"/>
      <c r="C6624" s="85"/>
      <c r="D6624" s="41"/>
      <c r="E6624" s="26" t="str">
        <f ca="1">IFERROR(__xludf.DUMMYFUNCTION("""COMPUTED_VALUE"""),"")</f>
        <v/>
      </c>
      <c r="F6624" s="72"/>
      <c r="G6624" s="72"/>
    </row>
    <row r="6625" spans="1:7" ht="14.5" hidden="1">
      <c r="A6625" s="5"/>
      <c r="B6625" s="18"/>
      <c r="C6625" s="85"/>
      <c r="D6625" s="41"/>
      <c r="E6625" s="26" t="str">
        <f ca="1">IFERROR(__xludf.DUMMYFUNCTION("""COMPUTED_VALUE"""),"")</f>
        <v/>
      </c>
      <c r="F6625" s="72"/>
      <c r="G6625" s="72"/>
    </row>
    <row r="6626" spans="1:7" ht="14.5" hidden="1">
      <c r="A6626" s="5"/>
      <c r="B6626" s="18"/>
      <c r="C6626" s="85"/>
      <c r="D6626" s="41"/>
      <c r="E6626" s="26" t="str">
        <f ca="1">IFERROR(__xludf.DUMMYFUNCTION("""COMPUTED_VALUE"""),"")</f>
        <v/>
      </c>
      <c r="F6626" s="72"/>
      <c r="G6626" s="72"/>
    </row>
    <row r="6627" spans="1:7" ht="14.5" hidden="1">
      <c r="A6627" s="5"/>
      <c r="B6627" s="18"/>
      <c r="C6627" s="85"/>
      <c r="D6627" s="41"/>
      <c r="E6627" s="26" t="str">
        <f ca="1">IFERROR(__xludf.DUMMYFUNCTION("""COMPUTED_VALUE"""),"")</f>
        <v/>
      </c>
      <c r="F6627" s="72"/>
      <c r="G6627" s="72"/>
    </row>
    <row r="6628" spans="1:7" ht="14.5" hidden="1">
      <c r="A6628" s="5"/>
      <c r="B6628" s="18"/>
      <c r="C6628" s="85"/>
      <c r="D6628" s="41"/>
      <c r="E6628" s="26" t="str">
        <f ca="1">IFERROR(__xludf.DUMMYFUNCTION("""COMPUTED_VALUE"""),"")</f>
        <v/>
      </c>
      <c r="F6628" s="72"/>
      <c r="G6628" s="72"/>
    </row>
    <row r="6629" spans="1:7" ht="14.5" hidden="1">
      <c r="A6629" s="5"/>
      <c r="B6629" s="18"/>
      <c r="C6629" s="85"/>
      <c r="D6629" s="41"/>
      <c r="E6629" s="26" t="str">
        <f ca="1">IFERROR(__xludf.DUMMYFUNCTION("""COMPUTED_VALUE"""),"")</f>
        <v/>
      </c>
      <c r="F6629" s="72"/>
      <c r="G6629" s="72"/>
    </row>
    <row r="6630" spans="1:7" ht="14.5" hidden="1">
      <c r="A6630" s="5"/>
      <c r="B6630" s="18"/>
      <c r="C6630" s="85"/>
      <c r="D6630" s="41"/>
      <c r="E6630" s="26" t="str">
        <f ca="1">IFERROR(__xludf.DUMMYFUNCTION("""COMPUTED_VALUE"""),"")</f>
        <v/>
      </c>
      <c r="F6630" s="72"/>
      <c r="G6630" s="72"/>
    </row>
    <row r="6631" spans="1:7" ht="14.5" hidden="1">
      <c r="A6631" s="5"/>
      <c r="B6631" s="18"/>
      <c r="C6631" s="85"/>
      <c r="D6631" s="41"/>
      <c r="E6631" s="26" t="str">
        <f ca="1">IFERROR(__xludf.DUMMYFUNCTION("""COMPUTED_VALUE"""),"")</f>
        <v/>
      </c>
      <c r="F6631" s="72"/>
      <c r="G6631" s="72"/>
    </row>
    <row r="6632" spans="1:7" ht="14.5" hidden="1">
      <c r="A6632" s="5"/>
      <c r="B6632" s="18"/>
      <c r="C6632" s="85"/>
      <c r="D6632" s="41"/>
      <c r="E6632" s="26" t="str">
        <f ca="1">IFERROR(__xludf.DUMMYFUNCTION("""COMPUTED_VALUE"""),"")</f>
        <v/>
      </c>
      <c r="F6632" s="72"/>
      <c r="G6632" s="72"/>
    </row>
    <row r="6633" spans="1:7" ht="14.5" hidden="1">
      <c r="A6633" s="5"/>
      <c r="B6633" s="18"/>
      <c r="C6633" s="85"/>
      <c r="D6633" s="41"/>
      <c r="E6633" s="26" t="str">
        <f ca="1">IFERROR(__xludf.DUMMYFUNCTION("""COMPUTED_VALUE"""),"")</f>
        <v/>
      </c>
      <c r="F6633" s="72"/>
      <c r="G6633" s="72"/>
    </row>
    <row r="6634" spans="1:7" ht="14.5" hidden="1">
      <c r="A6634" s="5"/>
      <c r="B6634" s="18"/>
      <c r="C6634" s="85"/>
      <c r="D6634" s="41"/>
      <c r="E6634" s="26" t="str">
        <f ca="1">IFERROR(__xludf.DUMMYFUNCTION("""COMPUTED_VALUE"""),"")</f>
        <v/>
      </c>
      <c r="F6634" s="72"/>
      <c r="G6634" s="72"/>
    </row>
    <row r="6635" spans="1:7" ht="14.5" hidden="1">
      <c r="A6635" s="5"/>
      <c r="B6635" s="18"/>
      <c r="C6635" s="85"/>
      <c r="D6635" s="41"/>
      <c r="E6635" s="26" t="str">
        <f ca="1">IFERROR(__xludf.DUMMYFUNCTION("""COMPUTED_VALUE"""),"")</f>
        <v/>
      </c>
      <c r="F6635" s="72"/>
      <c r="G6635" s="72"/>
    </row>
    <row r="6636" spans="1:7" ht="14.5" hidden="1">
      <c r="A6636" s="5"/>
      <c r="B6636" s="18"/>
      <c r="C6636" s="85"/>
      <c r="D6636" s="41"/>
      <c r="E6636" s="26" t="str">
        <f ca="1">IFERROR(__xludf.DUMMYFUNCTION("""COMPUTED_VALUE"""),"")</f>
        <v/>
      </c>
      <c r="F6636" s="72"/>
      <c r="G6636" s="72"/>
    </row>
    <row r="6637" spans="1:7" ht="14.5" hidden="1">
      <c r="A6637" s="5"/>
      <c r="B6637" s="18"/>
      <c r="C6637" s="85"/>
      <c r="D6637" s="41"/>
      <c r="E6637" s="26" t="str">
        <f ca="1">IFERROR(__xludf.DUMMYFUNCTION("""COMPUTED_VALUE"""),"")</f>
        <v/>
      </c>
      <c r="F6637" s="72"/>
      <c r="G6637" s="72"/>
    </row>
    <row r="6638" spans="1:7" ht="14.5" hidden="1">
      <c r="A6638" s="5"/>
      <c r="B6638" s="18"/>
      <c r="C6638" s="85"/>
      <c r="D6638" s="41"/>
      <c r="E6638" s="26" t="str">
        <f ca="1">IFERROR(__xludf.DUMMYFUNCTION("""COMPUTED_VALUE"""),"")</f>
        <v/>
      </c>
      <c r="F6638" s="72"/>
      <c r="G6638" s="72"/>
    </row>
    <row r="6639" spans="1:7" ht="14.5" hidden="1">
      <c r="A6639" s="5"/>
      <c r="B6639" s="18"/>
      <c r="C6639" s="85"/>
      <c r="D6639" s="41"/>
      <c r="E6639" s="26" t="str">
        <f ca="1">IFERROR(__xludf.DUMMYFUNCTION("""COMPUTED_VALUE"""),"")</f>
        <v/>
      </c>
      <c r="F6639" s="72"/>
      <c r="G6639" s="72"/>
    </row>
    <row r="6640" spans="1:7" ht="14.5" hidden="1">
      <c r="A6640" s="5"/>
      <c r="B6640" s="18"/>
      <c r="C6640" s="85"/>
      <c r="D6640" s="41"/>
      <c r="E6640" s="26" t="str">
        <f ca="1">IFERROR(__xludf.DUMMYFUNCTION("""COMPUTED_VALUE"""),"")</f>
        <v/>
      </c>
      <c r="F6640" s="72"/>
      <c r="G6640" s="72"/>
    </row>
    <row r="6641" spans="1:7" ht="14.5" hidden="1">
      <c r="A6641" s="5"/>
      <c r="B6641" s="18"/>
      <c r="C6641" s="85"/>
      <c r="D6641" s="41"/>
      <c r="E6641" s="26" t="str">
        <f ca="1">IFERROR(__xludf.DUMMYFUNCTION("""COMPUTED_VALUE"""),"")</f>
        <v/>
      </c>
      <c r="F6641" s="72"/>
      <c r="G6641" s="72"/>
    </row>
    <row r="6642" spans="1:7" ht="14.5" hidden="1">
      <c r="A6642" s="5"/>
      <c r="B6642" s="18"/>
      <c r="C6642" s="85"/>
      <c r="D6642" s="41"/>
      <c r="E6642" s="26" t="str">
        <f ca="1">IFERROR(__xludf.DUMMYFUNCTION("""COMPUTED_VALUE"""),"")</f>
        <v/>
      </c>
      <c r="F6642" s="72"/>
      <c r="G6642" s="72"/>
    </row>
    <row r="6643" spans="1:7" ht="14.5" hidden="1">
      <c r="A6643" s="5"/>
      <c r="B6643" s="18"/>
      <c r="C6643" s="85"/>
      <c r="D6643" s="41"/>
      <c r="E6643" s="26" t="str">
        <f ca="1">IFERROR(__xludf.DUMMYFUNCTION("""COMPUTED_VALUE"""),"")</f>
        <v/>
      </c>
      <c r="F6643" s="72"/>
      <c r="G6643" s="72"/>
    </row>
    <row r="6644" spans="1:7" ht="14.5" hidden="1">
      <c r="A6644" s="5"/>
      <c r="B6644" s="18"/>
      <c r="C6644" s="85"/>
      <c r="D6644" s="41"/>
      <c r="E6644" s="26" t="str">
        <f ca="1">IFERROR(__xludf.DUMMYFUNCTION("""COMPUTED_VALUE"""),"")</f>
        <v/>
      </c>
      <c r="F6644" s="72"/>
      <c r="G6644" s="72"/>
    </row>
    <row r="6645" spans="1:7" ht="14.5" hidden="1">
      <c r="A6645" s="5"/>
      <c r="B6645" s="18"/>
      <c r="C6645" s="85"/>
      <c r="D6645" s="41"/>
      <c r="E6645" s="26" t="str">
        <f ca="1">IFERROR(__xludf.DUMMYFUNCTION("""COMPUTED_VALUE"""),"")</f>
        <v/>
      </c>
      <c r="F6645" s="72"/>
      <c r="G6645" s="72"/>
    </row>
    <row r="6646" spans="1:7" ht="14.5" hidden="1">
      <c r="A6646" s="5"/>
      <c r="B6646" s="18"/>
      <c r="C6646" s="85"/>
      <c r="D6646" s="41"/>
      <c r="E6646" s="26" t="str">
        <f ca="1">IFERROR(__xludf.DUMMYFUNCTION("""COMPUTED_VALUE"""),"")</f>
        <v/>
      </c>
      <c r="F6646" s="72"/>
      <c r="G6646" s="72"/>
    </row>
    <row r="6647" spans="1:7" ht="14.5" hidden="1">
      <c r="A6647" s="5"/>
      <c r="B6647" s="18"/>
      <c r="C6647" s="85"/>
      <c r="D6647" s="41"/>
      <c r="E6647" s="26" t="str">
        <f ca="1">IFERROR(__xludf.DUMMYFUNCTION("""COMPUTED_VALUE"""),"")</f>
        <v/>
      </c>
      <c r="F6647" s="72"/>
      <c r="G6647" s="72"/>
    </row>
    <row r="6648" spans="1:7" ht="14.5" hidden="1">
      <c r="A6648" s="5"/>
      <c r="B6648" s="18"/>
      <c r="C6648" s="85"/>
      <c r="D6648" s="41"/>
      <c r="E6648" s="26" t="str">
        <f ca="1">IFERROR(__xludf.DUMMYFUNCTION("""COMPUTED_VALUE"""),"")</f>
        <v/>
      </c>
      <c r="F6648" s="72"/>
      <c r="G6648" s="72"/>
    </row>
    <row r="6649" spans="1:7" ht="14.5" hidden="1">
      <c r="A6649" s="5"/>
      <c r="B6649" s="18"/>
      <c r="C6649" s="85"/>
      <c r="D6649" s="41"/>
      <c r="E6649" s="26" t="str">
        <f ca="1">IFERROR(__xludf.DUMMYFUNCTION("""COMPUTED_VALUE"""),"")</f>
        <v/>
      </c>
      <c r="F6649" s="72"/>
      <c r="G6649" s="72"/>
    </row>
    <row r="6650" spans="1:7" ht="14.5" hidden="1">
      <c r="A6650" s="5"/>
      <c r="B6650" s="18"/>
      <c r="C6650" s="85"/>
      <c r="D6650" s="41"/>
      <c r="E6650" s="26" t="str">
        <f ca="1">IFERROR(__xludf.DUMMYFUNCTION("""COMPUTED_VALUE"""),"")</f>
        <v/>
      </c>
      <c r="F6650" s="72"/>
      <c r="G6650" s="72"/>
    </row>
    <row r="6651" spans="1:7" ht="14.5" hidden="1">
      <c r="A6651" s="5"/>
      <c r="B6651" s="18"/>
      <c r="C6651" s="85"/>
      <c r="D6651" s="41"/>
      <c r="E6651" s="26" t="str">
        <f ca="1">IFERROR(__xludf.DUMMYFUNCTION("""COMPUTED_VALUE"""),"")</f>
        <v/>
      </c>
      <c r="F6651" s="72"/>
      <c r="G6651" s="72"/>
    </row>
    <row r="6652" spans="1:7" ht="14.5" hidden="1">
      <c r="A6652" s="5"/>
      <c r="B6652" s="18"/>
      <c r="C6652" s="85"/>
      <c r="D6652" s="41"/>
      <c r="E6652" s="26" t="str">
        <f ca="1">IFERROR(__xludf.DUMMYFUNCTION("""COMPUTED_VALUE"""),"")</f>
        <v/>
      </c>
      <c r="F6652" s="72"/>
      <c r="G6652" s="72"/>
    </row>
    <row r="6653" spans="1:7" ht="14.5" hidden="1">
      <c r="A6653" s="5"/>
      <c r="B6653" s="18"/>
      <c r="C6653" s="85"/>
      <c r="D6653" s="41"/>
      <c r="E6653" s="26" t="str">
        <f ca="1">IFERROR(__xludf.DUMMYFUNCTION("""COMPUTED_VALUE"""),"")</f>
        <v/>
      </c>
      <c r="F6653" s="72"/>
      <c r="G6653" s="72"/>
    </row>
    <row r="6654" spans="1:7" ht="14.5" hidden="1">
      <c r="A6654" s="5"/>
      <c r="B6654" s="18"/>
      <c r="C6654" s="85"/>
      <c r="D6654" s="41"/>
      <c r="E6654" s="26" t="str">
        <f ca="1">IFERROR(__xludf.DUMMYFUNCTION("""COMPUTED_VALUE"""),"")</f>
        <v/>
      </c>
      <c r="F6654" s="72"/>
      <c r="G6654" s="72"/>
    </row>
    <row r="6655" spans="1:7" ht="14.5" hidden="1">
      <c r="A6655" s="5"/>
      <c r="B6655" s="18"/>
      <c r="C6655" s="85"/>
      <c r="D6655" s="41"/>
      <c r="E6655" s="26" t="str">
        <f ca="1">IFERROR(__xludf.DUMMYFUNCTION("""COMPUTED_VALUE"""),"")</f>
        <v/>
      </c>
      <c r="F6655" s="72"/>
      <c r="G6655" s="72"/>
    </row>
    <row r="6656" spans="1:7" ht="14.5" hidden="1">
      <c r="A6656" s="5"/>
      <c r="B6656" s="18"/>
      <c r="C6656" s="85"/>
      <c r="D6656" s="41"/>
      <c r="E6656" s="26" t="str">
        <f ca="1">IFERROR(__xludf.DUMMYFUNCTION("""COMPUTED_VALUE"""),"")</f>
        <v/>
      </c>
      <c r="F6656" s="72"/>
      <c r="G6656" s="72"/>
    </row>
    <row r="6657" spans="1:7" ht="14.5" hidden="1">
      <c r="A6657" s="5"/>
      <c r="B6657" s="18"/>
      <c r="C6657" s="85"/>
      <c r="D6657" s="41"/>
      <c r="E6657" s="26" t="str">
        <f ca="1">IFERROR(__xludf.DUMMYFUNCTION("""COMPUTED_VALUE"""),"")</f>
        <v/>
      </c>
      <c r="F6657" s="72"/>
      <c r="G6657" s="72"/>
    </row>
    <row r="6658" spans="1:7" ht="14.5" hidden="1">
      <c r="A6658" s="5"/>
      <c r="B6658" s="18"/>
      <c r="C6658" s="85"/>
      <c r="D6658" s="41"/>
      <c r="E6658" s="26" t="str">
        <f ca="1">IFERROR(__xludf.DUMMYFUNCTION("""COMPUTED_VALUE"""),"")</f>
        <v/>
      </c>
      <c r="F6658" s="72"/>
      <c r="G6658" s="72"/>
    </row>
    <row r="6659" spans="1:7" ht="14.5" hidden="1">
      <c r="A6659" s="5"/>
      <c r="B6659" s="18"/>
      <c r="C6659" s="85"/>
      <c r="D6659" s="41"/>
      <c r="E6659" s="26" t="str">
        <f ca="1">IFERROR(__xludf.DUMMYFUNCTION("""COMPUTED_VALUE"""),"")</f>
        <v/>
      </c>
      <c r="F6659" s="72"/>
      <c r="G6659" s="72"/>
    </row>
    <row r="6660" spans="1:7" ht="14.5" hidden="1">
      <c r="A6660" s="5"/>
      <c r="B6660" s="18"/>
      <c r="C6660" s="85"/>
      <c r="D6660" s="41"/>
      <c r="E6660" s="26" t="str">
        <f ca="1">IFERROR(__xludf.DUMMYFUNCTION("""COMPUTED_VALUE"""),"")</f>
        <v/>
      </c>
      <c r="F6660" s="72"/>
      <c r="G6660" s="72"/>
    </row>
    <row r="6661" spans="1:7" ht="14.5" hidden="1">
      <c r="A6661" s="5"/>
      <c r="B6661" s="18"/>
      <c r="C6661" s="85"/>
      <c r="D6661" s="41"/>
      <c r="E6661" s="26" t="str">
        <f ca="1">IFERROR(__xludf.DUMMYFUNCTION("""COMPUTED_VALUE"""),"")</f>
        <v/>
      </c>
      <c r="F6661" s="72"/>
      <c r="G6661" s="72"/>
    </row>
    <row r="6662" spans="1:7" ht="14.5" hidden="1">
      <c r="A6662" s="5"/>
      <c r="B6662" s="18"/>
      <c r="C6662" s="85"/>
      <c r="D6662" s="41"/>
      <c r="E6662" s="26" t="str">
        <f ca="1">IFERROR(__xludf.DUMMYFUNCTION("""COMPUTED_VALUE"""),"")</f>
        <v/>
      </c>
      <c r="F6662" s="72"/>
      <c r="G6662" s="72"/>
    </row>
    <row r="6663" spans="1:7" ht="14.5" hidden="1">
      <c r="A6663" s="5"/>
      <c r="B6663" s="18"/>
      <c r="C6663" s="85"/>
      <c r="D6663" s="41"/>
      <c r="E6663" s="26" t="str">
        <f ca="1">IFERROR(__xludf.DUMMYFUNCTION("""COMPUTED_VALUE"""),"")</f>
        <v/>
      </c>
      <c r="F6663" s="72"/>
      <c r="G6663" s="72"/>
    </row>
    <row r="6664" spans="1:7" ht="14.5" hidden="1">
      <c r="A6664" s="5"/>
      <c r="B6664" s="18"/>
      <c r="C6664" s="85"/>
      <c r="D6664" s="41"/>
      <c r="E6664" s="26" t="str">
        <f ca="1">IFERROR(__xludf.DUMMYFUNCTION("""COMPUTED_VALUE"""),"")</f>
        <v/>
      </c>
      <c r="F6664" s="72"/>
      <c r="G6664" s="72"/>
    </row>
    <row r="6665" spans="1:7" ht="14.5" hidden="1">
      <c r="A6665" s="5"/>
      <c r="B6665" s="18"/>
      <c r="C6665" s="85"/>
      <c r="D6665" s="41"/>
      <c r="E6665" s="26" t="str">
        <f ca="1">IFERROR(__xludf.DUMMYFUNCTION("""COMPUTED_VALUE"""),"")</f>
        <v/>
      </c>
      <c r="F6665" s="72"/>
      <c r="G6665" s="72"/>
    </row>
    <row r="6666" spans="1:7" ht="14.5" hidden="1">
      <c r="A6666" s="5"/>
      <c r="B6666" s="18"/>
      <c r="C6666" s="85"/>
      <c r="D6666" s="41"/>
      <c r="E6666" s="26" t="str">
        <f ca="1">IFERROR(__xludf.DUMMYFUNCTION("""COMPUTED_VALUE"""),"")</f>
        <v/>
      </c>
      <c r="F6666" s="72"/>
      <c r="G6666" s="72"/>
    </row>
    <row r="6667" spans="1:7" ht="14.5" hidden="1">
      <c r="A6667" s="5"/>
      <c r="B6667" s="18"/>
      <c r="C6667" s="85"/>
      <c r="D6667" s="41"/>
      <c r="E6667" s="26" t="str">
        <f ca="1">IFERROR(__xludf.DUMMYFUNCTION("""COMPUTED_VALUE"""),"")</f>
        <v/>
      </c>
      <c r="F6667" s="72"/>
      <c r="G6667" s="72"/>
    </row>
    <row r="6668" spans="1:7" ht="14.5" hidden="1">
      <c r="A6668" s="5"/>
      <c r="B6668" s="18"/>
      <c r="C6668" s="85"/>
      <c r="D6668" s="41"/>
      <c r="E6668" s="26" t="str">
        <f ca="1">IFERROR(__xludf.DUMMYFUNCTION("""COMPUTED_VALUE"""),"")</f>
        <v/>
      </c>
      <c r="F6668" s="72"/>
      <c r="G6668" s="72"/>
    </row>
    <row r="6669" spans="1:7" ht="14.5" hidden="1">
      <c r="A6669" s="5"/>
      <c r="B6669" s="18"/>
      <c r="C6669" s="85"/>
      <c r="D6669" s="41"/>
      <c r="E6669" s="26" t="str">
        <f ca="1">IFERROR(__xludf.DUMMYFUNCTION("""COMPUTED_VALUE"""),"")</f>
        <v/>
      </c>
      <c r="F6669" s="72"/>
      <c r="G6669" s="72"/>
    </row>
    <row r="6670" spans="1:7" ht="14.5" hidden="1">
      <c r="A6670" s="5"/>
      <c r="B6670" s="18"/>
      <c r="C6670" s="85"/>
      <c r="D6670" s="41"/>
      <c r="E6670" s="26" t="str">
        <f ca="1">IFERROR(__xludf.DUMMYFUNCTION("""COMPUTED_VALUE"""),"")</f>
        <v/>
      </c>
      <c r="F6670" s="72"/>
      <c r="G6670" s="72"/>
    </row>
    <row r="6671" spans="1:7" ht="14.5" hidden="1">
      <c r="A6671" s="5"/>
      <c r="B6671" s="18"/>
      <c r="C6671" s="85"/>
      <c r="D6671" s="41"/>
      <c r="E6671" s="26" t="str">
        <f ca="1">IFERROR(__xludf.DUMMYFUNCTION("""COMPUTED_VALUE"""),"")</f>
        <v/>
      </c>
      <c r="F6671" s="72"/>
      <c r="G6671" s="72"/>
    </row>
    <row r="6672" spans="1:7" ht="14.5" hidden="1">
      <c r="A6672" s="5"/>
      <c r="B6672" s="18"/>
      <c r="C6672" s="85"/>
      <c r="D6672" s="41"/>
      <c r="E6672" s="26" t="str">
        <f ca="1">IFERROR(__xludf.DUMMYFUNCTION("""COMPUTED_VALUE"""),"")</f>
        <v/>
      </c>
      <c r="F6672" s="72"/>
      <c r="G6672" s="72"/>
    </row>
    <row r="6673" spans="1:7" ht="14.5" hidden="1">
      <c r="A6673" s="5"/>
      <c r="B6673" s="18"/>
      <c r="C6673" s="85"/>
      <c r="D6673" s="41"/>
      <c r="E6673" s="26" t="str">
        <f ca="1">IFERROR(__xludf.DUMMYFUNCTION("""COMPUTED_VALUE"""),"")</f>
        <v/>
      </c>
      <c r="F6673" s="72"/>
      <c r="G6673" s="72"/>
    </row>
    <row r="6674" spans="1:7" ht="14.5" hidden="1">
      <c r="A6674" s="5"/>
      <c r="B6674" s="18"/>
      <c r="C6674" s="85"/>
      <c r="D6674" s="41"/>
      <c r="E6674" s="26" t="str">
        <f ca="1">IFERROR(__xludf.DUMMYFUNCTION("""COMPUTED_VALUE"""),"")</f>
        <v/>
      </c>
      <c r="F6674" s="72"/>
      <c r="G6674" s="72"/>
    </row>
    <row r="6675" spans="1:7" ht="14.5" hidden="1">
      <c r="A6675" s="5"/>
      <c r="B6675" s="18"/>
      <c r="C6675" s="85"/>
      <c r="D6675" s="41"/>
      <c r="E6675" s="26" t="str">
        <f ca="1">IFERROR(__xludf.DUMMYFUNCTION("""COMPUTED_VALUE"""),"")</f>
        <v/>
      </c>
      <c r="F6675" s="72"/>
      <c r="G6675" s="72"/>
    </row>
    <row r="6676" spans="1:7" ht="14.5" hidden="1">
      <c r="A6676" s="5"/>
      <c r="B6676" s="18"/>
      <c r="C6676" s="85"/>
      <c r="D6676" s="41"/>
      <c r="E6676" s="26" t="str">
        <f ca="1">IFERROR(__xludf.DUMMYFUNCTION("""COMPUTED_VALUE"""),"")</f>
        <v/>
      </c>
      <c r="F6676" s="72"/>
      <c r="G6676" s="72"/>
    </row>
    <row r="6677" spans="1:7" ht="14.5" hidden="1">
      <c r="A6677" s="5"/>
      <c r="B6677" s="18"/>
      <c r="C6677" s="85"/>
      <c r="D6677" s="41"/>
      <c r="E6677" s="26" t="str">
        <f ca="1">IFERROR(__xludf.DUMMYFUNCTION("""COMPUTED_VALUE"""),"")</f>
        <v/>
      </c>
      <c r="F6677" s="72"/>
      <c r="G6677" s="72"/>
    </row>
    <row r="6678" spans="1:7" ht="14.5" hidden="1">
      <c r="A6678" s="5"/>
      <c r="B6678" s="18"/>
      <c r="C6678" s="85"/>
      <c r="D6678" s="41"/>
      <c r="E6678" s="26" t="str">
        <f ca="1">IFERROR(__xludf.DUMMYFUNCTION("""COMPUTED_VALUE"""),"")</f>
        <v/>
      </c>
      <c r="F6678" s="72"/>
      <c r="G6678" s="72"/>
    </row>
    <row r="6679" spans="1:7" ht="14.5" hidden="1">
      <c r="A6679" s="5"/>
      <c r="B6679" s="18"/>
      <c r="C6679" s="85"/>
      <c r="D6679" s="41"/>
      <c r="E6679" s="26" t="str">
        <f ca="1">IFERROR(__xludf.DUMMYFUNCTION("""COMPUTED_VALUE"""),"")</f>
        <v/>
      </c>
      <c r="F6679" s="72"/>
      <c r="G6679" s="72"/>
    </row>
    <row r="6680" spans="1:7" ht="14.5" hidden="1">
      <c r="A6680" s="5"/>
      <c r="B6680" s="18"/>
      <c r="C6680" s="85"/>
      <c r="D6680" s="41"/>
      <c r="E6680" s="26" t="str">
        <f ca="1">IFERROR(__xludf.DUMMYFUNCTION("""COMPUTED_VALUE"""),"")</f>
        <v/>
      </c>
      <c r="F6680" s="72"/>
      <c r="G6680" s="72"/>
    </row>
    <row r="6681" spans="1:7" ht="14.5" hidden="1">
      <c r="A6681" s="5"/>
      <c r="B6681" s="18"/>
      <c r="C6681" s="85"/>
      <c r="D6681" s="41"/>
      <c r="E6681" s="26" t="str">
        <f ca="1">IFERROR(__xludf.DUMMYFUNCTION("""COMPUTED_VALUE"""),"")</f>
        <v/>
      </c>
      <c r="F6681" s="72"/>
      <c r="G6681" s="72"/>
    </row>
    <row r="6682" spans="1:7" ht="14.5" hidden="1">
      <c r="A6682" s="5"/>
      <c r="B6682" s="18"/>
      <c r="C6682" s="85"/>
      <c r="D6682" s="41"/>
      <c r="E6682" s="26" t="str">
        <f ca="1">IFERROR(__xludf.DUMMYFUNCTION("""COMPUTED_VALUE"""),"")</f>
        <v/>
      </c>
      <c r="F6682" s="72"/>
      <c r="G6682" s="72"/>
    </row>
    <row r="6683" spans="1:7" ht="14.5" hidden="1">
      <c r="A6683" s="5"/>
      <c r="B6683" s="18"/>
      <c r="C6683" s="85"/>
      <c r="D6683" s="41"/>
      <c r="E6683" s="26" t="str">
        <f ca="1">IFERROR(__xludf.DUMMYFUNCTION("""COMPUTED_VALUE"""),"")</f>
        <v/>
      </c>
      <c r="F6683" s="72"/>
      <c r="G6683" s="72"/>
    </row>
    <row r="6684" spans="1:7" ht="14.5" hidden="1">
      <c r="A6684" s="5"/>
      <c r="B6684" s="18"/>
      <c r="C6684" s="85"/>
      <c r="D6684" s="41"/>
      <c r="E6684" s="26" t="str">
        <f ca="1">IFERROR(__xludf.DUMMYFUNCTION("""COMPUTED_VALUE"""),"")</f>
        <v/>
      </c>
      <c r="F6684" s="72"/>
      <c r="G6684" s="72"/>
    </row>
    <row r="6685" spans="1:7" ht="14.5" hidden="1">
      <c r="A6685" s="5"/>
      <c r="B6685" s="18"/>
      <c r="C6685" s="85"/>
      <c r="D6685" s="41"/>
      <c r="E6685" s="26" t="str">
        <f ca="1">IFERROR(__xludf.DUMMYFUNCTION("""COMPUTED_VALUE"""),"")</f>
        <v/>
      </c>
      <c r="F6685" s="72"/>
      <c r="G6685" s="72"/>
    </row>
    <row r="6686" spans="1:7" ht="14.5" hidden="1">
      <c r="A6686" s="5"/>
      <c r="B6686" s="18"/>
      <c r="C6686" s="85"/>
      <c r="D6686" s="41"/>
      <c r="E6686" s="26" t="str">
        <f ca="1">IFERROR(__xludf.DUMMYFUNCTION("""COMPUTED_VALUE"""),"")</f>
        <v/>
      </c>
      <c r="F6686" s="72"/>
      <c r="G6686" s="72"/>
    </row>
    <row r="6687" spans="1:7" ht="14.5" hidden="1">
      <c r="A6687" s="5"/>
      <c r="B6687" s="18"/>
      <c r="C6687" s="85"/>
      <c r="D6687" s="41"/>
      <c r="E6687" s="26" t="str">
        <f ca="1">IFERROR(__xludf.DUMMYFUNCTION("""COMPUTED_VALUE"""),"")</f>
        <v/>
      </c>
      <c r="F6687" s="72"/>
      <c r="G6687" s="72"/>
    </row>
    <row r="6688" spans="1:7" ht="14.5" hidden="1">
      <c r="A6688" s="5"/>
      <c r="B6688" s="18"/>
      <c r="C6688" s="85"/>
      <c r="D6688" s="41"/>
      <c r="E6688" s="26" t="str">
        <f ca="1">IFERROR(__xludf.DUMMYFUNCTION("""COMPUTED_VALUE"""),"")</f>
        <v/>
      </c>
      <c r="F6688" s="72"/>
      <c r="G6688" s="72"/>
    </row>
    <row r="6689" spans="1:7" ht="14.5" hidden="1">
      <c r="A6689" s="5"/>
      <c r="B6689" s="18"/>
      <c r="C6689" s="85"/>
      <c r="D6689" s="41"/>
      <c r="E6689" s="26" t="str">
        <f ca="1">IFERROR(__xludf.DUMMYFUNCTION("""COMPUTED_VALUE"""),"")</f>
        <v/>
      </c>
      <c r="F6689" s="72"/>
      <c r="G6689" s="72"/>
    </row>
    <row r="6690" spans="1:7" ht="14.5" hidden="1">
      <c r="A6690" s="5"/>
      <c r="B6690" s="18"/>
      <c r="C6690" s="85"/>
      <c r="D6690" s="41"/>
      <c r="E6690" s="26" t="str">
        <f ca="1">IFERROR(__xludf.DUMMYFUNCTION("""COMPUTED_VALUE"""),"")</f>
        <v/>
      </c>
      <c r="F6690" s="72"/>
      <c r="G6690" s="72"/>
    </row>
    <row r="6691" spans="1:7" ht="14.5" hidden="1">
      <c r="A6691" s="5"/>
      <c r="B6691" s="18"/>
      <c r="C6691" s="85"/>
      <c r="D6691" s="41"/>
      <c r="E6691" s="26" t="str">
        <f ca="1">IFERROR(__xludf.DUMMYFUNCTION("""COMPUTED_VALUE"""),"")</f>
        <v/>
      </c>
      <c r="F6691" s="72"/>
      <c r="G6691" s="72"/>
    </row>
    <row r="6692" spans="1:7" ht="14.5" hidden="1">
      <c r="A6692" s="5"/>
      <c r="B6692" s="18"/>
      <c r="C6692" s="85"/>
      <c r="D6692" s="41"/>
      <c r="E6692" s="26" t="str">
        <f ca="1">IFERROR(__xludf.DUMMYFUNCTION("""COMPUTED_VALUE"""),"")</f>
        <v/>
      </c>
      <c r="F6692" s="72"/>
      <c r="G6692" s="72"/>
    </row>
    <row r="6693" spans="1:7" ht="14.5" hidden="1">
      <c r="A6693" s="5"/>
      <c r="B6693" s="18"/>
      <c r="C6693" s="85"/>
      <c r="D6693" s="41"/>
      <c r="E6693" s="26" t="str">
        <f ca="1">IFERROR(__xludf.DUMMYFUNCTION("""COMPUTED_VALUE"""),"")</f>
        <v/>
      </c>
      <c r="F6693" s="72"/>
      <c r="G6693" s="72"/>
    </row>
    <row r="6694" spans="1:7" ht="14.5" hidden="1">
      <c r="A6694" s="5"/>
      <c r="B6694" s="18"/>
      <c r="C6694" s="85"/>
      <c r="D6694" s="41"/>
      <c r="E6694" s="26" t="str">
        <f ca="1">IFERROR(__xludf.DUMMYFUNCTION("""COMPUTED_VALUE"""),"")</f>
        <v/>
      </c>
      <c r="F6694" s="72"/>
      <c r="G6694" s="72"/>
    </row>
    <row r="6695" spans="1:7" ht="14.5" hidden="1">
      <c r="A6695" s="5"/>
      <c r="B6695" s="18"/>
      <c r="C6695" s="85"/>
      <c r="D6695" s="41"/>
      <c r="E6695" s="26" t="str">
        <f ca="1">IFERROR(__xludf.DUMMYFUNCTION("""COMPUTED_VALUE"""),"")</f>
        <v/>
      </c>
      <c r="F6695" s="72"/>
      <c r="G6695" s="72"/>
    </row>
    <row r="6696" spans="1:7" ht="14.5" hidden="1">
      <c r="A6696" s="5"/>
      <c r="B6696" s="18"/>
      <c r="C6696" s="85"/>
      <c r="D6696" s="41"/>
      <c r="E6696" s="26" t="str">
        <f ca="1">IFERROR(__xludf.DUMMYFUNCTION("""COMPUTED_VALUE"""),"")</f>
        <v/>
      </c>
      <c r="F6696" s="72"/>
      <c r="G6696" s="72"/>
    </row>
    <row r="6697" spans="1:7" ht="14.5" hidden="1">
      <c r="A6697" s="5"/>
      <c r="B6697" s="18"/>
      <c r="C6697" s="85"/>
      <c r="D6697" s="41"/>
      <c r="E6697" s="26" t="str">
        <f ca="1">IFERROR(__xludf.DUMMYFUNCTION("""COMPUTED_VALUE"""),"")</f>
        <v/>
      </c>
      <c r="F6697" s="72"/>
      <c r="G6697" s="72"/>
    </row>
    <row r="6698" spans="1:7" ht="14.5" hidden="1">
      <c r="A6698" s="5"/>
      <c r="B6698" s="18"/>
      <c r="C6698" s="85"/>
      <c r="D6698" s="41"/>
      <c r="E6698" s="26" t="str">
        <f ca="1">IFERROR(__xludf.DUMMYFUNCTION("""COMPUTED_VALUE"""),"")</f>
        <v/>
      </c>
      <c r="F6698" s="72"/>
      <c r="G6698" s="72"/>
    </row>
    <row r="6699" spans="1:7" ht="14.5" hidden="1">
      <c r="A6699" s="5"/>
      <c r="B6699" s="18"/>
      <c r="C6699" s="85"/>
      <c r="D6699" s="41"/>
      <c r="E6699" s="26" t="str">
        <f ca="1">IFERROR(__xludf.DUMMYFUNCTION("""COMPUTED_VALUE"""),"")</f>
        <v/>
      </c>
      <c r="F6699" s="72"/>
      <c r="G6699" s="72"/>
    </row>
    <row r="6700" spans="1:7" ht="14.5" hidden="1">
      <c r="A6700" s="5"/>
      <c r="B6700" s="18"/>
      <c r="C6700" s="85"/>
      <c r="D6700" s="41"/>
      <c r="E6700" s="26" t="str">
        <f ca="1">IFERROR(__xludf.DUMMYFUNCTION("""COMPUTED_VALUE"""),"")</f>
        <v/>
      </c>
      <c r="F6700" s="72"/>
      <c r="G6700" s="72"/>
    </row>
    <row r="6701" spans="1:7" ht="14.5" hidden="1">
      <c r="A6701" s="5"/>
      <c r="B6701" s="18"/>
      <c r="C6701" s="85"/>
      <c r="D6701" s="41"/>
      <c r="E6701" s="26" t="str">
        <f ca="1">IFERROR(__xludf.DUMMYFUNCTION("""COMPUTED_VALUE"""),"")</f>
        <v/>
      </c>
      <c r="F6701" s="72"/>
      <c r="G6701" s="72"/>
    </row>
    <row r="6702" spans="1:7" ht="14.5" hidden="1">
      <c r="A6702" s="5"/>
      <c r="B6702" s="18"/>
      <c r="C6702" s="85"/>
      <c r="D6702" s="41"/>
      <c r="E6702" s="26" t="str">
        <f ca="1">IFERROR(__xludf.DUMMYFUNCTION("""COMPUTED_VALUE"""),"")</f>
        <v/>
      </c>
      <c r="F6702" s="72"/>
      <c r="G6702" s="72"/>
    </row>
    <row r="6703" spans="1:7" ht="14.5" hidden="1">
      <c r="A6703" s="5"/>
      <c r="B6703" s="18"/>
      <c r="C6703" s="85"/>
      <c r="D6703" s="41"/>
      <c r="E6703" s="26" t="str">
        <f ca="1">IFERROR(__xludf.DUMMYFUNCTION("""COMPUTED_VALUE"""),"")</f>
        <v/>
      </c>
      <c r="F6703" s="72"/>
      <c r="G6703" s="72"/>
    </row>
    <row r="6704" spans="1:7" ht="14.5" hidden="1">
      <c r="A6704" s="5"/>
      <c r="B6704" s="18"/>
      <c r="C6704" s="85"/>
      <c r="D6704" s="41"/>
      <c r="E6704" s="26" t="str">
        <f ca="1">IFERROR(__xludf.DUMMYFUNCTION("""COMPUTED_VALUE"""),"")</f>
        <v/>
      </c>
      <c r="F6704" s="72"/>
      <c r="G6704" s="72"/>
    </row>
    <row r="6705" spans="1:7" ht="14.5" hidden="1">
      <c r="A6705" s="5"/>
      <c r="B6705" s="18"/>
      <c r="C6705" s="85"/>
      <c r="D6705" s="41"/>
      <c r="E6705" s="26" t="str">
        <f ca="1">IFERROR(__xludf.DUMMYFUNCTION("""COMPUTED_VALUE"""),"")</f>
        <v/>
      </c>
      <c r="F6705" s="72"/>
      <c r="G6705" s="72"/>
    </row>
    <row r="6706" spans="1:7" ht="14.5" hidden="1">
      <c r="A6706" s="5"/>
      <c r="B6706" s="18"/>
      <c r="C6706" s="85"/>
      <c r="D6706" s="41"/>
      <c r="E6706" s="26" t="str">
        <f ca="1">IFERROR(__xludf.DUMMYFUNCTION("""COMPUTED_VALUE"""),"")</f>
        <v/>
      </c>
      <c r="F6706" s="72"/>
      <c r="G6706" s="72"/>
    </row>
    <row r="6707" spans="1:7" ht="14.5" hidden="1">
      <c r="A6707" s="5"/>
      <c r="B6707" s="18"/>
      <c r="C6707" s="85"/>
      <c r="D6707" s="41"/>
      <c r="E6707" s="26" t="str">
        <f ca="1">IFERROR(__xludf.DUMMYFUNCTION("""COMPUTED_VALUE"""),"")</f>
        <v/>
      </c>
      <c r="F6707" s="72"/>
      <c r="G6707" s="72"/>
    </row>
    <row r="6708" spans="1:7" ht="14.5" hidden="1">
      <c r="A6708" s="5"/>
      <c r="B6708" s="18"/>
      <c r="C6708" s="85"/>
      <c r="D6708" s="41"/>
      <c r="E6708" s="26" t="str">
        <f ca="1">IFERROR(__xludf.DUMMYFUNCTION("""COMPUTED_VALUE"""),"")</f>
        <v/>
      </c>
      <c r="F6708" s="72"/>
      <c r="G6708" s="72"/>
    </row>
    <row r="6709" spans="1:7" ht="14.5" hidden="1">
      <c r="A6709" s="5"/>
      <c r="B6709" s="18"/>
      <c r="C6709" s="85"/>
      <c r="D6709" s="41"/>
      <c r="E6709" s="26" t="str">
        <f ca="1">IFERROR(__xludf.DUMMYFUNCTION("""COMPUTED_VALUE"""),"")</f>
        <v/>
      </c>
      <c r="F6709" s="72"/>
      <c r="G6709" s="72"/>
    </row>
    <row r="6710" spans="1:7" ht="14.5" hidden="1">
      <c r="A6710" s="5"/>
      <c r="B6710" s="18"/>
      <c r="C6710" s="85"/>
      <c r="D6710" s="41"/>
      <c r="E6710" s="26" t="str">
        <f ca="1">IFERROR(__xludf.DUMMYFUNCTION("""COMPUTED_VALUE"""),"")</f>
        <v/>
      </c>
      <c r="F6710" s="72"/>
      <c r="G6710" s="72"/>
    </row>
    <row r="6711" spans="1:7" ht="14.5" hidden="1">
      <c r="A6711" s="5"/>
      <c r="B6711" s="18"/>
      <c r="C6711" s="85"/>
      <c r="D6711" s="41"/>
      <c r="E6711" s="26" t="str">
        <f ca="1">IFERROR(__xludf.DUMMYFUNCTION("""COMPUTED_VALUE"""),"")</f>
        <v/>
      </c>
      <c r="F6711" s="72"/>
      <c r="G6711" s="72"/>
    </row>
    <row r="6712" spans="1:7" ht="14.5" hidden="1">
      <c r="A6712" s="5"/>
      <c r="B6712" s="18"/>
      <c r="C6712" s="85"/>
      <c r="D6712" s="41"/>
      <c r="E6712" s="26" t="str">
        <f ca="1">IFERROR(__xludf.DUMMYFUNCTION("""COMPUTED_VALUE"""),"")</f>
        <v/>
      </c>
      <c r="F6712" s="72"/>
      <c r="G6712" s="72"/>
    </row>
    <row r="6713" spans="1:7" ht="14.5" hidden="1">
      <c r="A6713" s="5"/>
      <c r="B6713" s="18"/>
      <c r="C6713" s="85"/>
      <c r="D6713" s="41"/>
      <c r="E6713" s="26" t="str">
        <f ca="1">IFERROR(__xludf.DUMMYFUNCTION("""COMPUTED_VALUE"""),"")</f>
        <v/>
      </c>
      <c r="F6713" s="72"/>
      <c r="G6713" s="72"/>
    </row>
    <row r="6714" spans="1:7" ht="14.5" hidden="1">
      <c r="A6714" s="5"/>
      <c r="B6714" s="18"/>
      <c r="C6714" s="85"/>
      <c r="D6714" s="41"/>
      <c r="E6714" s="26" t="str">
        <f ca="1">IFERROR(__xludf.DUMMYFUNCTION("""COMPUTED_VALUE"""),"")</f>
        <v/>
      </c>
      <c r="F6714" s="72"/>
      <c r="G6714" s="72"/>
    </row>
    <row r="6715" spans="1:7" ht="14.5" hidden="1">
      <c r="A6715" s="5"/>
      <c r="B6715" s="18"/>
      <c r="C6715" s="85"/>
      <c r="D6715" s="41"/>
      <c r="E6715" s="26" t="str">
        <f ca="1">IFERROR(__xludf.DUMMYFUNCTION("""COMPUTED_VALUE"""),"")</f>
        <v/>
      </c>
      <c r="F6715" s="72"/>
      <c r="G6715" s="72"/>
    </row>
    <row r="6716" spans="1:7" ht="14.5" hidden="1">
      <c r="A6716" s="5"/>
      <c r="B6716" s="18"/>
      <c r="C6716" s="85"/>
      <c r="D6716" s="41"/>
      <c r="E6716" s="26" t="str">
        <f ca="1">IFERROR(__xludf.DUMMYFUNCTION("""COMPUTED_VALUE"""),"")</f>
        <v/>
      </c>
      <c r="F6716" s="72"/>
      <c r="G6716" s="72"/>
    </row>
    <row r="6717" spans="1:7" ht="14.5" hidden="1">
      <c r="A6717" s="5"/>
      <c r="B6717" s="18"/>
      <c r="C6717" s="85"/>
      <c r="D6717" s="41"/>
      <c r="E6717" s="26" t="str">
        <f ca="1">IFERROR(__xludf.DUMMYFUNCTION("""COMPUTED_VALUE"""),"")</f>
        <v/>
      </c>
      <c r="F6717" s="72"/>
      <c r="G6717" s="72"/>
    </row>
    <row r="6718" spans="1:7" ht="14.5" hidden="1">
      <c r="A6718" s="5"/>
      <c r="B6718" s="18"/>
      <c r="C6718" s="85"/>
      <c r="D6718" s="41"/>
      <c r="E6718" s="26" t="str">
        <f ca="1">IFERROR(__xludf.DUMMYFUNCTION("""COMPUTED_VALUE"""),"")</f>
        <v/>
      </c>
      <c r="F6718" s="72"/>
      <c r="G6718" s="72"/>
    </row>
    <row r="6719" spans="1:7" ht="14.5" hidden="1">
      <c r="A6719" s="5"/>
      <c r="B6719" s="18"/>
      <c r="C6719" s="85"/>
      <c r="D6719" s="41"/>
      <c r="E6719" s="26" t="str">
        <f ca="1">IFERROR(__xludf.DUMMYFUNCTION("""COMPUTED_VALUE"""),"")</f>
        <v/>
      </c>
      <c r="F6719" s="72"/>
      <c r="G6719" s="72"/>
    </row>
    <row r="6720" spans="1:7" ht="14.5" hidden="1">
      <c r="A6720" s="5"/>
      <c r="B6720" s="18"/>
      <c r="C6720" s="85"/>
      <c r="D6720" s="41"/>
      <c r="E6720" s="26" t="str">
        <f ca="1">IFERROR(__xludf.DUMMYFUNCTION("""COMPUTED_VALUE"""),"")</f>
        <v/>
      </c>
      <c r="F6720" s="72"/>
      <c r="G6720" s="72"/>
    </row>
    <row r="6721" spans="1:7" ht="14.5" hidden="1">
      <c r="A6721" s="5"/>
      <c r="B6721" s="18"/>
      <c r="C6721" s="85"/>
      <c r="D6721" s="41"/>
      <c r="E6721" s="26" t="str">
        <f ca="1">IFERROR(__xludf.DUMMYFUNCTION("""COMPUTED_VALUE"""),"")</f>
        <v/>
      </c>
      <c r="F6721" s="72"/>
      <c r="G6721" s="72"/>
    </row>
    <row r="6722" spans="1:7" ht="14.5" hidden="1">
      <c r="A6722" s="5"/>
      <c r="B6722" s="18"/>
      <c r="C6722" s="85"/>
      <c r="D6722" s="41"/>
      <c r="E6722" s="26" t="str">
        <f ca="1">IFERROR(__xludf.DUMMYFUNCTION("""COMPUTED_VALUE"""),"")</f>
        <v/>
      </c>
      <c r="F6722" s="72"/>
      <c r="G6722" s="72"/>
    </row>
    <row r="6723" spans="1:7" ht="14.5" hidden="1">
      <c r="A6723" s="5"/>
      <c r="B6723" s="18"/>
      <c r="C6723" s="85"/>
      <c r="D6723" s="41"/>
      <c r="E6723" s="26" t="str">
        <f ca="1">IFERROR(__xludf.DUMMYFUNCTION("""COMPUTED_VALUE"""),"")</f>
        <v/>
      </c>
      <c r="F6723" s="72"/>
      <c r="G6723" s="72"/>
    </row>
    <row r="6724" spans="1:7" ht="14.5" hidden="1">
      <c r="A6724" s="5"/>
      <c r="B6724" s="18"/>
      <c r="C6724" s="85"/>
      <c r="D6724" s="41"/>
      <c r="E6724" s="26" t="str">
        <f ca="1">IFERROR(__xludf.DUMMYFUNCTION("""COMPUTED_VALUE"""),"")</f>
        <v/>
      </c>
      <c r="F6724" s="72"/>
      <c r="G6724" s="72"/>
    </row>
    <row r="6725" spans="1:7" ht="14.5" hidden="1">
      <c r="A6725" s="5"/>
      <c r="B6725" s="18"/>
      <c r="C6725" s="85"/>
      <c r="D6725" s="41"/>
      <c r="E6725" s="26" t="str">
        <f ca="1">IFERROR(__xludf.DUMMYFUNCTION("""COMPUTED_VALUE"""),"")</f>
        <v/>
      </c>
      <c r="F6725" s="72"/>
      <c r="G6725" s="72"/>
    </row>
    <row r="6726" spans="1:7" ht="14.5" hidden="1">
      <c r="A6726" s="5"/>
      <c r="B6726" s="18"/>
      <c r="C6726" s="85"/>
      <c r="D6726" s="41"/>
      <c r="E6726" s="26" t="str">
        <f ca="1">IFERROR(__xludf.DUMMYFUNCTION("""COMPUTED_VALUE"""),"")</f>
        <v/>
      </c>
      <c r="F6726" s="72"/>
      <c r="G6726" s="72"/>
    </row>
    <row r="6727" spans="1:7" ht="14.5" hidden="1">
      <c r="A6727" s="5"/>
      <c r="B6727" s="18"/>
      <c r="C6727" s="85"/>
      <c r="D6727" s="41"/>
      <c r="E6727" s="26" t="str">
        <f ca="1">IFERROR(__xludf.DUMMYFUNCTION("""COMPUTED_VALUE"""),"")</f>
        <v/>
      </c>
      <c r="F6727" s="72"/>
      <c r="G6727" s="72"/>
    </row>
    <row r="6728" spans="1:7" ht="14.5" hidden="1">
      <c r="A6728" s="5"/>
      <c r="B6728" s="18"/>
      <c r="C6728" s="85"/>
      <c r="D6728" s="41"/>
      <c r="E6728" s="26" t="str">
        <f ca="1">IFERROR(__xludf.DUMMYFUNCTION("""COMPUTED_VALUE"""),"")</f>
        <v/>
      </c>
      <c r="F6728" s="72"/>
      <c r="G6728" s="72"/>
    </row>
    <row r="6729" spans="1:7" ht="14.5" hidden="1">
      <c r="A6729" s="5"/>
      <c r="B6729" s="18"/>
      <c r="C6729" s="85"/>
      <c r="D6729" s="41"/>
      <c r="E6729" s="26" t="str">
        <f ca="1">IFERROR(__xludf.DUMMYFUNCTION("""COMPUTED_VALUE"""),"")</f>
        <v/>
      </c>
      <c r="F6729" s="72"/>
      <c r="G6729" s="72"/>
    </row>
    <row r="6730" spans="1:7" ht="14.5" hidden="1">
      <c r="A6730" s="5"/>
      <c r="B6730" s="18"/>
      <c r="C6730" s="85"/>
      <c r="D6730" s="41"/>
      <c r="E6730" s="26" t="str">
        <f ca="1">IFERROR(__xludf.DUMMYFUNCTION("""COMPUTED_VALUE"""),"")</f>
        <v/>
      </c>
      <c r="F6730" s="72"/>
      <c r="G6730" s="72"/>
    </row>
    <row r="6731" spans="1:7" ht="14.5" hidden="1">
      <c r="A6731" s="5"/>
      <c r="B6731" s="18"/>
      <c r="C6731" s="85"/>
      <c r="D6731" s="41"/>
      <c r="E6731" s="26" t="str">
        <f ca="1">IFERROR(__xludf.DUMMYFUNCTION("""COMPUTED_VALUE"""),"")</f>
        <v/>
      </c>
      <c r="F6731" s="72"/>
      <c r="G6731" s="72"/>
    </row>
    <row r="6732" spans="1:7" ht="14.5" hidden="1">
      <c r="A6732" s="5"/>
      <c r="B6732" s="18"/>
      <c r="C6732" s="85"/>
      <c r="D6732" s="41"/>
      <c r="E6732" s="26" t="str">
        <f ca="1">IFERROR(__xludf.DUMMYFUNCTION("""COMPUTED_VALUE"""),"")</f>
        <v/>
      </c>
      <c r="F6732" s="72"/>
      <c r="G6732" s="72"/>
    </row>
    <row r="6733" spans="1:7" ht="14.5" hidden="1">
      <c r="A6733" s="5"/>
      <c r="B6733" s="18"/>
      <c r="C6733" s="85"/>
      <c r="D6733" s="41"/>
      <c r="E6733" s="26" t="str">
        <f ca="1">IFERROR(__xludf.DUMMYFUNCTION("""COMPUTED_VALUE"""),"")</f>
        <v/>
      </c>
      <c r="F6733" s="72"/>
      <c r="G6733" s="72"/>
    </row>
    <row r="6734" spans="1:7" ht="14.5" hidden="1">
      <c r="A6734" s="5"/>
      <c r="B6734" s="18"/>
      <c r="C6734" s="85"/>
      <c r="D6734" s="41"/>
      <c r="E6734" s="26" t="str">
        <f ca="1">IFERROR(__xludf.DUMMYFUNCTION("""COMPUTED_VALUE"""),"")</f>
        <v/>
      </c>
      <c r="F6734" s="72"/>
      <c r="G6734" s="72"/>
    </row>
    <row r="6735" spans="1:7" ht="14.5" hidden="1">
      <c r="A6735" s="5"/>
      <c r="B6735" s="18"/>
      <c r="C6735" s="85"/>
      <c r="D6735" s="41"/>
      <c r="E6735" s="26" t="str">
        <f ca="1">IFERROR(__xludf.DUMMYFUNCTION("""COMPUTED_VALUE"""),"")</f>
        <v/>
      </c>
      <c r="F6735" s="72"/>
      <c r="G6735" s="72"/>
    </row>
    <row r="6736" spans="1:7" ht="14.5" hidden="1">
      <c r="A6736" s="5"/>
      <c r="B6736" s="18"/>
      <c r="C6736" s="85"/>
      <c r="D6736" s="41"/>
      <c r="E6736" s="26" t="str">
        <f ca="1">IFERROR(__xludf.DUMMYFUNCTION("""COMPUTED_VALUE"""),"")</f>
        <v/>
      </c>
      <c r="F6736" s="72"/>
      <c r="G6736" s="72"/>
    </row>
    <row r="6737" spans="1:7" ht="14.5" hidden="1">
      <c r="A6737" s="5"/>
      <c r="B6737" s="18"/>
      <c r="C6737" s="85"/>
      <c r="D6737" s="41"/>
      <c r="E6737" s="26" t="str">
        <f ca="1">IFERROR(__xludf.DUMMYFUNCTION("""COMPUTED_VALUE"""),"")</f>
        <v/>
      </c>
      <c r="F6737" s="72"/>
      <c r="G6737" s="72"/>
    </row>
    <row r="6738" spans="1:7" ht="14.5" hidden="1">
      <c r="A6738" s="5"/>
      <c r="B6738" s="18"/>
      <c r="C6738" s="85"/>
      <c r="D6738" s="41"/>
      <c r="E6738" s="26" t="str">
        <f ca="1">IFERROR(__xludf.DUMMYFUNCTION("""COMPUTED_VALUE"""),"")</f>
        <v/>
      </c>
      <c r="F6738" s="72"/>
      <c r="G6738" s="72"/>
    </row>
    <row r="6739" spans="1:7" ht="14.5" hidden="1">
      <c r="A6739" s="5"/>
      <c r="B6739" s="18"/>
      <c r="C6739" s="85"/>
      <c r="D6739" s="41"/>
      <c r="E6739" s="26" t="str">
        <f ca="1">IFERROR(__xludf.DUMMYFUNCTION("""COMPUTED_VALUE"""),"")</f>
        <v/>
      </c>
      <c r="F6739" s="72"/>
      <c r="G6739" s="72"/>
    </row>
    <row r="6740" spans="1:7" ht="14.5" hidden="1">
      <c r="A6740" s="5"/>
      <c r="B6740" s="18"/>
      <c r="C6740" s="85"/>
      <c r="D6740" s="41"/>
      <c r="E6740" s="26" t="str">
        <f ca="1">IFERROR(__xludf.DUMMYFUNCTION("""COMPUTED_VALUE"""),"")</f>
        <v/>
      </c>
      <c r="F6740" s="72"/>
      <c r="G6740" s="72"/>
    </row>
    <row r="6741" spans="1:7" ht="14.5" hidden="1">
      <c r="A6741" s="5"/>
      <c r="B6741" s="18"/>
      <c r="C6741" s="85"/>
      <c r="D6741" s="41"/>
      <c r="E6741" s="26" t="str">
        <f ca="1">IFERROR(__xludf.DUMMYFUNCTION("""COMPUTED_VALUE"""),"")</f>
        <v/>
      </c>
      <c r="F6741" s="72"/>
      <c r="G6741" s="72"/>
    </row>
    <row r="6742" spans="1:7" ht="14.5" hidden="1">
      <c r="A6742" s="5"/>
      <c r="B6742" s="18"/>
      <c r="C6742" s="85"/>
      <c r="D6742" s="41"/>
      <c r="E6742" s="26" t="str">
        <f ca="1">IFERROR(__xludf.DUMMYFUNCTION("""COMPUTED_VALUE"""),"")</f>
        <v/>
      </c>
      <c r="F6742" s="72"/>
      <c r="G6742" s="72"/>
    </row>
    <row r="6743" spans="1:7" ht="14.5" hidden="1">
      <c r="A6743" s="5"/>
      <c r="B6743" s="18"/>
      <c r="C6743" s="85"/>
      <c r="D6743" s="41"/>
      <c r="E6743" s="26" t="str">
        <f ca="1">IFERROR(__xludf.DUMMYFUNCTION("""COMPUTED_VALUE"""),"")</f>
        <v/>
      </c>
      <c r="F6743" s="72"/>
      <c r="G6743" s="72"/>
    </row>
    <row r="6744" spans="1:7" ht="14.5" hidden="1">
      <c r="A6744" s="5"/>
      <c r="B6744" s="18"/>
      <c r="C6744" s="85"/>
      <c r="D6744" s="41"/>
      <c r="E6744" s="26" t="str">
        <f ca="1">IFERROR(__xludf.DUMMYFUNCTION("""COMPUTED_VALUE"""),"")</f>
        <v/>
      </c>
      <c r="F6744" s="72"/>
      <c r="G6744" s="72"/>
    </row>
    <row r="6745" spans="1:7" ht="14.5" hidden="1">
      <c r="A6745" s="5"/>
      <c r="B6745" s="18"/>
      <c r="C6745" s="85"/>
      <c r="D6745" s="41"/>
      <c r="E6745" s="26" t="str">
        <f ca="1">IFERROR(__xludf.DUMMYFUNCTION("""COMPUTED_VALUE"""),"")</f>
        <v/>
      </c>
      <c r="F6745" s="72"/>
      <c r="G6745" s="72"/>
    </row>
    <row r="6746" spans="1:7" ht="14.5" hidden="1">
      <c r="A6746" s="5"/>
      <c r="B6746" s="18"/>
      <c r="C6746" s="85"/>
      <c r="D6746" s="41"/>
      <c r="E6746" s="26" t="str">
        <f ca="1">IFERROR(__xludf.DUMMYFUNCTION("""COMPUTED_VALUE"""),"")</f>
        <v/>
      </c>
      <c r="F6746" s="72"/>
      <c r="G6746" s="72"/>
    </row>
    <row r="6747" spans="1:7" ht="14.5" hidden="1">
      <c r="A6747" s="5"/>
      <c r="B6747" s="18"/>
      <c r="C6747" s="85"/>
      <c r="D6747" s="41"/>
      <c r="E6747" s="26" t="str">
        <f ca="1">IFERROR(__xludf.DUMMYFUNCTION("""COMPUTED_VALUE"""),"")</f>
        <v/>
      </c>
      <c r="F6747" s="72"/>
      <c r="G6747" s="72"/>
    </row>
    <row r="6748" spans="1:7" ht="14.5" hidden="1">
      <c r="A6748" s="5"/>
      <c r="B6748" s="18"/>
      <c r="C6748" s="85"/>
      <c r="D6748" s="41"/>
      <c r="E6748" s="26" t="str">
        <f ca="1">IFERROR(__xludf.DUMMYFUNCTION("""COMPUTED_VALUE"""),"")</f>
        <v/>
      </c>
      <c r="F6748" s="72"/>
      <c r="G6748" s="72"/>
    </row>
    <row r="6749" spans="1:7" ht="14.5" hidden="1">
      <c r="A6749" s="5"/>
      <c r="B6749" s="18"/>
      <c r="C6749" s="85"/>
      <c r="D6749" s="41"/>
      <c r="E6749" s="26" t="str">
        <f ca="1">IFERROR(__xludf.DUMMYFUNCTION("""COMPUTED_VALUE"""),"")</f>
        <v/>
      </c>
      <c r="F6749" s="72"/>
      <c r="G6749" s="72"/>
    </row>
    <row r="6750" spans="1:7" ht="14.5" hidden="1">
      <c r="A6750" s="5"/>
      <c r="B6750" s="18"/>
      <c r="C6750" s="85"/>
      <c r="D6750" s="41"/>
      <c r="E6750" s="26" t="str">
        <f ca="1">IFERROR(__xludf.DUMMYFUNCTION("""COMPUTED_VALUE"""),"")</f>
        <v/>
      </c>
      <c r="F6750" s="72"/>
      <c r="G6750" s="72"/>
    </row>
    <row r="6751" spans="1:7" ht="14.5" hidden="1">
      <c r="A6751" s="5"/>
      <c r="B6751" s="18"/>
      <c r="C6751" s="85"/>
      <c r="D6751" s="41"/>
      <c r="E6751" s="26" t="str">
        <f ca="1">IFERROR(__xludf.DUMMYFUNCTION("""COMPUTED_VALUE"""),"")</f>
        <v/>
      </c>
      <c r="F6751" s="72"/>
      <c r="G6751" s="72"/>
    </row>
    <row r="6752" spans="1:7" ht="14.5" hidden="1">
      <c r="A6752" s="5"/>
      <c r="B6752" s="18"/>
      <c r="C6752" s="85"/>
      <c r="D6752" s="41"/>
      <c r="E6752" s="26" t="str">
        <f ca="1">IFERROR(__xludf.DUMMYFUNCTION("""COMPUTED_VALUE"""),"")</f>
        <v/>
      </c>
      <c r="F6752" s="72"/>
      <c r="G6752" s="72"/>
    </row>
    <row r="6753" spans="1:7" ht="14.5" hidden="1">
      <c r="A6753" s="5"/>
      <c r="B6753" s="18"/>
      <c r="C6753" s="85"/>
      <c r="D6753" s="41"/>
      <c r="E6753" s="26" t="str">
        <f ca="1">IFERROR(__xludf.DUMMYFUNCTION("""COMPUTED_VALUE"""),"")</f>
        <v/>
      </c>
      <c r="F6753" s="72"/>
      <c r="G6753" s="72"/>
    </row>
    <row r="6754" spans="1:7" ht="14.5" hidden="1">
      <c r="A6754" s="5"/>
      <c r="B6754" s="18"/>
      <c r="C6754" s="85"/>
      <c r="D6754" s="41"/>
      <c r="E6754" s="26" t="str">
        <f ca="1">IFERROR(__xludf.DUMMYFUNCTION("""COMPUTED_VALUE"""),"")</f>
        <v/>
      </c>
      <c r="F6754" s="72"/>
      <c r="G6754" s="72"/>
    </row>
    <row r="6755" spans="1:7" ht="14.5" hidden="1">
      <c r="A6755" s="5"/>
      <c r="B6755" s="18"/>
      <c r="C6755" s="85"/>
      <c r="D6755" s="41"/>
      <c r="E6755" s="26" t="str">
        <f ca="1">IFERROR(__xludf.DUMMYFUNCTION("""COMPUTED_VALUE"""),"")</f>
        <v/>
      </c>
      <c r="F6755" s="72"/>
      <c r="G6755" s="72"/>
    </row>
    <row r="6756" spans="1:7" ht="14.5" hidden="1">
      <c r="A6756" s="5"/>
      <c r="B6756" s="18"/>
      <c r="C6756" s="85"/>
      <c r="D6756" s="41"/>
      <c r="E6756" s="26" t="str">
        <f ca="1">IFERROR(__xludf.DUMMYFUNCTION("""COMPUTED_VALUE"""),"")</f>
        <v/>
      </c>
      <c r="F6756" s="72"/>
      <c r="G6756" s="72"/>
    </row>
    <row r="6757" spans="1:7" ht="14.5" hidden="1">
      <c r="A6757" s="5"/>
      <c r="B6757" s="18"/>
      <c r="C6757" s="85"/>
      <c r="D6757" s="41"/>
      <c r="E6757" s="26" t="str">
        <f ca="1">IFERROR(__xludf.DUMMYFUNCTION("""COMPUTED_VALUE"""),"")</f>
        <v/>
      </c>
      <c r="F6757" s="72"/>
      <c r="G6757" s="72"/>
    </row>
    <row r="6758" spans="1:7" ht="14.5" hidden="1">
      <c r="A6758" s="5"/>
      <c r="B6758" s="18"/>
      <c r="C6758" s="85"/>
      <c r="D6758" s="41"/>
      <c r="E6758" s="26" t="str">
        <f ca="1">IFERROR(__xludf.DUMMYFUNCTION("""COMPUTED_VALUE"""),"")</f>
        <v/>
      </c>
      <c r="F6758" s="72"/>
      <c r="G6758" s="72"/>
    </row>
    <row r="6759" spans="1:7" ht="14.5" hidden="1">
      <c r="A6759" s="5"/>
      <c r="B6759" s="18"/>
      <c r="C6759" s="85"/>
      <c r="D6759" s="41"/>
      <c r="E6759" s="26" t="str">
        <f ca="1">IFERROR(__xludf.DUMMYFUNCTION("""COMPUTED_VALUE"""),"")</f>
        <v/>
      </c>
      <c r="F6759" s="72"/>
      <c r="G6759" s="72"/>
    </row>
    <row r="6760" spans="1:7" ht="14.5" hidden="1">
      <c r="A6760" s="5"/>
      <c r="B6760" s="18"/>
      <c r="C6760" s="85"/>
      <c r="D6760" s="41"/>
      <c r="E6760" s="26" t="str">
        <f ca="1">IFERROR(__xludf.DUMMYFUNCTION("""COMPUTED_VALUE"""),"")</f>
        <v/>
      </c>
      <c r="F6760" s="72"/>
      <c r="G6760" s="72"/>
    </row>
    <row r="6761" spans="1:7" ht="14.5" hidden="1">
      <c r="A6761" s="5"/>
      <c r="B6761" s="18"/>
      <c r="C6761" s="85"/>
      <c r="D6761" s="41"/>
      <c r="E6761" s="26" t="str">
        <f ca="1">IFERROR(__xludf.DUMMYFUNCTION("""COMPUTED_VALUE"""),"")</f>
        <v/>
      </c>
      <c r="F6761" s="72"/>
      <c r="G6761" s="72"/>
    </row>
    <row r="6762" spans="1:7" ht="14.5" hidden="1">
      <c r="A6762" s="5"/>
      <c r="B6762" s="18"/>
      <c r="C6762" s="85"/>
      <c r="D6762" s="41"/>
      <c r="E6762" s="26" t="str">
        <f ca="1">IFERROR(__xludf.DUMMYFUNCTION("""COMPUTED_VALUE"""),"")</f>
        <v/>
      </c>
      <c r="F6762" s="72"/>
      <c r="G6762" s="72"/>
    </row>
    <row r="6763" spans="1:7" ht="14.5" hidden="1">
      <c r="A6763" s="5"/>
      <c r="B6763" s="18"/>
      <c r="C6763" s="85"/>
      <c r="D6763" s="41"/>
      <c r="E6763" s="26" t="str">
        <f ca="1">IFERROR(__xludf.DUMMYFUNCTION("""COMPUTED_VALUE"""),"")</f>
        <v/>
      </c>
      <c r="F6763" s="72"/>
      <c r="G6763" s="72"/>
    </row>
    <row r="6764" spans="1:7" ht="14.5" hidden="1">
      <c r="A6764" s="5"/>
      <c r="B6764" s="18"/>
      <c r="C6764" s="85"/>
      <c r="D6764" s="41"/>
      <c r="E6764" s="26" t="str">
        <f ca="1">IFERROR(__xludf.DUMMYFUNCTION("""COMPUTED_VALUE"""),"")</f>
        <v/>
      </c>
      <c r="F6764" s="72"/>
      <c r="G6764" s="72"/>
    </row>
    <row r="6765" spans="1:7" ht="14.5" hidden="1">
      <c r="A6765" s="5"/>
      <c r="B6765" s="18"/>
      <c r="C6765" s="85"/>
      <c r="D6765" s="41"/>
      <c r="E6765" s="26" t="str">
        <f ca="1">IFERROR(__xludf.DUMMYFUNCTION("""COMPUTED_VALUE"""),"")</f>
        <v/>
      </c>
      <c r="F6765" s="72"/>
      <c r="G6765" s="72"/>
    </row>
    <row r="6766" spans="1:7" ht="14.5" hidden="1">
      <c r="A6766" s="5"/>
      <c r="B6766" s="18"/>
      <c r="C6766" s="85"/>
      <c r="D6766" s="41"/>
      <c r="E6766" s="26" t="str">
        <f ca="1">IFERROR(__xludf.DUMMYFUNCTION("""COMPUTED_VALUE"""),"")</f>
        <v/>
      </c>
      <c r="F6766" s="72"/>
      <c r="G6766" s="72"/>
    </row>
    <row r="6767" spans="1:7" ht="14.5" hidden="1">
      <c r="A6767" s="5"/>
      <c r="B6767" s="18"/>
      <c r="C6767" s="85"/>
      <c r="D6767" s="41"/>
      <c r="E6767" s="26" t="str">
        <f ca="1">IFERROR(__xludf.DUMMYFUNCTION("""COMPUTED_VALUE"""),"")</f>
        <v/>
      </c>
      <c r="F6767" s="72"/>
      <c r="G6767" s="72"/>
    </row>
    <row r="6768" spans="1:7" ht="14.5" hidden="1">
      <c r="A6768" s="5"/>
      <c r="B6768" s="18"/>
      <c r="C6768" s="85"/>
      <c r="D6768" s="41"/>
      <c r="E6768" s="26" t="str">
        <f ca="1">IFERROR(__xludf.DUMMYFUNCTION("""COMPUTED_VALUE"""),"")</f>
        <v/>
      </c>
      <c r="F6768" s="72"/>
      <c r="G6768" s="72"/>
    </row>
    <row r="6769" spans="1:7" ht="14.5" hidden="1">
      <c r="A6769" s="5"/>
      <c r="B6769" s="18"/>
      <c r="C6769" s="85"/>
      <c r="D6769" s="41"/>
      <c r="E6769" s="26" t="str">
        <f ca="1">IFERROR(__xludf.DUMMYFUNCTION("""COMPUTED_VALUE"""),"")</f>
        <v/>
      </c>
      <c r="F6769" s="72"/>
      <c r="G6769" s="72"/>
    </row>
    <row r="6770" spans="1:7" ht="14.5" hidden="1">
      <c r="A6770" s="5"/>
      <c r="B6770" s="18"/>
      <c r="C6770" s="85"/>
      <c r="D6770" s="41"/>
      <c r="E6770" s="26" t="str">
        <f ca="1">IFERROR(__xludf.DUMMYFUNCTION("""COMPUTED_VALUE"""),"")</f>
        <v/>
      </c>
      <c r="F6770" s="72"/>
      <c r="G6770" s="72"/>
    </row>
    <row r="6771" spans="1:7" ht="14.5" hidden="1">
      <c r="A6771" s="5"/>
      <c r="B6771" s="18"/>
      <c r="C6771" s="85"/>
      <c r="D6771" s="41"/>
      <c r="E6771" s="26" t="str">
        <f ca="1">IFERROR(__xludf.DUMMYFUNCTION("""COMPUTED_VALUE"""),"")</f>
        <v/>
      </c>
      <c r="F6771" s="72"/>
      <c r="G6771" s="72"/>
    </row>
    <row r="6772" spans="1:7" ht="14.5" hidden="1">
      <c r="A6772" s="5"/>
      <c r="B6772" s="18"/>
      <c r="C6772" s="85"/>
      <c r="D6772" s="41"/>
      <c r="E6772" s="26" t="str">
        <f ca="1">IFERROR(__xludf.DUMMYFUNCTION("""COMPUTED_VALUE"""),"")</f>
        <v/>
      </c>
      <c r="F6772" s="72"/>
      <c r="G6772" s="72"/>
    </row>
    <row r="6773" spans="1:7" ht="14.5" hidden="1">
      <c r="A6773" s="5"/>
      <c r="B6773" s="18"/>
      <c r="C6773" s="85"/>
      <c r="D6773" s="41"/>
      <c r="E6773" s="26" t="str">
        <f ca="1">IFERROR(__xludf.DUMMYFUNCTION("""COMPUTED_VALUE"""),"")</f>
        <v/>
      </c>
      <c r="F6773" s="72"/>
      <c r="G6773" s="72"/>
    </row>
    <row r="6774" spans="1:7" ht="14.5" hidden="1">
      <c r="A6774" s="5"/>
      <c r="B6774" s="18"/>
      <c r="C6774" s="85"/>
      <c r="D6774" s="41"/>
      <c r="E6774" s="26" t="str">
        <f ca="1">IFERROR(__xludf.DUMMYFUNCTION("""COMPUTED_VALUE"""),"")</f>
        <v/>
      </c>
      <c r="F6774" s="72"/>
      <c r="G6774" s="72"/>
    </row>
    <row r="6775" spans="1:7" ht="14.5" hidden="1">
      <c r="A6775" s="5"/>
      <c r="B6775" s="18"/>
      <c r="C6775" s="85"/>
      <c r="D6775" s="41"/>
      <c r="E6775" s="26" t="str">
        <f ca="1">IFERROR(__xludf.DUMMYFUNCTION("""COMPUTED_VALUE"""),"")</f>
        <v/>
      </c>
      <c r="F6775" s="72"/>
      <c r="G6775" s="72"/>
    </row>
    <row r="6776" spans="1:7" ht="14.5" hidden="1">
      <c r="A6776" s="5"/>
      <c r="B6776" s="18"/>
      <c r="C6776" s="85"/>
      <c r="D6776" s="41"/>
      <c r="E6776" s="26" t="str">
        <f ca="1">IFERROR(__xludf.DUMMYFUNCTION("""COMPUTED_VALUE"""),"")</f>
        <v/>
      </c>
      <c r="F6776" s="72"/>
      <c r="G6776" s="72"/>
    </row>
    <row r="6777" spans="1:7" ht="14.5" hidden="1">
      <c r="A6777" s="5"/>
      <c r="B6777" s="18"/>
      <c r="C6777" s="85"/>
      <c r="D6777" s="41"/>
      <c r="E6777" s="26" t="str">
        <f ca="1">IFERROR(__xludf.DUMMYFUNCTION("""COMPUTED_VALUE"""),"")</f>
        <v/>
      </c>
      <c r="F6777" s="72"/>
      <c r="G6777" s="72"/>
    </row>
    <row r="6778" spans="1:7" ht="14.5" hidden="1">
      <c r="A6778" s="5"/>
      <c r="B6778" s="18"/>
      <c r="C6778" s="85"/>
      <c r="D6778" s="41"/>
      <c r="E6778" s="26" t="str">
        <f ca="1">IFERROR(__xludf.DUMMYFUNCTION("""COMPUTED_VALUE"""),"")</f>
        <v/>
      </c>
      <c r="F6778" s="72"/>
      <c r="G6778" s="72"/>
    </row>
    <row r="6779" spans="1:7" ht="14.5" hidden="1">
      <c r="A6779" s="5"/>
      <c r="B6779" s="18"/>
      <c r="C6779" s="85"/>
      <c r="D6779" s="41"/>
      <c r="E6779" s="26" t="str">
        <f ca="1">IFERROR(__xludf.DUMMYFUNCTION("""COMPUTED_VALUE"""),"")</f>
        <v/>
      </c>
      <c r="F6779" s="72"/>
      <c r="G6779" s="72"/>
    </row>
    <row r="6780" spans="1:7" ht="14.5" hidden="1">
      <c r="A6780" s="5"/>
      <c r="B6780" s="18"/>
      <c r="C6780" s="85"/>
      <c r="D6780" s="41"/>
      <c r="E6780" s="26" t="str">
        <f ca="1">IFERROR(__xludf.DUMMYFUNCTION("""COMPUTED_VALUE"""),"")</f>
        <v/>
      </c>
      <c r="F6780" s="72"/>
      <c r="G6780" s="72"/>
    </row>
    <row r="6781" spans="1:7" ht="14.5" hidden="1">
      <c r="A6781" s="5"/>
      <c r="B6781" s="18"/>
      <c r="C6781" s="85"/>
      <c r="D6781" s="41"/>
      <c r="E6781" s="26" t="str">
        <f ca="1">IFERROR(__xludf.DUMMYFUNCTION("""COMPUTED_VALUE"""),"")</f>
        <v/>
      </c>
      <c r="F6781" s="72"/>
      <c r="G6781" s="72"/>
    </row>
    <row r="6782" spans="1:7" ht="14.5" hidden="1">
      <c r="A6782" s="5"/>
      <c r="B6782" s="18"/>
      <c r="C6782" s="85"/>
      <c r="D6782" s="41"/>
      <c r="E6782" s="26" t="str">
        <f ca="1">IFERROR(__xludf.DUMMYFUNCTION("""COMPUTED_VALUE"""),"")</f>
        <v/>
      </c>
      <c r="F6782" s="72"/>
      <c r="G6782" s="72"/>
    </row>
    <row r="6783" spans="1:7" ht="14.5" hidden="1">
      <c r="A6783" s="5"/>
      <c r="B6783" s="18"/>
      <c r="C6783" s="85"/>
      <c r="D6783" s="41"/>
      <c r="E6783" s="26" t="str">
        <f ca="1">IFERROR(__xludf.DUMMYFUNCTION("""COMPUTED_VALUE"""),"")</f>
        <v/>
      </c>
      <c r="F6783" s="72"/>
      <c r="G6783" s="72"/>
    </row>
    <row r="6784" spans="1:7" ht="14.5" hidden="1">
      <c r="A6784" s="5"/>
      <c r="B6784" s="18"/>
      <c r="C6784" s="85"/>
      <c r="D6784" s="41"/>
      <c r="E6784" s="26" t="str">
        <f ca="1">IFERROR(__xludf.DUMMYFUNCTION("""COMPUTED_VALUE"""),"")</f>
        <v/>
      </c>
      <c r="F6784" s="72"/>
      <c r="G6784" s="72"/>
    </row>
    <row r="6785" spans="1:7" ht="14.5" hidden="1">
      <c r="A6785" s="5"/>
      <c r="B6785" s="18"/>
      <c r="C6785" s="85"/>
      <c r="D6785" s="41"/>
      <c r="E6785" s="26" t="str">
        <f ca="1">IFERROR(__xludf.DUMMYFUNCTION("""COMPUTED_VALUE"""),"")</f>
        <v/>
      </c>
      <c r="F6785" s="72"/>
      <c r="G6785" s="72"/>
    </row>
    <row r="6786" spans="1:7" ht="14.5" hidden="1">
      <c r="A6786" s="5"/>
      <c r="B6786" s="18"/>
      <c r="C6786" s="85"/>
      <c r="D6786" s="41"/>
      <c r="E6786" s="26" t="str">
        <f ca="1">IFERROR(__xludf.DUMMYFUNCTION("""COMPUTED_VALUE"""),"")</f>
        <v/>
      </c>
      <c r="F6786" s="72"/>
      <c r="G6786" s="72"/>
    </row>
    <row r="6787" spans="1:7" ht="14.5" hidden="1">
      <c r="A6787" s="5"/>
      <c r="B6787" s="18"/>
      <c r="C6787" s="85"/>
      <c r="D6787" s="41"/>
      <c r="E6787" s="26" t="str">
        <f ca="1">IFERROR(__xludf.DUMMYFUNCTION("""COMPUTED_VALUE"""),"")</f>
        <v/>
      </c>
      <c r="F6787" s="72"/>
      <c r="G6787" s="72"/>
    </row>
    <row r="6788" spans="1:7" ht="14.5" hidden="1">
      <c r="A6788" s="5"/>
      <c r="B6788" s="18"/>
      <c r="C6788" s="85"/>
      <c r="D6788" s="41"/>
      <c r="E6788" s="26" t="str">
        <f ca="1">IFERROR(__xludf.DUMMYFUNCTION("""COMPUTED_VALUE"""),"")</f>
        <v/>
      </c>
      <c r="F6788" s="72"/>
      <c r="G6788" s="72"/>
    </row>
    <row r="6789" spans="1:7" ht="14.5" hidden="1">
      <c r="A6789" s="5"/>
      <c r="B6789" s="18"/>
      <c r="C6789" s="85"/>
      <c r="D6789" s="41"/>
      <c r="E6789" s="26" t="str">
        <f ca="1">IFERROR(__xludf.DUMMYFUNCTION("""COMPUTED_VALUE"""),"")</f>
        <v/>
      </c>
      <c r="F6789" s="72"/>
      <c r="G6789" s="72"/>
    </row>
    <row r="6790" spans="1:7" ht="14.5" hidden="1">
      <c r="A6790" s="5"/>
      <c r="B6790" s="18"/>
      <c r="C6790" s="85"/>
      <c r="D6790" s="41"/>
      <c r="E6790" s="26" t="str">
        <f ca="1">IFERROR(__xludf.DUMMYFUNCTION("""COMPUTED_VALUE"""),"")</f>
        <v/>
      </c>
      <c r="F6790" s="72"/>
      <c r="G6790" s="72"/>
    </row>
    <row r="6791" spans="1:7" ht="14.5" hidden="1">
      <c r="A6791" s="5"/>
      <c r="B6791" s="18"/>
      <c r="C6791" s="85"/>
      <c r="D6791" s="41"/>
      <c r="E6791" s="26" t="str">
        <f ca="1">IFERROR(__xludf.DUMMYFUNCTION("""COMPUTED_VALUE"""),"")</f>
        <v/>
      </c>
      <c r="F6791" s="72"/>
      <c r="G6791" s="72"/>
    </row>
    <row r="6792" spans="1:7" ht="14.5" hidden="1">
      <c r="A6792" s="5"/>
      <c r="B6792" s="18"/>
      <c r="C6792" s="85"/>
      <c r="D6792" s="41"/>
      <c r="E6792" s="26" t="str">
        <f ca="1">IFERROR(__xludf.DUMMYFUNCTION("""COMPUTED_VALUE"""),"")</f>
        <v/>
      </c>
      <c r="F6792" s="72"/>
      <c r="G6792" s="72"/>
    </row>
    <row r="6793" spans="1:7" ht="14.5" hidden="1">
      <c r="A6793" s="5"/>
      <c r="B6793" s="18"/>
      <c r="C6793" s="85"/>
      <c r="D6793" s="41"/>
      <c r="E6793" s="26" t="str">
        <f ca="1">IFERROR(__xludf.DUMMYFUNCTION("""COMPUTED_VALUE"""),"")</f>
        <v/>
      </c>
      <c r="F6793" s="72"/>
      <c r="G6793" s="72"/>
    </row>
    <row r="6794" spans="1:7" ht="14.5" hidden="1">
      <c r="A6794" s="5"/>
      <c r="B6794" s="18"/>
      <c r="C6794" s="85"/>
      <c r="D6794" s="41"/>
      <c r="E6794" s="26" t="str">
        <f ca="1">IFERROR(__xludf.DUMMYFUNCTION("""COMPUTED_VALUE"""),"")</f>
        <v/>
      </c>
      <c r="F6794" s="72"/>
      <c r="G6794" s="72"/>
    </row>
    <row r="6795" spans="1:7" ht="14.5" hidden="1">
      <c r="A6795" s="5"/>
      <c r="B6795" s="18"/>
      <c r="C6795" s="85"/>
      <c r="D6795" s="41"/>
      <c r="E6795" s="26" t="str">
        <f ca="1">IFERROR(__xludf.DUMMYFUNCTION("""COMPUTED_VALUE"""),"")</f>
        <v/>
      </c>
      <c r="F6795" s="72"/>
      <c r="G6795" s="72"/>
    </row>
    <row r="6796" spans="1:7" ht="14.5" hidden="1">
      <c r="A6796" s="5"/>
      <c r="B6796" s="18"/>
      <c r="C6796" s="85"/>
      <c r="D6796" s="41"/>
      <c r="E6796" s="26" t="str">
        <f ca="1">IFERROR(__xludf.DUMMYFUNCTION("""COMPUTED_VALUE"""),"")</f>
        <v/>
      </c>
      <c r="F6796" s="72"/>
      <c r="G6796" s="72"/>
    </row>
    <row r="6797" spans="1:7" ht="14.5" hidden="1">
      <c r="A6797" s="5"/>
      <c r="B6797" s="18"/>
      <c r="C6797" s="85"/>
      <c r="D6797" s="41"/>
      <c r="E6797" s="26" t="str">
        <f ca="1">IFERROR(__xludf.DUMMYFUNCTION("""COMPUTED_VALUE"""),"")</f>
        <v/>
      </c>
      <c r="F6797" s="72"/>
      <c r="G6797" s="72"/>
    </row>
    <row r="6798" spans="1:7" ht="14.5" hidden="1">
      <c r="A6798" s="5"/>
      <c r="B6798" s="18"/>
      <c r="C6798" s="85"/>
      <c r="D6798" s="41"/>
      <c r="E6798" s="26" t="str">
        <f ca="1">IFERROR(__xludf.DUMMYFUNCTION("""COMPUTED_VALUE"""),"")</f>
        <v/>
      </c>
      <c r="F6798" s="72"/>
      <c r="G6798" s="72"/>
    </row>
    <row r="6799" spans="1:7" ht="14.5" hidden="1">
      <c r="A6799" s="5"/>
      <c r="B6799" s="18"/>
      <c r="C6799" s="85"/>
      <c r="D6799" s="41"/>
      <c r="E6799" s="26" t="str">
        <f ca="1">IFERROR(__xludf.DUMMYFUNCTION("""COMPUTED_VALUE"""),"")</f>
        <v/>
      </c>
      <c r="F6799" s="72"/>
      <c r="G6799" s="72"/>
    </row>
    <row r="6800" spans="1:7" ht="14.5" hidden="1">
      <c r="A6800" s="5"/>
      <c r="B6800" s="18"/>
      <c r="C6800" s="85"/>
      <c r="D6800" s="41"/>
      <c r="E6800" s="26" t="str">
        <f ca="1">IFERROR(__xludf.DUMMYFUNCTION("""COMPUTED_VALUE"""),"")</f>
        <v/>
      </c>
      <c r="F6800" s="72"/>
      <c r="G6800" s="72"/>
    </row>
    <row r="6801" spans="1:7" ht="14.5" hidden="1">
      <c r="A6801" s="5"/>
      <c r="B6801" s="18"/>
      <c r="C6801" s="85"/>
      <c r="D6801" s="41"/>
      <c r="E6801" s="26" t="str">
        <f ca="1">IFERROR(__xludf.DUMMYFUNCTION("""COMPUTED_VALUE"""),"")</f>
        <v/>
      </c>
      <c r="F6801" s="72"/>
      <c r="G6801" s="72"/>
    </row>
    <row r="6802" spans="1:7" ht="14.5" hidden="1">
      <c r="A6802" s="5"/>
      <c r="B6802" s="18"/>
      <c r="C6802" s="85"/>
      <c r="D6802" s="41"/>
      <c r="E6802" s="26" t="str">
        <f ca="1">IFERROR(__xludf.DUMMYFUNCTION("""COMPUTED_VALUE"""),"")</f>
        <v/>
      </c>
      <c r="F6802" s="72"/>
      <c r="G6802" s="72"/>
    </row>
    <row r="6803" spans="1:7" ht="14.5" hidden="1">
      <c r="A6803" s="5"/>
      <c r="B6803" s="18"/>
      <c r="C6803" s="85"/>
      <c r="D6803" s="41"/>
      <c r="E6803" s="26" t="str">
        <f ca="1">IFERROR(__xludf.DUMMYFUNCTION("""COMPUTED_VALUE"""),"")</f>
        <v/>
      </c>
      <c r="F6803" s="72"/>
      <c r="G6803" s="72"/>
    </row>
    <row r="6804" spans="1:7" ht="14.5" hidden="1">
      <c r="A6804" s="5"/>
      <c r="B6804" s="18"/>
      <c r="C6804" s="85"/>
      <c r="D6804" s="41"/>
      <c r="E6804" s="26" t="str">
        <f ca="1">IFERROR(__xludf.DUMMYFUNCTION("""COMPUTED_VALUE"""),"")</f>
        <v/>
      </c>
      <c r="F6804" s="72"/>
      <c r="G6804" s="72"/>
    </row>
    <row r="6805" spans="1:7" ht="14.5" hidden="1">
      <c r="A6805" s="5"/>
      <c r="B6805" s="18"/>
      <c r="C6805" s="85"/>
      <c r="D6805" s="41"/>
      <c r="E6805" s="26" t="str">
        <f ca="1">IFERROR(__xludf.DUMMYFUNCTION("""COMPUTED_VALUE"""),"")</f>
        <v/>
      </c>
      <c r="F6805" s="72"/>
      <c r="G6805" s="72"/>
    </row>
    <row r="6806" spans="1:7" ht="14.5" hidden="1">
      <c r="A6806" s="5"/>
      <c r="B6806" s="18"/>
      <c r="C6806" s="85"/>
      <c r="D6806" s="41"/>
      <c r="E6806" s="26" t="str">
        <f ca="1">IFERROR(__xludf.DUMMYFUNCTION("""COMPUTED_VALUE"""),"")</f>
        <v/>
      </c>
      <c r="F6806" s="72"/>
      <c r="G6806" s="72"/>
    </row>
    <row r="6807" spans="1:7" ht="14.5" hidden="1">
      <c r="A6807" s="5"/>
      <c r="B6807" s="18"/>
      <c r="C6807" s="85"/>
      <c r="D6807" s="41"/>
      <c r="E6807" s="26" t="str">
        <f ca="1">IFERROR(__xludf.DUMMYFUNCTION("""COMPUTED_VALUE"""),"")</f>
        <v/>
      </c>
      <c r="F6807" s="72"/>
      <c r="G6807" s="72"/>
    </row>
    <row r="6808" spans="1:7" ht="14.5" hidden="1">
      <c r="A6808" s="5"/>
      <c r="B6808" s="18"/>
      <c r="C6808" s="85"/>
      <c r="D6808" s="41"/>
      <c r="E6808" s="26" t="str">
        <f ca="1">IFERROR(__xludf.DUMMYFUNCTION("""COMPUTED_VALUE"""),"")</f>
        <v/>
      </c>
      <c r="F6808" s="72"/>
      <c r="G6808" s="72"/>
    </row>
    <row r="6809" spans="1:7" ht="14.5" hidden="1">
      <c r="A6809" s="5"/>
      <c r="B6809" s="18"/>
      <c r="C6809" s="85"/>
      <c r="D6809" s="41"/>
      <c r="E6809" s="26" t="str">
        <f ca="1">IFERROR(__xludf.DUMMYFUNCTION("""COMPUTED_VALUE"""),"")</f>
        <v/>
      </c>
      <c r="F6809" s="72"/>
      <c r="G6809" s="72"/>
    </row>
    <row r="6810" spans="1:7" ht="14.5" hidden="1">
      <c r="A6810" s="5"/>
      <c r="B6810" s="18"/>
      <c r="C6810" s="85"/>
      <c r="D6810" s="41"/>
      <c r="E6810" s="26" t="str">
        <f ca="1">IFERROR(__xludf.DUMMYFUNCTION("""COMPUTED_VALUE"""),"")</f>
        <v/>
      </c>
      <c r="F6810" s="72"/>
      <c r="G6810" s="72"/>
    </row>
    <row r="6811" spans="1:7" ht="14.5" hidden="1">
      <c r="A6811" s="5"/>
      <c r="B6811" s="18"/>
      <c r="C6811" s="85"/>
      <c r="D6811" s="41"/>
      <c r="E6811" s="26" t="str">
        <f ca="1">IFERROR(__xludf.DUMMYFUNCTION("""COMPUTED_VALUE"""),"")</f>
        <v/>
      </c>
      <c r="F6811" s="72"/>
      <c r="G6811" s="72"/>
    </row>
    <row r="6812" spans="1:7" ht="14.5" hidden="1">
      <c r="A6812" s="5"/>
      <c r="B6812" s="18"/>
      <c r="C6812" s="85"/>
      <c r="D6812" s="41"/>
      <c r="E6812" s="26" t="str">
        <f ca="1">IFERROR(__xludf.DUMMYFUNCTION("""COMPUTED_VALUE"""),"")</f>
        <v/>
      </c>
      <c r="F6812" s="72"/>
      <c r="G6812" s="72"/>
    </row>
    <row r="6813" spans="1:7" ht="14.5" hidden="1">
      <c r="A6813" s="5"/>
      <c r="B6813" s="18"/>
      <c r="C6813" s="85"/>
      <c r="D6813" s="41"/>
      <c r="E6813" s="26" t="str">
        <f ca="1">IFERROR(__xludf.DUMMYFUNCTION("""COMPUTED_VALUE"""),"")</f>
        <v/>
      </c>
      <c r="F6813" s="72"/>
      <c r="G6813" s="72"/>
    </row>
    <row r="6814" spans="1:7" ht="14.5" hidden="1">
      <c r="A6814" s="5"/>
      <c r="B6814" s="18"/>
      <c r="C6814" s="85"/>
      <c r="D6814" s="41"/>
      <c r="E6814" s="26" t="str">
        <f ca="1">IFERROR(__xludf.DUMMYFUNCTION("""COMPUTED_VALUE"""),"")</f>
        <v/>
      </c>
      <c r="F6814" s="72"/>
      <c r="G6814" s="72"/>
    </row>
    <row r="6815" spans="1:7" ht="14.5" hidden="1">
      <c r="A6815" s="5"/>
      <c r="B6815" s="18"/>
      <c r="C6815" s="85"/>
      <c r="D6815" s="41"/>
      <c r="E6815" s="26" t="str">
        <f ca="1">IFERROR(__xludf.DUMMYFUNCTION("""COMPUTED_VALUE"""),"")</f>
        <v/>
      </c>
      <c r="F6815" s="72"/>
      <c r="G6815" s="72"/>
    </row>
    <row r="6816" spans="1:7" ht="14.5" hidden="1">
      <c r="A6816" s="5"/>
      <c r="B6816" s="18"/>
      <c r="C6816" s="85"/>
      <c r="D6816" s="41"/>
      <c r="E6816" s="26" t="str">
        <f ca="1">IFERROR(__xludf.DUMMYFUNCTION("""COMPUTED_VALUE"""),"")</f>
        <v/>
      </c>
      <c r="F6816" s="72"/>
      <c r="G6816" s="72"/>
    </row>
    <row r="6817" spans="1:7" ht="14.5" hidden="1">
      <c r="A6817" s="5"/>
      <c r="B6817" s="18"/>
      <c r="C6817" s="85"/>
      <c r="D6817" s="41"/>
      <c r="E6817" s="26" t="str">
        <f ca="1">IFERROR(__xludf.DUMMYFUNCTION("""COMPUTED_VALUE"""),"")</f>
        <v/>
      </c>
      <c r="F6817" s="72"/>
      <c r="G6817" s="72"/>
    </row>
    <row r="6818" spans="1:7" ht="14.5" hidden="1">
      <c r="A6818" s="5"/>
      <c r="B6818" s="18"/>
      <c r="C6818" s="85"/>
      <c r="D6818" s="41"/>
      <c r="E6818" s="26" t="str">
        <f ca="1">IFERROR(__xludf.DUMMYFUNCTION("""COMPUTED_VALUE"""),"")</f>
        <v/>
      </c>
      <c r="F6818" s="72"/>
      <c r="G6818" s="72"/>
    </row>
    <row r="6819" spans="1:7" ht="14.5" hidden="1">
      <c r="A6819" s="5"/>
      <c r="B6819" s="18"/>
      <c r="C6819" s="85"/>
      <c r="D6819" s="41"/>
      <c r="E6819" s="26" t="str">
        <f ca="1">IFERROR(__xludf.DUMMYFUNCTION("""COMPUTED_VALUE"""),"")</f>
        <v/>
      </c>
      <c r="F6819" s="72"/>
      <c r="G6819" s="72"/>
    </row>
    <row r="6820" spans="1:7" ht="14.5" hidden="1">
      <c r="A6820" s="5"/>
      <c r="B6820" s="18"/>
      <c r="C6820" s="85"/>
      <c r="D6820" s="41"/>
      <c r="E6820" s="26" t="str">
        <f ca="1">IFERROR(__xludf.DUMMYFUNCTION("""COMPUTED_VALUE"""),"")</f>
        <v/>
      </c>
      <c r="F6820" s="72"/>
      <c r="G6820" s="72"/>
    </row>
    <row r="6821" spans="1:7" ht="14.5" hidden="1">
      <c r="A6821" s="5"/>
      <c r="B6821" s="18"/>
      <c r="C6821" s="85"/>
      <c r="D6821" s="41"/>
      <c r="E6821" s="26" t="str">
        <f ca="1">IFERROR(__xludf.DUMMYFUNCTION("""COMPUTED_VALUE"""),"")</f>
        <v/>
      </c>
      <c r="F6821" s="72"/>
      <c r="G6821" s="72"/>
    </row>
    <row r="6822" spans="1:7" ht="14.5" hidden="1">
      <c r="A6822" s="5"/>
      <c r="B6822" s="18"/>
      <c r="C6822" s="85"/>
      <c r="D6822" s="41"/>
      <c r="E6822" s="26" t="str">
        <f ca="1">IFERROR(__xludf.DUMMYFUNCTION("""COMPUTED_VALUE"""),"")</f>
        <v/>
      </c>
      <c r="F6822" s="72"/>
      <c r="G6822" s="72"/>
    </row>
    <row r="6823" spans="1:7" ht="14.5" hidden="1">
      <c r="A6823" s="5"/>
      <c r="B6823" s="18"/>
      <c r="C6823" s="85"/>
      <c r="D6823" s="41"/>
      <c r="E6823" s="26" t="str">
        <f ca="1">IFERROR(__xludf.DUMMYFUNCTION("""COMPUTED_VALUE"""),"")</f>
        <v/>
      </c>
      <c r="F6823" s="72"/>
      <c r="G6823" s="72"/>
    </row>
    <row r="6824" spans="1:7" ht="14.5" hidden="1">
      <c r="A6824" s="5"/>
      <c r="B6824" s="18"/>
      <c r="C6824" s="85"/>
      <c r="D6824" s="41"/>
      <c r="E6824" s="26" t="str">
        <f ca="1">IFERROR(__xludf.DUMMYFUNCTION("""COMPUTED_VALUE"""),"")</f>
        <v/>
      </c>
      <c r="F6824" s="72"/>
      <c r="G6824" s="72"/>
    </row>
    <row r="6825" spans="1:7" ht="14.5" hidden="1">
      <c r="A6825" s="5"/>
      <c r="B6825" s="18"/>
      <c r="C6825" s="85"/>
      <c r="D6825" s="41"/>
      <c r="E6825" s="26" t="str">
        <f ca="1">IFERROR(__xludf.DUMMYFUNCTION("""COMPUTED_VALUE"""),"")</f>
        <v/>
      </c>
      <c r="F6825" s="72"/>
      <c r="G6825" s="72"/>
    </row>
    <row r="6826" spans="1:7" ht="14.5" hidden="1">
      <c r="A6826" s="5"/>
      <c r="B6826" s="18"/>
      <c r="C6826" s="85"/>
      <c r="D6826" s="41"/>
      <c r="E6826" s="26" t="str">
        <f ca="1">IFERROR(__xludf.DUMMYFUNCTION("""COMPUTED_VALUE"""),"")</f>
        <v/>
      </c>
      <c r="F6826" s="72"/>
      <c r="G6826" s="72"/>
    </row>
    <row r="6827" spans="1:7" ht="14.5" hidden="1">
      <c r="A6827" s="5"/>
      <c r="B6827" s="18"/>
      <c r="C6827" s="85"/>
      <c r="D6827" s="41"/>
      <c r="E6827" s="26" t="str">
        <f ca="1">IFERROR(__xludf.DUMMYFUNCTION("""COMPUTED_VALUE"""),"")</f>
        <v/>
      </c>
      <c r="F6827" s="72"/>
      <c r="G6827" s="72"/>
    </row>
    <row r="6828" spans="1:7" ht="14.5" hidden="1">
      <c r="A6828" s="5"/>
      <c r="B6828" s="18"/>
      <c r="C6828" s="85"/>
      <c r="D6828" s="41"/>
      <c r="E6828" s="26" t="str">
        <f ca="1">IFERROR(__xludf.DUMMYFUNCTION("""COMPUTED_VALUE"""),"")</f>
        <v/>
      </c>
      <c r="F6828" s="72"/>
      <c r="G6828" s="72"/>
    </row>
    <row r="6829" spans="1:7" ht="14.5" hidden="1">
      <c r="A6829" s="5"/>
      <c r="B6829" s="18"/>
      <c r="C6829" s="85"/>
      <c r="D6829" s="41"/>
      <c r="E6829" s="26" t="str">
        <f ca="1">IFERROR(__xludf.DUMMYFUNCTION("""COMPUTED_VALUE"""),"")</f>
        <v/>
      </c>
      <c r="F6829" s="72"/>
      <c r="G6829" s="72"/>
    </row>
    <row r="6830" spans="1:7" ht="14.5" hidden="1">
      <c r="A6830" s="5"/>
      <c r="B6830" s="18"/>
      <c r="C6830" s="85"/>
      <c r="D6830" s="41"/>
      <c r="E6830" s="26" t="str">
        <f ca="1">IFERROR(__xludf.DUMMYFUNCTION("""COMPUTED_VALUE"""),"")</f>
        <v/>
      </c>
      <c r="F6830" s="72"/>
      <c r="G6830" s="72"/>
    </row>
    <row r="6831" spans="1:7" ht="14.5" hidden="1">
      <c r="A6831" s="5"/>
      <c r="B6831" s="18"/>
      <c r="C6831" s="85"/>
      <c r="D6831" s="41"/>
      <c r="E6831" s="26" t="str">
        <f ca="1">IFERROR(__xludf.DUMMYFUNCTION("""COMPUTED_VALUE"""),"")</f>
        <v/>
      </c>
      <c r="F6831" s="72"/>
      <c r="G6831" s="72"/>
    </row>
    <row r="6832" spans="1:7" ht="14.5" hidden="1">
      <c r="A6832" s="5"/>
      <c r="B6832" s="18"/>
      <c r="C6832" s="85"/>
      <c r="D6832" s="41"/>
      <c r="E6832" s="26" t="str">
        <f ca="1">IFERROR(__xludf.DUMMYFUNCTION("""COMPUTED_VALUE"""),"")</f>
        <v/>
      </c>
      <c r="F6832" s="72"/>
      <c r="G6832" s="72"/>
    </row>
    <row r="6833" spans="1:7" ht="14.5" hidden="1">
      <c r="A6833" s="5"/>
      <c r="B6833" s="18"/>
      <c r="C6833" s="85"/>
      <c r="D6833" s="41"/>
      <c r="E6833" s="26" t="str">
        <f ca="1">IFERROR(__xludf.DUMMYFUNCTION("""COMPUTED_VALUE"""),"")</f>
        <v/>
      </c>
      <c r="F6833" s="72"/>
      <c r="G6833" s="72"/>
    </row>
    <row r="6834" spans="1:7" ht="14.5" hidden="1">
      <c r="A6834" s="5"/>
      <c r="B6834" s="18"/>
      <c r="C6834" s="85"/>
      <c r="D6834" s="41"/>
      <c r="E6834" s="26" t="str">
        <f ca="1">IFERROR(__xludf.DUMMYFUNCTION("""COMPUTED_VALUE"""),"")</f>
        <v/>
      </c>
      <c r="F6834" s="72"/>
      <c r="G6834" s="72"/>
    </row>
    <row r="6835" spans="1:7" ht="14.5" hidden="1">
      <c r="A6835" s="5"/>
      <c r="B6835" s="18"/>
      <c r="C6835" s="85"/>
      <c r="D6835" s="41"/>
      <c r="E6835" s="26" t="str">
        <f ca="1">IFERROR(__xludf.DUMMYFUNCTION("""COMPUTED_VALUE"""),"")</f>
        <v/>
      </c>
      <c r="F6835" s="72"/>
      <c r="G6835" s="72"/>
    </row>
    <row r="6836" spans="1:7" ht="14.5" hidden="1">
      <c r="A6836" s="5"/>
      <c r="B6836" s="18"/>
      <c r="C6836" s="85"/>
      <c r="D6836" s="41"/>
      <c r="E6836" s="26" t="str">
        <f ca="1">IFERROR(__xludf.DUMMYFUNCTION("""COMPUTED_VALUE"""),"")</f>
        <v/>
      </c>
      <c r="F6836" s="72"/>
      <c r="G6836" s="72"/>
    </row>
    <row r="6837" spans="1:7" ht="14.5" hidden="1">
      <c r="A6837" s="5"/>
      <c r="B6837" s="18"/>
      <c r="C6837" s="85"/>
      <c r="D6837" s="41"/>
      <c r="E6837" s="26" t="str">
        <f ca="1">IFERROR(__xludf.DUMMYFUNCTION("""COMPUTED_VALUE"""),"")</f>
        <v/>
      </c>
      <c r="F6837" s="72"/>
      <c r="G6837" s="72"/>
    </row>
    <row r="6838" spans="1:7" ht="14.5" hidden="1">
      <c r="A6838" s="5"/>
      <c r="B6838" s="18"/>
      <c r="C6838" s="85"/>
      <c r="D6838" s="41"/>
      <c r="E6838" s="26" t="str">
        <f ca="1">IFERROR(__xludf.DUMMYFUNCTION("""COMPUTED_VALUE"""),"")</f>
        <v/>
      </c>
      <c r="F6838" s="72"/>
      <c r="G6838" s="72"/>
    </row>
    <row r="6839" spans="1:7" ht="14.5" hidden="1">
      <c r="A6839" s="5"/>
      <c r="B6839" s="18"/>
      <c r="C6839" s="85"/>
      <c r="D6839" s="41"/>
      <c r="E6839" s="26" t="str">
        <f ca="1">IFERROR(__xludf.DUMMYFUNCTION("""COMPUTED_VALUE"""),"")</f>
        <v/>
      </c>
      <c r="F6839" s="72"/>
      <c r="G6839" s="72"/>
    </row>
    <row r="6840" spans="1:7" ht="14.5" hidden="1">
      <c r="A6840" s="5"/>
      <c r="B6840" s="18"/>
      <c r="C6840" s="85"/>
      <c r="D6840" s="41"/>
      <c r="E6840" s="26" t="str">
        <f ca="1">IFERROR(__xludf.DUMMYFUNCTION("""COMPUTED_VALUE"""),"")</f>
        <v/>
      </c>
      <c r="F6840" s="72"/>
      <c r="G6840" s="72"/>
    </row>
    <row r="6841" spans="1:7" ht="14.5" hidden="1">
      <c r="A6841" s="5"/>
      <c r="B6841" s="18"/>
      <c r="C6841" s="85"/>
      <c r="D6841" s="41"/>
      <c r="E6841" s="26" t="str">
        <f ca="1">IFERROR(__xludf.DUMMYFUNCTION("""COMPUTED_VALUE"""),"")</f>
        <v/>
      </c>
      <c r="F6841" s="72"/>
      <c r="G6841" s="72"/>
    </row>
    <row r="6842" spans="1:7" ht="14.5" hidden="1">
      <c r="A6842" s="5"/>
      <c r="B6842" s="18"/>
      <c r="C6842" s="85"/>
      <c r="D6842" s="41"/>
      <c r="E6842" s="26" t="str">
        <f ca="1">IFERROR(__xludf.DUMMYFUNCTION("""COMPUTED_VALUE"""),"")</f>
        <v/>
      </c>
      <c r="F6842" s="72"/>
      <c r="G6842" s="72"/>
    </row>
    <row r="6843" spans="1:7" ht="14.5" hidden="1">
      <c r="A6843" s="5"/>
      <c r="B6843" s="18"/>
      <c r="C6843" s="85"/>
      <c r="D6843" s="41"/>
      <c r="E6843" s="26" t="str">
        <f ca="1">IFERROR(__xludf.DUMMYFUNCTION("""COMPUTED_VALUE"""),"")</f>
        <v/>
      </c>
      <c r="F6843" s="72"/>
      <c r="G6843" s="72"/>
    </row>
    <row r="6844" spans="1:7" ht="14.5" hidden="1">
      <c r="A6844" s="5"/>
      <c r="B6844" s="18"/>
      <c r="C6844" s="85"/>
      <c r="D6844" s="41"/>
      <c r="E6844" s="26" t="str">
        <f ca="1">IFERROR(__xludf.DUMMYFUNCTION("""COMPUTED_VALUE"""),"")</f>
        <v/>
      </c>
      <c r="F6844" s="72"/>
      <c r="G6844" s="72"/>
    </row>
    <row r="6845" spans="1:7" ht="14.5" hidden="1">
      <c r="A6845" s="5"/>
      <c r="B6845" s="18"/>
      <c r="C6845" s="85"/>
      <c r="D6845" s="41"/>
      <c r="E6845" s="26" t="str">
        <f ca="1">IFERROR(__xludf.DUMMYFUNCTION("""COMPUTED_VALUE"""),"")</f>
        <v/>
      </c>
      <c r="F6845" s="72"/>
      <c r="G6845" s="72"/>
    </row>
    <row r="6846" spans="1:7" ht="14.5" hidden="1">
      <c r="A6846" s="5"/>
      <c r="B6846" s="18"/>
      <c r="C6846" s="85"/>
      <c r="D6846" s="41"/>
      <c r="E6846" s="26" t="str">
        <f ca="1">IFERROR(__xludf.DUMMYFUNCTION("""COMPUTED_VALUE"""),"")</f>
        <v/>
      </c>
      <c r="F6846" s="72"/>
      <c r="G6846" s="72"/>
    </row>
    <row r="6847" spans="1:7" ht="14.5" hidden="1">
      <c r="A6847" s="5"/>
      <c r="B6847" s="18"/>
      <c r="C6847" s="85"/>
      <c r="D6847" s="41"/>
      <c r="E6847" s="26" t="str">
        <f ca="1">IFERROR(__xludf.DUMMYFUNCTION("""COMPUTED_VALUE"""),"")</f>
        <v/>
      </c>
      <c r="F6847" s="72"/>
      <c r="G6847" s="72"/>
    </row>
    <row r="6848" spans="1:7" ht="14.5" hidden="1">
      <c r="A6848" s="5"/>
      <c r="B6848" s="18"/>
      <c r="C6848" s="85"/>
      <c r="D6848" s="41"/>
      <c r="E6848" s="26" t="str">
        <f ca="1">IFERROR(__xludf.DUMMYFUNCTION("""COMPUTED_VALUE"""),"")</f>
        <v/>
      </c>
      <c r="F6848" s="72"/>
      <c r="G6848" s="72"/>
    </row>
    <row r="6849" spans="1:7" ht="14.5" hidden="1">
      <c r="A6849" s="5"/>
      <c r="B6849" s="18"/>
      <c r="C6849" s="85"/>
      <c r="D6849" s="41"/>
      <c r="E6849" s="26" t="str">
        <f ca="1">IFERROR(__xludf.DUMMYFUNCTION("""COMPUTED_VALUE"""),"")</f>
        <v/>
      </c>
      <c r="F6849" s="72"/>
      <c r="G6849" s="72"/>
    </row>
    <row r="6850" spans="1:7" ht="14.5" hidden="1">
      <c r="A6850" s="5"/>
      <c r="B6850" s="18"/>
      <c r="C6850" s="85"/>
      <c r="D6850" s="41"/>
      <c r="E6850" s="26" t="str">
        <f ca="1">IFERROR(__xludf.DUMMYFUNCTION("""COMPUTED_VALUE"""),"")</f>
        <v/>
      </c>
      <c r="F6850" s="72"/>
      <c r="G6850" s="72"/>
    </row>
    <row r="6851" spans="1:7" ht="14.5" hidden="1">
      <c r="A6851" s="5"/>
      <c r="B6851" s="18"/>
      <c r="C6851" s="85"/>
      <c r="D6851" s="41"/>
      <c r="E6851" s="26" t="str">
        <f ca="1">IFERROR(__xludf.DUMMYFUNCTION("""COMPUTED_VALUE"""),"")</f>
        <v/>
      </c>
      <c r="F6851" s="72"/>
      <c r="G6851" s="72"/>
    </row>
    <row r="6852" spans="1:7" ht="14.5" hidden="1">
      <c r="A6852" s="5"/>
      <c r="B6852" s="18"/>
      <c r="C6852" s="85"/>
      <c r="D6852" s="41"/>
      <c r="E6852" s="26" t="str">
        <f ca="1">IFERROR(__xludf.DUMMYFUNCTION("""COMPUTED_VALUE"""),"")</f>
        <v/>
      </c>
      <c r="F6852" s="72"/>
      <c r="G6852" s="72"/>
    </row>
    <row r="6853" spans="1:7" ht="14.5" hidden="1">
      <c r="A6853" s="5"/>
      <c r="B6853" s="18"/>
      <c r="C6853" s="85"/>
      <c r="D6853" s="41"/>
      <c r="E6853" s="26" t="str">
        <f ca="1">IFERROR(__xludf.DUMMYFUNCTION("""COMPUTED_VALUE"""),"")</f>
        <v/>
      </c>
      <c r="F6853" s="72"/>
      <c r="G6853" s="72"/>
    </row>
    <row r="6854" spans="1:7" ht="14.5" hidden="1">
      <c r="A6854" s="5"/>
      <c r="B6854" s="18"/>
      <c r="C6854" s="85"/>
      <c r="D6854" s="41"/>
      <c r="E6854" s="26" t="str">
        <f ca="1">IFERROR(__xludf.DUMMYFUNCTION("""COMPUTED_VALUE"""),"")</f>
        <v/>
      </c>
      <c r="F6854" s="72"/>
      <c r="G6854" s="72"/>
    </row>
    <row r="6855" spans="1:7" ht="14.5" hidden="1">
      <c r="A6855" s="5"/>
      <c r="B6855" s="18"/>
      <c r="C6855" s="85"/>
      <c r="D6855" s="41"/>
      <c r="E6855" s="26" t="str">
        <f ca="1">IFERROR(__xludf.DUMMYFUNCTION("""COMPUTED_VALUE"""),"")</f>
        <v/>
      </c>
      <c r="F6855" s="72"/>
      <c r="G6855" s="72"/>
    </row>
    <row r="6856" spans="1:7" ht="14.5" hidden="1">
      <c r="A6856" s="5"/>
      <c r="B6856" s="18"/>
      <c r="C6856" s="85"/>
      <c r="D6856" s="41"/>
      <c r="E6856" s="26" t="str">
        <f ca="1">IFERROR(__xludf.DUMMYFUNCTION("""COMPUTED_VALUE"""),"")</f>
        <v/>
      </c>
      <c r="F6856" s="72"/>
      <c r="G6856" s="72"/>
    </row>
    <row r="6857" spans="1:7" ht="14.5" hidden="1">
      <c r="A6857" s="5"/>
      <c r="B6857" s="18"/>
      <c r="C6857" s="85"/>
      <c r="D6857" s="41"/>
      <c r="E6857" s="26" t="str">
        <f ca="1">IFERROR(__xludf.DUMMYFUNCTION("""COMPUTED_VALUE"""),"")</f>
        <v/>
      </c>
      <c r="F6857" s="72"/>
      <c r="G6857" s="72"/>
    </row>
    <row r="6858" spans="1:7" ht="14.5" hidden="1">
      <c r="A6858" s="5"/>
      <c r="B6858" s="18"/>
      <c r="C6858" s="85"/>
      <c r="D6858" s="41"/>
      <c r="E6858" s="26" t="str">
        <f ca="1">IFERROR(__xludf.DUMMYFUNCTION("""COMPUTED_VALUE"""),"")</f>
        <v/>
      </c>
      <c r="F6858" s="72"/>
      <c r="G6858" s="72"/>
    </row>
    <row r="6859" spans="1:7" ht="14.5" hidden="1">
      <c r="A6859" s="5"/>
      <c r="B6859" s="18"/>
      <c r="C6859" s="85"/>
      <c r="D6859" s="41"/>
      <c r="E6859" s="26" t="str">
        <f ca="1">IFERROR(__xludf.DUMMYFUNCTION("""COMPUTED_VALUE"""),"")</f>
        <v/>
      </c>
      <c r="F6859" s="72"/>
      <c r="G6859" s="72"/>
    </row>
    <row r="6860" spans="1:7" ht="14.5" hidden="1">
      <c r="A6860" s="5"/>
      <c r="B6860" s="18"/>
      <c r="C6860" s="85"/>
      <c r="D6860" s="41"/>
      <c r="E6860" s="26" t="str">
        <f ca="1">IFERROR(__xludf.DUMMYFUNCTION("""COMPUTED_VALUE"""),"")</f>
        <v/>
      </c>
      <c r="F6860" s="72"/>
      <c r="G6860" s="72"/>
    </row>
    <row r="6861" spans="1:7" ht="14.5" hidden="1">
      <c r="A6861" s="5"/>
      <c r="B6861" s="18"/>
      <c r="C6861" s="85"/>
      <c r="D6861" s="41"/>
      <c r="E6861" s="26" t="str">
        <f ca="1">IFERROR(__xludf.DUMMYFUNCTION("""COMPUTED_VALUE"""),"")</f>
        <v/>
      </c>
      <c r="F6861" s="72"/>
      <c r="G6861" s="72"/>
    </row>
    <row r="6862" spans="1:7" ht="14.5" hidden="1">
      <c r="A6862" s="5"/>
      <c r="B6862" s="18"/>
      <c r="C6862" s="85"/>
      <c r="D6862" s="41"/>
      <c r="E6862" s="26" t="str">
        <f ca="1">IFERROR(__xludf.DUMMYFUNCTION("""COMPUTED_VALUE"""),"")</f>
        <v/>
      </c>
      <c r="F6862" s="72"/>
      <c r="G6862" s="72"/>
    </row>
    <row r="6863" spans="1:7" ht="14.5" hidden="1">
      <c r="A6863" s="5"/>
      <c r="B6863" s="18"/>
      <c r="C6863" s="85"/>
      <c r="D6863" s="41"/>
      <c r="E6863" s="26" t="str">
        <f ca="1">IFERROR(__xludf.DUMMYFUNCTION("""COMPUTED_VALUE"""),"")</f>
        <v/>
      </c>
      <c r="F6863" s="72"/>
      <c r="G6863" s="72"/>
    </row>
    <row r="6864" spans="1:7" ht="14.5" hidden="1">
      <c r="A6864" s="5"/>
      <c r="B6864" s="18"/>
      <c r="C6864" s="85"/>
      <c r="D6864" s="41"/>
      <c r="E6864" s="26" t="str">
        <f ca="1">IFERROR(__xludf.DUMMYFUNCTION("""COMPUTED_VALUE"""),"")</f>
        <v/>
      </c>
      <c r="F6864" s="72"/>
      <c r="G6864" s="72"/>
    </row>
    <row r="6865" spans="1:7" ht="14.5" hidden="1">
      <c r="A6865" s="5"/>
      <c r="B6865" s="18"/>
      <c r="C6865" s="85"/>
      <c r="D6865" s="41"/>
      <c r="E6865" s="26" t="str">
        <f ca="1">IFERROR(__xludf.DUMMYFUNCTION("""COMPUTED_VALUE"""),"")</f>
        <v/>
      </c>
      <c r="F6865" s="72"/>
      <c r="G6865" s="72"/>
    </row>
    <row r="6866" spans="1:7" ht="14.5" hidden="1">
      <c r="A6866" s="5"/>
      <c r="B6866" s="18"/>
      <c r="C6866" s="85"/>
      <c r="D6866" s="41"/>
      <c r="E6866" s="26" t="str">
        <f ca="1">IFERROR(__xludf.DUMMYFUNCTION("""COMPUTED_VALUE"""),"")</f>
        <v/>
      </c>
      <c r="F6866" s="72"/>
      <c r="G6866" s="72"/>
    </row>
    <row r="6867" spans="1:7" ht="14.5" hidden="1">
      <c r="A6867" s="5"/>
      <c r="B6867" s="18"/>
      <c r="C6867" s="85"/>
      <c r="D6867" s="41"/>
      <c r="E6867" s="26" t="str">
        <f ca="1">IFERROR(__xludf.DUMMYFUNCTION("""COMPUTED_VALUE"""),"")</f>
        <v/>
      </c>
      <c r="F6867" s="72"/>
      <c r="G6867" s="72"/>
    </row>
    <row r="6868" spans="1:7" ht="14.5" hidden="1">
      <c r="A6868" s="5"/>
      <c r="B6868" s="18"/>
      <c r="C6868" s="85"/>
      <c r="D6868" s="41"/>
      <c r="E6868" s="26" t="str">
        <f ca="1">IFERROR(__xludf.DUMMYFUNCTION("""COMPUTED_VALUE"""),"")</f>
        <v/>
      </c>
      <c r="F6868" s="72"/>
      <c r="G6868" s="72"/>
    </row>
    <row r="6869" spans="1:7" ht="14.5" hidden="1">
      <c r="A6869" s="5"/>
      <c r="B6869" s="18"/>
      <c r="C6869" s="85"/>
      <c r="D6869" s="41"/>
      <c r="E6869" s="26" t="str">
        <f ca="1">IFERROR(__xludf.DUMMYFUNCTION("""COMPUTED_VALUE"""),"")</f>
        <v/>
      </c>
      <c r="F6869" s="72"/>
      <c r="G6869" s="72"/>
    </row>
    <row r="6870" spans="1:7" ht="14.5" hidden="1">
      <c r="A6870" s="5"/>
      <c r="B6870" s="18"/>
      <c r="C6870" s="85"/>
      <c r="D6870" s="41"/>
      <c r="E6870" s="26" t="str">
        <f ca="1">IFERROR(__xludf.DUMMYFUNCTION("""COMPUTED_VALUE"""),"")</f>
        <v/>
      </c>
      <c r="F6870" s="72"/>
      <c r="G6870" s="72"/>
    </row>
    <row r="6871" spans="1:7" ht="14.5" hidden="1">
      <c r="A6871" s="5"/>
      <c r="B6871" s="18"/>
      <c r="C6871" s="85"/>
      <c r="D6871" s="41"/>
      <c r="E6871" s="26" t="str">
        <f ca="1">IFERROR(__xludf.DUMMYFUNCTION("""COMPUTED_VALUE"""),"")</f>
        <v/>
      </c>
      <c r="F6871" s="72"/>
      <c r="G6871" s="72"/>
    </row>
    <row r="6872" spans="1:7" ht="14.5" hidden="1">
      <c r="A6872" s="5"/>
      <c r="B6872" s="18"/>
      <c r="C6872" s="85"/>
      <c r="D6872" s="41"/>
      <c r="E6872" s="26" t="str">
        <f ca="1">IFERROR(__xludf.DUMMYFUNCTION("""COMPUTED_VALUE"""),"")</f>
        <v/>
      </c>
      <c r="F6872" s="72"/>
      <c r="G6872" s="72"/>
    </row>
    <row r="6873" spans="1:7" ht="14.5" hidden="1">
      <c r="A6873" s="5"/>
      <c r="B6873" s="18"/>
      <c r="C6873" s="85"/>
      <c r="D6873" s="41"/>
      <c r="E6873" s="26" t="str">
        <f ca="1">IFERROR(__xludf.DUMMYFUNCTION("""COMPUTED_VALUE"""),"")</f>
        <v/>
      </c>
      <c r="F6873" s="72"/>
      <c r="G6873" s="72"/>
    </row>
    <row r="6874" spans="1:7" ht="14.5" hidden="1">
      <c r="A6874" s="5"/>
      <c r="B6874" s="18"/>
      <c r="C6874" s="85"/>
      <c r="D6874" s="41"/>
      <c r="E6874" s="26" t="str">
        <f ca="1">IFERROR(__xludf.DUMMYFUNCTION("""COMPUTED_VALUE"""),"")</f>
        <v/>
      </c>
      <c r="F6874" s="72"/>
      <c r="G6874" s="72"/>
    </row>
    <row r="6875" spans="1:7" ht="14.5" hidden="1">
      <c r="A6875" s="5"/>
      <c r="B6875" s="18"/>
      <c r="C6875" s="85"/>
      <c r="D6875" s="41"/>
      <c r="E6875" s="26" t="str">
        <f ca="1">IFERROR(__xludf.DUMMYFUNCTION("""COMPUTED_VALUE"""),"")</f>
        <v/>
      </c>
      <c r="F6875" s="72"/>
      <c r="G6875" s="72"/>
    </row>
    <row r="6876" spans="1:7" ht="14.5" hidden="1">
      <c r="A6876" s="5"/>
      <c r="B6876" s="18"/>
      <c r="C6876" s="85"/>
      <c r="D6876" s="41"/>
      <c r="E6876" s="26" t="str">
        <f ca="1">IFERROR(__xludf.DUMMYFUNCTION("""COMPUTED_VALUE"""),"")</f>
        <v/>
      </c>
      <c r="F6876" s="72"/>
      <c r="G6876" s="72"/>
    </row>
    <row r="6877" spans="1:7" ht="14.5" hidden="1">
      <c r="A6877" s="5"/>
      <c r="B6877" s="18"/>
      <c r="C6877" s="85"/>
      <c r="D6877" s="41"/>
      <c r="E6877" s="26" t="str">
        <f ca="1">IFERROR(__xludf.DUMMYFUNCTION("""COMPUTED_VALUE"""),"")</f>
        <v/>
      </c>
      <c r="F6877" s="72"/>
      <c r="G6877" s="72"/>
    </row>
    <row r="6878" spans="1:7" ht="14.5" hidden="1">
      <c r="A6878" s="5"/>
      <c r="B6878" s="18"/>
      <c r="C6878" s="85"/>
      <c r="D6878" s="41"/>
      <c r="E6878" s="26" t="str">
        <f ca="1">IFERROR(__xludf.DUMMYFUNCTION("""COMPUTED_VALUE"""),"")</f>
        <v/>
      </c>
      <c r="F6878" s="72"/>
      <c r="G6878" s="72"/>
    </row>
    <row r="6879" spans="1:7" ht="14.5" hidden="1">
      <c r="A6879" s="5"/>
      <c r="B6879" s="18"/>
      <c r="C6879" s="85"/>
      <c r="D6879" s="41"/>
      <c r="E6879" s="26" t="str">
        <f ca="1">IFERROR(__xludf.DUMMYFUNCTION("""COMPUTED_VALUE"""),"")</f>
        <v/>
      </c>
      <c r="F6879" s="72"/>
      <c r="G6879" s="72"/>
    </row>
    <row r="6880" spans="1:7" ht="14.5" hidden="1">
      <c r="A6880" s="5"/>
      <c r="B6880" s="18"/>
      <c r="C6880" s="85"/>
      <c r="D6880" s="41"/>
      <c r="E6880" s="26" t="str">
        <f ca="1">IFERROR(__xludf.DUMMYFUNCTION("""COMPUTED_VALUE"""),"")</f>
        <v/>
      </c>
      <c r="F6880" s="72"/>
      <c r="G6880" s="72"/>
    </row>
    <row r="6881" spans="1:7" ht="14.5" hidden="1">
      <c r="A6881" s="5"/>
      <c r="B6881" s="18"/>
      <c r="C6881" s="85"/>
      <c r="D6881" s="41"/>
      <c r="E6881" s="26" t="str">
        <f ca="1">IFERROR(__xludf.DUMMYFUNCTION("""COMPUTED_VALUE"""),"")</f>
        <v/>
      </c>
      <c r="F6881" s="72"/>
      <c r="G6881" s="72"/>
    </row>
    <row r="6882" spans="1:7" ht="14.5" hidden="1">
      <c r="A6882" s="5"/>
      <c r="B6882" s="18"/>
      <c r="C6882" s="85"/>
      <c r="D6882" s="41"/>
      <c r="E6882" s="26" t="str">
        <f ca="1">IFERROR(__xludf.DUMMYFUNCTION("""COMPUTED_VALUE"""),"")</f>
        <v/>
      </c>
      <c r="F6882" s="72"/>
      <c r="G6882" s="72"/>
    </row>
    <row r="6883" spans="1:7" ht="14.5" hidden="1">
      <c r="A6883" s="5"/>
      <c r="B6883" s="18"/>
      <c r="C6883" s="85"/>
      <c r="D6883" s="41"/>
      <c r="E6883" s="26" t="str">
        <f ca="1">IFERROR(__xludf.DUMMYFUNCTION("""COMPUTED_VALUE"""),"")</f>
        <v/>
      </c>
      <c r="F6883" s="72"/>
      <c r="G6883" s="72"/>
    </row>
    <row r="6884" spans="1:7" ht="14.5" hidden="1">
      <c r="A6884" s="5"/>
      <c r="B6884" s="18"/>
      <c r="C6884" s="85"/>
      <c r="D6884" s="41"/>
      <c r="E6884" s="26" t="str">
        <f ca="1">IFERROR(__xludf.DUMMYFUNCTION("""COMPUTED_VALUE"""),"")</f>
        <v/>
      </c>
      <c r="F6884" s="72"/>
      <c r="G6884" s="72"/>
    </row>
    <row r="6885" spans="1:7" ht="14.5" hidden="1">
      <c r="A6885" s="5"/>
      <c r="B6885" s="18"/>
      <c r="C6885" s="85"/>
      <c r="D6885" s="41"/>
      <c r="E6885" s="26" t="str">
        <f ca="1">IFERROR(__xludf.DUMMYFUNCTION("""COMPUTED_VALUE"""),"")</f>
        <v/>
      </c>
      <c r="F6885" s="72"/>
      <c r="G6885" s="72"/>
    </row>
    <row r="6886" spans="1:7" ht="14.5" hidden="1">
      <c r="A6886" s="5"/>
      <c r="B6886" s="18"/>
      <c r="C6886" s="85"/>
      <c r="D6886" s="41"/>
      <c r="E6886" s="26" t="str">
        <f ca="1">IFERROR(__xludf.DUMMYFUNCTION("""COMPUTED_VALUE"""),"")</f>
        <v/>
      </c>
      <c r="F6886" s="72"/>
      <c r="G6886" s="72"/>
    </row>
    <row r="6887" spans="1:7" ht="14.5" hidden="1">
      <c r="A6887" s="5"/>
      <c r="B6887" s="18"/>
      <c r="C6887" s="85"/>
      <c r="D6887" s="41"/>
      <c r="E6887" s="26" t="str">
        <f ca="1">IFERROR(__xludf.DUMMYFUNCTION("""COMPUTED_VALUE"""),"")</f>
        <v/>
      </c>
      <c r="F6887" s="72"/>
      <c r="G6887" s="72"/>
    </row>
    <row r="6888" spans="1:7" ht="14.5" hidden="1">
      <c r="A6888" s="5"/>
      <c r="B6888" s="18"/>
      <c r="C6888" s="85"/>
      <c r="D6888" s="41"/>
      <c r="E6888" s="26" t="str">
        <f ca="1">IFERROR(__xludf.DUMMYFUNCTION("""COMPUTED_VALUE"""),"")</f>
        <v/>
      </c>
      <c r="F6888" s="72"/>
      <c r="G6888" s="72"/>
    </row>
    <row r="6889" spans="1:7" ht="14.5" hidden="1">
      <c r="A6889" s="5"/>
      <c r="B6889" s="18"/>
      <c r="C6889" s="85"/>
      <c r="D6889" s="41"/>
      <c r="E6889" s="26" t="str">
        <f ca="1">IFERROR(__xludf.DUMMYFUNCTION("""COMPUTED_VALUE"""),"")</f>
        <v/>
      </c>
      <c r="F6889" s="72"/>
      <c r="G6889" s="72"/>
    </row>
    <row r="6890" spans="1:7" ht="14.5" hidden="1">
      <c r="A6890" s="5"/>
      <c r="B6890" s="18"/>
      <c r="C6890" s="85"/>
      <c r="D6890" s="41"/>
      <c r="E6890" s="26" t="str">
        <f ca="1">IFERROR(__xludf.DUMMYFUNCTION("""COMPUTED_VALUE"""),"")</f>
        <v/>
      </c>
      <c r="F6890" s="72"/>
      <c r="G6890" s="72"/>
    </row>
    <row r="6891" spans="1:7" ht="14.5" hidden="1">
      <c r="A6891" s="5"/>
      <c r="B6891" s="18"/>
      <c r="C6891" s="85"/>
      <c r="D6891" s="41"/>
      <c r="E6891" s="26" t="str">
        <f ca="1">IFERROR(__xludf.DUMMYFUNCTION("""COMPUTED_VALUE"""),"")</f>
        <v/>
      </c>
      <c r="F6891" s="72"/>
      <c r="G6891" s="72"/>
    </row>
    <row r="6892" spans="1:7" ht="14.5" hidden="1">
      <c r="A6892" s="5"/>
      <c r="B6892" s="18"/>
      <c r="C6892" s="85"/>
      <c r="D6892" s="41"/>
      <c r="E6892" s="26" t="str">
        <f ca="1">IFERROR(__xludf.DUMMYFUNCTION("""COMPUTED_VALUE"""),"")</f>
        <v/>
      </c>
      <c r="F6892" s="72"/>
      <c r="G6892" s="72"/>
    </row>
    <row r="6893" spans="1:7" ht="14.5" hidden="1">
      <c r="A6893" s="5"/>
      <c r="B6893" s="18"/>
      <c r="C6893" s="85"/>
      <c r="D6893" s="41"/>
      <c r="E6893" s="26" t="str">
        <f ca="1">IFERROR(__xludf.DUMMYFUNCTION("""COMPUTED_VALUE"""),"")</f>
        <v/>
      </c>
      <c r="F6893" s="72"/>
      <c r="G6893" s="72"/>
    </row>
    <row r="6894" spans="1:7" ht="14.5" hidden="1">
      <c r="A6894" s="5"/>
      <c r="B6894" s="18"/>
      <c r="C6894" s="85"/>
      <c r="D6894" s="41"/>
      <c r="E6894" s="26" t="str">
        <f ca="1">IFERROR(__xludf.DUMMYFUNCTION("""COMPUTED_VALUE"""),"")</f>
        <v/>
      </c>
      <c r="F6894" s="72"/>
      <c r="G6894" s="72"/>
    </row>
    <row r="6895" spans="1:7" ht="14.5" hidden="1">
      <c r="A6895" s="5"/>
      <c r="B6895" s="18"/>
      <c r="C6895" s="85"/>
      <c r="D6895" s="41"/>
      <c r="E6895" s="26" t="str">
        <f ca="1">IFERROR(__xludf.DUMMYFUNCTION("""COMPUTED_VALUE"""),"")</f>
        <v/>
      </c>
      <c r="F6895" s="72"/>
      <c r="G6895" s="72"/>
    </row>
    <row r="6896" spans="1:7" ht="14.5" hidden="1">
      <c r="A6896" s="5"/>
      <c r="B6896" s="18"/>
      <c r="C6896" s="85"/>
      <c r="D6896" s="41"/>
      <c r="E6896" s="26" t="str">
        <f ca="1">IFERROR(__xludf.DUMMYFUNCTION("""COMPUTED_VALUE"""),"")</f>
        <v/>
      </c>
      <c r="F6896" s="72"/>
      <c r="G6896" s="72"/>
    </row>
    <row r="6897" spans="1:7" ht="14.5" hidden="1">
      <c r="A6897" s="5"/>
      <c r="B6897" s="18"/>
      <c r="C6897" s="85"/>
      <c r="D6897" s="41"/>
      <c r="E6897" s="26" t="str">
        <f ca="1">IFERROR(__xludf.DUMMYFUNCTION("""COMPUTED_VALUE"""),"")</f>
        <v/>
      </c>
      <c r="F6897" s="72"/>
      <c r="G6897" s="72"/>
    </row>
    <row r="6898" spans="1:7" ht="14.5" hidden="1">
      <c r="A6898" s="5"/>
      <c r="B6898" s="18"/>
      <c r="C6898" s="85"/>
      <c r="D6898" s="41"/>
      <c r="E6898" s="26" t="str">
        <f ca="1">IFERROR(__xludf.DUMMYFUNCTION("""COMPUTED_VALUE"""),"")</f>
        <v/>
      </c>
      <c r="F6898" s="72"/>
      <c r="G6898" s="72"/>
    </row>
    <row r="6899" spans="1:7" ht="14.5" hidden="1">
      <c r="A6899" s="5"/>
      <c r="B6899" s="18"/>
      <c r="C6899" s="85"/>
      <c r="D6899" s="41"/>
      <c r="E6899" s="26" t="str">
        <f ca="1">IFERROR(__xludf.DUMMYFUNCTION("""COMPUTED_VALUE"""),"")</f>
        <v/>
      </c>
      <c r="F6899" s="72"/>
      <c r="G6899" s="72"/>
    </row>
    <row r="6900" spans="1:7" ht="14.5" hidden="1">
      <c r="A6900" s="5"/>
      <c r="B6900" s="18"/>
      <c r="C6900" s="85"/>
      <c r="D6900" s="41"/>
      <c r="E6900" s="26" t="str">
        <f ca="1">IFERROR(__xludf.DUMMYFUNCTION("""COMPUTED_VALUE"""),"")</f>
        <v/>
      </c>
      <c r="F6900" s="72"/>
      <c r="G6900" s="72"/>
    </row>
    <row r="6901" spans="1:7" ht="14.5" hidden="1">
      <c r="A6901" s="5"/>
      <c r="B6901" s="18"/>
      <c r="C6901" s="85"/>
      <c r="D6901" s="41"/>
      <c r="E6901" s="26" t="str">
        <f ca="1">IFERROR(__xludf.DUMMYFUNCTION("""COMPUTED_VALUE"""),"")</f>
        <v/>
      </c>
      <c r="F6901" s="72"/>
      <c r="G6901" s="72"/>
    </row>
    <row r="6902" spans="1:7" ht="14.5" hidden="1">
      <c r="A6902" s="5"/>
      <c r="B6902" s="18"/>
      <c r="C6902" s="85"/>
      <c r="D6902" s="41"/>
      <c r="E6902" s="26" t="str">
        <f ca="1">IFERROR(__xludf.DUMMYFUNCTION("""COMPUTED_VALUE"""),"")</f>
        <v/>
      </c>
      <c r="F6902" s="72"/>
      <c r="G6902" s="72"/>
    </row>
    <row r="6903" spans="1:7" ht="14.5" hidden="1">
      <c r="A6903" s="5"/>
      <c r="B6903" s="18"/>
      <c r="C6903" s="85"/>
      <c r="D6903" s="41"/>
      <c r="E6903" s="26" t="str">
        <f ca="1">IFERROR(__xludf.DUMMYFUNCTION("""COMPUTED_VALUE"""),"")</f>
        <v/>
      </c>
      <c r="F6903" s="72"/>
      <c r="G6903" s="72"/>
    </row>
    <row r="6904" spans="1:7" ht="14.5" hidden="1">
      <c r="A6904" s="5"/>
      <c r="B6904" s="18"/>
      <c r="C6904" s="85"/>
      <c r="D6904" s="41"/>
      <c r="E6904" s="26" t="str">
        <f ca="1">IFERROR(__xludf.DUMMYFUNCTION("""COMPUTED_VALUE"""),"")</f>
        <v/>
      </c>
      <c r="F6904" s="72"/>
      <c r="G6904" s="72"/>
    </row>
    <row r="6905" spans="1:7" ht="14.5" hidden="1">
      <c r="A6905" s="5"/>
      <c r="B6905" s="18"/>
      <c r="C6905" s="85"/>
      <c r="D6905" s="41"/>
      <c r="E6905" s="26" t="str">
        <f ca="1">IFERROR(__xludf.DUMMYFUNCTION("""COMPUTED_VALUE"""),"")</f>
        <v/>
      </c>
      <c r="F6905" s="72"/>
      <c r="G6905" s="72"/>
    </row>
    <row r="6906" spans="1:7" ht="14.5" hidden="1">
      <c r="A6906" s="5"/>
      <c r="B6906" s="18"/>
      <c r="C6906" s="85"/>
      <c r="D6906" s="41"/>
      <c r="E6906" s="26" t="str">
        <f ca="1">IFERROR(__xludf.DUMMYFUNCTION("""COMPUTED_VALUE"""),"")</f>
        <v/>
      </c>
      <c r="F6906" s="72"/>
      <c r="G6906" s="72"/>
    </row>
    <row r="6907" spans="1:7" ht="14.5" hidden="1">
      <c r="A6907" s="5"/>
      <c r="B6907" s="18"/>
      <c r="C6907" s="85"/>
      <c r="D6907" s="41"/>
      <c r="E6907" s="26" t="str">
        <f ca="1">IFERROR(__xludf.DUMMYFUNCTION("""COMPUTED_VALUE"""),"")</f>
        <v/>
      </c>
      <c r="F6907" s="72"/>
      <c r="G6907" s="72"/>
    </row>
    <row r="6908" spans="1:7" ht="14.5" hidden="1">
      <c r="A6908" s="5"/>
      <c r="B6908" s="18"/>
      <c r="C6908" s="85"/>
      <c r="D6908" s="41"/>
      <c r="E6908" s="26" t="str">
        <f ca="1">IFERROR(__xludf.DUMMYFUNCTION("""COMPUTED_VALUE"""),"")</f>
        <v/>
      </c>
      <c r="F6908" s="72"/>
      <c r="G6908" s="72"/>
    </row>
    <row r="6909" spans="1:7" ht="14.5" hidden="1">
      <c r="A6909" s="5"/>
      <c r="B6909" s="18"/>
      <c r="C6909" s="85"/>
      <c r="D6909" s="41"/>
      <c r="E6909" s="26" t="str">
        <f ca="1">IFERROR(__xludf.DUMMYFUNCTION("""COMPUTED_VALUE"""),"")</f>
        <v/>
      </c>
      <c r="F6909" s="72"/>
      <c r="G6909" s="72"/>
    </row>
    <row r="6910" spans="1:7" ht="14.5" hidden="1">
      <c r="A6910" s="5"/>
      <c r="B6910" s="18"/>
      <c r="C6910" s="85"/>
      <c r="D6910" s="41"/>
      <c r="E6910" s="26" t="str">
        <f ca="1">IFERROR(__xludf.DUMMYFUNCTION("""COMPUTED_VALUE"""),"")</f>
        <v/>
      </c>
      <c r="F6910" s="72"/>
      <c r="G6910" s="72"/>
    </row>
    <row r="6911" spans="1:7" ht="14.5" hidden="1">
      <c r="A6911" s="5"/>
      <c r="B6911" s="18"/>
      <c r="C6911" s="85"/>
      <c r="D6911" s="41"/>
      <c r="E6911" s="26" t="str">
        <f ca="1">IFERROR(__xludf.DUMMYFUNCTION("""COMPUTED_VALUE"""),"")</f>
        <v/>
      </c>
      <c r="F6911" s="72"/>
      <c r="G6911" s="72"/>
    </row>
    <row r="6912" spans="1:7" ht="14.5" hidden="1">
      <c r="A6912" s="5"/>
      <c r="B6912" s="18"/>
      <c r="C6912" s="85"/>
      <c r="D6912" s="41"/>
      <c r="E6912" s="26" t="str">
        <f ca="1">IFERROR(__xludf.DUMMYFUNCTION("""COMPUTED_VALUE"""),"")</f>
        <v/>
      </c>
      <c r="F6912" s="72"/>
      <c r="G6912" s="72"/>
    </row>
    <row r="6913" spans="1:7" ht="14.5" hidden="1">
      <c r="A6913" s="5"/>
      <c r="B6913" s="18"/>
      <c r="C6913" s="85"/>
      <c r="D6913" s="41"/>
      <c r="E6913" s="26" t="str">
        <f ca="1">IFERROR(__xludf.DUMMYFUNCTION("""COMPUTED_VALUE"""),"")</f>
        <v/>
      </c>
      <c r="F6913" s="72"/>
      <c r="G6913" s="72"/>
    </row>
    <row r="6914" spans="1:7" ht="14.5" hidden="1">
      <c r="A6914" s="5"/>
      <c r="B6914" s="18"/>
      <c r="C6914" s="85"/>
      <c r="D6914" s="41"/>
      <c r="E6914" s="26" t="str">
        <f ca="1">IFERROR(__xludf.DUMMYFUNCTION("""COMPUTED_VALUE"""),"")</f>
        <v/>
      </c>
      <c r="F6914" s="72"/>
      <c r="G6914" s="72"/>
    </row>
    <row r="6915" spans="1:7" ht="14.5" hidden="1">
      <c r="A6915" s="5"/>
      <c r="B6915" s="18"/>
      <c r="C6915" s="85"/>
      <c r="D6915" s="41"/>
      <c r="E6915" s="26" t="str">
        <f ca="1">IFERROR(__xludf.DUMMYFUNCTION("""COMPUTED_VALUE"""),"")</f>
        <v/>
      </c>
      <c r="F6915" s="72"/>
      <c r="G6915" s="72"/>
    </row>
    <row r="6916" spans="1:7" ht="14.5" hidden="1">
      <c r="A6916" s="5"/>
      <c r="B6916" s="18"/>
      <c r="C6916" s="85"/>
      <c r="D6916" s="41"/>
      <c r="E6916" s="26" t="str">
        <f ca="1">IFERROR(__xludf.DUMMYFUNCTION("""COMPUTED_VALUE"""),"")</f>
        <v/>
      </c>
      <c r="F6916" s="72"/>
      <c r="G6916" s="72"/>
    </row>
    <row r="6917" spans="1:7" ht="14.5" hidden="1">
      <c r="A6917" s="5"/>
      <c r="B6917" s="18"/>
      <c r="C6917" s="85"/>
      <c r="D6917" s="41"/>
      <c r="E6917" s="26" t="str">
        <f ca="1">IFERROR(__xludf.DUMMYFUNCTION("""COMPUTED_VALUE"""),"")</f>
        <v/>
      </c>
      <c r="F6917" s="72"/>
      <c r="G6917" s="72"/>
    </row>
    <row r="6918" spans="1:7" ht="14.5" hidden="1">
      <c r="A6918" s="5"/>
      <c r="B6918" s="18"/>
      <c r="C6918" s="85"/>
      <c r="D6918" s="41"/>
      <c r="E6918" s="26" t="str">
        <f ca="1">IFERROR(__xludf.DUMMYFUNCTION("""COMPUTED_VALUE"""),"")</f>
        <v/>
      </c>
      <c r="F6918" s="72"/>
      <c r="G6918" s="72"/>
    </row>
    <row r="6919" spans="1:7" ht="14.5" hidden="1">
      <c r="A6919" s="5"/>
      <c r="B6919" s="18"/>
      <c r="C6919" s="85"/>
      <c r="D6919" s="41"/>
      <c r="E6919" s="26" t="str">
        <f ca="1">IFERROR(__xludf.DUMMYFUNCTION("""COMPUTED_VALUE"""),"")</f>
        <v/>
      </c>
      <c r="F6919" s="72"/>
      <c r="G6919" s="72"/>
    </row>
    <row r="6920" spans="1:7" ht="14.5" hidden="1">
      <c r="A6920" s="5"/>
      <c r="B6920" s="18"/>
      <c r="C6920" s="85"/>
      <c r="D6920" s="41"/>
      <c r="E6920" s="26" t="str">
        <f ca="1">IFERROR(__xludf.DUMMYFUNCTION("""COMPUTED_VALUE"""),"")</f>
        <v/>
      </c>
      <c r="F6920" s="72"/>
      <c r="G6920" s="72"/>
    </row>
    <row r="6921" spans="1:7" ht="14.5" hidden="1">
      <c r="A6921" s="5"/>
      <c r="B6921" s="18"/>
      <c r="C6921" s="85"/>
      <c r="D6921" s="41"/>
      <c r="E6921" s="26" t="str">
        <f ca="1">IFERROR(__xludf.DUMMYFUNCTION("""COMPUTED_VALUE"""),"")</f>
        <v/>
      </c>
      <c r="F6921" s="72"/>
      <c r="G6921" s="72"/>
    </row>
    <row r="6922" spans="1:7" ht="14.5" hidden="1">
      <c r="A6922" s="5"/>
      <c r="B6922" s="18"/>
      <c r="C6922" s="85"/>
      <c r="D6922" s="41"/>
      <c r="E6922" s="26" t="str">
        <f ca="1">IFERROR(__xludf.DUMMYFUNCTION("""COMPUTED_VALUE"""),"")</f>
        <v/>
      </c>
      <c r="F6922" s="72"/>
      <c r="G6922" s="72"/>
    </row>
    <row r="6923" spans="1:7" ht="14.5" hidden="1">
      <c r="A6923" s="5"/>
      <c r="B6923" s="18"/>
      <c r="C6923" s="85"/>
      <c r="D6923" s="41"/>
      <c r="E6923" s="26" t="str">
        <f ca="1">IFERROR(__xludf.DUMMYFUNCTION("""COMPUTED_VALUE"""),"")</f>
        <v/>
      </c>
      <c r="F6923" s="72"/>
      <c r="G6923" s="72"/>
    </row>
    <row r="6924" spans="1:7" ht="14.5" hidden="1">
      <c r="A6924" s="5"/>
      <c r="B6924" s="18"/>
      <c r="C6924" s="85"/>
      <c r="D6924" s="41"/>
      <c r="E6924" s="26" t="str">
        <f ca="1">IFERROR(__xludf.DUMMYFUNCTION("""COMPUTED_VALUE"""),"")</f>
        <v/>
      </c>
      <c r="F6924" s="72"/>
      <c r="G6924" s="72"/>
    </row>
    <row r="6925" spans="1:7" ht="14.5" hidden="1">
      <c r="A6925" s="5"/>
      <c r="B6925" s="18"/>
      <c r="C6925" s="85"/>
      <c r="D6925" s="41"/>
      <c r="E6925" s="26" t="str">
        <f ca="1">IFERROR(__xludf.DUMMYFUNCTION("""COMPUTED_VALUE"""),"")</f>
        <v/>
      </c>
      <c r="F6925" s="72"/>
      <c r="G6925" s="72"/>
    </row>
    <row r="6926" spans="1:7" ht="14.5" hidden="1">
      <c r="A6926" s="5"/>
      <c r="B6926" s="18"/>
      <c r="C6926" s="85"/>
      <c r="D6926" s="41"/>
      <c r="E6926" s="26" t="str">
        <f ca="1">IFERROR(__xludf.DUMMYFUNCTION("""COMPUTED_VALUE"""),"")</f>
        <v/>
      </c>
      <c r="F6926" s="72"/>
      <c r="G6926" s="72"/>
    </row>
    <row r="6927" spans="1:7" ht="14.5" hidden="1">
      <c r="A6927" s="5"/>
      <c r="B6927" s="18"/>
      <c r="C6927" s="85"/>
      <c r="D6927" s="41"/>
      <c r="E6927" s="26" t="str">
        <f ca="1">IFERROR(__xludf.DUMMYFUNCTION("""COMPUTED_VALUE"""),"")</f>
        <v/>
      </c>
      <c r="F6927" s="72"/>
      <c r="G6927" s="72"/>
    </row>
    <row r="6928" spans="1:7" ht="14.5" hidden="1">
      <c r="A6928" s="5"/>
      <c r="B6928" s="18"/>
      <c r="C6928" s="85"/>
      <c r="D6928" s="41"/>
      <c r="E6928" s="26" t="str">
        <f ca="1">IFERROR(__xludf.DUMMYFUNCTION("""COMPUTED_VALUE"""),"")</f>
        <v/>
      </c>
      <c r="F6928" s="72"/>
      <c r="G6928" s="72"/>
    </row>
    <row r="6929" spans="1:7" ht="14.5" hidden="1">
      <c r="A6929" s="5"/>
      <c r="B6929" s="18"/>
      <c r="C6929" s="85"/>
      <c r="D6929" s="41"/>
      <c r="E6929" s="26" t="str">
        <f ca="1">IFERROR(__xludf.DUMMYFUNCTION("""COMPUTED_VALUE"""),"")</f>
        <v/>
      </c>
      <c r="F6929" s="72"/>
      <c r="G6929" s="72"/>
    </row>
    <row r="6930" spans="1:7" ht="14.5" hidden="1">
      <c r="A6930" s="5"/>
      <c r="B6930" s="18"/>
      <c r="C6930" s="85"/>
      <c r="D6930" s="41"/>
      <c r="E6930" s="26" t="str">
        <f ca="1">IFERROR(__xludf.DUMMYFUNCTION("""COMPUTED_VALUE"""),"")</f>
        <v/>
      </c>
      <c r="F6930" s="72"/>
      <c r="G6930" s="72"/>
    </row>
    <row r="6931" spans="1:7" ht="14.5" hidden="1">
      <c r="A6931" s="5"/>
      <c r="B6931" s="18"/>
      <c r="C6931" s="85"/>
      <c r="D6931" s="41"/>
      <c r="E6931" s="26" t="str">
        <f ca="1">IFERROR(__xludf.DUMMYFUNCTION("""COMPUTED_VALUE"""),"")</f>
        <v/>
      </c>
      <c r="F6931" s="72"/>
      <c r="G6931" s="72"/>
    </row>
    <row r="6932" spans="1:7" ht="14.5" hidden="1">
      <c r="A6932" s="5"/>
      <c r="B6932" s="18"/>
      <c r="C6932" s="85"/>
      <c r="D6932" s="41"/>
      <c r="E6932" s="26" t="str">
        <f ca="1">IFERROR(__xludf.DUMMYFUNCTION("""COMPUTED_VALUE"""),"")</f>
        <v/>
      </c>
      <c r="F6932" s="72"/>
      <c r="G6932" s="72"/>
    </row>
    <row r="6933" spans="1:7" ht="14.5" hidden="1">
      <c r="A6933" s="5"/>
      <c r="B6933" s="18"/>
      <c r="C6933" s="85"/>
      <c r="D6933" s="41"/>
      <c r="E6933" s="26" t="str">
        <f ca="1">IFERROR(__xludf.DUMMYFUNCTION("""COMPUTED_VALUE"""),"")</f>
        <v/>
      </c>
      <c r="F6933" s="72"/>
      <c r="G6933" s="72"/>
    </row>
    <row r="6934" spans="1:7" ht="14.5" hidden="1">
      <c r="A6934" s="5"/>
      <c r="B6934" s="18"/>
      <c r="C6934" s="85"/>
      <c r="D6934" s="41"/>
      <c r="E6934" s="26" t="str">
        <f ca="1">IFERROR(__xludf.DUMMYFUNCTION("""COMPUTED_VALUE"""),"")</f>
        <v/>
      </c>
      <c r="F6934" s="72"/>
      <c r="G6934" s="72"/>
    </row>
    <row r="6935" spans="1:7" ht="14.5" hidden="1">
      <c r="A6935" s="5"/>
      <c r="B6935" s="18"/>
      <c r="C6935" s="85"/>
      <c r="D6935" s="41"/>
      <c r="E6935" s="26" t="str">
        <f ca="1">IFERROR(__xludf.DUMMYFUNCTION("""COMPUTED_VALUE"""),"")</f>
        <v/>
      </c>
      <c r="F6935" s="72"/>
      <c r="G6935" s="72"/>
    </row>
    <row r="6936" spans="1:7" ht="14.5" hidden="1">
      <c r="A6936" s="5"/>
      <c r="B6936" s="18"/>
      <c r="C6936" s="85"/>
      <c r="D6936" s="41"/>
      <c r="E6936" s="26" t="str">
        <f ca="1">IFERROR(__xludf.DUMMYFUNCTION("""COMPUTED_VALUE"""),"")</f>
        <v/>
      </c>
      <c r="F6936" s="72"/>
      <c r="G6936" s="72"/>
    </row>
    <row r="6937" spans="1:7" ht="14.5" hidden="1">
      <c r="A6937" s="5"/>
      <c r="B6937" s="18"/>
      <c r="C6937" s="85"/>
      <c r="D6937" s="41"/>
      <c r="E6937" s="26" t="str">
        <f ca="1">IFERROR(__xludf.DUMMYFUNCTION("""COMPUTED_VALUE"""),"")</f>
        <v/>
      </c>
      <c r="F6937" s="72"/>
      <c r="G6937" s="72"/>
    </row>
    <row r="6938" spans="1:7" ht="14.5" hidden="1">
      <c r="A6938" s="5"/>
      <c r="B6938" s="18"/>
      <c r="C6938" s="85"/>
      <c r="D6938" s="41"/>
      <c r="E6938" s="26" t="str">
        <f ca="1">IFERROR(__xludf.DUMMYFUNCTION("""COMPUTED_VALUE"""),"")</f>
        <v/>
      </c>
      <c r="F6938" s="72"/>
      <c r="G6938" s="72"/>
    </row>
    <row r="6939" spans="1:7" ht="14.5" hidden="1">
      <c r="A6939" s="5"/>
      <c r="B6939" s="18"/>
      <c r="C6939" s="85"/>
      <c r="D6939" s="41"/>
      <c r="E6939" s="26" t="str">
        <f ca="1">IFERROR(__xludf.DUMMYFUNCTION("""COMPUTED_VALUE"""),"")</f>
        <v/>
      </c>
      <c r="F6939" s="72"/>
      <c r="G6939" s="72"/>
    </row>
    <row r="6940" spans="1:7" ht="14.5" hidden="1">
      <c r="A6940" s="5"/>
      <c r="B6940" s="18"/>
      <c r="C6940" s="85"/>
      <c r="D6940" s="41"/>
      <c r="E6940" s="26" t="str">
        <f ca="1">IFERROR(__xludf.DUMMYFUNCTION("""COMPUTED_VALUE"""),"")</f>
        <v/>
      </c>
      <c r="F6940" s="72"/>
      <c r="G6940" s="72"/>
    </row>
    <row r="6941" spans="1:7" ht="14.5" hidden="1">
      <c r="A6941" s="5"/>
      <c r="B6941" s="18"/>
      <c r="C6941" s="85"/>
      <c r="D6941" s="41"/>
      <c r="E6941" s="26" t="str">
        <f ca="1">IFERROR(__xludf.DUMMYFUNCTION("""COMPUTED_VALUE"""),"")</f>
        <v/>
      </c>
      <c r="F6941" s="72"/>
      <c r="G6941" s="72"/>
    </row>
    <row r="6942" spans="1:7" ht="14.5" hidden="1">
      <c r="A6942" s="5"/>
      <c r="B6942" s="18"/>
      <c r="C6942" s="85"/>
      <c r="D6942" s="41"/>
      <c r="E6942" s="26" t="str">
        <f ca="1">IFERROR(__xludf.DUMMYFUNCTION("""COMPUTED_VALUE"""),"")</f>
        <v/>
      </c>
      <c r="F6942" s="72"/>
      <c r="G6942" s="72"/>
    </row>
    <row r="6943" spans="1:7" ht="14.5" hidden="1">
      <c r="A6943" s="5"/>
      <c r="B6943" s="18"/>
      <c r="C6943" s="85"/>
      <c r="D6943" s="41"/>
      <c r="E6943" s="26" t="str">
        <f ca="1">IFERROR(__xludf.DUMMYFUNCTION("""COMPUTED_VALUE"""),"")</f>
        <v/>
      </c>
      <c r="F6943" s="72"/>
      <c r="G6943" s="72"/>
    </row>
    <row r="6944" spans="1:7" ht="14.5" hidden="1">
      <c r="A6944" s="5"/>
      <c r="B6944" s="18"/>
      <c r="C6944" s="85"/>
      <c r="D6944" s="41"/>
      <c r="E6944" s="26" t="str">
        <f ca="1">IFERROR(__xludf.DUMMYFUNCTION("""COMPUTED_VALUE"""),"")</f>
        <v/>
      </c>
      <c r="F6944" s="72"/>
      <c r="G6944" s="72"/>
    </row>
    <row r="6945" spans="1:7" ht="14.5" hidden="1">
      <c r="A6945" s="5"/>
      <c r="B6945" s="18"/>
      <c r="C6945" s="85"/>
      <c r="D6945" s="41"/>
      <c r="E6945" s="26" t="str">
        <f ca="1">IFERROR(__xludf.DUMMYFUNCTION("""COMPUTED_VALUE"""),"")</f>
        <v/>
      </c>
      <c r="F6945" s="72"/>
      <c r="G6945" s="72"/>
    </row>
    <row r="6946" spans="1:7" ht="14.5" hidden="1">
      <c r="A6946" s="5"/>
      <c r="B6946" s="18"/>
      <c r="C6946" s="85"/>
      <c r="D6946" s="41"/>
      <c r="E6946" s="26" t="str">
        <f ca="1">IFERROR(__xludf.DUMMYFUNCTION("""COMPUTED_VALUE"""),"")</f>
        <v/>
      </c>
      <c r="F6946" s="72"/>
      <c r="G6946" s="72"/>
    </row>
    <row r="6947" spans="1:7" ht="14.5" hidden="1">
      <c r="A6947" s="5"/>
      <c r="B6947" s="18"/>
      <c r="C6947" s="85"/>
      <c r="D6947" s="41"/>
      <c r="E6947" s="26" t="str">
        <f ca="1">IFERROR(__xludf.DUMMYFUNCTION("""COMPUTED_VALUE"""),"")</f>
        <v/>
      </c>
      <c r="F6947" s="72"/>
      <c r="G6947" s="72"/>
    </row>
    <row r="6948" spans="1:7" ht="14.5" hidden="1">
      <c r="A6948" s="5"/>
      <c r="B6948" s="18"/>
      <c r="C6948" s="85"/>
      <c r="D6948" s="41"/>
      <c r="E6948" s="26" t="str">
        <f ca="1">IFERROR(__xludf.DUMMYFUNCTION("""COMPUTED_VALUE"""),"")</f>
        <v/>
      </c>
      <c r="F6948" s="72"/>
      <c r="G6948" s="72"/>
    </row>
    <row r="6949" spans="1:7" ht="14.5" hidden="1">
      <c r="A6949" s="5"/>
      <c r="B6949" s="18"/>
      <c r="C6949" s="85"/>
      <c r="D6949" s="41"/>
      <c r="E6949" s="26" t="str">
        <f ca="1">IFERROR(__xludf.DUMMYFUNCTION("""COMPUTED_VALUE"""),"")</f>
        <v/>
      </c>
      <c r="F6949" s="72"/>
      <c r="G6949" s="72"/>
    </row>
    <row r="6950" spans="1:7" ht="14.5" hidden="1">
      <c r="A6950" s="5"/>
      <c r="B6950" s="18"/>
      <c r="C6950" s="85"/>
      <c r="D6950" s="41"/>
      <c r="E6950" s="26" t="str">
        <f ca="1">IFERROR(__xludf.DUMMYFUNCTION("""COMPUTED_VALUE"""),"")</f>
        <v/>
      </c>
      <c r="F6950" s="72"/>
      <c r="G6950" s="72"/>
    </row>
    <row r="6951" spans="1:7" ht="14.5" hidden="1">
      <c r="A6951" s="5"/>
      <c r="B6951" s="18"/>
      <c r="C6951" s="85"/>
      <c r="D6951" s="41"/>
      <c r="E6951" s="26" t="str">
        <f ca="1">IFERROR(__xludf.DUMMYFUNCTION("""COMPUTED_VALUE"""),"")</f>
        <v/>
      </c>
      <c r="F6951" s="72"/>
      <c r="G6951" s="72"/>
    </row>
    <row r="6952" spans="1:7" ht="14.5" hidden="1">
      <c r="A6952" s="5"/>
      <c r="B6952" s="18"/>
      <c r="C6952" s="85"/>
      <c r="D6952" s="41"/>
      <c r="E6952" s="26" t="str">
        <f ca="1">IFERROR(__xludf.DUMMYFUNCTION("""COMPUTED_VALUE"""),"")</f>
        <v/>
      </c>
      <c r="F6952" s="72"/>
      <c r="G6952" s="72"/>
    </row>
    <row r="6953" spans="1:7" ht="14.5" hidden="1">
      <c r="A6953" s="5"/>
      <c r="B6953" s="18"/>
      <c r="C6953" s="85"/>
      <c r="D6953" s="41"/>
      <c r="E6953" s="26" t="str">
        <f ca="1">IFERROR(__xludf.DUMMYFUNCTION("""COMPUTED_VALUE"""),"")</f>
        <v/>
      </c>
      <c r="F6953" s="72"/>
      <c r="G6953" s="72"/>
    </row>
    <row r="6954" spans="1:7" ht="14.5" hidden="1">
      <c r="A6954" s="5"/>
      <c r="B6954" s="18"/>
      <c r="C6954" s="85"/>
      <c r="D6954" s="41"/>
      <c r="E6954" s="26" t="str">
        <f ca="1">IFERROR(__xludf.DUMMYFUNCTION("""COMPUTED_VALUE"""),"")</f>
        <v/>
      </c>
      <c r="F6954" s="72"/>
      <c r="G6954" s="72"/>
    </row>
    <row r="6955" spans="1:7" ht="14.5" hidden="1">
      <c r="A6955" s="5"/>
      <c r="B6955" s="18"/>
      <c r="C6955" s="85"/>
      <c r="D6955" s="41"/>
      <c r="E6955" s="26" t="str">
        <f ca="1">IFERROR(__xludf.DUMMYFUNCTION("""COMPUTED_VALUE"""),"")</f>
        <v/>
      </c>
      <c r="F6955" s="72"/>
      <c r="G6955" s="72"/>
    </row>
    <row r="6956" spans="1:7" ht="14.5" hidden="1">
      <c r="A6956" s="5"/>
      <c r="B6956" s="18"/>
      <c r="C6956" s="85"/>
      <c r="D6956" s="41"/>
      <c r="E6956" s="26" t="str">
        <f ca="1">IFERROR(__xludf.DUMMYFUNCTION("""COMPUTED_VALUE"""),"")</f>
        <v/>
      </c>
      <c r="F6956" s="72"/>
      <c r="G6956" s="72"/>
    </row>
    <row r="6957" spans="1:7" ht="14.5" hidden="1">
      <c r="A6957" s="5"/>
      <c r="B6957" s="18"/>
      <c r="C6957" s="85"/>
      <c r="D6957" s="41"/>
      <c r="E6957" s="26" t="str">
        <f ca="1">IFERROR(__xludf.DUMMYFUNCTION("""COMPUTED_VALUE"""),"")</f>
        <v/>
      </c>
      <c r="F6957" s="72"/>
      <c r="G6957" s="72"/>
    </row>
    <row r="6958" spans="1:7" ht="14.5" hidden="1">
      <c r="A6958" s="5"/>
      <c r="B6958" s="18"/>
      <c r="C6958" s="85"/>
      <c r="D6958" s="41"/>
      <c r="E6958" s="26" t="str">
        <f ca="1">IFERROR(__xludf.DUMMYFUNCTION("""COMPUTED_VALUE"""),"")</f>
        <v/>
      </c>
      <c r="F6958" s="72"/>
      <c r="G6958" s="72"/>
    </row>
    <row r="6959" spans="1:7" ht="14.5" hidden="1">
      <c r="A6959" s="5"/>
      <c r="B6959" s="18"/>
      <c r="C6959" s="85"/>
      <c r="D6959" s="41"/>
      <c r="E6959" s="26" t="str">
        <f ca="1">IFERROR(__xludf.DUMMYFUNCTION("""COMPUTED_VALUE"""),"")</f>
        <v/>
      </c>
      <c r="F6959" s="72"/>
      <c r="G6959" s="72"/>
    </row>
    <row r="6960" spans="1:7" ht="14.5" hidden="1">
      <c r="A6960" s="5"/>
      <c r="B6960" s="18"/>
      <c r="C6960" s="85"/>
      <c r="D6960" s="41"/>
      <c r="E6960" s="26" t="str">
        <f ca="1">IFERROR(__xludf.DUMMYFUNCTION("""COMPUTED_VALUE"""),"")</f>
        <v/>
      </c>
      <c r="F6960" s="72"/>
      <c r="G6960" s="72"/>
    </row>
    <row r="6961" spans="1:7" ht="14.5" hidden="1">
      <c r="A6961" s="5"/>
      <c r="B6961" s="18"/>
      <c r="C6961" s="85"/>
      <c r="D6961" s="41"/>
      <c r="E6961" s="26" t="str">
        <f ca="1">IFERROR(__xludf.DUMMYFUNCTION("""COMPUTED_VALUE"""),"")</f>
        <v/>
      </c>
      <c r="F6961" s="72"/>
      <c r="G6961" s="72"/>
    </row>
    <row r="6962" spans="1:7" ht="14.5" hidden="1">
      <c r="A6962" s="5"/>
      <c r="B6962" s="18"/>
      <c r="C6962" s="85"/>
      <c r="D6962" s="41"/>
      <c r="E6962" s="26" t="str">
        <f ca="1">IFERROR(__xludf.DUMMYFUNCTION("""COMPUTED_VALUE"""),"")</f>
        <v/>
      </c>
      <c r="F6962" s="72"/>
      <c r="G6962" s="72"/>
    </row>
    <row r="6963" spans="1:7" ht="14.5" hidden="1">
      <c r="A6963" s="5"/>
      <c r="B6963" s="18"/>
      <c r="C6963" s="85"/>
      <c r="D6963" s="41"/>
      <c r="E6963" s="26" t="str">
        <f ca="1">IFERROR(__xludf.DUMMYFUNCTION("""COMPUTED_VALUE"""),"")</f>
        <v/>
      </c>
      <c r="F6963" s="72"/>
      <c r="G6963" s="72"/>
    </row>
    <row r="6964" spans="1:7" ht="14.5" hidden="1">
      <c r="A6964" s="5"/>
      <c r="B6964" s="18"/>
      <c r="C6964" s="85"/>
      <c r="D6964" s="41"/>
      <c r="E6964" s="26" t="str">
        <f ca="1">IFERROR(__xludf.DUMMYFUNCTION("""COMPUTED_VALUE"""),"")</f>
        <v/>
      </c>
      <c r="F6964" s="72"/>
      <c r="G6964" s="72"/>
    </row>
    <row r="6965" spans="1:7" ht="14.5" hidden="1">
      <c r="A6965" s="5"/>
      <c r="B6965" s="18"/>
      <c r="C6965" s="85"/>
      <c r="D6965" s="41"/>
      <c r="E6965" s="26" t="str">
        <f ca="1">IFERROR(__xludf.DUMMYFUNCTION("""COMPUTED_VALUE"""),"")</f>
        <v/>
      </c>
      <c r="F6965" s="72"/>
      <c r="G6965" s="72"/>
    </row>
    <row r="6966" spans="1:7" ht="14.5" hidden="1">
      <c r="A6966" s="5"/>
      <c r="B6966" s="18"/>
      <c r="C6966" s="85"/>
      <c r="D6966" s="41"/>
      <c r="E6966" s="26" t="str">
        <f ca="1">IFERROR(__xludf.DUMMYFUNCTION("""COMPUTED_VALUE"""),"")</f>
        <v/>
      </c>
      <c r="F6966" s="72"/>
      <c r="G6966" s="72"/>
    </row>
    <row r="6967" spans="1:7" ht="14.5" hidden="1">
      <c r="A6967" s="5"/>
      <c r="B6967" s="18"/>
      <c r="C6967" s="85"/>
      <c r="D6967" s="41"/>
      <c r="E6967" s="26" t="str">
        <f ca="1">IFERROR(__xludf.DUMMYFUNCTION("""COMPUTED_VALUE"""),"")</f>
        <v/>
      </c>
      <c r="F6967" s="72"/>
      <c r="G6967" s="72"/>
    </row>
    <row r="6968" spans="1:7" ht="14.5" hidden="1">
      <c r="A6968" s="5"/>
      <c r="B6968" s="18"/>
      <c r="C6968" s="85"/>
      <c r="D6968" s="41"/>
      <c r="E6968" s="26" t="str">
        <f ca="1">IFERROR(__xludf.DUMMYFUNCTION("""COMPUTED_VALUE"""),"")</f>
        <v/>
      </c>
      <c r="F6968" s="72"/>
      <c r="G6968" s="72"/>
    </row>
    <row r="6969" spans="1:7" ht="14.5" hidden="1">
      <c r="A6969" s="5"/>
      <c r="B6969" s="18"/>
      <c r="C6969" s="85"/>
      <c r="D6969" s="41"/>
      <c r="E6969" s="26" t="str">
        <f ca="1">IFERROR(__xludf.DUMMYFUNCTION("""COMPUTED_VALUE"""),"")</f>
        <v/>
      </c>
      <c r="F6969" s="72"/>
      <c r="G6969" s="72"/>
    </row>
    <row r="6970" spans="1:7" ht="14.5" hidden="1">
      <c r="A6970" s="5"/>
      <c r="B6970" s="18"/>
      <c r="C6970" s="85"/>
      <c r="D6970" s="41"/>
      <c r="E6970" s="26" t="str">
        <f ca="1">IFERROR(__xludf.DUMMYFUNCTION("""COMPUTED_VALUE"""),"")</f>
        <v/>
      </c>
      <c r="F6970" s="72"/>
      <c r="G6970" s="72"/>
    </row>
    <row r="6971" spans="1:7" ht="14.5" hidden="1">
      <c r="A6971" s="5"/>
      <c r="B6971" s="18"/>
      <c r="C6971" s="85"/>
      <c r="D6971" s="41"/>
      <c r="E6971" s="26" t="str">
        <f ca="1">IFERROR(__xludf.DUMMYFUNCTION("""COMPUTED_VALUE"""),"")</f>
        <v/>
      </c>
      <c r="F6971" s="72"/>
      <c r="G6971" s="72"/>
    </row>
    <row r="6972" spans="1:7" ht="14.5" hidden="1">
      <c r="A6972" s="5"/>
      <c r="B6972" s="18"/>
      <c r="C6972" s="85"/>
      <c r="D6972" s="41"/>
      <c r="E6972" s="26" t="str">
        <f ca="1">IFERROR(__xludf.DUMMYFUNCTION("""COMPUTED_VALUE"""),"")</f>
        <v/>
      </c>
      <c r="F6972" s="72"/>
      <c r="G6972" s="72"/>
    </row>
    <row r="6973" spans="1:7" ht="14.5" hidden="1">
      <c r="A6973" s="5"/>
      <c r="B6973" s="18"/>
      <c r="C6973" s="85"/>
      <c r="D6973" s="41"/>
      <c r="E6973" s="26" t="str">
        <f ca="1">IFERROR(__xludf.DUMMYFUNCTION("""COMPUTED_VALUE"""),"")</f>
        <v/>
      </c>
      <c r="F6973" s="72"/>
      <c r="G6973" s="72"/>
    </row>
    <row r="6974" spans="1:7" ht="14.5" hidden="1">
      <c r="A6974" s="5"/>
      <c r="B6974" s="18"/>
      <c r="C6974" s="85"/>
      <c r="D6974" s="41"/>
      <c r="E6974" s="26" t="str">
        <f ca="1">IFERROR(__xludf.DUMMYFUNCTION("""COMPUTED_VALUE"""),"")</f>
        <v/>
      </c>
      <c r="F6974" s="72"/>
      <c r="G6974" s="72"/>
    </row>
    <row r="6975" spans="1:7" ht="14.5" hidden="1">
      <c r="A6975" s="5"/>
      <c r="B6975" s="18"/>
      <c r="C6975" s="85"/>
      <c r="D6975" s="41"/>
      <c r="E6975" s="26" t="str">
        <f ca="1">IFERROR(__xludf.DUMMYFUNCTION("""COMPUTED_VALUE"""),"")</f>
        <v/>
      </c>
      <c r="F6975" s="72"/>
      <c r="G6975" s="72"/>
    </row>
    <row r="6976" spans="1:7" ht="14.5" hidden="1">
      <c r="A6976" s="5"/>
      <c r="B6976" s="18"/>
      <c r="C6976" s="85"/>
      <c r="D6976" s="41"/>
      <c r="E6976" s="26" t="str">
        <f ca="1">IFERROR(__xludf.DUMMYFUNCTION("""COMPUTED_VALUE"""),"")</f>
        <v/>
      </c>
      <c r="F6976" s="72"/>
      <c r="G6976" s="72"/>
    </row>
    <row r="6977" spans="1:7" ht="14.5" hidden="1">
      <c r="A6977" s="5"/>
      <c r="B6977" s="18"/>
      <c r="C6977" s="85"/>
      <c r="D6977" s="41"/>
      <c r="E6977" s="26" t="str">
        <f ca="1">IFERROR(__xludf.DUMMYFUNCTION("""COMPUTED_VALUE"""),"")</f>
        <v/>
      </c>
      <c r="F6977" s="72"/>
      <c r="G6977" s="72"/>
    </row>
    <row r="6978" spans="1:7" ht="14.5" hidden="1">
      <c r="A6978" s="5"/>
      <c r="B6978" s="18"/>
      <c r="C6978" s="85"/>
      <c r="D6978" s="41"/>
      <c r="E6978" s="26" t="str">
        <f ca="1">IFERROR(__xludf.DUMMYFUNCTION("""COMPUTED_VALUE"""),"")</f>
        <v/>
      </c>
      <c r="F6978" s="72"/>
      <c r="G6978" s="72"/>
    </row>
    <row r="6979" spans="1:7" ht="14.5" hidden="1">
      <c r="A6979" s="5"/>
      <c r="B6979" s="18"/>
      <c r="C6979" s="85"/>
      <c r="D6979" s="41"/>
      <c r="E6979" s="26" t="str">
        <f ca="1">IFERROR(__xludf.DUMMYFUNCTION("""COMPUTED_VALUE"""),"")</f>
        <v/>
      </c>
      <c r="F6979" s="72"/>
      <c r="G6979" s="72"/>
    </row>
    <row r="6980" spans="1:7" ht="14.5" hidden="1">
      <c r="A6980" s="5"/>
      <c r="B6980" s="18"/>
      <c r="C6980" s="85"/>
      <c r="D6980" s="41"/>
      <c r="E6980" s="26" t="str">
        <f ca="1">IFERROR(__xludf.DUMMYFUNCTION("""COMPUTED_VALUE"""),"")</f>
        <v/>
      </c>
      <c r="F6980" s="72"/>
      <c r="G6980" s="72"/>
    </row>
    <row r="6981" spans="1:7" ht="14.5" hidden="1">
      <c r="A6981" s="5"/>
      <c r="B6981" s="18"/>
      <c r="C6981" s="85"/>
      <c r="D6981" s="41"/>
      <c r="E6981" s="26" t="str">
        <f ca="1">IFERROR(__xludf.DUMMYFUNCTION("""COMPUTED_VALUE"""),"")</f>
        <v/>
      </c>
      <c r="F6981" s="72"/>
      <c r="G6981" s="72"/>
    </row>
    <row r="6982" spans="1:7" ht="14.5" hidden="1">
      <c r="A6982" s="5"/>
      <c r="B6982" s="18"/>
      <c r="C6982" s="85"/>
      <c r="D6982" s="41"/>
      <c r="E6982" s="26" t="str">
        <f ca="1">IFERROR(__xludf.DUMMYFUNCTION("""COMPUTED_VALUE"""),"")</f>
        <v/>
      </c>
      <c r="F6982" s="72"/>
      <c r="G6982" s="72"/>
    </row>
    <row r="6983" spans="1:7" ht="14.5" hidden="1">
      <c r="A6983" s="5"/>
      <c r="B6983" s="18"/>
      <c r="C6983" s="85"/>
      <c r="D6983" s="41"/>
      <c r="E6983" s="26" t="str">
        <f ca="1">IFERROR(__xludf.DUMMYFUNCTION("""COMPUTED_VALUE"""),"")</f>
        <v/>
      </c>
      <c r="F6983" s="72"/>
      <c r="G6983" s="72"/>
    </row>
    <row r="6984" spans="1:7" ht="14.5" hidden="1">
      <c r="A6984" s="5"/>
      <c r="B6984" s="18"/>
      <c r="C6984" s="85"/>
      <c r="D6984" s="41"/>
      <c r="E6984" s="26" t="str">
        <f ca="1">IFERROR(__xludf.DUMMYFUNCTION("""COMPUTED_VALUE"""),"")</f>
        <v/>
      </c>
      <c r="F6984" s="72"/>
      <c r="G6984" s="72"/>
    </row>
    <row r="6985" spans="1:7" ht="14.5" hidden="1">
      <c r="A6985" s="5"/>
      <c r="B6985" s="18"/>
      <c r="C6985" s="85"/>
      <c r="D6985" s="41"/>
      <c r="E6985" s="26" t="str">
        <f ca="1">IFERROR(__xludf.DUMMYFUNCTION("""COMPUTED_VALUE"""),"")</f>
        <v/>
      </c>
      <c r="F6985" s="72"/>
      <c r="G6985" s="72"/>
    </row>
    <row r="6986" spans="1:7" ht="14.5" hidden="1">
      <c r="A6986" s="5"/>
      <c r="B6986" s="18"/>
      <c r="C6986" s="85"/>
      <c r="D6986" s="41"/>
      <c r="E6986" s="26" t="str">
        <f ca="1">IFERROR(__xludf.DUMMYFUNCTION("""COMPUTED_VALUE"""),"")</f>
        <v/>
      </c>
      <c r="F6986" s="72"/>
      <c r="G6986" s="72"/>
    </row>
    <row r="6987" spans="1:7" ht="14.5" hidden="1">
      <c r="A6987" s="5"/>
      <c r="B6987" s="18"/>
      <c r="C6987" s="85"/>
      <c r="D6987" s="41"/>
      <c r="E6987" s="26" t="str">
        <f ca="1">IFERROR(__xludf.DUMMYFUNCTION("""COMPUTED_VALUE"""),"")</f>
        <v/>
      </c>
      <c r="F6987" s="72"/>
      <c r="G6987" s="72"/>
    </row>
    <row r="6988" spans="1:7" ht="14.5" hidden="1">
      <c r="A6988" s="5"/>
      <c r="B6988" s="18"/>
      <c r="C6988" s="85"/>
      <c r="D6988" s="41"/>
      <c r="E6988" s="26" t="str">
        <f ca="1">IFERROR(__xludf.DUMMYFUNCTION("""COMPUTED_VALUE"""),"")</f>
        <v/>
      </c>
      <c r="F6988" s="72"/>
      <c r="G6988" s="72"/>
    </row>
    <row r="6989" spans="1:7" ht="14.5" hidden="1">
      <c r="A6989" s="5"/>
      <c r="B6989" s="18"/>
      <c r="C6989" s="85"/>
      <c r="D6989" s="41"/>
      <c r="E6989" s="26" t="str">
        <f ca="1">IFERROR(__xludf.DUMMYFUNCTION("""COMPUTED_VALUE"""),"")</f>
        <v/>
      </c>
      <c r="F6989" s="72"/>
      <c r="G6989" s="72"/>
    </row>
    <row r="6990" spans="1:7" ht="14.5" hidden="1">
      <c r="A6990" s="5"/>
      <c r="B6990" s="18"/>
      <c r="C6990" s="85"/>
      <c r="D6990" s="41"/>
      <c r="E6990" s="26" t="str">
        <f ca="1">IFERROR(__xludf.DUMMYFUNCTION("""COMPUTED_VALUE"""),"")</f>
        <v/>
      </c>
      <c r="F6990" s="72"/>
      <c r="G6990" s="72"/>
    </row>
    <row r="6991" spans="1:7" ht="14.5" hidden="1">
      <c r="A6991" s="5"/>
      <c r="B6991" s="18"/>
      <c r="C6991" s="85"/>
      <c r="D6991" s="41"/>
      <c r="E6991" s="26" t="str">
        <f ca="1">IFERROR(__xludf.DUMMYFUNCTION("""COMPUTED_VALUE"""),"")</f>
        <v/>
      </c>
      <c r="F6991" s="72"/>
      <c r="G6991" s="72"/>
    </row>
    <row r="6992" spans="1:7" ht="14.5" hidden="1">
      <c r="A6992" s="5"/>
      <c r="B6992" s="18"/>
      <c r="C6992" s="85"/>
      <c r="D6992" s="41"/>
      <c r="E6992" s="26" t="str">
        <f ca="1">IFERROR(__xludf.DUMMYFUNCTION("""COMPUTED_VALUE"""),"")</f>
        <v/>
      </c>
      <c r="F6992" s="72"/>
      <c r="G6992" s="72"/>
    </row>
    <row r="6993" spans="1:7" ht="14.5" hidden="1">
      <c r="A6993" s="5"/>
      <c r="B6993" s="18"/>
      <c r="C6993" s="85"/>
      <c r="D6993" s="41"/>
      <c r="E6993" s="26" t="str">
        <f ca="1">IFERROR(__xludf.DUMMYFUNCTION("""COMPUTED_VALUE"""),"")</f>
        <v/>
      </c>
      <c r="F6993" s="72"/>
      <c r="G6993" s="72"/>
    </row>
    <row r="6994" spans="1:7" ht="14.5" hidden="1">
      <c r="A6994" s="5"/>
      <c r="B6994" s="18"/>
      <c r="C6994" s="85"/>
      <c r="D6994" s="41"/>
      <c r="E6994" s="26" t="str">
        <f ca="1">IFERROR(__xludf.DUMMYFUNCTION("""COMPUTED_VALUE"""),"")</f>
        <v/>
      </c>
      <c r="F6994" s="72"/>
      <c r="G6994" s="72"/>
    </row>
    <row r="6995" spans="1:7" ht="14.5" hidden="1">
      <c r="A6995" s="5"/>
      <c r="B6995" s="18"/>
      <c r="C6995" s="85"/>
      <c r="D6995" s="41"/>
      <c r="E6995" s="26" t="str">
        <f ca="1">IFERROR(__xludf.DUMMYFUNCTION("""COMPUTED_VALUE"""),"")</f>
        <v/>
      </c>
      <c r="F6995" s="72"/>
      <c r="G6995" s="72"/>
    </row>
    <row r="6996" spans="1:7" ht="14.5" hidden="1">
      <c r="A6996" s="5"/>
      <c r="B6996" s="18"/>
      <c r="C6996" s="85"/>
      <c r="D6996" s="41"/>
      <c r="E6996" s="26" t="str">
        <f ca="1">IFERROR(__xludf.DUMMYFUNCTION("""COMPUTED_VALUE"""),"")</f>
        <v/>
      </c>
      <c r="F6996" s="72"/>
      <c r="G6996" s="72"/>
    </row>
    <row r="6997" spans="1:7" ht="14.5" hidden="1">
      <c r="A6997" s="5"/>
      <c r="B6997" s="18"/>
      <c r="C6997" s="85"/>
      <c r="D6997" s="41"/>
      <c r="E6997" s="26" t="str">
        <f ca="1">IFERROR(__xludf.DUMMYFUNCTION("""COMPUTED_VALUE"""),"")</f>
        <v/>
      </c>
      <c r="F6997" s="72"/>
      <c r="G6997" s="72"/>
    </row>
    <row r="6998" spans="1:7" ht="14.5" hidden="1">
      <c r="A6998" s="5"/>
      <c r="B6998" s="18"/>
      <c r="C6998" s="85"/>
      <c r="D6998" s="41"/>
      <c r="E6998" s="26" t="str">
        <f ca="1">IFERROR(__xludf.DUMMYFUNCTION("""COMPUTED_VALUE"""),"")</f>
        <v/>
      </c>
      <c r="F6998" s="72"/>
      <c r="G6998" s="72"/>
    </row>
    <row r="6999" spans="1:7" ht="14.5" hidden="1">
      <c r="A6999" s="5"/>
      <c r="B6999" s="18"/>
      <c r="C6999" s="85"/>
      <c r="D6999" s="41"/>
      <c r="E6999" s="26" t="str">
        <f ca="1">IFERROR(__xludf.DUMMYFUNCTION("""COMPUTED_VALUE"""),"")</f>
        <v/>
      </c>
      <c r="F6999" s="72"/>
      <c r="G6999" s="72"/>
    </row>
    <row r="7000" spans="1:7" ht="14.5" hidden="1">
      <c r="A7000" s="5"/>
      <c r="B7000" s="18"/>
      <c r="C7000" s="85"/>
      <c r="D7000" s="41"/>
      <c r="E7000" s="26" t="str">
        <f ca="1">IFERROR(__xludf.DUMMYFUNCTION("""COMPUTED_VALUE"""),"")</f>
        <v/>
      </c>
      <c r="F7000" s="72"/>
      <c r="G7000" s="72"/>
    </row>
    <row r="7001" spans="1:7" ht="14.5" hidden="1">
      <c r="A7001" s="5"/>
      <c r="B7001" s="18"/>
      <c r="C7001" s="85"/>
      <c r="D7001" s="41"/>
      <c r="E7001" s="26" t="str">
        <f ca="1">IFERROR(__xludf.DUMMYFUNCTION("""COMPUTED_VALUE"""),"")</f>
        <v/>
      </c>
      <c r="F7001" s="72"/>
      <c r="G7001" s="72"/>
    </row>
    <row r="7002" spans="1:7" ht="14.5" hidden="1">
      <c r="A7002" s="5"/>
      <c r="B7002" s="18"/>
      <c r="C7002" s="85"/>
      <c r="D7002" s="41"/>
      <c r="E7002" s="26" t="str">
        <f ca="1">IFERROR(__xludf.DUMMYFUNCTION("""COMPUTED_VALUE"""),"")</f>
        <v/>
      </c>
      <c r="F7002" s="72"/>
      <c r="G7002" s="72"/>
    </row>
    <row r="7003" spans="1:7" ht="14.5" hidden="1">
      <c r="A7003" s="5"/>
      <c r="B7003" s="18"/>
      <c r="C7003" s="85"/>
      <c r="D7003" s="41"/>
      <c r="E7003" s="26" t="str">
        <f ca="1">IFERROR(__xludf.DUMMYFUNCTION("""COMPUTED_VALUE"""),"")</f>
        <v/>
      </c>
      <c r="F7003" s="72"/>
      <c r="G7003" s="72"/>
    </row>
    <row r="7004" spans="1:7" ht="14.5" hidden="1">
      <c r="A7004" s="5"/>
      <c r="B7004" s="18"/>
      <c r="C7004" s="85"/>
      <c r="D7004" s="41"/>
      <c r="E7004" s="26" t="str">
        <f ca="1">IFERROR(__xludf.DUMMYFUNCTION("""COMPUTED_VALUE"""),"")</f>
        <v/>
      </c>
      <c r="F7004" s="72"/>
      <c r="G7004" s="72"/>
    </row>
    <row r="7005" spans="1:7" ht="14.5" hidden="1">
      <c r="A7005" s="5"/>
      <c r="B7005" s="18"/>
      <c r="C7005" s="85"/>
      <c r="D7005" s="41"/>
      <c r="E7005" s="26" t="str">
        <f ca="1">IFERROR(__xludf.DUMMYFUNCTION("""COMPUTED_VALUE"""),"")</f>
        <v/>
      </c>
      <c r="F7005" s="72"/>
      <c r="G7005" s="72"/>
    </row>
    <row r="7006" spans="1:7" ht="14.5" hidden="1">
      <c r="A7006" s="5"/>
      <c r="B7006" s="18"/>
      <c r="C7006" s="85"/>
      <c r="D7006" s="41"/>
      <c r="E7006" s="26" t="str">
        <f ca="1">IFERROR(__xludf.DUMMYFUNCTION("""COMPUTED_VALUE"""),"")</f>
        <v/>
      </c>
      <c r="F7006" s="72"/>
      <c r="G7006" s="72"/>
    </row>
    <row r="7007" spans="1:7" ht="14.5" hidden="1">
      <c r="A7007" s="5"/>
      <c r="B7007" s="18"/>
      <c r="C7007" s="85"/>
      <c r="D7007" s="41"/>
      <c r="E7007" s="26" t="str">
        <f ca="1">IFERROR(__xludf.DUMMYFUNCTION("""COMPUTED_VALUE"""),"")</f>
        <v/>
      </c>
      <c r="F7007" s="72"/>
      <c r="G7007" s="72"/>
    </row>
    <row r="7008" spans="1:7" ht="14.5" hidden="1">
      <c r="A7008" s="5"/>
      <c r="B7008" s="18"/>
      <c r="C7008" s="85"/>
      <c r="D7008" s="41"/>
      <c r="E7008" s="26" t="str">
        <f ca="1">IFERROR(__xludf.DUMMYFUNCTION("""COMPUTED_VALUE"""),"")</f>
        <v/>
      </c>
      <c r="F7008" s="72"/>
      <c r="G7008" s="72"/>
    </row>
    <row r="7009" spans="1:7" ht="14.5" hidden="1">
      <c r="A7009" s="5"/>
      <c r="B7009" s="18"/>
      <c r="C7009" s="85"/>
      <c r="D7009" s="41"/>
      <c r="E7009" s="26" t="str">
        <f ca="1">IFERROR(__xludf.DUMMYFUNCTION("""COMPUTED_VALUE"""),"")</f>
        <v/>
      </c>
      <c r="F7009" s="72"/>
      <c r="G7009" s="72"/>
    </row>
    <row r="7010" spans="1:7" ht="14.5" hidden="1">
      <c r="A7010" s="5"/>
      <c r="B7010" s="18"/>
      <c r="C7010" s="85"/>
      <c r="D7010" s="41"/>
      <c r="E7010" s="26" t="str">
        <f ca="1">IFERROR(__xludf.DUMMYFUNCTION("""COMPUTED_VALUE"""),"")</f>
        <v/>
      </c>
      <c r="F7010" s="72"/>
      <c r="G7010" s="72"/>
    </row>
    <row r="7011" spans="1:7" ht="14.5" hidden="1">
      <c r="A7011" s="5"/>
      <c r="B7011" s="18"/>
      <c r="C7011" s="85"/>
      <c r="D7011" s="41"/>
      <c r="E7011" s="26" t="str">
        <f ca="1">IFERROR(__xludf.DUMMYFUNCTION("""COMPUTED_VALUE"""),"")</f>
        <v/>
      </c>
      <c r="F7011" s="72"/>
      <c r="G7011" s="72"/>
    </row>
    <row r="7012" spans="1:7" ht="14.5" hidden="1">
      <c r="A7012" s="5"/>
      <c r="B7012" s="18"/>
      <c r="C7012" s="85"/>
      <c r="D7012" s="41"/>
      <c r="E7012" s="26" t="str">
        <f ca="1">IFERROR(__xludf.DUMMYFUNCTION("""COMPUTED_VALUE"""),"")</f>
        <v/>
      </c>
      <c r="F7012" s="72"/>
      <c r="G7012" s="72"/>
    </row>
    <row r="7013" spans="1:7" ht="14.5" hidden="1">
      <c r="A7013" s="5"/>
      <c r="B7013" s="18"/>
      <c r="C7013" s="85"/>
      <c r="D7013" s="41"/>
      <c r="E7013" s="26" t="str">
        <f ca="1">IFERROR(__xludf.DUMMYFUNCTION("""COMPUTED_VALUE"""),"")</f>
        <v/>
      </c>
      <c r="F7013" s="72"/>
      <c r="G7013" s="72"/>
    </row>
    <row r="7014" spans="1:7" ht="14.5" hidden="1">
      <c r="A7014" s="5"/>
      <c r="B7014" s="18"/>
      <c r="C7014" s="85"/>
      <c r="D7014" s="41"/>
      <c r="E7014" s="26" t="str">
        <f ca="1">IFERROR(__xludf.DUMMYFUNCTION("""COMPUTED_VALUE"""),"")</f>
        <v/>
      </c>
      <c r="F7014" s="72"/>
      <c r="G7014" s="72"/>
    </row>
    <row r="7015" spans="1:7" ht="14.5" hidden="1">
      <c r="A7015" s="5"/>
      <c r="B7015" s="18"/>
      <c r="C7015" s="85"/>
      <c r="D7015" s="41"/>
      <c r="E7015" s="26" t="str">
        <f ca="1">IFERROR(__xludf.DUMMYFUNCTION("""COMPUTED_VALUE"""),"")</f>
        <v/>
      </c>
      <c r="F7015" s="72"/>
      <c r="G7015" s="72"/>
    </row>
    <row r="7016" spans="1:7" ht="14.5" hidden="1">
      <c r="A7016" s="5"/>
      <c r="B7016" s="18"/>
      <c r="C7016" s="85"/>
      <c r="D7016" s="41"/>
      <c r="E7016" s="26" t="str">
        <f ca="1">IFERROR(__xludf.DUMMYFUNCTION("""COMPUTED_VALUE"""),"")</f>
        <v/>
      </c>
      <c r="F7016" s="72"/>
      <c r="G7016" s="72"/>
    </row>
    <row r="7017" spans="1:7" ht="14.5" hidden="1">
      <c r="A7017" s="5"/>
      <c r="B7017" s="18"/>
      <c r="C7017" s="85"/>
      <c r="D7017" s="41"/>
      <c r="E7017" s="26" t="str">
        <f ca="1">IFERROR(__xludf.DUMMYFUNCTION("""COMPUTED_VALUE"""),"")</f>
        <v/>
      </c>
      <c r="F7017" s="72"/>
      <c r="G7017" s="72"/>
    </row>
    <row r="7018" spans="1:7" ht="14.5" hidden="1">
      <c r="A7018" s="5"/>
      <c r="B7018" s="18"/>
      <c r="C7018" s="85"/>
      <c r="D7018" s="41"/>
      <c r="E7018" s="26" t="str">
        <f ca="1">IFERROR(__xludf.DUMMYFUNCTION("""COMPUTED_VALUE"""),"")</f>
        <v/>
      </c>
      <c r="F7018" s="72"/>
      <c r="G7018" s="72"/>
    </row>
    <row r="7019" spans="1:7" ht="14.5" hidden="1">
      <c r="A7019" s="5"/>
      <c r="B7019" s="18"/>
      <c r="C7019" s="85"/>
      <c r="D7019" s="41"/>
      <c r="E7019" s="26" t="str">
        <f ca="1">IFERROR(__xludf.DUMMYFUNCTION("""COMPUTED_VALUE"""),"")</f>
        <v/>
      </c>
      <c r="F7019" s="72"/>
      <c r="G7019" s="72"/>
    </row>
    <row r="7020" spans="1:7" ht="14.5" hidden="1">
      <c r="A7020" s="5"/>
      <c r="B7020" s="18"/>
      <c r="C7020" s="85"/>
      <c r="D7020" s="41"/>
      <c r="E7020" s="26" t="str">
        <f ca="1">IFERROR(__xludf.DUMMYFUNCTION("""COMPUTED_VALUE"""),"")</f>
        <v/>
      </c>
      <c r="F7020" s="72"/>
      <c r="G7020" s="72"/>
    </row>
    <row r="7021" spans="1:7" ht="14.5" hidden="1">
      <c r="A7021" s="5"/>
      <c r="B7021" s="18"/>
      <c r="C7021" s="85"/>
      <c r="D7021" s="41"/>
      <c r="E7021" s="26" t="str">
        <f ca="1">IFERROR(__xludf.DUMMYFUNCTION("""COMPUTED_VALUE"""),"")</f>
        <v/>
      </c>
      <c r="F7021" s="72"/>
      <c r="G7021" s="72"/>
    </row>
    <row r="7022" spans="1:7" ht="14.5" hidden="1">
      <c r="A7022" s="5"/>
      <c r="B7022" s="18"/>
      <c r="C7022" s="85"/>
      <c r="D7022" s="41"/>
      <c r="E7022" s="26" t="str">
        <f ca="1">IFERROR(__xludf.DUMMYFUNCTION("""COMPUTED_VALUE"""),"")</f>
        <v/>
      </c>
      <c r="F7022" s="72"/>
      <c r="G7022" s="72"/>
    </row>
    <row r="7023" spans="1:7" ht="14.5" hidden="1">
      <c r="A7023" s="5"/>
      <c r="B7023" s="18"/>
      <c r="C7023" s="85"/>
      <c r="D7023" s="41"/>
      <c r="E7023" s="26" t="str">
        <f ca="1">IFERROR(__xludf.DUMMYFUNCTION("""COMPUTED_VALUE"""),"")</f>
        <v/>
      </c>
      <c r="F7023" s="72"/>
      <c r="G7023" s="72"/>
    </row>
    <row r="7024" spans="1:7" ht="14.5" hidden="1">
      <c r="A7024" s="5"/>
      <c r="B7024" s="18"/>
      <c r="C7024" s="85"/>
      <c r="D7024" s="41"/>
      <c r="E7024" s="26" t="str">
        <f ca="1">IFERROR(__xludf.DUMMYFUNCTION("""COMPUTED_VALUE"""),"")</f>
        <v/>
      </c>
      <c r="F7024" s="72"/>
      <c r="G7024" s="72"/>
    </row>
    <row r="7025" spans="1:7" ht="14.5" hidden="1">
      <c r="A7025" s="5"/>
      <c r="B7025" s="18"/>
      <c r="C7025" s="85"/>
      <c r="D7025" s="41"/>
      <c r="E7025" s="26" t="str">
        <f ca="1">IFERROR(__xludf.DUMMYFUNCTION("""COMPUTED_VALUE"""),"")</f>
        <v/>
      </c>
      <c r="F7025" s="72"/>
      <c r="G7025" s="72"/>
    </row>
    <row r="7026" spans="1:7" ht="14.5" hidden="1">
      <c r="A7026" s="5"/>
      <c r="B7026" s="18"/>
      <c r="C7026" s="85"/>
      <c r="D7026" s="41"/>
      <c r="E7026" s="26" t="str">
        <f ca="1">IFERROR(__xludf.DUMMYFUNCTION("""COMPUTED_VALUE"""),"")</f>
        <v/>
      </c>
      <c r="F7026" s="72"/>
      <c r="G7026" s="72"/>
    </row>
    <row r="7027" spans="1:7" ht="14.5" hidden="1">
      <c r="A7027" s="5"/>
      <c r="B7027" s="18"/>
      <c r="C7027" s="85"/>
      <c r="D7027" s="41"/>
      <c r="E7027" s="26" t="str">
        <f ca="1">IFERROR(__xludf.DUMMYFUNCTION("""COMPUTED_VALUE"""),"")</f>
        <v/>
      </c>
      <c r="F7027" s="72"/>
      <c r="G7027" s="72"/>
    </row>
    <row r="7028" spans="1:7" ht="14.5" hidden="1">
      <c r="A7028" s="5"/>
      <c r="B7028" s="18"/>
      <c r="C7028" s="85"/>
      <c r="D7028" s="41"/>
      <c r="E7028" s="26" t="str">
        <f ca="1">IFERROR(__xludf.DUMMYFUNCTION("""COMPUTED_VALUE"""),"")</f>
        <v/>
      </c>
      <c r="F7028" s="72"/>
      <c r="G7028" s="72"/>
    </row>
    <row r="7029" spans="1:7" ht="14.5" hidden="1">
      <c r="A7029" s="5"/>
      <c r="B7029" s="18"/>
      <c r="C7029" s="85"/>
      <c r="D7029" s="41"/>
      <c r="E7029" s="26" t="str">
        <f ca="1">IFERROR(__xludf.DUMMYFUNCTION("""COMPUTED_VALUE"""),"")</f>
        <v/>
      </c>
      <c r="F7029" s="72"/>
      <c r="G7029" s="72"/>
    </row>
    <row r="7030" spans="1:7" ht="14.5" hidden="1">
      <c r="A7030" s="5"/>
      <c r="B7030" s="18"/>
      <c r="C7030" s="85"/>
      <c r="D7030" s="41"/>
      <c r="E7030" s="26" t="str">
        <f ca="1">IFERROR(__xludf.DUMMYFUNCTION("""COMPUTED_VALUE"""),"")</f>
        <v/>
      </c>
      <c r="F7030" s="72"/>
      <c r="G7030" s="72"/>
    </row>
    <row r="7031" spans="1:7" ht="14.5" hidden="1">
      <c r="A7031" s="5"/>
      <c r="B7031" s="18"/>
      <c r="C7031" s="85"/>
      <c r="D7031" s="41"/>
      <c r="E7031" s="26" t="str">
        <f ca="1">IFERROR(__xludf.DUMMYFUNCTION("""COMPUTED_VALUE"""),"")</f>
        <v/>
      </c>
      <c r="F7031" s="72"/>
      <c r="G7031" s="72"/>
    </row>
    <row r="7032" spans="1:7" ht="14.5" hidden="1">
      <c r="A7032" s="5"/>
      <c r="B7032" s="18"/>
      <c r="C7032" s="85"/>
      <c r="D7032" s="41"/>
      <c r="E7032" s="26" t="str">
        <f ca="1">IFERROR(__xludf.DUMMYFUNCTION("""COMPUTED_VALUE"""),"")</f>
        <v/>
      </c>
      <c r="F7032" s="72"/>
      <c r="G7032" s="72"/>
    </row>
    <row r="7033" spans="1:7" ht="14.5" hidden="1">
      <c r="A7033" s="5"/>
      <c r="B7033" s="18"/>
      <c r="C7033" s="85"/>
      <c r="D7033" s="41"/>
      <c r="E7033" s="26" t="str">
        <f ca="1">IFERROR(__xludf.DUMMYFUNCTION("""COMPUTED_VALUE"""),"")</f>
        <v/>
      </c>
      <c r="F7033" s="72"/>
      <c r="G7033" s="72"/>
    </row>
    <row r="7034" spans="1:7" ht="14.5" hidden="1">
      <c r="A7034" s="5"/>
      <c r="B7034" s="18"/>
      <c r="C7034" s="85"/>
      <c r="D7034" s="41"/>
      <c r="E7034" s="26" t="str">
        <f ca="1">IFERROR(__xludf.DUMMYFUNCTION("""COMPUTED_VALUE"""),"")</f>
        <v/>
      </c>
      <c r="F7034" s="72"/>
      <c r="G7034" s="72"/>
    </row>
    <row r="7035" spans="1:7" ht="14.5" hidden="1">
      <c r="A7035" s="5"/>
      <c r="B7035" s="18"/>
      <c r="C7035" s="85"/>
      <c r="D7035" s="41"/>
      <c r="E7035" s="26" t="str">
        <f ca="1">IFERROR(__xludf.DUMMYFUNCTION("""COMPUTED_VALUE"""),"")</f>
        <v/>
      </c>
      <c r="F7035" s="72"/>
      <c r="G7035" s="72"/>
    </row>
    <row r="7036" spans="1:7" ht="14.5" hidden="1">
      <c r="A7036" s="5"/>
      <c r="B7036" s="18"/>
      <c r="C7036" s="85"/>
      <c r="D7036" s="41"/>
      <c r="E7036" s="26" t="str">
        <f ca="1">IFERROR(__xludf.DUMMYFUNCTION("""COMPUTED_VALUE"""),"")</f>
        <v/>
      </c>
      <c r="F7036" s="72"/>
      <c r="G7036" s="72"/>
    </row>
    <row r="7037" spans="1:7" ht="14.5" hidden="1">
      <c r="A7037" s="5"/>
      <c r="B7037" s="18"/>
      <c r="C7037" s="85"/>
      <c r="D7037" s="41"/>
      <c r="E7037" s="26" t="str">
        <f ca="1">IFERROR(__xludf.DUMMYFUNCTION("""COMPUTED_VALUE"""),"")</f>
        <v/>
      </c>
      <c r="F7037" s="72"/>
      <c r="G7037" s="72"/>
    </row>
    <row r="7038" spans="1:7" ht="14.5" hidden="1">
      <c r="A7038" s="5"/>
      <c r="B7038" s="18"/>
      <c r="C7038" s="85"/>
      <c r="D7038" s="41"/>
      <c r="E7038" s="26" t="str">
        <f ca="1">IFERROR(__xludf.DUMMYFUNCTION("""COMPUTED_VALUE"""),"")</f>
        <v/>
      </c>
      <c r="F7038" s="72"/>
      <c r="G7038" s="72"/>
    </row>
    <row r="7039" spans="1:7" ht="14.5" hidden="1">
      <c r="A7039" s="5"/>
      <c r="B7039" s="18"/>
      <c r="C7039" s="85"/>
      <c r="D7039" s="41"/>
      <c r="E7039" s="26" t="str">
        <f ca="1">IFERROR(__xludf.DUMMYFUNCTION("""COMPUTED_VALUE"""),"")</f>
        <v/>
      </c>
      <c r="F7039" s="72"/>
      <c r="G7039" s="72"/>
    </row>
    <row r="7040" spans="1:7" ht="14.5" hidden="1">
      <c r="A7040" s="5"/>
      <c r="B7040" s="18"/>
      <c r="C7040" s="85"/>
      <c r="D7040" s="41"/>
      <c r="E7040" s="26" t="str">
        <f ca="1">IFERROR(__xludf.DUMMYFUNCTION("""COMPUTED_VALUE"""),"")</f>
        <v/>
      </c>
      <c r="F7040" s="72"/>
      <c r="G7040" s="72"/>
    </row>
    <row r="7041" spans="1:7" ht="14.5" hidden="1">
      <c r="A7041" s="5"/>
      <c r="B7041" s="18"/>
      <c r="C7041" s="85"/>
      <c r="D7041" s="41"/>
      <c r="E7041" s="26" t="str">
        <f ca="1">IFERROR(__xludf.DUMMYFUNCTION("""COMPUTED_VALUE"""),"")</f>
        <v/>
      </c>
      <c r="F7041" s="72"/>
      <c r="G7041" s="72"/>
    </row>
    <row r="7042" spans="1:7" ht="14.5" hidden="1">
      <c r="A7042" s="5"/>
      <c r="B7042" s="18"/>
      <c r="C7042" s="85"/>
      <c r="D7042" s="41"/>
      <c r="E7042" s="26" t="str">
        <f ca="1">IFERROR(__xludf.DUMMYFUNCTION("""COMPUTED_VALUE"""),"")</f>
        <v/>
      </c>
      <c r="F7042" s="72"/>
      <c r="G7042" s="72"/>
    </row>
    <row r="7043" spans="1:7" ht="14.5" hidden="1">
      <c r="A7043" s="5"/>
      <c r="B7043" s="18"/>
      <c r="C7043" s="85"/>
      <c r="D7043" s="41"/>
      <c r="E7043" s="26" t="str">
        <f ca="1">IFERROR(__xludf.DUMMYFUNCTION("""COMPUTED_VALUE"""),"")</f>
        <v/>
      </c>
      <c r="F7043" s="72"/>
      <c r="G7043" s="72"/>
    </row>
    <row r="7044" spans="1:7" ht="14.5" hidden="1">
      <c r="A7044" s="5"/>
      <c r="B7044" s="18"/>
      <c r="C7044" s="85"/>
      <c r="D7044" s="41"/>
      <c r="E7044" s="26" t="str">
        <f ca="1">IFERROR(__xludf.DUMMYFUNCTION("""COMPUTED_VALUE"""),"")</f>
        <v/>
      </c>
      <c r="F7044" s="72"/>
      <c r="G7044" s="72"/>
    </row>
    <row r="7045" spans="1:7" ht="14.5" hidden="1">
      <c r="A7045" s="5"/>
      <c r="B7045" s="18"/>
      <c r="C7045" s="85"/>
      <c r="D7045" s="41"/>
      <c r="E7045" s="26" t="str">
        <f ca="1">IFERROR(__xludf.DUMMYFUNCTION("""COMPUTED_VALUE"""),"")</f>
        <v/>
      </c>
      <c r="F7045" s="72"/>
      <c r="G7045" s="72"/>
    </row>
    <row r="7046" spans="1:7" ht="14.5" hidden="1">
      <c r="A7046" s="5"/>
      <c r="B7046" s="18"/>
      <c r="C7046" s="85"/>
      <c r="D7046" s="41"/>
      <c r="E7046" s="26" t="str">
        <f ca="1">IFERROR(__xludf.DUMMYFUNCTION("""COMPUTED_VALUE"""),"")</f>
        <v/>
      </c>
      <c r="F7046" s="72"/>
      <c r="G7046" s="72"/>
    </row>
    <row r="7047" spans="1:7" ht="14.5" hidden="1">
      <c r="A7047" s="5"/>
      <c r="B7047" s="18"/>
      <c r="C7047" s="85"/>
      <c r="D7047" s="41"/>
      <c r="E7047" s="26" t="str">
        <f ca="1">IFERROR(__xludf.DUMMYFUNCTION("""COMPUTED_VALUE"""),"")</f>
        <v/>
      </c>
      <c r="F7047" s="72"/>
      <c r="G7047" s="72"/>
    </row>
    <row r="7048" spans="1:7" ht="14.5" hidden="1">
      <c r="A7048" s="5"/>
      <c r="B7048" s="18"/>
      <c r="C7048" s="85"/>
      <c r="D7048" s="41"/>
      <c r="E7048" s="26" t="str">
        <f ca="1">IFERROR(__xludf.DUMMYFUNCTION("""COMPUTED_VALUE"""),"")</f>
        <v/>
      </c>
      <c r="F7048" s="72"/>
      <c r="G7048" s="72"/>
    </row>
    <row r="7049" spans="1:7" ht="14.5" hidden="1">
      <c r="A7049" s="5"/>
      <c r="B7049" s="18"/>
      <c r="C7049" s="85"/>
      <c r="D7049" s="41"/>
      <c r="E7049" s="26" t="str">
        <f ca="1">IFERROR(__xludf.DUMMYFUNCTION("""COMPUTED_VALUE"""),"")</f>
        <v/>
      </c>
      <c r="F7049" s="72"/>
      <c r="G7049" s="72"/>
    </row>
    <row r="7050" spans="1:7" ht="14.5" hidden="1">
      <c r="A7050" s="5"/>
      <c r="B7050" s="18"/>
      <c r="C7050" s="85"/>
      <c r="D7050" s="41"/>
      <c r="E7050" s="26" t="str">
        <f ca="1">IFERROR(__xludf.DUMMYFUNCTION("""COMPUTED_VALUE"""),"")</f>
        <v/>
      </c>
      <c r="F7050" s="72"/>
      <c r="G7050" s="72"/>
    </row>
    <row r="7051" spans="1:7" ht="14.5" hidden="1">
      <c r="A7051" s="5"/>
      <c r="B7051" s="18"/>
      <c r="C7051" s="85"/>
      <c r="D7051" s="41"/>
      <c r="E7051" s="26" t="str">
        <f ca="1">IFERROR(__xludf.DUMMYFUNCTION("""COMPUTED_VALUE"""),"")</f>
        <v/>
      </c>
      <c r="F7051" s="72"/>
      <c r="G7051" s="72"/>
    </row>
    <row r="7052" spans="1:7" ht="14.5" hidden="1">
      <c r="A7052" s="5"/>
      <c r="B7052" s="18"/>
      <c r="C7052" s="85"/>
      <c r="D7052" s="41"/>
      <c r="E7052" s="26" t="str">
        <f ca="1">IFERROR(__xludf.DUMMYFUNCTION("""COMPUTED_VALUE"""),"")</f>
        <v/>
      </c>
      <c r="F7052" s="72"/>
      <c r="G7052" s="72"/>
    </row>
    <row r="7053" spans="1:7" ht="14.5" hidden="1">
      <c r="A7053" s="5"/>
      <c r="B7053" s="18"/>
      <c r="C7053" s="85"/>
      <c r="D7053" s="41"/>
      <c r="E7053" s="26" t="str">
        <f ca="1">IFERROR(__xludf.DUMMYFUNCTION("""COMPUTED_VALUE"""),"")</f>
        <v/>
      </c>
      <c r="F7053" s="72"/>
      <c r="G7053" s="72"/>
    </row>
    <row r="7054" spans="1:7" ht="14.5" hidden="1">
      <c r="A7054" s="5"/>
      <c r="B7054" s="18"/>
      <c r="C7054" s="85"/>
      <c r="D7054" s="41"/>
      <c r="E7054" s="26" t="str">
        <f ca="1">IFERROR(__xludf.DUMMYFUNCTION("""COMPUTED_VALUE"""),"")</f>
        <v/>
      </c>
      <c r="F7054" s="72"/>
      <c r="G7054" s="72"/>
    </row>
    <row r="7055" spans="1:7" ht="14.5" hidden="1">
      <c r="A7055" s="5"/>
      <c r="B7055" s="18"/>
      <c r="C7055" s="85"/>
      <c r="D7055" s="41"/>
      <c r="E7055" s="26" t="str">
        <f ca="1">IFERROR(__xludf.DUMMYFUNCTION("""COMPUTED_VALUE"""),"")</f>
        <v/>
      </c>
      <c r="F7055" s="72"/>
      <c r="G7055" s="72"/>
    </row>
    <row r="7056" spans="1:7" ht="14.5" hidden="1">
      <c r="A7056" s="5"/>
      <c r="B7056" s="18"/>
      <c r="C7056" s="85"/>
      <c r="D7056" s="41"/>
      <c r="E7056" s="26" t="str">
        <f ca="1">IFERROR(__xludf.DUMMYFUNCTION("""COMPUTED_VALUE"""),"")</f>
        <v/>
      </c>
      <c r="F7056" s="72"/>
      <c r="G7056" s="72"/>
    </row>
    <row r="7057" spans="1:7" ht="14.5" hidden="1">
      <c r="A7057" s="5"/>
      <c r="B7057" s="18"/>
      <c r="C7057" s="85"/>
      <c r="D7057" s="41"/>
      <c r="E7057" s="26" t="str">
        <f ca="1">IFERROR(__xludf.DUMMYFUNCTION("""COMPUTED_VALUE"""),"")</f>
        <v/>
      </c>
      <c r="F7057" s="72"/>
      <c r="G7057" s="72"/>
    </row>
    <row r="7058" spans="1:7" ht="14.5" hidden="1">
      <c r="A7058" s="5"/>
      <c r="B7058" s="18"/>
      <c r="C7058" s="85"/>
      <c r="D7058" s="41"/>
      <c r="E7058" s="26" t="str">
        <f ca="1">IFERROR(__xludf.DUMMYFUNCTION("""COMPUTED_VALUE"""),"")</f>
        <v/>
      </c>
      <c r="F7058" s="72"/>
      <c r="G7058" s="72"/>
    </row>
    <row r="7059" spans="1:7" ht="14.5" hidden="1">
      <c r="A7059" s="5"/>
      <c r="B7059" s="18"/>
      <c r="C7059" s="85"/>
      <c r="D7059" s="41"/>
      <c r="E7059" s="26" t="str">
        <f ca="1">IFERROR(__xludf.DUMMYFUNCTION("""COMPUTED_VALUE"""),"")</f>
        <v/>
      </c>
      <c r="F7059" s="72"/>
      <c r="G7059" s="72"/>
    </row>
    <row r="7060" spans="1:7" ht="14.5" hidden="1">
      <c r="A7060" s="5"/>
      <c r="B7060" s="18"/>
      <c r="C7060" s="85"/>
      <c r="D7060" s="41"/>
      <c r="E7060" s="26" t="str">
        <f ca="1">IFERROR(__xludf.DUMMYFUNCTION("""COMPUTED_VALUE"""),"")</f>
        <v/>
      </c>
      <c r="F7060" s="72"/>
      <c r="G7060" s="72"/>
    </row>
    <row r="7061" spans="1:7" ht="14.5" hidden="1">
      <c r="A7061" s="5"/>
      <c r="B7061" s="18"/>
      <c r="C7061" s="85"/>
      <c r="D7061" s="41"/>
      <c r="E7061" s="26" t="str">
        <f ca="1">IFERROR(__xludf.DUMMYFUNCTION("""COMPUTED_VALUE"""),"")</f>
        <v/>
      </c>
      <c r="F7061" s="72"/>
      <c r="G7061" s="72"/>
    </row>
    <row r="7062" spans="1:7" ht="14.5" hidden="1">
      <c r="A7062" s="5"/>
      <c r="B7062" s="18"/>
      <c r="C7062" s="85"/>
      <c r="D7062" s="41"/>
      <c r="E7062" s="26" t="str">
        <f ca="1">IFERROR(__xludf.DUMMYFUNCTION("""COMPUTED_VALUE"""),"")</f>
        <v/>
      </c>
      <c r="F7062" s="72"/>
      <c r="G7062" s="72"/>
    </row>
    <row r="7063" spans="1:7" ht="14.5" hidden="1">
      <c r="A7063" s="5"/>
      <c r="B7063" s="18"/>
      <c r="C7063" s="85"/>
      <c r="D7063" s="41"/>
      <c r="E7063" s="26" t="str">
        <f ca="1">IFERROR(__xludf.DUMMYFUNCTION("""COMPUTED_VALUE"""),"")</f>
        <v/>
      </c>
      <c r="F7063" s="72"/>
      <c r="G7063" s="72"/>
    </row>
    <row r="7064" spans="1:7" ht="14.5" hidden="1">
      <c r="A7064" s="5"/>
      <c r="B7064" s="18"/>
      <c r="C7064" s="85"/>
      <c r="D7064" s="41"/>
      <c r="E7064" s="26" t="str">
        <f ca="1">IFERROR(__xludf.DUMMYFUNCTION("""COMPUTED_VALUE"""),"")</f>
        <v/>
      </c>
      <c r="F7064" s="72"/>
      <c r="G7064" s="72"/>
    </row>
    <row r="7065" spans="1:7" ht="14.5" hidden="1">
      <c r="A7065" s="5"/>
      <c r="B7065" s="18"/>
      <c r="C7065" s="85"/>
      <c r="D7065" s="41"/>
      <c r="E7065" s="26" t="str">
        <f ca="1">IFERROR(__xludf.DUMMYFUNCTION("""COMPUTED_VALUE"""),"")</f>
        <v/>
      </c>
      <c r="F7065" s="72"/>
      <c r="G7065" s="72"/>
    </row>
    <row r="7066" spans="1:7" ht="14.5" hidden="1">
      <c r="A7066" s="5"/>
      <c r="B7066" s="18"/>
      <c r="C7066" s="85"/>
      <c r="D7066" s="41"/>
      <c r="E7066" s="26" t="str">
        <f ca="1">IFERROR(__xludf.DUMMYFUNCTION("""COMPUTED_VALUE"""),"")</f>
        <v/>
      </c>
      <c r="F7066" s="72"/>
      <c r="G7066" s="72"/>
    </row>
    <row r="7067" spans="1:7" ht="14.5" hidden="1">
      <c r="A7067" s="5"/>
      <c r="B7067" s="18"/>
      <c r="C7067" s="85"/>
      <c r="D7067" s="41"/>
      <c r="E7067" s="26" t="str">
        <f ca="1">IFERROR(__xludf.DUMMYFUNCTION("""COMPUTED_VALUE"""),"")</f>
        <v/>
      </c>
      <c r="F7067" s="72"/>
      <c r="G7067" s="72"/>
    </row>
    <row r="7068" spans="1:7" ht="14.5" hidden="1">
      <c r="A7068" s="5"/>
      <c r="B7068" s="18"/>
      <c r="C7068" s="85"/>
      <c r="D7068" s="41"/>
      <c r="E7068" s="26" t="str">
        <f ca="1">IFERROR(__xludf.DUMMYFUNCTION("""COMPUTED_VALUE"""),"")</f>
        <v/>
      </c>
      <c r="F7068" s="72"/>
      <c r="G7068" s="72"/>
    </row>
    <row r="7069" spans="1:7" ht="14.5" hidden="1">
      <c r="A7069" s="5"/>
      <c r="B7069" s="18"/>
      <c r="C7069" s="85"/>
      <c r="D7069" s="41"/>
      <c r="E7069" s="26" t="str">
        <f ca="1">IFERROR(__xludf.DUMMYFUNCTION("""COMPUTED_VALUE"""),"")</f>
        <v/>
      </c>
      <c r="F7069" s="72"/>
      <c r="G7069" s="72"/>
    </row>
    <row r="7070" spans="1:7" ht="14.5" hidden="1">
      <c r="A7070" s="5"/>
      <c r="B7070" s="18"/>
      <c r="C7070" s="85"/>
      <c r="D7070" s="41"/>
      <c r="E7070" s="26" t="str">
        <f ca="1">IFERROR(__xludf.DUMMYFUNCTION("""COMPUTED_VALUE"""),"")</f>
        <v/>
      </c>
      <c r="F7070" s="72"/>
      <c r="G7070" s="72"/>
    </row>
    <row r="7071" spans="1:7" ht="14.5" hidden="1">
      <c r="A7071" s="5"/>
      <c r="B7071" s="18"/>
      <c r="C7071" s="85"/>
      <c r="D7071" s="41"/>
      <c r="E7071" s="26" t="str">
        <f ca="1">IFERROR(__xludf.DUMMYFUNCTION("""COMPUTED_VALUE"""),"")</f>
        <v/>
      </c>
      <c r="F7071" s="72"/>
      <c r="G7071" s="72"/>
    </row>
    <row r="7072" spans="1:7" ht="14.5" hidden="1">
      <c r="A7072" s="5"/>
      <c r="B7072" s="18"/>
      <c r="C7072" s="85"/>
      <c r="D7072" s="41"/>
      <c r="E7072" s="26" t="str">
        <f ca="1">IFERROR(__xludf.DUMMYFUNCTION("""COMPUTED_VALUE"""),"")</f>
        <v/>
      </c>
      <c r="F7072" s="72"/>
      <c r="G7072" s="72"/>
    </row>
    <row r="7073" spans="1:7" ht="14.5" hidden="1">
      <c r="A7073" s="5"/>
      <c r="B7073" s="18"/>
      <c r="C7073" s="85"/>
      <c r="D7073" s="41"/>
      <c r="E7073" s="26" t="str">
        <f ca="1">IFERROR(__xludf.DUMMYFUNCTION("""COMPUTED_VALUE"""),"")</f>
        <v/>
      </c>
      <c r="F7073" s="72"/>
      <c r="G7073" s="72"/>
    </row>
    <row r="7074" spans="1:7" ht="14.5" hidden="1">
      <c r="A7074" s="5"/>
      <c r="B7074" s="18"/>
      <c r="C7074" s="85"/>
      <c r="D7074" s="41"/>
      <c r="E7074" s="26" t="str">
        <f ca="1">IFERROR(__xludf.DUMMYFUNCTION("""COMPUTED_VALUE"""),"")</f>
        <v/>
      </c>
      <c r="F7074" s="72"/>
      <c r="G7074" s="72"/>
    </row>
    <row r="7075" spans="1:7" ht="14.5" hidden="1">
      <c r="A7075" s="5"/>
      <c r="B7075" s="18"/>
      <c r="C7075" s="85"/>
      <c r="D7075" s="41"/>
      <c r="E7075" s="26" t="str">
        <f ca="1">IFERROR(__xludf.DUMMYFUNCTION("""COMPUTED_VALUE"""),"")</f>
        <v/>
      </c>
      <c r="F7075" s="72"/>
      <c r="G7075" s="72"/>
    </row>
    <row r="7076" spans="1:7" ht="14.5" hidden="1">
      <c r="A7076" s="5"/>
      <c r="B7076" s="18"/>
      <c r="C7076" s="85"/>
      <c r="D7076" s="41"/>
      <c r="E7076" s="26" t="str">
        <f ca="1">IFERROR(__xludf.DUMMYFUNCTION("""COMPUTED_VALUE"""),"")</f>
        <v/>
      </c>
      <c r="F7076" s="72"/>
      <c r="G7076" s="72"/>
    </row>
    <row r="7077" spans="1:7" ht="14.5" hidden="1">
      <c r="A7077" s="5"/>
      <c r="B7077" s="18"/>
      <c r="C7077" s="85"/>
      <c r="D7077" s="41"/>
      <c r="E7077" s="26" t="str">
        <f ca="1">IFERROR(__xludf.DUMMYFUNCTION("""COMPUTED_VALUE"""),"")</f>
        <v/>
      </c>
      <c r="F7077" s="72"/>
      <c r="G7077" s="72"/>
    </row>
    <row r="7078" spans="1:7" ht="14.5" hidden="1">
      <c r="A7078" s="5"/>
      <c r="B7078" s="18"/>
      <c r="C7078" s="85"/>
      <c r="D7078" s="41"/>
      <c r="E7078" s="26" t="str">
        <f ca="1">IFERROR(__xludf.DUMMYFUNCTION("""COMPUTED_VALUE"""),"")</f>
        <v/>
      </c>
      <c r="F7078" s="72"/>
      <c r="G7078" s="72"/>
    </row>
    <row r="7079" spans="1:7" ht="14.5" hidden="1">
      <c r="A7079" s="5"/>
      <c r="B7079" s="18"/>
      <c r="C7079" s="85"/>
      <c r="D7079" s="41"/>
      <c r="E7079" s="26" t="str">
        <f ca="1">IFERROR(__xludf.DUMMYFUNCTION("""COMPUTED_VALUE"""),"")</f>
        <v/>
      </c>
      <c r="F7079" s="72"/>
      <c r="G7079" s="72"/>
    </row>
    <row r="7080" spans="1:7" ht="14.5" hidden="1">
      <c r="A7080" s="5"/>
      <c r="B7080" s="18"/>
      <c r="C7080" s="85"/>
      <c r="D7080" s="41"/>
      <c r="E7080" s="26" t="str">
        <f ca="1">IFERROR(__xludf.DUMMYFUNCTION("""COMPUTED_VALUE"""),"")</f>
        <v/>
      </c>
      <c r="F7080" s="72"/>
      <c r="G7080" s="72"/>
    </row>
    <row r="7081" spans="1:7" ht="14.5" hidden="1">
      <c r="A7081" s="5"/>
      <c r="B7081" s="18"/>
      <c r="C7081" s="85"/>
      <c r="D7081" s="41"/>
      <c r="E7081" s="26" t="str">
        <f ca="1">IFERROR(__xludf.DUMMYFUNCTION("""COMPUTED_VALUE"""),"")</f>
        <v/>
      </c>
      <c r="F7081" s="72"/>
      <c r="G7081" s="72"/>
    </row>
    <row r="7082" spans="1:7" ht="14.5" hidden="1">
      <c r="A7082" s="5"/>
      <c r="B7082" s="18"/>
      <c r="C7082" s="85"/>
      <c r="D7082" s="41"/>
      <c r="E7082" s="26" t="str">
        <f ca="1">IFERROR(__xludf.DUMMYFUNCTION("""COMPUTED_VALUE"""),"")</f>
        <v/>
      </c>
      <c r="F7082" s="72"/>
      <c r="G7082" s="72"/>
    </row>
    <row r="7083" spans="1:7" ht="14.5" hidden="1">
      <c r="A7083" s="5"/>
      <c r="B7083" s="18"/>
      <c r="C7083" s="85"/>
      <c r="D7083" s="41"/>
      <c r="E7083" s="26" t="str">
        <f ca="1">IFERROR(__xludf.DUMMYFUNCTION("""COMPUTED_VALUE"""),"")</f>
        <v/>
      </c>
      <c r="F7083" s="72"/>
      <c r="G7083" s="72"/>
    </row>
    <row r="7084" spans="1:7" ht="14.5" hidden="1">
      <c r="A7084" s="5"/>
      <c r="B7084" s="18"/>
      <c r="C7084" s="85"/>
      <c r="D7084" s="41"/>
      <c r="E7084" s="26" t="str">
        <f ca="1">IFERROR(__xludf.DUMMYFUNCTION("""COMPUTED_VALUE"""),"")</f>
        <v/>
      </c>
      <c r="F7084" s="72"/>
      <c r="G7084" s="72"/>
    </row>
    <row r="7085" spans="1:7" ht="14.5" hidden="1">
      <c r="A7085" s="5"/>
      <c r="B7085" s="18"/>
      <c r="C7085" s="85"/>
      <c r="D7085" s="41"/>
      <c r="E7085" s="26" t="str">
        <f ca="1">IFERROR(__xludf.DUMMYFUNCTION("""COMPUTED_VALUE"""),"")</f>
        <v/>
      </c>
      <c r="F7085" s="72"/>
      <c r="G7085" s="72"/>
    </row>
    <row r="7086" spans="1:7" ht="14.5" hidden="1">
      <c r="A7086" s="5"/>
      <c r="B7086" s="18"/>
      <c r="C7086" s="85"/>
      <c r="D7086" s="41"/>
      <c r="E7086" s="26" t="str">
        <f ca="1">IFERROR(__xludf.DUMMYFUNCTION("""COMPUTED_VALUE"""),"")</f>
        <v/>
      </c>
      <c r="F7086" s="72"/>
      <c r="G7086" s="72"/>
    </row>
    <row r="7087" spans="1:7" ht="14.5" hidden="1">
      <c r="A7087" s="5"/>
      <c r="B7087" s="18"/>
      <c r="C7087" s="85"/>
      <c r="D7087" s="41"/>
      <c r="E7087" s="26" t="str">
        <f ca="1">IFERROR(__xludf.DUMMYFUNCTION("""COMPUTED_VALUE"""),"")</f>
        <v/>
      </c>
      <c r="F7087" s="72"/>
      <c r="G7087" s="72"/>
    </row>
    <row r="7088" spans="1:7" ht="14.5" hidden="1">
      <c r="A7088" s="5"/>
      <c r="B7088" s="18"/>
      <c r="C7088" s="85"/>
      <c r="D7088" s="41"/>
      <c r="E7088" s="26" t="str">
        <f ca="1">IFERROR(__xludf.DUMMYFUNCTION("""COMPUTED_VALUE"""),"")</f>
        <v/>
      </c>
      <c r="F7088" s="72"/>
      <c r="G7088" s="72"/>
    </row>
    <row r="7089" spans="1:7" ht="14.5" hidden="1">
      <c r="A7089" s="5"/>
      <c r="B7089" s="18"/>
      <c r="C7089" s="85"/>
      <c r="D7089" s="41"/>
      <c r="E7089" s="26" t="str">
        <f ca="1">IFERROR(__xludf.DUMMYFUNCTION("""COMPUTED_VALUE"""),"")</f>
        <v/>
      </c>
      <c r="F7089" s="72"/>
      <c r="G7089" s="72"/>
    </row>
    <row r="7090" spans="1:7" ht="14.5" hidden="1">
      <c r="A7090" s="5"/>
      <c r="B7090" s="18"/>
      <c r="C7090" s="85"/>
      <c r="D7090" s="41"/>
      <c r="E7090" s="26" t="str">
        <f ca="1">IFERROR(__xludf.DUMMYFUNCTION("""COMPUTED_VALUE"""),"")</f>
        <v/>
      </c>
      <c r="F7090" s="72"/>
      <c r="G7090" s="72"/>
    </row>
    <row r="7091" spans="1:7" ht="14.5" hidden="1">
      <c r="A7091" s="5"/>
      <c r="B7091" s="18"/>
      <c r="C7091" s="85"/>
      <c r="D7091" s="41"/>
      <c r="E7091" s="26" t="str">
        <f ca="1">IFERROR(__xludf.DUMMYFUNCTION("""COMPUTED_VALUE"""),"")</f>
        <v/>
      </c>
      <c r="F7091" s="72"/>
      <c r="G7091" s="72"/>
    </row>
    <row r="7092" spans="1:7" ht="14.5" hidden="1">
      <c r="A7092" s="5"/>
      <c r="B7092" s="18"/>
      <c r="C7092" s="85"/>
      <c r="D7092" s="41"/>
      <c r="E7092" s="26" t="str">
        <f ca="1">IFERROR(__xludf.DUMMYFUNCTION("""COMPUTED_VALUE"""),"")</f>
        <v/>
      </c>
      <c r="F7092" s="72"/>
      <c r="G7092" s="72"/>
    </row>
    <row r="7093" spans="1:7" ht="14.5" hidden="1">
      <c r="A7093" s="5"/>
      <c r="B7093" s="18"/>
      <c r="C7093" s="85"/>
      <c r="D7093" s="41"/>
      <c r="E7093" s="26" t="str">
        <f ca="1">IFERROR(__xludf.DUMMYFUNCTION("""COMPUTED_VALUE"""),"")</f>
        <v/>
      </c>
      <c r="F7093" s="72"/>
      <c r="G7093" s="72"/>
    </row>
    <row r="7094" spans="1:7" ht="14.5" hidden="1">
      <c r="A7094" s="5"/>
      <c r="B7094" s="18"/>
      <c r="C7094" s="85"/>
      <c r="D7094" s="41"/>
      <c r="E7094" s="26" t="str">
        <f ca="1">IFERROR(__xludf.DUMMYFUNCTION("""COMPUTED_VALUE"""),"")</f>
        <v/>
      </c>
      <c r="F7094" s="72"/>
      <c r="G7094" s="72"/>
    </row>
    <row r="7095" spans="1:7" ht="14.5" hidden="1">
      <c r="A7095" s="5"/>
      <c r="B7095" s="18"/>
      <c r="C7095" s="85"/>
      <c r="D7095" s="41"/>
      <c r="E7095" s="26" t="str">
        <f ca="1">IFERROR(__xludf.DUMMYFUNCTION("""COMPUTED_VALUE"""),"")</f>
        <v/>
      </c>
      <c r="F7095" s="72"/>
      <c r="G7095" s="72"/>
    </row>
    <row r="7096" spans="1:7" ht="14.5" hidden="1">
      <c r="A7096" s="5"/>
      <c r="B7096" s="18"/>
      <c r="C7096" s="85"/>
      <c r="D7096" s="41"/>
      <c r="E7096" s="26" t="str">
        <f ca="1">IFERROR(__xludf.DUMMYFUNCTION("""COMPUTED_VALUE"""),"")</f>
        <v/>
      </c>
      <c r="F7096" s="72"/>
      <c r="G7096" s="72"/>
    </row>
    <row r="7097" spans="1:7" ht="14.5" hidden="1">
      <c r="A7097" s="5"/>
      <c r="B7097" s="18"/>
      <c r="C7097" s="85"/>
      <c r="D7097" s="41"/>
      <c r="E7097" s="26" t="str">
        <f ca="1">IFERROR(__xludf.DUMMYFUNCTION("""COMPUTED_VALUE"""),"")</f>
        <v/>
      </c>
      <c r="F7097" s="72"/>
      <c r="G7097" s="72"/>
    </row>
    <row r="7098" spans="1:7" ht="14.5" hidden="1">
      <c r="A7098" s="5"/>
      <c r="B7098" s="18"/>
      <c r="C7098" s="85"/>
      <c r="D7098" s="41"/>
      <c r="E7098" s="26" t="str">
        <f ca="1">IFERROR(__xludf.DUMMYFUNCTION("""COMPUTED_VALUE"""),"")</f>
        <v/>
      </c>
      <c r="F7098" s="72"/>
      <c r="G7098" s="72"/>
    </row>
    <row r="7099" spans="1:7" ht="14.5" hidden="1">
      <c r="A7099" s="5"/>
      <c r="B7099" s="18"/>
      <c r="C7099" s="85"/>
      <c r="D7099" s="41"/>
      <c r="E7099" s="26" t="str">
        <f ca="1">IFERROR(__xludf.DUMMYFUNCTION("""COMPUTED_VALUE"""),"")</f>
        <v/>
      </c>
      <c r="F7099" s="72"/>
      <c r="G7099" s="72"/>
    </row>
    <row r="7100" spans="1:7" ht="14.5" hidden="1">
      <c r="A7100" s="5"/>
      <c r="B7100" s="18"/>
      <c r="C7100" s="85"/>
      <c r="D7100" s="41"/>
      <c r="E7100" s="26" t="str">
        <f ca="1">IFERROR(__xludf.DUMMYFUNCTION("""COMPUTED_VALUE"""),"")</f>
        <v/>
      </c>
      <c r="F7100" s="72"/>
      <c r="G7100" s="72"/>
    </row>
    <row r="7101" spans="1:7" ht="14.5" hidden="1">
      <c r="A7101" s="5"/>
      <c r="B7101" s="18"/>
      <c r="C7101" s="85"/>
      <c r="D7101" s="41"/>
      <c r="E7101" s="26" t="str">
        <f ca="1">IFERROR(__xludf.DUMMYFUNCTION("""COMPUTED_VALUE"""),"")</f>
        <v/>
      </c>
      <c r="F7101" s="72"/>
      <c r="G7101" s="72"/>
    </row>
    <row r="7102" spans="1:7" ht="14.5" hidden="1">
      <c r="A7102" s="5"/>
      <c r="B7102" s="18"/>
      <c r="C7102" s="85"/>
      <c r="D7102" s="41"/>
      <c r="E7102" s="26" t="str">
        <f ca="1">IFERROR(__xludf.DUMMYFUNCTION("""COMPUTED_VALUE"""),"")</f>
        <v/>
      </c>
      <c r="F7102" s="72"/>
      <c r="G7102" s="72"/>
    </row>
    <row r="7103" spans="1:7" ht="14.5" hidden="1">
      <c r="A7103" s="5"/>
      <c r="B7103" s="18"/>
      <c r="C7103" s="85"/>
      <c r="D7103" s="41"/>
      <c r="E7103" s="26" t="str">
        <f ca="1">IFERROR(__xludf.DUMMYFUNCTION("""COMPUTED_VALUE"""),"")</f>
        <v/>
      </c>
      <c r="F7103" s="72"/>
      <c r="G7103" s="72"/>
    </row>
    <row r="7104" spans="1:7" ht="14.5" hidden="1">
      <c r="A7104" s="5"/>
      <c r="B7104" s="18"/>
      <c r="C7104" s="85"/>
      <c r="D7104" s="41"/>
      <c r="E7104" s="26" t="str">
        <f ca="1">IFERROR(__xludf.DUMMYFUNCTION("""COMPUTED_VALUE"""),"")</f>
        <v/>
      </c>
      <c r="F7104" s="72"/>
      <c r="G7104" s="72"/>
    </row>
    <row r="7105" spans="1:7" ht="14.5" hidden="1">
      <c r="A7105" s="5"/>
      <c r="B7105" s="18"/>
      <c r="C7105" s="85"/>
      <c r="D7105" s="41"/>
      <c r="E7105" s="26" t="str">
        <f ca="1">IFERROR(__xludf.DUMMYFUNCTION("""COMPUTED_VALUE"""),"")</f>
        <v/>
      </c>
      <c r="F7105" s="72"/>
      <c r="G7105" s="72"/>
    </row>
    <row r="7106" spans="1:7" ht="14.5" hidden="1">
      <c r="A7106" s="5"/>
      <c r="B7106" s="18"/>
      <c r="C7106" s="85"/>
      <c r="D7106" s="41"/>
      <c r="E7106" s="26" t="str">
        <f ca="1">IFERROR(__xludf.DUMMYFUNCTION("""COMPUTED_VALUE"""),"")</f>
        <v/>
      </c>
      <c r="F7106" s="72"/>
      <c r="G7106" s="72"/>
    </row>
    <row r="7107" spans="1:7" ht="14.5" hidden="1">
      <c r="A7107" s="5"/>
      <c r="B7107" s="18"/>
      <c r="C7107" s="85"/>
      <c r="D7107" s="41"/>
      <c r="E7107" s="26" t="str">
        <f ca="1">IFERROR(__xludf.DUMMYFUNCTION("""COMPUTED_VALUE"""),"")</f>
        <v/>
      </c>
      <c r="F7107" s="72"/>
      <c r="G7107" s="72"/>
    </row>
    <row r="7108" spans="1:7" ht="14.5" hidden="1">
      <c r="A7108" s="5"/>
      <c r="B7108" s="18"/>
      <c r="C7108" s="85"/>
      <c r="D7108" s="41"/>
      <c r="E7108" s="26" t="str">
        <f ca="1">IFERROR(__xludf.DUMMYFUNCTION("""COMPUTED_VALUE"""),"")</f>
        <v/>
      </c>
      <c r="F7108" s="72"/>
      <c r="G7108" s="72"/>
    </row>
    <row r="7109" spans="1:7" ht="14.5" hidden="1">
      <c r="A7109" s="5"/>
      <c r="B7109" s="18"/>
      <c r="C7109" s="85"/>
      <c r="D7109" s="41"/>
      <c r="E7109" s="26" t="str">
        <f ca="1">IFERROR(__xludf.DUMMYFUNCTION("""COMPUTED_VALUE"""),"")</f>
        <v/>
      </c>
      <c r="F7109" s="72"/>
      <c r="G7109" s="72"/>
    </row>
    <row r="7110" spans="1:7" ht="14.5" hidden="1">
      <c r="A7110" s="5"/>
      <c r="B7110" s="18"/>
      <c r="C7110" s="85"/>
      <c r="D7110" s="41"/>
      <c r="E7110" s="26" t="str">
        <f ca="1">IFERROR(__xludf.DUMMYFUNCTION("""COMPUTED_VALUE"""),"")</f>
        <v/>
      </c>
      <c r="F7110" s="72"/>
      <c r="G7110" s="72"/>
    </row>
    <row r="7111" spans="1:7" ht="14.5" hidden="1">
      <c r="A7111" s="5"/>
      <c r="B7111" s="18"/>
      <c r="C7111" s="85"/>
      <c r="D7111" s="41"/>
      <c r="E7111" s="26" t="str">
        <f ca="1">IFERROR(__xludf.DUMMYFUNCTION("""COMPUTED_VALUE"""),"")</f>
        <v/>
      </c>
      <c r="F7111" s="72"/>
      <c r="G7111" s="72"/>
    </row>
    <row r="7112" spans="1:7" ht="14.5" hidden="1">
      <c r="A7112" s="5"/>
      <c r="B7112" s="18"/>
      <c r="C7112" s="85"/>
      <c r="D7112" s="41"/>
      <c r="E7112" s="26" t="str">
        <f ca="1">IFERROR(__xludf.DUMMYFUNCTION("""COMPUTED_VALUE"""),"")</f>
        <v/>
      </c>
      <c r="F7112" s="72"/>
      <c r="G7112" s="72"/>
    </row>
    <row r="7113" spans="1:7" ht="14.5" hidden="1">
      <c r="A7113" s="5"/>
      <c r="B7113" s="18"/>
      <c r="C7113" s="85"/>
      <c r="D7113" s="41"/>
      <c r="E7113" s="26" t="str">
        <f ca="1">IFERROR(__xludf.DUMMYFUNCTION("""COMPUTED_VALUE"""),"")</f>
        <v/>
      </c>
      <c r="F7113" s="72"/>
      <c r="G7113" s="72"/>
    </row>
    <row r="7114" spans="1:7" ht="14.5" hidden="1">
      <c r="A7114" s="5"/>
      <c r="B7114" s="18"/>
      <c r="C7114" s="85"/>
      <c r="D7114" s="41"/>
      <c r="E7114" s="26" t="str">
        <f ca="1">IFERROR(__xludf.DUMMYFUNCTION("""COMPUTED_VALUE"""),"")</f>
        <v/>
      </c>
      <c r="F7114" s="72"/>
      <c r="G7114" s="72"/>
    </row>
    <row r="7115" spans="1:7" ht="14.5" hidden="1">
      <c r="A7115" s="5"/>
      <c r="B7115" s="18"/>
      <c r="C7115" s="85"/>
      <c r="D7115" s="41"/>
      <c r="E7115" s="26" t="str">
        <f ca="1">IFERROR(__xludf.DUMMYFUNCTION("""COMPUTED_VALUE"""),"")</f>
        <v/>
      </c>
      <c r="F7115" s="72"/>
      <c r="G7115" s="72"/>
    </row>
    <row r="7116" spans="1:7" ht="14.5" hidden="1">
      <c r="A7116" s="5"/>
      <c r="B7116" s="18"/>
      <c r="C7116" s="85"/>
      <c r="D7116" s="41"/>
      <c r="E7116" s="26" t="str">
        <f ca="1">IFERROR(__xludf.DUMMYFUNCTION("""COMPUTED_VALUE"""),"")</f>
        <v/>
      </c>
      <c r="F7116" s="72"/>
      <c r="G7116" s="72"/>
    </row>
    <row r="7117" spans="1:7" ht="14.5" hidden="1">
      <c r="A7117" s="5"/>
      <c r="B7117" s="18"/>
      <c r="C7117" s="85"/>
      <c r="D7117" s="41"/>
      <c r="E7117" s="26" t="str">
        <f ca="1">IFERROR(__xludf.DUMMYFUNCTION("""COMPUTED_VALUE"""),"")</f>
        <v/>
      </c>
      <c r="F7117" s="72"/>
      <c r="G7117" s="72"/>
    </row>
    <row r="7118" spans="1:7" ht="14.5" hidden="1">
      <c r="A7118" s="5"/>
      <c r="B7118" s="18"/>
      <c r="C7118" s="85"/>
      <c r="D7118" s="41"/>
      <c r="E7118" s="26" t="str">
        <f ca="1">IFERROR(__xludf.DUMMYFUNCTION("""COMPUTED_VALUE"""),"")</f>
        <v/>
      </c>
      <c r="F7118" s="72"/>
      <c r="G7118" s="72"/>
    </row>
    <row r="7119" spans="1:7" ht="14.5" hidden="1">
      <c r="A7119" s="5"/>
      <c r="B7119" s="18"/>
      <c r="C7119" s="85"/>
      <c r="D7119" s="41"/>
      <c r="E7119" s="26" t="str">
        <f ca="1">IFERROR(__xludf.DUMMYFUNCTION("""COMPUTED_VALUE"""),"")</f>
        <v/>
      </c>
      <c r="F7119" s="72"/>
      <c r="G7119" s="72"/>
    </row>
    <row r="7120" spans="1:7" ht="14.5" hidden="1">
      <c r="A7120" s="5"/>
      <c r="B7120" s="18"/>
      <c r="C7120" s="85"/>
      <c r="D7120" s="41"/>
      <c r="E7120" s="26" t="str">
        <f ca="1">IFERROR(__xludf.DUMMYFUNCTION("""COMPUTED_VALUE"""),"")</f>
        <v/>
      </c>
      <c r="F7120" s="72"/>
      <c r="G7120" s="72"/>
    </row>
    <row r="7121" spans="1:7" ht="14.5" hidden="1">
      <c r="A7121" s="5"/>
      <c r="B7121" s="18"/>
      <c r="C7121" s="85"/>
      <c r="D7121" s="41"/>
      <c r="E7121" s="26" t="str">
        <f ca="1">IFERROR(__xludf.DUMMYFUNCTION("""COMPUTED_VALUE"""),"")</f>
        <v/>
      </c>
      <c r="F7121" s="72"/>
      <c r="G7121" s="72"/>
    </row>
    <row r="7122" spans="1:7" ht="14.5" hidden="1">
      <c r="A7122" s="5"/>
      <c r="B7122" s="18"/>
      <c r="C7122" s="85"/>
      <c r="D7122" s="41"/>
      <c r="E7122" s="26" t="str">
        <f ca="1">IFERROR(__xludf.DUMMYFUNCTION("""COMPUTED_VALUE"""),"")</f>
        <v/>
      </c>
      <c r="F7122" s="72"/>
      <c r="G7122" s="72"/>
    </row>
    <row r="7123" spans="1:7" ht="14.5" hidden="1">
      <c r="A7123" s="5"/>
      <c r="B7123" s="18"/>
      <c r="C7123" s="85"/>
      <c r="D7123" s="41"/>
      <c r="E7123" s="26" t="str">
        <f ca="1">IFERROR(__xludf.DUMMYFUNCTION("""COMPUTED_VALUE"""),"")</f>
        <v/>
      </c>
      <c r="F7123" s="72"/>
      <c r="G7123" s="72"/>
    </row>
    <row r="7124" spans="1:7" ht="14.5" hidden="1">
      <c r="A7124" s="5"/>
      <c r="B7124" s="18"/>
      <c r="C7124" s="85"/>
      <c r="D7124" s="41"/>
      <c r="E7124" s="26" t="str">
        <f ca="1">IFERROR(__xludf.DUMMYFUNCTION("""COMPUTED_VALUE"""),"")</f>
        <v/>
      </c>
      <c r="F7124" s="72"/>
      <c r="G7124" s="72"/>
    </row>
    <row r="7125" spans="1:7" ht="14.5" hidden="1">
      <c r="A7125" s="5"/>
      <c r="B7125" s="18"/>
      <c r="C7125" s="85"/>
      <c r="D7125" s="41"/>
      <c r="E7125" s="26" t="str">
        <f ca="1">IFERROR(__xludf.DUMMYFUNCTION("""COMPUTED_VALUE"""),"")</f>
        <v/>
      </c>
      <c r="F7125" s="72"/>
      <c r="G7125" s="72"/>
    </row>
    <row r="7126" spans="1:7" ht="14.5" hidden="1">
      <c r="A7126" s="5"/>
      <c r="B7126" s="18"/>
      <c r="C7126" s="85"/>
      <c r="D7126" s="41"/>
      <c r="E7126" s="26" t="str">
        <f ca="1">IFERROR(__xludf.DUMMYFUNCTION("""COMPUTED_VALUE"""),"")</f>
        <v/>
      </c>
      <c r="F7126" s="72"/>
      <c r="G7126" s="72"/>
    </row>
    <row r="7127" spans="1:7" ht="14.5" hidden="1">
      <c r="A7127" s="5"/>
      <c r="B7127" s="18"/>
      <c r="C7127" s="85"/>
      <c r="D7127" s="41"/>
      <c r="E7127" s="26" t="str">
        <f ca="1">IFERROR(__xludf.DUMMYFUNCTION("""COMPUTED_VALUE"""),"")</f>
        <v/>
      </c>
      <c r="F7127" s="72"/>
      <c r="G7127" s="72"/>
    </row>
    <row r="7128" spans="1:7" ht="14.5" hidden="1">
      <c r="A7128" s="5"/>
      <c r="B7128" s="18"/>
      <c r="C7128" s="85"/>
      <c r="D7128" s="41"/>
      <c r="E7128" s="26" t="str">
        <f ca="1">IFERROR(__xludf.DUMMYFUNCTION("""COMPUTED_VALUE"""),"")</f>
        <v/>
      </c>
      <c r="F7128" s="72"/>
      <c r="G7128" s="72"/>
    </row>
    <row r="7129" spans="1:7" ht="14.5" hidden="1">
      <c r="A7129" s="5"/>
      <c r="B7129" s="18"/>
      <c r="C7129" s="85"/>
      <c r="D7129" s="41"/>
      <c r="E7129" s="26" t="str">
        <f ca="1">IFERROR(__xludf.DUMMYFUNCTION("""COMPUTED_VALUE"""),"")</f>
        <v/>
      </c>
      <c r="F7129" s="72"/>
      <c r="G7129" s="72"/>
    </row>
    <row r="7130" spans="1:7" ht="14.5" hidden="1">
      <c r="A7130" s="5"/>
      <c r="B7130" s="18"/>
      <c r="C7130" s="85"/>
      <c r="D7130" s="41"/>
      <c r="E7130" s="26" t="str">
        <f ca="1">IFERROR(__xludf.DUMMYFUNCTION("""COMPUTED_VALUE"""),"")</f>
        <v/>
      </c>
      <c r="F7130" s="72"/>
      <c r="G7130" s="72"/>
    </row>
    <row r="7131" spans="1:7" ht="14.5" hidden="1">
      <c r="A7131" s="5"/>
      <c r="B7131" s="18"/>
      <c r="C7131" s="85"/>
      <c r="D7131" s="41"/>
      <c r="E7131" s="26" t="str">
        <f ca="1">IFERROR(__xludf.DUMMYFUNCTION("""COMPUTED_VALUE"""),"")</f>
        <v/>
      </c>
      <c r="F7131" s="72"/>
      <c r="G7131" s="72"/>
    </row>
    <row r="7132" spans="1:7" ht="14.5" hidden="1">
      <c r="A7132" s="5"/>
      <c r="B7132" s="18"/>
      <c r="C7132" s="85"/>
      <c r="D7132" s="41"/>
      <c r="E7132" s="26" t="str">
        <f ca="1">IFERROR(__xludf.DUMMYFUNCTION("""COMPUTED_VALUE"""),"")</f>
        <v/>
      </c>
      <c r="F7132" s="72"/>
      <c r="G7132" s="72"/>
    </row>
    <row r="7133" spans="1:7" ht="14.5" hidden="1">
      <c r="A7133" s="5"/>
      <c r="B7133" s="18"/>
      <c r="C7133" s="85"/>
      <c r="D7133" s="41"/>
      <c r="E7133" s="26" t="str">
        <f ca="1">IFERROR(__xludf.DUMMYFUNCTION("""COMPUTED_VALUE"""),"")</f>
        <v/>
      </c>
      <c r="F7133" s="72"/>
      <c r="G7133" s="72"/>
    </row>
    <row r="7134" spans="1:7" ht="14.5" hidden="1">
      <c r="A7134" s="5"/>
      <c r="B7134" s="18"/>
      <c r="C7134" s="85"/>
      <c r="D7134" s="41"/>
      <c r="E7134" s="26" t="str">
        <f ca="1">IFERROR(__xludf.DUMMYFUNCTION("""COMPUTED_VALUE"""),"")</f>
        <v/>
      </c>
      <c r="F7134" s="72"/>
      <c r="G7134" s="72"/>
    </row>
    <row r="7135" spans="1:7" ht="14.5" hidden="1">
      <c r="A7135" s="5"/>
      <c r="B7135" s="18"/>
      <c r="C7135" s="85"/>
      <c r="D7135" s="41"/>
      <c r="E7135" s="26" t="str">
        <f ca="1">IFERROR(__xludf.DUMMYFUNCTION("""COMPUTED_VALUE"""),"")</f>
        <v/>
      </c>
      <c r="F7135" s="72"/>
      <c r="G7135" s="72"/>
    </row>
    <row r="7136" spans="1:7" ht="14.5" hidden="1">
      <c r="A7136" s="5"/>
      <c r="B7136" s="18"/>
      <c r="C7136" s="85"/>
      <c r="D7136" s="41"/>
      <c r="E7136" s="26" t="str">
        <f ca="1">IFERROR(__xludf.DUMMYFUNCTION("""COMPUTED_VALUE"""),"")</f>
        <v/>
      </c>
      <c r="F7136" s="72"/>
      <c r="G7136" s="72"/>
    </row>
    <row r="7137" spans="1:7" ht="14.5" hidden="1">
      <c r="A7137" s="5"/>
      <c r="B7137" s="18"/>
      <c r="C7137" s="85"/>
      <c r="D7137" s="41"/>
      <c r="E7137" s="26" t="str">
        <f ca="1">IFERROR(__xludf.DUMMYFUNCTION("""COMPUTED_VALUE"""),"")</f>
        <v/>
      </c>
      <c r="F7137" s="72"/>
      <c r="G7137" s="72"/>
    </row>
    <row r="7138" spans="1:7" ht="14.5" hidden="1">
      <c r="A7138" s="5"/>
      <c r="B7138" s="18"/>
      <c r="C7138" s="85"/>
      <c r="D7138" s="41"/>
      <c r="E7138" s="26" t="str">
        <f ca="1">IFERROR(__xludf.DUMMYFUNCTION("""COMPUTED_VALUE"""),"")</f>
        <v/>
      </c>
      <c r="F7138" s="72"/>
      <c r="G7138" s="72"/>
    </row>
    <row r="7139" spans="1:7" ht="14.5" hidden="1">
      <c r="A7139" s="5"/>
      <c r="B7139" s="18"/>
      <c r="C7139" s="85"/>
      <c r="D7139" s="41"/>
      <c r="E7139" s="26" t="str">
        <f ca="1">IFERROR(__xludf.DUMMYFUNCTION("""COMPUTED_VALUE"""),"")</f>
        <v/>
      </c>
      <c r="F7139" s="72"/>
      <c r="G7139" s="72"/>
    </row>
    <row r="7140" spans="1:7" ht="14.5" hidden="1">
      <c r="A7140" s="5"/>
      <c r="B7140" s="18"/>
      <c r="C7140" s="85"/>
      <c r="D7140" s="41"/>
      <c r="E7140" s="26" t="str">
        <f ca="1">IFERROR(__xludf.DUMMYFUNCTION("""COMPUTED_VALUE"""),"")</f>
        <v/>
      </c>
      <c r="F7140" s="72"/>
      <c r="G7140" s="72"/>
    </row>
    <row r="7141" spans="1:7" ht="14.5" hidden="1">
      <c r="A7141" s="5"/>
      <c r="B7141" s="18"/>
      <c r="C7141" s="85"/>
      <c r="D7141" s="41"/>
      <c r="E7141" s="26" t="str">
        <f ca="1">IFERROR(__xludf.DUMMYFUNCTION("""COMPUTED_VALUE"""),"")</f>
        <v/>
      </c>
      <c r="F7141" s="72"/>
      <c r="G7141" s="72"/>
    </row>
    <row r="7142" spans="1:7" ht="14.5" hidden="1">
      <c r="A7142" s="5"/>
      <c r="B7142" s="18"/>
      <c r="C7142" s="85"/>
      <c r="D7142" s="41"/>
      <c r="E7142" s="26" t="str">
        <f ca="1">IFERROR(__xludf.DUMMYFUNCTION("""COMPUTED_VALUE"""),"")</f>
        <v/>
      </c>
      <c r="F7142" s="72"/>
      <c r="G7142" s="72"/>
    </row>
    <row r="7143" spans="1:7" ht="14.5" hidden="1">
      <c r="A7143" s="5"/>
      <c r="B7143" s="18"/>
      <c r="C7143" s="85"/>
      <c r="D7143" s="41"/>
      <c r="E7143" s="26" t="str">
        <f ca="1">IFERROR(__xludf.DUMMYFUNCTION("""COMPUTED_VALUE"""),"")</f>
        <v/>
      </c>
      <c r="F7143" s="72"/>
      <c r="G7143" s="72"/>
    </row>
    <row r="7144" spans="1:7" ht="14.5" hidden="1">
      <c r="A7144" s="5"/>
      <c r="B7144" s="18"/>
      <c r="C7144" s="85"/>
      <c r="D7144" s="41"/>
      <c r="E7144" s="26" t="str">
        <f ca="1">IFERROR(__xludf.DUMMYFUNCTION("""COMPUTED_VALUE"""),"")</f>
        <v/>
      </c>
      <c r="F7144" s="72"/>
      <c r="G7144" s="72"/>
    </row>
    <row r="7145" spans="1:7" ht="14.5" hidden="1">
      <c r="A7145" s="5"/>
      <c r="B7145" s="18"/>
      <c r="C7145" s="85"/>
      <c r="D7145" s="41"/>
      <c r="E7145" s="26" t="str">
        <f ca="1">IFERROR(__xludf.DUMMYFUNCTION("""COMPUTED_VALUE"""),"")</f>
        <v/>
      </c>
      <c r="F7145" s="72"/>
      <c r="G7145" s="72"/>
    </row>
    <row r="7146" spans="1:7" ht="14.5" hidden="1">
      <c r="A7146" s="5"/>
      <c r="B7146" s="18"/>
      <c r="C7146" s="85"/>
      <c r="D7146" s="41"/>
      <c r="E7146" s="26" t="str">
        <f ca="1">IFERROR(__xludf.DUMMYFUNCTION("""COMPUTED_VALUE"""),"")</f>
        <v/>
      </c>
      <c r="F7146" s="72"/>
      <c r="G7146" s="72"/>
    </row>
    <row r="7147" spans="1:7" ht="14.5" hidden="1">
      <c r="A7147" s="5"/>
      <c r="B7147" s="18"/>
      <c r="C7147" s="85"/>
      <c r="D7147" s="41"/>
      <c r="E7147" s="26" t="str">
        <f ca="1">IFERROR(__xludf.DUMMYFUNCTION("""COMPUTED_VALUE"""),"")</f>
        <v/>
      </c>
      <c r="F7147" s="72"/>
      <c r="G7147" s="72"/>
    </row>
    <row r="7148" spans="1:7" ht="14.5" hidden="1">
      <c r="A7148" s="5"/>
      <c r="B7148" s="18"/>
      <c r="C7148" s="85"/>
      <c r="D7148" s="41"/>
      <c r="E7148" s="26" t="str">
        <f ca="1">IFERROR(__xludf.DUMMYFUNCTION("""COMPUTED_VALUE"""),"")</f>
        <v/>
      </c>
      <c r="F7148" s="72"/>
      <c r="G7148" s="72"/>
    </row>
    <row r="7149" spans="1:7" ht="14.5" hidden="1">
      <c r="A7149" s="5"/>
      <c r="B7149" s="18"/>
      <c r="C7149" s="85"/>
      <c r="D7149" s="41"/>
      <c r="E7149" s="26" t="str">
        <f ca="1">IFERROR(__xludf.DUMMYFUNCTION("""COMPUTED_VALUE"""),"")</f>
        <v/>
      </c>
      <c r="F7149" s="72"/>
      <c r="G7149" s="72"/>
    </row>
    <row r="7150" spans="1:7" ht="14.5" hidden="1">
      <c r="A7150" s="5"/>
      <c r="B7150" s="18"/>
      <c r="C7150" s="85"/>
      <c r="D7150" s="41"/>
      <c r="E7150" s="26" t="str">
        <f ca="1">IFERROR(__xludf.DUMMYFUNCTION("""COMPUTED_VALUE"""),"")</f>
        <v/>
      </c>
      <c r="F7150" s="72"/>
      <c r="G7150" s="72"/>
    </row>
    <row r="7151" spans="1:7" ht="14.5" hidden="1">
      <c r="A7151" s="5"/>
      <c r="B7151" s="18"/>
      <c r="C7151" s="85"/>
      <c r="D7151" s="41"/>
      <c r="E7151" s="26" t="str">
        <f ca="1">IFERROR(__xludf.DUMMYFUNCTION("""COMPUTED_VALUE"""),"")</f>
        <v/>
      </c>
      <c r="F7151" s="72"/>
      <c r="G7151" s="72"/>
    </row>
    <row r="7152" spans="1:7" ht="14.5" hidden="1">
      <c r="A7152" s="5"/>
      <c r="B7152" s="18"/>
      <c r="C7152" s="85"/>
      <c r="D7152" s="41"/>
      <c r="E7152" s="26" t="str">
        <f ca="1">IFERROR(__xludf.DUMMYFUNCTION("""COMPUTED_VALUE"""),"")</f>
        <v/>
      </c>
      <c r="F7152" s="72"/>
      <c r="G7152" s="72"/>
    </row>
    <row r="7153" spans="1:7" ht="14.5" hidden="1">
      <c r="A7153" s="5"/>
      <c r="B7153" s="18"/>
      <c r="C7153" s="85"/>
      <c r="D7153" s="41"/>
      <c r="E7153" s="26" t="str">
        <f ca="1">IFERROR(__xludf.DUMMYFUNCTION("""COMPUTED_VALUE"""),"")</f>
        <v/>
      </c>
      <c r="F7153" s="72"/>
      <c r="G7153" s="72"/>
    </row>
    <row r="7154" spans="1:7" ht="14.5" hidden="1">
      <c r="A7154" s="5"/>
      <c r="B7154" s="18"/>
      <c r="C7154" s="85"/>
      <c r="D7154" s="41"/>
      <c r="E7154" s="26" t="str">
        <f ca="1">IFERROR(__xludf.DUMMYFUNCTION("""COMPUTED_VALUE"""),"")</f>
        <v/>
      </c>
      <c r="F7154" s="72"/>
      <c r="G7154" s="72"/>
    </row>
    <row r="7155" spans="1:7" ht="14.5" hidden="1">
      <c r="A7155" s="5"/>
      <c r="B7155" s="18"/>
      <c r="C7155" s="85"/>
      <c r="D7155" s="41"/>
      <c r="E7155" s="26" t="str">
        <f ca="1">IFERROR(__xludf.DUMMYFUNCTION("""COMPUTED_VALUE"""),"")</f>
        <v/>
      </c>
      <c r="F7155" s="72"/>
      <c r="G7155" s="72"/>
    </row>
    <row r="7156" spans="1:7" ht="14.5" hidden="1">
      <c r="A7156" s="5"/>
      <c r="B7156" s="18"/>
      <c r="C7156" s="85"/>
      <c r="D7156" s="41"/>
      <c r="E7156" s="26" t="str">
        <f ca="1">IFERROR(__xludf.DUMMYFUNCTION("""COMPUTED_VALUE"""),"")</f>
        <v/>
      </c>
      <c r="F7156" s="72"/>
      <c r="G7156" s="72"/>
    </row>
    <row r="7157" spans="1:7" ht="14.5" hidden="1">
      <c r="A7157" s="5"/>
      <c r="B7157" s="18"/>
      <c r="C7157" s="85"/>
      <c r="D7157" s="41"/>
      <c r="E7157" s="26" t="str">
        <f ca="1">IFERROR(__xludf.DUMMYFUNCTION("""COMPUTED_VALUE"""),"")</f>
        <v/>
      </c>
      <c r="F7157" s="72"/>
      <c r="G7157" s="72"/>
    </row>
    <row r="7158" spans="1:7" ht="14.5" hidden="1">
      <c r="A7158" s="5"/>
      <c r="B7158" s="18"/>
      <c r="C7158" s="85"/>
      <c r="D7158" s="41"/>
      <c r="E7158" s="26" t="str">
        <f ca="1">IFERROR(__xludf.DUMMYFUNCTION("""COMPUTED_VALUE"""),"")</f>
        <v/>
      </c>
      <c r="F7158" s="72"/>
      <c r="G7158" s="72"/>
    </row>
    <row r="7159" spans="1:7" ht="14.5" hidden="1">
      <c r="A7159" s="5"/>
      <c r="B7159" s="18"/>
      <c r="C7159" s="85"/>
      <c r="D7159" s="41"/>
      <c r="E7159" s="26" t="str">
        <f ca="1">IFERROR(__xludf.DUMMYFUNCTION("""COMPUTED_VALUE"""),"")</f>
        <v/>
      </c>
      <c r="F7159" s="72"/>
      <c r="G7159" s="72"/>
    </row>
    <row r="7160" spans="1:7" ht="14.5" hidden="1">
      <c r="A7160" s="5"/>
      <c r="B7160" s="18"/>
      <c r="C7160" s="85"/>
      <c r="D7160" s="41"/>
      <c r="E7160" s="26" t="str">
        <f ca="1">IFERROR(__xludf.DUMMYFUNCTION("""COMPUTED_VALUE"""),"")</f>
        <v/>
      </c>
      <c r="F7160" s="72"/>
      <c r="G7160" s="72"/>
    </row>
    <row r="7161" spans="1:7" ht="14.5" hidden="1">
      <c r="A7161" s="5"/>
      <c r="B7161" s="18"/>
      <c r="C7161" s="85"/>
      <c r="D7161" s="41"/>
      <c r="E7161" s="26" t="str">
        <f ca="1">IFERROR(__xludf.DUMMYFUNCTION("""COMPUTED_VALUE"""),"")</f>
        <v/>
      </c>
      <c r="F7161" s="72"/>
      <c r="G7161" s="72"/>
    </row>
    <row r="7162" spans="1:7" ht="14.5" hidden="1">
      <c r="A7162" s="5"/>
      <c r="B7162" s="18"/>
      <c r="C7162" s="85"/>
      <c r="D7162" s="41"/>
      <c r="E7162" s="26" t="str">
        <f ca="1">IFERROR(__xludf.DUMMYFUNCTION("""COMPUTED_VALUE"""),"")</f>
        <v/>
      </c>
      <c r="F7162" s="72"/>
      <c r="G7162" s="72"/>
    </row>
    <row r="7163" spans="1:7" ht="14.5" hidden="1">
      <c r="A7163" s="5"/>
      <c r="B7163" s="18"/>
      <c r="C7163" s="85"/>
      <c r="D7163" s="41"/>
      <c r="E7163" s="26" t="str">
        <f ca="1">IFERROR(__xludf.DUMMYFUNCTION("""COMPUTED_VALUE"""),"")</f>
        <v/>
      </c>
      <c r="F7163" s="72"/>
      <c r="G7163" s="72"/>
    </row>
    <row r="7164" spans="1:7" ht="14.5" hidden="1">
      <c r="A7164" s="5"/>
      <c r="B7164" s="18"/>
      <c r="C7164" s="85"/>
      <c r="D7164" s="41"/>
      <c r="E7164" s="26" t="str">
        <f ca="1">IFERROR(__xludf.DUMMYFUNCTION("""COMPUTED_VALUE"""),"")</f>
        <v/>
      </c>
      <c r="F7164" s="72"/>
      <c r="G7164" s="72"/>
    </row>
    <row r="7165" spans="1:7" ht="14.5" hidden="1">
      <c r="A7165" s="5"/>
      <c r="B7165" s="18"/>
      <c r="C7165" s="85"/>
      <c r="D7165" s="41"/>
      <c r="E7165" s="26" t="str">
        <f ca="1">IFERROR(__xludf.DUMMYFUNCTION("""COMPUTED_VALUE"""),"")</f>
        <v/>
      </c>
      <c r="F7165" s="72"/>
      <c r="G7165" s="72"/>
    </row>
    <row r="7166" spans="1:7" ht="14.5" hidden="1">
      <c r="A7166" s="5"/>
      <c r="B7166" s="18"/>
      <c r="C7166" s="85"/>
      <c r="D7166" s="41"/>
      <c r="E7166" s="26" t="str">
        <f ca="1">IFERROR(__xludf.DUMMYFUNCTION("""COMPUTED_VALUE"""),"")</f>
        <v/>
      </c>
      <c r="F7166" s="72"/>
      <c r="G7166" s="72"/>
    </row>
    <row r="7167" spans="1:7" ht="14.5" hidden="1">
      <c r="A7167" s="5"/>
      <c r="B7167" s="18"/>
      <c r="C7167" s="85"/>
      <c r="D7167" s="41"/>
      <c r="E7167" s="26" t="str">
        <f ca="1">IFERROR(__xludf.DUMMYFUNCTION("""COMPUTED_VALUE"""),"")</f>
        <v/>
      </c>
      <c r="F7167" s="72"/>
      <c r="G7167" s="72"/>
    </row>
    <row r="7168" spans="1:7" ht="14.5" hidden="1">
      <c r="A7168" s="5"/>
      <c r="B7168" s="18"/>
      <c r="C7168" s="85"/>
      <c r="D7168" s="41"/>
      <c r="E7168" s="26" t="str">
        <f ca="1">IFERROR(__xludf.DUMMYFUNCTION("""COMPUTED_VALUE"""),"")</f>
        <v/>
      </c>
      <c r="F7168" s="72"/>
      <c r="G7168" s="72"/>
    </row>
    <row r="7169" spans="1:7" ht="14.5" hidden="1">
      <c r="A7169" s="5"/>
      <c r="B7169" s="18"/>
      <c r="C7169" s="85"/>
      <c r="D7169" s="41"/>
      <c r="E7169" s="26" t="str">
        <f ca="1">IFERROR(__xludf.DUMMYFUNCTION("""COMPUTED_VALUE"""),"")</f>
        <v/>
      </c>
      <c r="F7169" s="72"/>
      <c r="G7169" s="72"/>
    </row>
    <row r="7170" spans="1:7" ht="14.5" hidden="1">
      <c r="A7170" s="5"/>
      <c r="B7170" s="18"/>
      <c r="C7170" s="85"/>
      <c r="D7170" s="41"/>
      <c r="E7170" s="26" t="str">
        <f ca="1">IFERROR(__xludf.DUMMYFUNCTION("""COMPUTED_VALUE"""),"")</f>
        <v/>
      </c>
      <c r="F7170" s="72"/>
      <c r="G7170" s="72"/>
    </row>
    <row r="7171" spans="1:7" ht="14.5" hidden="1">
      <c r="A7171" s="5"/>
      <c r="B7171" s="18"/>
      <c r="C7171" s="85"/>
      <c r="D7171" s="41"/>
      <c r="E7171" s="26" t="str">
        <f ca="1">IFERROR(__xludf.DUMMYFUNCTION("""COMPUTED_VALUE"""),"")</f>
        <v/>
      </c>
      <c r="F7171" s="72"/>
      <c r="G7171" s="72"/>
    </row>
    <row r="7172" spans="1:7" ht="14.5" hidden="1">
      <c r="A7172" s="5"/>
      <c r="B7172" s="18"/>
      <c r="C7172" s="85"/>
      <c r="D7172" s="41"/>
      <c r="E7172" s="26" t="str">
        <f ca="1">IFERROR(__xludf.DUMMYFUNCTION("""COMPUTED_VALUE"""),"")</f>
        <v/>
      </c>
      <c r="F7172" s="72"/>
      <c r="G7172" s="72"/>
    </row>
    <row r="7173" spans="1:7" ht="14.5" hidden="1">
      <c r="A7173" s="5"/>
      <c r="B7173" s="18"/>
      <c r="C7173" s="85"/>
      <c r="D7173" s="41"/>
      <c r="E7173" s="26" t="str">
        <f ca="1">IFERROR(__xludf.DUMMYFUNCTION("""COMPUTED_VALUE"""),"")</f>
        <v/>
      </c>
      <c r="F7173" s="72"/>
      <c r="G7173" s="72"/>
    </row>
    <row r="7174" spans="1:7" ht="14.5" hidden="1">
      <c r="A7174" s="5"/>
      <c r="B7174" s="18"/>
      <c r="C7174" s="85"/>
      <c r="D7174" s="41"/>
      <c r="E7174" s="26" t="str">
        <f ca="1">IFERROR(__xludf.DUMMYFUNCTION("""COMPUTED_VALUE"""),"")</f>
        <v/>
      </c>
      <c r="F7174" s="72"/>
      <c r="G7174" s="72"/>
    </row>
    <row r="7175" spans="1:7" ht="14.5" hidden="1">
      <c r="A7175" s="5"/>
      <c r="B7175" s="18"/>
      <c r="C7175" s="85"/>
      <c r="D7175" s="41"/>
      <c r="E7175" s="26" t="str">
        <f ca="1">IFERROR(__xludf.DUMMYFUNCTION("""COMPUTED_VALUE"""),"")</f>
        <v/>
      </c>
      <c r="F7175" s="72"/>
      <c r="G7175" s="72"/>
    </row>
    <row r="7176" spans="1:7" ht="14.5" hidden="1">
      <c r="A7176" s="5"/>
      <c r="B7176" s="18"/>
      <c r="C7176" s="85"/>
      <c r="D7176" s="41"/>
      <c r="E7176" s="26" t="str">
        <f ca="1">IFERROR(__xludf.DUMMYFUNCTION("""COMPUTED_VALUE"""),"")</f>
        <v/>
      </c>
      <c r="F7176" s="72"/>
      <c r="G7176" s="72"/>
    </row>
    <row r="7177" spans="1:7" ht="14.5" hidden="1">
      <c r="A7177" s="5"/>
      <c r="B7177" s="18"/>
      <c r="C7177" s="85"/>
      <c r="D7177" s="41"/>
      <c r="E7177" s="26" t="str">
        <f ca="1">IFERROR(__xludf.DUMMYFUNCTION("""COMPUTED_VALUE"""),"")</f>
        <v/>
      </c>
      <c r="F7177" s="72"/>
      <c r="G7177" s="72"/>
    </row>
    <row r="7178" spans="1:7" ht="14.5" hidden="1">
      <c r="A7178" s="5"/>
      <c r="B7178" s="18"/>
      <c r="C7178" s="85"/>
      <c r="D7178" s="41"/>
      <c r="E7178" s="26" t="str">
        <f ca="1">IFERROR(__xludf.DUMMYFUNCTION("""COMPUTED_VALUE"""),"")</f>
        <v/>
      </c>
      <c r="F7178" s="72"/>
      <c r="G7178" s="72"/>
    </row>
    <row r="7179" spans="1:7" ht="14.5" hidden="1">
      <c r="A7179" s="5"/>
      <c r="B7179" s="18"/>
      <c r="C7179" s="85"/>
      <c r="D7179" s="41"/>
      <c r="E7179" s="26" t="str">
        <f ca="1">IFERROR(__xludf.DUMMYFUNCTION("""COMPUTED_VALUE"""),"")</f>
        <v/>
      </c>
      <c r="F7179" s="72"/>
      <c r="G7179" s="72"/>
    </row>
    <row r="7180" spans="1:7" ht="14.5" hidden="1">
      <c r="A7180" s="5"/>
      <c r="B7180" s="18"/>
      <c r="C7180" s="85"/>
      <c r="D7180" s="41"/>
      <c r="E7180" s="26" t="str">
        <f ca="1">IFERROR(__xludf.DUMMYFUNCTION("""COMPUTED_VALUE"""),"")</f>
        <v/>
      </c>
      <c r="F7180" s="72"/>
      <c r="G7180" s="72"/>
    </row>
    <row r="7181" spans="1:7" ht="14.5" hidden="1">
      <c r="A7181" s="5"/>
      <c r="B7181" s="18"/>
      <c r="C7181" s="85"/>
      <c r="D7181" s="41"/>
      <c r="E7181" s="26" t="str">
        <f ca="1">IFERROR(__xludf.DUMMYFUNCTION("""COMPUTED_VALUE"""),"")</f>
        <v/>
      </c>
      <c r="F7181" s="72"/>
      <c r="G7181" s="72"/>
    </row>
    <row r="7182" spans="1:7" ht="14.5" hidden="1">
      <c r="A7182" s="5"/>
      <c r="B7182" s="18"/>
      <c r="C7182" s="85"/>
      <c r="D7182" s="41"/>
      <c r="E7182" s="26" t="str">
        <f ca="1">IFERROR(__xludf.DUMMYFUNCTION("""COMPUTED_VALUE"""),"")</f>
        <v/>
      </c>
      <c r="F7182" s="72"/>
      <c r="G7182" s="72"/>
    </row>
    <row r="7183" spans="1:7" ht="14.5" hidden="1">
      <c r="A7183" s="5"/>
      <c r="B7183" s="18"/>
      <c r="C7183" s="85"/>
      <c r="D7183" s="41"/>
      <c r="E7183" s="26" t="str">
        <f ca="1">IFERROR(__xludf.DUMMYFUNCTION("""COMPUTED_VALUE"""),"")</f>
        <v/>
      </c>
      <c r="F7183" s="72"/>
      <c r="G7183" s="72"/>
    </row>
    <row r="7184" spans="1:7" ht="14.5" hidden="1">
      <c r="A7184" s="5"/>
      <c r="B7184" s="18"/>
      <c r="C7184" s="85"/>
      <c r="D7184" s="41"/>
      <c r="E7184" s="26" t="str">
        <f ca="1">IFERROR(__xludf.DUMMYFUNCTION("""COMPUTED_VALUE"""),"")</f>
        <v/>
      </c>
      <c r="F7184" s="72"/>
      <c r="G7184" s="72"/>
    </row>
    <row r="7185" spans="1:7" ht="14.5" hidden="1">
      <c r="A7185" s="5"/>
      <c r="B7185" s="18"/>
      <c r="C7185" s="85"/>
      <c r="D7185" s="41"/>
      <c r="E7185" s="26" t="str">
        <f ca="1">IFERROR(__xludf.DUMMYFUNCTION("""COMPUTED_VALUE"""),"")</f>
        <v/>
      </c>
      <c r="F7185" s="72"/>
      <c r="G7185" s="72"/>
    </row>
    <row r="7186" spans="1:7" ht="14.5" hidden="1">
      <c r="A7186" s="5"/>
      <c r="B7186" s="18"/>
      <c r="C7186" s="85"/>
      <c r="D7186" s="41"/>
      <c r="E7186" s="26" t="str">
        <f ca="1">IFERROR(__xludf.DUMMYFUNCTION("""COMPUTED_VALUE"""),"")</f>
        <v/>
      </c>
      <c r="F7186" s="72"/>
      <c r="G7186" s="72"/>
    </row>
    <row r="7187" spans="1:7" ht="14.5" hidden="1">
      <c r="A7187" s="5"/>
      <c r="B7187" s="18"/>
      <c r="C7187" s="85"/>
      <c r="D7187" s="41"/>
      <c r="E7187" s="26" t="str">
        <f ca="1">IFERROR(__xludf.DUMMYFUNCTION("""COMPUTED_VALUE"""),"")</f>
        <v/>
      </c>
      <c r="F7187" s="72"/>
      <c r="G7187" s="72"/>
    </row>
    <row r="7188" spans="1:7" ht="14.5" hidden="1">
      <c r="A7188" s="5"/>
      <c r="B7188" s="18"/>
      <c r="C7188" s="85"/>
      <c r="D7188" s="41"/>
      <c r="E7188" s="26" t="str">
        <f ca="1">IFERROR(__xludf.DUMMYFUNCTION("""COMPUTED_VALUE"""),"")</f>
        <v/>
      </c>
      <c r="F7188" s="72"/>
      <c r="G7188" s="72"/>
    </row>
    <row r="7189" spans="1:7" ht="14.5" hidden="1">
      <c r="A7189" s="5"/>
      <c r="B7189" s="18"/>
      <c r="C7189" s="85"/>
      <c r="D7189" s="41"/>
      <c r="E7189" s="26" t="str">
        <f ca="1">IFERROR(__xludf.DUMMYFUNCTION("""COMPUTED_VALUE"""),"")</f>
        <v/>
      </c>
      <c r="F7189" s="72"/>
      <c r="G7189" s="72"/>
    </row>
    <row r="7190" spans="1:7" ht="14.5" hidden="1">
      <c r="A7190" s="5"/>
      <c r="B7190" s="18"/>
      <c r="C7190" s="85"/>
      <c r="D7190" s="41"/>
      <c r="E7190" s="26" t="str">
        <f ca="1">IFERROR(__xludf.DUMMYFUNCTION("""COMPUTED_VALUE"""),"")</f>
        <v/>
      </c>
      <c r="F7190" s="72"/>
      <c r="G7190" s="72"/>
    </row>
    <row r="7191" spans="1:7" ht="14.5" hidden="1">
      <c r="A7191" s="5"/>
      <c r="B7191" s="18"/>
      <c r="C7191" s="85"/>
      <c r="D7191" s="41"/>
      <c r="E7191" s="26" t="str">
        <f ca="1">IFERROR(__xludf.DUMMYFUNCTION("""COMPUTED_VALUE"""),"")</f>
        <v/>
      </c>
      <c r="F7191" s="72"/>
      <c r="G7191" s="72"/>
    </row>
    <row r="7192" spans="1:7" ht="14.5" hidden="1">
      <c r="A7192" s="5"/>
      <c r="B7192" s="18"/>
      <c r="C7192" s="85"/>
      <c r="D7192" s="41"/>
      <c r="E7192" s="26" t="str">
        <f ca="1">IFERROR(__xludf.DUMMYFUNCTION("""COMPUTED_VALUE"""),"")</f>
        <v/>
      </c>
      <c r="F7192" s="72"/>
      <c r="G7192" s="72"/>
    </row>
    <row r="7193" spans="1:7" ht="14.5" hidden="1">
      <c r="A7193" s="5"/>
      <c r="B7193" s="18"/>
      <c r="C7193" s="85"/>
      <c r="D7193" s="41"/>
      <c r="E7193" s="26" t="str">
        <f ca="1">IFERROR(__xludf.DUMMYFUNCTION("""COMPUTED_VALUE"""),"")</f>
        <v/>
      </c>
      <c r="F7193" s="72"/>
      <c r="G7193" s="72"/>
    </row>
    <row r="7194" spans="1:7" ht="14.5" hidden="1">
      <c r="A7194" s="5"/>
      <c r="B7194" s="18"/>
      <c r="C7194" s="85"/>
      <c r="D7194" s="41"/>
      <c r="E7194" s="26" t="str">
        <f ca="1">IFERROR(__xludf.DUMMYFUNCTION("""COMPUTED_VALUE"""),"")</f>
        <v/>
      </c>
      <c r="F7194" s="72"/>
      <c r="G7194" s="72"/>
    </row>
    <row r="7195" spans="1:7" ht="14.5" hidden="1">
      <c r="A7195" s="5"/>
      <c r="B7195" s="18"/>
      <c r="C7195" s="85"/>
      <c r="D7195" s="41"/>
      <c r="E7195" s="26" t="str">
        <f ca="1">IFERROR(__xludf.DUMMYFUNCTION("""COMPUTED_VALUE"""),"")</f>
        <v/>
      </c>
      <c r="F7195" s="72"/>
      <c r="G7195" s="72"/>
    </row>
    <row r="7196" spans="1:7" ht="14.5" hidden="1">
      <c r="A7196" s="5"/>
      <c r="B7196" s="18"/>
      <c r="C7196" s="85"/>
      <c r="D7196" s="41"/>
      <c r="E7196" s="26" t="str">
        <f ca="1">IFERROR(__xludf.DUMMYFUNCTION("""COMPUTED_VALUE"""),"")</f>
        <v/>
      </c>
      <c r="F7196" s="72"/>
      <c r="G7196" s="72"/>
    </row>
    <row r="7197" spans="1:7" ht="14.5" hidden="1">
      <c r="A7197" s="5"/>
      <c r="B7197" s="18"/>
      <c r="C7197" s="85"/>
      <c r="D7197" s="41"/>
      <c r="E7197" s="26" t="str">
        <f ca="1">IFERROR(__xludf.DUMMYFUNCTION("""COMPUTED_VALUE"""),"")</f>
        <v/>
      </c>
      <c r="F7197" s="72"/>
      <c r="G7197" s="72"/>
    </row>
    <row r="7198" spans="1:7" ht="14.5" hidden="1">
      <c r="A7198" s="5"/>
      <c r="B7198" s="18"/>
      <c r="C7198" s="85"/>
      <c r="D7198" s="41"/>
      <c r="E7198" s="26" t="str">
        <f ca="1">IFERROR(__xludf.DUMMYFUNCTION("""COMPUTED_VALUE"""),"")</f>
        <v/>
      </c>
      <c r="F7198" s="72"/>
      <c r="G7198" s="72"/>
    </row>
    <row r="7199" spans="1:7" ht="14.5" hidden="1">
      <c r="A7199" s="5"/>
      <c r="B7199" s="18"/>
      <c r="C7199" s="85"/>
      <c r="D7199" s="41"/>
      <c r="E7199" s="26" t="str">
        <f ca="1">IFERROR(__xludf.DUMMYFUNCTION("""COMPUTED_VALUE"""),"")</f>
        <v/>
      </c>
      <c r="F7199" s="72"/>
      <c r="G7199" s="72"/>
    </row>
    <row r="7200" spans="1:7" ht="14.5" hidden="1">
      <c r="A7200" s="5"/>
      <c r="B7200" s="18"/>
      <c r="C7200" s="85"/>
      <c r="D7200" s="41"/>
      <c r="E7200" s="26" t="str">
        <f ca="1">IFERROR(__xludf.DUMMYFUNCTION("""COMPUTED_VALUE"""),"")</f>
        <v/>
      </c>
      <c r="F7200" s="72"/>
      <c r="G7200" s="72"/>
    </row>
    <row r="7201" spans="1:7" ht="14.5" hidden="1">
      <c r="A7201" s="5"/>
      <c r="B7201" s="18"/>
      <c r="C7201" s="85"/>
      <c r="D7201" s="41"/>
      <c r="E7201" s="26" t="str">
        <f ca="1">IFERROR(__xludf.DUMMYFUNCTION("""COMPUTED_VALUE"""),"")</f>
        <v/>
      </c>
      <c r="F7201" s="72"/>
      <c r="G7201" s="72"/>
    </row>
    <row r="7202" spans="1:7" ht="14.5" hidden="1">
      <c r="A7202" s="5"/>
      <c r="B7202" s="18"/>
      <c r="C7202" s="85"/>
      <c r="D7202" s="41"/>
      <c r="E7202" s="26" t="str">
        <f ca="1">IFERROR(__xludf.DUMMYFUNCTION("""COMPUTED_VALUE"""),"")</f>
        <v/>
      </c>
      <c r="F7202" s="72"/>
      <c r="G7202" s="72"/>
    </row>
    <row r="7203" spans="1:7" ht="14.5" hidden="1">
      <c r="A7203" s="5"/>
      <c r="B7203" s="18"/>
      <c r="C7203" s="85"/>
      <c r="D7203" s="41"/>
      <c r="E7203" s="26" t="str">
        <f ca="1">IFERROR(__xludf.DUMMYFUNCTION("""COMPUTED_VALUE"""),"")</f>
        <v/>
      </c>
      <c r="F7203" s="72"/>
      <c r="G7203" s="72"/>
    </row>
    <row r="7204" spans="1:7" ht="14.5" hidden="1">
      <c r="A7204" s="5"/>
      <c r="B7204" s="18"/>
      <c r="C7204" s="85"/>
      <c r="D7204" s="41"/>
      <c r="E7204" s="26" t="str">
        <f ca="1">IFERROR(__xludf.DUMMYFUNCTION("""COMPUTED_VALUE"""),"")</f>
        <v/>
      </c>
      <c r="F7204" s="72"/>
      <c r="G7204" s="72"/>
    </row>
    <row r="7205" spans="1:7" ht="14.5" hidden="1">
      <c r="A7205" s="5"/>
      <c r="B7205" s="18"/>
      <c r="C7205" s="85"/>
      <c r="D7205" s="41"/>
      <c r="E7205" s="26" t="str">
        <f ca="1">IFERROR(__xludf.DUMMYFUNCTION("""COMPUTED_VALUE"""),"")</f>
        <v/>
      </c>
      <c r="F7205" s="72"/>
      <c r="G7205" s="72"/>
    </row>
    <row r="7206" spans="1:7" ht="14.5" hidden="1">
      <c r="A7206" s="5"/>
      <c r="B7206" s="18"/>
      <c r="C7206" s="85"/>
      <c r="D7206" s="41"/>
      <c r="E7206" s="26" t="str">
        <f ca="1">IFERROR(__xludf.DUMMYFUNCTION("""COMPUTED_VALUE"""),"")</f>
        <v/>
      </c>
      <c r="F7206" s="72"/>
      <c r="G7206" s="72"/>
    </row>
    <row r="7207" spans="1:7" ht="14.5" hidden="1">
      <c r="A7207" s="5"/>
      <c r="B7207" s="18"/>
      <c r="C7207" s="85"/>
      <c r="D7207" s="41"/>
      <c r="E7207" s="26" t="str">
        <f ca="1">IFERROR(__xludf.DUMMYFUNCTION("""COMPUTED_VALUE"""),"")</f>
        <v/>
      </c>
      <c r="F7207" s="72"/>
      <c r="G7207" s="72"/>
    </row>
    <row r="7208" spans="1:7" ht="14.5" hidden="1">
      <c r="A7208" s="5"/>
      <c r="B7208" s="18"/>
      <c r="C7208" s="85"/>
      <c r="D7208" s="41"/>
      <c r="E7208" s="26" t="str">
        <f ca="1">IFERROR(__xludf.DUMMYFUNCTION("""COMPUTED_VALUE"""),"")</f>
        <v/>
      </c>
      <c r="F7208" s="72"/>
      <c r="G7208" s="72"/>
    </row>
    <row r="7209" spans="1:7" ht="14.5" hidden="1">
      <c r="A7209" s="5"/>
      <c r="B7209" s="18"/>
      <c r="C7209" s="85"/>
      <c r="D7209" s="41"/>
      <c r="E7209" s="26" t="str">
        <f ca="1">IFERROR(__xludf.DUMMYFUNCTION("""COMPUTED_VALUE"""),"")</f>
        <v/>
      </c>
      <c r="F7209" s="72"/>
      <c r="G7209" s="72"/>
    </row>
    <row r="7210" spans="1:7" ht="14.5" hidden="1">
      <c r="A7210" s="5"/>
      <c r="B7210" s="18"/>
      <c r="C7210" s="85"/>
      <c r="D7210" s="41"/>
      <c r="E7210" s="26" t="str">
        <f ca="1">IFERROR(__xludf.DUMMYFUNCTION("""COMPUTED_VALUE"""),"")</f>
        <v/>
      </c>
      <c r="F7210" s="72"/>
      <c r="G7210" s="72"/>
    </row>
    <row r="7211" spans="1:7" ht="14.5" hidden="1">
      <c r="A7211" s="5"/>
      <c r="B7211" s="18"/>
      <c r="C7211" s="85"/>
      <c r="D7211" s="41"/>
      <c r="E7211" s="26" t="str">
        <f ca="1">IFERROR(__xludf.DUMMYFUNCTION("""COMPUTED_VALUE"""),"")</f>
        <v/>
      </c>
      <c r="F7211" s="72"/>
      <c r="G7211" s="72"/>
    </row>
    <row r="7212" spans="1:7" ht="14.5" hidden="1">
      <c r="A7212" s="5"/>
      <c r="B7212" s="18"/>
      <c r="C7212" s="85"/>
      <c r="D7212" s="41"/>
      <c r="E7212" s="26" t="str">
        <f ca="1">IFERROR(__xludf.DUMMYFUNCTION("""COMPUTED_VALUE"""),"")</f>
        <v/>
      </c>
      <c r="F7212" s="72"/>
      <c r="G7212" s="72"/>
    </row>
    <row r="7213" spans="1:7" ht="14.5" hidden="1">
      <c r="A7213" s="5"/>
      <c r="B7213" s="18"/>
      <c r="C7213" s="85"/>
      <c r="D7213" s="41"/>
      <c r="E7213" s="26" t="str">
        <f ca="1">IFERROR(__xludf.DUMMYFUNCTION("""COMPUTED_VALUE"""),"")</f>
        <v/>
      </c>
      <c r="F7213" s="72"/>
      <c r="G7213" s="72"/>
    </row>
    <row r="7214" spans="1:7" ht="14.5" hidden="1">
      <c r="A7214" s="5"/>
      <c r="B7214" s="18"/>
      <c r="C7214" s="85"/>
      <c r="D7214" s="41"/>
      <c r="E7214" s="26" t="str">
        <f ca="1">IFERROR(__xludf.DUMMYFUNCTION("""COMPUTED_VALUE"""),"")</f>
        <v/>
      </c>
      <c r="F7214" s="72"/>
      <c r="G7214" s="72"/>
    </row>
    <row r="7215" spans="1:7" ht="14.5" hidden="1">
      <c r="A7215" s="5"/>
      <c r="B7215" s="18"/>
      <c r="C7215" s="85"/>
      <c r="D7215" s="41"/>
      <c r="E7215" s="26" t="str">
        <f ca="1">IFERROR(__xludf.DUMMYFUNCTION("""COMPUTED_VALUE"""),"")</f>
        <v/>
      </c>
      <c r="F7215" s="72"/>
      <c r="G7215" s="72"/>
    </row>
    <row r="7216" spans="1:7" ht="14.5" hidden="1">
      <c r="A7216" s="5"/>
      <c r="B7216" s="18"/>
      <c r="C7216" s="85"/>
      <c r="D7216" s="41"/>
      <c r="E7216" s="26" t="str">
        <f ca="1">IFERROR(__xludf.DUMMYFUNCTION("""COMPUTED_VALUE"""),"")</f>
        <v/>
      </c>
      <c r="F7216" s="72"/>
      <c r="G7216" s="72"/>
    </row>
    <row r="7217" spans="1:7" ht="14.5" hidden="1">
      <c r="A7217" s="5"/>
      <c r="B7217" s="18"/>
      <c r="C7217" s="85"/>
      <c r="D7217" s="41"/>
      <c r="E7217" s="26" t="str">
        <f ca="1">IFERROR(__xludf.DUMMYFUNCTION("""COMPUTED_VALUE"""),"")</f>
        <v/>
      </c>
      <c r="F7217" s="72"/>
      <c r="G7217" s="72"/>
    </row>
    <row r="7218" spans="1:7" ht="14.5" hidden="1">
      <c r="A7218" s="5"/>
      <c r="B7218" s="18"/>
      <c r="C7218" s="85"/>
      <c r="D7218" s="41"/>
      <c r="E7218" s="26" t="str">
        <f ca="1">IFERROR(__xludf.DUMMYFUNCTION("""COMPUTED_VALUE"""),"")</f>
        <v/>
      </c>
      <c r="F7218" s="72"/>
      <c r="G7218" s="72"/>
    </row>
    <row r="7219" spans="1:7" ht="14.5" hidden="1">
      <c r="A7219" s="5"/>
      <c r="B7219" s="18"/>
      <c r="C7219" s="85"/>
      <c r="D7219" s="41"/>
      <c r="E7219" s="26" t="str">
        <f ca="1">IFERROR(__xludf.DUMMYFUNCTION("""COMPUTED_VALUE"""),"")</f>
        <v/>
      </c>
      <c r="F7219" s="72"/>
      <c r="G7219" s="72"/>
    </row>
    <row r="7220" spans="1:7" ht="14.5" hidden="1">
      <c r="A7220" s="5"/>
      <c r="B7220" s="18"/>
      <c r="C7220" s="85"/>
      <c r="D7220" s="41"/>
      <c r="E7220" s="26" t="str">
        <f ca="1">IFERROR(__xludf.DUMMYFUNCTION("""COMPUTED_VALUE"""),"")</f>
        <v/>
      </c>
      <c r="F7220" s="72"/>
      <c r="G7220" s="72"/>
    </row>
    <row r="7221" spans="1:7" ht="14.5" hidden="1">
      <c r="A7221" s="5"/>
      <c r="B7221" s="18"/>
      <c r="C7221" s="85"/>
      <c r="D7221" s="41"/>
      <c r="E7221" s="26" t="str">
        <f ca="1">IFERROR(__xludf.DUMMYFUNCTION("""COMPUTED_VALUE"""),"")</f>
        <v/>
      </c>
      <c r="F7221" s="72"/>
      <c r="G7221" s="72"/>
    </row>
    <row r="7222" spans="1:7" ht="14.5" hidden="1">
      <c r="A7222" s="5"/>
      <c r="B7222" s="18"/>
      <c r="C7222" s="85"/>
      <c r="D7222" s="41"/>
      <c r="E7222" s="26" t="str">
        <f ca="1">IFERROR(__xludf.DUMMYFUNCTION("""COMPUTED_VALUE"""),"")</f>
        <v/>
      </c>
      <c r="F7222" s="72"/>
      <c r="G7222" s="72"/>
    </row>
    <row r="7223" spans="1:7" ht="14.5" hidden="1">
      <c r="A7223" s="5"/>
      <c r="B7223" s="18"/>
      <c r="C7223" s="85"/>
      <c r="D7223" s="41"/>
      <c r="E7223" s="26" t="str">
        <f ca="1">IFERROR(__xludf.DUMMYFUNCTION("""COMPUTED_VALUE"""),"")</f>
        <v/>
      </c>
      <c r="F7223" s="72"/>
      <c r="G7223" s="72"/>
    </row>
    <row r="7224" spans="1:7" ht="14.5" hidden="1">
      <c r="A7224" s="5"/>
      <c r="B7224" s="18"/>
      <c r="C7224" s="85"/>
      <c r="D7224" s="41"/>
      <c r="E7224" s="26" t="str">
        <f ca="1">IFERROR(__xludf.DUMMYFUNCTION("""COMPUTED_VALUE"""),"")</f>
        <v/>
      </c>
      <c r="F7224" s="72"/>
      <c r="G7224" s="72"/>
    </row>
    <row r="7225" spans="1:7" ht="14.5" hidden="1">
      <c r="A7225" s="5"/>
      <c r="B7225" s="18"/>
      <c r="C7225" s="85"/>
      <c r="D7225" s="41"/>
      <c r="E7225" s="26" t="str">
        <f ca="1">IFERROR(__xludf.DUMMYFUNCTION("""COMPUTED_VALUE"""),"")</f>
        <v/>
      </c>
      <c r="F7225" s="72"/>
      <c r="G7225" s="72"/>
    </row>
    <row r="7226" spans="1:7" ht="14.5" hidden="1">
      <c r="A7226" s="5"/>
      <c r="B7226" s="18"/>
      <c r="C7226" s="85"/>
      <c r="D7226" s="41"/>
      <c r="E7226" s="26" t="str">
        <f ca="1">IFERROR(__xludf.DUMMYFUNCTION("""COMPUTED_VALUE"""),"")</f>
        <v/>
      </c>
      <c r="F7226" s="72"/>
      <c r="G7226" s="72"/>
    </row>
    <row r="7227" spans="1:7" ht="14.5" hidden="1">
      <c r="A7227" s="5"/>
      <c r="B7227" s="18"/>
      <c r="C7227" s="85"/>
      <c r="D7227" s="41"/>
      <c r="E7227" s="26" t="str">
        <f ca="1">IFERROR(__xludf.DUMMYFUNCTION("""COMPUTED_VALUE"""),"")</f>
        <v/>
      </c>
      <c r="F7227" s="72"/>
      <c r="G7227" s="72"/>
    </row>
    <row r="7228" spans="1:7" ht="14.5" hidden="1">
      <c r="A7228" s="5"/>
      <c r="B7228" s="18"/>
      <c r="C7228" s="85"/>
      <c r="D7228" s="41"/>
      <c r="E7228" s="26" t="str">
        <f ca="1">IFERROR(__xludf.DUMMYFUNCTION("""COMPUTED_VALUE"""),"")</f>
        <v/>
      </c>
      <c r="F7228" s="72"/>
      <c r="G7228" s="72"/>
    </row>
    <row r="7229" spans="1:7" ht="14.5" hidden="1">
      <c r="A7229" s="5"/>
      <c r="B7229" s="18"/>
      <c r="C7229" s="85"/>
      <c r="D7229" s="41"/>
      <c r="E7229" s="26" t="str">
        <f ca="1">IFERROR(__xludf.DUMMYFUNCTION("""COMPUTED_VALUE"""),"")</f>
        <v/>
      </c>
      <c r="F7229" s="72"/>
      <c r="G7229" s="72"/>
    </row>
    <row r="7230" spans="1:7" ht="14.5" hidden="1">
      <c r="A7230" s="5"/>
      <c r="B7230" s="18"/>
      <c r="C7230" s="85"/>
      <c r="D7230" s="41"/>
      <c r="E7230" s="26" t="str">
        <f ca="1">IFERROR(__xludf.DUMMYFUNCTION("""COMPUTED_VALUE"""),"")</f>
        <v/>
      </c>
      <c r="F7230" s="72"/>
      <c r="G7230" s="72"/>
    </row>
    <row r="7231" spans="1:7" ht="14.5" hidden="1">
      <c r="A7231" s="5"/>
      <c r="B7231" s="18"/>
      <c r="C7231" s="85"/>
      <c r="D7231" s="41"/>
      <c r="E7231" s="26" t="str">
        <f ca="1">IFERROR(__xludf.DUMMYFUNCTION("""COMPUTED_VALUE"""),"")</f>
        <v/>
      </c>
      <c r="F7231" s="72"/>
      <c r="G7231" s="72"/>
    </row>
    <row r="7232" spans="1:7" ht="14.5" hidden="1">
      <c r="A7232" s="5"/>
      <c r="B7232" s="18"/>
      <c r="C7232" s="85"/>
      <c r="D7232" s="41"/>
      <c r="E7232" s="26" t="str">
        <f ca="1">IFERROR(__xludf.DUMMYFUNCTION("""COMPUTED_VALUE"""),"")</f>
        <v/>
      </c>
      <c r="F7232" s="72"/>
      <c r="G7232" s="72"/>
    </row>
    <row r="7233" spans="1:7" ht="14.5" hidden="1">
      <c r="A7233" s="5"/>
      <c r="B7233" s="18"/>
      <c r="C7233" s="85"/>
      <c r="D7233" s="41"/>
      <c r="E7233" s="26" t="str">
        <f ca="1">IFERROR(__xludf.DUMMYFUNCTION("""COMPUTED_VALUE"""),"")</f>
        <v/>
      </c>
      <c r="F7233" s="72"/>
      <c r="G7233" s="72"/>
    </row>
    <row r="7234" spans="1:7" ht="14.5" hidden="1">
      <c r="A7234" s="5"/>
      <c r="B7234" s="18"/>
      <c r="C7234" s="85"/>
      <c r="D7234" s="41"/>
      <c r="E7234" s="26" t="str">
        <f ca="1">IFERROR(__xludf.DUMMYFUNCTION("""COMPUTED_VALUE"""),"")</f>
        <v/>
      </c>
      <c r="F7234" s="72"/>
      <c r="G7234" s="72"/>
    </row>
    <row r="7235" spans="1:7" ht="14.5" hidden="1">
      <c r="A7235" s="5"/>
      <c r="B7235" s="18"/>
      <c r="C7235" s="85"/>
      <c r="D7235" s="41"/>
      <c r="E7235" s="26" t="str">
        <f ca="1">IFERROR(__xludf.DUMMYFUNCTION("""COMPUTED_VALUE"""),"")</f>
        <v/>
      </c>
      <c r="F7235" s="72"/>
      <c r="G7235" s="72"/>
    </row>
    <row r="7236" spans="1:7" ht="14.5" hidden="1">
      <c r="A7236" s="5"/>
      <c r="B7236" s="18"/>
      <c r="C7236" s="85"/>
      <c r="D7236" s="41"/>
      <c r="E7236" s="26" t="str">
        <f ca="1">IFERROR(__xludf.DUMMYFUNCTION("""COMPUTED_VALUE"""),"")</f>
        <v/>
      </c>
      <c r="F7236" s="72"/>
      <c r="G7236" s="72"/>
    </row>
    <row r="7237" spans="1:7" ht="14.5" hidden="1">
      <c r="A7237" s="5"/>
      <c r="B7237" s="18"/>
      <c r="C7237" s="85"/>
      <c r="D7237" s="41"/>
      <c r="E7237" s="26" t="str">
        <f ca="1">IFERROR(__xludf.DUMMYFUNCTION("""COMPUTED_VALUE"""),"")</f>
        <v/>
      </c>
      <c r="F7237" s="72"/>
      <c r="G7237" s="72"/>
    </row>
    <row r="7238" spans="1:7" ht="14.5" hidden="1">
      <c r="A7238" s="5"/>
      <c r="B7238" s="18"/>
      <c r="C7238" s="85"/>
      <c r="D7238" s="41"/>
      <c r="E7238" s="26" t="str">
        <f ca="1">IFERROR(__xludf.DUMMYFUNCTION("""COMPUTED_VALUE"""),"")</f>
        <v/>
      </c>
      <c r="F7238" s="72"/>
      <c r="G7238" s="72"/>
    </row>
    <row r="7239" spans="1:7" ht="14.5" hidden="1">
      <c r="A7239" s="5"/>
      <c r="B7239" s="18"/>
      <c r="C7239" s="85"/>
      <c r="D7239" s="41"/>
      <c r="E7239" s="26" t="str">
        <f ca="1">IFERROR(__xludf.DUMMYFUNCTION("""COMPUTED_VALUE"""),"")</f>
        <v/>
      </c>
      <c r="F7239" s="72"/>
      <c r="G7239" s="72"/>
    </row>
    <row r="7240" spans="1:7" ht="14.5" hidden="1">
      <c r="A7240" s="5"/>
      <c r="B7240" s="18"/>
      <c r="C7240" s="85"/>
      <c r="D7240" s="41"/>
      <c r="E7240" s="26" t="str">
        <f ca="1">IFERROR(__xludf.DUMMYFUNCTION("""COMPUTED_VALUE"""),"")</f>
        <v/>
      </c>
      <c r="F7240" s="72"/>
      <c r="G7240" s="72"/>
    </row>
    <row r="7241" spans="1:7" ht="14.5" hidden="1">
      <c r="A7241" s="5"/>
      <c r="B7241" s="18"/>
      <c r="C7241" s="85"/>
      <c r="D7241" s="41"/>
      <c r="E7241" s="26" t="str">
        <f ca="1">IFERROR(__xludf.DUMMYFUNCTION("""COMPUTED_VALUE"""),"")</f>
        <v/>
      </c>
      <c r="F7241" s="72"/>
      <c r="G7241" s="72"/>
    </row>
    <row r="7242" spans="1:7" ht="14.5" hidden="1">
      <c r="A7242" s="5"/>
      <c r="B7242" s="18"/>
      <c r="C7242" s="85"/>
      <c r="D7242" s="41"/>
      <c r="E7242" s="26" t="str">
        <f ca="1">IFERROR(__xludf.DUMMYFUNCTION("""COMPUTED_VALUE"""),"")</f>
        <v/>
      </c>
      <c r="F7242" s="72"/>
      <c r="G7242" s="72"/>
    </row>
    <row r="7243" spans="1:7" ht="14.5" hidden="1">
      <c r="A7243" s="5"/>
      <c r="B7243" s="18"/>
      <c r="C7243" s="85"/>
      <c r="D7243" s="41"/>
      <c r="E7243" s="26" t="str">
        <f ca="1">IFERROR(__xludf.DUMMYFUNCTION("""COMPUTED_VALUE"""),"")</f>
        <v/>
      </c>
      <c r="F7243" s="72"/>
      <c r="G7243" s="72"/>
    </row>
    <row r="7244" spans="1:7" ht="14.5" hidden="1">
      <c r="A7244" s="5"/>
      <c r="B7244" s="18"/>
      <c r="C7244" s="85"/>
      <c r="D7244" s="41"/>
      <c r="E7244" s="26" t="str">
        <f ca="1">IFERROR(__xludf.DUMMYFUNCTION("""COMPUTED_VALUE"""),"")</f>
        <v/>
      </c>
      <c r="F7244" s="72"/>
      <c r="G7244" s="72"/>
    </row>
    <row r="7245" spans="1:7" ht="14.5" hidden="1">
      <c r="A7245" s="5"/>
      <c r="B7245" s="18"/>
      <c r="C7245" s="85"/>
      <c r="D7245" s="41"/>
      <c r="E7245" s="26" t="str">
        <f ca="1">IFERROR(__xludf.DUMMYFUNCTION("""COMPUTED_VALUE"""),"")</f>
        <v/>
      </c>
      <c r="F7245" s="72"/>
      <c r="G7245" s="72"/>
    </row>
    <row r="7246" spans="1:7" ht="14.5" hidden="1">
      <c r="A7246" s="5"/>
      <c r="B7246" s="18"/>
      <c r="C7246" s="85"/>
      <c r="D7246" s="41"/>
      <c r="E7246" s="26" t="str">
        <f ca="1">IFERROR(__xludf.DUMMYFUNCTION("""COMPUTED_VALUE"""),"")</f>
        <v/>
      </c>
      <c r="F7246" s="72"/>
      <c r="G7246" s="72"/>
    </row>
    <row r="7247" spans="1:7" ht="14.5" hidden="1">
      <c r="A7247" s="5"/>
      <c r="B7247" s="18"/>
      <c r="C7247" s="85"/>
      <c r="D7247" s="41"/>
      <c r="E7247" s="26" t="str">
        <f ca="1">IFERROR(__xludf.DUMMYFUNCTION("""COMPUTED_VALUE"""),"")</f>
        <v/>
      </c>
      <c r="F7247" s="72"/>
      <c r="G7247" s="72"/>
    </row>
    <row r="7248" spans="1:7" ht="14.5" hidden="1">
      <c r="A7248" s="5"/>
      <c r="B7248" s="18"/>
      <c r="C7248" s="85"/>
      <c r="D7248" s="41"/>
      <c r="E7248" s="26" t="str">
        <f ca="1">IFERROR(__xludf.DUMMYFUNCTION("""COMPUTED_VALUE"""),"")</f>
        <v/>
      </c>
      <c r="F7248" s="72"/>
      <c r="G7248" s="72"/>
    </row>
    <row r="7249" spans="1:7" ht="14.5" hidden="1">
      <c r="A7249" s="5"/>
      <c r="B7249" s="18"/>
      <c r="C7249" s="85"/>
      <c r="D7249" s="41"/>
      <c r="E7249" s="26" t="str">
        <f ca="1">IFERROR(__xludf.DUMMYFUNCTION("""COMPUTED_VALUE"""),"")</f>
        <v/>
      </c>
      <c r="F7249" s="72"/>
      <c r="G7249" s="72"/>
    </row>
    <row r="7250" spans="1:7" ht="14.5" hidden="1">
      <c r="A7250" s="5"/>
      <c r="B7250" s="18"/>
      <c r="C7250" s="85"/>
      <c r="D7250" s="41"/>
      <c r="E7250" s="26" t="str">
        <f ca="1">IFERROR(__xludf.DUMMYFUNCTION("""COMPUTED_VALUE"""),"")</f>
        <v/>
      </c>
      <c r="F7250" s="72"/>
      <c r="G7250" s="72"/>
    </row>
    <row r="7251" spans="1:7" ht="14.5" hidden="1">
      <c r="A7251" s="5"/>
      <c r="B7251" s="18"/>
      <c r="C7251" s="85"/>
      <c r="D7251" s="41"/>
      <c r="E7251" s="26" t="str">
        <f ca="1">IFERROR(__xludf.DUMMYFUNCTION("""COMPUTED_VALUE"""),"")</f>
        <v/>
      </c>
      <c r="F7251" s="72"/>
      <c r="G7251" s="72"/>
    </row>
    <row r="7252" spans="1:7" ht="14.5" hidden="1">
      <c r="A7252" s="5"/>
      <c r="B7252" s="18"/>
      <c r="C7252" s="85"/>
      <c r="D7252" s="41"/>
      <c r="E7252" s="26" t="str">
        <f ca="1">IFERROR(__xludf.DUMMYFUNCTION("""COMPUTED_VALUE"""),"")</f>
        <v/>
      </c>
      <c r="F7252" s="72"/>
      <c r="G7252" s="72"/>
    </row>
    <row r="7253" spans="1:7" ht="14.5" hidden="1">
      <c r="A7253" s="5"/>
      <c r="B7253" s="18"/>
      <c r="C7253" s="85"/>
      <c r="D7253" s="41"/>
      <c r="E7253" s="26" t="str">
        <f ca="1">IFERROR(__xludf.DUMMYFUNCTION("""COMPUTED_VALUE"""),"")</f>
        <v/>
      </c>
      <c r="F7253" s="72"/>
      <c r="G7253" s="72"/>
    </row>
    <row r="7254" spans="1:7" ht="14.5" hidden="1">
      <c r="A7254" s="5"/>
      <c r="B7254" s="18"/>
      <c r="C7254" s="85"/>
      <c r="D7254" s="41"/>
      <c r="E7254" s="26" t="str">
        <f ca="1">IFERROR(__xludf.DUMMYFUNCTION("""COMPUTED_VALUE"""),"")</f>
        <v/>
      </c>
      <c r="F7254" s="72"/>
      <c r="G7254" s="72"/>
    </row>
    <row r="7255" spans="1:7" ht="14.5" hidden="1">
      <c r="A7255" s="5"/>
      <c r="B7255" s="18"/>
      <c r="C7255" s="85"/>
      <c r="D7255" s="41"/>
      <c r="E7255" s="26" t="str">
        <f ca="1">IFERROR(__xludf.DUMMYFUNCTION("""COMPUTED_VALUE"""),"")</f>
        <v/>
      </c>
      <c r="F7255" s="72"/>
      <c r="G7255" s="72"/>
    </row>
    <row r="7256" spans="1:7" ht="14.5" hidden="1">
      <c r="A7256" s="5"/>
      <c r="B7256" s="18"/>
      <c r="C7256" s="85"/>
      <c r="D7256" s="41"/>
      <c r="E7256" s="26" t="str">
        <f ca="1">IFERROR(__xludf.DUMMYFUNCTION("""COMPUTED_VALUE"""),"")</f>
        <v/>
      </c>
      <c r="F7256" s="72"/>
      <c r="G7256" s="72"/>
    </row>
    <row r="7257" spans="1:7" ht="14.5" hidden="1">
      <c r="A7257" s="5"/>
      <c r="B7257" s="18"/>
      <c r="C7257" s="85"/>
      <c r="D7257" s="41"/>
      <c r="E7257" s="26" t="str">
        <f ca="1">IFERROR(__xludf.DUMMYFUNCTION("""COMPUTED_VALUE"""),"")</f>
        <v/>
      </c>
      <c r="F7257" s="72"/>
      <c r="G7257" s="72"/>
    </row>
    <row r="7258" spans="1:7" ht="14.5" hidden="1">
      <c r="A7258" s="5"/>
      <c r="B7258" s="18"/>
      <c r="C7258" s="85"/>
      <c r="D7258" s="41"/>
      <c r="E7258" s="26" t="str">
        <f ca="1">IFERROR(__xludf.DUMMYFUNCTION("""COMPUTED_VALUE"""),"")</f>
        <v/>
      </c>
      <c r="F7258" s="72"/>
      <c r="G7258" s="72"/>
    </row>
    <row r="7259" spans="1:7" ht="14.5" hidden="1">
      <c r="A7259" s="5"/>
      <c r="B7259" s="18"/>
      <c r="C7259" s="85"/>
      <c r="D7259" s="41"/>
      <c r="E7259" s="26" t="str">
        <f ca="1">IFERROR(__xludf.DUMMYFUNCTION("""COMPUTED_VALUE"""),"")</f>
        <v/>
      </c>
      <c r="F7259" s="72"/>
      <c r="G7259" s="72"/>
    </row>
    <row r="7260" spans="1:7" ht="14.5" hidden="1">
      <c r="A7260" s="5"/>
      <c r="B7260" s="18"/>
      <c r="C7260" s="85"/>
      <c r="D7260" s="41"/>
      <c r="E7260" s="26" t="str">
        <f ca="1">IFERROR(__xludf.DUMMYFUNCTION("""COMPUTED_VALUE"""),"")</f>
        <v/>
      </c>
      <c r="F7260" s="72"/>
      <c r="G7260" s="72"/>
    </row>
    <row r="7261" spans="1:7" ht="14.5" hidden="1">
      <c r="A7261" s="5"/>
      <c r="B7261" s="18"/>
      <c r="C7261" s="85"/>
      <c r="D7261" s="41"/>
      <c r="E7261" s="26" t="str">
        <f ca="1">IFERROR(__xludf.DUMMYFUNCTION("""COMPUTED_VALUE"""),"")</f>
        <v/>
      </c>
      <c r="F7261" s="72"/>
      <c r="G7261" s="72"/>
    </row>
    <row r="7262" spans="1:7" ht="14.5" hidden="1">
      <c r="A7262" s="5"/>
      <c r="B7262" s="18"/>
      <c r="C7262" s="85"/>
      <c r="D7262" s="41"/>
      <c r="E7262" s="26" t="str">
        <f ca="1">IFERROR(__xludf.DUMMYFUNCTION("""COMPUTED_VALUE"""),"")</f>
        <v/>
      </c>
      <c r="F7262" s="72"/>
      <c r="G7262" s="72"/>
    </row>
    <row r="7263" spans="1:7" ht="14.5" hidden="1">
      <c r="A7263" s="5"/>
      <c r="B7263" s="18"/>
      <c r="C7263" s="85"/>
      <c r="D7263" s="41"/>
      <c r="E7263" s="26" t="str">
        <f ca="1">IFERROR(__xludf.DUMMYFUNCTION("""COMPUTED_VALUE"""),"")</f>
        <v/>
      </c>
      <c r="F7263" s="72"/>
      <c r="G7263" s="72"/>
    </row>
    <row r="7264" spans="1:7" ht="14.5" hidden="1">
      <c r="A7264" s="5"/>
      <c r="B7264" s="18"/>
      <c r="C7264" s="85"/>
      <c r="D7264" s="41"/>
      <c r="E7264" s="26" t="str">
        <f ca="1">IFERROR(__xludf.DUMMYFUNCTION("""COMPUTED_VALUE"""),"")</f>
        <v/>
      </c>
      <c r="F7264" s="72"/>
      <c r="G7264" s="72"/>
    </row>
    <row r="7265" spans="1:7" ht="14.5" hidden="1">
      <c r="A7265" s="5"/>
      <c r="B7265" s="18"/>
      <c r="C7265" s="85"/>
      <c r="D7265" s="41"/>
      <c r="E7265" s="26" t="str">
        <f ca="1">IFERROR(__xludf.DUMMYFUNCTION("""COMPUTED_VALUE"""),"")</f>
        <v/>
      </c>
      <c r="F7265" s="72"/>
      <c r="G7265" s="72"/>
    </row>
    <row r="7266" spans="1:7" ht="14.5" hidden="1">
      <c r="A7266" s="5"/>
      <c r="B7266" s="18"/>
      <c r="C7266" s="85"/>
      <c r="D7266" s="41"/>
      <c r="E7266" s="26" t="str">
        <f ca="1">IFERROR(__xludf.DUMMYFUNCTION("""COMPUTED_VALUE"""),"")</f>
        <v/>
      </c>
      <c r="F7266" s="72"/>
      <c r="G7266" s="72"/>
    </row>
    <row r="7267" spans="1:7" ht="14.5" hidden="1">
      <c r="A7267" s="5"/>
      <c r="B7267" s="18"/>
      <c r="C7267" s="85"/>
      <c r="D7267" s="41"/>
      <c r="E7267" s="26" t="str">
        <f ca="1">IFERROR(__xludf.DUMMYFUNCTION("""COMPUTED_VALUE"""),"")</f>
        <v/>
      </c>
      <c r="F7267" s="72"/>
      <c r="G7267" s="72"/>
    </row>
    <row r="7268" spans="1:7" ht="14.5" hidden="1">
      <c r="A7268" s="5"/>
      <c r="B7268" s="18"/>
      <c r="C7268" s="85"/>
      <c r="D7268" s="41"/>
      <c r="E7268" s="26" t="str">
        <f ca="1">IFERROR(__xludf.DUMMYFUNCTION("""COMPUTED_VALUE"""),"")</f>
        <v/>
      </c>
      <c r="F7268" s="72"/>
      <c r="G7268" s="72"/>
    </row>
    <row r="7269" spans="1:7" ht="14.5" hidden="1">
      <c r="A7269" s="5"/>
      <c r="B7269" s="18"/>
      <c r="C7269" s="85"/>
      <c r="D7269" s="41"/>
      <c r="E7269" s="26" t="str">
        <f ca="1">IFERROR(__xludf.DUMMYFUNCTION("""COMPUTED_VALUE"""),"")</f>
        <v/>
      </c>
      <c r="F7269" s="72"/>
      <c r="G7269" s="72"/>
    </row>
    <row r="7270" spans="1:7" ht="14.5" hidden="1">
      <c r="A7270" s="5"/>
      <c r="B7270" s="18"/>
      <c r="C7270" s="85"/>
      <c r="D7270" s="41"/>
      <c r="E7270" s="26" t="str">
        <f ca="1">IFERROR(__xludf.DUMMYFUNCTION("""COMPUTED_VALUE"""),"")</f>
        <v/>
      </c>
      <c r="F7270" s="72"/>
      <c r="G7270" s="72"/>
    </row>
    <row r="7271" spans="1:7" ht="14.5" hidden="1">
      <c r="A7271" s="5"/>
      <c r="B7271" s="18"/>
      <c r="C7271" s="85"/>
      <c r="D7271" s="41"/>
      <c r="E7271" s="26" t="str">
        <f ca="1">IFERROR(__xludf.DUMMYFUNCTION("""COMPUTED_VALUE"""),"")</f>
        <v/>
      </c>
      <c r="F7271" s="72"/>
      <c r="G7271" s="72"/>
    </row>
    <row r="7272" spans="1:7" ht="14.5" hidden="1">
      <c r="A7272" s="5"/>
      <c r="B7272" s="18"/>
      <c r="C7272" s="85"/>
      <c r="D7272" s="41"/>
      <c r="E7272" s="26" t="str">
        <f ca="1">IFERROR(__xludf.DUMMYFUNCTION("""COMPUTED_VALUE"""),"")</f>
        <v/>
      </c>
      <c r="F7272" s="72"/>
      <c r="G7272" s="72"/>
    </row>
    <row r="7273" spans="1:7" ht="14.5" hidden="1">
      <c r="A7273" s="5"/>
      <c r="B7273" s="18"/>
      <c r="C7273" s="85"/>
      <c r="D7273" s="41"/>
      <c r="E7273" s="26" t="str">
        <f ca="1">IFERROR(__xludf.DUMMYFUNCTION("""COMPUTED_VALUE"""),"")</f>
        <v/>
      </c>
      <c r="F7273" s="72"/>
      <c r="G7273" s="72"/>
    </row>
    <row r="7274" spans="1:7" ht="14.5" hidden="1">
      <c r="A7274" s="5"/>
      <c r="B7274" s="18"/>
      <c r="C7274" s="85"/>
      <c r="D7274" s="41"/>
      <c r="E7274" s="26" t="str">
        <f ca="1">IFERROR(__xludf.DUMMYFUNCTION("""COMPUTED_VALUE"""),"")</f>
        <v/>
      </c>
      <c r="F7274" s="72"/>
      <c r="G7274" s="72"/>
    </row>
    <row r="7275" spans="1:7" ht="14.5" hidden="1">
      <c r="A7275" s="5"/>
      <c r="B7275" s="18"/>
      <c r="C7275" s="85"/>
      <c r="D7275" s="41"/>
      <c r="E7275" s="26" t="str">
        <f ca="1">IFERROR(__xludf.DUMMYFUNCTION("""COMPUTED_VALUE"""),"")</f>
        <v/>
      </c>
      <c r="F7275" s="72"/>
      <c r="G7275" s="72"/>
    </row>
    <row r="7276" spans="1:7" ht="14.5" hidden="1">
      <c r="A7276" s="5"/>
      <c r="B7276" s="18"/>
      <c r="C7276" s="85"/>
      <c r="D7276" s="41"/>
      <c r="E7276" s="26" t="str">
        <f ca="1">IFERROR(__xludf.DUMMYFUNCTION("""COMPUTED_VALUE"""),"")</f>
        <v/>
      </c>
      <c r="F7276" s="72"/>
      <c r="G7276" s="72"/>
    </row>
    <row r="7277" spans="1:7" ht="14.5" hidden="1">
      <c r="A7277" s="5"/>
      <c r="B7277" s="18"/>
      <c r="C7277" s="85"/>
      <c r="D7277" s="41"/>
      <c r="E7277" s="26" t="str">
        <f ca="1">IFERROR(__xludf.DUMMYFUNCTION("""COMPUTED_VALUE"""),"")</f>
        <v/>
      </c>
      <c r="F7277" s="72"/>
      <c r="G7277" s="72"/>
    </row>
    <row r="7278" spans="1:7" ht="14.5" hidden="1">
      <c r="A7278" s="5"/>
      <c r="B7278" s="18"/>
      <c r="C7278" s="85"/>
      <c r="D7278" s="41"/>
      <c r="E7278" s="26" t="str">
        <f ca="1">IFERROR(__xludf.DUMMYFUNCTION("""COMPUTED_VALUE"""),"")</f>
        <v/>
      </c>
      <c r="F7278" s="72"/>
      <c r="G7278" s="72"/>
    </row>
    <row r="7279" spans="1:7" ht="14.5" hidden="1">
      <c r="A7279" s="5"/>
      <c r="B7279" s="18"/>
      <c r="C7279" s="85"/>
      <c r="D7279" s="41"/>
      <c r="E7279" s="26" t="str">
        <f ca="1">IFERROR(__xludf.DUMMYFUNCTION("""COMPUTED_VALUE"""),"")</f>
        <v/>
      </c>
      <c r="F7279" s="72"/>
      <c r="G7279" s="72"/>
    </row>
    <row r="7280" spans="1:7" ht="14.5" hidden="1">
      <c r="A7280" s="5"/>
      <c r="B7280" s="18"/>
      <c r="C7280" s="85"/>
      <c r="D7280" s="41"/>
      <c r="E7280" s="26" t="str">
        <f ca="1">IFERROR(__xludf.DUMMYFUNCTION("""COMPUTED_VALUE"""),"")</f>
        <v/>
      </c>
      <c r="F7280" s="72"/>
      <c r="G7280" s="72"/>
    </row>
    <row r="7281" spans="1:7" ht="14.5" hidden="1">
      <c r="A7281" s="5"/>
      <c r="B7281" s="18"/>
      <c r="C7281" s="85"/>
      <c r="D7281" s="41"/>
      <c r="E7281" s="26" t="str">
        <f ca="1">IFERROR(__xludf.DUMMYFUNCTION("""COMPUTED_VALUE"""),"")</f>
        <v/>
      </c>
      <c r="F7281" s="72"/>
      <c r="G7281" s="72"/>
    </row>
    <row r="7282" spans="1:7" ht="14.5" hidden="1">
      <c r="A7282" s="5"/>
      <c r="B7282" s="18"/>
      <c r="C7282" s="85"/>
      <c r="D7282" s="41"/>
      <c r="E7282" s="26" t="str">
        <f ca="1">IFERROR(__xludf.DUMMYFUNCTION("""COMPUTED_VALUE"""),"")</f>
        <v/>
      </c>
      <c r="F7282" s="72"/>
      <c r="G7282" s="72"/>
    </row>
    <row r="7283" spans="1:7" ht="14.5" hidden="1">
      <c r="A7283" s="5"/>
      <c r="B7283" s="18"/>
      <c r="C7283" s="85"/>
      <c r="D7283" s="41"/>
      <c r="E7283" s="26" t="str">
        <f ca="1">IFERROR(__xludf.DUMMYFUNCTION("""COMPUTED_VALUE"""),"")</f>
        <v/>
      </c>
      <c r="F7283" s="72"/>
      <c r="G7283" s="72"/>
    </row>
    <row r="7284" spans="1:7" ht="14.5" hidden="1">
      <c r="A7284" s="5"/>
      <c r="B7284" s="18"/>
      <c r="C7284" s="85"/>
      <c r="D7284" s="41"/>
      <c r="E7284" s="26" t="str">
        <f ca="1">IFERROR(__xludf.DUMMYFUNCTION("""COMPUTED_VALUE"""),"")</f>
        <v/>
      </c>
      <c r="F7284" s="72"/>
      <c r="G7284" s="72"/>
    </row>
    <row r="7285" spans="1:7" ht="14.5" hidden="1">
      <c r="A7285" s="5"/>
      <c r="B7285" s="18"/>
      <c r="C7285" s="85"/>
      <c r="D7285" s="41"/>
      <c r="E7285" s="26" t="str">
        <f ca="1">IFERROR(__xludf.DUMMYFUNCTION("""COMPUTED_VALUE"""),"")</f>
        <v/>
      </c>
      <c r="F7285" s="72"/>
      <c r="G7285" s="72"/>
    </row>
    <row r="7286" spans="1:7" ht="14.5" hidden="1">
      <c r="A7286" s="5"/>
      <c r="B7286" s="18"/>
      <c r="C7286" s="85"/>
      <c r="D7286" s="41"/>
      <c r="E7286" s="26" t="str">
        <f ca="1">IFERROR(__xludf.DUMMYFUNCTION("""COMPUTED_VALUE"""),"")</f>
        <v/>
      </c>
      <c r="F7286" s="72"/>
      <c r="G7286" s="72"/>
    </row>
    <row r="7287" spans="1:7" ht="14.5" hidden="1">
      <c r="A7287" s="5"/>
      <c r="B7287" s="18"/>
      <c r="C7287" s="85"/>
      <c r="D7287" s="41"/>
      <c r="E7287" s="26" t="str">
        <f ca="1">IFERROR(__xludf.DUMMYFUNCTION("""COMPUTED_VALUE"""),"")</f>
        <v/>
      </c>
      <c r="F7287" s="72"/>
      <c r="G7287" s="72"/>
    </row>
    <row r="7288" spans="1:7" ht="14.5" hidden="1">
      <c r="A7288" s="5"/>
      <c r="B7288" s="18"/>
      <c r="C7288" s="85"/>
      <c r="D7288" s="41"/>
      <c r="E7288" s="26" t="str">
        <f ca="1">IFERROR(__xludf.DUMMYFUNCTION("""COMPUTED_VALUE"""),"")</f>
        <v/>
      </c>
      <c r="F7288" s="72"/>
      <c r="G7288" s="72"/>
    </row>
    <row r="7289" spans="1:7" ht="14.5" hidden="1">
      <c r="A7289" s="5"/>
      <c r="B7289" s="18"/>
      <c r="C7289" s="85"/>
      <c r="D7289" s="41"/>
      <c r="E7289" s="26" t="str">
        <f ca="1">IFERROR(__xludf.DUMMYFUNCTION("""COMPUTED_VALUE"""),"")</f>
        <v/>
      </c>
      <c r="F7289" s="72"/>
      <c r="G7289" s="72"/>
    </row>
    <row r="7290" spans="1:7" ht="14.5" hidden="1">
      <c r="A7290" s="5"/>
      <c r="B7290" s="18"/>
      <c r="C7290" s="85"/>
      <c r="D7290" s="41"/>
      <c r="E7290" s="26" t="str">
        <f ca="1">IFERROR(__xludf.DUMMYFUNCTION("""COMPUTED_VALUE"""),"")</f>
        <v/>
      </c>
      <c r="F7290" s="72"/>
      <c r="G7290" s="72"/>
    </row>
    <row r="7291" spans="1:7" ht="14.5" hidden="1">
      <c r="A7291" s="5"/>
      <c r="B7291" s="18"/>
      <c r="C7291" s="85"/>
      <c r="D7291" s="41"/>
      <c r="E7291" s="26" t="str">
        <f ca="1">IFERROR(__xludf.DUMMYFUNCTION("""COMPUTED_VALUE"""),"")</f>
        <v/>
      </c>
      <c r="F7291" s="72"/>
      <c r="G7291" s="72"/>
    </row>
    <row r="7292" spans="1:7" ht="14.5" hidden="1">
      <c r="A7292" s="5"/>
      <c r="B7292" s="18"/>
      <c r="C7292" s="85"/>
      <c r="D7292" s="41"/>
      <c r="E7292" s="26" t="str">
        <f ca="1">IFERROR(__xludf.DUMMYFUNCTION("""COMPUTED_VALUE"""),"")</f>
        <v/>
      </c>
      <c r="F7292" s="72"/>
      <c r="G7292" s="72"/>
    </row>
    <row r="7293" spans="1:7" ht="14.5" hidden="1">
      <c r="A7293" s="5"/>
      <c r="B7293" s="18"/>
      <c r="C7293" s="85"/>
      <c r="D7293" s="41"/>
      <c r="E7293" s="26" t="str">
        <f ca="1">IFERROR(__xludf.DUMMYFUNCTION("""COMPUTED_VALUE"""),"")</f>
        <v/>
      </c>
      <c r="F7293" s="72"/>
      <c r="G7293" s="72"/>
    </row>
    <row r="7294" spans="1:7" ht="14.5" hidden="1">
      <c r="A7294" s="5"/>
      <c r="B7294" s="18"/>
      <c r="C7294" s="85"/>
      <c r="D7294" s="41"/>
      <c r="E7294" s="26" t="str">
        <f ca="1">IFERROR(__xludf.DUMMYFUNCTION("""COMPUTED_VALUE"""),"")</f>
        <v/>
      </c>
      <c r="F7294" s="72"/>
      <c r="G7294" s="72"/>
    </row>
    <row r="7295" spans="1:7" ht="14.5" hidden="1">
      <c r="A7295" s="5"/>
      <c r="B7295" s="18"/>
      <c r="C7295" s="85"/>
      <c r="D7295" s="41"/>
      <c r="E7295" s="26" t="str">
        <f ca="1">IFERROR(__xludf.DUMMYFUNCTION("""COMPUTED_VALUE"""),"")</f>
        <v/>
      </c>
      <c r="F7295" s="72"/>
      <c r="G7295" s="72"/>
    </row>
    <row r="7296" spans="1:7" ht="14.5" hidden="1">
      <c r="A7296" s="5"/>
      <c r="B7296" s="18"/>
      <c r="C7296" s="85"/>
      <c r="D7296" s="41"/>
      <c r="E7296" s="26" t="str">
        <f ca="1">IFERROR(__xludf.DUMMYFUNCTION("""COMPUTED_VALUE"""),"")</f>
        <v/>
      </c>
      <c r="F7296" s="72"/>
      <c r="G7296" s="72"/>
    </row>
    <row r="7297" spans="1:7" ht="14.5" hidden="1">
      <c r="A7297" s="5"/>
      <c r="B7297" s="18"/>
      <c r="C7297" s="85"/>
      <c r="D7297" s="41"/>
      <c r="E7297" s="26" t="str">
        <f ca="1">IFERROR(__xludf.DUMMYFUNCTION("""COMPUTED_VALUE"""),"")</f>
        <v/>
      </c>
      <c r="F7297" s="72"/>
      <c r="G7297" s="72"/>
    </row>
    <row r="7298" spans="1:7" ht="14.5" hidden="1">
      <c r="A7298" s="5"/>
      <c r="B7298" s="18"/>
      <c r="C7298" s="85"/>
      <c r="D7298" s="41"/>
      <c r="E7298" s="26" t="str">
        <f ca="1">IFERROR(__xludf.DUMMYFUNCTION("""COMPUTED_VALUE"""),"")</f>
        <v/>
      </c>
      <c r="F7298" s="72"/>
      <c r="G7298" s="72"/>
    </row>
    <row r="7299" spans="1:7" ht="14.5" hidden="1">
      <c r="A7299" s="5"/>
      <c r="B7299" s="18"/>
      <c r="C7299" s="85"/>
      <c r="D7299" s="41"/>
      <c r="E7299" s="26" t="str">
        <f ca="1">IFERROR(__xludf.DUMMYFUNCTION("""COMPUTED_VALUE"""),"")</f>
        <v/>
      </c>
      <c r="F7299" s="72"/>
      <c r="G7299" s="72"/>
    </row>
    <row r="7300" spans="1:7" ht="14.5" hidden="1">
      <c r="A7300" s="5"/>
      <c r="B7300" s="18"/>
      <c r="C7300" s="85"/>
      <c r="D7300" s="41"/>
      <c r="E7300" s="26" t="str">
        <f ca="1">IFERROR(__xludf.DUMMYFUNCTION("""COMPUTED_VALUE"""),"")</f>
        <v/>
      </c>
      <c r="F7300" s="72"/>
      <c r="G7300" s="72"/>
    </row>
    <row r="7301" spans="1:7" ht="14.5" hidden="1">
      <c r="A7301" s="5"/>
      <c r="B7301" s="18"/>
      <c r="C7301" s="85"/>
      <c r="D7301" s="41"/>
      <c r="E7301" s="26" t="str">
        <f ca="1">IFERROR(__xludf.DUMMYFUNCTION("""COMPUTED_VALUE"""),"")</f>
        <v/>
      </c>
      <c r="F7301" s="72"/>
      <c r="G7301" s="72"/>
    </row>
    <row r="7302" spans="1:7" ht="14.5" hidden="1">
      <c r="A7302" s="5"/>
      <c r="B7302" s="18"/>
      <c r="C7302" s="85"/>
      <c r="D7302" s="41"/>
      <c r="E7302" s="26" t="str">
        <f ca="1">IFERROR(__xludf.DUMMYFUNCTION("""COMPUTED_VALUE"""),"")</f>
        <v/>
      </c>
      <c r="F7302" s="72"/>
      <c r="G7302" s="72"/>
    </row>
    <row r="7303" spans="1:7" ht="14.5" hidden="1">
      <c r="A7303" s="5"/>
      <c r="B7303" s="18"/>
      <c r="C7303" s="85"/>
      <c r="D7303" s="41"/>
      <c r="E7303" s="26" t="str">
        <f ca="1">IFERROR(__xludf.DUMMYFUNCTION("""COMPUTED_VALUE"""),"")</f>
        <v/>
      </c>
      <c r="F7303" s="72"/>
      <c r="G7303" s="72"/>
    </row>
    <row r="7304" spans="1:7" ht="14.5" hidden="1">
      <c r="A7304" s="5"/>
      <c r="B7304" s="18"/>
      <c r="C7304" s="85"/>
      <c r="D7304" s="41"/>
      <c r="E7304" s="26" t="str">
        <f ca="1">IFERROR(__xludf.DUMMYFUNCTION("""COMPUTED_VALUE"""),"")</f>
        <v/>
      </c>
      <c r="F7304" s="72"/>
      <c r="G7304" s="72"/>
    </row>
    <row r="7305" spans="1:7" ht="14.5" hidden="1">
      <c r="A7305" s="5"/>
      <c r="B7305" s="18"/>
      <c r="C7305" s="85"/>
      <c r="D7305" s="41"/>
      <c r="E7305" s="26" t="str">
        <f ca="1">IFERROR(__xludf.DUMMYFUNCTION("""COMPUTED_VALUE"""),"")</f>
        <v/>
      </c>
      <c r="F7305" s="72"/>
      <c r="G7305" s="72"/>
    </row>
    <row r="7306" spans="1:7" ht="14.5" hidden="1">
      <c r="A7306" s="5"/>
      <c r="B7306" s="18"/>
      <c r="C7306" s="85"/>
      <c r="D7306" s="41"/>
      <c r="E7306" s="26" t="str">
        <f ca="1">IFERROR(__xludf.DUMMYFUNCTION("""COMPUTED_VALUE"""),"")</f>
        <v/>
      </c>
      <c r="F7306" s="72"/>
      <c r="G7306" s="72"/>
    </row>
    <row r="7307" spans="1:7" ht="14.5" hidden="1">
      <c r="A7307" s="5"/>
      <c r="B7307" s="18"/>
      <c r="C7307" s="85"/>
      <c r="D7307" s="41"/>
      <c r="E7307" s="26" t="str">
        <f ca="1">IFERROR(__xludf.DUMMYFUNCTION("""COMPUTED_VALUE"""),"")</f>
        <v/>
      </c>
      <c r="F7307" s="72"/>
      <c r="G7307" s="72"/>
    </row>
    <row r="7308" spans="1:7" ht="14.5" hidden="1">
      <c r="A7308" s="5"/>
      <c r="B7308" s="18"/>
      <c r="C7308" s="85"/>
      <c r="D7308" s="41"/>
      <c r="E7308" s="26" t="str">
        <f ca="1">IFERROR(__xludf.DUMMYFUNCTION("""COMPUTED_VALUE"""),"")</f>
        <v/>
      </c>
      <c r="F7308" s="72"/>
      <c r="G7308" s="72"/>
    </row>
    <row r="7309" spans="1:7" ht="14.5" hidden="1">
      <c r="A7309" s="5"/>
      <c r="B7309" s="18"/>
      <c r="C7309" s="85"/>
      <c r="D7309" s="41"/>
      <c r="E7309" s="26" t="str">
        <f ca="1">IFERROR(__xludf.DUMMYFUNCTION("""COMPUTED_VALUE"""),"")</f>
        <v/>
      </c>
      <c r="F7309" s="72"/>
      <c r="G7309" s="72"/>
    </row>
    <row r="7310" spans="1:7" ht="14.5" hidden="1">
      <c r="A7310" s="5"/>
      <c r="B7310" s="18"/>
      <c r="C7310" s="85"/>
      <c r="D7310" s="41"/>
      <c r="E7310" s="26" t="str">
        <f ca="1">IFERROR(__xludf.DUMMYFUNCTION("""COMPUTED_VALUE"""),"")</f>
        <v/>
      </c>
      <c r="F7310" s="72"/>
      <c r="G7310" s="72"/>
    </row>
    <row r="7311" spans="1:7" ht="14.5" hidden="1">
      <c r="A7311" s="5"/>
      <c r="B7311" s="18"/>
      <c r="C7311" s="85"/>
      <c r="D7311" s="41"/>
      <c r="E7311" s="26" t="str">
        <f ca="1">IFERROR(__xludf.DUMMYFUNCTION("""COMPUTED_VALUE"""),"")</f>
        <v/>
      </c>
      <c r="F7311" s="72"/>
      <c r="G7311" s="72"/>
    </row>
    <row r="7312" spans="1:7" ht="14.5" hidden="1">
      <c r="A7312" s="5"/>
      <c r="B7312" s="18"/>
      <c r="C7312" s="85"/>
      <c r="D7312" s="41"/>
      <c r="E7312" s="26" t="str">
        <f ca="1">IFERROR(__xludf.DUMMYFUNCTION("""COMPUTED_VALUE"""),"")</f>
        <v/>
      </c>
      <c r="F7312" s="72"/>
      <c r="G7312" s="72"/>
    </row>
    <row r="7313" spans="1:7" ht="14.5" hidden="1">
      <c r="A7313" s="5"/>
      <c r="B7313" s="18"/>
      <c r="C7313" s="85"/>
      <c r="D7313" s="41"/>
      <c r="E7313" s="26" t="str">
        <f ca="1">IFERROR(__xludf.DUMMYFUNCTION("""COMPUTED_VALUE"""),"")</f>
        <v/>
      </c>
      <c r="F7313" s="72"/>
      <c r="G7313" s="72"/>
    </row>
    <row r="7314" spans="1:7" ht="14.5" hidden="1">
      <c r="A7314" s="5"/>
      <c r="B7314" s="18"/>
      <c r="C7314" s="85"/>
      <c r="D7314" s="41"/>
      <c r="E7314" s="26" t="str">
        <f ca="1">IFERROR(__xludf.DUMMYFUNCTION("""COMPUTED_VALUE"""),"")</f>
        <v/>
      </c>
      <c r="F7314" s="72"/>
      <c r="G7314" s="72"/>
    </row>
    <row r="7315" spans="1:7" ht="14.5" hidden="1">
      <c r="A7315" s="5"/>
      <c r="B7315" s="18"/>
      <c r="C7315" s="85"/>
      <c r="D7315" s="41"/>
      <c r="E7315" s="26" t="str">
        <f ca="1">IFERROR(__xludf.DUMMYFUNCTION("""COMPUTED_VALUE"""),"")</f>
        <v/>
      </c>
      <c r="F7315" s="72"/>
      <c r="G7315" s="72"/>
    </row>
    <row r="7316" spans="1:7" ht="14.5" hidden="1">
      <c r="A7316" s="5"/>
      <c r="B7316" s="18"/>
      <c r="C7316" s="85"/>
      <c r="D7316" s="41"/>
      <c r="E7316" s="26" t="str">
        <f ca="1">IFERROR(__xludf.DUMMYFUNCTION("""COMPUTED_VALUE"""),"")</f>
        <v/>
      </c>
      <c r="F7316" s="72"/>
      <c r="G7316" s="72"/>
    </row>
    <row r="7317" spans="1:7" ht="14.5" hidden="1">
      <c r="A7317" s="5"/>
      <c r="B7317" s="18"/>
      <c r="C7317" s="85"/>
      <c r="D7317" s="41"/>
      <c r="E7317" s="26" t="str">
        <f ca="1">IFERROR(__xludf.DUMMYFUNCTION("""COMPUTED_VALUE"""),"")</f>
        <v/>
      </c>
      <c r="F7317" s="72"/>
      <c r="G7317" s="72"/>
    </row>
    <row r="7318" spans="1:7" ht="14.5" hidden="1">
      <c r="A7318" s="5"/>
      <c r="B7318" s="18"/>
      <c r="C7318" s="85"/>
      <c r="D7318" s="41"/>
      <c r="E7318" s="26" t="str">
        <f ca="1">IFERROR(__xludf.DUMMYFUNCTION("""COMPUTED_VALUE"""),"")</f>
        <v/>
      </c>
      <c r="F7318" s="72"/>
      <c r="G7318" s="72"/>
    </row>
    <row r="7319" spans="1:7" ht="14.5" hidden="1">
      <c r="A7319" s="5"/>
      <c r="B7319" s="18"/>
      <c r="C7319" s="85"/>
      <c r="D7319" s="41"/>
      <c r="E7319" s="26" t="str">
        <f ca="1">IFERROR(__xludf.DUMMYFUNCTION("""COMPUTED_VALUE"""),"")</f>
        <v/>
      </c>
      <c r="F7319" s="72"/>
      <c r="G7319" s="72"/>
    </row>
    <row r="7320" spans="1:7" ht="14.5" hidden="1">
      <c r="A7320" s="5"/>
      <c r="B7320" s="18"/>
      <c r="C7320" s="85"/>
      <c r="D7320" s="41"/>
      <c r="E7320" s="26" t="str">
        <f ca="1">IFERROR(__xludf.DUMMYFUNCTION("""COMPUTED_VALUE"""),"")</f>
        <v/>
      </c>
      <c r="F7320" s="72"/>
      <c r="G7320" s="72"/>
    </row>
    <row r="7321" spans="1:7" ht="14.5" hidden="1">
      <c r="A7321" s="5"/>
      <c r="B7321" s="18"/>
      <c r="C7321" s="85"/>
      <c r="D7321" s="41"/>
      <c r="E7321" s="26" t="str">
        <f ca="1">IFERROR(__xludf.DUMMYFUNCTION("""COMPUTED_VALUE"""),"")</f>
        <v/>
      </c>
      <c r="F7321" s="72"/>
      <c r="G7321" s="72"/>
    </row>
    <row r="7322" spans="1:7" ht="14.5" hidden="1">
      <c r="A7322" s="5"/>
      <c r="B7322" s="18"/>
      <c r="C7322" s="85"/>
      <c r="D7322" s="41"/>
      <c r="E7322" s="26" t="str">
        <f ca="1">IFERROR(__xludf.DUMMYFUNCTION("""COMPUTED_VALUE"""),"")</f>
        <v/>
      </c>
      <c r="F7322" s="72"/>
      <c r="G7322" s="72"/>
    </row>
    <row r="7323" spans="1:7" ht="14.5" hidden="1">
      <c r="A7323" s="5"/>
      <c r="B7323" s="18"/>
      <c r="C7323" s="85"/>
      <c r="D7323" s="41"/>
      <c r="E7323" s="26" t="str">
        <f ca="1">IFERROR(__xludf.DUMMYFUNCTION("""COMPUTED_VALUE"""),"")</f>
        <v/>
      </c>
      <c r="F7323" s="72"/>
      <c r="G7323" s="72"/>
    </row>
    <row r="7324" spans="1:7" ht="14.5" hidden="1">
      <c r="A7324" s="5"/>
      <c r="B7324" s="18"/>
      <c r="C7324" s="85"/>
      <c r="D7324" s="41"/>
      <c r="E7324" s="26" t="str">
        <f ca="1">IFERROR(__xludf.DUMMYFUNCTION("""COMPUTED_VALUE"""),"")</f>
        <v/>
      </c>
      <c r="F7324" s="72"/>
      <c r="G7324" s="72"/>
    </row>
    <row r="7325" spans="1:7" ht="14.5" hidden="1">
      <c r="A7325" s="5"/>
      <c r="B7325" s="18"/>
      <c r="C7325" s="85"/>
      <c r="D7325" s="41"/>
      <c r="E7325" s="26" t="str">
        <f ca="1">IFERROR(__xludf.DUMMYFUNCTION("""COMPUTED_VALUE"""),"")</f>
        <v/>
      </c>
      <c r="F7325" s="72"/>
      <c r="G7325" s="72"/>
    </row>
    <row r="7326" spans="1:7" ht="14.5" hidden="1">
      <c r="A7326" s="5"/>
      <c r="B7326" s="18"/>
      <c r="C7326" s="85"/>
      <c r="D7326" s="41"/>
      <c r="E7326" s="26" t="str">
        <f ca="1">IFERROR(__xludf.DUMMYFUNCTION("""COMPUTED_VALUE"""),"")</f>
        <v/>
      </c>
      <c r="F7326" s="72"/>
      <c r="G7326" s="72"/>
    </row>
    <row r="7327" spans="1:7" ht="14.5" hidden="1">
      <c r="A7327" s="5"/>
      <c r="B7327" s="18"/>
      <c r="C7327" s="85"/>
      <c r="D7327" s="41"/>
      <c r="E7327" s="26" t="str">
        <f ca="1">IFERROR(__xludf.DUMMYFUNCTION("""COMPUTED_VALUE"""),"")</f>
        <v/>
      </c>
      <c r="F7327" s="72"/>
      <c r="G7327" s="72"/>
    </row>
    <row r="7328" spans="1:7" ht="14.5" hidden="1">
      <c r="A7328" s="5"/>
      <c r="B7328" s="18"/>
      <c r="C7328" s="85"/>
      <c r="D7328" s="41"/>
      <c r="E7328" s="26" t="str">
        <f ca="1">IFERROR(__xludf.DUMMYFUNCTION("""COMPUTED_VALUE"""),"")</f>
        <v/>
      </c>
      <c r="F7328" s="72"/>
      <c r="G7328" s="72"/>
    </row>
    <row r="7329" spans="1:7" ht="14.5" hidden="1">
      <c r="A7329" s="5"/>
      <c r="B7329" s="18"/>
      <c r="C7329" s="85"/>
      <c r="D7329" s="41"/>
      <c r="E7329" s="26" t="str">
        <f ca="1">IFERROR(__xludf.DUMMYFUNCTION("""COMPUTED_VALUE"""),"")</f>
        <v/>
      </c>
      <c r="F7329" s="72"/>
      <c r="G7329" s="72"/>
    </row>
    <row r="7330" spans="1:7" ht="14.5" hidden="1">
      <c r="A7330" s="5"/>
      <c r="B7330" s="18"/>
      <c r="C7330" s="85"/>
      <c r="D7330" s="41"/>
      <c r="E7330" s="26" t="str">
        <f ca="1">IFERROR(__xludf.DUMMYFUNCTION("""COMPUTED_VALUE"""),"")</f>
        <v/>
      </c>
      <c r="F7330" s="72"/>
      <c r="G7330" s="72"/>
    </row>
    <row r="7331" spans="1:7" ht="14.5" hidden="1">
      <c r="A7331" s="5"/>
      <c r="B7331" s="18"/>
      <c r="C7331" s="85"/>
      <c r="D7331" s="41"/>
      <c r="E7331" s="26" t="str">
        <f ca="1">IFERROR(__xludf.DUMMYFUNCTION("""COMPUTED_VALUE"""),"")</f>
        <v/>
      </c>
      <c r="F7331" s="72"/>
      <c r="G7331" s="72"/>
    </row>
    <row r="7332" spans="1:7" ht="14.5" hidden="1">
      <c r="A7332" s="5"/>
      <c r="B7332" s="18"/>
      <c r="C7332" s="85"/>
      <c r="D7332" s="41"/>
      <c r="E7332" s="26" t="str">
        <f ca="1">IFERROR(__xludf.DUMMYFUNCTION("""COMPUTED_VALUE"""),"")</f>
        <v/>
      </c>
      <c r="F7332" s="72"/>
      <c r="G7332" s="72"/>
    </row>
    <row r="7333" spans="1:7" ht="14.5" hidden="1">
      <c r="A7333" s="5"/>
      <c r="B7333" s="18"/>
      <c r="C7333" s="85"/>
      <c r="D7333" s="41"/>
      <c r="E7333" s="26" t="str">
        <f ca="1">IFERROR(__xludf.DUMMYFUNCTION("""COMPUTED_VALUE"""),"")</f>
        <v/>
      </c>
      <c r="F7333" s="72"/>
      <c r="G7333" s="72"/>
    </row>
    <row r="7334" spans="1:7" ht="14.5" hidden="1">
      <c r="A7334" s="5"/>
      <c r="B7334" s="18"/>
      <c r="C7334" s="85"/>
      <c r="D7334" s="41"/>
      <c r="E7334" s="26" t="str">
        <f ca="1">IFERROR(__xludf.DUMMYFUNCTION("""COMPUTED_VALUE"""),"")</f>
        <v/>
      </c>
      <c r="F7334" s="72"/>
      <c r="G7334" s="72"/>
    </row>
    <row r="7335" spans="1:7" ht="14.5" hidden="1">
      <c r="A7335" s="5"/>
      <c r="B7335" s="18"/>
      <c r="C7335" s="85"/>
      <c r="D7335" s="41"/>
      <c r="E7335" s="26" t="str">
        <f ca="1">IFERROR(__xludf.DUMMYFUNCTION("""COMPUTED_VALUE"""),"")</f>
        <v/>
      </c>
      <c r="F7335" s="72"/>
      <c r="G7335" s="72"/>
    </row>
    <row r="7336" spans="1:7" ht="14.5" hidden="1">
      <c r="A7336" s="5"/>
      <c r="B7336" s="18"/>
      <c r="C7336" s="85"/>
      <c r="D7336" s="41"/>
      <c r="E7336" s="26" t="str">
        <f ca="1">IFERROR(__xludf.DUMMYFUNCTION("""COMPUTED_VALUE"""),"")</f>
        <v/>
      </c>
      <c r="F7336" s="72"/>
      <c r="G7336" s="72"/>
    </row>
    <row r="7337" spans="1:7" ht="14.5" hidden="1">
      <c r="A7337" s="5"/>
      <c r="B7337" s="18"/>
      <c r="C7337" s="85"/>
      <c r="D7337" s="41"/>
      <c r="E7337" s="26" t="str">
        <f ca="1">IFERROR(__xludf.DUMMYFUNCTION("""COMPUTED_VALUE"""),"")</f>
        <v/>
      </c>
      <c r="F7337" s="72"/>
      <c r="G7337" s="72"/>
    </row>
    <row r="7338" spans="1:7" ht="14.5" hidden="1">
      <c r="A7338" s="5"/>
      <c r="B7338" s="18"/>
      <c r="C7338" s="85"/>
      <c r="D7338" s="41"/>
      <c r="E7338" s="26" t="str">
        <f ca="1">IFERROR(__xludf.DUMMYFUNCTION("""COMPUTED_VALUE"""),"")</f>
        <v/>
      </c>
      <c r="F7338" s="72"/>
      <c r="G7338" s="72"/>
    </row>
    <row r="7339" spans="1:7" ht="14.5" hidden="1">
      <c r="A7339" s="5"/>
      <c r="B7339" s="18"/>
      <c r="C7339" s="85"/>
      <c r="D7339" s="41"/>
      <c r="E7339" s="26" t="str">
        <f ca="1">IFERROR(__xludf.DUMMYFUNCTION("""COMPUTED_VALUE"""),"")</f>
        <v/>
      </c>
      <c r="F7339" s="72"/>
      <c r="G7339" s="72"/>
    </row>
    <row r="7340" spans="1:7" ht="14.5" hidden="1">
      <c r="A7340" s="5"/>
      <c r="B7340" s="18"/>
      <c r="C7340" s="85"/>
      <c r="D7340" s="41"/>
      <c r="E7340" s="26" t="str">
        <f ca="1">IFERROR(__xludf.DUMMYFUNCTION("""COMPUTED_VALUE"""),"")</f>
        <v/>
      </c>
      <c r="F7340" s="72"/>
      <c r="G7340" s="72"/>
    </row>
    <row r="7341" spans="1:7" ht="14.5" hidden="1">
      <c r="A7341" s="5"/>
      <c r="B7341" s="18"/>
      <c r="C7341" s="85"/>
      <c r="D7341" s="41"/>
      <c r="E7341" s="26" t="str">
        <f ca="1">IFERROR(__xludf.DUMMYFUNCTION("""COMPUTED_VALUE"""),"")</f>
        <v/>
      </c>
      <c r="F7341" s="72"/>
      <c r="G7341" s="72"/>
    </row>
    <row r="7342" spans="1:7" ht="14.5" hidden="1">
      <c r="A7342" s="5"/>
      <c r="B7342" s="18"/>
      <c r="C7342" s="85"/>
      <c r="D7342" s="41"/>
      <c r="E7342" s="26" t="str">
        <f ca="1">IFERROR(__xludf.DUMMYFUNCTION("""COMPUTED_VALUE"""),"")</f>
        <v/>
      </c>
      <c r="F7342" s="72"/>
      <c r="G7342" s="72"/>
    </row>
    <row r="7343" spans="1:7" ht="14.5" hidden="1">
      <c r="A7343" s="5"/>
      <c r="B7343" s="18"/>
      <c r="C7343" s="85"/>
      <c r="D7343" s="41"/>
      <c r="E7343" s="26" t="str">
        <f ca="1">IFERROR(__xludf.DUMMYFUNCTION("""COMPUTED_VALUE"""),"")</f>
        <v/>
      </c>
      <c r="F7343" s="72"/>
      <c r="G7343" s="72"/>
    </row>
    <row r="7344" spans="1:7" ht="14.5" hidden="1">
      <c r="A7344" s="5"/>
      <c r="B7344" s="18"/>
      <c r="C7344" s="85"/>
      <c r="D7344" s="41"/>
      <c r="E7344" s="26" t="str">
        <f ca="1">IFERROR(__xludf.DUMMYFUNCTION("""COMPUTED_VALUE"""),"")</f>
        <v/>
      </c>
      <c r="F7344" s="72"/>
      <c r="G7344" s="72"/>
    </row>
    <row r="7345" spans="1:7" ht="14.5" hidden="1">
      <c r="A7345" s="5"/>
      <c r="B7345" s="18"/>
      <c r="C7345" s="85"/>
      <c r="D7345" s="41"/>
      <c r="E7345" s="26" t="str">
        <f ca="1">IFERROR(__xludf.DUMMYFUNCTION("""COMPUTED_VALUE"""),"")</f>
        <v/>
      </c>
      <c r="F7345" s="72"/>
      <c r="G7345" s="72"/>
    </row>
    <row r="7346" spans="1:7" ht="14.5" hidden="1">
      <c r="A7346" s="5"/>
      <c r="B7346" s="18"/>
      <c r="C7346" s="85"/>
      <c r="D7346" s="41"/>
      <c r="E7346" s="26" t="str">
        <f ca="1">IFERROR(__xludf.DUMMYFUNCTION("""COMPUTED_VALUE"""),"")</f>
        <v/>
      </c>
      <c r="F7346" s="72"/>
      <c r="G7346" s="72"/>
    </row>
    <row r="7347" spans="1:7" ht="14.5" hidden="1">
      <c r="A7347" s="5"/>
      <c r="B7347" s="18"/>
      <c r="C7347" s="85"/>
      <c r="D7347" s="41"/>
      <c r="E7347" s="26" t="str">
        <f ca="1">IFERROR(__xludf.DUMMYFUNCTION("""COMPUTED_VALUE"""),"")</f>
        <v/>
      </c>
      <c r="F7347" s="72"/>
      <c r="G7347" s="72"/>
    </row>
    <row r="7348" spans="1:7" ht="14.5" hidden="1">
      <c r="A7348" s="5"/>
      <c r="B7348" s="18"/>
      <c r="C7348" s="85"/>
      <c r="D7348" s="41"/>
      <c r="E7348" s="26" t="str">
        <f ca="1">IFERROR(__xludf.DUMMYFUNCTION("""COMPUTED_VALUE"""),"")</f>
        <v/>
      </c>
      <c r="F7348" s="72"/>
      <c r="G7348" s="72"/>
    </row>
    <row r="7349" spans="1:7" ht="14.5" hidden="1">
      <c r="A7349" s="5"/>
      <c r="B7349" s="18"/>
      <c r="C7349" s="85"/>
      <c r="D7349" s="41"/>
      <c r="E7349" s="26" t="str">
        <f ca="1">IFERROR(__xludf.DUMMYFUNCTION("""COMPUTED_VALUE"""),"")</f>
        <v/>
      </c>
      <c r="F7349" s="72"/>
      <c r="G7349" s="72"/>
    </row>
    <row r="7350" spans="1:7" ht="14.5" hidden="1">
      <c r="A7350" s="5"/>
      <c r="B7350" s="18"/>
      <c r="C7350" s="85"/>
      <c r="D7350" s="41"/>
      <c r="E7350" s="26" t="str">
        <f ca="1">IFERROR(__xludf.DUMMYFUNCTION("""COMPUTED_VALUE"""),"")</f>
        <v/>
      </c>
      <c r="F7350" s="72"/>
      <c r="G7350" s="72"/>
    </row>
    <row r="7351" spans="1:7" ht="14.5" hidden="1">
      <c r="A7351" s="5"/>
      <c r="B7351" s="18"/>
      <c r="C7351" s="85"/>
      <c r="D7351" s="41"/>
      <c r="E7351" s="26" t="str">
        <f ca="1">IFERROR(__xludf.DUMMYFUNCTION("""COMPUTED_VALUE"""),"")</f>
        <v/>
      </c>
      <c r="F7351" s="72"/>
      <c r="G7351" s="72"/>
    </row>
    <row r="7352" spans="1:7" ht="14.5" hidden="1">
      <c r="A7352" s="5"/>
      <c r="B7352" s="18"/>
      <c r="C7352" s="85"/>
      <c r="D7352" s="41"/>
      <c r="E7352" s="26" t="str">
        <f ca="1">IFERROR(__xludf.DUMMYFUNCTION("""COMPUTED_VALUE"""),"")</f>
        <v/>
      </c>
      <c r="F7352" s="72"/>
      <c r="G7352" s="72"/>
    </row>
    <row r="7353" spans="1:7" ht="14.5" hidden="1">
      <c r="A7353" s="5"/>
      <c r="B7353" s="18"/>
      <c r="C7353" s="85"/>
      <c r="D7353" s="41"/>
      <c r="E7353" s="26" t="str">
        <f ca="1">IFERROR(__xludf.DUMMYFUNCTION("""COMPUTED_VALUE"""),"")</f>
        <v/>
      </c>
      <c r="F7353" s="72"/>
      <c r="G7353" s="72"/>
    </row>
    <row r="7354" spans="1:7" ht="14.5" hidden="1">
      <c r="A7354" s="5"/>
      <c r="B7354" s="18"/>
      <c r="C7354" s="85"/>
      <c r="D7354" s="41"/>
      <c r="E7354" s="26" t="str">
        <f ca="1">IFERROR(__xludf.DUMMYFUNCTION("""COMPUTED_VALUE"""),"")</f>
        <v/>
      </c>
      <c r="F7354" s="72"/>
      <c r="G7354" s="72"/>
    </row>
    <row r="7355" spans="1:7" ht="14.5" hidden="1">
      <c r="A7355" s="5"/>
      <c r="B7355" s="18"/>
      <c r="C7355" s="85"/>
      <c r="D7355" s="41"/>
      <c r="E7355" s="26" t="str">
        <f ca="1">IFERROR(__xludf.DUMMYFUNCTION("""COMPUTED_VALUE"""),"")</f>
        <v/>
      </c>
      <c r="F7355" s="72"/>
      <c r="G7355" s="72"/>
    </row>
    <row r="7356" spans="1:7" ht="14.5" hidden="1">
      <c r="A7356" s="5"/>
      <c r="B7356" s="18"/>
      <c r="C7356" s="85"/>
      <c r="D7356" s="41"/>
      <c r="E7356" s="26" t="str">
        <f ca="1">IFERROR(__xludf.DUMMYFUNCTION("""COMPUTED_VALUE"""),"")</f>
        <v/>
      </c>
      <c r="F7356" s="72"/>
      <c r="G7356" s="72"/>
    </row>
    <row r="7357" spans="1:7" ht="14.5" hidden="1">
      <c r="A7357" s="5"/>
      <c r="B7357" s="18"/>
      <c r="C7357" s="85"/>
      <c r="D7357" s="41"/>
      <c r="E7357" s="26" t="str">
        <f ca="1">IFERROR(__xludf.DUMMYFUNCTION("""COMPUTED_VALUE"""),"")</f>
        <v/>
      </c>
      <c r="F7357" s="72"/>
      <c r="G7357" s="72"/>
    </row>
    <row r="7358" spans="1:7" ht="14.5" hidden="1">
      <c r="A7358" s="5"/>
      <c r="B7358" s="18"/>
      <c r="C7358" s="85"/>
      <c r="D7358" s="41"/>
      <c r="E7358" s="26" t="str">
        <f ca="1">IFERROR(__xludf.DUMMYFUNCTION("""COMPUTED_VALUE"""),"")</f>
        <v/>
      </c>
      <c r="F7358" s="72"/>
      <c r="G7358" s="72"/>
    </row>
    <row r="7359" spans="1:7" ht="14.5" hidden="1">
      <c r="A7359" s="5"/>
      <c r="B7359" s="18"/>
      <c r="C7359" s="85"/>
      <c r="D7359" s="41"/>
      <c r="E7359" s="26" t="str">
        <f ca="1">IFERROR(__xludf.DUMMYFUNCTION("""COMPUTED_VALUE"""),"")</f>
        <v/>
      </c>
      <c r="F7359" s="72"/>
      <c r="G7359" s="72"/>
    </row>
    <row r="7360" spans="1:7" ht="14.5" hidden="1">
      <c r="A7360" s="5"/>
      <c r="B7360" s="18"/>
      <c r="C7360" s="85"/>
      <c r="D7360" s="41"/>
      <c r="E7360" s="26" t="str">
        <f ca="1">IFERROR(__xludf.DUMMYFUNCTION("""COMPUTED_VALUE"""),"")</f>
        <v/>
      </c>
      <c r="F7360" s="72"/>
      <c r="G7360" s="72"/>
    </row>
    <row r="7361" spans="1:7" ht="14.5" hidden="1">
      <c r="A7361" s="5"/>
      <c r="B7361" s="18"/>
      <c r="C7361" s="85"/>
      <c r="D7361" s="41"/>
      <c r="E7361" s="26" t="str">
        <f ca="1">IFERROR(__xludf.DUMMYFUNCTION("""COMPUTED_VALUE"""),"")</f>
        <v/>
      </c>
      <c r="F7361" s="72"/>
      <c r="G7361" s="72"/>
    </row>
    <row r="7362" spans="1:7" ht="14.5" hidden="1">
      <c r="A7362" s="5"/>
      <c r="B7362" s="18"/>
      <c r="C7362" s="85"/>
      <c r="D7362" s="41"/>
      <c r="E7362" s="26" t="str">
        <f ca="1">IFERROR(__xludf.DUMMYFUNCTION("""COMPUTED_VALUE"""),"")</f>
        <v/>
      </c>
      <c r="F7362" s="72"/>
      <c r="G7362" s="72"/>
    </row>
    <row r="7363" spans="1:7" ht="14.5" hidden="1">
      <c r="A7363" s="5"/>
      <c r="B7363" s="18"/>
      <c r="C7363" s="85"/>
      <c r="D7363" s="41"/>
      <c r="E7363" s="26" t="str">
        <f ca="1">IFERROR(__xludf.DUMMYFUNCTION("""COMPUTED_VALUE"""),"")</f>
        <v/>
      </c>
      <c r="F7363" s="72"/>
      <c r="G7363" s="72"/>
    </row>
    <row r="7364" spans="1:7" ht="14.5" hidden="1">
      <c r="A7364" s="5"/>
      <c r="B7364" s="18"/>
      <c r="C7364" s="85"/>
      <c r="D7364" s="41"/>
      <c r="E7364" s="26" t="str">
        <f ca="1">IFERROR(__xludf.DUMMYFUNCTION("""COMPUTED_VALUE"""),"")</f>
        <v/>
      </c>
      <c r="F7364" s="72"/>
      <c r="G7364" s="72"/>
    </row>
    <row r="7365" spans="1:7" ht="14.5" hidden="1">
      <c r="A7365" s="5"/>
      <c r="B7365" s="18"/>
      <c r="C7365" s="85"/>
      <c r="D7365" s="41"/>
      <c r="E7365" s="26" t="str">
        <f ca="1">IFERROR(__xludf.DUMMYFUNCTION("""COMPUTED_VALUE"""),"")</f>
        <v/>
      </c>
      <c r="F7365" s="72"/>
      <c r="G7365" s="72"/>
    </row>
    <row r="7366" spans="1:7" ht="14.5" hidden="1">
      <c r="A7366" s="5"/>
      <c r="B7366" s="18"/>
      <c r="C7366" s="85"/>
      <c r="D7366" s="41"/>
      <c r="E7366" s="26" t="str">
        <f ca="1">IFERROR(__xludf.DUMMYFUNCTION("""COMPUTED_VALUE"""),"")</f>
        <v/>
      </c>
      <c r="F7366" s="72"/>
      <c r="G7366" s="72"/>
    </row>
    <row r="7367" spans="1:7" ht="14.5" hidden="1">
      <c r="A7367" s="5"/>
      <c r="B7367" s="18"/>
      <c r="C7367" s="85"/>
      <c r="D7367" s="41"/>
      <c r="E7367" s="26" t="str">
        <f ca="1">IFERROR(__xludf.DUMMYFUNCTION("""COMPUTED_VALUE"""),"")</f>
        <v/>
      </c>
      <c r="F7367" s="72"/>
      <c r="G7367" s="72"/>
    </row>
    <row r="7368" spans="1:7" ht="14.5" hidden="1">
      <c r="A7368" s="5"/>
      <c r="B7368" s="18"/>
      <c r="C7368" s="85"/>
      <c r="D7368" s="41"/>
      <c r="E7368" s="26" t="str">
        <f ca="1">IFERROR(__xludf.DUMMYFUNCTION("""COMPUTED_VALUE"""),"")</f>
        <v/>
      </c>
      <c r="F7368" s="72"/>
      <c r="G7368" s="72"/>
    </row>
    <row r="7369" spans="1:7" ht="14.5" hidden="1">
      <c r="A7369" s="5"/>
      <c r="B7369" s="18"/>
      <c r="C7369" s="85"/>
      <c r="D7369" s="41"/>
      <c r="E7369" s="26" t="str">
        <f ca="1">IFERROR(__xludf.DUMMYFUNCTION("""COMPUTED_VALUE"""),"")</f>
        <v/>
      </c>
      <c r="F7369" s="72"/>
      <c r="G7369" s="72"/>
    </row>
    <row r="7370" spans="1:7" ht="14.5" hidden="1">
      <c r="A7370" s="5"/>
      <c r="B7370" s="18"/>
      <c r="C7370" s="85"/>
      <c r="D7370" s="41"/>
      <c r="E7370" s="26" t="str">
        <f ca="1">IFERROR(__xludf.DUMMYFUNCTION("""COMPUTED_VALUE"""),"")</f>
        <v/>
      </c>
      <c r="F7370" s="72"/>
      <c r="G7370" s="72"/>
    </row>
    <row r="7371" spans="1:7" ht="14.5" hidden="1">
      <c r="A7371" s="5"/>
      <c r="B7371" s="18"/>
      <c r="C7371" s="85"/>
      <c r="D7371" s="41"/>
      <c r="E7371" s="26" t="str">
        <f ca="1">IFERROR(__xludf.DUMMYFUNCTION("""COMPUTED_VALUE"""),"")</f>
        <v/>
      </c>
      <c r="F7371" s="72"/>
      <c r="G7371" s="72"/>
    </row>
    <row r="7372" spans="1:7" ht="14.5" hidden="1">
      <c r="A7372" s="5"/>
      <c r="B7372" s="18"/>
      <c r="C7372" s="85"/>
      <c r="D7372" s="41"/>
      <c r="E7372" s="26" t="str">
        <f ca="1">IFERROR(__xludf.DUMMYFUNCTION("""COMPUTED_VALUE"""),"")</f>
        <v/>
      </c>
      <c r="F7372" s="72"/>
      <c r="G7372" s="72"/>
    </row>
    <row r="7373" spans="1:7" ht="14.5" hidden="1">
      <c r="A7373" s="5"/>
      <c r="B7373" s="18"/>
      <c r="C7373" s="85"/>
      <c r="D7373" s="41"/>
      <c r="E7373" s="26" t="str">
        <f ca="1">IFERROR(__xludf.DUMMYFUNCTION("""COMPUTED_VALUE"""),"")</f>
        <v/>
      </c>
      <c r="F7373" s="72"/>
      <c r="G7373" s="72"/>
    </row>
    <row r="7374" spans="1:7" ht="14.5" hidden="1">
      <c r="A7374" s="5"/>
      <c r="B7374" s="18"/>
      <c r="C7374" s="85"/>
      <c r="D7374" s="41"/>
      <c r="E7374" s="26" t="str">
        <f ca="1">IFERROR(__xludf.DUMMYFUNCTION("""COMPUTED_VALUE"""),"")</f>
        <v/>
      </c>
      <c r="F7374" s="72"/>
      <c r="G7374" s="72"/>
    </row>
    <row r="7375" spans="1:7" ht="14.5" hidden="1">
      <c r="A7375" s="5"/>
      <c r="B7375" s="18"/>
      <c r="C7375" s="85"/>
      <c r="D7375" s="41"/>
      <c r="E7375" s="26" t="str">
        <f ca="1">IFERROR(__xludf.DUMMYFUNCTION("""COMPUTED_VALUE"""),"")</f>
        <v/>
      </c>
      <c r="F7375" s="72"/>
      <c r="G7375" s="72"/>
    </row>
    <row r="7376" spans="1:7" ht="14.5" hidden="1">
      <c r="A7376" s="5"/>
      <c r="B7376" s="18"/>
      <c r="C7376" s="85"/>
      <c r="D7376" s="41"/>
      <c r="E7376" s="26" t="str">
        <f ca="1">IFERROR(__xludf.DUMMYFUNCTION("""COMPUTED_VALUE"""),"")</f>
        <v/>
      </c>
      <c r="F7376" s="72"/>
      <c r="G7376" s="72"/>
    </row>
    <row r="7377" spans="1:7" ht="14.5" hidden="1">
      <c r="A7377" s="5"/>
      <c r="B7377" s="18"/>
      <c r="C7377" s="85"/>
      <c r="D7377" s="41"/>
      <c r="E7377" s="26" t="str">
        <f ca="1">IFERROR(__xludf.DUMMYFUNCTION("""COMPUTED_VALUE"""),"")</f>
        <v/>
      </c>
      <c r="F7377" s="72"/>
      <c r="G7377" s="72"/>
    </row>
    <row r="7378" spans="1:7" ht="14.5" hidden="1">
      <c r="A7378" s="5"/>
      <c r="B7378" s="18"/>
      <c r="C7378" s="85"/>
      <c r="D7378" s="41"/>
      <c r="E7378" s="26" t="str">
        <f ca="1">IFERROR(__xludf.DUMMYFUNCTION("""COMPUTED_VALUE"""),"")</f>
        <v/>
      </c>
      <c r="F7378" s="72"/>
      <c r="G7378" s="72"/>
    </row>
    <row r="7379" spans="1:7" ht="14.5" hidden="1">
      <c r="A7379" s="5"/>
      <c r="B7379" s="18"/>
      <c r="C7379" s="85"/>
      <c r="D7379" s="41"/>
      <c r="E7379" s="26" t="str">
        <f ca="1">IFERROR(__xludf.DUMMYFUNCTION("""COMPUTED_VALUE"""),"")</f>
        <v/>
      </c>
      <c r="F7379" s="72"/>
      <c r="G7379" s="72"/>
    </row>
    <row r="7380" spans="1:7" ht="14.5" hidden="1">
      <c r="A7380" s="5"/>
      <c r="B7380" s="18"/>
      <c r="C7380" s="85"/>
      <c r="D7380" s="41"/>
      <c r="E7380" s="26" t="str">
        <f ca="1">IFERROR(__xludf.DUMMYFUNCTION("""COMPUTED_VALUE"""),"")</f>
        <v/>
      </c>
      <c r="F7380" s="72"/>
      <c r="G7380" s="72"/>
    </row>
    <row r="7381" spans="1:7" ht="14.5" hidden="1">
      <c r="A7381" s="5"/>
      <c r="B7381" s="18"/>
      <c r="C7381" s="85"/>
      <c r="D7381" s="41"/>
      <c r="E7381" s="26" t="str">
        <f ca="1">IFERROR(__xludf.DUMMYFUNCTION("""COMPUTED_VALUE"""),"")</f>
        <v/>
      </c>
      <c r="F7381" s="72"/>
      <c r="G7381" s="72"/>
    </row>
    <row r="7382" spans="1:7" ht="14.5" hidden="1">
      <c r="A7382" s="5"/>
      <c r="B7382" s="18"/>
      <c r="C7382" s="85"/>
      <c r="D7382" s="41"/>
      <c r="E7382" s="26" t="str">
        <f ca="1">IFERROR(__xludf.DUMMYFUNCTION("""COMPUTED_VALUE"""),"")</f>
        <v/>
      </c>
      <c r="F7382" s="72"/>
      <c r="G7382" s="72"/>
    </row>
    <row r="7383" spans="1:7" ht="14.5" hidden="1">
      <c r="A7383" s="5"/>
      <c r="B7383" s="18"/>
      <c r="C7383" s="85"/>
      <c r="D7383" s="41"/>
      <c r="E7383" s="26" t="str">
        <f ca="1">IFERROR(__xludf.DUMMYFUNCTION("""COMPUTED_VALUE"""),"")</f>
        <v/>
      </c>
      <c r="F7383" s="72"/>
      <c r="G7383" s="72"/>
    </row>
    <row r="7384" spans="1:7" ht="14.5" hidden="1">
      <c r="A7384" s="5"/>
      <c r="B7384" s="18"/>
      <c r="C7384" s="85"/>
      <c r="D7384" s="41"/>
      <c r="E7384" s="26" t="str">
        <f ca="1">IFERROR(__xludf.DUMMYFUNCTION("""COMPUTED_VALUE"""),"")</f>
        <v/>
      </c>
      <c r="F7384" s="72"/>
      <c r="G7384" s="72"/>
    </row>
    <row r="7385" spans="1:7" ht="14.5" hidden="1">
      <c r="A7385" s="5"/>
      <c r="B7385" s="18"/>
      <c r="C7385" s="85"/>
      <c r="D7385" s="41"/>
      <c r="E7385" s="26" t="str">
        <f ca="1">IFERROR(__xludf.DUMMYFUNCTION("""COMPUTED_VALUE"""),"")</f>
        <v/>
      </c>
      <c r="F7385" s="72"/>
      <c r="G7385" s="72"/>
    </row>
    <row r="7386" spans="1:7" ht="14.5" hidden="1">
      <c r="A7386" s="5"/>
      <c r="B7386" s="18"/>
      <c r="C7386" s="85"/>
      <c r="D7386" s="41"/>
      <c r="E7386" s="26" t="str">
        <f ca="1">IFERROR(__xludf.DUMMYFUNCTION("""COMPUTED_VALUE"""),"")</f>
        <v/>
      </c>
      <c r="F7386" s="72"/>
      <c r="G7386" s="72"/>
    </row>
    <row r="7387" spans="1:7" ht="14.5" hidden="1">
      <c r="A7387" s="5"/>
      <c r="B7387" s="18"/>
      <c r="C7387" s="85"/>
      <c r="D7387" s="41"/>
      <c r="E7387" s="26" t="str">
        <f ca="1">IFERROR(__xludf.DUMMYFUNCTION("""COMPUTED_VALUE"""),"")</f>
        <v/>
      </c>
      <c r="F7387" s="72"/>
      <c r="G7387" s="72"/>
    </row>
    <row r="7388" spans="1:7" ht="14.5" hidden="1">
      <c r="A7388" s="5"/>
      <c r="B7388" s="18"/>
      <c r="C7388" s="85"/>
      <c r="D7388" s="41"/>
      <c r="E7388" s="26" t="str">
        <f ca="1">IFERROR(__xludf.DUMMYFUNCTION("""COMPUTED_VALUE"""),"")</f>
        <v/>
      </c>
      <c r="F7388" s="72"/>
      <c r="G7388" s="72"/>
    </row>
    <row r="7389" spans="1:7" ht="14.5" hidden="1">
      <c r="A7389" s="5"/>
      <c r="B7389" s="18"/>
      <c r="C7389" s="85"/>
      <c r="D7389" s="41"/>
      <c r="E7389" s="26" t="str">
        <f ca="1">IFERROR(__xludf.DUMMYFUNCTION("""COMPUTED_VALUE"""),"")</f>
        <v/>
      </c>
      <c r="F7389" s="72"/>
      <c r="G7389" s="72"/>
    </row>
    <row r="7390" spans="1:7" ht="14.5" hidden="1">
      <c r="A7390" s="5"/>
      <c r="B7390" s="18"/>
      <c r="C7390" s="85"/>
      <c r="D7390" s="41"/>
      <c r="E7390" s="26" t="str">
        <f ca="1">IFERROR(__xludf.DUMMYFUNCTION("""COMPUTED_VALUE"""),"")</f>
        <v/>
      </c>
      <c r="F7390" s="72"/>
      <c r="G7390" s="72"/>
    </row>
    <row r="7391" spans="1:7" ht="14.5" hidden="1">
      <c r="A7391" s="5"/>
      <c r="B7391" s="18"/>
      <c r="C7391" s="85"/>
      <c r="D7391" s="41"/>
      <c r="E7391" s="26" t="str">
        <f ca="1">IFERROR(__xludf.DUMMYFUNCTION("""COMPUTED_VALUE"""),"")</f>
        <v/>
      </c>
      <c r="F7391" s="72"/>
      <c r="G7391" s="72"/>
    </row>
    <row r="7392" spans="1:7" ht="14.5" hidden="1">
      <c r="A7392" s="5"/>
      <c r="B7392" s="18"/>
      <c r="C7392" s="85"/>
      <c r="D7392" s="41"/>
      <c r="E7392" s="26" t="str">
        <f ca="1">IFERROR(__xludf.DUMMYFUNCTION("""COMPUTED_VALUE"""),"")</f>
        <v/>
      </c>
      <c r="F7392" s="72"/>
      <c r="G7392" s="72"/>
    </row>
    <row r="7393" spans="1:7" ht="14.5" hidden="1">
      <c r="A7393" s="5"/>
      <c r="B7393" s="18"/>
      <c r="C7393" s="85"/>
      <c r="D7393" s="41"/>
      <c r="E7393" s="26" t="str">
        <f ca="1">IFERROR(__xludf.DUMMYFUNCTION("""COMPUTED_VALUE"""),"")</f>
        <v/>
      </c>
      <c r="F7393" s="72"/>
      <c r="G7393" s="72"/>
    </row>
    <row r="7394" spans="1:7" ht="14.5" hidden="1">
      <c r="A7394" s="5"/>
      <c r="B7394" s="18"/>
      <c r="C7394" s="85"/>
      <c r="D7394" s="41"/>
      <c r="E7394" s="26" t="str">
        <f ca="1">IFERROR(__xludf.DUMMYFUNCTION("""COMPUTED_VALUE"""),"")</f>
        <v/>
      </c>
      <c r="F7394" s="72"/>
      <c r="G7394" s="72"/>
    </row>
    <row r="7395" spans="1:7" ht="14.5" hidden="1">
      <c r="A7395" s="5"/>
      <c r="B7395" s="18"/>
      <c r="C7395" s="85"/>
      <c r="D7395" s="41"/>
      <c r="E7395" s="26" t="str">
        <f ca="1">IFERROR(__xludf.DUMMYFUNCTION("""COMPUTED_VALUE"""),"")</f>
        <v/>
      </c>
      <c r="F7395" s="72"/>
      <c r="G7395" s="72"/>
    </row>
    <row r="7396" spans="1:7" ht="14.5" hidden="1">
      <c r="A7396" s="5"/>
      <c r="B7396" s="18"/>
      <c r="C7396" s="85"/>
      <c r="D7396" s="41"/>
      <c r="E7396" s="26" t="str">
        <f ca="1">IFERROR(__xludf.DUMMYFUNCTION("""COMPUTED_VALUE"""),"")</f>
        <v/>
      </c>
      <c r="F7396" s="72"/>
      <c r="G7396" s="72"/>
    </row>
    <row r="7397" spans="1:7" ht="14.5" hidden="1">
      <c r="A7397" s="5"/>
      <c r="B7397" s="18"/>
      <c r="C7397" s="85"/>
      <c r="D7397" s="41"/>
      <c r="E7397" s="26" t="str">
        <f ca="1">IFERROR(__xludf.DUMMYFUNCTION("""COMPUTED_VALUE"""),"")</f>
        <v/>
      </c>
      <c r="F7397" s="72"/>
      <c r="G7397" s="72"/>
    </row>
    <row r="7398" spans="1:7" ht="14.5" hidden="1">
      <c r="A7398" s="5"/>
      <c r="B7398" s="18"/>
      <c r="C7398" s="85"/>
      <c r="D7398" s="41"/>
      <c r="E7398" s="26" t="str">
        <f ca="1">IFERROR(__xludf.DUMMYFUNCTION("""COMPUTED_VALUE"""),"")</f>
        <v/>
      </c>
      <c r="F7398" s="72"/>
      <c r="G7398" s="72"/>
    </row>
    <row r="7399" spans="1:7" ht="14.5" hidden="1">
      <c r="A7399" s="5"/>
      <c r="B7399" s="18"/>
      <c r="C7399" s="85"/>
      <c r="D7399" s="41"/>
      <c r="E7399" s="26" t="str">
        <f ca="1">IFERROR(__xludf.DUMMYFUNCTION("""COMPUTED_VALUE"""),"")</f>
        <v/>
      </c>
      <c r="F7399" s="72"/>
      <c r="G7399" s="72"/>
    </row>
    <row r="7400" spans="1:7" ht="14.5" hidden="1">
      <c r="A7400" s="5"/>
      <c r="B7400" s="18"/>
      <c r="C7400" s="85"/>
      <c r="D7400" s="41"/>
      <c r="E7400" s="26" t="str">
        <f ca="1">IFERROR(__xludf.DUMMYFUNCTION("""COMPUTED_VALUE"""),"")</f>
        <v/>
      </c>
      <c r="F7400" s="72"/>
      <c r="G7400" s="72"/>
    </row>
    <row r="7401" spans="1:7" ht="14.5" hidden="1">
      <c r="A7401" s="5"/>
      <c r="B7401" s="18"/>
      <c r="C7401" s="85"/>
      <c r="D7401" s="41"/>
      <c r="E7401" s="26" t="str">
        <f ca="1">IFERROR(__xludf.DUMMYFUNCTION("""COMPUTED_VALUE"""),"")</f>
        <v/>
      </c>
      <c r="F7401" s="72"/>
      <c r="G7401" s="72"/>
    </row>
    <row r="7402" spans="1:7" ht="14.5" hidden="1">
      <c r="A7402" s="5"/>
      <c r="B7402" s="18"/>
      <c r="C7402" s="85"/>
      <c r="D7402" s="41"/>
      <c r="E7402" s="26" t="str">
        <f ca="1">IFERROR(__xludf.DUMMYFUNCTION("""COMPUTED_VALUE"""),"")</f>
        <v/>
      </c>
      <c r="F7402" s="72"/>
      <c r="G7402" s="72"/>
    </row>
    <row r="7403" spans="1:7" ht="14.5" hidden="1">
      <c r="A7403" s="5"/>
      <c r="B7403" s="18"/>
      <c r="C7403" s="85"/>
      <c r="D7403" s="41"/>
      <c r="E7403" s="26" t="str">
        <f ca="1">IFERROR(__xludf.DUMMYFUNCTION("""COMPUTED_VALUE"""),"")</f>
        <v/>
      </c>
      <c r="F7403" s="72"/>
      <c r="G7403" s="72"/>
    </row>
    <row r="7404" spans="1:7" ht="14.5" hidden="1">
      <c r="A7404" s="5"/>
      <c r="B7404" s="18"/>
      <c r="C7404" s="85"/>
      <c r="D7404" s="41"/>
      <c r="E7404" s="26" t="str">
        <f ca="1">IFERROR(__xludf.DUMMYFUNCTION("""COMPUTED_VALUE"""),"")</f>
        <v/>
      </c>
      <c r="F7404" s="72"/>
      <c r="G7404" s="72"/>
    </row>
    <row r="7405" spans="1:7" ht="14.5" hidden="1">
      <c r="A7405" s="5"/>
      <c r="B7405" s="18"/>
      <c r="C7405" s="85"/>
      <c r="D7405" s="41"/>
      <c r="E7405" s="26" t="str">
        <f ca="1">IFERROR(__xludf.DUMMYFUNCTION("""COMPUTED_VALUE"""),"")</f>
        <v/>
      </c>
      <c r="F7405" s="72"/>
      <c r="G7405" s="72"/>
    </row>
    <row r="7406" spans="1:7" ht="14.5" hidden="1">
      <c r="A7406" s="5"/>
      <c r="B7406" s="18"/>
      <c r="C7406" s="85"/>
      <c r="D7406" s="41"/>
      <c r="E7406" s="26" t="str">
        <f ca="1">IFERROR(__xludf.DUMMYFUNCTION("""COMPUTED_VALUE"""),"")</f>
        <v/>
      </c>
      <c r="F7406" s="72"/>
      <c r="G7406" s="72"/>
    </row>
    <row r="7407" spans="1:7" ht="14.5" hidden="1">
      <c r="A7407" s="5"/>
      <c r="B7407" s="18"/>
      <c r="C7407" s="85"/>
      <c r="D7407" s="41"/>
      <c r="E7407" s="26" t="str">
        <f ca="1">IFERROR(__xludf.DUMMYFUNCTION("""COMPUTED_VALUE"""),"")</f>
        <v/>
      </c>
      <c r="F7407" s="72"/>
      <c r="G7407" s="72"/>
    </row>
    <row r="7408" spans="1:7" ht="14.5" hidden="1">
      <c r="A7408" s="5"/>
      <c r="B7408" s="18"/>
      <c r="C7408" s="85"/>
      <c r="D7408" s="41"/>
      <c r="E7408" s="26" t="str">
        <f ca="1">IFERROR(__xludf.DUMMYFUNCTION("""COMPUTED_VALUE"""),"")</f>
        <v/>
      </c>
      <c r="F7408" s="72"/>
      <c r="G7408" s="72"/>
    </row>
    <row r="7409" spans="1:7" ht="14.5" hidden="1">
      <c r="A7409" s="5"/>
      <c r="B7409" s="18"/>
      <c r="C7409" s="85"/>
      <c r="D7409" s="41"/>
      <c r="E7409" s="26" t="str">
        <f ca="1">IFERROR(__xludf.DUMMYFUNCTION("""COMPUTED_VALUE"""),"")</f>
        <v/>
      </c>
      <c r="F7409" s="72"/>
      <c r="G7409" s="72"/>
    </row>
    <row r="7410" spans="1:7" ht="14.5" hidden="1">
      <c r="A7410" s="5"/>
      <c r="B7410" s="18"/>
      <c r="C7410" s="85"/>
      <c r="D7410" s="41"/>
      <c r="E7410" s="26" t="str">
        <f ca="1">IFERROR(__xludf.DUMMYFUNCTION("""COMPUTED_VALUE"""),"")</f>
        <v/>
      </c>
      <c r="F7410" s="72"/>
      <c r="G7410" s="72"/>
    </row>
    <row r="7411" spans="1:7" ht="14.5" hidden="1">
      <c r="A7411" s="5"/>
      <c r="B7411" s="18"/>
      <c r="C7411" s="85"/>
      <c r="D7411" s="41"/>
      <c r="E7411" s="26" t="str">
        <f ca="1">IFERROR(__xludf.DUMMYFUNCTION("""COMPUTED_VALUE"""),"")</f>
        <v/>
      </c>
      <c r="F7411" s="72"/>
      <c r="G7411" s="72"/>
    </row>
    <row r="7412" spans="1:7" ht="14.5" hidden="1">
      <c r="A7412" s="5"/>
      <c r="B7412" s="18"/>
      <c r="C7412" s="85"/>
      <c r="D7412" s="41"/>
      <c r="E7412" s="26" t="str">
        <f ca="1">IFERROR(__xludf.DUMMYFUNCTION("""COMPUTED_VALUE"""),"")</f>
        <v/>
      </c>
      <c r="F7412" s="72"/>
      <c r="G7412" s="72"/>
    </row>
    <row r="7413" spans="1:7" ht="14.5" hidden="1">
      <c r="A7413" s="5"/>
      <c r="B7413" s="18"/>
      <c r="C7413" s="85"/>
      <c r="D7413" s="41"/>
      <c r="E7413" s="26" t="str">
        <f ca="1">IFERROR(__xludf.DUMMYFUNCTION("""COMPUTED_VALUE"""),"")</f>
        <v/>
      </c>
      <c r="F7413" s="72"/>
      <c r="G7413" s="72"/>
    </row>
    <row r="7414" spans="1:7" ht="14.5" hidden="1">
      <c r="A7414" s="5"/>
      <c r="B7414" s="18"/>
      <c r="C7414" s="85"/>
      <c r="D7414" s="41"/>
      <c r="E7414" s="26" t="str">
        <f ca="1">IFERROR(__xludf.DUMMYFUNCTION("""COMPUTED_VALUE"""),"")</f>
        <v/>
      </c>
      <c r="F7414" s="72"/>
      <c r="G7414" s="72"/>
    </row>
    <row r="7415" spans="1:7" ht="14.5" hidden="1">
      <c r="A7415" s="5"/>
      <c r="B7415" s="18"/>
      <c r="C7415" s="85"/>
      <c r="D7415" s="41"/>
      <c r="E7415" s="26" t="str">
        <f ca="1">IFERROR(__xludf.DUMMYFUNCTION("""COMPUTED_VALUE"""),"")</f>
        <v/>
      </c>
      <c r="F7415" s="72"/>
      <c r="G7415" s="72"/>
    </row>
    <row r="7416" spans="1:7" ht="14.5" hidden="1">
      <c r="A7416" s="5"/>
      <c r="B7416" s="18"/>
      <c r="C7416" s="85"/>
      <c r="D7416" s="41"/>
      <c r="E7416" s="26" t="str">
        <f ca="1">IFERROR(__xludf.DUMMYFUNCTION("""COMPUTED_VALUE"""),"")</f>
        <v/>
      </c>
      <c r="F7416" s="72"/>
      <c r="G7416" s="72"/>
    </row>
    <row r="7417" spans="1:7" ht="14.5" hidden="1">
      <c r="A7417" s="5"/>
      <c r="B7417" s="18"/>
      <c r="C7417" s="85"/>
      <c r="D7417" s="41"/>
      <c r="E7417" s="26" t="str">
        <f ca="1">IFERROR(__xludf.DUMMYFUNCTION("""COMPUTED_VALUE"""),"")</f>
        <v/>
      </c>
      <c r="F7417" s="72"/>
      <c r="G7417" s="72"/>
    </row>
    <row r="7418" spans="1:7" ht="14.5" hidden="1">
      <c r="A7418" s="5"/>
      <c r="B7418" s="18"/>
      <c r="C7418" s="85"/>
      <c r="D7418" s="41"/>
      <c r="E7418" s="26" t="str">
        <f ca="1">IFERROR(__xludf.DUMMYFUNCTION("""COMPUTED_VALUE"""),"")</f>
        <v/>
      </c>
      <c r="F7418" s="72"/>
      <c r="G7418" s="72"/>
    </row>
    <row r="7419" spans="1:7" ht="14.5" hidden="1">
      <c r="A7419" s="5"/>
      <c r="B7419" s="18"/>
      <c r="C7419" s="85"/>
      <c r="D7419" s="41"/>
      <c r="E7419" s="26" t="str">
        <f ca="1">IFERROR(__xludf.DUMMYFUNCTION("""COMPUTED_VALUE"""),"")</f>
        <v/>
      </c>
      <c r="F7419" s="72"/>
      <c r="G7419" s="72"/>
    </row>
    <row r="7420" spans="1:7" ht="14.5" hidden="1">
      <c r="A7420" s="5"/>
      <c r="B7420" s="18"/>
      <c r="C7420" s="85"/>
      <c r="D7420" s="41"/>
      <c r="E7420" s="26" t="str">
        <f ca="1">IFERROR(__xludf.DUMMYFUNCTION("""COMPUTED_VALUE"""),"")</f>
        <v/>
      </c>
      <c r="F7420" s="72"/>
      <c r="G7420" s="72"/>
    </row>
    <row r="7421" spans="1:7" ht="14.5" hidden="1">
      <c r="A7421" s="5"/>
      <c r="B7421" s="18"/>
      <c r="C7421" s="85"/>
      <c r="D7421" s="41"/>
      <c r="E7421" s="26" t="str">
        <f ca="1">IFERROR(__xludf.DUMMYFUNCTION("""COMPUTED_VALUE"""),"")</f>
        <v/>
      </c>
      <c r="F7421" s="72"/>
      <c r="G7421" s="72"/>
    </row>
    <row r="7422" spans="1:7" ht="14.5" hidden="1">
      <c r="A7422" s="5"/>
      <c r="B7422" s="18"/>
      <c r="C7422" s="85"/>
      <c r="D7422" s="41"/>
      <c r="E7422" s="26" t="str">
        <f ca="1">IFERROR(__xludf.DUMMYFUNCTION("""COMPUTED_VALUE"""),"")</f>
        <v/>
      </c>
      <c r="F7422" s="72"/>
      <c r="G7422" s="72"/>
    </row>
    <row r="7423" spans="1:7" ht="14.5" hidden="1">
      <c r="A7423" s="5"/>
      <c r="B7423" s="18"/>
      <c r="C7423" s="85"/>
      <c r="D7423" s="41"/>
      <c r="E7423" s="26" t="str">
        <f ca="1">IFERROR(__xludf.DUMMYFUNCTION("""COMPUTED_VALUE"""),"")</f>
        <v/>
      </c>
      <c r="F7423" s="72"/>
      <c r="G7423" s="72"/>
    </row>
    <row r="7424" spans="1:7" ht="14.5" hidden="1">
      <c r="A7424" s="5"/>
      <c r="B7424" s="18"/>
      <c r="C7424" s="85"/>
      <c r="D7424" s="41"/>
      <c r="E7424" s="26" t="str">
        <f ca="1">IFERROR(__xludf.DUMMYFUNCTION("""COMPUTED_VALUE"""),"")</f>
        <v/>
      </c>
      <c r="F7424" s="72"/>
      <c r="G7424" s="72"/>
    </row>
    <row r="7425" spans="1:7" ht="14.5" hidden="1">
      <c r="A7425" s="5"/>
      <c r="B7425" s="18"/>
      <c r="C7425" s="85"/>
      <c r="D7425" s="41"/>
      <c r="E7425" s="26" t="str">
        <f ca="1">IFERROR(__xludf.DUMMYFUNCTION("""COMPUTED_VALUE"""),"")</f>
        <v/>
      </c>
      <c r="F7425" s="72"/>
      <c r="G7425" s="72"/>
    </row>
    <row r="7426" spans="1:7" ht="14.5" hidden="1">
      <c r="A7426" s="5"/>
      <c r="B7426" s="18"/>
      <c r="C7426" s="85"/>
      <c r="D7426" s="41"/>
      <c r="E7426" s="26" t="str">
        <f ca="1">IFERROR(__xludf.DUMMYFUNCTION("""COMPUTED_VALUE"""),"")</f>
        <v/>
      </c>
      <c r="F7426" s="72"/>
      <c r="G7426" s="72"/>
    </row>
    <row r="7427" spans="1:7" ht="14.5" hidden="1">
      <c r="A7427" s="5"/>
      <c r="B7427" s="18"/>
      <c r="C7427" s="85"/>
      <c r="D7427" s="41"/>
      <c r="E7427" s="26" t="str">
        <f ca="1">IFERROR(__xludf.DUMMYFUNCTION("""COMPUTED_VALUE"""),"")</f>
        <v/>
      </c>
      <c r="F7427" s="72"/>
      <c r="G7427" s="72"/>
    </row>
    <row r="7428" spans="1:7" ht="14.5" hidden="1">
      <c r="A7428" s="5"/>
      <c r="B7428" s="18"/>
      <c r="C7428" s="85"/>
      <c r="D7428" s="41"/>
      <c r="E7428" s="26" t="str">
        <f ca="1">IFERROR(__xludf.DUMMYFUNCTION("""COMPUTED_VALUE"""),"")</f>
        <v/>
      </c>
      <c r="F7428" s="72"/>
      <c r="G7428" s="72"/>
    </row>
    <row r="7429" spans="1:7" ht="14.5" hidden="1">
      <c r="A7429" s="5"/>
      <c r="B7429" s="18"/>
      <c r="C7429" s="85"/>
      <c r="D7429" s="41"/>
      <c r="E7429" s="26" t="str">
        <f ca="1">IFERROR(__xludf.DUMMYFUNCTION("""COMPUTED_VALUE"""),"")</f>
        <v/>
      </c>
      <c r="F7429" s="72"/>
      <c r="G7429" s="72"/>
    </row>
    <row r="7430" spans="1:7" ht="14.5" hidden="1">
      <c r="A7430" s="5"/>
      <c r="B7430" s="18"/>
      <c r="C7430" s="85"/>
      <c r="D7430" s="41"/>
      <c r="E7430" s="26" t="str">
        <f ca="1">IFERROR(__xludf.DUMMYFUNCTION("""COMPUTED_VALUE"""),"")</f>
        <v/>
      </c>
      <c r="F7430" s="72"/>
      <c r="G7430" s="72"/>
    </row>
    <row r="7431" spans="1:7" ht="14.5" hidden="1">
      <c r="A7431" s="5"/>
      <c r="B7431" s="18"/>
      <c r="C7431" s="85"/>
      <c r="D7431" s="41"/>
      <c r="E7431" s="26" t="str">
        <f ca="1">IFERROR(__xludf.DUMMYFUNCTION("""COMPUTED_VALUE"""),"")</f>
        <v/>
      </c>
      <c r="F7431" s="72"/>
      <c r="G7431" s="72"/>
    </row>
    <row r="7432" spans="1:7" ht="14.5" hidden="1">
      <c r="A7432" s="5"/>
      <c r="B7432" s="18"/>
      <c r="C7432" s="85"/>
      <c r="D7432" s="41"/>
      <c r="E7432" s="26" t="str">
        <f ca="1">IFERROR(__xludf.DUMMYFUNCTION("""COMPUTED_VALUE"""),"")</f>
        <v/>
      </c>
      <c r="F7432" s="72"/>
      <c r="G7432" s="72"/>
    </row>
    <row r="7433" spans="1:7" ht="14.5" hidden="1">
      <c r="A7433" s="5"/>
      <c r="B7433" s="18"/>
      <c r="C7433" s="85"/>
      <c r="D7433" s="41"/>
      <c r="E7433" s="26" t="str">
        <f ca="1">IFERROR(__xludf.DUMMYFUNCTION("""COMPUTED_VALUE"""),"")</f>
        <v/>
      </c>
      <c r="F7433" s="72"/>
      <c r="G7433" s="72"/>
    </row>
    <row r="7434" spans="1:7" ht="14.5" hidden="1">
      <c r="A7434" s="5"/>
      <c r="B7434" s="18"/>
      <c r="C7434" s="85"/>
      <c r="D7434" s="41"/>
      <c r="E7434" s="26" t="str">
        <f ca="1">IFERROR(__xludf.DUMMYFUNCTION("""COMPUTED_VALUE"""),"")</f>
        <v/>
      </c>
      <c r="F7434" s="72"/>
      <c r="G7434" s="72"/>
    </row>
    <row r="7435" spans="1:7" ht="14.5" hidden="1">
      <c r="A7435" s="5"/>
      <c r="B7435" s="18"/>
      <c r="C7435" s="85"/>
      <c r="D7435" s="41"/>
      <c r="E7435" s="26" t="str">
        <f ca="1">IFERROR(__xludf.DUMMYFUNCTION("""COMPUTED_VALUE"""),"")</f>
        <v/>
      </c>
      <c r="F7435" s="72"/>
      <c r="G7435" s="72"/>
    </row>
    <row r="7436" spans="1:7" ht="14.5" hidden="1">
      <c r="A7436" s="5"/>
      <c r="B7436" s="18"/>
      <c r="C7436" s="85"/>
      <c r="D7436" s="41"/>
      <c r="E7436" s="26" t="str">
        <f ca="1">IFERROR(__xludf.DUMMYFUNCTION("""COMPUTED_VALUE"""),"")</f>
        <v/>
      </c>
      <c r="F7436" s="72"/>
      <c r="G7436" s="72"/>
    </row>
    <row r="7437" spans="1:7" ht="14.5" hidden="1">
      <c r="A7437" s="5"/>
      <c r="B7437" s="18"/>
      <c r="C7437" s="85"/>
      <c r="D7437" s="41"/>
      <c r="E7437" s="26" t="str">
        <f ca="1">IFERROR(__xludf.DUMMYFUNCTION("""COMPUTED_VALUE"""),"")</f>
        <v/>
      </c>
      <c r="F7437" s="72"/>
      <c r="G7437" s="72"/>
    </row>
    <row r="7438" spans="1:7" ht="14.5" hidden="1">
      <c r="A7438" s="5"/>
      <c r="B7438" s="18"/>
      <c r="C7438" s="85"/>
      <c r="D7438" s="41"/>
      <c r="E7438" s="26" t="str">
        <f ca="1">IFERROR(__xludf.DUMMYFUNCTION("""COMPUTED_VALUE"""),"")</f>
        <v/>
      </c>
      <c r="F7438" s="72"/>
      <c r="G7438" s="72"/>
    </row>
    <row r="7439" spans="1:7" ht="14.5" hidden="1">
      <c r="A7439" s="5"/>
      <c r="B7439" s="18"/>
      <c r="C7439" s="85"/>
      <c r="D7439" s="41"/>
      <c r="E7439" s="26" t="str">
        <f ca="1">IFERROR(__xludf.DUMMYFUNCTION("""COMPUTED_VALUE"""),"")</f>
        <v/>
      </c>
      <c r="F7439" s="72"/>
      <c r="G7439" s="72"/>
    </row>
    <row r="7440" spans="1:7" ht="14.5" hidden="1">
      <c r="A7440" s="5"/>
      <c r="B7440" s="18"/>
      <c r="C7440" s="85"/>
      <c r="D7440" s="41"/>
      <c r="E7440" s="26" t="str">
        <f ca="1">IFERROR(__xludf.DUMMYFUNCTION("""COMPUTED_VALUE"""),"")</f>
        <v/>
      </c>
      <c r="F7440" s="72"/>
      <c r="G7440" s="72"/>
    </row>
    <row r="7441" spans="1:7" ht="14.5" hidden="1">
      <c r="A7441" s="5"/>
      <c r="B7441" s="18"/>
      <c r="C7441" s="85"/>
      <c r="D7441" s="41"/>
      <c r="E7441" s="26" t="str">
        <f ca="1">IFERROR(__xludf.DUMMYFUNCTION("""COMPUTED_VALUE"""),"")</f>
        <v/>
      </c>
      <c r="F7441" s="72"/>
      <c r="G7441" s="72"/>
    </row>
    <row r="7442" spans="1:7" ht="14.5" hidden="1">
      <c r="A7442" s="5"/>
      <c r="B7442" s="18"/>
      <c r="C7442" s="85"/>
      <c r="D7442" s="41"/>
      <c r="E7442" s="26" t="str">
        <f ca="1">IFERROR(__xludf.DUMMYFUNCTION("""COMPUTED_VALUE"""),"")</f>
        <v/>
      </c>
      <c r="F7442" s="72"/>
      <c r="G7442" s="72"/>
    </row>
    <row r="7443" spans="1:7" ht="14.5" hidden="1">
      <c r="A7443" s="5"/>
      <c r="B7443" s="18"/>
      <c r="C7443" s="85"/>
      <c r="D7443" s="41"/>
      <c r="E7443" s="26" t="str">
        <f ca="1">IFERROR(__xludf.DUMMYFUNCTION("""COMPUTED_VALUE"""),"")</f>
        <v/>
      </c>
      <c r="F7443" s="72"/>
      <c r="G7443" s="72"/>
    </row>
    <row r="7444" spans="1:7" ht="14.5" hidden="1">
      <c r="A7444" s="5"/>
      <c r="B7444" s="18"/>
      <c r="C7444" s="85"/>
      <c r="D7444" s="41"/>
      <c r="E7444" s="26" t="str">
        <f ca="1">IFERROR(__xludf.DUMMYFUNCTION("""COMPUTED_VALUE"""),"")</f>
        <v/>
      </c>
      <c r="F7444" s="72"/>
      <c r="G7444" s="72"/>
    </row>
    <row r="7445" spans="1:7" ht="14.5" hidden="1">
      <c r="A7445" s="5"/>
      <c r="B7445" s="18"/>
      <c r="C7445" s="85"/>
      <c r="D7445" s="41"/>
      <c r="E7445" s="26" t="str">
        <f ca="1">IFERROR(__xludf.DUMMYFUNCTION("""COMPUTED_VALUE"""),"")</f>
        <v/>
      </c>
      <c r="F7445" s="72"/>
      <c r="G7445" s="72"/>
    </row>
    <row r="7446" spans="1:7" ht="14.5" hidden="1">
      <c r="A7446" s="5"/>
      <c r="B7446" s="18"/>
      <c r="C7446" s="85"/>
      <c r="D7446" s="41"/>
      <c r="E7446" s="26" t="str">
        <f ca="1">IFERROR(__xludf.DUMMYFUNCTION("""COMPUTED_VALUE"""),"")</f>
        <v/>
      </c>
      <c r="F7446" s="72"/>
      <c r="G7446" s="72"/>
    </row>
    <row r="7447" spans="1:7" ht="14.5" hidden="1">
      <c r="A7447" s="5"/>
      <c r="B7447" s="18"/>
      <c r="C7447" s="85"/>
      <c r="D7447" s="41"/>
      <c r="E7447" s="26" t="str">
        <f ca="1">IFERROR(__xludf.DUMMYFUNCTION("""COMPUTED_VALUE"""),"")</f>
        <v/>
      </c>
      <c r="F7447" s="72"/>
      <c r="G7447" s="72"/>
    </row>
    <row r="7448" spans="1:7" ht="14.5" hidden="1">
      <c r="A7448" s="5"/>
      <c r="B7448" s="18"/>
      <c r="C7448" s="85"/>
      <c r="D7448" s="41"/>
      <c r="E7448" s="26" t="str">
        <f ca="1">IFERROR(__xludf.DUMMYFUNCTION("""COMPUTED_VALUE"""),"")</f>
        <v/>
      </c>
      <c r="F7448" s="72"/>
      <c r="G7448" s="72"/>
    </row>
    <row r="7449" spans="1:7" ht="14.5" hidden="1">
      <c r="A7449" s="5"/>
      <c r="B7449" s="18"/>
      <c r="C7449" s="85"/>
      <c r="D7449" s="41"/>
      <c r="E7449" s="26" t="str">
        <f ca="1">IFERROR(__xludf.DUMMYFUNCTION("""COMPUTED_VALUE"""),"")</f>
        <v/>
      </c>
      <c r="F7449" s="72"/>
      <c r="G7449" s="72"/>
    </row>
    <row r="7450" spans="1:7" ht="14.5" hidden="1">
      <c r="A7450" s="5"/>
      <c r="B7450" s="18"/>
      <c r="C7450" s="85"/>
      <c r="D7450" s="41"/>
      <c r="E7450" s="26" t="str">
        <f ca="1">IFERROR(__xludf.DUMMYFUNCTION("""COMPUTED_VALUE"""),"")</f>
        <v/>
      </c>
      <c r="F7450" s="72"/>
      <c r="G7450" s="72"/>
    </row>
    <row r="7451" spans="1:7" ht="14.5" hidden="1">
      <c r="A7451" s="5"/>
      <c r="B7451" s="18"/>
      <c r="C7451" s="85"/>
      <c r="D7451" s="41"/>
      <c r="E7451" s="26" t="str">
        <f ca="1">IFERROR(__xludf.DUMMYFUNCTION("""COMPUTED_VALUE"""),"")</f>
        <v/>
      </c>
      <c r="F7451" s="72"/>
      <c r="G7451" s="72"/>
    </row>
    <row r="7452" spans="1:7" ht="14.5" hidden="1">
      <c r="A7452" s="5"/>
      <c r="B7452" s="18"/>
      <c r="C7452" s="85"/>
      <c r="D7452" s="41"/>
      <c r="E7452" s="26" t="str">
        <f ca="1">IFERROR(__xludf.DUMMYFUNCTION("""COMPUTED_VALUE"""),"")</f>
        <v/>
      </c>
      <c r="F7452" s="72"/>
      <c r="G7452" s="72"/>
    </row>
    <row r="7453" spans="1:7" ht="14.5" hidden="1">
      <c r="A7453" s="5"/>
      <c r="B7453" s="18"/>
      <c r="C7453" s="85"/>
      <c r="D7453" s="41"/>
      <c r="E7453" s="26" t="str">
        <f ca="1">IFERROR(__xludf.DUMMYFUNCTION("""COMPUTED_VALUE"""),"")</f>
        <v/>
      </c>
      <c r="F7453" s="72"/>
      <c r="G7453" s="72"/>
    </row>
    <row r="7454" spans="1:7" ht="14.5" hidden="1">
      <c r="A7454" s="5"/>
      <c r="B7454" s="18"/>
      <c r="C7454" s="85"/>
      <c r="D7454" s="41"/>
      <c r="E7454" s="26" t="str">
        <f ca="1">IFERROR(__xludf.DUMMYFUNCTION("""COMPUTED_VALUE"""),"")</f>
        <v/>
      </c>
      <c r="F7454" s="72"/>
      <c r="G7454" s="72"/>
    </row>
    <row r="7455" spans="1:7" ht="14.5" hidden="1">
      <c r="A7455" s="5"/>
      <c r="B7455" s="18"/>
      <c r="C7455" s="85"/>
      <c r="D7455" s="41"/>
      <c r="E7455" s="26" t="str">
        <f ca="1">IFERROR(__xludf.DUMMYFUNCTION("""COMPUTED_VALUE"""),"")</f>
        <v/>
      </c>
      <c r="F7455" s="72"/>
      <c r="G7455" s="72"/>
    </row>
    <row r="7456" spans="1:7" ht="14.5" hidden="1">
      <c r="A7456" s="5"/>
      <c r="B7456" s="18"/>
      <c r="C7456" s="85"/>
      <c r="D7456" s="41"/>
      <c r="E7456" s="26" t="str">
        <f ca="1">IFERROR(__xludf.DUMMYFUNCTION("""COMPUTED_VALUE"""),"")</f>
        <v/>
      </c>
      <c r="F7456" s="72"/>
      <c r="G7456" s="72"/>
    </row>
    <row r="7457" spans="1:7" ht="14.5" hidden="1">
      <c r="A7457" s="5"/>
      <c r="B7457" s="18"/>
      <c r="C7457" s="85"/>
      <c r="D7457" s="41"/>
      <c r="E7457" s="26" t="str">
        <f ca="1">IFERROR(__xludf.DUMMYFUNCTION("""COMPUTED_VALUE"""),"")</f>
        <v/>
      </c>
      <c r="F7457" s="72"/>
      <c r="G7457" s="72"/>
    </row>
    <row r="7458" spans="1:7" ht="14.5" hidden="1">
      <c r="A7458" s="5"/>
      <c r="B7458" s="18"/>
      <c r="C7458" s="85"/>
      <c r="D7458" s="41"/>
      <c r="E7458" s="26" t="str">
        <f ca="1">IFERROR(__xludf.DUMMYFUNCTION("""COMPUTED_VALUE"""),"")</f>
        <v/>
      </c>
      <c r="F7458" s="72"/>
      <c r="G7458" s="72"/>
    </row>
    <row r="7459" spans="1:7" ht="14.5" hidden="1">
      <c r="A7459" s="5"/>
      <c r="B7459" s="18"/>
      <c r="C7459" s="85"/>
      <c r="D7459" s="41"/>
      <c r="E7459" s="26" t="str">
        <f ca="1">IFERROR(__xludf.DUMMYFUNCTION("""COMPUTED_VALUE"""),"")</f>
        <v/>
      </c>
      <c r="F7459" s="72"/>
      <c r="G7459" s="72"/>
    </row>
    <row r="7460" spans="1:7" ht="14.5" hidden="1">
      <c r="A7460" s="5"/>
      <c r="B7460" s="18"/>
      <c r="C7460" s="85"/>
      <c r="D7460" s="41"/>
      <c r="E7460" s="26" t="str">
        <f ca="1">IFERROR(__xludf.DUMMYFUNCTION("""COMPUTED_VALUE"""),"")</f>
        <v/>
      </c>
      <c r="F7460" s="72"/>
      <c r="G7460" s="72"/>
    </row>
    <row r="7461" spans="1:7" ht="14.5" hidden="1">
      <c r="A7461" s="5"/>
      <c r="B7461" s="18"/>
      <c r="C7461" s="85"/>
      <c r="D7461" s="41"/>
      <c r="E7461" s="26" t="str">
        <f ca="1">IFERROR(__xludf.DUMMYFUNCTION("""COMPUTED_VALUE"""),"")</f>
        <v/>
      </c>
      <c r="F7461" s="72"/>
      <c r="G7461" s="72"/>
    </row>
    <row r="7462" spans="1:7" ht="14.5" hidden="1">
      <c r="A7462" s="5"/>
      <c r="B7462" s="18"/>
      <c r="C7462" s="85"/>
      <c r="D7462" s="41"/>
      <c r="E7462" s="26" t="str">
        <f ca="1">IFERROR(__xludf.DUMMYFUNCTION("""COMPUTED_VALUE"""),"")</f>
        <v/>
      </c>
      <c r="F7462" s="72"/>
      <c r="G7462" s="72"/>
    </row>
    <row r="7463" spans="1:7" ht="14.5" hidden="1">
      <c r="A7463" s="5"/>
      <c r="B7463" s="18"/>
      <c r="C7463" s="85"/>
      <c r="D7463" s="41"/>
      <c r="E7463" s="26" t="str">
        <f ca="1">IFERROR(__xludf.DUMMYFUNCTION("""COMPUTED_VALUE"""),"")</f>
        <v/>
      </c>
      <c r="F7463" s="72"/>
      <c r="G7463" s="72"/>
    </row>
    <row r="7464" spans="1:7" ht="14.5" hidden="1">
      <c r="A7464" s="5"/>
      <c r="B7464" s="18"/>
      <c r="C7464" s="85"/>
      <c r="D7464" s="41"/>
      <c r="E7464" s="26" t="str">
        <f ca="1">IFERROR(__xludf.DUMMYFUNCTION("""COMPUTED_VALUE"""),"")</f>
        <v/>
      </c>
      <c r="F7464" s="72"/>
      <c r="G7464" s="72"/>
    </row>
    <row r="7465" spans="1:7" ht="14.5" hidden="1">
      <c r="A7465" s="5"/>
      <c r="B7465" s="18"/>
      <c r="C7465" s="85"/>
      <c r="D7465" s="41"/>
      <c r="E7465" s="26" t="str">
        <f ca="1">IFERROR(__xludf.DUMMYFUNCTION("""COMPUTED_VALUE"""),"")</f>
        <v/>
      </c>
      <c r="F7465" s="72"/>
      <c r="G7465" s="72"/>
    </row>
    <row r="7466" spans="1:7" ht="14.5" hidden="1">
      <c r="A7466" s="5"/>
      <c r="B7466" s="18"/>
      <c r="C7466" s="85"/>
      <c r="D7466" s="41"/>
      <c r="E7466" s="26" t="str">
        <f ca="1">IFERROR(__xludf.DUMMYFUNCTION("""COMPUTED_VALUE"""),"")</f>
        <v/>
      </c>
      <c r="F7466" s="72"/>
      <c r="G7466" s="72"/>
    </row>
    <row r="7467" spans="1:7" ht="14.5" hidden="1">
      <c r="A7467" s="5"/>
      <c r="B7467" s="18"/>
      <c r="C7467" s="85"/>
      <c r="D7467" s="41"/>
      <c r="E7467" s="26" t="str">
        <f ca="1">IFERROR(__xludf.DUMMYFUNCTION("""COMPUTED_VALUE"""),"")</f>
        <v/>
      </c>
      <c r="F7467" s="72"/>
      <c r="G7467" s="72"/>
    </row>
    <row r="7468" spans="1:7" ht="14.5" hidden="1">
      <c r="A7468" s="5"/>
      <c r="B7468" s="18"/>
      <c r="C7468" s="85"/>
      <c r="D7468" s="41"/>
      <c r="E7468" s="26" t="str">
        <f ca="1">IFERROR(__xludf.DUMMYFUNCTION("""COMPUTED_VALUE"""),"")</f>
        <v/>
      </c>
      <c r="F7468" s="72"/>
      <c r="G7468" s="72"/>
    </row>
    <row r="7469" spans="1:7" ht="14.5" hidden="1">
      <c r="A7469" s="5"/>
      <c r="B7469" s="18"/>
      <c r="C7469" s="85"/>
      <c r="D7469" s="41"/>
      <c r="E7469" s="26" t="str">
        <f ca="1">IFERROR(__xludf.DUMMYFUNCTION("""COMPUTED_VALUE"""),"")</f>
        <v/>
      </c>
      <c r="F7469" s="72"/>
      <c r="G7469" s="72"/>
    </row>
    <row r="7470" spans="1:7" ht="14.5" hidden="1">
      <c r="A7470" s="5"/>
      <c r="B7470" s="18"/>
      <c r="C7470" s="85"/>
      <c r="D7470" s="41"/>
      <c r="E7470" s="26" t="str">
        <f ca="1">IFERROR(__xludf.DUMMYFUNCTION("""COMPUTED_VALUE"""),"")</f>
        <v/>
      </c>
      <c r="F7470" s="72"/>
      <c r="G7470" s="72"/>
    </row>
    <row r="7471" spans="1:7" ht="14.5" hidden="1">
      <c r="A7471" s="5"/>
      <c r="B7471" s="18"/>
      <c r="C7471" s="85"/>
      <c r="D7471" s="41"/>
      <c r="E7471" s="26" t="str">
        <f ca="1">IFERROR(__xludf.DUMMYFUNCTION("""COMPUTED_VALUE"""),"")</f>
        <v/>
      </c>
      <c r="F7471" s="72"/>
      <c r="G7471" s="72"/>
    </row>
    <row r="7472" spans="1:7" ht="14.5" hidden="1">
      <c r="A7472" s="5"/>
      <c r="B7472" s="18"/>
      <c r="C7472" s="85"/>
      <c r="D7472" s="41"/>
      <c r="E7472" s="26" t="str">
        <f ca="1">IFERROR(__xludf.DUMMYFUNCTION("""COMPUTED_VALUE"""),"")</f>
        <v/>
      </c>
      <c r="F7472" s="72"/>
      <c r="G7472" s="72"/>
    </row>
    <row r="7473" spans="1:7" ht="14.5" hidden="1">
      <c r="A7473" s="5"/>
      <c r="B7473" s="18"/>
      <c r="C7473" s="85"/>
      <c r="D7473" s="41"/>
      <c r="E7473" s="26" t="str">
        <f ca="1">IFERROR(__xludf.DUMMYFUNCTION("""COMPUTED_VALUE"""),"")</f>
        <v/>
      </c>
      <c r="F7473" s="72"/>
      <c r="G7473" s="72"/>
    </row>
    <row r="7474" spans="1:7" ht="14.5" hidden="1">
      <c r="A7474" s="5"/>
      <c r="B7474" s="18"/>
      <c r="C7474" s="85"/>
      <c r="D7474" s="41"/>
      <c r="E7474" s="26" t="str">
        <f ca="1">IFERROR(__xludf.DUMMYFUNCTION("""COMPUTED_VALUE"""),"")</f>
        <v/>
      </c>
      <c r="F7474" s="72"/>
      <c r="G7474" s="72"/>
    </row>
    <row r="7475" spans="1:7" ht="14.5" hidden="1">
      <c r="A7475" s="5"/>
      <c r="B7475" s="18"/>
      <c r="C7475" s="85"/>
      <c r="D7475" s="41"/>
      <c r="E7475" s="26" t="str">
        <f ca="1">IFERROR(__xludf.DUMMYFUNCTION("""COMPUTED_VALUE"""),"")</f>
        <v/>
      </c>
      <c r="F7475" s="72"/>
      <c r="G7475" s="72"/>
    </row>
    <row r="7476" spans="1:7" ht="14.5" hidden="1">
      <c r="A7476" s="5"/>
      <c r="B7476" s="18"/>
      <c r="C7476" s="85"/>
      <c r="D7476" s="41"/>
      <c r="E7476" s="26" t="str">
        <f ca="1">IFERROR(__xludf.DUMMYFUNCTION("""COMPUTED_VALUE"""),"")</f>
        <v/>
      </c>
      <c r="F7476" s="72"/>
      <c r="G7476" s="72"/>
    </row>
    <row r="7477" spans="1:7" ht="14.5" hidden="1">
      <c r="A7477" s="5"/>
      <c r="B7477" s="18"/>
      <c r="C7477" s="85"/>
      <c r="D7477" s="41"/>
      <c r="E7477" s="26" t="str">
        <f ca="1">IFERROR(__xludf.DUMMYFUNCTION("""COMPUTED_VALUE"""),"")</f>
        <v/>
      </c>
      <c r="F7477" s="72"/>
      <c r="G7477" s="72"/>
    </row>
    <row r="7478" spans="1:7" ht="14.5" hidden="1">
      <c r="A7478" s="5"/>
      <c r="B7478" s="18"/>
      <c r="C7478" s="85"/>
      <c r="D7478" s="41"/>
      <c r="E7478" s="26" t="str">
        <f ca="1">IFERROR(__xludf.DUMMYFUNCTION("""COMPUTED_VALUE"""),"")</f>
        <v/>
      </c>
      <c r="F7478" s="72"/>
      <c r="G7478" s="72"/>
    </row>
    <row r="7479" spans="1:7" ht="14.5" hidden="1">
      <c r="A7479" s="5"/>
      <c r="B7479" s="18"/>
      <c r="C7479" s="85"/>
      <c r="D7479" s="41"/>
      <c r="E7479" s="26" t="str">
        <f ca="1">IFERROR(__xludf.DUMMYFUNCTION("""COMPUTED_VALUE"""),"")</f>
        <v/>
      </c>
      <c r="F7479" s="72"/>
      <c r="G7479" s="72"/>
    </row>
    <row r="7480" spans="1:7" ht="14.5" hidden="1">
      <c r="A7480" s="5"/>
      <c r="B7480" s="18"/>
      <c r="C7480" s="85"/>
      <c r="D7480" s="41"/>
      <c r="E7480" s="26" t="str">
        <f ca="1">IFERROR(__xludf.DUMMYFUNCTION("""COMPUTED_VALUE"""),"")</f>
        <v/>
      </c>
      <c r="F7480" s="72"/>
      <c r="G7480" s="72"/>
    </row>
    <row r="7481" spans="1:7" ht="14.5" hidden="1">
      <c r="A7481" s="5"/>
      <c r="B7481" s="18"/>
      <c r="C7481" s="85"/>
      <c r="D7481" s="41"/>
      <c r="E7481" s="26" t="str">
        <f ca="1">IFERROR(__xludf.DUMMYFUNCTION("""COMPUTED_VALUE"""),"")</f>
        <v/>
      </c>
      <c r="F7481" s="72"/>
      <c r="G7481" s="72"/>
    </row>
    <row r="7482" spans="1:7" ht="14.5" hidden="1">
      <c r="A7482" s="5"/>
      <c r="B7482" s="18"/>
      <c r="C7482" s="85"/>
      <c r="D7482" s="41"/>
      <c r="E7482" s="26" t="str">
        <f ca="1">IFERROR(__xludf.DUMMYFUNCTION("""COMPUTED_VALUE"""),"")</f>
        <v/>
      </c>
      <c r="F7482" s="72"/>
      <c r="G7482" s="72"/>
    </row>
    <row r="7483" spans="1:7" ht="14.5" hidden="1">
      <c r="A7483" s="5"/>
      <c r="B7483" s="18"/>
      <c r="C7483" s="85"/>
      <c r="D7483" s="41"/>
      <c r="E7483" s="26" t="str">
        <f ca="1">IFERROR(__xludf.DUMMYFUNCTION("""COMPUTED_VALUE"""),"")</f>
        <v/>
      </c>
      <c r="F7483" s="72"/>
      <c r="G7483" s="72"/>
    </row>
    <row r="7484" spans="1:7" ht="14.5" hidden="1">
      <c r="A7484" s="5"/>
      <c r="B7484" s="18"/>
      <c r="C7484" s="85"/>
      <c r="D7484" s="41"/>
      <c r="E7484" s="26" t="str">
        <f ca="1">IFERROR(__xludf.DUMMYFUNCTION("""COMPUTED_VALUE"""),"")</f>
        <v/>
      </c>
      <c r="F7484" s="72"/>
      <c r="G7484" s="72"/>
    </row>
    <row r="7485" spans="1:7" ht="14.5" hidden="1">
      <c r="A7485" s="5"/>
      <c r="B7485" s="18"/>
      <c r="C7485" s="85"/>
      <c r="D7485" s="41"/>
      <c r="E7485" s="26" t="str">
        <f ca="1">IFERROR(__xludf.DUMMYFUNCTION("""COMPUTED_VALUE"""),"")</f>
        <v/>
      </c>
      <c r="F7485" s="72"/>
      <c r="G7485" s="72"/>
    </row>
    <row r="7486" spans="1:7" ht="14.5" hidden="1">
      <c r="A7486" s="5"/>
      <c r="B7486" s="18"/>
      <c r="C7486" s="85"/>
      <c r="D7486" s="41"/>
      <c r="E7486" s="26" t="str">
        <f ca="1">IFERROR(__xludf.DUMMYFUNCTION("""COMPUTED_VALUE"""),"")</f>
        <v/>
      </c>
      <c r="F7486" s="72"/>
      <c r="G7486" s="72"/>
    </row>
    <row r="7487" spans="1:7" ht="14.5" hidden="1">
      <c r="A7487" s="5"/>
      <c r="B7487" s="18"/>
      <c r="C7487" s="85"/>
      <c r="D7487" s="41"/>
      <c r="E7487" s="26" t="str">
        <f ca="1">IFERROR(__xludf.DUMMYFUNCTION("""COMPUTED_VALUE"""),"")</f>
        <v/>
      </c>
      <c r="F7487" s="72"/>
      <c r="G7487" s="72"/>
    </row>
    <row r="7488" spans="1:7" ht="14.5" hidden="1">
      <c r="A7488" s="5"/>
      <c r="B7488" s="18"/>
      <c r="C7488" s="85"/>
      <c r="D7488" s="41"/>
      <c r="E7488" s="26" t="str">
        <f ca="1">IFERROR(__xludf.DUMMYFUNCTION("""COMPUTED_VALUE"""),"")</f>
        <v/>
      </c>
      <c r="F7488" s="72"/>
      <c r="G7488" s="72"/>
    </row>
    <row r="7489" spans="1:7" ht="14.5" hidden="1">
      <c r="A7489" s="5"/>
      <c r="B7489" s="18"/>
      <c r="C7489" s="85"/>
      <c r="D7489" s="41"/>
      <c r="E7489" s="26" t="str">
        <f ca="1">IFERROR(__xludf.DUMMYFUNCTION("""COMPUTED_VALUE"""),"")</f>
        <v/>
      </c>
      <c r="F7489" s="72"/>
      <c r="G7489" s="72"/>
    </row>
    <row r="7490" spans="1:7" ht="14.5" hidden="1">
      <c r="A7490" s="5"/>
      <c r="B7490" s="18"/>
      <c r="C7490" s="85"/>
      <c r="D7490" s="41"/>
      <c r="E7490" s="26" t="str">
        <f ca="1">IFERROR(__xludf.DUMMYFUNCTION("""COMPUTED_VALUE"""),"")</f>
        <v/>
      </c>
      <c r="F7490" s="72"/>
      <c r="G7490" s="72"/>
    </row>
    <row r="7491" spans="1:7" ht="14.5" hidden="1">
      <c r="A7491" s="5"/>
      <c r="B7491" s="18"/>
      <c r="C7491" s="85"/>
      <c r="D7491" s="41"/>
      <c r="E7491" s="26" t="str">
        <f ca="1">IFERROR(__xludf.DUMMYFUNCTION("""COMPUTED_VALUE"""),"")</f>
        <v/>
      </c>
      <c r="F7491" s="72"/>
      <c r="G7491" s="72"/>
    </row>
    <row r="7492" spans="1:7" ht="14.5" hidden="1">
      <c r="A7492" s="5"/>
      <c r="B7492" s="18"/>
      <c r="C7492" s="85"/>
      <c r="D7492" s="41"/>
      <c r="E7492" s="26" t="str">
        <f ca="1">IFERROR(__xludf.DUMMYFUNCTION("""COMPUTED_VALUE"""),"")</f>
        <v/>
      </c>
      <c r="F7492" s="72"/>
      <c r="G7492" s="72"/>
    </row>
    <row r="7493" spans="1:7" ht="14.5" hidden="1">
      <c r="A7493" s="5"/>
      <c r="B7493" s="18"/>
      <c r="C7493" s="85"/>
      <c r="D7493" s="41"/>
      <c r="E7493" s="26" t="str">
        <f ca="1">IFERROR(__xludf.DUMMYFUNCTION("""COMPUTED_VALUE"""),"")</f>
        <v/>
      </c>
      <c r="F7493" s="72"/>
      <c r="G7493" s="72"/>
    </row>
    <row r="7494" spans="1:7" ht="14.5" hidden="1">
      <c r="A7494" s="5"/>
      <c r="B7494" s="18"/>
      <c r="C7494" s="85"/>
      <c r="D7494" s="41"/>
      <c r="E7494" s="26" t="str">
        <f ca="1">IFERROR(__xludf.DUMMYFUNCTION("""COMPUTED_VALUE"""),"")</f>
        <v/>
      </c>
      <c r="F7494" s="72"/>
      <c r="G7494" s="72"/>
    </row>
    <row r="7495" spans="1:7" ht="14.5" hidden="1">
      <c r="A7495" s="5"/>
      <c r="B7495" s="18"/>
      <c r="C7495" s="85"/>
      <c r="D7495" s="41"/>
      <c r="E7495" s="26" t="str">
        <f ca="1">IFERROR(__xludf.DUMMYFUNCTION("""COMPUTED_VALUE"""),"")</f>
        <v/>
      </c>
      <c r="F7495" s="72"/>
      <c r="G7495" s="72"/>
    </row>
    <row r="7496" spans="1:7" ht="14.5" hidden="1">
      <c r="A7496" s="5"/>
      <c r="B7496" s="18"/>
      <c r="C7496" s="85"/>
      <c r="D7496" s="41"/>
      <c r="E7496" s="26" t="str">
        <f ca="1">IFERROR(__xludf.DUMMYFUNCTION("""COMPUTED_VALUE"""),"")</f>
        <v/>
      </c>
      <c r="F7496" s="72"/>
      <c r="G7496" s="72"/>
    </row>
    <row r="7497" spans="1:7" ht="14.5" hidden="1">
      <c r="A7497" s="5"/>
      <c r="B7497" s="18"/>
      <c r="C7497" s="85"/>
      <c r="D7497" s="41"/>
      <c r="E7497" s="26" t="str">
        <f ca="1">IFERROR(__xludf.DUMMYFUNCTION("""COMPUTED_VALUE"""),"")</f>
        <v/>
      </c>
      <c r="F7497" s="72"/>
      <c r="G7497" s="72"/>
    </row>
    <row r="7498" spans="1:7" ht="14.5" hidden="1">
      <c r="A7498" s="5"/>
      <c r="B7498" s="18"/>
      <c r="C7498" s="85"/>
      <c r="D7498" s="41"/>
      <c r="E7498" s="26" t="str">
        <f ca="1">IFERROR(__xludf.DUMMYFUNCTION("""COMPUTED_VALUE"""),"")</f>
        <v/>
      </c>
      <c r="F7498" s="72"/>
      <c r="G7498" s="72"/>
    </row>
    <row r="7499" spans="1:7" ht="14.5" hidden="1">
      <c r="A7499" s="5"/>
      <c r="B7499" s="18"/>
      <c r="C7499" s="85"/>
      <c r="D7499" s="41"/>
      <c r="E7499" s="26" t="str">
        <f ca="1">IFERROR(__xludf.DUMMYFUNCTION("""COMPUTED_VALUE"""),"")</f>
        <v/>
      </c>
      <c r="F7499" s="72"/>
      <c r="G7499" s="72"/>
    </row>
    <row r="7500" spans="1:7" ht="14.5" hidden="1">
      <c r="A7500" s="5"/>
      <c r="B7500" s="18"/>
      <c r="C7500" s="85"/>
      <c r="D7500" s="41"/>
      <c r="E7500" s="26" t="str">
        <f ca="1">IFERROR(__xludf.DUMMYFUNCTION("""COMPUTED_VALUE"""),"")</f>
        <v/>
      </c>
      <c r="F7500" s="72"/>
      <c r="G7500" s="72"/>
    </row>
    <row r="7501" spans="1:7" ht="14.5" hidden="1">
      <c r="A7501" s="5"/>
      <c r="B7501" s="18"/>
      <c r="C7501" s="85"/>
      <c r="D7501" s="41"/>
      <c r="E7501" s="26" t="str">
        <f ca="1">IFERROR(__xludf.DUMMYFUNCTION("""COMPUTED_VALUE"""),"")</f>
        <v/>
      </c>
      <c r="F7501" s="72"/>
      <c r="G7501" s="72"/>
    </row>
    <row r="7502" spans="1:7" ht="14.5" hidden="1">
      <c r="A7502" s="5"/>
      <c r="B7502" s="18"/>
      <c r="C7502" s="85"/>
      <c r="D7502" s="41"/>
      <c r="E7502" s="26" t="str">
        <f ca="1">IFERROR(__xludf.DUMMYFUNCTION("""COMPUTED_VALUE"""),"")</f>
        <v/>
      </c>
      <c r="F7502" s="72"/>
      <c r="G7502" s="72"/>
    </row>
    <row r="7503" spans="1:7" ht="14.5" hidden="1">
      <c r="A7503" s="5"/>
      <c r="B7503" s="18"/>
      <c r="C7503" s="85"/>
      <c r="D7503" s="41"/>
      <c r="E7503" s="26" t="str">
        <f ca="1">IFERROR(__xludf.DUMMYFUNCTION("""COMPUTED_VALUE"""),"")</f>
        <v/>
      </c>
      <c r="F7503" s="72"/>
      <c r="G7503" s="72"/>
    </row>
    <row r="7504" spans="1:7" ht="14.5" hidden="1">
      <c r="A7504" s="5"/>
      <c r="B7504" s="18"/>
      <c r="C7504" s="85"/>
      <c r="D7504" s="41"/>
      <c r="E7504" s="26" t="str">
        <f ca="1">IFERROR(__xludf.DUMMYFUNCTION("""COMPUTED_VALUE"""),"")</f>
        <v/>
      </c>
      <c r="F7504" s="72"/>
      <c r="G7504" s="72"/>
    </row>
    <row r="7505" spans="1:7" ht="14.5" hidden="1">
      <c r="A7505" s="5"/>
      <c r="B7505" s="18"/>
      <c r="C7505" s="85"/>
      <c r="D7505" s="41"/>
      <c r="E7505" s="26" t="str">
        <f ca="1">IFERROR(__xludf.DUMMYFUNCTION("""COMPUTED_VALUE"""),"")</f>
        <v/>
      </c>
      <c r="F7505" s="72"/>
      <c r="G7505" s="72"/>
    </row>
    <row r="7506" spans="1:7" ht="14.5" hidden="1">
      <c r="A7506" s="5"/>
      <c r="B7506" s="18"/>
      <c r="C7506" s="85"/>
      <c r="D7506" s="41"/>
      <c r="E7506" s="26" t="str">
        <f ca="1">IFERROR(__xludf.DUMMYFUNCTION("""COMPUTED_VALUE"""),"")</f>
        <v/>
      </c>
      <c r="F7506" s="72"/>
      <c r="G7506" s="72"/>
    </row>
    <row r="7507" spans="1:7" ht="14.5" hidden="1">
      <c r="A7507" s="5"/>
      <c r="B7507" s="18"/>
      <c r="C7507" s="85"/>
      <c r="D7507" s="41"/>
      <c r="E7507" s="26" t="str">
        <f ca="1">IFERROR(__xludf.DUMMYFUNCTION("""COMPUTED_VALUE"""),"")</f>
        <v/>
      </c>
      <c r="F7507" s="72"/>
      <c r="G7507" s="72"/>
    </row>
    <row r="7508" spans="1:7" ht="14.5" hidden="1">
      <c r="A7508" s="5"/>
      <c r="B7508" s="18"/>
      <c r="C7508" s="85"/>
      <c r="D7508" s="41"/>
      <c r="E7508" s="26" t="str">
        <f ca="1">IFERROR(__xludf.DUMMYFUNCTION("""COMPUTED_VALUE"""),"")</f>
        <v/>
      </c>
      <c r="F7508" s="72"/>
      <c r="G7508" s="72"/>
    </row>
    <row r="7509" spans="1:7" ht="14.5" hidden="1">
      <c r="A7509" s="5"/>
      <c r="B7509" s="18"/>
      <c r="C7509" s="85"/>
      <c r="D7509" s="41"/>
      <c r="E7509" s="26" t="str">
        <f ca="1">IFERROR(__xludf.DUMMYFUNCTION("""COMPUTED_VALUE"""),"")</f>
        <v/>
      </c>
      <c r="F7509" s="72"/>
      <c r="G7509" s="72"/>
    </row>
    <row r="7510" spans="1:7" ht="14.5" hidden="1">
      <c r="A7510" s="5"/>
      <c r="B7510" s="18"/>
      <c r="C7510" s="85"/>
      <c r="D7510" s="41"/>
      <c r="E7510" s="26" t="str">
        <f ca="1">IFERROR(__xludf.DUMMYFUNCTION("""COMPUTED_VALUE"""),"")</f>
        <v/>
      </c>
      <c r="F7510" s="72"/>
      <c r="G7510" s="72"/>
    </row>
    <row r="7511" spans="1:7" ht="14.5" hidden="1">
      <c r="A7511" s="5"/>
      <c r="B7511" s="18"/>
      <c r="C7511" s="85"/>
      <c r="D7511" s="41"/>
      <c r="E7511" s="26" t="str">
        <f ca="1">IFERROR(__xludf.DUMMYFUNCTION("""COMPUTED_VALUE"""),"")</f>
        <v/>
      </c>
      <c r="F7511" s="72"/>
      <c r="G7511" s="72"/>
    </row>
    <row r="7512" spans="1:7" ht="14.5" hidden="1">
      <c r="A7512" s="5"/>
      <c r="B7512" s="18"/>
      <c r="C7512" s="85"/>
      <c r="D7512" s="41"/>
      <c r="E7512" s="26" t="str">
        <f ca="1">IFERROR(__xludf.DUMMYFUNCTION("""COMPUTED_VALUE"""),"")</f>
        <v/>
      </c>
      <c r="F7512" s="72"/>
      <c r="G7512" s="72"/>
    </row>
    <row r="7513" spans="1:7" ht="14.5" hidden="1">
      <c r="A7513" s="5"/>
      <c r="B7513" s="18"/>
      <c r="C7513" s="85"/>
      <c r="D7513" s="41"/>
      <c r="E7513" s="26" t="str">
        <f ca="1">IFERROR(__xludf.DUMMYFUNCTION("""COMPUTED_VALUE"""),"")</f>
        <v/>
      </c>
      <c r="F7513" s="72"/>
      <c r="G7513" s="72"/>
    </row>
    <row r="7514" spans="1:7" ht="14.5" hidden="1">
      <c r="A7514" s="5"/>
      <c r="B7514" s="18"/>
      <c r="C7514" s="85"/>
      <c r="D7514" s="41"/>
      <c r="E7514" s="26" t="str">
        <f ca="1">IFERROR(__xludf.DUMMYFUNCTION("""COMPUTED_VALUE"""),"")</f>
        <v/>
      </c>
      <c r="F7514" s="72"/>
      <c r="G7514" s="72"/>
    </row>
    <row r="7515" spans="1:7" ht="14.5" hidden="1">
      <c r="A7515" s="5"/>
      <c r="B7515" s="18"/>
      <c r="C7515" s="85"/>
      <c r="D7515" s="41"/>
      <c r="E7515" s="26" t="str">
        <f ca="1">IFERROR(__xludf.DUMMYFUNCTION("""COMPUTED_VALUE"""),"")</f>
        <v/>
      </c>
      <c r="F7515" s="72"/>
      <c r="G7515" s="72"/>
    </row>
    <row r="7516" spans="1:7" ht="14.5" hidden="1">
      <c r="A7516" s="5"/>
      <c r="B7516" s="18"/>
      <c r="C7516" s="85"/>
      <c r="D7516" s="41"/>
      <c r="E7516" s="26" t="str">
        <f ca="1">IFERROR(__xludf.DUMMYFUNCTION("""COMPUTED_VALUE"""),"")</f>
        <v/>
      </c>
      <c r="F7516" s="72"/>
      <c r="G7516" s="72"/>
    </row>
    <row r="7517" spans="1:7" ht="14.5" hidden="1">
      <c r="A7517" s="5"/>
      <c r="B7517" s="18"/>
      <c r="C7517" s="85"/>
      <c r="D7517" s="41"/>
      <c r="E7517" s="26" t="str">
        <f ca="1">IFERROR(__xludf.DUMMYFUNCTION("""COMPUTED_VALUE"""),"")</f>
        <v/>
      </c>
      <c r="F7517" s="72"/>
      <c r="G7517" s="72"/>
    </row>
    <row r="7518" spans="1:7" ht="14.5" hidden="1">
      <c r="A7518" s="5"/>
      <c r="B7518" s="18"/>
      <c r="C7518" s="85"/>
      <c r="D7518" s="41"/>
      <c r="E7518" s="26" t="str">
        <f ca="1">IFERROR(__xludf.DUMMYFUNCTION("""COMPUTED_VALUE"""),"")</f>
        <v/>
      </c>
      <c r="F7518" s="72"/>
      <c r="G7518" s="72"/>
    </row>
    <row r="7519" spans="1:7" ht="14.5" hidden="1">
      <c r="A7519" s="5"/>
      <c r="B7519" s="18"/>
      <c r="C7519" s="85"/>
      <c r="D7519" s="41"/>
      <c r="E7519" s="26" t="str">
        <f ca="1">IFERROR(__xludf.DUMMYFUNCTION("""COMPUTED_VALUE"""),"")</f>
        <v/>
      </c>
      <c r="F7519" s="72"/>
      <c r="G7519" s="72"/>
    </row>
    <row r="7520" spans="1:7" ht="14.5" hidden="1">
      <c r="A7520" s="5"/>
      <c r="B7520" s="18"/>
      <c r="C7520" s="85"/>
      <c r="D7520" s="41"/>
      <c r="E7520" s="26" t="str">
        <f ca="1">IFERROR(__xludf.DUMMYFUNCTION("""COMPUTED_VALUE"""),"")</f>
        <v/>
      </c>
      <c r="F7520" s="72"/>
      <c r="G7520" s="72"/>
    </row>
    <row r="7521" spans="1:7" ht="14.5" hidden="1">
      <c r="A7521" s="5"/>
      <c r="B7521" s="18"/>
      <c r="C7521" s="85"/>
      <c r="D7521" s="41"/>
      <c r="E7521" s="26" t="str">
        <f ca="1">IFERROR(__xludf.DUMMYFUNCTION("""COMPUTED_VALUE"""),"")</f>
        <v/>
      </c>
      <c r="F7521" s="72"/>
      <c r="G7521" s="72"/>
    </row>
    <row r="7522" spans="1:7" ht="14.5" hidden="1">
      <c r="A7522" s="5"/>
      <c r="B7522" s="18"/>
      <c r="C7522" s="85"/>
      <c r="D7522" s="41"/>
      <c r="E7522" s="26" t="str">
        <f ca="1">IFERROR(__xludf.DUMMYFUNCTION("""COMPUTED_VALUE"""),"")</f>
        <v/>
      </c>
      <c r="F7522" s="72"/>
      <c r="G7522" s="72"/>
    </row>
    <row r="7523" spans="1:7" ht="14.5" hidden="1">
      <c r="A7523" s="5"/>
      <c r="B7523" s="18"/>
      <c r="C7523" s="85"/>
      <c r="D7523" s="41"/>
      <c r="E7523" s="26" t="str">
        <f ca="1">IFERROR(__xludf.DUMMYFUNCTION("""COMPUTED_VALUE"""),"")</f>
        <v/>
      </c>
      <c r="F7523" s="72"/>
      <c r="G7523" s="72"/>
    </row>
    <row r="7524" spans="1:7" ht="14.5" hidden="1">
      <c r="A7524" s="5"/>
      <c r="B7524" s="18"/>
      <c r="C7524" s="85"/>
      <c r="D7524" s="41"/>
      <c r="E7524" s="26" t="str">
        <f ca="1">IFERROR(__xludf.DUMMYFUNCTION("""COMPUTED_VALUE"""),"")</f>
        <v/>
      </c>
      <c r="F7524" s="72"/>
      <c r="G7524" s="72"/>
    </row>
    <row r="7525" spans="1:7" ht="14.5" hidden="1">
      <c r="A7525" s="5"/>
      <c r="B7525" s="18"/>
      <c r="C7525" s="85"/>
      <c r="D7525" s="41"/>
      <c r="E7525" s="26" t="str">
        <f ca="1">IFERROR(__xludf.DUMMYFUNCTION("""COMPUTED_VALUE"""),"")</f>
        <v/>
      </c>
      <c r="F7525" s="72"/>
      <c r="G7525" s="72"/>
    </row>
    <row r="7526" spans="1:7" ht="14.5" hidden="1">
      <c r="A7526" s="5"/>
      <c r="B7526" s="18"/>
      <c r="C7526" s="85"/>
      <c r="D7526" s="41"/>
      <c r="E7526" s="26" t="str">
        <f ca="1">IFERROR(__xludf.DUMMYFUNCTION("""COMPUTED_VALUE"""),"")</f>
        <v/>
      </c>
      <c r="F7526" s="72"/>
      <c r="G7526" s="72"/>
    </row>
    <row r="7527" spans="1:7" ht="14.5" hidden="1">
      <c r="A7527" s="5"/>
      <c r="B7527" s="18"/>
      <c r="C7527" s="85"/>
      <c r="D7527" s="41"/>
      <c r="E7527" s="26" t="str">
        <f ca="1">IFERROR(__xludf.DUMMYFUNCTION("""COMPUTED_VALUE"""),"")</f>
        <v/>
      </c>
      <c r="F7527" s="72"/>
      <c r="G7527" s="72"/>
    </row>
    <row r="7528" spans="1:7" ht="14.5" hidden="1">
      <c r="A7528" s="5"/>
      <c r="B7528" s="18"/>
      <c r="C7528" s="85"/>
      <c r="D7528" s="41"/>
      <c r="E7528" s="26" t="str">
        <f ca="1">IFERROR(__xludf.DUMMYFUNCTION("""COMPUTED_VALUE"""),"")</f>
        <v/>
      </c>
      <c r="F7528" s="72"/>
      <c r="G7528" s="72"/>
    </row>
    <row r="7529" spans="1:7" ht="14.5" hidden="1">
      <c r="A7529" s="5"/>
      <c r="B7529" s="18"/>
      <c r="C7529" s="85"/>
      <c r="D7529" s="41"/>
      <c r="E7529" s="26" t="str">
        <f ca="1">IFERROR(__xludf.DUMMYFUNCTION("""COMPUTED_VALUE"""),"")</f>
        <v/>
      </c>
      <c r="F7529" s="72"/>
      <c r="G7529" s="72"/>
    </row>
    <row r="7530" spans="1:7" ht="14.5" hidden="1">
      <c r="A7530" s="5"/>
      <c r="B7530" s="18"/>
      <c r="C7530" s="85"/>
      <c r="D7530" s="41"/>
      <c r="E7530" s="26" t="str">
        <f ca="1">IFERROR(__xludf.DUMMYFUNCTION("""COMPUTED_VALUE"""),"")</f>
        <v/>
      </c>
      <c r="F7530" s="72"/>
      <c r="G7530" s="72"/>
    </row>
    <row r="7531" spans="1:7" ht="14.5" hidden="1">
      <c r="A7531" s="5"/>
      <c r="B7531" s="18"/>
      <c r="C7531" s="85"/>
      <c r="D7531" s="41"/>
      <c r="E7531" s="26" t="str">
        <f ca="1">IFERROR(__xludf.DUMMYFUNCTION("""COMPUTED_VALUE"""),"")</f>
        <v/>
      </c>
      <c r="F7531" s="72"/>
      <c r="G7531" s="72"/>
    </row>
    <row r="7532" spans="1:7" ht="14.5" hidden="1">
      <c r="A7532" s="5"/>
      <c r="B7532" s="18"/>
      <c r="C7532" s="85"/>
      <c r="D7532" s="41"/>
      <c r="E7532" s="26" t="str">
        <f ca="1">IFERROR(__xludf.DUMMYFUNCTION("""COMPUTED_VALUE"""),"")</f>
        <v/>
      </c>
      <c r="F7532" s="72"/>
      <c r="G7532" s="72"/>
    </row>
    <row r="7533" spans="1:7" ht="14.5" hidden="1">
      <c r="A7533" s="5"/>
      <c r="B7533" s="18"/>
      <c r="C7533" s="85"/>
      <c r="D7533" s="41"/>
      <c r="E7533" s="26" t="str">
        <f ca="1">IFERROR(__xludf.DUMMYFUNCTION("""COMPUTED_VALUE"""),"")</f>
        <v/>
      </c>
      <c r="F7533" s="72"/>
      <c r="G7533" s="72"/>
    </row>
    <row r="7534" spans="1:7" ht="14.5" hidden="1">
      <c r="A7534" s="5"/>
      <c r="B7534" s="18"/>
      <c r="C7534" s="85"/>
      <c r="D7534" s="41"/>
      <c r="E7534" s="26" t="str">
        <f ca="1">IFERROR(__xludf.DUMMYFUNCTION("""COMPUTED_VALUE"""),"")</f>
        <v/>
      </c>
      <c r="F7534" s="72"/>
      <c r="G7534" s="72"/>
    </row>
    <row r="7535" spans="1:7" ht="14.5" hidden="1">
      <c r="A7535" s="5"/>
      <c r="B7535" s="18"/>
      <c r="C7535" s="85"/>
      <c r="D7535" s="41"/>
      <c r="E7535" s="26" t="str">
        <f ca="1">IFERROR(__xludf.DUMMYFUNCTION("""COMPUTED_VALUE"""),"")</f>
        <v/>
      </c>
      <c r="F7535" s="72"/>
      <c r="G7535" s="72"/>
    </row>
    <row r="7536" spans="1:7" ht="14.5" hidden="1">
      <c r="A7536" s="5"/>
      <c r="B7536" s="18"/>
      <c r="C7536" s="85"/>
      <c r="D7536" s="41"/>
      <c r="E7536" s="26" t="str">
        <f ca="1">IFERROR(__xludf.DUMMYFUNCTION("""COMPUTED_VALUE"""),"")</f>
        <v/>
      </c>
      <c r="F7536" s="72"/>
      <c r="G7536" s="72"/>
    </row>
    <row r="7537" spans="1:7" ht="14.5" hidden="1">
      <c r="A7537" s="5"/>
      <c r="B7537" s="18"/>
      <c r="C7537" s="85"/>
      <c r="D7537" s="41"/>
      <c r="E7537" s="26" t="str">
        <f ca="1">IFERROR(__xludf.DUMMYFUNCTION("""COMPUTED_VALUE"""),"")</f>
        <v/>
      </c>
      <c r="F7537" s="72"/>
      <c r="G7537" s="72"/>
    </row>
    <row r="7538" spans="1:7" ht="14.5" hidden="1">
      <c r="A7538" s="5"/>
      <c r="B7538" s="18"/>
      <c r="C7538" s="85"/>
      <c r="D7538" s="41"/>
      <c r="E7538" s="26" t="str">
        <f ca="1">IFERROR(__xludf.DUMMYFUNCTION("""COMPUTED_VALUE"""),"")</f>
        <v/>
      </c>
      <c r="F7538" s="72"/>
      <c r="G7538" s="72"/>
    </row>
    <row r="7539" spans="1:7" ht="14.5" hidden="1">
      <c r="A7539" s="5"/>
      <c r="B7539" s="18"/>
      <c r="C7539" s="85"/>
      <c r="D7539" s="41"/>
      <c r="E7539" s="26" t="str">
        <f ca="1">IFERROR(__xludf.DUMMYFUNCTION("""COMPUTED_VALUE"""),"")</f>
        <v/>
      </c>
      <c r="F7539" s="72"/>
      <c r="G7539" s="72"/>
    </row>
    <row r="7540" spans="1:7" ht="14.5" hidden="1">
      <c r="A7540" s="5"/>
      <c r="B7540" s="18"/>
      <c r="C7540" s="85"/>
      <c r="D7540" s="41"/>
      <c r="E7540" s="26" t="str">
        <f ca="1">IFERROR(__xludf.DUMMYFUNCTION("""COMPUTED_VALUE"""),"")</f>
        <v/>
      </c>
      <c r="F7540" s="72"/>
      <c r="G7540" s="72"/>
    </row>
    <row r="7541" spans="1:7" ht="14.5" hidden="1">
      <c r="A7541" s="5"/>
      <c r="B7541" s="18"/>
      <c r="C7541" s="85"/>
      <c r="D7541" s="41"/>
      <c r="E7541" s="26" t="str">
        <f ca="1">IFERROR(__xludf.DUMMYFUNCTION("""COMPUTED_VALUE"""),"")</f>
        <v/>
      </c>
      <c r="F7541" s="72"/>
      <c r="G7541" s="72"/>
    </row>
    <row r="7542" spans="1:7" ht="14.5" hidden="1">
      <c r="A7542" s="5"/>
      <c r="B7542" s="18"/>
      <c r="C7542" s="85"/>
      <c r="D7542" s="41"/>
      <c r="E7542" s="26" t="str">
        <f ca="1">IFERROR(__xludf.DUMMYFUNCTION("""COMPUTED_VALUE"""),"")</f>
        <v/>
      </c>
      <c r="F7542" s="72"/>
      <c r="G7542" s="72"/>
    </row>
    <row r="7543" spans="1:7" ht="14.5" hidden="1">
      <c r="A7543" s="5"/>
      <c r="B7543" s="18"/>
      <c r="C7543" s="85"/>
      <c r="D7543" s="41"/>
      <c r="E7543" s="26" t="str">
        <f ca="1">IFERROR(__xludf.DUMMYFUNCTION("""COMPUTED_VALUE"""),"")</f>
        <v/>
      </c>
      <c r="F7543" s="72"/>
      <c r="G7543" s="72"/>
    </row>
    <row r="7544" spans="1:7" ht="14.5" hidden="1">
      <c r="A7544" s="5"/>
      <c r="B7544" s="18"/>
      <c r="C7544" s="85"/>
      <c r="D7544" s="41"/>
      <c r="E7544" s="26" t="str">
        <f ca="1">IFERROR(__xludf.DUMMYFUNCTION("""COMPUTED_VALUE"""),"")</f>
        <v/>
      </c>
      <c r="F7544" s="72"/>
      <c r="G7544" s="72"/>
    </row>
    <row r="7545" spans="1:7" ht="14.5" hidden="1">
      <c r="A7545" s="5"/>
      <c r="B7545" s="18"/>
      <c r="C7545" s="85"/>
      <c r="D7545" s="41"/>
      <c r="E7545" s="26" t="str">
        <f ca="1">IFERROR(__xludf.DUMMYFUNCTION("""COMPUTED_VALUE"""),"")</f>
        <v/>
      </c>
      <c r="F7545" s="72"/>
      <c r="G7545" s="72"/>
    </row>
    <row r="7546" spans="1:7" ht="14.5" hidden="1">
      <c r="A7546" s="5"/>
      <c r="B7546" s="18"/>
      <c r="C7546" s="85"/>
      <c r="D7546" s="41"/>
      <c r="E7546" s="26" t="str">
        <f ca="1">IFERROR(__xludf.DUMMYFUNCTION("""COMPUTED_VALUE"""),"")</f>
        <v/>
      </c>
      <c r="F7546" s="72"/>
      <c r="G7546" s="72"/>
    </row>
    <row r="7547" spans="1:7" ht="14.5" hidden="1">
      <c r="A7547" s="5"/>
      <c r="B7547" s="18"/>
      <c r="C7547" s="85"/>
      <c r="D7547" s="41"/>
      <c r="E7547" s="26" t="str">
        <f ca="1">IFERROR(__xludf.DUMMYFUNCTION("""COMPUTED_VALUE"""),"")</f>
        <v/>
      </c>
      <c r="F7547" s="72"/>
      <c r="G7547" s="72"/>
    </row>
    <row r="7548" spans="1:7" ht="14.5" hidden="1">
      <c r="A7548" s="5"/>
      <c r="B7548" s="18"/>
      <c r="C7548" s="85"/>
      <c r="D7548" s="41"/>
      <c r="E7548" s="26" t="str">
        <f ca="1">IFERROR(__xludf.DUMMYFUNCTION("""COMPUTED_VALUE"""),"")</f>
        <v/>
      </c>
      <c r="F7548" s="72"/>
      <c r="G7548" s="72"/>
    </row>
    <row r="7549" spans="1:7" ht="14.5" hidden="1">
      <c r="A7549" s="5"/>
      <c r="B7549" s="18"/>
      <c r="C7549" s="85"/>
      <c r="D7549" s="41"/>
      <c r="E7549" s="26" t="str">
        <f ca="1">IFERROR(__xludf.DUMMYFUNCTION("""COMPUTED_VALUE"""),"")</f>
        <v/>
      </c>
      <c r="F7549" s="72"/>
      <c r="G7549" s="72"/>
    </row>
    <row r="7550" spans="1:7" ht="14.5" hidden="1">
      <c r="A7550" s="5"/>
      <c r="B7550" s="18"/>
      <c r="C7550" s="85"/>
      <c r="D7550" s="41"/>
      <c r="E7550" s="26" t="str">
        <f ca="1">IFERROR(__xludf.DUMMYFUNCTION("""COMPUTED_VALUE"""),"")</f>
        <v/>
      </c>
      <c r="F7550" s="72"/>
      <c r="G7550" s="72"/>
    </row>
    <row r="7551" spans="1:7" ht="14.5" hidden="1">
      <c r="A7551" s="5"/>
      <c r="B7551" s="18"/>
      <c r="C7551" s="85"/>
      <c r="D7551" s="41"/>
      <c r="E7551" s="26" t="str">
        <f ca="1">IFERROR(__xludf.DUMMYFUNCTION("""COMPUTED_VALUE"""),"")</f>
        <v/>
      </c>
      <c r="F7551" s="72"/>
      <c r="G7551" s="72"/>
    </row>
    <row r="7552" spans="1:7" ht="14.5" hidden="1">
      <c r="A7552" s="5"/>
      <c r="B7552" s="18"/>
      <c r="C7552" s="85"/>
      <c r="D7552" s="41"/>
      <c r="E7552" s="26" t="str">
        <f ca="1">IFERROR(__xludf.DUMMYFUNCTION("""COMPUTED_VALUE"""),"")</f>
        <v/>
      </c>
      <c r="F7552" s="72"/>
      <c r="G7552" s="72"/>
    </row>
    <row r="7553" spans="1:7" ht="14.5" hidden="1">
      <c r="A7553" s="5"/>
      <c r="B7553" s="18"/>
      <c r="C7553" s="85"/>
      <c r="D7553" s="41"/>
      <c r="E7553" s="26" t="str">
        <f ca="1">IFERROR(__xludf.DUMMYFUNCTION("""COMPUTED_VALUE"""),"")</f>
        <v/>
      </c>
      <c r="F7553" s="72"/>
      <c r="G7553" s="72"/>
    </row>
    <row r="7554" spans="1:7" ht="14.5" hidden="1">
      <c r="A7554" s="5"/>
      <c r="B7554" s="18"/>
      <c r="C7554" s="85"/>
      <c r="D7554" s="41"/>
      <c r="E7554" s="26" t="str">
        <f ca="1">IFERROR(__xludf.DUMMYFUNCTION("""COMPUTED_VALUE"""),"")</f>
        <v/>
      </c>
      <c r="F7554" s="72"/>
      <c r="G7554" s="72"/>
    </row>
    <row r="7555" spans="1:7" ht="14.5" hidden="1">
      <c r="A7555" s="5"/>
      <c r="B7555" s="18"/>
      <c r="C7555" s="85"/>
      <c r="D7555" s="41"/>
      <c r="E7555" s="26" t="str">
        <f ca="1">IFERROR(__xludf.DUMMYFUNCTION("""COMPUTED_VALUE"""),"")</f>
        <v/>
      </c>
      <c r="F7555" s="72"/>
      <c r="G7555" s="72"/>
    </row>
    <row r="7556" spans="1:7" ht="14.5" hidden="1">
      <c r="A7556" s="5"/>
      <c r="B7556" s="18"/>
      <c r="C7556" s="85"/>
      <c r="D7556" s="41"/>
      <c r="E7556" s="26" t="str">
        <f ca="1">IFERROR(__xludf.DUMMYFUNCTION("""COMPUTED_VALUE"""),"")</f>
        <v/>
      </c>
      <c r="F7556" s="72"/>
      <c r="G7556" s="72"/>
    </row>
    <row r="7557" spans="1:7" ht="14.5" hidden="1">
      <c r="A7557" s="5"/>
      <c r="B7557" s="18"/>
      <c r="C7557" s="85"/>
      <c r="D7557" s="41"/>
      <c r="E7557" s="26" t="str">
        <f ca="1">IFERROR(__xludf.DUMMYFUNCTION("""COMPUTED_VALUE"""),"")</f>
        <v/>
      </c>
      <c r="F7557" s="72"/>
      <c r="G7557" s="72"/>
    </row>
    <row r="7558" spans="1:7" ht="14.5" hidden="1">
      <c r="A7558" s="5"/>
      <c r="B7558" s="18"/>
      <c r="C7558" s="85"/>
      <c r="D7558" s="41"/>
      <c r="E7558" s="26" t="str">
        <f ca="1">IFERROR(__xludf.DUMMYFUNCTION("""COMPUTED_VALUE"""),"")</f>
        <v/>
      </c>
      <c r="F7558" s="72"/>
      <c r="G7558" s="72"/>
    </row>
    <row r="7559" spans="1:7" ht="14.5" hidden="1">
      <c r="A7559" s="5"/>
      <c r="B7559" s="18"/>
      <c r="C7559" s="85"/>
      <c r="D7559" s="41"/>
      <c r="E7559" s="26" t="str">
        <f ca="1">IFERROR(__xludf.DUMMYFUNCTION("""COMPUTED_VALUE"""),"")</f>
        <v/>
      </c>
      <c r="F7559" s="72"/>
      <c r="G7559" s="72"/>
    </row>
    <row r="7560" spans="1:7" ht="14.5" hidden="1">
      <c r="A7560" s="5"/>
      <c r="B7560" s="18"/>
      <c r="C7560" s="85"/>
      <c r="D7560" s="41"/>
      <c r="E7560" s="26" t="str">
        <f ca="1">IFERROR(__xludf.DUMMYFUNCTION("""COMPUTED_VALUE"""),"")</f>
        <v/>
      </c>
      <c r="F7560" s="72"/>
      <c r="G7560" s="72"/>
    </row>
    <row r="7561" spans="1:7" ht="14.5" hidden="1">
      <c r="A7561" s="5"/>
      <c r="B7561" s="18"/>
      <c r="C7561" s="85"/>
      <c r="D7561" s="41"/>
      <c r="E7561" s="26" t="str">
        <f ca="1">IFERROR(__xludf.DUMMYFUNCTION("""COMPUTED_VALUE"""),"")</f>
        <v/>
      </c>
      <c r="F7561" s="72"/>
      <c r="G7561" s="72"/>
    </row>
    <row r="7562" spans="1:7" ht="14.5" hidden="1">
      <c r="A7562" s="5"/>
      <c r="B7562" s="18"/>
      <c r="C7562" s="85"/>
      <c r="D7562" s="41"/>
      <c r="E7562" s="26" t="str">
        <f ca="1">IFERROR(__xludf.DUMMYFUNCTION("""COMPUTED_VALUE"""),"")</f>
        <v/>
      </c>
      <c r="F7562" s="72"/>
      <c r="G7562" s="72"/>
    </row>
    <row r="7563" spans="1:7" ht="14.5" hidden="1">
      <c r="A7563" s="5"/>
      <c r="B7563" s="18"/>
      <c r="C7563" s="85"/>
      <c r="D7563" s="41"/>
      <c r="E7563" s="26" t="str">
        <f ca="1">IFERROR(__xludf.DUMMYFUNCTION("""COMPUTED_VALUE"""),"")</f>
        <v/>
      </c>
      <c r="F7563" s="72"/>
      <c r="G7563" s="72"/>
    </row>
    <row r="7564" spans="1:7" ht="14.5" hidden="1">
      <c r="A7564" s="5"/>
      <c r="B7564" s="18"/>
      <c r="C7564" s="85"/>
      <c r="D7564" s="41"/>
      <c r="E7564" s="26" t="str">
        <f ca="1">IFERROR(__xludf.DUMMYFUNCTION("""COMPUTED_VALUE"""),"")</f>
        <v/>
      </c>
      <c r="F7564" s="72"/>
      <c r="G7564" s="72"/>
    </row>
    <row r="7565" spans="1:7" ht="14.5" hidden="1">
      <c r="A7565" s="5"/>
      <c r="B7565" s="18"/>
      <c r="C7565" s="85"/>
      <c r="D7565" s="41"/>
      <c r="E7565" s="26" t="str">
        <f ca="1">IFERROR(__xludf.DUMMYFUNCTION("""COMPUTED_VALUE"""),"")</f>
        <v/>
      </c>
      <c r="F7565" s="72"/>
      <c r="G7565" s="72"/>
    </row>
    <row r="7566" spans="1:7" ht="14.5" hidden="1">
      <c r="A7566" s="5"/>
      <c r="B7566" s="18"/>
      <c r="C7566" s="85"/>
      <c r="D7566" s="41"/>
      <c r="E7566" s="26" t="str">
        <f ca="1">IFERROR(__xludf.DUMMYFUNCTION("""COMPUTED_VALUE"""),"")</f>
        <v/>
      </c>
      <c r="F7566" s="72"/>
      <c r="G7566" s="72"/>
    </row>
    <row r="7567" spans="1:7" ht="14.5" hidden="1">
      <c r="A7567" s="5"/>
      <c r="B7567" s="18"/>
      <c r="C7567" s="85"/>
      <c r="D7567" s="41"/>
      <c r="E7567" s="26" t="str">
        <f ca="1">IFERROR(__xludf.DUMMYFUNCTION("""COMPUTED_VALUE"""),"")</f>
        <v/>
      </c>
      <c r="F7567" s="72"/>
      <c r="G7567" s="72"/>
    </row>
    <row r="7568" spans="1:7" ht="14.5" hidden="1">
      <c r="A7568" s="5"/>
      <c r="B7568" s="18"/>
      <c r="C7568" s="85"/>
      <c r="D7568" s="41"/>
      <c r="E7568" s="26" t="str">
        <f ca="1">IFERROR(__xludf.DUMMYFUNCTION("""COMPUTED_VALUE"""),"")</f>
        <v/>
      </c>
      <c r="F7568" s="72"/>
      <c r="G7568" s="72"/>
    </row>
    <row r="7569" spans="1:7" ht="14.5" hidden="1">
      <c r="A7569" s="5"/>
      <c r="B7569" s="18"/>
      <c r="C7569" s="85"/>
      <c r="D7569" s="41"/>
      <c r="E7569" s="26" t="str">
        <f ca="1">IFERROR(__xludf.DUMMYFUNCTION("""COMPUTED_VALUE"""),"")</f>
        <v/>
      </c>
      <c r="F7569" s="72"/>
      <c r="G7569" s="72"/>
    </row>
    <row r="7570" spans="1:7" ht="14.5" hidden="1">
      <c r="A7570" s="5"/>
      <c r="B7570" s="18"/>
      <c r="C7570" s="85"/>
      <c r="D7570" s="41"/>
      <c r="E7570" s="26" t="str">
        <f ca="1">IFERROR(__xludf.DUMMYFUNCTION("""COMPUTED_VALUE"""),"")</f>
        <v/>
      </c>
      <c r="F7570" s="72"/>
      <c r="G7570" s="72"/>
    </row>
    <row r="7571" spans="1:7" ht="14.5" hidden="1">
      <c r="A7571" s="5"/>
      <c r="B7571" s="18"/>
      <c r="C7571" s="85"/>
      <c r="D7571" s="41"/>
      <c r="E7571" s="26" t="str">
        <f ca="1">IFERROR(__xludf.DUMMYFUNCTION("""COMPUTED_VALUE"""),"")</f>
        <v/>
      </c>
      <c r="F7571" s="72"/>
      <c r="G7571" s="72"/>
    </row>
    <row r="7572" spans="1:7" ht="14.5" hidden="1">
      <c r="A7572" s="5"/>
      <c r="B7572" s="18"/>
      <c r="C7572" s="85"/>
      <c r="D7572" s="41"/>
      <c r="E7572" s="26" t="str">
        <f ca="1">IFERROR(__xludf.DUMMYFUNCTION("""COMPUTED_VALUE"""),"")</f>
        <v/>
      </c>
      <c r="F7572" s="72"/>
      <c r="G7572" s="72"/>
    </row>
    <row r="7573" spans="1:7" ht="14.5" hidden="1">
      <c r="A7573" s="5"/>
      <c r="B7573" s="18"/>
      <c r="C7573" s="85"/>
      <c r="D7573" s="41"/>
      <c r="E7573" s="26" t="str">
        <f ca="1">IFERROR(__xludf.DUMMYFUNCTION("""COMPUTED_VALUE"""),"")</f>
        <v/>
      </c>
      <c r="F7573" s="72"/>
      <c r="G7573" s="72"/>
    </row>
    <row r="7574" spans="1:7" ht="14.5" hidden="1">
      <c r="A7574" s="5"/>
      <c r="B7574" s="18"/>
      <c r="C7574" s="85"/>
      <c r="D7574" s="41"/>
      <c r="E7574" s="26" t="str">
        <f ca="1">IFERROR(__xludf.DUMMYFUNCTION("""COMPUTED_VALUE"""),"")</f>
        <v/>
      </c>
      <c r="F7574" s="72"/>
      <c r="G7574" s="72"/>
    </row>
    <row r="7575" spans="1:7" ht="14.5" hidden="1">
      <c r="A7575" s="5"/>
      <c r="B7575" s="18"/>
      <c r="C7575" s="85"/>
      <c r="D7575" s="41"/>
      <c r="E7575" s="26" t="str">
        <f ca="1">IFERROR(__xludf.DUMMYFUNCTION("""COMPUTED_VALUE"""),"")</f>
        <v/>
      </c>
      <c r="F7575" s="72"/>
      <c r="G7575" s="72"/>
    </row>
    <row r="7576" spans="1:7" ht="14.5" hidden="1">
      <c r="A7576" s="5"/>
      <c r="B7576" s="18"/>
      <c r="C7576" s="85"/>
      <c r="D7576" s="41"/>
      <c r="E7576" s="26" t="str">
        <f ca="1">IFERROR(__xludf.DUMMYFUNCTION("""COMPUTED_VALUE"""),"")</f>
        <v/>
      </c>
      <c r="F7576" s="72"/>
      <c r="G7576" s="72"/>
    </row>
    <row r="7577" spans="1:7" ht="14.5" hidden="1">
      <c r="A7577" s="5"/>
      <c r="B7577" s="18"/>
      <c r="C7577" s="85"/>
      <c r="D7577" s="41"/>
      <c r="E7577" s="26" t="str">
        <f ca="1">IFERROR(__xludf.DUMMYFUNCTION("""COMPUTED_VALUE"""),"")</f>
        <v/>
      </c>
      <c r="F7577" s="72"/>
      <c r="G7577" s="72"/>
    </row>
    <row r="7578" spans="1:7" ht="14.5" hidden="1">
      <c r="A7578" s="5"/>
      <c r="B7578" s="18"/>
      <c r="C7578" s="85"/>
      <c r="D7578" s="41"/>
      <c r="E7578" s="26" t="str">
        <f ca="1">IFERROR(__xludf.DUMMYFUNCTION("""COMPUTED_VALUE"""),"")</f>
        <v/>
      </c>
      <c r="F7578" s="72"/>
      <c r="G7578" s="72"/>
    </row>
    <row r="7579" spans="1:7" ht="14.5" hidden="1">
      <c r="A7579" s="5"/>
      <c r="B7579" s="18"/>
      <c r="C7579" s="85"/>
      <c r="D7579" s="41"/>
      <c r="E7579" s="26" t="str">
        <f ca="1">IFERROR(__xludf.DUMMYFUNCTION("""COMPUTED_VALUE"""),"")</f>
        <v/>
      </c>
      <c r="F7579" s="72"/>
      <c r="G7579" s="72"/>
    </row>
    <row r="7580" spans="1:7" ht="14.5" hidden="1">
      <c r="A7580" s="5"/>
      <c r="B7580" s="18"/>
      <c r="C7580" s="85"/>
      <c r="D7580" s="41"/>
      <c r="E7580" s="26" t="str">
        <f ca="1">IFERROR(__xludf.DUMMYFUNCTION("""COMPUTED_VALUE"""),"")</f>
        <v/>
      </c>
      <c r="F7580" s="72"/>
      <c r="G7580" s="72"/>
    </row>
    <row r="7581" spans="1:7" ht="14.5" hidden="1">
      <c r="A7581" s="5"/>
      <c r="B7581" s="18"/>
      <c r="C7581" s="85"/>
      <c r="D7581" s="41"/>
      <c r="E7581" s="26" t="str">
        <f ca="1">IFERROR(__xludf.DUMMYFUNCTION("""COMPUTED_VALUE"""),"")</f>
        <v/>
      </c>
      <c r="F7581" s="72"/>
      <c r="G7581" s="72"/>
    </row>
    <row r="7582" spans="1:7" ht="14.5" hidden="1">
      <c r="A7582" s="5"/>
      <c r="B7582" s="18"/>
      <c r="C7582" s="85"/>
      <c r="D7582" s="41"/>
      <c r="E7582" s="26" t="str">
        <f ca="1">IFERROR(__xludf.DUMMYFUNCTION("""COMPUTED_VALUE"""),"")</f>
        <v/>
      </c>
      <c r="F7582" s="72"/>
      <c r="G7582" s="72"/>
    </row>
    <row r="7583" spans="1:7" ht="14.5" hidden="1">
      <c r="A7583" s="5"/>
      <c r="B7583" s="18"/>
      <c r="C7583" s="85"/>
      <c r="D7583" s="41"/>
      <c r="E7583" s="26" t="str">
        <f ca="1">IFERROR(__xludf.DUMMYFUNCTION("""COMPUTED_VALUE"""),"")</f>
        <v/>
      </c>
      <c r="F7583" s="72"/>
      <c r="G7583" s="72"/>
    </row>
    <row r="7584" spans="1:7" ht="14.5" hidden="1">
      <c r="A7584" s="5"/>
      <c r="B7584" s="18"/>
      <c r="C7584" s="85"/>
      <c r="D7584" s="41"/>
      <c r="E7584" s="26" t="str">
        <f ca="1">IFERROR(__xludf.DUMMYFUNCTION("""COMPUTED_VALUE"""),"")</f>
        <v/>
      </c>
      <c r="F7584" s="72"/>
      <c r="G7584" s="72"/>
    </row>
    <row r="7585" spans="1:7" ht="14.5" hidden="1">
      <c r="A7585" s="5"/>
      <c r="B7585" s="18"/>
      <c r="C7585" s="85"/>
      <c r="D7585" s="41"/>
      <c r="E7585" s="26" t="str">
        <f ca="1">IFERROR(__xludf.DUMMYFUNCTION("""COMPUTED_VALUE"""),"")</f>
        <v/>
      </c>
      <c r="F7585" s="72"/>
      <c r="G7585" s="72"/>
    </row>
    <row r="7586" spans="1:7" ht="14.5" hidden="1">
      <c r="A7586" s="5"/>
      <c r="B7586" s="18"/>
      <c r="C7586" s="85"/>
      <c r="D7586" s="41"/>
      <c r="E7586" s="26" t="str">
        <f ca="1">IFERROR(__xludf.DUMMYFUNCTION("""COMPUTED_VALUE"""),"")</f>
        <v/>
      </c>
      <c r="F7586" s="72"/>
      <c r="G7586" s="72"/>
    </row>
    <row r="7587" spans="1:7" ht="14.5" hidden="1">
      <c r="A7587" s="5"/>
      <c r="B7587" s="18"/>
      <c r="C7587" s="85"/>
      <c r="D7587" s="41"/>
      <c r="E7587" s="26" t="str">
        <f ca="1">IFERROR(__xludf.DUMMYFUNCTION("""COMPUTED_VALUE"""),"")</f>
        <v/>
      </c>
      <c r="F7587" s="72"/>
      <c r="G7587" s="72"/>
    </row>
    <row r="7588" spans="1:7" ht="14.5" hidden="1">
      <c r="A7588" s="5"/>
      <c r="B7588" s="18"/>
      <c r="C7588" s="85"/>
      <c r="D7588" s="41"/>
      <c r="E7588" s="26" t="str">
        <f ca="1">IFERROR(__xludf.DUMMYFUNCTION("""COMPUTED_VALUE"""),"")</f>
        <v/>
      </c>
      <c r="F7588" s="72"/>
      <c r="G7588" s="72"/>
    </row>
    <row r="7589" spans="1:7" ht="14.5" hidden="1">
      <c r="A7589" s="5"/>
      <c r="B7589" s="18"/>
      <c r="C7589" s="85"/>
      <c r="D7589" s="41"/>
      <c r="E7589" s="26" t="str">
        <f ca="1">IFERROR(__xludf.DUMMYFUNCTION("""COMPUTED_VALUE"""),"")</f>
        <v/>
      </c>
      <c r="F7589" s="72"/>
      <c r="G7589" s="72"/>
    </row>
    <row r="7590" spans="1:7" ht="14.5" hidden="1">
      <c r="A7590" s="5"/>
      <c r="B7590" s="18"/>
      <c r="C7590" s="85"/>
      <c r="D7590" s="41"/>
      <c r="E7590" s="26" t="str">
        <f ca="1">IFERROR(__xludf.DUMMYFUNCTION("""COMPUTED_VALUE"""),"")</f>
        <v/>
      </c>
      <c r="F7590" s="72"/>
      <c r="G7590" s="72"/>
    </row>
    <row r="7591" spans="1:7" ht="14.5" hidden="1">
      <c r="A7591" s="5"/>
      <c r="B7591" s="18"/>
      <c r="C7591" s="85"/>
      <c r="D7591" s="41"/>
      <c r="E7591" s="26" t="str">
        <f ca="1">IFERROR(__xludf.DUMMYFUNCTION("""COMPUTED_VALUE"""),"")</f>
        <v/>
      </c>
      <c r="F7591" s="72"/>
      <c r="G7591" s="72"/>
    </row>
    <row r="7592" spans="1:7" ht="14.5" hidden="1">
      <c r="A7592" s="5"/>
      <c r="B7592" s="18"/>
      <c r="C7592" s="85"/>
      <c r="D7592" s="41"/>
      <c r="E7592" s="26" t="str">
        <f ca="1">IFERROR(__xludf.DUMMYFUNCTION("""COMPUTED_VALUE"""),"")</f>
        <v/>
      </c>
      <c r="F7592" s="72"/>
      <c r="G7592" s="72"/>
    </row>
    <row r="7593" spans="1:7" ht="14.5" hidden="1">
      <c r="A7593" s="5"/>
      <c r="B7593" s="18"/>
      <c r="C7593" s="85"/>
      <c r="D7593" s="41"/>
      <c r="E7593" s="26" t="str">
        <f ca="1">IFERROR(__xludf.DUMMYFUNCTION("""COMPUTED_VALUE"""),"")</f>
        <v/>
      </c>
      <c r="F7593" s="72"/>
      <c r="G7593" s="72"/>
    </row>
    <row r="7594" spans="1:7" ht="14.5" hidden="1">
      <c r="A7594" s="5"/>
      <c r="B7594" s="18"/>
      <c r="C7594" s="85"/>
      <c r="D7594" s="41"/>
      <c r="E7594" s="26" t="str">
        <f ca="1">IFERROR(__xludf.DUMMYFUNCTION("""COMPUTED_VALUE"""),"")</f>
        <v/>
      </c>
      <c r="F7594" s="72"/>
      <c r="G7594" s="72"/>
    </row>
    <row r="7595" spans="1:7" ht="14.5" hidden="1">
      <c r="A7595" s="5"/>
      <c r="B7595" s="18"/>
      <c r="C7595" s="85"/>
      <c r="D7595" s="41"/>
      <c r="E7595" s="26" t="str">
        <f ca="1">IFERROR(__xludf.DUMMYFUNCTION("""COMPUTED_VALUE"""),"")</f>
        <v/>
      </c>
      <c r="F7595" s="72"/>
      <c r="G7595" s="72"/>
    </row>
    <row r="7596" spans="1:7" ht="14.5" hidden="1">
      <c r="A7596" s="5"/>
      <c r="B7596" s="18"/>
      <c r="C7596" s="85"/>
      <c r="D7596" s="41"/>
      <c r="E7596" s="26" t="str">
        <f ca="1">IFERROR(__xludf.DUMMYFUNCTION("""COMPUTED_VALUE"""),"")</f>
        <v/>
      </c>
      <c r="F7596" s="72"/>
      <c r="G7596" s="72"/>
    </row>
    <row r="7597" spans="1:7" ht="14.5" hidden="1">
      <c r="A7597" s="5"/>
      <c r="B7597" s="18"/>
      <c r="C7597" s="85"/>
      <c r="D7597" s="41"/>
      <c r="E7597" s="26" t="str">
        <f ca="1">IFERROR(__xludf.DUMMYFUNCTION("""COMPUTED_VALUE"""),"")</f>
        <v/>
      </c>
      <c r="F7597" s="72"/>
      <c r="G7597" s="72"/>
    </row>
    <row r="7598" spans="1:7" ht="14.5" hidden="1">
      <c r="A7598" s="5"/>
      <c r="B7598" s="18"/>
      <c r="C7598" s="85"/>
      <c r="D7598" s="41"/>
      <c r="E7598" s="26" t="str">
        <f ca="1">IFERROR(__xludf.DUMMYFUNCTION("""COMPUTED_VALUE"""),"")</f>
        <v/>
      </c>
      <c r="F7598" s="72"/>
      <c r="G7598" s="72"/>
    </row>
    <row r="7599" spans="1:7" ht="14.5" hidden="1">
      <c r="A7599" s="5"/>
      <c r="B7599" s="18"/>
      <c r="C7599" s="85"/>
      <c r="D7599" s="41"/>
      <c r="E7599" s="26" t="str">
        <f ca="1">IFERROR(__xludf.DUMMYFUNCTION("""COMPUTED_VALUE"""),"")</f>
        <v/>
      </c>
      <c r="F7599" s="72"/>
      <c r="G7599" s="72"/>
    </row>
    <row r="7600" spans="1:7" ht="14.5" hidden="1">
      <c r="A7600" s="5"/>
      <c r="B7600" s="18"/>
      <c r="C7600" s="85"/>
      <c r="D7600" s="41"/>
      <c r="E7600" s="26" t="str">
        <f ca="1">IFERROR(__xludf.DUMMYFUNCTION("""COMPUTED_VALUE"""),"")</f>
        <v/>
      </c>
      <c r="F7600" s="72"/>
      <c r="G7600" s="72"/>
    </row>
    <row r="7601" spans="1:7" ht="14.5" hidden="1">
      <c r="A7601" s="5"/>
      <c r="B7601" s="18"/>
      <c r="C7601" s="85"/>
      <c r="D7601" s="41"/>
      <c r="E7601" s="26" t="str">
        <f ca="1">IFERROR(__xludf.DUMMYFUNCTION("""COMPUTED_VALUE"""),"")</f>
        <v/>
      </c>
      <c r="F7601" s="72"/>
      <c r="G7601" s="72"/>
    </row>
    <row r="7602" spans="1:7" ht="14.5" hidden="1">
      <c r="A7602" s="5"/>
      <c r="B7602" s="18"/>
      <c r="C7602" s="85"/>
      <c r="D7602" s="41"/>
      <c r="E7602" s="26" t="str">
        <f ca="1">IFERROR(__xludf.DUMMYFUNCTION("""COMPUTED_VALUE"""),"")</f>
        <v/>
      </c>
      <c r="F7602" s="72"/>
      <c r="G7602" s="72"/>
    </row>
    <row r="7603" spans="1:7" ht="14.5" hidden="1">
      <c r="A7603" s="5"/>
      <c r="B7603" s="18"/>
      <c r="C7603" s="85"/>
      <c r="D7603" s="41"/>
      <c r="E7603" s="26" t="str">
        <f ca="1">IFERROR(__xludf.DUMMYFUNCTION("""COMPUTED_VALUE"""),"")</f>
        <v/>
      </c>
      <c r="F7603" s="72"/>
      <c r="G7603" s="72"/>
    </row>
    <row r="7604" spans="1:7" ht="14.5" hidden="1">
      <c r="A7604" s="5"/>
      <c r="B7604" s="18"/>
      <c r="C7604" s="85"/>
      <c r="D7604" s="41"/>
      <c r="E7604" s="26" t="str">
        <f ca="1">IFERROR(__xludf.DUMMYFUNCTION("""COMPUTED_VALUE"""),"")</f>
        <v/>
      </c>
      <c r="F7604" s="72"/>
      <c r="G7604" s="72"/>
    </row>
    <row r="7605" spans="1:7" ht="14.5" hidden="1">
      <c r="A7605" s="5"/>
      <c r="B7605" s="18"/>
      <c r="C7605" s="85"/>
      <c r="D7605" s="41"/>
      <c r="E7605" s="26" t="str">
        <f ca="1">IFERROR(__xludf.DUMMYFUNCTION("""COMPUTED_VALUE"""),"")</f>
        <v/>
      </c>
      <c r="F7605" s="72"/>
      <c r="G7605" s="72"/>
    </row>
    <row r="7606" spans="1:7" ht="14.5" hidden="1">
      <c r="A7606" s="5"/>
      <c r="B7606" s="18"/>
      <c r="C7606" s="85"/>
      <c r="D7606" s="41"/>
      <c r="E7606" s="26" t="str">
        <f ca="1">IFERROR(__xludf.DUMMYFUNCTION("""COMPUTED_VALUE"""),"")</f>
        <v/>
      </c>
      <c r="F7606" s="72"/>
      <c r="G7606" s="72"/>
    </row>
    <row r="7607" spans="1:7" ht="14.5" hidden="1">
      <c r="A7607" s="5"/>
      <c r="B7607" s="18"/>
      <c r="C7607" s="85"/>
      <c r="D7607" s="41"/>
      <c r="E7607" s="26" t="str">
        <f ca="1">IFERROR(__xludf.DUMMYFUNCTION("""COMPUTED_VALUE"""),"")</f>
        <v/>
      </c>
      <c r="F7607" s="72"/>
      <c r="G7607" s="72"/>
    </row>
    <row r="7608" spans="1:7" ht="14.5" hidden="1">
      <c r="A7608" s="5"/>
      <c r="B7608" s="18"/>
      <c r="C7608" s="85"/>
      <c r="D7608" s="41"/>
      <c r="E7608" s="26" t="str">
        <f ca="1">IFERROR(__xludf.DUMMYFUNCTION("""COMPUTED_VALUE"""),"")</f>
        <v/>
      </c>
      <c r="F7608" s="72"/>
      <c r="G7608" s="72"/>
    </row>
    <row r="7609" spans="1:7" ht="14.5" hidden="1">
      <c r="A7609" s="5"/>
      <c r="B7609" s="18"/>
      <c r="C7609" s="85"/>
      <c r="D7609" s="41"/>
      <c r="E7609" s="26" t="str">
        <f ca="1">IFERROR(__xludf.DUMMYFUNCTION("""COMPUTED_VALUE"""),"")</f>
        <v/>
      </c>
      <c r="F7609" s="72"/>
      <c r="G7609" s="72"/>
    </row>
    <row r="7610" spans="1:7" ht="14.5" hidden="1">
      <c r="A7610" s="5"/>
      <c r="B7610" s="18"/>
      <c r="C7610" s="85"/>
      <c r="D7610" s="41"/>
      <c r="E7610" s="26" t="str">
        <f ca="1">IFERROR(__xludf.DUMMYFUNCTION("""COMPUTED_VALUE"""),"")</f>
        <v/>
      </c>
      <c r="F7610" s="72"/>
      <c r="G7610" s="72"/>
    </row>
    <row r="7611" spans="1:7" ht="14.5" hidden="1">
      <c r="A7611" s="5"/>
      <c r="B7611" s="18"/>
      <c r="C7611" s="85"/>
      <c r="D7611" s="41"/>
      <c r="E7611" s="26" t="str">
        <f ca="1">IFERROR(__xludf.DUMMYFUNCTION("""COMPUTED_VALUE"""),"")</f>
        <v/>
      </c>
      <c r="F7611" s="72"/>
      <c r="G7611" s="72"/>
    </row>
    <row r="7612" spans="1:7" ht="14.5" hidden="1">
      <c r="A7612" s="5"/>
      <c r="B7612" s="18"/>
      <c r="C7612" s="85"/>
      <c r="D7612" s="41"/>
      <c r="E7612" s="26" t="str">
        <f ca="1">IFERROR(__xludf.DUMMYFUNCTION("""COMPUTED_VALUE"""),"")</f>
        <v/>
      </c>
      <c r="F7612" s="72"/>
      <c r="G7612" s="72"/>
    </row>
    <row r="7613" spans="1:7" ht="14.5" hidden="1">
      <c r="A7613" s="5"/>
      <c r="B7613" s="18"/>
      <c r="C7613" s="85"/>
      <c r="D7613" s="41"/>
      <c r="E7613" s="26" t="str">
        <f ca="1">IFERROR(__xludf.DUMMYFUNCTION("""COMPUTED_VALUE"""),"")</f>
        <v/>
      </c>
      <c r="F7613" s="72"/>
      <c r="G7613" s="72"/>
    </row>
    <row r="7614" spans="1:7" ht="14.5" hidden="1">
      <c r="A7614" s="5"/>
      <c r="B7614" s="18"/>
      <c r="C7614" s="85"/>
      <c r="D7614" s="41"/>
      <c r="E7614" s="26" t="str">
        <f ca="1">IFERROR(__xludf.DUMMYFUNCTION("""COMPUTED_VALUE"""),"")</f>
        <v/>
      </c>
      <c r="F7614" s="72"/>
      <c r="G7614" s="72"/>
    </row>
    <row r="7615" spans="1:7" ht="14.5" hidden="1">
      <c r="A7615" s="5"/>
      <c r="B7615" s="18"/>
      <c r="C7615" s="85"/>
      <c r="D7615" s="41"/>
      <c r="E7615" s="26" t="str">
        <f ca="1">IFERROR(__xludf.DUMMYFUNCTION("""COMPUTED_VALUE"""),"")</f>
        <v/>
      </c>
      <c r="F7615" s="72"/>
      <c r="G7615" s="72"/>
    </row>
    <row r="7616" spans="1:7" ht="14.5" hidden="1">
      <c r="A7616" s="5"/>
      <c r="B7616" s="18"/>
      <c r="C7616" s="85"/>
      <c r="D7616" s="41"/>
      <c r="E7616" s="26" t="str">
        <f ca="1">IFERROR(__xludf.DUMMYFUNCTION("""COMPUTED_VALUE"""),"")</f>
        <v/>
      </c>
      <c r="F7616" s="72"/>
      <c r="G7616" s="72"/>
    </row>
    <row r="7617" spans="1:7" ht="14.5" hidden="1">
      <c r="A7617" s="5"/>
      <c r="B7617" s="18"/>
      <c r="C7617" s="85"/>
      <c r="D7617" s="41"/>
      <c r="E7617" s="26" t="str">
        <f ca="1">IFERROR(__xludf.DUMMYFUNCTION("""COMPUTED_VALUE"""),"")</f>
        <v/>
      </c>
      <c r="F7617" s="72"/>
      <c r="G7617" s="72"/>
    </row>
    <row r="7618" spans="1:7" ht="14.5" hidden="1">
      <c r="A7618" s="5"/>
      <c r="B7618" s="18"/>
      <c r="C7618" s="85"/>
      <c r="D7618" s="41"/>
      <c r="E7618" s="26" t="str">
        <f ca="1">IFERROR(__xludf.DUMMYFUNCTION("""COMPUTED_VALUE"""),"")</f>
        <v/>
      </c>
      <c r="F7618" s="72"/>
      <c r="G7618" s="72"/>
    </row>
    <row r="7619" spans="1:7" ht="14.5" hidden="1">
      <c r="A7619" s="5"/>
      <c r="B7619" s="18"/>
      <c r="C7619" s="85"/>
      <c r="D7619" s="41"/>
      <c r="E7619" s="26" t="str">
        <f ca="1">IFERROR(__xludf.DUMMYFUNCTION("""COMPUTED_VALUE"""),"")</f>
        <v/>
      </c>
      <c r="F7619" s="72"/>
      <c r="G7619" s="72"/>
    </row>
    <row r="7620" spans="1:7" ht="14.5" hidden="1">
      <c r="A7620" s="5"/>
      <c r="B7620" s="18"/>
      <c r="C7620" s="85"/>
      <c r="D7620" s="41"/>
      <c r="E7620" s="26" t="str">
        <f ca="1">IFERROR(__xludf.DUMMYFUNCTION("""COMPUTED_VALUE"""),"")</f>
        <v/>
      </c>
      <c r="F7620" s="72"/>
      <c r="G7620" s="72"/>
    </row>
    <row r="7621" spans="1:7" ht="14.5" hidden="1">
      <c r="A7621" s="5"/>
      <c r="B7621" s="18"/>
      <c r="C7621" s="85"/>
      <c r="D7621" s="41"/>
      <c r="E7621" s="26" t="str">
        <f ca="1">IFERROR(__xludf.DUMMYFUNCTION("""COMPUTED_VALUE"""),"")</f>
        <v/>
      </c>
      <c r="F7621" s="72"/>
      <c r="G7621" s="72"/>
    </row>
    <row r="7622" spans="1:7" ht="14.5" hidden="1">
      <c r="A7622" s="5"/>
      <c r="B7622" s="18"/>
      <c r="C7622" s="85"/>
      <c r="D7622" s="41"/>
      <c r="E7622" s="26" t="str">
        <f ca="1">IFERROR(__xludf.DUMMYFUNCTION("""COMPUTED_VALUE"""),"")</f>
        <v/>
      </c>
      <c r="F7622" s="72"/>
      <c r="G7622" s="72"/>
    </row>
    <row r="7623" spans="1:7" ht="14.5" hidden="1">
      <c r="A7623" s="5"/>
      <c r="B7623" s="18"/>
      <c r="C7623" s="85"/>
      <c r="D7623" s="41"/>
      <c r="E7623" s="26" t="str">
        <f ca="1">IFERROR(__xludf.DUMMYFUNCTION("""COMPUTED_VALUE"""),"")</f>
        <v/>
      </c>
      <c r="F7623" s="72"/>
      <c r="G7623" s="72"/>
    </row>
    <row r="7624" spans="1:7" ht="14.5" hidden="1">
      <c r="A7624" s="5"/>
      <c r="B7624" s="18"/>
      <c r="C7624" s="85"/>
      <c r="D7624" s="41"/>
      <c r="E7624" s="26" t="str">
        <f ca="1">IFERROR(__xludf.DUMMYFUNCTION("""COMPUTED_VALUE"""),"")</f>
        <v/>
      </c>
      <c r="F7624" s="72"/>
      <c r="G7624" s="72"/>
    </row>
    <row r="7625" spans="1:7" ht="14.5" hidden="1">
      <c r="A7625" s="5"/>
      <c r="B7625" s="18"/>
      <c r="C7625" s="85"/>
      <c r="D7625" s="41"/>
      <c r="E7625" s="26" t="str">
        <f ca="1">IFERROR(__xludf.DUMMYFUNCTION("""COMPUTED_VALUE"""),"")</f>
        <v/>
      </c>
      <c r="F7625" s="72"/>
      <c r="G7625" s="72"/>
    </row>
    <row r="7626" spans="1:7" ht="14.5" hidden="1">
      <c r="A7626" s="5"/>
      <c r="B7626" s="18"/>
      <c r="C7626" s="85"/>
      <c r="D7626" s="41"/>
      <c r="E7626" s="26" t="str">
        <f ca="1">IFERROR(__xludf.DUMMYFUNCTION("""COMPUTED_VALUE"""),"")</f>
        <v/>
      </c>
      <c r="F7626" s="72"/>
      <c r="G7626" s="72"/>
    </row>
    <row r="7627" spans="1:7" ht="14.5" hidden="1">
      <c r="A7627" s="5"/>
      <c r="B7627" s="18"/>
      <c r="C7627" s="85"/>
      <c r="D7627" s="41"/>
      <c r="E7627" s="26" t="str">
        <f ca="1">IFERROR(__xludf.DUMMYFUNCTION("""COMPUTED_VALUE"""),"")</f>
        <v/>
      </c>
      <c r="F7627" s="72"/>
      <c r="G7627" s="72"/>
    </row>
    <row r="7628" spans="1:7" ht="14.5" hidden="1">
      <c r="A7628" s="5"/>
      <c r="B7628" s="18"/>
      <c r="C7628" s="85"/>
      <c r="D7628" s="41"/>
      <c r="E7628" s="26" t="str">
        <f ca="1">IFERROR(__xludf.DUMMYFUNCTION("""COMPUTED_VALUE"""),"")</f>
        <v/>
      </c>
      <c r="F7628" s="72"/>
      <c r="G7628" s="72"/>
    </row>
    <row r="7629" spans="1:7" ht="14.5" hidden="1">
      <c r="A7629" s="5"/>
      <c r="B7629" s="18"/>
      <c r="C7629" s="85"/>
      <c r="D7629" s="41"/>
      <c r="E7629" s="26" t="str">
        <f ca="1">IFERROR(__xludf.DUMMYFUNCTION("""COMPUTED_VALUE"""),"")</f>
        <v/>
      </c>
      <c r="F7629" s="72"/>
      <c r="G7629" s="72"/>
    </row>
    <row r="7630" spans="1:7" ht="14.5" hidden="1">
      <c r="A7630" s="5"/>
      <c r="B7630" s="18"/>
      <c r="C7630" s="85"/>
      <c r="D7630" s="41"/>
      <c r="E7630" s="26" t="str">
        <f ca="1">IFERROR(__xludf.DUMMYFUNCTION("""COMPUTED_VALUE"""),"")</f>
        <v/>
      </c>
      <c r="F7630" s="72"/>
      <c r="G7630" s="72"/>
    </row>
    <row r="7631" spans="1:7" ht="14.5" hidden="1">
      <c r="A7631" s="5"/>
      <c r="B7631" s="18"/>
      <c r="C7631" s="85"/>
      <c r="D7631" s="41"/>
      <c r="E7631" s="26" t="str">
        <f ca="1">IFERROR(__xludf.DUMMYFUNCTION("""COMPUTED_VALUE"""),"")</f>
        <v/>
      </c>
      <c r="F7631" s="72"/>
      <c r="G7631" s="72"/>
    </row>
    <row r="7632" spans="1:7" ht="14.5" hidden="1">
      <c r="A7632" s="5"/>
      <c r="B7632" s="18"/>
      <c r="C7632" s="85"/>
      <c r="D7632" s="41"/>
      <c r="E7632" s="26" t="str">
        <f ca="1">IFERROR(__xludf.DUMMYFUNCTION("""COMPUTED_VALUE"""),"")</f>
        <v/>
      </c>
      <c r="F7632" s="72"/>
      <c r="G7632" s="72"/>
    </row>
    <row r="7633" spans="1:7" ht="14.5" hidden="1">
      <c r="A7633" s="5"/>
      <c r="B7633" s="18"/>
      <c r="C7633" s="85"/>
      <c r="D7633" s="41"/>
      <c r="E7633" s="26" t="str">
        <f ca="1">IFERROR(__xludf.DUMMYFUNCTION("""COMPUTED_VALUE"""),"")</f>
        <v/>
      </c>
      <c r="F7633" s="72"/>
      <c r="G7633" s="72"/>
    </row>
    <row r="7634" spans="1:7" ht="14.5" hidden="1">
      <c r="A7634" s="5"/>
      <c r="B7634" s="18"/>
      <c r="C7634" s="85"/>
      <c r="D7634" s="41"/>
      <c r="E7634" s="26" t="str">
        <f ca="1">IFERROR(__xludf.DUMMYFUNCTION("""COMPUTED_VALUE"""),"")</f>
        <v/>
      </c>
      <c r="F7634" s="72"/>
      <c r="G7634" s="72"/>
    </row>
    <row r="7635" spans="1:7" ht="14.5" hidden="1">
      <c r="A7635" s="5"/>
      <c r="B7635" s="18"/>
      <c r="C7635" s="85"/>
      <c r="D7635" s="41"/>
      <c r="E7635" s="26" t="str">
        <f ca="1">IFERROR(__xludf.DUMMYFUNCTION("""COMPUTED_VALUE"""),"")</f>
        <v/>
      </c>
      <c r="F7635" s="72"/>
      <c r="G7635" s="72"/>
    </row>
    <row r="7636" spans="1:7" ht="14.5" hidden="1">
      <c r="A7636" s="5"/>
      <c r="B7636" s="18"/>
      <c r="C7636" s="85"/>
      <c r="D7636" s="41"/>
      <c r="E7636" s="26" t="str">
        <f ca="1">IFERROR(__xludf.DUMMYFUNCTION("""COMPUTED_VALUE"""),"")</f>
        <v/>
      </c>
      <c r="F7636" s="72"/>
      <c r="G7636" s="72"/>
    </row>
    <row r="7637" spans="1:7" ht="14.5" hidden="1">
      <c r="A7637" s="5"/>
      <c r="B7637" s="18"/>
      <c r="C7637" s="85"/>
      <c r="D7637" s="41"/>
      <c r="E7637" s="26" t="str">
        <f ca="1">IFERROR(__xludf.DUMMYFUNCTION("""COMPUTED_VALUE"""),"")</f>
        <v/>
      </c>
      <c r="F7637" s="72"/>
      <c r="G7637" s="72"/>
    </row>
    <row r="7638" spans="1:7" ht="14.5" hidden="1">
      <c r="A7638" s="5"/>
      <c r="B7638" s="18"/>
      <c r="C7638" s="85"/>
      <c r="D7638" s="41"/>
      <c r="E7638" s="26" t="str">
        <f ca="1">IFERROR(__xludf.DUMMYFUNCTION("""COMPUTED_VALUE"""),"")</f>
        <v/>
      </c>
      <c r="F7638" s="72"/>
      <c r="G7638" s="72"/>
    </row>
    <row r="7639" spans="1:7" ht="14.5" hidden="1">
      <c r="A7639" s="5"/>
      <c r="B7639" s="18"/>
      <c r="C7639" s="85"/>
      <c r="D7639" s="41"/>
      <c r="E7639" s="26" t="str">
        <f ca="1">IFERROR(__xludf.DUMMYFUNCTION("""COMPUTED_VALUE"""),"")</f>
        <v/>
      </c>
      <c r="F7639" s="72"/>
      <c r="G7639" s="72"/>
    </row>
    <row r="7640" spans="1:7" ht="14.5" hidden="1">
      <c r="A7640" s="5"/>
      <c r="B7640" s="18"/>
      <c r="C7640" s="85"/>
      <c r="D7640" s="41"/>
      <c r="E7640" s="26" t="str">
        <f ca="1">IFERROR(__xludf.DUMMYFUNCTION("""COMPUTED_VALUE"""),"")</f>
        <v/>
      </c>
      <c r="F7640" s="72"/>
      <c r="G7640" s="72"/>
    </row>
    <row r="7641" spans="1:7" ht="14.5" hidden="1">
      <c r="A7641" s="5"/>
      <c r="B7641" s="18"/>
      <c r="C7641" s="85"/>
      <c r="D7641" s="41"/>
      <c r="E7641" s="26" t="str">
        <f ca="1">IFERROR(__xludf.DUMMYFUNCTION("""COMPUTED_VALUE"""),"")</f>
        <v/>
      </c>
      <c r="F7641" s="72"/>
      <c r="G7641" s="72"/>
    </row>
    <row r="7642" spans="1:7" ht="14.5" hidden="1">
      <c r="A7642" s="5"/>
      <c r="B7642" s="18"/>
      <c r="C7642" s="85"/>
      <c r="D7642" s="41"/>
      <c r="E7642" s="26" t="str">
        <f ca="1">IFERROR(__xludf.DUMMYFUNCTION("""COMPUTED_VALUE"""),"")</f>
        <v/>
      </c>
      <c r="F7642" s="72"/>
      <c r="G7642" s="72"/>
    </row>
    <row r="7643" spans="1:7" ht="14.5" hidden="1">
      <c r="A7643" s="5"/>
      <c r="B7643" s="18"/>
      <c r="C7643" s="85"/>
      <c r="D7643" s="41"/>
      <c r="E7643" s="26" t="str">
        <f ca="1">IFERROR(__xludf.DUMMYFUNCTION("""COMPUTED_VALUE"""),"")</f>
        <v/>
      </c>
      <c r="F7643" s="72"/>
      <c r="G7643" s="72"/>
    </row>
    <row r="7644" spans="1:7" ht="14.5" hidden="1">
      <c r="A7644" s="5"/>
      <c r="B7644" s="18"/>
      <c r="C7644" s="85"/>
      <c r="D7644" s="41"/>
      <c r="E7644" s="26" t="str">
        <f ca="1">IFERROR(__xludf.DUMMYFUNCTION("""COMPUTED_VALUE"""),"")</f>
        <v/>
      </c>
      <c r="F7644" s="72"/>
      <c r="G7644" s="72"/>
    </row>
    <row r="7645" spans="1:7" ht="14.5" hidden="1">
      <c r="A7645" s="5"/>
      <c r="B7645" s="18"/>
      <c r="C7645" s="85"/>
      <c r="D7645" s="41"/>
      <c r="E7645" s="26" t="str">
        <f ca="1">IFERROR(__xludf.DUMMYFUNCTION("""COMPUTED_VALUE"""),"")</f>
        <v/>
      </c>
      <c r="F7645" s="72"/>
      <c r="G7645" s="72"/>
    </row>
    <row r="7646" spans="1:7" ht="14.5" hidden="1">
      <c r="A7646" s="5"/>
      <c r="B7646" s="18"/>
      <c r="C7646" s="85"/>
      <c r="D7646" s="41"/>
      <c r="E7646" s="26" t="str">
        <f ca="1">IFERROR(__xludf.DUMMYFUNCTION("""COMPUTED_VALUE"""),"")</f>
        <v/>
      </c>
      <c r="F7646" s="72"/>
      <c r="G7646" s="72"/>
    </row>
    <row r="7647" spans="1:7" ht="14.5" hidden="1">
      <c r="A7647" s="5"/>
      <c r="B7647" s="18"/>
      <c r="C7647" s="85"/>
      <c r="D7647" s="41"/>
      <c r="E7647" s="26" t="str">
        <f ca="1">IFERROR(__xludf.DUMMYFUNCTION("""COMPUTED_VALUE"""),"")</f>
        <v/>
      </c>
      <c r="F7647" s="72"/>
      <c r="G7647" s="72"/>
    </row>
    <row r="7648" spans="1:7" ht="14.5" hidden="1">
      <c r="A7648" s="5"/>
      <c r="B7648" s="18"/>
      <c r="C7648" s="85"/>
      <c r="D7648" s="41"/>
      <c r="E7648" s="26" t="str">
        <f ca="1">IFERROR(__xludf.DUMMYFUNCTION("""COMPUTED_VALUE"""),"")</f>
        <v/>
      </c>
      <c r="F7648" s="72"/>
      <c r="G7648" s="72"/>
    </row>
    <row r="7649" spans="1:7" ht="14.5" hidden="1">
      <c r="A7649" s="5"/>
      <c r="B7649" s="18"/>
      <c r="C7649" s="85"/>
      <c r="D7649" s="41"/>
      <c r="E7649" s="26" t="str">
        <f ca="1">IFERROR(__xludf.DUMMYFUNCTION("""COMPUTED_VALUE"""),"")</f>
        <v/>
      </c>
      <c r="F7649" s="72"/>
      <c r="G7649" s="72"/>
    </row>
    <row r="7650" spans="1:7" ht="14.5" hidden="1">
      <c r="A7650" s="5"/>
      <c r="B7650" s="18"/>
      <c r="C7650" s="85"/>
      <c r="D7650" s="41"/>
      <c r="E7650" s="26" t="str">
        <f ca="1">IFERROR(__xludf.DUMMYFUNCTION("""COMPUTED_VALUE"""),"")</f>
        <v/>
      </c>
      <c r="F7650" s="72"/>
      <c r="G7650" s="72"/>
    </row>
    <row r="7651" spans="1:7" ht="14.5" hidden="1">
      <c r="A7651" s="5"/>
      <c r="B7651" s="18"/>
      <c r="C7651" s="85"/>
      <c r="D7651" s="41"/>
      <c r="E7651" s="26" t="str">
        <f ca="1">IFERROR(__xludf.DUMMYFUNCTION("""COMPUTED_VALUE"""),"")</f>
        <v/>
      </c>
      <c r="F7651" s="72"/>
      <c r="G7651" s="72"/>
    </row>
    <row r="7652" spans="1:7" ht="14.5" hidden="1">
      <c r="A7652" s="5"/>
      <c r="B7652" s="18"/>
      <c r="C7652" s="85"/>
      <c r="D7652" s="41"/>
      <c r="E7652" s="26" t="str">
        <f ca="1">IFERROR(__xludf.DUMMYFUNCTION("""COMPUTED_VALUE"""),"")</f>
        <v/>
      </c>
      <c r="F7652" s="72"/>
      <c r="G7652" s="72"/>
    </row>
    <row r="7653" spans="1:7" ht="14.5" hidden="1">
      <c r="A7653" s="5"/>
      <c r="B7653" s="18"/>
      <c r="C7653" s="85"/>
      <c r="D7653" s="41"/>
      <c r="E7653" s="26" t="str">
        <f ca="1">IFERROR(__xludf.DUMMYFUNCTION("""COMPUTED_VALUE"""),"")</f>
        <v/>
      </c>
      <c r="F7653" s="72"/>
      <c r="G7653" s="72"/>
    </row>
    <row r="7654" spans="1:7" ht="14.5" hidden="1">
      <c r="A7654" s="5"/>
      <c r="B7654" s="18"/>
      <c r="C7654" s="85"/>
      <c r="D7654" s="41"/>
      <c r="E7654" s="26" t="str">
        <f ca="1">IFERROR(__xludf.DUMMYFUNCTION("""COMPUTED_VALUE"""),"")</f>
        <v/>
      </c>
      <c r="F7654" s="72"/>
      <c r="G7654" s="72"/>
    </row>
    <row r="7655" spans="1:7" ht="14.5" hidden="1">
      <c r="A7655" s="5"/>
      <c r="B7655" s="18"/>
      <c r="C7655" s="85"/>
      <c r="D7655" s="41"/>
      <c r="E7655" s="26" t="str">
        <f ca="1">IFERROR(__xludf.DUMMYFUNCTION("""COMPUTED_VALUE"""),"")</f>
        <v/>
      </c>
      <c r="F7655" s="72"/>
      <c r="G7655" s="72"/>
    </row>
    <row r="7656" spans="1:7" ht="14.5" hidden="1">
      <c r="A7656" s="5"/>
      <c r="B7656" s="18"/>
      <c r="C7656" s="85"/>
      <c r="D7656" s="41"/>
      <c r="E7656" s="26" t="str">
        <f ca="1">IFERROR(__xludf.DUMMYFUNCTION("""COMPUTED_VALUE"""),"")</f>
        <v/>
      </c>
      <c r="F7656" s="72"/>
      <c r="G7656" s="72"/>
    </row>
    <row r="7657" spans="1:7" ht="14.5" hidden="1">
      <c r="A7657" s="5"/>
      <c r="B7657" s="18"/>
      <c r="C7657" s="85"/>
      <c r="D7657" s="41"/>
      <c r="E7657" s="26" t="str">
        <f ca="1">IFERROR(__xludf.DUMMYFUNCTION("""COMPUTED_VALUE"""),"")</f>
        <v/>
      </c>
      <c r="F7657" s="72"/>
      <c r="G7657" s="72"/>
    </row>
    <row r="7658" spans="1:7" ht="14.5" hidden="1">
      <c r="A7658" s="5"/>
      <c r="B7658" s="18"/>
      <c r="C7658" s="85"/>
      <c r="D7658" s="41"/>
      <c r="E7658" s="26" t="str">
        <f ca="1">IFERROR(__xludf.DUMMYFUNCTION("""COMPUTED_VALUE"""),"")</f>
        <v/>
      </c>
      <c r="F7658" s="72"/>
      <c r="G7658" s="72"/>
    </row>
    <row r="7659" spans="1:7" ht="14.5" hidden="1">
      <c r="A7659" s="5"/>
      <c r="B7659" s="18"/>
      <c r="C7659" s="85"/>
      <c r="D7659" s="41"/>
      <c r="E7659" s="26" t="str">
        <f ca="1">IFERROR(__xludf.DUMMYFUNCTION("""COMPUTED_VALUE"""),"")</f>
        <v/>
      </c>
      <c r="F7659" s="72"/>
      <c r="G7659" s="72"/>
    </row>
    <row r="7660" spans="1:7" ht="14.5" hidden="1">
      <c r="A7660" s="5"/>
      <c r="B7660" s="18"/>
      <c r="C7660" s="85"/>
      <c r="D7660" s="41"/>
      <c r="E7660" s="26" t="str">
        <f ca="1">IFERROR(__xludf.DUMMYFUNCTION("""COMPUTED_VALUE"""),"")</f>
        <v/>
      </c>
      <c r="F7660" s="72"/>
      <c r="G7660" s="72"/>
    </row>
    <row r="7661" spans="1:7" ht="14.5" hidden="1">
      <c r="A7661" s="5"/>
      <c r="B7661" s="18"/>
      <c r="C7661" s="85"/>
      <c r="D7661" s="41"/>
      <c r="E7661" s="26" t="str">
        <f ca="1">IFERROR(__xludf.DUMMYFUNCTION("""COMPUTED_VALUE"""),"")</f>
        <v/>
      </c>
      <c r="F7661" s="72"/>
      <c r="G7661" s="72"/>
    </row>
    <row r="7662" spans="1:7" ht="14.5" hidden="1">
      <c r="A7662" s="5"/>
      <c r="B7662" s="18"/>
      <c r="C7662" s="85"/>
      <c r="D7662" s="41"/>
      <c r="E7662" s="26" t="str">
        <f ca="1">IFERROR(__xludf.DUMMYFUNCTION("""COMPUTED_VALUE"""),"")</f>
        <v/>
      </c>
      <c r="F7662" s="72"/>
      <c r="G7662" s="72"/>
    </row>
    <row r="7663" spans="1:7" ht="14.5" hidden="1">
      <c r="A7663" s="5"/>
      <c r="B7663" s="18"/>
      <c r="C7663" s="85"/>
      <c r="D7663" s="41"/>
      <c r="E7663" s="26" t="str">
        <f ca="1">IFERROR(__xludf.DUMMYFUNCTION("""COMPUTED_VALUE"""),"")</f>
        <v/>
      </c>
      <c r="F7663" s="72"/>
      <c r="G7663" s="72"/>
    </row>
    <row r="7664" spans="1:7" ht="14.5" hidden="1">
      <c r="A7664" s="5"/>
      <c r="B7664" s="18"/>
      <c r="C7664" s="85"/>
      <c r="D7664" s="41"/>
      <c r="E7664" s="26" t="str">
        <f ca="1">IFERROR(__xludf.DUMMYFUNCTION("""COMPUTED_VALUE"""),"")</f>
        <v/>
      </c>
      <c r="F7664" s="72"/>
      <c r="G7664" s="72"/>
    </row>
    <row r="7665" spans="1:7" ht="14.5" hidden="1">
      <c r="A7665" s="5"/>
      <c r="B7665" s="18"/>
      <c r="C7665" s="85"/>
      <c r="D7665" s="41"/>
      <c r="E7665" s="26" t="str">
        <f ca="1">IFERROR(__xludf.DUMMYFUNCTION("""COMPUTED_VALUE"""),"")</f>
        <v/>
      </c>
      <c r="F7665" s="72"/>
      <c r="G7665" s="72"/>
    </row>
    <row r="7666" spans="1:7" ht="14.5" hidden="1">
      <c r="A7666" s="5"/>
      <c r="B7666" s="18"/>
      <c r="C7666" s="85"/>
      <c r="D7666" s="41"/>
      <c r="E7666" s="26" t="str">
        <f ca="1">IFERROR(__xludf.DUMMYFUNCTION("""COMPUTED_VALUE"""),"")</f>
        <v/>
      </c>
      <c r="F7666" s="72"/>
      <c r="G7666" s="72"/>
    </row>
    <row r="7667" spans="1:7" ht="14.5" hidden="1">
      <c r="A7667" s="5"/>
      <c r="B7667" s="18"/>
      <c r="C7667" s="85"/>
      <c r="D7667" s="41"/>
      <c r="E7667" s="26" t="str">
        <f ca="1">IFERROR(__xludf.DUMMYFUNCTION("""COMPUTED_VALUE"""),"")</f>
        <v/>
      </c>
      <c r="F7667" s="72"/>
      <c r="G7667" s="72"/>
    </row>
    <row r="7668" spans="1:7" ht="14.5" hidden="1">
      <c r="A7668" s="5"/>
      <c r="B7668" s="18"/>
      <c r="C7668" s="85"/>
      <c r="D7668" s="41"/>
      <c r="E7668" s="26" t="str">
        <f ca="1">IFERROR(__xludf.DUMMYFUNCTION("""COMPUTED_VALUE"""),"")</f>
        <v/>
      </c>
      <c r="F7668" s="72"/>
      <c r="G7668" s="72"/>
    </row>
    <row r="7669" spans="1:7" ht="14.5" hidden="1">
      <c r="A7669" s="5"/>
      <c r="B7669" s="18"/>
      <c r="C7669" s="85"/>
      <c r="D7669" s="41"/>
      <c r="E7669" s="26" t="str">
        <f ca="1">IFERROR(__xludf.DUMMYFUNCTION("""COMPUTED_VALUE"""),"")</f>
        <v/>
      </c>
      <c r="F7669" s="72"/>
      <c r="G7669" s="72"/>
    </row>
    <row r="7670" spans="1:7" ht="14.5" hidden="1">
      <c r="A7670" s="5"/>
      <c r="B7670" s="18"/>
      <c r="C7670" s="85"/>
      <c r="D7670" s="41"/>
      <c r="E7670" s="26" t="str">
        <f ca="1">IFERROR(__xludf.DUMMYFUNCTION("""COMPUTED_VALUE"""),"")</f>
        <v/>
      </c>
      <c r="F7670" s="72"/>
      <c r="G7670" s="72"/>
    </row>
    <row r="7671" spans="1:7" ht="14.5" hidden="1">
      <c r="A7671" s="5"/>
      <c r="B7671" s="18"/>
      <c r="C7671" s="85"/>
      <c r="D7671" s="41"/>
      <c r="E7671" s="26" t="str">
        <f ca="1">IFERROR(__xludf.DUMMYFUNCTION("""COMPUTED_VALUE"""),"")</f>
        <v/>
      </c>
      <c r="F7671" s="72"/>
      <c r="G7671" s="72"/>
    </row>
    <row r="7672" spans="1:7" ht="14.5" hidden="1">
      <c r="A7672" s="5"/>
      <c r="B7672" s="18"/>
      <c r="C7672" s="85"/>
      <c r="D7672" s="41"/>
      <c r="E7672" s="26" t="str">
        <f ca="1">IFERROR(__xludf.DUMMYFUNCTION("""COMPUTED_VALUE"""),"")</f>
        <v/>
      </c>
      <c r="F7672" s="72"/>
      <c r="G7672" s="72"/>
    </row>
    <row r="7673" spans="1:7" ht="14.5" hidden="1">
      <c r="A7673" s="5"/>
      <c r="B7673" s="18"/>
      <c r="C7673" s="85"/>
      <c r="D7673" s="41"/>
      <c r="E7673" s="26" t="str">
        <f ca="1">IFERROR(__xludf.DUMMYFUNCTION("""COMPUTED_VALUE"""),"")</f>
        <v/>
      </c>
      <c r="F7673" s="72"/>
      <c r="G7673" s="72"/>
    </row>
    <row r="7674" spans="1:7" ht="14.5" hidden="1">
      <c r="A7674" s="5"/>
      <c r="B7674" s="18"/>
      <c r="C7674" s="85"/>
      <c r="D7674" s="41"/>
      <c r="E7674" s="26" t="str">
        <f ca="1">IFERROR(__xludf.DUMMYFUNCTION("""COMPUTED_VALUE"""),"")</f>
        <v/>
      </c>
      <c r="F7674" s="72"/>
      <c r="G7674" s="72"/>
    </row>
    <row r="7675" spans="1:7" ht="14.5" hidden="1">
      <c r="A7675" s="5"/>
      <c r="B7675" s="18"/>
      <c r="C7675" s="85"/>
      <c r="D7675" s="41"/>
      <c r="E7675" s="26" t="str">
        <f ca="1">IFERROR(__xludf.DUMMYFUNCTION("""COMPUTED_VALUE"""),"")</f>
        <v/>
      </c>
      <c r="F7675" s="72"/>
      <c r="G7675" s="72"/>
    </row>
    <row r="7676" spans="1:7" ht="14.5" hidden="1">
      <c r="A7676" s="5"/>
      <c r="B7676" s="18"/>
      <c r="C7676" s="85"/>
      <c r="D7676" s="41"/>
      <c r="E7676" s="26" t="str">
        <f ca="1">IFERROR(__xludf.DUMMYFUNCTION("""COMPUTED_VALUE"""),"")</f>
        <v/>
      </c>
      <c r="F7676" s="72"/>
      <c r="G7676" s="72"/>
    </row>
    <row r="7677" spans="1:7" ht="14.5" hidden="1">
      <c r="A7677" s="5"/>
      <c r="B7677" s="18"/>
      <c r="C7677" s="85"/>
      <c r="D7677" s="41"/>
      <c r="E7677" s="26" t="str">
        <f ca="1">IFERROR(__xludf.DUMMYFUNCTION("""COMPUTED_VALUE"""),"")</f>
        <v/>
      </c>
      <c r="F7677" s="72"/>
      <c r="G7677" s="72"/>
    </row>
    <row r="7678" spans="1:7" ht="14.5" hidden="1">
      <c r="A7678" s="5"/>
      <c r="B7678" s="18"/>
      <c r="C7678" s="85"/>
      <c r="D7678" s="41"/>
      <c r="E7678" s="26" t="str">
        <f ca="1">IFERROR(__xludf.DUMMYFUNCTION("""COMPUTED_VALUE"""),"")</f>
        <v/>
      </c>
      <c r="F7678" s="72"/>
      <c r="G7678" s="72"/>
    </row>
    <row r="7679" spans="1:7" ht="14.5" hidden="1">
      <c r="A7679" s="5"/>
      <c r="B7679" s="18"/>
      <c r="C7679" s="85"/>
      <c r="D7679" s="41"/>
      <c r="E7679" s="26" t="str">
        <f ca="1">IFERROR(__xludf.DUMMYFUNCTION("""COMPUTED_VALUE"""),"")</f>
        <v/>
      </c>
      <c r="F7679" s="72"/>
      <c r="G7679" s="72"/>
    </row>
    <row r="7680" spans="1:7" ht="14.5" hidden="1">
      <c r="A7680" s="5"/>
      <c r="B7680" s="18"/>
      <c r="C7680" s="85"/>
      <c r="D7680" s="41"/>
      <c r="E7680" s="26" t="str">
        <f ca="1">IFERROR(__xludf.DUMMYFUNCTION("""COMPUTED_VALUE"""),"")</f>
        <v/>
      </c>
      <c r="F7680" s="72"/>
      <c r="G7680" s="72"/>
    </row>
    <row r="7681" spans="1:7" ht="14.5" hidden="1">
      <c r="A7681" s="5"/>
      <c r="B7681" s="18"/>
      <c r="C7681" s="85"/>
      <c r="D7681" s="41"/>
      <c r="E7681" s="26" t="str">
        <f ca="1">IFERROR(__xludf.DUMMYFUNCTION("""COMPUTED_VALUE"""),"")</f>
        <v/>
      </c>
      <c r="F7681" s="72"/>
      <c r="G7681" s="72"/>
    </row>
    <row r="7682" spans="1:7" ht="14.5" hidden="1">
      <c r="A7682" s="5"/>
      <c r="B7682" s="18"/>
      <c r="C7682" s="85"/>
      <c r="D7682" s="41"/>
      <c r="E7682" s="26" t="str">
        <f ca="1">IFERROR(__xludf.DUMMYFUNCTION("""COMPUTED_VALUE"""),"")</f>
        <v/>
      </c>
      <c r="F7682" s="72"/>
      <c r="G7682" s="72"/>
    </row>
    <row r="7683" spans="1:7" ht="14.5" hidden="1">
      <c r="A7683" s="5"/>
      <c r="B7683" s="18"/>
      <c r="C7683" s="85"/>
      <c r="D7683" s="41"/>
      <c r="E7683" s="26" t="str">
        <f ca="1">IFERROR(__xludf.DUMMYFUNCTION("""COMPUTED_VALUE"""),"")</f>
        <v/>
      </c>
      <c r="F7683" s="72"/>
      <c r="G7683" s="72"/>
    </row>
    <row r="7684" spans="1:7" ht="14.5" hidden="1">
      <c r="A7684" s="5"/>
      <c r="B7684" s="18"/>
      <c r="C7684" s="85"/>
      <c r="D7684" s="41"/>
      <c r="E7684" s="26" t="str">
        <f ca="1">IFERROR(__xludf.DUMMYFUNCTION("""COMPUTED_VALUE"""),"")</f>
        <v/>
      </c>
      <c r="F7684" s="72"/>
      <c r="G7684" s="72"/>
    </row>
    <row r="7685" spans="1:7" ht="14.5" hidden="1">
      <c r="A7685" s="5"/>
      <c r="B7685" s="18"/>
      <c r="C7685" s="85"/>
      <c r="D7685" s="41"/>
      <c r="E7685" s="26" t="str">
        <f ca="1">IFERROR(__xludf.DUMMYFUNCTION("""COMPUTED_VALUE"""),"")</f>
        <v/>
      </c>
      <c r="F7685" s="72"/>
      <c r="G7685" s="72"/>
    </row>
    <row r="7686" spans="1:7" ht="14.5" hidden="1">
      <c r="A7686" s="5"/>
      <c r="B7686" s="18"/>
      <c r="C7686" s="85"/>
      <c r="D7686" s="41"/>
      <c r="E7686" s="26" t="str">
        <f ca="1">IFERROR(__xludf.DUMMYFUNCTION("""COMPUTED_VALUE"""),"")</f>
        <v/>
      </c>
      <c r="F7686" s="72"/>
      <c r="G7686" s="72"/>
    </row>
    <row r="7687" spans="1:7" ht="14.5" hidden="1">
      <c r="A7687" s="5"/>
      <c r="B7687" s="18"/>
      <c r="C7687" s="85"/>
      <c r="D7687" s="41"/>
      <c r="E7687" s="26" t="str">
        <f ca="1">IFERROR(__xludf.DUMMYFUNCTION("""COMPUTED_VALUE"""),"")</f>
        <v/>
      </c>
      <c r="F7687" s="72"/>
      <c r="G7687" s="72"/>
    </row>
    <row r="7688" spans="1:7" ht="14.5" hidden="1">
      <c r="A7688" s="5"/>
      <c r="B7688" s="18"/>
      <c r="C7688" s="85"/>
      <c r="D7688" s="41"/>
      <c r="E7688" s="26" t="str">
        <f ca="1">IFERROR(__xludf.DUMMYFUNCTION("""COMPUTED_VALUE"""),"")</f>
        <v/>
      </c>
      <c r="F7688" s="72"/>
      <c r="G7688" s="72"/>
    </row>
    <row r="7689" spans="1:7" ht="14.5" hidden="1">
      <c r="A7689" s="5"/>
      <c r="B7689" s="18"/>
      <c r="C7689" s="85"/>
      <c r="D7689" s="41"/>
      <c r="E7689" s="26" t="str">
        <f ca="1">IFERROR(__xludf.DUMMYFUNCTION("""COMPUTED_VALUE"""),"")</f>
        <v/>
      </c>
      <c r="F7689" s="72"/>
      <c r="G7689" s="72"/>
    </row>
    <row r="7690" spans="1:7" ht="14.5" hidden="1">
      <c r="A7690" s="5"/>
      <c r="B7690" s="18"/>
      <c r="C7690" s="85"/>
      <c r="D7690" s="41"/>
      <c r="E7690" s="26" t="str">
        <f ca="1">IFERROR(__xludf.DUMMYFUNCTION("""COMPUTED_VALUE"""),"")</f>
        <v/>
      </c>
      <c r="F7690" s="72"/>
      <c r="G7690" s="72"/>
    </row>
    <row r="7691" spans="1:7" ht="14.5" hidden="1">
      <c r="A7691" s="5"/>
      <c r="B7691" s="18"/>
      <c r="C7691" s="85"/>
      <c r="D7691" s="41"/>
      <c r="E7691" s="26" t="str">
        <f ca="1">IFERROR(__xludf.DUMMYFUNCTION("""COMPUTED_VALUE"""),"")</f>
        <v/>
      </c>
      <c r="F7691" s="72"/>
      <c r="G7691" s="72"/>
    </row>
    <row r="7692" spans="1:7" ht="14.5" hidden="1">
      <c r="A7692" s="5"/>
      <c r="B7692" s="18"/>
      <c r="C7692" s="85"/>
      <c r="D7692" s="41"/>
      <c r="E7692" s="26" t="str">
        <f ca="1">IFERROR(__xludf.DUMMYFUNCTION("""COMPUTED_VALUE"""),"")</f>
        <v/>
      </c>
      <c r="F7692" s="72"/>
      <c r="G7692" s="72"/>
    </row>
    <row r="7693" spans="1:7" ht="14.5" hidden="1">
      <c r="A7693" s="5"/>
      <c r="B7693" s="18"/>
      <c r="C7693" s="85"/>
      <c r="D7693" s="41"/>
      <c r="E7693" s="26" t="str">
        <f ca="1">IFERROR(__xludf.DUMMYFUNCTION("""COMPUTED_VALUE"""),"")</f>
        <v/>
      </c>
      <c r="F7693" s="72"/>
      <c r="G7693" s="72"/>
    </row>
    <row r="7694" spans="1:7" ht="14.5" hidden="1">
      <c r="A7694" s="5"/>
      <c r="B7694" s="18"/>
      <c r="C7694" s="85"/>
      <c r="D7694" s="41"/>
      <c r="E7694" s="26" t="str">
        <f ca="1">IFERROR(__xludf.DUMMYFUNCTION("""COMPUTED_VALUE"""),"")</f>
        <v/>
      </c>
      <c r="F7694" s="72"/>
      <c r="G7694" s="72"/>
    </row>
    <row r="7695" spans="1:7" ht="14.5" hidden="1">
      <c r="A7695" s="5"/>
      <c r="B7695" s="18"/>
      <c r="C7695" s="85"/>
      <c r="D7695" s="41"/>
      <c r="E7695" s="26" t="str">
        <f ca="1">IFERROR(__xludf.DUMMYFUNCTION("""COMPUTED_VALUE"""),"")</f>
        <v/>
      </c>
      <c r="F7695" s="72"/>
      <c r="G7695" s="72"/>
    </row>
    <row r="7696" spans="1:7" ht="14.5" hidden="1">
      <c r="A7696" s="5"/>
      <c r="B7696" s="18"/>
      <c r="C7696" s="85"/>
      <c r="D7696" s="41"/>
      <c r="E7696" s="26" t="str">
        <f ca="1">IFERROR(__xludf.DUMMYFUNCTION("""COMPUTED_VALUE"""),"")</f>
        <v/>
      </c>
      <c r="F7696" s="72"/>
      <c r="G7696" s="72"/>
    </row>
    <row r="7697" spans="1:7" ht="14.5" hidden="1">
      <c r="A7697" s="5"/>
      <c r="B7697" s="18"/>
      <c r="C7697" s="85"/>
      <c r="D7697" s="41"/>
      <c r="E7697" s="26" t="str">
        <f ca="1">IFERROR(__xludf.DUMMYFUNCTION("""COMPUTED_VALUE"""),"")</f>
        <v/>
      </c>
      <c r="F7697" s="72"/>
      <c r="G7697" s="72"/>
    </row>
    <row r="7698" spans="1:7" ht="14.5" hidden="1">
      <c r="A7698" s="5"/>
      <c r="B7698" s="18"/>
      <c r="C7698" s="85"/>
      <c r="D7698" s="41"/>
      <c r="E7698" s="26" t="str">
        <f ca="1">IFERROR(__xludf.DUMMYFUNCTION("""COMPUTED_VALUE"""),"")</f>
        <v/>
      </c>
      <c r="F7698" s="72"/>
      <c r="G7698" s="72"/>
    </row>
    <row r="7699" spans="1:7" ht="14.5" hidden="1">
      <c r="A7699" s="5"/>
      <c r="B7699" s="18"/>
      <c r="C7699" s="85"/>
      <c r="D7699" s="41"/>
      <c r="E7699" s="26" t="str">
        <f ca="1">IFERROR(__xludf.DUMMYFUNCTION("""COMPUTED_VALUE"""),"")</f>
        <v/>
      </c>
      <c r="F7699" s="72"/>
      <c r="G7699" s="72"/>
    </row>
    <row r="7700" spans="1:7" ht="14.5" hidden="1">
      <c r="A7700" s="5"/>
      <c r="B7700" s="18"/>
      <c r="C7700" s="85"/>
      <c r="D7700" s="41"/>
      <c r="E7700" s="26" t="str">
        <f ca="1">IFERROR(__xludf.DUMMYFUNCTION("""COMPUTED_VALUE"""),"")</f>
        <v/>
      </c>
      <c r="F7700" s="72"/>
      <c r="G7700" s="72"/>
    </row>
    <row r="7701" spans="1:7" ht="14.5" hidden="1">
      <c r="A7701" s="5"/>
      <c r="B7701" s="18"/>
      <c r="C7701" s="85"/>
      <c r="D7701" s="41"/>
      <c r="E7701" s="26" t="str">
        <f ca="1">IFERROR(__xludf.DUMMYFUNCTION("""COMPUTED_VALUE"""),"")</f>
        <v/>
      </c>
      <c r="F7701" s="72"/>
      <c r="G7701" s="72"/>
    </row>
    <row r="7702" spans="1:7" ht="14.5" hidden="1">
      <c r="A7702" s="5"/>
      <c r="B7702" s="18"/>
      <c r="C7702" s="85"/>
      <c r="D7702" s="41"/>
      <c r="E7702" s="26" t="str">
        <f ca="1">IFERROR(__xludf.DUMMYFUNCTION("""COMPUTED_VALUE"""),"")</f>
        <v/>
      </c>
      <c r="F7702" s="72"/>
      <c r="G7702" s="72"/>
    </row>
    <row r="7703" spans="1:7" ht="14.5" hidden="1">
      <c r="A7703" s="5"/>
      <c r="B7703" s="18"/>
      <c r="C7703" s="85"/>
      <c r="D7703" s="41"/>
      <c r="E7703" s="26" t="str">
        <f ca="1">IFERROR(__xludf.DUMMYFUNCTION("""COMPUTED_VALUE"""),"")</f>
        <v/>
      </c>
      <c r="F7703" s="72"/>
      <c r="G7703" s="72"/>
    </row>
    <row r="7704" spans="1:7" ht="14.5" hidden="1">
      <c r="A7704" s="5"/>
      <c r="B7704" s="18"/>
      <c r="C7704" s="85"/>
      <c r="D7704" s="41"/>
      <c r="E7704" s="26" t="str">
        <f ca="1">IFERROR(__xludf.DUMMYFUNCTION("""COMPUTED_VALUE"""),"")</f>
        <v/>
      </c>
      <c r="F7704" s="72"/>
      <c r="G7704" s="72"/>
    </row>
    <row r="7705" spans="1:7" ht="14.5" hidden="1">
      <c r="A7705" s="5"/>
      <c r="B7705" s="18"/>
      <c r="C7705" s="85"/>
      <c r="D7705" s="41"/>
      <c r="E7705" s="26" t="str">
        <f ca="1">IFERROR(__xludf.DUMMYFUNCTION("""COMPUTED_VALUE"""),"")</f>
        <v/>
      </c>
      <c r="F7705" s="72"/>
      <c r="G7705" s="72"/>
    </row>
    <row r="7706" spans="1:7" ht="14.5" hidden="1">
      <c r="A7706" s="5"/>
      <c r="B7706" s="18"/>
      <c r="C7706" s="85"/>
      <c r="D7706" s="41"/>
      <c r="E7706" s="26" t="str">
        <f ca="1">IFERROR(__xludf.DUMMYFUNCTION("""COMPUTED_VALUE"""),"")</f>
        <v/>
      </c>
      <c r="F7706" s="72"/>
      <c r="G7706" s="72"/>
    </row>
    <row r="7707" spans="1:7" ht="14.5" hidden="1">
      <c r="A7707" s="5"/>
      <c r="B7707" s="18"/>
      <c r="C7707" s="85"/>
      <c r="D7707" s="41"/>
      <c r="E7707" s="26" t="str">
        <f ca="1">IFERROR(__xludf.DUMMYFUNCTION("""COMPUTED_VALUE"""),"")</f>
        <v/>
      </c>
      <c r="F7707" s="72"/>
      <c r="G7707" s="72"/>
    </row>
    <row r="7708" spans="1:7" ht="14.5" hidden="1">
      <c r="A7708" s="5"/>
      <c r="B7708" s="18"/>
      <c r="C7708" s="85"/>
      <c r="D7708" s="41"/>
      <c r="E7708" s="26" t="str">
        <f ca="1">IFERROR(__xludf.DUMMYFUNCTION("""COMPUTED_VALUE"""),"")</f>
        <v/>
      </c>
      <c r="F7708" s="72"/>
      <c r="G7708" s="72"/>
    </row>
    <row r="7709" spans="1:7" ht="14.5" hidden="1">
      <c r="A7709" s="5"/>
      <c r="B7709" s="18"/>
      <c r="C7709" s="85"/>
      <c r="D7709" s="41"/>
      <c r="E7709" s="26" t="str">
        <f ca="1">IFERROR(__xludf.DUMMYFUNCTION("""COMPUTED_VALUE"""),"")</f>
        <v/>
      </c>
      <c r="F7709" s="72"/>
      <c r="G7709" s="72"/>
    </row>
    <row r="7710" spans="1:7" ht="14.5" hidden="1">
      <c r="A7710" s="5"/>
      <c r="B7710" s="18"/>
      <c r="C7710" s="85"/>
      <c r="D7710" s="41"/>
      <c r="E7710" s="26" t="str">
        <f ca="1">IFERROR(__xludf.DUMMYFUNCTION("""COMPUTED_VALUE"""),"")</f>
        <v/>
      </c>
      <c r="F7710" s="72"/>
      <c r="G7710" s="72"/>
    </row>
    <row r="7711" spans="1:7" ht="14.5" hidden="1">
      <c r="A7711" s="5"/>
      <c r="B7711" s="18"/>
      <c r="C7711" s="85"/>
      <c r="D7711" s="41"/>
      <c r="E7711" s="26" t="str">
        <f ca="1">IFERROR(__xludf.DUMMYFUNCTION("""COMPUTED_VALUE"""),"")</f>
        <v/>
      </c>
      <c r="F7711" s="72"/>
      <c r="G7711" s="72"/>
    </row>
    <row r="7712" spans="1:7" ht="14.5" hidden="1">
      <c r="A7712" s="5"/>
      <c r="B7712" s="18"/>
      <c r="C7712" s="85"/>
      <c r="D7712" s="41"/>
      <c r="E7712" s="26" t="str">
        <f ca="1">IFERROR(__xludf.DUMMYFUNCTION("""COMPUTED_VALUE"""),"")</f>
        <v/>
      </c>
      <c r="F7712" s="72"/>
      <c r="G7712" s="72"/>
    </row>
    <row r="7713" spans="1:7" ht="14.5" hidden="1">
      <c r="A7713" s="5"/>
      <c r="B7713" s="18"/>
      <c r="C7713" s="85"/>
      <c r="D7713" s="41"/>
      <c r="E7713" s="26" t="str">
        <f ca="1">IFERROR(__xludf.DUMMYFUNCTION("""COMPUTED_VALUE"""),"")</f>
        <v/>
      </c>
      <c r="F7713" s="72"/>
      <c r="G7713" s="72"/>
    </row>
    <row r="7714" spans="1:7" ht="14.5" hidden="1">
      <c r="A7714" s="5"/>
      <c r="B7714" s="18"/>
      <c r="C7714" s="85"/>
      <c r="D7714" s="41"/>
      <c r="E7714" s="26" t="str">
        <f ca="1">IFERROR(__xludf.DUMMYFUNCTION("""COMPUTED_VALUE"""),"")</f>
        <v/>
      </c>
      <c r="F7714" s="72"/>
      <c r="G7714" s="72"/>
    </row>
    <row r="7715" spans="1:7" ht="14.5" hidden="1">
      <c r="A7715" s="5"/>
      <c r="B7715" s="18"/>
      <c r="C7715" s="85"/>
      <c r="D7715" s="41"/>
      <c r="E7715" s="26" t="str">
        <f ca="1">IFERROR(__xludf.DUMMYFUNCTION("""COMPUTED_VALUE"""),"")</f>
        <v/>
      </c>
      <c r="F7715" s="72"/>
      <c r="G7715" s="72"/>
    </row>
    <row r="7716" spans="1:7" ht="14.5" hidden="1">
      <c r="A7716" s="5"/>
      <c r="B7716" s="18"/>
      <c r="C7716" s="85"/>
      <c r="D7716" s="41"/>
      <c r="E7716" s="26" t="str">
        <f ca="1">IFERROR(__xludf.DUMMYFUNCTION("""COMPUTED_VALUE"""),"")</f>
        <v/>
      </c>
      <c r="F7716" s="72"/>
      <c r="G7716" s="72"/>
    </row>
    <row r="7717" spans="1:7" ht="14.5" hidden="1">
      <c r="A7717" s="5"/>
      <c r="B7717" s="18"/>
      <c r="C7717" s="85"/>
      <c r="D7717" s="41"/>
      <c r="E7717" s="26" t="str">
        <f ca="1">IFERROR(__xludf.DUMMYFUNCTION("""COMPUTED_VALUE"""),"")</f>
        <v/>
      </c>
      <c r="F7717" s="72"/>
      <c r="G7717" s="72"/>
    </row>
    <row r="7718" spans="1:7" ht="14.5" hidden="1">
      <c r="A7718" s="5"/>
      <c r="B7718" s="18"/>
      <c r="C7718" s="85"/>
      <c r="D7718" s="41"/>
      <c r="E7718" s="26" t="str">
        <f ca="1">IFERROR(__xludf.DUMMYFUNCTION("""COMPUTED_VALUE"""),"")</f>
        <v/>
      </c>
      <c r="F7718" s="72"/>
      <c r="G7718" s="72"/>
    </row>
    <row r="7719" spans="1:7" ht="14.5" hidden="1">
      <c r="A7719" s="5"/>
      <c r="B7719" s="18"/>
      <c r="C7719" s="85"/>
      <c r="D7719" s="41"/>
      <c r="E7719" s="26" t="str">
        <f ca="1">IFERROR(__xludf.DUMMYFUNCTION("""COMPUTED_VALUE"""),"")</f>
        <v/>
      </c>
      <c r="F7719" s="72"/>
      <c r="G7719" s="72"/>
    </row>
    <row r="7720" spans="1:7" ht="14.5" hidden="1">
      <c r="A7720" s="5"/>
      <c r="B7720" s="18"/>
      <c r="C7720" s="85"/>
      <c r="D7720" s="41"/>
      <c r="E7720" s="26" t="str">
        <f ca="1">IFERROR(__xludf.DUMMYFUNCTION("""COMPUTED_VALUE"""),"")</f>
        <v/>
      </c>
      <c r="F7720" s="72"/>
      <c r="G7720" s="72"/>
    </row>
    <row r="7721" spans="1:7" ht="14.5" hidden="1">
      <c r="A7721" s="5"/>
      <c r="B7721" s="18"/>
      <c r="C7721" s="85"/>
      <c r="D7721" s="41"/>
      <c r="E7721" s="26" t="str">
        <f ca="1">IFERROR(__xludf.DUMMYFUNCTION("""COMPUTED_VALUE"""),"")</f>
        <v/>
      </c>
      <c r="F7721" s="72"/>
      <c r="G7721" s="72"/>
    </row>
    <row r="7722" spans="1:7" ht="14.5" hidden="1">
      <c r="A7722" s="5"/>
      <c r="B7722" s="18"/>
      <c r="C7722" s="85"/>
      <c r="D7722" s="41"/>
      <c r="E7722" s="26" t="str">
        <f ca="1">IFERROR(__xludf.DUMMYFUNCTION("""COMPUTED_VALUE"""),"")</f>
        <v/>
      </c>
      <c r="F7722" s="72"/>
      <c r="G7722" s="72"/>
    </row>
    <row r="7723" spans="1:7" ht="14.5" hidden="1">
      <c r="A7723" s="5"/>
      <c r="B7723" s="18"/>
      <c r="C7723" s="85"/>
      <c r="D7723" s="41"/>
      <c r="E7723" s="26" t="str">
        <f ca="1">IFERROR(__xludf.DUMMYFUNCTION("""COMPUTED_VALUE"""),"")</f>
        <v/>
      </c>
      <c r="F7723" s="72"/>
      <c r="G7723" s="72"/>
    </row>
    <row r="7724" spans="1:7" ht="14.5" hidden="1">
      <c r="A7724" s="5"/>
      <c r="B7724" s="18"/>
      <c r="C7724" s="85"/>
      <c r="D7724" s="41"/>
      <c r="E7724" s="26" t="str">
        <f ca="1">IFERROR(__xludf.DUMMYFUNCTION("""COMPUTED_VALUE"""),"")</f>
        <v/>
      </c>
      <c r="F7724" s="72"/>
      <c r="G7724" s="72"/>
    </row>
    <row r="7725" spans="1:7" ht="14.5" hidden="1">
      <c r="A7725" s="5"/>
      <c r="B7725" s="18"/>
      <c r="C7725" s="85"/>
      <c r="D7725" s="41"/>
      <c r="E7725" s="26" t="str">
        <f ca="1">IFERROR(__xludf.DUMMYFUNCTION("""COMPUTED_VALUE"""),"")</f>
        <v/>
      </c>
      <c r="F7725" s="72"/>
      <c r="G7725" s="72"/>
    </row>
    <row r="7726" spans="1:7" ht="14.5" hidden="1">
      <c r="A7726" s="5"/>
      <c r="B7726" s="18"/>
      <c r="C7726" s="85"/>
      <c r="D7726" s="41"/>
      <c r="E7726" s="26" t="str">
        <f ca="1">IFERROR(__xludf.DUMMYFUNCTION("""COMPUTED_VALUE"""),"")</f>
        <v/>
      </c>
      <c r="F7726" s="72"/>
      <c r="G7726" s="72"/>
    </row>
    <row r="7727" spans="1:7" ht="14.5" hidden="1">
      <c r="A7727" s="5"/>
      <c r="B7727" s="18"/>
      <c r="C7727" s="85"/>
      <c r="D7727" s="41"/>
      <c r="E7727" s="26" t="str">
        <f ca="1">IFERROR(__xludf.DUMMYFUNCTION("""COMPUTED_VALUE"""),"")</f>
        <v/>
      </c>
      <c r="F7727" s="72"/>
      <c r="G7727" s="72"/>
    </row>
    <row r="7728" spans="1:7" ht="14.5" hidden="1">
      <c r="A7728" s="5"/>
      <c r="B7728" s="18"/>
      <c r="C7728" s="85"/>
      <c r="D7728" s="41"/>
      <c r="E7728" s="26" t="str">
        <f ca="1">IFERROR(__xludf.DUMMYFUNCTION("""COMPUTED_VALUE"""),"")</f>
        <v/>
      </c>
      <c r="F7728" s="72"/>
      <c r="G7728" s="72"/>
    </row>
    <row r="7729" spans="1:7" ht="14.5" hidden="1">
      <c r="A7729" s="5"/>
      <c r="B7729" s="18"/>
      <c r="C7729" s="85"/>
      <c r="D7729" s="41"/>
      <c r="E7729" s="26" t="str">
        <f ca="1">IFERROR(__xludf.DUMMYFUNCTION("""COMPUTED_VALUE"""),"")</f>
        <v/>
      </c>
      <c r="F7729" s="72"/>
      <c r="G7729" s="72"/>
    </row>
    <row r="7730" spans="1:7" ht="14.5" hidden="1">
      <c r="A7730" s="5"/>
      <c r="B7730" s="18"/>
      <c r="C7730" s="85"/>
      <c r="D7730" s="41"/>
      <c r="E7730" s="26" t="str">
        <f ca="1">IFERROR(__xludf.DUMMYFUNCTION("""COMPUTED_VALUE"""),"")</f>
        <v/>
      </c>
      <c r="F7730" s="72"/>
      <c r="G7730" s="72"/>
    </row>
    <row r="7731" spans="1:7" ht="14.5" hidden="1">
      <c r="A7731" s="5"/>
      <c r="B7731" s="18"/>
      <c r="C7731" s="85"/>
      <c r="D7731" s="41"/>
      <c r="E7731" s="26" t="str">
        <f ca="1">IFERROR(__xludf.DUMMYFUNCTION("""COMPUTED_VALUE"""),"")</f>
        <v/>
      </c>
      <c r="F7731" s="72"/>
      <c r="G7731" s="72"/>
    </row>
    <row r="7732" spans="1:7" ht="14.5" hidden="1">
      <c r="A7732" s="5"/>
      <c r="B7732" s="18"/>
      <c r="C7732" s="85"/>
      <c r="D7732" s="41"/>
      <c r="E7732" s="26" t="str">
        <f ca="1">IFERROR(__xludf.DUMMYFUNCTION("""COMPUTED_VALUE"""),"")</f>
        <v/>
      </c>
      <c r="F7732" s="72"/>
      <c r="G7732" s="72"/>
    </row>
    <row r="7733" spans="1:7" ht="14.5" hidden="1">
      <c r="A7733" s="5"/>
      <c r="B7733" s="18"/>
      <c r="C7733" s="85"/>
      <c r="D7733" s="41"/>
      <c r="E7733" s="26" t="str">
        <f ca="1">IFERROR(__xludf.DUMMYFUNCTION("""COMPUTED_VALUE"""),"")</f>
        <v/>
      </c>
      <c r="F7733" s="72"/>
      <c r="G7733" s="72"/>
    </row>
    <row r="7734" spans="1:7" ht="14.5" hidden="1">
      <c r="A7734" s="5"/>
      <c r="B7734" s="18"/>
      <c r="C7734" s="85"/>
      <c r="D7734" s="41"/>
      <c r="E7734" s="26" t="str">
        <f ca="1">IFERROR(__xludf.DUMMYFUNCTION("""COMPUTED_VALUE"""),"")</f>
        <v/>
      </c>
      <c r="F7734" s="72"/>
      <c r="G7734" s="72"/>
    </row>
    <row r="7735" spans="1:7" ht="14.5" hidden="1">
      <c r="A7735" s="5"/>
      <c r="B7735" s="18"/>
      <c r="C7735" s="85"/>
      <c r="D7735" s="41"/>
      <c r="E7735" s="26" t="str">
        <f ca="1">IFERROR(__xludf.DUMMYFUNCTION("""COMPUTED_VALUE"""),"")</f>
        <v/>
      </c>
      <c r="F7735" s="72"/>
      <c r="G7735" s="72"/>
    </row>
    <row r="7736" spans="1:7" ht="14.5" hidden="1">
      <c r="A7736" s="5"/>
      <c r="B7736" s="18"/>
      <c r="C7736" s="85"/>
      <c r="D7736" s="41"/>
      <c r="E7736" s="26" t="str">
        <f ca="1">IFERROR(__xludf.DUMMYFUNCTION("""COMPUTED_VALUE"""),"")</f>
        <v/>
      </c>
      <c r="F7736" s="72"/>
      <c r="G7736" s="72"/>
    </row>
    <row r="7737" spans="1:7" ht="14.5" hidden="1">
      <c r="A7737" s="5"/>
      <c r="B7737" s="18"/>
      <c r="C7737" s="85"/>
      <c r="D7737" s="41"/>
      <c r="E7737" s="26" t="str">
        <f ca="1">IFERROR(__xludf.DUMMYFUNCTION("""COMPUTED_VALUE"""),"")</f>
        <v/>
      </c>
      <c r="F7737" s="72"/>
      <c r="G7737" s="72"/>
    </row>
    <row r="7738" spans="1:7" ht="14.5" hidden="1">
      <c r="A7738" s="5"/>
      <c r="B7738" s="18"/>
      <c r="C7738" s="85"/>
      <c r="D7738" s="41"/>
      <c r="E7738" s="26" t="str">
        <f ca="1">IFERROR(__xludf.DUMMYFUNCTION("""COMPUTED_VALUE"""),"")</f>
        <v/>
      </c>
      <c r="F7738" s="72"/>
      <c r="G7738" s="72"/>
    </row>
    <row r="7739" spans="1:7" ht="14.5" hidden="1">
      <c r="A7739" s="5"/>
      <c r="B7739" s="18"/>
      <c r="C7739" s="85"/>
      <c r="D7739" s="41"/>
      <c r="E7739" s="26" t="str">
        <f ca="1">IFERROR(__xludf.DUMMYFUNCTION("""COMPUTED_VALUE"""),"")</f>
        <v/>
      </c>
      <c r="F7739" s="72"/>
      <c r="G7739" s="72"/>
    </row>
    <row r="7740" spans="1:7" ht="14.5" hidden="1">
      <c r="A7740" s="5"/>
      <c r="B7740" s="18"/>
      <c r="C7740" s="85"/>
      <c r="D7740" s="41"/>
      <c r="E7740" s="26" t="str">
        <f ca="1">IFERROR(__xludf.DUMMYFUNCTION("""COMPUTED_VALUE"""),"")</f>
        <v/>
      </c>
      <c r="F7740" s="72"/>
      <c r="G7740" s="72"/>
    </row>
    <row r="7741" spans="1:7" ht="14.5" hidden="1">
      <c r="A7741" s="5"/>
      <c r="B7741" s="18"/>
      <c r="C7741" s="85"/>
      <c r="D7741" s="41"/>
      <c r="E7741" s="26" t="str">
        <f ca="1">IFERROR(__xludf.DUMMYFUNCTION("""COMPUTED_VALUE"""),"")</f>
        <v/>
      </c>
      <c r="F7741" s="72"/>
      <c r="G7741" s="72"/>
    </row>
    <row r="7742" spans="1:7" ht="14.5" hidden="1">
      <c r="A7742" s="5"/>
      <c r="B7742" s="18"/>
      <c r="C7742" s="85"/>
      <c r="D7742" s="41"/>
      <c r="E7742" s="26" t="str">
        <f ca="1">IFERROR(__xludf.DUMMYFUNCTION("""COMPUTED_VALUE"""),"")</f>
        <v/>
      </c>
      <c r="F7742" s="72"/>
      <c r="G7742" s="72"/>
    </row>
    <row r="7743" spans="1:7" ht="14.5" hidden="1">
      <c r="A7743" s="5"/>
      <c r="B7743" s="18"/>
      <c r="C7743" s="85"/>
      <c r="D7743" s="41"/>
      <c r="E7743" s="26" t="str">
        <f ca="1">IFERROR(__xludf.DUMMYFUNCTION("""COMPUTED_VALUE"""),"")</f>
        <v/>
      </c>
      <c r="F7743" s="72"/>
      <c r="G7743" s="72"/>
    </row>
    <row r="7744" spans="1:7" ht="14.5" hidden="1">
      <c r="A7744" s="5"/>
      <c r="B7744" s="18"/>
      <c r="C7744" s="85"/>
      <c r="D7744" s="41"/>
      <c r="E7744" s="26" t="str">
        <f ca="1">IFERROR(__xludf.DUMMYFUNCTION("""COMPUTED_VALUE"""),"")</f>
        <v/>
      </c>
      <c r="F7744" s="72"/>
      <c r="G7744" s="72"/>
    </row>
    <row r="7745" spans="1:7" ht="14.5" hidden="1">
      <c r="A7745" s="5"/>
      <c r="B7745" s="18"/>
      <c r="C7745" s="85"/>
      <c r="D7745" s="41"/>
      <c r="E7745" s="26" t="str">
        <f ca="1">IFERROR(__xludf.DUMMYFUNCTION("""COMPUTED_VALUE"""),"")</f>
        <v/>
      </c>
      <c r="F7745" s="72"/>
      <c r="G7745" s="72"/>
    </row>
    <row r="7746" spans="1:7" ht="14.5" hidden="1">
      <c r="A7746" s="5"/>
      <c r="B7746" s="18"/>
      <c r="C7746" s="85"/>
      <c r="D7746" s="41"/>
      <c r="E7746" s="26" t="str">
        <f ca="1">IFERROR(__xludf.DUMMYFUNCTION("""COMPUTED_VALUE"""),"")</f>
        <v/>
      </c>
      <c r="F7746" s="72"/>
      <c r="G7746" s="72"/>
    </row>
    <row r="7747" spans="1:7" ht="14.5" hidden="1">
      <c r="A7747" s="5"/>
      <c r="B7747" s="18"/>
      <c r="C7747" s="85"/>
      <c r="D7747" s="41"/>
      <c r="E7747" s="26" t="str">
        <f ca="1">IFERROR(__xludf.DUMMYFUNCTION("""COMPUTED_VALUE"""),"")</f>
        <v/>
      </c>
      <c r="F7747" s="72"/>
      <c r="G7747" s="72"/>
    </row>
    <row r="7748" spans="1:7" ht="14.5" hidden="1">
      <c r="A7748" s="5"/>
      <c r="B7748" s="18"/>
      <c r="C7748" s="85"/>
      <c r="D7748" s="41"/>
      <c r="E7748" s="26" t="str">
        <f ca="1">IFERROR(__xludf.DUMMYFUNCTION("""COMPUTED_VALUE"""),"")</f>
        <v/>
      </c>
      <c r="F7748" s="72"/>
      <c r="G7748" s="72"/>
    </row>
    <row r="7749" spans="1:7" ht="14.5" hidden="1">
      <c r="A7749" s="5"/>
      <c r="B7749" s="18"/>
      <c r="C7749" s="85"/>
      <c r="D7749" s="41"/>
      <c r="E7749" s="26" t="str">
        <f ca="1">IFERROR(__xludf.DUMMYFUNCTION("""COMPUTED_VALUE"""),"")</f>
        <v/>
      </c>
      <c r="F7749" s="72"/>
      <c r="G7749" s="72"/>
    </row>
    <row r="7750" spans="1:7" ht="14.5" hidden="1">
      <c r="A7750" s="5"/>
      <c r="B7750" s="18"/>
      <c r="C7750" s="85"/>
      <c r="D7750" s="41"/>
      <c r="E7750" s="26" t="str">
        <f ca="1">IFERROR(__xludf.DUMMYFUNCTION("""COMPUTED_VALUE"""),"")</f>
        <v/>
      </c>
      <c r="F7750" s="72"/>
      <c r="G7750" s="72"/>
    </row>
    <row r="7751" spans="1:7" ht="14.5" hidden="1">
      <c r="A7751" s="5"/>
      <c r="B7751" s="18"/>
      <c r="C7751" s="85"/>
      <c r="D7751" s="41"/>
      <c r="E7751" s="26" t="str">
        <f ca="1">IFERROR(__xludf.DUMMYFUNCTION("""COMPUTED_VALUE"""),"")</f>
        <v/>
      </c>
      <c r="F7751" s="72"/>
      <c r="G7751" s="72"/>
    </row>
    <row r="7752" spans="1:7" ht="14.5" hidden="1">
      <c r="A7752" s="5"/>
      <c r="B7752" s="18"/>
      <c r="C7752" s="85"/>
      <c r="D7752" s="41"/>
      <c r="E7752" s="26" t="str">
        <f ca="1">IFERROR(__xludf.DUMMYFUNCTION("""COMPUTED_VALUE"""),"")</f>
        <v/>
      </c>
      <c r="F7752" s="72"/>
      <c r="G7752" s="72"/>
    </row>
    <row r="7753" spans="1:7" ht="14.5" hidden="1">
      <c r="A7753" s="5"/>
      <c r="B7753" s="18"/>
      <c r="C7753" s="85"/>
      <c r="D7753" s="41"/>
      <c r="E7753" s="26" t="str">
        <f ca="1">IFERROR(__xludf.DUMMYFUNCTION("""COMPUTED_VALUE"""),"")</f>
        <v/>
      </c>
      <c r="F7753" s="72"/>
      <c r="G7753" s="72"/>
    </row>
    <row r="7754" spans="1:7" ht="14.5" hidden="1">
      <c r="A7754" s="5"/>
      <c r="B7754" s="18"/>
      <c r="C7754" s="85"/>
      <c r="D7754" s="41"/>
      <c r="E7754" s="26" t="str">
        <f ca="1">IFERROR(__xludf.DUMMYFUNCTION("""COMPUTED_VALUE"""),"")</f>
        <v/>
      </c>
      <c r="F7754" s="72"/>
      <c r="G7754" s="72"/>
    </row>
    <row r="7755" spans="1:7" ht="14.5" hidden="1">
      <c r="A7755" s="5"/>
      <c r="B7755" s="18"/>
      <c r="C7755" s="85"/>
      <c r="D7755" s="41"/>
      <c r="E7755" s="26" t="str">
        <f ca="1">IFERROR(__xludf.DUMMYFUNCTION("""COMPUTED_VALUE"""),"")</f>
        <v/>
      </c>
      <c r="F7755" s="72"/>
      <c r="G7755" s="72"/>
    </row>
    <row r="7756" spans="1:7" ht="14.5" hidden="1">
      <c r="A7756" s="5"/>
      <c r="B7756" s="18"/>
      <c r="C7756" s="85"/>
      <c r="D7756" s="41"/>
      <c r="E7756" s="26" t="str">
        <f ca="1">IFERROR(__xludf.DUMMYFUNCTION("""COMPUTED_VALUE"""),"")</f>
        <v/>
      </c>
      <c r="F7756" s="72"/>
      <c r="G7756" s="72"/>
    </row>
    <row r="7757" spans="1:7" ht="14.5" hidden="1">
      <c r="A7757" s="5"/>
      <c r="B7757" s="18"/>
      <c r="C7757" s="85"/>
      <c r="D7757" s="41"/>
      <c r="E7757" s="26" t="str">
        <f ca="1">IFERROR(__xludf.DUMMYFUNCTION("""COMPUTED_VALUE"""),"")</f>
        <v/>
      </c>
      <c r="F7757" s="72"/>
      <c r="G7757" s="72"/>
    </row>
    <row r="7758" spans="1:7" ht="14.5" hidden="1">
      <c r="A7758" s="5"/>
      <c r="B7758" s="18"/>
      <c r="C7758" s="85"/>
      <c r="D7758" s="41"/>
      <c r="E7758" s="26" t="str">
        <f ca="1">IFERROR(__xludf.DUMMYFUNCTION("""COMPUTED_VALUE"""),"")</f>
        <v/>
      </c>
      <c r="F7758" s="72"/>
      <c r="G7758" s="72"/>
    </row>
    <row r="7759" spans="1:7" ht="14.5" hidden="1">
      <c r="A7759" s="5"/>
      <c r="B7759" s="18"/>
      <c r="C7759" s="85"/>
      <c r="D7759" s="41"/>
      <c r="E7759" s="26" t="str">
        <f ca="1">IFERROR(__xludf.DUMMYFUNCTION("""COMPUTED_VALUE"""),"")</f>
        <v/>
      </c>
      <c r="F7759" s="72"/>
      <c r="G7759" s="72"/>
    </row>
    <row r="7760" spans="1:7" ht="14.5" hidden="1">
      <c r="A7760" s="5"/>
      <c r="B7760" s="18"/>
      <c r="C7760" s="85"/>
      <c r="D7760" s="41"/>
      <c r="E7760" s="26" t="str">
        <f ca="1">IFERROR(__xludf.DUMMYFUNCTION("""COMPUTED_VALUE"""),"")</f>
        <v/>
      </c>
      <c r="F7760" s="72"/>
      <c r="G7760" s="72"/>
    </row>
    <row r="7761" spans="1:7" ht="14.5" hidden="1">
      <c r="A7761" s="5"/>
      <c r="B7761" s="18"/>
      <c r="C7761" s="85"/>
      <c r="D7761" s="41"/>
      <c r="E7761" s="26" t="str">
        <f ca="1">IFERROR(__xludf.DUMMYFUNCTION("""COMPUTED_VALUE"""),"")</f>
        <v/>
      </c>
      <c r="F7761" s="72"/>
      <c r="G7761" s="72"/>
    </row>
    <row r="7762" spans="1:7" ht="14.5" hidden="1">
      <c r="A7762" s="5"/>
      <c r="B7762" s="18"/>
      <c r="C7762" s="85"/>
      <c r="D7762" s="41"/>
      <c r="E7762" s="26" t="str">
        <f ca="1">IFERROR(__xludf.DUMMYFUNCTION("""COMPUTED_VALUE"""),"")</f>
        <v/>
      </c>
      <c r="F7762" s="72"/>
      <c r="G7762" s="72"/>
    </row>
    <row r="7763" spans="1:7" ht="14.5" hidden="1">
      <c r="A7763" s="5"/>
      <c r="B7763" s="18"/>
      <c r="C7763" s="85"/>
      <c r="D7763" s="41"/>
      <c r="E7763" s="26" t="str">
        <f ca="1">IFERROR(__xludf.DUMMYFUNCTION("""COMPUTED_VALUE"""),"")</f>
        <v/>
      </c>
      <c r="F7763" s="72"/>
      <c r="G7763" s="72"/>
    </row>
    <row r="7764" spans="1:7" ht="14.5" hidden="1">
      <c r="A7764" s="5"/>
      <c r="B7764" s="18"/>
      <c r="C7764" s="85"/>
      <c r="D7764" s="41"/>
      <c r="E7764" s="26" t="str">
        <f ca="1">IFERROR(__xludf.DUMMYFUNCTION("""COMPUTED_VALUE"""),"")</f>
        <v/>
      </c>
      <c r="F7764" s="72"/>
      <c r="G7764" s="72"/>
    </row>
    <row r="7765" spans="1:7" ht="14.5" hidden="1">
      <c r="A7765" s="5"/>
      <c r="B7765" s="18"/>
      <c r="C7765" s="85"/>
      <c r="D7765" s="41"/>
      <c r="E7765" s="26" t="str">
        <f ca="1">IFERROR(__xludf.DUMMYFUNCTION("""COMPUTED_VALUE"""),"")</f>
        <v/>
      </c>
      <c r="F7765" s="72"/>
      <c r="G7765" s="72"/>
    </row>
    <row r="7766" spans="1:7" ht="14.5" hidden="1">
      <c r="A7766" s="5"/>
      <c r="B7766" s="18"/>
      <c r="C7766" s="85"/>
      <c r="D7766" s="41"/>
      <c r="E7766" s="26" t="str">
        <f ca="1">IFERROR(__xludf.DUMMYFUNCTION("""COMPUTED_VALUE"""),"")</f>
        <v/>
      </c>
      <c r="F7766" s="72"/>
      <c r="G7766" s="72"/>
    </row>
    <row r="7767" spans="1:7" ht="14.5" hidden="1">
      <c r="A7767" s="5"/>
      <c r="B7767" s="18"/>
      <c r="C7767" s="85"/>
      <c r="D7767" s="41"/>
      <c r="E7767" s="26" t="str">
        <f ca="1">IFERROR(__xludf.DUMMYFUNCTION("""COMPUTED_VALUE"""),"")</f>
        <v/>
      </c>
      <c r="F7767" s="72"/>
      <c r="G7767" s="72"/>
    </row>
    <row r="7768" spans="1:7" ht="14.5" hidden="1">
      <c r="A7768" s="5"/>
      <c r="B7768" s="18"/>
      <c r="C7768" s="85"/>
      <c r="D7768" s="41"/>
      <c r="E7768" s="26" t="str">
        <f ca="1">IFERROR(__xludf.DUMMYFUNCTION("""COMPUTED_VALUE"""),"")</f>
        <v/>
      </c>
      <c r="F7768" s="72"/>
      <c r="G7768" s="72"/>
    </row>
    <row r="7769" spans="1:7" ht="14.5" hidden="1">
      <c r="A7769" s="5"/>
      <c r="B7769" s="18"/>
      <c r="C7769" s="85"/>
      <c r="D7769" s="41"/>
      <c r="E7769" s="26" t="str">
        <f ca="1">IFERROR(__xludf.DUMMYFUNCTION("""COMPUTED_VALUE"""),"")</f>
        <v/>
      </c>
      <c r="F7769" s="72"/>
      <c r="G7769" s="72"/>
    </row>
    <row r="7770" spans="1:7" ht="14.5" hidden="1">
      <c r="A7770" s="5"/>
      <c r="B7770" s="18"/>
      <c r="C7770" s="85"/>
      <c r="D7770" s="41"/>
      <c r="E7770" s="26" t="str">
        <f ca="1">IFERROR(__xludf.DUMMYFUNCTION("""COMPUTED_VALUE"""),"")</f>
        <v/>
      </c>
      <c r="F7770" s="72"/>
      <c r="G7770" s="72"/>
    </row>
    <row r="7771" spans="1:7" ht="14.5" hidden="1">
      <c r="A7771" s="5"/>
      <c r="B7771" s="18"/>
      <c r="C7771" s="85"/>
      <c r="D7771" s="41"/>
      <c r="E7771" s="26" t="str">
        <f ca="1">IFERROR(__xludf.DUMMYFUNCTION("""COMPUTED_VALUE"""),"")</f>
        <v/>
      </c>
      <c r="F7771" s="72"/>
      <c r="G7771" s="72"/>
    </row>
    <row r="7772" spans="1:7" ht="14.5" hidden="1">
      <c r="A7772" s="5"/>
      <c r="B7772" s="18"/>
      <c r="C7772" s="85"/>
      <c r="D7772" s="41"/>
      <c r="E7772" s="26" t="str">
        <f ca="1">IFERROR(__xludf.DUMMYFUNCTION("""COMPUTED_VALUE"""),"")</f>
        <v/>
      </c>
      <c r="F7772" s="72"/>
      <c r="G7772" s="72"/>
    </row>
    <row r="7773" spans="1:7" ht="14.5" hidden="1">
      <c r="A7773" s="5"/>
      <c r="B7773" s="18"/>
      <c r="C7773" s="85"/>
      <c r="D7773" s="41"/>
      <c r="E7773" s="26" t="str">
        <f ca="1">IFERROR(__xludf.DUMMYFUNCTION("""COMPUTED_VALUE"""),"")</f>
        <v/>
      </c>
      <c r="F7773" s="72"/>
      <c r="G7773" s="72"/>
    </row>
    <row r="7774" spans="1:7" ht="14.5" hidden="1">
      <c r="A7774" s="5"/>
      <c r="B7774" s="18"/>
      <c r="C7774" s="85"/>
      <c r="D7774" s="41"/>
      <c r="E7774" s="26" t="str">
        <f ca="1">IFERROR(__xludf.DUMMYFUNCTION("""COMPUTED_VALUE"""),"")</f>
        <v/>
      </c>
      <c r="F7774" s="72"/>
      <c r="G7774" s="72"/>
    </row>
    <row r="7775" spans="1:7" ht="14.5" hidden="1">
      <c r="A7775" s="5"/>
      <c r="B7775" s="18"/>
      <c r="C7775" s="85"/>
      <c r="D7775" s="41"/>
      <c r="E7775" s="26" t="str">
        <f ca="1">IFERROR(__xludf.DUMMYFUNCTION("""COMPUTED_VALUE"""),"")</f>
        <v/>
      </c>
      <c r="F7775" s="72"/>
      <c r="G7775" s="72"/>
    </row>
    <row r="7776" spans="1:7" ht="14.5" hidden="1">
      <c r="A7776" s="5"/>
      <c r="B7776" s="18"/>
      <c r="C7776" s="85"/>
      <c r="D7776" s="41"/>
      <c r="E7776" s="26" t="str">
        <f ca="1">IFERROR(__xludf.DUMMYFUNCTION("""COMPUTED_VALUE"""),"")</f>
        <v/>
      </c>
      <c r="F7776" s="72"/>
      <c r="G7776" s="72"/>
    </row>
    <row r="7777" spans="1:7" ht="14.5" hidden="1">
      <c r="A7777" s="5"/>
      <c r="B7777" s="18"/>
      <c r="C7777" s="85"/>
      <c r="D7777" s="41"/>
      <c r="E7777" s="26" t="str">
        <f ca="1">IFERROR(__xludf.DUMMYFUNCTION("""COMPUTED_VALUE"""),"")</f>
        <v/>
      </c>
      <c r="F7777" s="72"/>
      <c r="G7777" s="72"/>
    </row>
    <row r="7778" spans="1:7" ht="14.5" hidden="1">
      <c r="A7778" s="5"/>
      <c r="B7778" s="18"/>
      <c r="C7778" s="85"/>
      <c r="D7778" s="41"/>
      <c r="E7778" s="26" t="str">
        <f ca="1">IFERROR(__xludf.DUMMYFUNCTION("""COMPUTED_VALUE"""),"")</f>
        <v/>
      </c>
      <c r="F7778" s="72"/>
      <c r="G7778" s="72"/>
    </row>
    <row r="7779" spans="1:7" ht="14.5" hidden="1">
      <c r="A7779" s="5"/>
      <c r="B7779" s="18"/>
      <c r="C7779" s="85"/>
      <c r="D7779" s="41"/>
      <c r="E7779" s="26" t="str">
        <f ca="1">IFERROR(__xludf.DUMMYFUNCTION("""COMPUTED_VALUE"""),"")</f>
        <v/>
      </c>
      <c r="F7779" s="72"/>
      <c r="G7779" s="72"/>
    </row>
    <row r="7780" spans="1:7" ht="14.5" hidden="1">
      <c r="A7780" s="5"/>
      <c r="B7780" s="18"/>
      <c r="C7780" s="85"/>
      <c r="D7780" s="41"/>
      <c r="E7780" s="26" t="str">
        <f ca="1">IFERROR(__xludf.DUMMYFUNCTION("""COMPUTED_VALUE"""),"")</f>
        <v/>
      </c>
      <c r="F7780" s="72"/>
      <c r="G7780" s="72"/>
    </row>
    <row r="7781" spans="1:7" ht="14.5" hidden="1">
      <c r="A7781" s="5"/>
      <c r="B7781" s="18"/>
      <c r="C7781" s="85"/>
      <c r="D7781" s="41"/>
      <c r="E7781" s="26" t="str">
        <f ca="1">IFERROR(__xludf.DUMMYFUNCTION("""COMPUTED_VALUE"""),"")</f>
        <v/>
      </c>
      <c r="F7781" s="72"/>
      <c r="G7781" s="72"/>
    </row>
    <row r="7782" spans="1:7" ht="14.5" hidden="1">
      <c r="A7782" s="5"/>
      <c r="B7782" s="18"/>
      <c r="C7782" s="85"/>
      <c r="D7782" s="41"/>
      <c r="E7782" s="26" t="str">
        <f ca="1">IFERROR(__xludf.DUMMYFUNCTION("""COMPUTED_VALUE"""),"")</f>
        <v/>
      </c>
      <c r="F7782" s="72"/>
      <c r="G7782" s="72"/>
    </row>
    <row r="7783" spans="1:7" ht="14.5" hidden="1">
      <c r="A7783" s="5"/>
      <c r="B7783" s="18"/>
      <c r="C7783" s="85"/>
      <c r="D7783" s="41"/>
      <c r="E7783" s="26" t="str">
        <f ca="1">IFERROR(__xludf.DUMMYFUNCTION("""COMPUTED_VALUE"""),"")</f>
        <v/>
      </c>
      <c r="F7783" s="72"/>
      <c r="G7783" s="72"/>
    </row>
    <row r="7784" spans="1:7" ht="14.5" hidden="1">
      <c r="A7784" s="5"/>
      <c r="B7784" s="18"/>
      <c r="C7784" s="85"/>
      <c r="D7784" s="41"/>
      <c r="E7784" s="26" t="str">
        <f ca="1">IFERROR(__xludf.DUMMYFUNCTION("""COMPUTED_VALUE"""),"")</f>
        <v/>
      </c>
      <c r="F7784" s="72"/>
      <c r="G7784" s="72"/>
    </row>
    <row r="7785" spans="1:7" ht="14.5" hidden="1">
      <c r="A7785" s="5"/>
      <c r="B7785" s="18"/>
      <c r="C7785" s="85"/>
      <c r="D7785" s="41"/>
      <c r="E7785" s="26" t="str">
        <f ca="1">IFERROR(__xludf.DUMMYFUNCTION("""COMPUTED_VALUE"""),"")</f>
        <v/>
      </c>
      <c r="F7785" s="72"/>
      <c r="G7785" s="72"/>
    </row>
    <row r="7786" spans="1:7" ht="14.5" hidden="1">
      <c r="A7786" s="5"/>
      <c r="B7786" s="18"/>
      <c r="C7786" s="85"/>
      <c r="D7786" s="41"/>
      <c r="E7786" s="26" t="str">
        <f ca="1">IFERROR(__xludf.DUMMYFUNCTION("""COMPUTED_VALUE"""),"")</f>
        <v/>
      </c>
      <c r="F7786" s="72"/>
      <c r="G7786" s="72"/>
    </row>
    <row r="7787" spans="1:7" ht="14.5" hidden="1">
      <c r="A7787" s="5"/>
      <c r="B7787" s="18"/>
      <c r="C7787" s="85"/>
      <c r="D7787" s="41"/>
      <c r="E7787" s="26" t="str">
        <f ca="1">IFERROR(__xludf.DUMMYFUNCTION("""COMPUTED_VALUE"""),"")</f>
        <v/>
      </c>
      <c r="F7787" s="72"/>
      <c r="G7787" s="72"/>
    </row>
    <row r="7788" spans="1:7" ht="14.5" hidden="1">
      <c r="A7788" s="5"/>
      <c r="B7788" s="18"/>
      <c r="C7788" s="85"/>
      <c r="D7788" s="41"/>
      <c r="E7788" s="26" t="str">
        <f ca="1">IFERROR(__xludf.DUMMYFUNCTION("""COMPUTED_VALUE"""),"")</f>
        <v/>
      </c>
      <c r="F7788" s="72"/>
      <c r="G7788" s="72"/>
    </row>
    <row r="7789" spans="1:7" ht="14.5" hidden="1">
      <c r="A7789" s="5"/>
      <c r="B7789" s="18"/>
      <c r="C7789" s="85"/>
      <c r="D7789" s="41"/>
      <c r="E7789" s="26" t="str">
        <f ca="1">IFERROR(__xludf.DUMMYFUNCTION("""COMPUTED_VALUE"""),"")</f>
        <v/>
      </c>
      <c r="F7789" s="72"/>
      <c r="G7789" s="72"/>
    </row>
    <row r="7790" spans="1:7" ht="14.5" hidden="1">
      <c r="A7790" s="5"/>
      <c r="B7790" s="18"/>
      <c r="C7790" s="85"/>
      <c r="D7790" s="41"/>
      <c r="E7790" s="26" t="str">
        <f ca="1">IFERROR(__xludf.DUMMYFUNCTION("""COMPUTED_VALUE"""),"")</f>
        <v/>
      </c>
      <c r="F7790" s="72"/>
      <c r="G7790" s="72"/>
    </row>
    <row r="7791" spans="1:7" ht="14.5" hidden="1">
      <c r="A7791" s="5"/>
      <c r="B7791" s="18"/>
      <c r="C7791" s="85"/>
      <c r="D7791" s="41"/>
      <c r="E7791" s="26" t="str">
        <f ca="1">IFERROR(__xludf.DUMMYFUNCTION("""COMPUTED_VALUE"""),"")</f>
        <v/>
      </c>
      <c r="F7791" s="72"/>
      <c r="G7791" s="72"/>
    </row>
    <row r="7792" spans="1:7" ht="14.5" hidden="1">
      <c r="A7792" s="5"/>
      <c r="B7792" s="18"/>
      <c r="C7792" s="85"/>
      <c r="D7792" s="41"/>
      <c r="E7792" s="26" t="str">
        <f ca="1">IFERROR(__xludf.DUMMYFUNCTION("""COMPUTED_VALUE"""),"")</f>
        <v/>
      </c>
      <c r="F7792" s="72"/>
      <c r="G7792" s="72"/>
    </row>
    <row r="7793" spans="1:7" ht="14.5" hidden="1">
      <c r="A7793" s="5"/>
      <c r="B7793" s="18"/>
      <c r="C7793" s="85"/>
      <c r="D7793" s="41"/>
      <c r="E7793" s="26" t="str">
        <f ca="1">IFERROR(__xludf.DUMMYFUNCTION("""COMPUTED_VALUE"""),"")</f>
        <v/>
      </c>
      <c r="F7793" s="72"/>
      <c r="G7793" s="72"/>
    </row>
    <row r="7794" spans="1:7" ht="14.5" hidden="1">
      <c r="A7794" s="5"/>
      <c r="B7794" s="18"/>
      <c r="C7794" s="85"/>
      <c r="D7794" s="41"/>
      <c r="E7794" s="26" t="str">
        <f ca="1">IFERROR(__xludf.DUMMYFUNCTION("""COMPUTED_VALUE"""),"")</f>
        <v/>
      </c>
      <c r="F7794" s="72"/>
      <c r="G7794" s="72"/>
    </row>
    <row r="7795" spans="1:7" ht="14.5" hidden="1">
      <c r="A7795" s="5"/>
      <c r="B7795" s="18"/>
      <c r="C7795" s="85"/>
      <c r="D7795" s="41"/>
      <c r="E7795" s="26" t="str">
        <f ca="1">IFERROR(__xludf.DUMMYFUNCTION("""COMPUTED_VALUE"""),"")</f>
        <v/>
      </c>
      <c r="F7795" s="72"/>
      <c r="G7795" s="72"/>
    </row>
    <row r="7796" spans="1:7" ht="14.5" hidden="1">
      <c r="A7796" s="5"/>
      <c r="B7796" s="18"/>
      <c r="C7796" s="85"/>
      <c r="D7796" s="41"/>
      <c r="E7796" s="26" t="str">
        <f ca="1">IFERROR(__xludf.DUMMYFUNCTION("""COMPUTED_VALUE"""),"")</f>
        <v/>
      </c>
      <c r="F7796" s="72"/>
      <c r="G7796" s="72"/>
    </row>
    <row r="7797" spans="1:7" ht="14.5" hidden="1">
      <c r="A7797" s="5"/>
      <c r="B7797" s="18"/>
      <c r="C7797" s="85"/>
      <c r="D7797" s="41"/>
      <c r="E7797" s="26" t="str">
        <f ca="1">IFERROR(__xludf.DUMMYFUNCTION("""COMPUTED_VALUE"""),"")</f>
        <v/>
      </c>
      <c r="F7797" s="72"/>
      <c r="G7797" s="72"/>
    </row>
    <row r="7798" spans="1:7" ht="14.5" hidden="1">
      <c r="A7798" s="5"/>
      <c r="B7798" s="18"/>
      <c r="C7798" s="85"/>
      <c r="D7798" s="41"/>
      <c r="E7798" s="26" t="str">
        <f ca="1">IFERROR(__xludf.DUMMYFUNCTION("""COMPUTED_VALUE"""),"")</f>
        <v/>
      </c>
      <c r="F7798" s="72"/>
      <c r="G7798" s="72"/>
    </row>
    <row r="7799" spans="1:7" ht="14.5" hidden="1">
      <c r="A7799" s="5"/>
      <c r="B7799" s="18"/>
      <c r="C7799" s="85"/>
      <c r="D7799" s="41"/>
      <c r="E7799" s="26" t="str">
        <f ca="1">IFERROR(__xludf.DUMMYFUNCTION("""COMPUTED_VALUE"""),"")</f>
        <v/>
      </c>
      <c r="F7799" s="72"/>
      <c r="G7799" s="72"/>
    </row>
    <row r="7800" spans="1:7" ht="14.5" hidden="1">
      <c r="A7800" s="5"/>
      <c r="B7800" s="18"/>
      <c r="C7800" s="85"/>
      <c r="D7800" s="41"/>
      <c r="E7800" s="26" t="str">
        <f ca="1">IFERROR(__xludf.DUMMYFUNCTION("""COMPUTED_VALUE"""),"")</f>
        <v/>
      </c>
      <c r="F7800" s="72"/>
      <c r="G7800" s="72"/>
    </row>
    <row r="7801" spans="1:7" ht="14.5" hidden="1">
      <c r="A7801" s="5"/>
      <c r="B7801" s="18"/>
      <c r="C7801" s="85"/>
      <c r="D7801" s="41"/>
      <c r="E7801" s="26" t="str">
        <f ca="1">IFERROR(__xludf.DUMMYFUNCTION("""COMPUTED_VALUE"""),"")</f>
        <v/>
      </c>
      <c r="F7801" s="72"/>
      <c r="G7801" s="72"/>
    </row>
    <row r="7802" spans="1:7" ht="14.5" hidden="1">
      <c r="A7802" s="5"/>
      <c r="B7802" s="18"/>
      <c r="C7802" s="85"/>
      <c r="D7802" s="41"/>
      <c r="E7802" s="26" t="str">
        <f ca="1">IFERROR(__xludf.DUMMYFUNCTION("""COMPUTED_VALUE"""),"")</f>
        <v/>
      </c>
      <c r="F7802" s="72"/>
      <c r="G7802" s="72"/>
    </row>
    <row r="7803" spans="1:7" ht="14.5" hidden="1">
      <c r="A7803" s="5"/>
      <c r="B7803" s="18"/>
      <c r="C7803" s="85"/>
      <c r="D7803" s="41"/>
      <c r="E7803" s="26" t="str">
        <f ca="1">IFERROR(__xludf.DUMMYFUNCTION("""COMPUTED_VALUE"""),"")</f>
        <v/>
      </c>
      <c r="F7803" s="72"/>
      <c r="G7803" s="72"/>
    </row>
    <row r="7804" spans="1:7" ht="14.5" hidden="1">
      <c r="A7804" s="5"/>
      <c r="B7804" s="18"/>
      <c r="C7804" s="85"/>
      <c r="D7804" s="41"/>
      <c r="E7804" s="26" t="str">
        <f ca="1">IFERROR(__xludf.DUMMYFUNCTION("""COMPUTED_VALUE"""),"")</f>
        <v/>
      </c>
      <c r="F7804" s="72"/>
      <c r="G7804" s="72"/>
    </row>
    <row r="7805" spans="1:7" ht="14.5" hidden="1">
      <c r="A7805" s="5"/>
      <c r="B7805" s="18"/>
      <c r="C7805" s="85"/>
      <c r="D7805" s="41"/>
      <c r="E7805" s="26" t="str">
        <f ca="1">IFERROR(__xludf.DUMMYFUNCTION("""COMPUTED_VALUE"""),"")</f>
        <v/>
      </c>
      <c r="F7805" s="72"/>
      <c r="G7805" s="72"/>
    </row>
    <row r="7806" spans="1:7" ht="14.5" hidden="1">
      <c r="A7806" s="5"/>
      <c r="B7806" s="18"/>
      <c r="C7806" s="85"/>
      <c r="D7806" s="41"/>
      <c r="E7806" s="26" t="str">
        <f ca="1">IFERROR(__xludf.DUMMYFUNCTION("""COMPUTED_VALUE"""),"")</f>
        <v/>
      </c>
      <c r="F7806" s="72"/>
      <c r="G7806" s="72"/>
    </row>
    <row r="7807" spans="1:7" ht="14.5" hidden="1">
      <c r="A7807" s="5"/>
      <c r="B7807" s="18"/>
      <c r="C7807" s="85"/>
      <c r="D7807" s="41"/>
      <c r="E7807" s="26" t="str">
        <f ca="1">IFERROR(__xludf.DUMMYFUNCTION("""COMPUTED_VALUE"""),"")</f>
        <v/>
      </c>
      <c r="F7807" s="72"/>
      <c r="G7807" s="72"/>
    </row>
    <row r="7808" spans="1:7" ht="14.5" hidden="1">
      <c r="A7808" s="5"/>
      <c r="B7808" s="18"/>
      <c r="C7808" s="85"/>
      <c r="D7808" s="41"/>
      <c r="E7808" s="26" t="str">
        <f ca="1">IFERROR(__xludf.DUMMYFUNCTION("""COMPUTED_VALUE"""),"")</f>
        <v/>
      </c>
      <c r="F7808" s="72"/>
      <c r="G7808" s="72"/>
    </row>
    <row r="7809" spans="1:7" ht="14.5" hidden="1">
      <c r="A7809" s="5"/>
      <c r="B7809" s="18"/>
      <c r="C7809" s="85"/>
      <c r="D7809" s="41"/>
      <c r="E7809" s="26" t="str">
        <f ca="1">IFERROR(__xludf.DUMMYFUNCTION("""COMPUTED_VALUE"""),"")</f>
        <v/>
      </c>
      <c r="F7809" s="72"/>
      <c r="G7809" s="72"/>
    </row>
    <row r="7810" spans="1:7" ht="14.5" hidden="1">
      <c r="A7810" s="5"/>
      <c r="B7810" s="18"/>
      <c r="C7810" s="85"/>
      <c r="D7810" s="41"/>
      <c r="E7810" s="26" t="str">
        <f ca="1">IFERROR(__xludf.DUMMYFUNCTION("""COMPUTED_VALUE"""),"")</f>
        <v/>
      </c>
      <c r="F7810" s="72"/>
      <c r="G7810" s="72"/>
    </row>
    <row r="7811" spans="1:7" ht="14.5" hidden="1">
      <c r="A7811" s="5"/>
      <c r="B7811" s="18"/>
      <c r="C7811" s="85"/>
      <c r="D7811" s="41"/>
      <c r="E7811" s="26" t="str">
        <f ca="1">IFERROR(__xludf.DUMMYFUNCTION("""COMPUTED_VALUE"""),"")</f>
        <v/>
      </c>
      <c r="F7811" s="72"/>
      <c r="G7811" s="72"/>
    </row>
    <row r="7812" spans="1:7" ht="14.5" hidden="1">
      <c r="A7812" s="5"/>
      <c r="B7812" s="18"/>
      <c r="C7812" s="85"/>
      <c r="D7812" s="41"/>
      <c r="E7812" s="26" t="str">
        <f ca="1">IFERROR(__xludf.DUMMYFUNCTION("""COMPUTED_VALUE"""),"")</f>
        <v/>
      </c>
      <c r="F7812" s="72"/>
      <c r="G7812" s="72"/>
    </row>
    <row r="7813" spans="1:7" ht="14.5" hidden="1">
      <c r="A7813" s="5"/>
      <c r="B7813" s="18"/>
      <c r="C7813" s="85"/>
      <c r="D7813" s="41"/>
      <c r="E7813" s="26" t="str">
        <f ca="1">IFERROR(__xludf.DUMMYFUNCTION("""COMPUTED_VALUE"""),"")</f>
        <v/>
      </c>
      <c r="F7813" s="72"/>
      <c r="G7813" s="72"/>
    </row>
    <row r="7814" spans="1:7" ht="14.5" hidden="1">
      <c r="A7814" s="5"/>
      <c r="B7814" s="18"/>
      <c r="C7814" s="85"/>
      <c r="D7814" s="41"/>
      <c r="E7814" s="26" t="str">
        <f ca="1">IFERROR(__xludf.DUMMYFUNCTION("""COMPUTED_VALUE"""),"")</f>
        <v/>
      </c>
      <c r="F7814" s="72"/>
      <c r="G7814" s="72"/>
    </row>
    <row r="7815" spans="1:7" ht="14.5" hidden="1">
      <c r="A7815" s="5"/>
      <c r="B7815" s="18"/>
      <c r="C7815" s="85"/>
      <c r="D7815" s="41"/>
      <c r="E7815" s="26" t="str">
        <f ca="1">IFERROR(__xludf.DUMMYFUNCTION("""COMPUTED_VALUE"""),"")</f>
        <v/>
      </c>
      <c r="F7815" s="72"/>
      <c r="G7815" s="72"/>
    </row>
    <row r="7816" spans="1:7" ht="14.5" hidden="1">
      <c r="A7816" s="5"/>
      <c r="B7816" s="18"/>
      <c r="C7816" s="85"/>
      <c r="D7816" s="41"/>
      <c r="E7816" s="26" t="str">
        <f ca="1">IFERROR(__xludf.DUMMYFUNCTION("""COMPUTED_VALUE"""),"")</f>
        <v/>
      </c>
      <c r="F7816" s="72"/>
      <c r="G7816" s="72"/>
    </row>
    <row r="7817" spans="1:7" ht="14.5" hidden="1">
      <c r="A7817" s="5"/>
      <c r="B7817" s="18"/>
      <c r="C7817" s="85"/>
      <c r="D7817" s="41"/>
      <c r="E7817" s="26" t="str">
        <f ca="1">IFERROR(__xludf.DUMMYFUNCTION("""COMPUTED_VALUE"""),"")</f>
        <v/>
      </c>
      <c r="F7817" s="72"/>
      <c r="G7817" s="72"/>
    </row>
    <row r="7818" spans="1:7" ht="14.5" hidden="1">
      <c r="A7818" s="5"/>
      <c r="B7818" s="18"/>
      <c r="C7818" s="85"/>
      <c r="D7818" s="41"/>
      <c r="E7818" s="26" t="str">
        <f ca="1">IFERROR(__xludf.DUMMYFUNCTION("""COMPUTED_VALUE"""),"")</f>
        <v/>
      </c>
      <c r="F7818" s="72"/>
      <c r="G7818" s="72"/>
    </row>
    <row r="7819" spans="1:7" ht="14.5" hidden="1">
      <c r="A7819" s="5"/>
      <c r="B7819" s="18"/>
      <c r="C7819" s="85"/>
      <c r="D7819" s="41"/>
      <c r="E7819" s="26" t="str">
        <f ca="1">IFERROR(__xludf.DUMMYFUNCTION("""COMPUTED_VALUE"""),"")</f>
        <v/>
      </c>
      <c r="F7819" s="72"/>
      <c r="G7819" s="72"/>
    </row>
    <row r="7820" spans="1:7" ht="14.5" hidden="1">
      <c r="A7820" s="5"/>
      <c r="B7820" s="18"/>
      <c r="C7820" s="85"/>
      <c r="D7820" s="41"/>
      <c r="E7820" s="26" t="str">
        <f ca="1">IFERROR(__xludf.DUMMYFUNCTION("""COMPUTED_VALUE"""),"")</f>
        <v/>
      </c>
      <c r="F7820" s="72"/>
      <c r="G7820" s="72"/>
    </row>
    <row r="7821" spans="1:7" ht="14.5" hidden="1">
      <c r="A7821" s="5"/>
      <c r="B7821" s="18"/>
      <c r="C7821" s="85"/>
      <c r="D7821" s="41"/>
      <c r="E7821" s="26" t="str">
        <f ca="1">IFERROR(__xludf.DUMMYFUNCTION("""COMPUTED_VALUE"""),"")</f>
        <v/>
      </c>
      <c r="F7821" s="72"/>
      <c r="G7821" s="72"/>
    </row>
    <row r="7822" spans="1:7" ht="14.5" hidden="1">
      <c r="A7822" s="5"/>
      <c r="B7822" s="18"/>
      <c r="C7822" s="85"/>
      <c r="D7822" s="41"/>
      <c r="E7822" s="26" t="str">
        <f ca="1">IFERROR(__xludf.DUMMYFUNCTION("""COMPUTED_VALUE"""),"")</f>
        <v/>
      </c>
      <c r="F7822" s="72"/>
      <c r="G7822" s="72"/>
    </row>
    <row r="7823" spans="1:7" ht="14.5" hidden="1">
      <c r="A7823" s="5"/>
      <c r="B7823" s="18"/>
      <c r="C7823" s="85"/>
      <c r="D7823" s="41"/>
      <c r="E7823" s="26" t="str">
        <f ca="1">IFERROR(__xludf.DUMMYFUNCTION("""COMPUTED_VALUE"""),"")</f>
        <v/>
      </c>
      <c r="F7823" s="72"/>
      <c r="G7823" s="72"/>
    </row>
    <row r="7824" spans="1:7" ht="14.5" hidden="1">
      <c r="A7824" s="5"/>
      <c r="B7824" s="18"/>
      <c r="C7824" s="85"/>
      <c r="D7824" s="41"/>
      <c r="E7824" s="26" t="str">
        <f ca="1">IFERROR(__xludf.DUMMYFUNCTION("""COMPUTED_VALUE"""),"")</f>
        <v/>
      </c>
      <c r="F7824" s="72"/>
      <c r="G7824" s="72"/>
    </row>
    <row r="7825" spans="1:7" ht="14.5" hidden="1">
      <c r="A7825" s="5"/>
      <c r="B7825" s="18"/>
      <c r="C7825" s="85"/>
      <c r="D7825" s="41"/>
      <c r="E7825" s="26" t="str">
        <f ca="1">IFERROR(__xludf.DUMMYFUNCTION("""COMPUTED_VALUE"""),"")</f>
        <v/>
      </c>
      <c r="F7825" s="72"/>
      <c r="G7825" s="72"/>
    </row>
    <row r="7826" spans="1:7" ht="14.5" hidden="1">
      <c r="A7826" s="5"/>
      <c r="B7826" s="18"/>
      <c r="C7826" s="85"/>
      <c r="D7826" s="41"/>
      <c r="E7826" s="26" t="str">
        <f ca="1">IFERROR(__xludf.DUMMYFUNCTION("""COMPUTED_VALUE"""),"")</f>
        <v/>
      </c>
      <c r="F7826" s="72"/>
      <c r="G7826" s="72"/>
    </row>
    <row r="7827" spans="1:7" ht="14.5" hidden="1">
      <c r="A7827" s="5"/>
      <c r="B7827" s="18"/>
      <c r="C7827" s="85"/>
      <c r="D7827" s="41"/>
      <c r="E7827" s="26" t="str">
        <f ca="1">IFERROR(__xludf.DUMMYFUNCTION("""COMPUTED_VALUE"""),"")</f>
        <v/>
      </c>
      <c r="F7827" s="72"/>
      <c r="G7827" s="72"/>
    </row>
    <row r="7828" spans="1:7" ht="14.5" hidden="1">
      <c r="A7828" s="5"/>
      <c r="B7828" s="18"/>
      <c r="C7828" s="85"/>
      <c r="D7828" s="41"/>
      <c r="E7828" s="26" t="str">
        <f ca="1">IFERROR(__xludf.DUMMYFUNCTION("""COMPUTED_VALUE"""),"")</f>
        <v/>
      </c>
      <c r="F7828" s="72"/>
      <c r="G7828" s="72"/>
    </row>
    <row r="7829" spans="1:7" ht="14.5" hidden="1">
      <c r="A7829" s="5"/>
      <c r="B7829" s="18"/>
      <c r="C7829" s="85"/>
      <c r="D7829" s="41"/>
      <c r="E7829" s="26" t="str">
        <f ca="1">IFERROR(__xludf.DUMMYFUNCTION("""COMPUTED_VALUE"""),"")</f>
        <v/>
      </c>
      <c r="F7829" s="72"/>
      <c r="G7829" s="72"/>
    </row>
    <row r="7830" spans="1:7" ht="14.5" hidden="1">
      <c r="A7830" s="5"/>
      <c r="B7830" s="18"/>
      <c r="C7830" s="85"/>
      <c r="D7830" s="41"/>
      <c r="E7830" s="26" t="str">
        <f ca="1">IFERROR(__xludf.DUMMYFUNCTION("""COMPUTED_VALUE"""),"")</f>
        <v/>
      </c>
      <c r="F7830" s="72"/>
      <c r="G7830" s="72"/>
    </row>
    <row r="7831" spans="1:7" ht="14.5" hidden="1">
      <c r="A7831" s="5"/>
      <c r="B7831" s="18"/>
      <c r="C7831" s="85"/>
      <c r="D7831" s="41"/>
      <c r="E7831" s="26" t="str">
        <f ca="1">IFERROR(__xludf.DUMMYFUNCTION("""COMPUTED_VALUE"""),"")</f>
        <v/>
      </c>
      <c r="F7831" s="72"/>
      <c r="G7831" s="72"/>
    </row>
    <row r="7832" spans="1:7" ht="14.5" hidden="1">
      <c r="A7832" s="5"/>
      <c r="B7832" s="18"/>
      <c r="C7832" s="85"/>
      <c r="D7832" s="41"/>
      <c r="E7832" s="26" t="str">
        <f ca="1">IFERROR(__xludf.DUMMYFUNCTION("""COMPUTED_VALUE"""),"")</f>
        <v/>
      </c>
      <c r="F7832" s="72"/>
      <c r="G7832" s="72"/>
    </row>
    <row r="7833" spans="1:7" ht="14.5" hidden="1">
      <c r="A7833" s="5"/>
      <c r="B7833" s="18"/>
      <c r="C7833" s="85"/>
      <c r="D7833" s="41"/>
      <c r="E7833" s="26" t="str">
        <f ca="1">IFERROR(__xludf.DUMMYFUNCTION("""COMPUTED_VALUE"""),"")</f>
        <v/>
      </c>
      <c r="F7833" s="72"/>
      <c r="G7833" s="72"/>
    </row>
    <row r="7834" spans="1:7" ht="14.5" hidden="1">
      <c r="A7834" s="5"/>
      <c r="B7834" s="18"/>
      <c r="C7834" s="85"/>
      <c r="D7834" s="41"/>
      <c r="E7834" s="26" t="str">
        <f ca="1">IFERROR(__xludf.DUMMYFUNCTION("""COMPUTED_VALUE"""),"")</f>
        <v/>
      </c>
      <c r="F7834" s="72"/>
      <c r="G7834" s="72"/>
    </row>
    <row r="7835" spans="1:7" ht="14.5" hidden="1">
      <c r="A7835" s="5"/>
      <c r="B7835" s="18"/>
      <c r="C7835" s="85"/>
      <c r="D7835" s="41"/>
      <c r="E7835" s="26" t="str">
        <f ca="1">IFERROR(__xludf.DUMMYFUNCTION("""COMPUTED_VALUE"""),"")</f>
        <v/>
      </c>
      <c r="F7835" s="72"/>
      <c r="G7835" s="72"/>
    </row>
    <row r="7836" spans="1:7" ht="14.5" hidden="1">
      <c r="A7836" s="5"/>
      <c r="B7836" s="18"/>
      <c r="C7836" s="85"/>
      <c r="D7836" s="41"/>
      <c r="E7836" s="26" t="str">
        <f ca="1">IFERROR(__xludf.DUMMYFUNCTION("""COMPUTED_VALUE"""),"")</f>
        <v/>
      </c>
      <c r="F7836" s="72"/>
      <c r="G7836" s="72"/>
    </row>
    <row r="7837" spans="1:7" ht="14.5" hidden="1">
      <c r="A7837" s="5"/>
      <c r="B7837" s="18"/>
      <c r="C7837" s="85"/>
      <c r="D7837" s="41"/>
      <c r="E7837" s="26" t="str">
        <f ca="1">IFERROR(__xludf.DUMMYFUNCTION("""COMPUTED_VALUE"""),"")</f>
        <v/>
      </c>
      <c r="F7837" s="72"/>
      <c r="G7837" s="72"/>
    </row>
    <row r="7838" spans="1:7" ht="14.5" hidden="1">
      <c r="A7838" s="5"/>
      <c r="B7838" s="18"/>
      <c r="C7838" s="85"/>
      <c r="D7838" s="41"/>
      <c r="E7838" s="26" t="str">
        <f ca="1">IFERROR(__xludf.DUMMYFUNCTION("""COMPUTED_VALUE"""),"")</f>
        <v/>
      </c>
      <c r="F7838" s="72"/>
      <c r="G7838" s="72"/>
    </row>
    <row r="7839" spans="1:7" ht="14.5" hidden="1">
      <c r="A7839" s="5"/>
      <c r="B7839" s="18"/>
      <c r="C7839" s="85"/>
      <c r="D7839" s="41"/>
      <c r="E7839" s="26" t="str">
        <f ca="1">IFERROR(__xludf.DUMMYFUNCTION("""COMPUTED_VALUE"""),"")</f>
        <v/>
      </c>
      <c r="F7839" s="72"/>
      <c r="G7839" s="72"/>
    </row>
    <row r="7840" spans="1:7" ht="14.5" hidden="1">
      <c r="A7840" s="5"/>
      <c r="B7840" s="18"/>
      <c r="C7840" s="85"/>
      <c r="D7840" s="41"/>
      <c r="E7840" s="26" t="str">
        <f ca="1">IFERROR(__xludf.DUMMYFUNCTION("""COMPUTED_VALUE"""),"")</f>
        <v/>
      </c>
      <c r="F7840" s="72"/>
      <c r="G7840" s="72"/>
    </row>
    <row r="7841" spans="1:7" ht="14.5" hidden="1">
      <c r="A7841" s="5"/>
      <c r="B7841" s="18"/>
      <c r="C7841" s="85"/>
      <c r="D7841" s="41"/>
      <c r="E7841" s="26" t="str">
        <f ca="1">IFERROR(__xludf.DUMMYFUNCTION("""COMPUTED_VALUE"""),"")</f>
        <v/>
      </c>
      <c r="F7841" s="72"/>
      <c r="G7841" s="72"/>
    </row>
    <row r="7842" spans="1:7" ht="14.5" hidden="1">
      <c r="A7842" s="5"/>
      <c r="B7842" s="18"/>
      <c r="C7842" s="85"/>
      <c r="D7842" s="41"/>
      <c r="E7842" s="26" t="str">
        <f ca="1">IFERROR(__xludf.DUMMYFUNCTION("""COMPUTED_VALUE"""),"")</f>
        <v/>
      </c>
      <c r="F7842" s="72"/>
      <c r="G7842" s="72"/>
    </row>
    <row r="7843" spans="1:7" ht="14.5" hidden="1">
      <c r="A7843" s="5"/>
      <c r="B7843" s="18"/>
      <c r="C7843" s="85"/>
      <c r="D7843" s="41"/>
      <c r="E7843" s="26" t="str">
        <f ca="1">IFERROR(__xludf.DUMMYFUNCTION("""COMPUTED_VALUE"""),"")</f>
        <v/>
      </c>
      <c r="F7843" s="72"/>
      <c r="G7843" s="72"/>
    </row>
    <row r="7844" spans="1:7" ht="14.5" hidden="1">
      <c r="A7844" s="5"/>
      <c r="B7844" s="18"/>
      <c r="C7844" s="85"/>
      <c r="D7844" s="41"/>
      <c r="E7844" s="26" t="str">
        <f ca="1">IFERROR(__xludf.DUMMYFUNCTION("""COMPUTED_VALUE"""),"")</f>
        <v/>
      </c>
      <c r="F7844" s="72"/>
      <c r="G7844" s="72"/>
    </row>
    <row r="7845" spans="1:7" ht="14.5" hidden="1">
      <c r="A7845" s="5"/>
      <c r="B7845" s="18"/>
      <c r="C7845" s="85"/>
      <c r="D7845" s="41"/>
      <c r="E7845" s="26" t="str">
        <f ca="1">IFERROR(__xludf.DUMMYFUNCTION("""COMPUTED_VALUE"""),"")</f>
        <v/>
      </c>
      <c r="F7845" s="72"/>
      <c r="G7845" s="72"/>
    </row>
    <row r="7846" spans="1:7" ht="14.5" hidden="1">
      <c r="A7846" s="5"/>
      <c r="B7846" s="18"/>
      <c r="C7846" s="85"/>
      <c r="D7846" s="41"/>
      <c r="E7846" s="26" t="str">
        <f ca="1">IFERROR(__xludf.DUMMYFUNCTION("""COMPUTED_VALUE"""),"")</f>
        <v/>
      </c>
      <c r="F7846" s="72"/>
      <c r="G7846" s="72"/>
    </row>
    <row r="7847" spans="1:7" ht="14.5" hidden="1">
      <c r="A7847" s="5"/>
      <c r="B7847" s="18"/>
      <c r="C7847" s="85"/>
      <c r="D7847" s="41"/>
      <c r="E7847" s="26" t="str">
        <f ca="1">IFERROR(__xludf.DUMMYFUNCTION("""COMPUTED_VALUE"""),"")</f>
        <v/>
      </c>
      <c r="F7847" s="72"/>
      <c r="G7847" s="72"/>
    </row>
    <row r="7848" spans="1:7" ht="14.5" hidden="1">
      <c r="A7848" s="5"/>
      <c r="B7848" s="18"/>
      <c r="C7848" s="85"/>
      <c r="D7848" s="41"/>
      <c r="E7848" s="26" t="str">
        <f ca="1">IFERROR(__xludf.DUMMYFUNCTION("""COMPUTED_VALUE"""),"")</f>
        <v/>
      </c>
      <c r="F7848" s="72"/>
      <c r="G7848" s="72"/>
    </row>
    <row r="7849" spans="1:7" ht="14.5" hidden="1">
      <c r="A7849" s="5"/>
      <c r="B7849" s="18"/>
      <c r="C7849" s="85"/>
      <c r="D7849" s="41"/>
      <c r="E7849" s="26" t="str">
        <f ca="1">IFERROR(__xludf.DUMMYFUNCTION("""COMPUTED_VALUE"""),"")</f>
        <v/>
      </c>
      <c r="F7849" s="72"/>
      <c r="G7849" s="72"/>
    </row>
    <row r="7850" spans="1:7" ht="14.5" hidden="1">
      <c r="A7850" s="5"/>
      <c r="B7850" s="18"/>
      <c r="C7850" s="85"/>
      <c r="D7850" s="41"/>
      <c r="E7850" s="26" t="str">
        <f ca="1">IFERROR(__xludf.DUMMYFUNCTION("""COMPUTED_VALUE"""),"")</f>
        <v/>
      </c>
      <c r="F7850" s="72"/>
      <c r="G7850" s="72"/>
    </row>
    <row r="7851" spans="1:7" ht="14.5" hidden="1">
      <c r="A7851" s="5"/>
      <c r="B7851" s="18"/>
      <c r="C7851" s="85"/>
      <c r="D7851" s="41"/>
      <c r="E7851" s="26" t="str">
        <f ca="1">IFERROR(__xludf.DUMMYFUNCTION("""COMPUTED_VALUE"""),"")</f>
        <v/>
      </c>
      <c r="F7851" s="72"/>
      <c r="G7851" s="72"/>
    </row>
    <row r="7852" spans="1:7" ht="14.5" hidden="1">
      <c r="A7852" s="5"/>
      <c r="B7852" s="18"/>
      <c r="C7852" s="85"/>
      <c r="D7852" s="41"/>
      <c r="E7852" s="26" t="str">
        <f ca="1">IFERROR(__xludf.DUMMYFUNCTION("""COMPUTED_VALUE"""),"")</f>
        <v/>
      </c>
      <c r="F7852" s="72"/>
      <c r="G7852" s="72"/>
    </row>
    <row r="7853" spans="1:7" ht="14.5" hidden="1">
      <c r="A7853" s="5"/>
      <c r="B7853" s="18"/>
      <c r="C7853" s="85"/>
      <c r="D7853" s="41"/>
      <c r="E7853" s="26" t="str">
        <f ca="1">IFERROR(__xludf.DUMMYFUNCTION("""COMPUTED_VALUE"""),"")</f>
        <v/>
      </c>
      <c r="F7853" s="72"/>
      <c r="G7853" s="72"/>
    </row>
    <row r="7854" spans="1:7" ht="14.5" hidden="1">
      <c r="A7854" s="5"/>
      <c r="B7854" s="18"/>
      <c r="C7854" s="85"/>
      <c r="D7854" s="41"/>
      <c r="E7854" s="26" t="str">
        <f ca="1">IFERROR(__xludf.DUMMYFUNCTION("""COMPUTED_VALUE"""),"")</f>
        <v/>
      </c>
      <c r="F7854" s="72"/>
      <c r="G7854" s="72"/>
    </row>
    <row r="7855" spans="1:7" ht="14.5" hidden="1">
      <c r="A7855" s="5"/>
      <c r="B7855" s="18"/>
      <c r="C7855" s="85"/>
      <c r="D7855" s="41"/>
      <c r="E7855" s="26" t="str">
        <f ca="1">IFERROR(__xludf.DUMMYFUNCTION("""COMPUTED_VALUE"""),"")</f>
        <v/>
      </c>
      <c r="F7855" s="72"/>
      <c r="G7855" s="72"/>
    </row>
    <row r="7856" spans="1:7" ht="14.5" hidden="1">
      <c r="A7856" s="5"/>
      <c r="B7856" s="18"/>
      <c r="C7856" s="85"/>
      <c r="D7856" s="41"/>
      <c r="E7856" s="26" t="str">
        <f ca="1">IFERROR(__xludf.DUMMYFUNCTION("""COMPUTED_VALUE"""),"")</f>
        <v/>
      </c>
      <c r="F7856" s="72"/>
      <c r="G7856" s="72"/>
    </row>
    <row r="7857" spans="1:7" ht="14.5" hidden="1">
      <c r="A7857" s="5"/>
      <c r="B7857" s="18"/>
      <c r="C7857" s="85"/>
      <c r="D7857" s="41"/>
      <c r="E7857" s="26" t="str">
        <f ca="1">IFERROR(__xludf.DUMMYFUNCTION("""COMPUTED_VALUE"""),"")</f>
        <v/>
      </c>
      <c r="F7857" s="72"/>
      <c r="G7857" s="72"/>
    </row>
    <row r="7858" spans="1:7" ht="14.5" hidden="1">
      <c r="A7858" s="5"/>
      <c r="B7858" s="18"/>
      <c r="C7858" s="85"/>
      <c r="D7858" s="41"/>
      <c r="E7858" s="26" t="str">
        <f ca="1">IFERROR(__xludf.DUMMYFUNCTION("""COMPUTED_VALUE"""),"")</f>
        <v/>
      </c>
      <c r="F7858" s="72"/>
      <c r="G7858" s="72"/>
    </row>
    <row r="7859" spans="1:7" ht="14.5" hidden="1">
      <c r="A7859" s="5"/>
      <c r="B7859" s="18"/>
      <c r="C7859" s="85"/>
      <c r="D7859" s="41"/>
      <c r="E7859" s="26" t="str">
        <f ca="1">IFERROR(__xludf.DUMMYFUNCTION("""COMPUTED_VALUE"""),"")</f>
        <v/>
      </c>
      <c r="F7859" s="72"/>
      <c r="G7859" s="72"/>
    </row>
    <row r="7860" spans="1:7" ht="14.5" hidden="1">
      <c r="A7860" s="5"/>
      <c r="B7860" s="18"/>
      <c r="C7860" s="85"/>
      <c r="D7860" s="41"/>
      <c r="E7860" s="26" t="str">
        <f ca="1">IFERROR(__xludf.DUMMYFUNCTION("""COMPUTED_VALUE"""),"")</f>
        <v/>
      </c>
      <c r="F7860" s="72"/>
      <c r="G7860" s="72"/>
    </row>
    <row r="7861" spans="1:7" ht="14.5" hidden="1">
      <c r="A7861" s="5"/>
      <c r="B7861" s="18"/>
      <c r="C7861" s="85"/>
      <c r="D7861" s="41"/>
      <c r="E7861" s="26" t="str">
        <f ca="1">IFERROR(__xludf.DUMMYFUNCTION("""COMPUTED_VALUE"""),"")</f>
        <v/>
      </c>
      <c r="F7861" s="72"/>
      <c r="G7861" s="72"/>
    </row>
    <row r="7862" spans="1:7" ht="14.5" hidden="1">
      <c r="A7862" s="5"/>
      <c r="B7862" s="18"/>
      <c r="C7862" s="85"/>
      <c r="D7862" s="41"/>
      <c r="E7862" s="26" t="str">
        <f ca="1">IFERROR(__xludf.DUMMYFUNCTION("""COMPUTED_VALUE"""),"")</f>
        <v/>
      </c>
      <c r="F7862" s="72"/>
      <c r="G7862" s="72"/>
    </row>
    <row r="7863" spans="1:7" ht="14.5" hidden="1">
      <c r="A7863" s="5"/>
      <c r="B7863" s="18"/>
      <c r="C7863" s="85"/>
      <c r="D7863" s="41"/>
      <c r="E7863" s="26" t="str">
        <f ca="1">IFERROR(__xludf.DUMMYFUNCTION("""COMPUTED_VALUE"""),"")</f>
        <v/>
      </c>
      <c r="F7863" s="72"/>
      <c r="G7863" s="72"/>
    </row>
    <row r="7864" spans="1:7" ht="14.5" hidden="1">
      <c r="A7864" s="5"/>
      <c r="B7864" s="18"/>
      <c r="C7864" s="85"/>
      <c r="D7864" s="41"/>
      <c r="E7864" s="26" t="str">
        <f ca="1">IFERROR(__xludf.DUMMYFUNCTION("""COMPUTED_VALUE"""),"")</f>
        <v/>
      </c>
      <c r="F7864" s="72"/>
      <c r="G7864" s="72"/>
    </row>
    <row r="7865" spans="1:7" ht="14.5" hidden="1">
      <c r="A7865" s="5"/>
      <c r="B7865" s="18"/>
      <c r="C7865" s="85"/>
      <c r="D7865" s="41"/>
      <c r="E7865" s="26" t="str">
        <f ca="1">IFERROR(__xludf.DUMMYFUNCTION("""COMPUTED_VALUE"""),"")</f>
        <v/>
      </c>
      <c r="F7865" s="72"/>
      <c r="G7865" s="72"/>
    </row>
    <row r="7866" spans="1:7" ht="14.5" hidden="1">
      <c r="A7866" s="5"/>
      <c r="B7866" s="18"/>
      <c r="C7866" s="85"/>
      <c r="D7866" s="41"/>
      <c r="E7866" s="26" t="str">
        <f ca="1">IFERROR(__xludf.DUMMYFUNCTION("""COMPUTED_VALUE"""),"")</f>
        <v/>
      </c>
      <c r="F7866" s="72"/>
      <c r="G7866" s="72"/>
    </row>
    <row r="7867" spans="1:7" ht="14.5" hidden="1">
      <c r="A7867" s="5"/>
      <c r="B7867" s="18"/>
      <c r="C7867" s="85"/>
      <c r="D7867" s="41"/>
      <c r="E7867" s="26" t="str">
        <f ca="1">IFERROR(__xludf.DUMMYFUNCTION("""COMPUTED_VALUE"""),"")</f>
        <v/>
      </c>
      <c r="F7867" s="72"/>
      <c r="G7867" s="72"/>
    </row>
    <row r="7868" spans="1:7" ht="14.5" hidden="1">
      <c r="A7868" s="5"/>
      <c r="B7868" s="18"/>
      <c r="C7868" s="85"/>
      <c r="D7868" s="41"/>
      <c r="E7868" s="26" t="str">
        <f ca="1">IFERROR(__xludf.DUMMYFUNCTION("""COMPUTED_VALUE"""),"")</f>
        <v/>
      </c>
      <c r="F7868" s="72"/>
      <c r="G7868" s="72"/>
    </row>
    <row r="7869" spans="1:7" ht="14.5" hidden="1">
      <c r="A7869" s="5"/>
      <c r="B7869" s="18"/>
      <c r="C7869" s="85"/>
      <c r="D7869" s="41"/>
      <c r="E7869" s="26" t="str">
        <f ca="1">IFERROR(__xludf.DUMMYFUNCTION("""COMPUTED_VALUE"""),"")</f>
        <v/>
      </c>
      <c r="F7869" s="72"/>
      <c r="G7869" s="72"/>
    </row>
    <row r="7870" spans="1:7" ht="14.5" hidden="1">
      <c r="A7870" s="5"/>
      <c r="B7870" s="18"/>
      <c r="C7870" s="85"/>
      <c r="D7870" s="41"/>
      <c r="E7870" s="26" t="str">
        <f ca="1">IFERROR(__xludf.DUMMYFUNCTION("""COMPUTED_VALUE"""),"")</f>
        <v/>
      </c>
      <c r="F7870" s="72"/>
      <c r="G7870" s="72"/>
    </row>
    <row r="7871" spans="1:7" ht="14.5" hidden="1">
      <c r="A7871" s="5"/>
      <c r="B7871" s="18"/>
      <c r="C7871" s="85"/>
      <c r="D7871" s="41"/>
      <c r="E7871" s="26" t="str">
        <f ca="1">IFERROR(__xludf.DUMMYFUNCTION("""COMPUTED_VALUE"""),"")</f>
        <v/>
      </c>
      <c r="F7871" s="72"/>
      <c r="G7871" s="72"/>
    </row>
    <row r="7872" spans="1:7" ht="14.5" hidden="1">
      <c r="A7872" s="5"/>
      <c r="B7872" s="18"/>
      <c r="C7872" s="85"/>
      <c r="D7872" s="41"/>
      <c r="E7872" s="26" t="str">
        <f ca="1">IFERROR(__xludf.DUMMYFUNCTION("""COMPUTED_VALUE"""),"")</f>
        <v/>
      </c>
      <c r="F7872" s="72"/>
      <c r="G7872" s="72"/>
    </row>
    <row r="7873" spans="1:7" ht="14.5" hidden="1">
      <c r="A7873" s="5"/>
      <c r="B7873" s="18"/>
      <c r="C7873" s="85"/>
      <c r="D7873" s="41"/>
      <c r="E7873" s="26" t="str">
        <f ca="1">IFERROR(__xludf.DUMMYFUNCTION("""COMPUTED_VALUE"""),"")</f>
        <v/>
      </c>
      <c r="F7873" s="72"/>
      <c r="G7873" s="72"/>
    </row>
    <row r="7874" spans="1:7" ht="14.5" hidden="1">
      <c r="A7874" s="5"/>
      <c r="B7874" s="18"/>
      <c r="C7874" s="85"/>
      <c r="D7874" s="41"/>
      <c r="E7874" s="26" t="str">
        <f ca="1">IFERROR(__xludf.DUMMYFUNCTION("""COMPUTED_VALUE"""),"")</f>
        <v/>
      </c>
      <c r="F7874" s="72"/>
      <c r="G7874" s="72"/>
    </row>
    <row r="7875" spans="1:7" ht="14.5" hidden="1">
      <c r="A7875" s="5"/>
      <c r="B7875" s="18"/>
      <c r="C7875" s="85"/>
      <c r="D7875" s="41"/>
      <c r="E7875" s="26" t="str">
        <f ca="1">IFERROR(__xludf.DUMMYFUNCTION("""COMPUTED_VALUE"""),"")</f>
        <v/>
      </c>
      <c r="F7875" s="72"/>
      <c r="G7875" s="72"/>
    </row>
    <row r="7876" spans="1:7" ht="14.5" hidden="1">
      <c r="A7876" s="5"/>
      <c r="B7876" s="18"/>
      <c r="C7876" s="85"/>
      <c r="D7876" s="41"/>
      <c r="E7876" s="26" t="str">
        <f ca="1">IFERROR(__xludf.DUMMYFUNCTION("""COMPUTED_VALUE"""),"")</f>
        <v/>
      </c>
      <c r="F7876" s="72"/>
      <c r="G7876" s="72"/>
    </row>
    <row r="7877" spans="1:7" ht="14.5" hidden="1">
      <c r="A7877" s="5"/>
      <c r="B7877" s="18"/>
      <c r="C7877" s="85"/>
      <c r="D7877" s="41"/>
      <c r="E7877" s="26" t="str">
        <f ca="1">IFERROR(__xludf.DUMMYFUNCTION("""COMPUTED_VALUE"""),"")</f>
        <v/>
      </c>
      <c r="F7877" s="72"/>
      <c r="G7877" s="72"/>
    </row>
    <row r="7878" spans="1:7" ht="14.5" hidden="1">
      <c r="A7878" s="5"/>
      <c r="B7878" s="18"/>
      <c r="C7878" s="85"/>
      <c r="D7878" s="41"/>
      <c r="E7878" s="26" t="str">
        <f ca="1">IFERROR(__xludf.DUMMYFUNCTION("""COMPUTED_VALUE"""),"")</f>
        <v/>
      </c>
      <c r="F7878" s="72"/>
      <c r="G7878" s="72"/>
    </row>
    <row r="7879" spans="1:7" ht="14.5" hidden="1">
      <c r="A7879" s="5"/>
      <c r="B7879" s="18"/>
      <c r="C7879" s="85"/>
      <c r="D7879" s="41"/>
      <c r="E7879" s="26" t="str">
        <f ca="1">IFERROR(__xludf.DUMMYFUNCTION("""COMPUTED_VALUE"""),"")</f>
        <v/>
      </c>
      <c r="F7879" s="72"/>
      <c r="G7879" s="72"/>
    </row>
    <row r="7880" spans="1:7" ht="14.5" hidden="1">
      <c r="A7880" s="5"/>
      <c r="B7880" s="18"/>
      <c r="C7880" s="85"/>
      <c r="D7880" s="41"/>
      <c r="E7880" s="26" t="str">
        <f ca="1">IFERROR(__xludf.DUMMYFUNCTION("""COMPUTED_VALUE"""),"")</f>
        <v/>
      </c>
      <c r="F7880" s="72"/>
      <c r="G7880" s="72"/>
    </row>
    <row r="7881" spans="1:7" ht="14.5" hidden="1">
      <c r="A7881" s="5"/>
      <c r="B7881" s="18"/>
      <c r="C7881" s="85"/>
      <c r="D7881" s="41"/>
      <c r="E7881" s="26" t="str">
        <f ca="1">IFERROR(__xludf.DUMMYFUNCTION("""COMPUTED_VALUE"""),"")</f>
        <v/>
      </c>
      <c r="F7881" s="72"/>
      <c r="G7881" s="72"/>
    </row>
    <row r="7882" spans="1:7" ht="14.5" hidden="1">
      <c r="A7882" s="5"/>
      <c r="B7882" s="18"/>
      <c r="C7882" s="85"/>
      <c r="D7882" s="41"/>
      <c r="E7882" s="26" t="str">
        <f ca="1">IFERROR(__xludf.DUMMYFUNCTION("""COMPUTED_VALUE"""),"")</f>
        <v/>
      </c>
      <c r="F7882" s="72"/>
      <c r="G7882" s="72"/>
    </row>
    <row r="7883" spans="1:7" ht="14.5" hidden="1">
      <c r="A7883" s="5"/>
      <c r="B7883" s="18"/>
      <c r="C7883" s="85"/>
      <c r="D7883" s="41"/>
      <c r="E7883" s="26" t="str">
        <f ca="1">IFERROR(__xludf.DUMMYFUNCTION("""COMPUTED_VALUE"""),"")</f>
        <v/>
      </c>
      <c r="F7883" s="72"/>
      <c r="G7883" s="72"/>
    </row>
    <row r="7884" spans="1:7" ht="14.5" hidden="1">
      <c r="A7884" s="5"/>
      <c r="B7884" s="18"/>
      <c r="C7884" s="85"/>
      <c r="D7884" s="41"/>
      <c r="E7884" s="26" t="str">
        <f ca="1">IFERROR(__xludf.DUMMYFUNCTION("""COMPUTED_VALUE"""),"")</f>
        <v/>
      </c>
      <c r="F7884" s="72"/>
      <c r="G7884" s="72"/>
    </row>
    <row r="7885" spans="1:7" ht="14.5" hidden="1">
      <c r="A7885" s="5"/>
      <c r="B7885" s="18"/>
      <c r="C7885" s="85"/>
      <c r="D7885" s="41"/>
      <c r="E7885" s="26" t="str">
        <f ca="1">IFERROR(__xludf.DUMMYFUNCTION("""COMPUTED_VALUE"""),"")</f>
        <v/>
      </c>
      <c r="F7885" s="72"/>
      <c r="G7885" s="72"/>
    </row>
    <row r="7886" spans="1:7" ht="14.5" hidden="1">
      <c r="A7886" s="5"/>
      <c r="B7886" s="18"/>
      <c r="C7886" s="85"/>
      <c r="D7886" s="41"/>
      <c r="E7886" s="26" t="str">
        <f ca="1">IFERROR(__xludf.DUMMYFUNCTION("""COMPUTED_VALUE"""),"")</f>
        <v/>
      </c>
      <c r="F7886" s="72"/>
      <c r="G7886" s="72"/>
    </row>
    <row r="7887" spans="1:7" ht="14.5" hidden="1">
      <c r="A7887" s="5"/>
      <c r="B7887" s="18"/>
      <c r="C7887" s="85"/>
      <c r="D7887" s="41"/>
      <c r="E7887" s="26" t="str">
        <f ca="1">IFERROR(__xludf.DUMMYFUNCTION("""COMPUTED_VALUE"""),"")</f>
        <v/>
      </c>
      <c r="F7887" s="72"/>
      <c r="G7887" s="72"/>
    </row>
    <row r="7888" spans="1:7" ht="14.5" hidden="1">
      <c r="A7888" s="5"/>
      <c r="B7888" s="18"/>
      <c r="C7888" s="85"/>
      <c r="D7888" s="41"/>
      <c r="E7888" s="26" t="str">
        <f ca="1">IFERROR(__xludf.DUMMYFUNCTION("""COMPUTED_VALUE"""),"")</f>
        <v/>
      </c>
      <c r="F7888" s="72"/>
      <c r="G7888" s="72"/>
    </row>
    <row r="7889" spans="1:7" ht="14.5" hidden="1">
      <c r="A7889" s="5"/>
      <c r="B7889" s="18"/>
      <c r="C7889" s="85"/>
      <c r="D7889" s="41"/>
      <c r="E7889" s="26" t="str">
        <f ca="1">IFERROR(__xludf.DUMMYFUNCTION("""COMPUTED_VALUE"""),"")</f>
        <v/>
      </c>
      <c r="F7889" s="72"/>
      <c r="G7889" s="72"/>
    </row>
    <row r="7890" spans="1:7" ht="14.5" hidden="1">
      <c r="A7890" s="5"/>
      <c r="B7890" s="18"/>
      <c r="C7890" s="85"/>
      <c r="D7890" s="41"/>
      <c r="E7890" s="26" t="str">
        <f ca="1">IFERROR(__xludf.DUMMYFUNCTION("""COMPUTED_VALUE"""),"")</f>
        <v/>
      </c>
      <c r="F7890" s="72"/>
      <c r="G7890" s="72"/>
    </row>
    <row r="7891" spans="1:7" ht="14.5" hidden="1">
      <c r="A7891" s="5"/>
      <c r="B7891" s="18"/>
      <c r="C7891" s="85"/>
      <c r="D7891" s="41"/>
      <c r="E7891" s="26" t="str">
        <f ca="1">IFERROR(__xludf.DUMMYFUNCTION("""COMPUTED_VALUE"""),"")</f>
        <v/>
      </c>
      <c r="F7891" s="72"/>
      <c r="G7891" s="72"/>
    </row>
    <row r="7892" spans="1:7" ht="14.5" hidden="1">
      <c r="A7892" s="5"/>
      <c r="B7892" s="18"/>
      <c r="C7892" s="85"/>
      <c r="D7892" s="41"/>
      <c r="E7892" s="26" t="str">
        <f ca="1">IFERROR(__xludf.DUMMYFUNCTION("""COMPUTED_VALUE"""),"")</f>
        <v/>
      </c>
      <c r="F7892" s="72"/>
      <c r="G7892" s="72"/>
    </row>
    <row r="7893" spans="1:7" ht="14.5" hidden="1">
      <c r="A7893" s="5"/>
      <c r="B7893" s="18"/>
      <c r="C7893" s="85"/>
      <c r="D7893" s="41"/>
      <c r="E7893" s="26" t="str">
        <f ca="1">IFERROR(__xludf.DUMMYFUNCTION("""COMPUTED_VALUE"""),"")</f>
        <v/>
      </c>
      <c r="F7893" s="72"/>
      <c r="G7893" s="72"/>
    </row>
    <row r="7894" spans="1:7" ht="14.5" hidden="1">
      <c r="A7894" s="5"/>
      <c r="B7894" s="18"/>
      <c r="C7894" s="85"/>
      <c r="D7894" s="41"/>
      <c r="E7894" s="26" t="str">
        <f ca="1">IFERROR(__xludf.DUMMYFUNCTION("""COMPUTED_VALUE"""),"")</f>
        <v/>
      </c>
      <c r="F7894" s="72"/>
      <c r="G7894" s="72"/>
    </row>
    <row r="7895" spans="1:7" ht="14.5" hidden="1">
      <c r="A7895" s="5"/>
      <c r="B7895" s="18"/>
      <c r="C7895" s="85"/>
      <c r="D7895" s="41"/>
      <c r="E7895" s="26" t="str">
        <f ca="1">IFERROR(__xludf.DUMMYFUNCTION("""COMPUTED_VALUE"""),"")</f>
        <v/>
      </c>
      <c r="F7895" s="72"/>
      <c r="G7895" s="72"/>
    </row>
    <row r="7896" spans="1:7" ht="14.5" hidden="1">
      <c r="A7896" s="5"/>
      <c r="B7896" s="18"/>
      <c r="C7896" s="85"/>
      <c r="D7896" s="41"/>
      <c r="E7896" s="26" t="str">
        <f ca="1">IFERROR(__xludf.DUMMYFUNCTION("""COMPUTED_VALUE"""),"")</f>
        <v/>
      </c>
      <c r="F7896" s="72"/>
      <c r="G7896" s="72"/>
    </row>
    <row r="7897" spans="1:7" ht="14.5" hidden="1">
      <c r="A7897" s="5"/>
      <c r="B7897" s="18"/>
      <c r="C7897" s="85"/>
      <c r="D7897" s="41"/>
      <c r="E7897" s="26" t="str">
        <f ca="1">IFERROR(__xludf.DUMMYFUNCTION("""COMPUTED_VALUE"""),"")</f>
        <v/>
      </c>
      <c r="F7897" s="72"/>
      <c r="G7897" s="72"/>
    </row>
    <row r="7898" spans="1:7" ht="14.5" hidden="1">
      <c r="A7898" s="5"/>
      <c r="B7898" s="18"/>
      <c r="C7898" s="85"/>
      <c r="D7898" s="41"/>
      <c r="E7898" s="26" t="str">
        <f ca="1">IFERROR(__xludf.DUMMYFUNCTION("""COMPUTED_VALUE"""),"")</f>
        <v/>
      </c>
      <c r="F7898" s="72"/>
      <c r="G7898" s="72"/>
    </row>
    <row r="7899" spans="1:7" ht="14.5" hidden="1">
      <c r="A7899" s="5"/>
      <c r="B7899" s="18"/>
      <c r="C7899" s="85"/>
      <c r="D7899" s="41"/>
      <c r="E7899" s="26" t="str">
        <f ca="1">IFERROR(__xludf.DUMMYFUNCTION("""COMPUTED_VALUE"""),"")</f>
        <v/>
      </c>
      <c r="F7899" s="72"/>
      <c r="G7899" s="72"/>
    </row>
    <row r="7900" spans="1:7" ht="14.5" hidden="1">
      <c r="A7900" s="5"/>
      <c r="B7900" s="18"/>
      <c r="C7900" s="85"/>
      <c r="D7900" s="41"/>
      <c r="E7900" s="26" t="str">
        <f ca="1">IFERROR(__xludf.DUMMYFUNCTION("""COMPUTED_VALUE"""),"")</f>
        <v/>
      </c>
      <c r="F7900" s="72"/>
      <c r="G7900" s="72"/>
    </row>
    <row r="7901" spans="1:7" ht="14.5" hidden="1">
      <c r="A7901" s="5"/>
      <c r="B7901" s="18"/>
      <c r="C7901" s="85"/>
      <c r="D7901" s="41"/>
      <c r="E7901" s="26" t="str">
        <f ca="1">IFERROR(__xludf.DUMMYFUNCTION("""COMPUTED_VALUE"""),"")</f>
        <v/>
      </c>
      <c r="F7901" s="72"/>
      <c r="G7901" s="72"/>
    </row>
    <row r="7902" spans="1:7" ht="14.5" hidden="1">
      <c r="A7902" s="5"/>
      <c r="B7902" s="18"/>
      <c r="C7902" s="85"/>
      <c r="D7902" s="41"/>
      <c r="E7902" s="26" t="str">
        <f ca="1">IFERROR(__xludf.DUMMYFUNCTION("""COMPUTED_VALUE"""),"")</f>
        <v/>
      </c>
      <c r="F7902" s="72"/>
      <c r="G7902" s="72"/>
    </row>
    <row r="7903" spans="1:7" ht="14.5" hidden="1">
      <c r="A7903" s="5"/>
      <c r="B7903" s="18"/>
      <c r="C7903" s="85"/>
      <c r="D7903" s="41"/>
      <c r="E7903" s="26" t="str">
        <f ca="1">IFERROR(__xludf.DUMMYFUNCTION("""COMPUTED_VALUE"""),"")</f>
        <v/>
      </c>
      <c r="F7903" s="72"/>
      <c r="G7903" s="72"/>
    </row>
    <row r="7904" spans="1:7" ht="14.5" hidden="1">
      <c r="A7904" s="5"/>
      <c r="B7904" s="18"/>
      <c r="C7904" s="85"/>
      <c r="D7904" s="41"/>
      <c r="E7904" s="26" t="str">
        <f ca="1">IFERROR(__xludf.DUMMYFUNCTION("""COMPUTED_VALUE"""),"")</f>
        <v/>
      </c>
      <c r="F7904" s="72"/>
      <c r="G7904" s="72"/>
    </row>
    <row r="7905" spans="1:7" ht="14.5" hidden="1">
      <c r="A7905" s="5"/>
      <c r="B7905" s="18"/>
      <c r="C7905" s="85"/>
      <c r="D7905" s="41"/>
      <c r="E7905" s="26" t="str">
        <f ca="1">IFERROR(__xludf.DUMMYFUNCTION("""COMPUTED_VALUE"""),"")</f>
        <v/>
      </c>
      <c r="F7905" s="72"/>
      <c r="G7905" s="72"/>
    </row>
    <row r="7906" spans="1:7" ht="14.5" hidden="1">
      <c r="A7906" s="5"/>
      <c r="B7906" s="18"/>
      <c r="C7906" s="85"/>
      <c r="D7906" s="41"/>
      <c r="E7906" s="26" t="str">
        <f ca="1">IFERROR(__xludf.DUMMYFUNCTION("""COMPUTED_VALUE"""),"")</f>
        <v/>
      </c>
      <c r="F7906" s="72"/>
      <c r="G7906" s="72"/>
    </row>
    <row r="7907" spans="1:7" ht="14.5" hidden="1">
      <c r="A7907" s="5"/>
      <c r="B7907" s="18"/>
      <c r="C7907" s="85"/>
      <c r="D7907" s="41"/>
      <c r="E7907" s="26" t="str">
        <f ca="1">IFERROR(__xludf.DUMMYFUNCTION("""COMPUTED_VALUE"""),"")</f>
        <v/>
      </c>
      <c r="F7907" s="72"/>
      <c r="G7907" s="72"/>
    </row>
    <row r="7908" spans="1:7" ht="14.5" hidden="1">
      <c r="A7908" s="5"/>
      <c r="B7908" s="18"/>
      <c r="C7908" s="85"/>
      <c r="D7908" s="41"/>
      <c r="E7908" s="26" t="str">
        <f ca="1">IFERROR(__xludf.DUMMYFUNCTION("""COMPUTED_VALUE"""),"")</f>
        <v/>
      </c>
      <c r="F7908" s="72"/>
      <c r="G7908" s="72"/>
    </row>
    <row r="7909" spans="1:7" ht="14.5" hidden="1">
      <c r="A7909" s="5"/>
      <c r="B7909" s="18"/>
      <c r="C7909" s="85"/>
      <c r="D7909" s="41"/>
      <c r="E7909" s="26" t="str">
        <f ca="1">IFERROR(__xludf.DUMMYFUNCTION("""COMPUTED_VALUE"""),"")</f>
        <v/>
      </c>
      <c r="F7909" s="72"/>
      <c r="G7909" s="72"/>
    </row>
    <row r="7910" spans="1:7" ht="14.5" hidden="1">
      <c r="A7910" s="5"/>
      <c r="B7910" s="18"/>
      <c r="C7910" s="85"/>
      <c r="D7910" s="41"/>
      <c r="E7910" s="26" t="str">
        <f ca="1">IFERROR(__xludf.DUMMYFUNCTION("""COMPUTED_VALUE"""),"")</f>
        <v/>
      </c>
      <c r="F7910" s="72"/>
      <c r="G7910" s="72"/>
    </row>
    <row r="7911" spans="1:7" ht="14.5" hidden="1">
      <c r="A7911" s="5"/>
      <c r="B7911" s="18"/>
      <c r="C7911" s="85"/>
      <c r="D7911" s="41"/>
      <c r="E7911" s="26" t="str">
        <f ca="1">IFERROR(__xludf.DUMMYFUNCTION("""COMPUTED_VALUE"""),"")</f>
        <v/>
      </c>
      <c r="F7911" s="72"/>
      <c r="G7911" s="72"/>
    </row>
    <row r="7912" spans="1:7" ht="14.5" hidden="1">
      <c r="A7912" s="5"/>
      <c r="B7912" s="18"/>
      <c r="C7912" s="85"/>
      <c r="D7912" s="41"/>
      <c r="E7912" s="26" t="str">
        <f ca="1">IFERROR(__xludf.DUMMYFUNCTION("""COMPUTED_VALUE"""),"")</f>
        <v/>
      </c>
      <c r="F7912" s="72"/>
      <c r="G7912" s="72"/>
    </row>
    <row r="7913" spans="1:7" ht="14.5" hidden="1">
      <c r="A7913" s="5"/>
      <c r="B7913" s="18"/>
      <c r="C7913" s="85"/>
      <c r="D7913" s="41"/>
      <c r="E7913" s="26" t="str">
        <f ca="1">IFERROR(__xludf.DUMMYFUNCTION("""COMPUTED_VALUE"""),"")</f>
        <v/>
      </c>
      <c r="F7913" s="72"/>
      <c r="G7913" s="72"/>
    </row>
    <row r="7914" spans="1:7" ht="14.5" hidden="1">
      <c r="A7914" s="5"/>
      <c r="B7914" s="18"/>
      <c r="C7914" s="85"/>
      <c r="D7914" s="41"/>
      <c r="E7914" s="26" t="str">
        <f ca="1">IFERROR(__xludf.DUMMYFUNCTION("""COMPUTED_VALUE"""),"")</f>
        <v/>
      </c>
      <c r="F7914" s="72"/>
      <c r="G7914" s="72"/>
    </row>
    <row r="7915" spans="1:7" ht="14.5" hidden="1">
      <c r="A7915" s="5"/>
      <c r="B7915" s="18"/>
      <c r="C7915" s="85"/>
      <c r="D7915" s="41"/>
      <c r="E7915" s="26" t="str">
        <f ca="1">IFERROR(__xludf.DUMMYFUNCTION("""COMPUTED_VALUE"""),"")</f>
        <v/>
      </c>
      <c r="F7915" s="72"/>
      <c r="G7915" s="72"/>
    </row>
    <row r="7916" spans="1:7" ht="14.5" hidden="1">
      <c r="A7916" s="5"/>
      <c r="B7916" s="18"/>
      <c r="C7916" s="85"/>
      <c r="D7916" s="41"/>
      <c r="E7916" s="26" t="str">
        <f ca="1">IFERROR(__xludf.DUMMYFUNCTION("""COMPUTED_VALUE"""),"")</f>
        <v/>
      </c>
      <c r="F7916" s="72"/>
      <c r="G7916" s="72"/>
    </row>
    <row r="7917" spans="1:7" ht="14.5" hidden="1">
      <c r="A7917" s="5"/>
      <c r="B7917" s="18"/>
      <c r="C7917" s="85"/>
      <c r="D7917" s="41"/>
      <c r="E7917" s="26" t="str">
        <f ca="1">IFERROR(__xludf.DUMMYFUNCTION("""COMPUTED_VALUE"""),"")</f>
        <v/>
      </c>
      <c r="F7917" s="72"/>
      <c r="G7917" s="72"/>
    </row>
    <row r="7918" spans="1:7" ht="14.5" hidden="1">
      <c r="A7918" s="5"/>
      <c r="B7918" s="18"/>
      <c r="C7918" s="85"/>
      <c r="D7918" s="41"/>
      <c r="E7918" s="26" t="str">
        <f ca="1">IFERROR(__xludf.DUMMYFUNCTION("""COMPUTED_VALUE"""),"")</f>
        <v/>
      </c>
      <c r="F7918" s="72"/>
      <c r="G7918" s="72"/>
    </row>
    <row r="7919" spans="1:7" ht="14.5" hidden="1">
      <c r="A7919" s="5"/>
      <c r="B7919" s="18"/>
      <c r="C7919" s="85"/>
      <c r="D7919" s="41"/>
      <c r="E7919" s="26" t="str">
        <f ca="1">IFERROR(__xludf.DUMMYFUNCTION("""COMPUTED_VALUE"""),"")</f>
        <v/>
      </c>
      <c r="F7919" s="72"/>
      <c r="G7919" s="72"/>
    </row>
    <row r="7920" spans="1:7" ht="14.5" hidden="1">
      <c r="A7920" s="5"/>
      <c r="B7920" s="18"/>
      <c r="C7920" s="85"/>
      <c r="D7920" s="41"/>
      <c r="E7920" s="26" t="str">
        <f ca="1">IFERROR(__xludf.DUMMYFUNCTION("""COMPUTED_VALUE"""),"")</f>
        <v/>
      </c>
      <c r="F7920" s="72"/>
      <c r="G7920" s="72"/>
    </row>
    <row r="7921" spans="1:7" ht="14.5" hidden="1">
      <c r="A7921" s="5"/>
      <c r="B7921" s="18"/>
      <c r="C7921" s="85"/>
      <c r="D7921" s="41"/>
      <c r="E7921" s="26" t="str">
        <f ca="1">IFERROR(__xludf.DUMMYFUNCTION("""COMPUTED_VALUE"""),"")</f>
        <v/>
      </c>
      <c r="F7921" s="72"/>
      <c r="G7921" s="72"/>
    </row>
    <row r="7922" spans="1:7" ht="14.5" hidden="1">
      <c r="A7922" s="5"/>
      <c r="B7922" s="18"/>
      <c r="C7922" s="85"/>
      <c r="D7922" s="41"/>
      <c r="E7922" s="26" t="str">
        <f ca="1">IFERROR(__xludf.DUMMYFUNCTION("""COMPUTED_VALUE"""),"")</f>
        <v/>
      </c>
      <c r="F7922" s="72"/>
      <c r="G7922" s="72"/>
    </row>
    <row r="7923" spans="1:7" ht="14.5" hidden="1">
      <c r="A7923" s="5"/>
      <c r="B7923" s="18"/>
      <c r="C7923" s="85"/>
      <c r="D7923" s="41"/>
      <c r="E7923" s="26" t="str">
        <f ca="1">IFERROR(__xludf.DUMMYFUNCTION("""COMPUTED_VALUE"""),"")</f>
        <v/>
      </c>
      <c r="F7923" s="72"/>
      <c r="G7923" s="72"/>
    </row>
    <row r="7924" spans="1:7" ht="14.5" hidden="1">
      <c r="A7924" s="5"/>
      <c r="B7924" s="18"/>
      <c r="C7924" s="85"/>
      <c r="D7924" s="41"/>
      <c r="E7924" s="26" t="str">
        <f ca="1">IFERROR(__xludf.DUMMYFUNCTION("""COMPUTED_VALUE"""),"")</f>
        <v/>
      </c>
      <c r="F7924" s="72"/>
      <c r="G7924" s="72"/>
    </row>
    <row r="7925" spans="1:7" ht="14.5" hidden="1">
      <c r="A7925" s="5"/>
      <c r="B7925" s="18"/>
      <c r="C7925" s="85"/>
      <c r="D7925" s="41"/>
      <c r="E7925" s="26" t="str">
        <f ca="1">IFERROR(__xludf.DUMMYFUNCTION("""COMPUTED_VALUE"""),"")</f>
        <v/>
      </c>
      <c r="F7925" s="72"/>
      <c r="G7925" s="74"/>
    </row>
    <row r="7926" spans="1:7" ht="14.5" hidden="1">
      <c r="A7926" s="5"/>
      <c r="B7926" s="18"/>
      <c r="C7926" s="85"/>
      <c r="D7926" s="41"/>
      <c r="E7926" s="26" t="str">
        <f ca="1">IFERROR(__xludf.DUMMYFUNCTION("""COMPUTED_VALUE"""),"")</f>
        <v/>
      </c>
      <c r="F7926" s="72"/>
      <c r="G7926" s="72"/>
    </row>
    <row r="7927" spans="1:7" ht="14.5" hidden="1">
      <c r="A7927" s="5"/>
      <c r="B7927" s="18"/>
      <c r="C7927" s="85"/>
      <c r="D7927" s="41"/>
      <c r="E7927" s="26" t="str">
        <f ca="1">IFERROR(__xludf.DUMMYFUNCTION("""COMPUTED_VALUE"""),"")</f>
        <v/>
      </c>
      <c r="F7927" s="72"/>
      <c r="G7927" s="72"/>
    </row>
    <row r="7928" spans="1:7" ht="14.5" hidden="1">
      <c r="A7928" s="5"/>
      <c r="B7928" s="18"/>
      <c r="C7928" s="85"/>
      <c r="D7928" s="41"/>
      <c r="E7928" s="26" t="str">
        <f ca="1">IFERROR(__xludf.DUMMYFUNCTION("""COMPUTED_VALUE"""),"")</f>
        <v/>
      </c>
      <c r="F7928" s="72"/>
      <c r="G7928" s="72"/>
    </row>
    <row r="7929" spans="1:7" ht="14.5" hidden="1">
      <c r="A7929" s="5"/>
      <c r="B7929" s="18"/>
      <c r="C7929" s="85"/>
      <c r="D7929" s="41"/>
      <c r="E7929" s="26" t="str">
        <f ca="1">IFERROR(__xludf.DUMMYFUNCTION("""COMPUTED_VALUE"""),"")</f>
        <v/>
      </c>
      <c r="F7929" s="72"/>
      <c r="G7929" s="72"/>
    </row>
    <row r="7930" spans="1:7" ht="14.5" hidden="1">
      <c r="A7930" s="5"/>
      <c r="B7930" s="18"/>
      <c r="C7930" s="85"/>
      <c r="D7930" s="41"/>
      <c r="E7930" s="26" t="str">
        <f ca="1">IFERROR(__xludf.DUMMYFUNCTION("""COMPUTED_VALUE"""),"")</f>
        <v/>
      </c>
      <c r="F7930" s="72"/>
      <c r="G7930" s="72"/>
    </row>
    <row r="7931" spans="1:7" ht="14.5" hidden="1">
      <c r="A7931" s="5"/>
      <c r="B7931" s="18"/>
      <c r="C7931" s="85"/>
      <c r="D7931" s="41"/>
      <c r="E7931" s="26" t="str">
        <f ca="1">IFERROR(__xludf.DUMMYFUNCTION("""COMPUTED_VALUE"""),"")</f>
        <v/>
      </c>
      <c r="F7931" s="72"/>
      <c r="G7931" s="72"/>
    </row>
    <row r="7932" spans="1:7" ht="14.5" hidden="1">
      <c r="A7932" s="5"/>
      <c r="B7932" s="18"/>
      <c r="C7932" s="85"/>
      <c r="D7932" s="41"/>
      <c r="E7932" s="26" t="str">
        <f ca="1">IFERROR(__xludf.DUMMYFUNCTION("""COMPUTED_VALUE"""),"")</f>
        <v/>
      </c>
      <c r="F7932" s="72"/>
      <c r="G7932" s="72"/>
    </row>
    <row r="7933" spans="1:7" ht="14.5" hidden="1">
      <c r="A7933" s="5"/>
      <c r="B7933" s="18"/>
      <c r="C7933" s="85"/>
      <c r="D7933" s="41"/>
      <c r="E7933" s="26" t="str">
        <f ca="1">IFERROR(__xludf.DUMMYFUNCTION("""COMPUTED_VALUE"""),"")</f>
        <v/>
      </c>
      <c r="F7933" s="72"/>
      <c r="G7933" s="72"/>
    </row>
    <row r="7934" spans="1:7" ht="14.5" hidden="1">
      <c r="A7934" s="5"/>
      <c r="B7934" s="18"/>
      <c r="C7934" s="85"/>
      <c r="D7934" s="41"/>
      <c r="E7934" s="26" t="str">
        <f ca="1">IFERROR(__xludf.DUMMYFUNCTION("""COMPUTED_VALUE"""),"")</f>
        <v/>
      </c>
      <c r="F7934" s="72"/>
      <c r="G7934" s="72"/>
    </row>
    <row r="7935" spans="1:7" ht="14.5" hidden="1">
      <c r="A7935" s="5"/>
      <c r="B7935" s="18"/>
      <c r="C7935" s="85"/>
      <c r="D7935" s="41"/>
      <c r="E7935" s="26" t="str">
        <f ca="1">IFERROR(__xludf.DUMMYFUNCTION("""COMPUTED_VALUE"""),"")</f>
        <v/>
      </c>
      <c r="F7935" s="72"/>
      <c r="G7935" s="72"/>
    </row>
    <row r="7936" spans="1:7" ht="14.5" hidden="1">
      <c r="A7936" s="5"/>
      <c r="B7936" s="18"/>
      <c r="C7936" s="85"/>
      <c r="D7936" s="41"/>
      <c r="E7936" s="26" t="str">
        <f ca="1">IFERROR(__xludf.DUMMYFUNCTION("""COMPUTED_VALUE"""),"")</f>
        <v/>
      </c>
      <c r="F7936" s="72"/>
      <c r="G7936" s="72"/>
    </row>
    <row r="7937" spans="1:7" ht="14.5" hidden="1">
      <c r="A7937" s="5"/>
      <c r="B7937" s="18"/>
      <c r="C7937" s="85"/>
      <c r="D7937" s="41"/>
      <c r="E7937" s="26" t="str">
        <f ca="1">IFERROR(__xludf.DUMMYFUNCTION("""COMPUTED_VALUE"""),"")</f>
        <v/>
      </c>
      <c r="F7937" s="72"/>
      <c r="G7937" s="72"/>
    </row>
    <row r="7938" spans="1:7" ht="14.5" hidden="1">
      <c r="A7938" s="5"/>
      <c r="B7938" s="18"/>
      <c r="C7938" s="85"/>
      <c r="D7938" s="41"/>
      <c r="E7938" s="26" t="str">
        <f ca="1">IFERROR(__xludf.DUMMYFUNCTION("""COMPUTED_VALUE"""),"")</f>
        <v/>
      </c>
      <c r="F7938" s="72"/>
      <c r="G7938" s="72"/>
    </row>
    <row r="7939" spans="1:7" ht="14.5" hidden="1">
      <c r="A7939" s="5"/>
      <c r="B7939" s="18"/>
      <c r="C7939" s="85"/>
      <c r="D7939" s="41"/>
      <c r="E7939" s="26" t="str">
        <f ca="1">IFERROR(__xludf.DUMMYFUNCTION("""COMPUTED_VALUE"""),"")</f>
        <v/>
      </c>
      <c r="F7939" s="72"/>
      <c r="G7939" s="72"/>
    </row>
    <row r="7940" spans="1:7" ht="14.5" hidden="1">
      <c r="A7940" s="5"/>
      <c r="B7940" s="18"/>
      <c r="C7940" s="85"/>
      <c r="D7940" s="41"/>
      <c r="E7940" s="26" t="str">
        <f ca="1">IFERROR(__xludf.DUMMYFUNCTION("""COMPUTED_VALUE"""),"")</f>
        <v/>
      </c>
      <c r="F7940" s="72"/>
      <c r="G7940" s="72"/>
    </row>
    <row r="7941" spans="1:7" ht="14.5" hidden="1">
      <c r="A7941" s="5"/>
      <c r="B7941" s="18"/>
      <c r="C7941" s="85"/>
      <c r="D7941" s="41"/>
      <c r="E7941" s="26" t="str">
        <f ca="1">IFERROR(__xludf.DUMMYFUNCTION("""COMPUTED_VALUE"""),"")</f>
        <v/>
      </c>
      <c r="F7941" s="72"/>
      <c r="G7941" s="72"/>
    </row>
    <row r="7942" spans="1:7" ht="14.5" hidden="1">
      <c r="A7942" s="5"/>
      <c r="B7942" s="18"/>
      <c r="C7942" s="85"/>
      <c r="D7942" s="41"/>
      <c r="E7942" s="26" t="str">
        <f ca="1">IFERROR(__xludf.DUMMYFUNCTION("""COMPUTED_VALUE"""),"")</f>
        <v/>
      </c>
      <c r="F7942" s="72"/>
      <c r="G7942" s="72"/>
    </row>
    <row r="7943" spans="1:7" ht="14.5" hidden="1">
      <c r="A7943" s="5"/>
      <c r="B7943" s="18"/>
      <c r="C7943" s="85"/>
      <c r="D7943" s="41"/>
      <c r="E7943" s="26" t="str">
        <f ca="1">IFERROR(__xludf.DUMMYFUNCTION("""COMPUTED_VALUE"""),"")</f>
        <v/>
      </c>
      <c r="F7943" s="72"/>
      <c r="G7943" s="72"/>
    </row>
    <row r="7944" spans="1:7" ht="14.5" hidden="1">
      <c r="A7944" s="5"/>
      <c r="B7944" s="18"/>
      <c r="C7944" s="85"/>
      <c r="D7944" s="41"/>
      <c r="E7944" s="26" t="str">
        <f ca="1">IFERROR(__xludf.DUMMYFUNCTION("""COMPUTED_VALUE"""),"")</f>
        <v/>
      </c>
      <c r="F7944" s="72"/>
      <c r="G7944" s="72"/>
    </row>
    <row r="7945" spans="1:7" ht="14.5" hidden="1">
      <c r="A7945" s="5"/>
      <c r="B7945" s="18"/>
      <c r="C7945" s="85"/>
      <c r="D7945" s="41"/>
      <c r="E7945" s="26" t="str">
        <f ca="1">IFERROR(__xludf.DUMMYFUNCTION("""COMPUTED_VALUE"""),"")</f>
        <v/>
      </c>
      <c r="F7945" s="72"/>
      <c r="G7945" s="72"/>
    </row>
    <row r="7946" spans="1:7" ht="14.5" hidden="1">
      <c r="A7946" s="5"/>
      <c r="B7946" s="18"/>
      <c r="C7946" s="85"/>
      <c r="D7946" s="41"/>
      <c r="E7946" s="26" t="str">
        <f ca="1">IFERROR(__xludf.DUMMYFUNCTION("""COMPUTED_VALUE"""),"")</f>
        <v/>
      </c>
      <c r="F7946" s="72"/>
      <c r="G7946" s="72"/>
    </row>
    <row r="7947" spans="1:7" ht="14.5" hidden="1">
      <c r="A7947" s="5"/>
      <c r="B7947" s="18"/>
      <c r="C7947" s="85"/>
      <c r="D7947" s="41"/>
      <c r="E7947" s="26" t="str">
        <f ca="1">IFERROR(__xludf.DUMMYFUNCTION("""COMPUTED_VALUE"""),"")</f>
        <v/>
      </c>
      <c r="F7947" s="72"/>
      <c r="G7947" s="72"/>
    </row>
    <row r="7948" spans="1:7" ht="14.5" hidden="1">
      <c r="A7948" s="5"/>
      <c r="B7948" s="18"/>
      <c r="C7948" s="85"/>
      <c r="D7948" s="41"/>
      <c r="E7948" s="26" t="str">
        <f ca="1">IFERROR(__xludf.DUMMYFUNCTION("""COMPUTED_VALUE"""),"")</f>
        <v/>
      </c>
      <c r="F7948" s="72"/>
      <c r="G7948" s="72"/>
    </row>
    <row r="7949" spans="1:7" ht="14.5" hidden="1">
      <c r="A7949" s="5"/>
      <c r="B7949" s="18"/>
      <c r="C7949" s="85"/>
      <c r="D7949" s="41"/>
      <c r="E7949" s="26" t="str">
        <f ca="1">IFERROR(__xludf.DUMMYFUNCTION("""COMPUTED_VALUE"""),"")</f>
        <v/>
      </c>
      <c r="F7949" s="72"/>
      <c r="G7949" s="72"/>
    </row>
    <row r="7950" spans="1:7" ht="14.5" hidden="1">
      <c r="A7950" s="5"/>
      <c r="B7950" s="18"/>
      <c r="C7950" s="85"/>
      <c r="D7950" s="41"/>
      <c r="E7950" s="26" t="str">
        <f ca="1">IFERROR(__xludf.DUMMYFUNCTION("""COMPUTED_VALUE"""),"")</f>
        <v/>
      </c>
      <c r="F7950" s="72"/>
      <c r="G7950" s="72"/>
    </row>
    <row r="7951" spans="1:7" ht="14.5" hidden="1">
      <c r="A7951" s="5"/>
      <c r="B7951" s="18"/>
      <c r="C7951" s="85"/>
      <c r="D7951" s="41"/>
      <c r="E7951" s="26" t="str">
        <f ca="1">IFERROR(__xludf.DUMMYFUNCTION("""COMPUTED_VALUE"""),"")</f>
        <v/>
      </c>
      <c r="F7951" s="72"/>
      <c r="G7951" s="72"/>
    </row>
    <row r="7952" spans="1:7" ht="14.5" hidden="1">
      <c r="A7952" s="5"/>
      <c r="B7952" s="18"/>
      <c r="C7952" s="85"/>
      <c r="D7952" s="41"/>
      <c r="E7952" s="26" t="str">
        <f ca="1">IFERROR(__xludf.DUMMYFUNCTION("""COMPUTED_VALUE"""),"")</f>
        <v/>
      </c>
      <c r="F7952" s="72"/>
      <c r="G7952" s="72"/>
    </row>
    <row r="7953" spans="1:7" ht="14.5" hidden="1">
      <c r="A7953" s="5"/>
      <c r="B7953" s="18"/>
      <c r="C7953" s="85"/>
      <c r="D7953" s="41"/>
      <c r="E7953" s="26" t="str">
        <f ca="1">IFERROR(__xludf.DUMMYFUNCTION("""COMPUTED_VALUE"""),"")</f>
        <v/>
      </c>
      <c r="F7953" s="72"/>
      <c r="G7953" s="72"/>
    </row>
    <row r="7954" spans="1:7" ht="14.5" hidden="1">
      <c r="A7954" s="5"/>
      <c r="B7954" s="18"/>
      <c r="C7954" s="85"/>
      <c r="D7954" s="41"/>
      <c r="E7954" s="26" t="str">
        <f ca="1">IFERROR(__xludf.DUMMYFUNCTION("""COMPUTED_VALUE"""),"")</f>
        <v/>
      </c>
      <c r="F7954" s="72"/>
      <c r="G7954" s="72"/>
    </row>
    <row r="7955" spans="1:7" ht="14.5" hidden="1">
      <c r="A7955" s="5"/>
      <c r="B7955" s="18"/>
      <c r="C7955" s="85"/>
      <c r="D7955" s="41"/>
      <c r="E7955" s="26" t="str">
        <f ca="1">IFERROR(__xludf.DUMMYFUNCTION("""COMPUTED_VALUE"""),"")</f>
        <v/>
      </c>
      <c r="F7955" s="72"/>
      <c r="G7955" s="72"/>
    </row>
    <row r="7956" spans="1:7" ht="14.5" hidden="1">
      <c r="A7956" s="5"/>
      <c r="B7956" s="18"/>
      <c r="C7956" s="85"/>
      <c r="D7956" s="41"/>
      <c r="E7956" s="26" t="str">
        <f ca="1">IFERROR(__xludf.DUMMYFUNCTION("""COMPUTED_VALUE"""),"")</f>
        <v/>
      </c>
      <c r="F7956" s="72"/>
      <c r="G7956" s="72"/>
    </row>
    <row r="7957" spans="1:7" ht="14.5" hidden="1">
      <c r="A7957" s="5"/>
      <c r="B7957" s="18"/>
      <c r="C7957" s="85"/>
      <c r="D7957" s="41"/>
      <c r="E7957" s="26" t="str">
        <f ca="1">IFERROR(__xludf.DUMMYFUNCTION("""COMPUTED_VALUE"""),"")</f>
        <v/>
      </c>
      <c r="F7957" s="72"/>
      <c r="G7957" s="72"/>
    </row>
    <row r="7958" spans="1:7" ht="14.5" hidden="1">
      <c r="A7958" s="5"/>
      <c r="B7958" s="18"/>
      <c r="C7958" s="85"/>
      <c r="D7958" s="41"/>
      <c r="E7958" s="26" t="str">
        <f ca="1">IFERROR(__xludf.DUMMYFUNCTION("""COMPUTED_VALUE"""),"")</f>
        <v/>
      </c>
      <c r="F7958" s="72"/>
      <c r="G7958" s="72"/>
    </row>
    <row r="7959" spans="1:7" ht="14.5" hidden="1">
      <c r="A7959" s="5"/>
      <c r="B7959" s="18"/>
      <c r="C7959" s="85"/>
      <c r="D7959" s="41"/>
      <c r="E7959" s="26" t="str">
        <f ca="1">IFERROR(__xludf.DUMMYFUNCTION("""COMPUTED_VALUE"""),"")</f>
        <v/>
      </c>
      <c r="F7959" s="72"/>
      <c r="G7959" s="72"/>
    </row>
    <row r="7960" spans="1:7" ht="14.5" hidden="1">
      <c r="A7960" s="5"/>
      <c r="B7960" s="18"/>
      <c r="C7960" s="85"/>
      <c r="D7960" s="41"/>
      <c r="E7960" s="26" t="str">
        <f ca="1">IFERROR(__xludf.DUMMYFUNCTION("""COMPUTED_VALUE"""),"")</f>
        <v/>
      </c>
      <c r="F7960" s="72"/>
      <c r="G7960" s="72"/>
    </row>
    <row r="7961" spans="1:7" ht="14.5" hidden="1">
      <c r="A7961" s="5"/>
      <c r="B7961" s="18"/>
      <c r="C7961" s="85"/>
      <c r="D7961" s="41"/>
      <c r="E7961" s="26" t="str">
        <f ca="1">IFERROR(__xludf.DUMMYFUNCTION("""COMPUTED_VALUE"""),"")</f>
        <v/>
      </c>
      <c r="F7961" s="72"/>
      <c r="G7961" s="72"/>
    </row>
    <row r="7962" spans="1:7" ht="14.5" hidden="1">
      <c r="A7962" s="5"/>
      <c r="B7962" s="18"/>
      <c r="C7962" s="85"/>
      <c r="D7962" s="41"/>
      <c r="E7962" s="26" t="str">
        <f ca="1">IFERROR(__xludf.DUMMYFUNCTION("""COMPUTED_VALUE"""),"")</f>
        <v/>
      </c>
      <c r="F7962" s="72"/>
      <c r="G7962" s="72"/>
    </row>
    <row r="7963" spans="1:7" ht="14.5" hidden="1">
      <c r="A7963" s="5"/>
      <c r="B7963" s="18"/>
      <c r="C7963" s="85"/>
      <c r="D7963" s="41"/>
      <c r="E7963" s="26" t="str">
        <f ca="1">IFERROR(__xludf.DUMMYFUNCTION("""COMPUTED_VALUE"""),"")</f>
        <v/>
      </c>
      <c r="F7963" s="72"/>
      <c r="G7963" s="72"/>
    </row>
    <row r="7964" spans="1:7" ht="14.5" hidden="1">
      <c r="A7964" s="5"/>
      <c r="B7964" s="18"/>
      <c r="C7964" s="85"/>
      <c r="D7964" s="41"/>
      <c r="E7964" s="26" t="str">
        <f ca="1">IFERROR(__xludf.DUMMYFUNCTION("""COMPUTED_VALUE"""),"")</f>
        <v/>
      </c>
      <c r="F7964" s="72"/>
      <c r="G7964" s="72"/>
    </row>
    <row r="7965" spans="1:7" ht="14.5" hidden="1">
      <c r="A7965" s="5"/>
      <c r="B7965" s="18"/>
      <c r="C7965" s="85"/>
      <c r="D7965" s="41"/>
      <c r="E7965" s="26" t="str">
        <f ca="1">IFERROR(__xludf.DUMMYFUNCTION("""COMPUTED_VALUE"""),"")</f>
        <v/>
      </c>
      <c r="F7965" s="72"/>
      <c r="G7965" s="72"/>
    </row>
    <row r="7966" spans="1:7" ht="14.5" hidden="1">
      <c r="A7966" s="5"/>
      <c r="B7966" s="18"/>
      <c r="C7966" s="85"/>
      <c r="D7966" s="41"/>
      <c r="E7966" s="26" t="str">
        <f ca="1">IFERROR(__xludf.DUMMYFUNCTION("""COMPUTED_VALUE"""),"")</f>
        <v/>
      </c>
      <c r="F7966" s="72"/>
      <c r="G7966" s="72"/>
    </row>
    <row r="7967" spans="1:7" ht="14.5" hidden="1">
      <c r="A7967" s="5"/>
      <c r="B7967" s="18"/>
      <c r="C7967" s="85"/>
      <c r="D7967" s="41"/>
      <c r="E7967" s="26" t="str">
        <f ca="1">IFERROR(__xludf.DUMMYFUNCTION("""COMPUTED_VALUE"""),"")</f>
        <v/>
      </c>
      <c r="F7967" s="72"/>
      <c r="G7967" s="72"/>
    </row>
    <row r="7968" spans="1:7" ht="14.5" hidden="1">
      <c r="A7968" s="5"/>
      <c r="B7968" s="18"/>
      <c r="C7968" s="85"/>
      <c r="D7968" s="41"/>
      <c r="E7968" s="26" t="str">
        <f ca="1">IFERROR(__xludf.DUMMYFUNCTION("""COMPUTED_VALUE"""),"")</f>
        <v/>
      </c>
      <c r="F7968" s="72"/>
      <c r="G7968" s="72"/>
    </row>
    <row r="7969" spans="1:7" ht="14.5" hidden="1">
      <c r="A7969" s="5"/>
      <c r="B7969" s="18"/>
      <c r="C7969" s="85"/>
      <c r="D7969" s="41"/>
      <c r="E7969" s="26" t="str">
        <f ca="1">IFERROR(__xludf.DUMMYFUNCTION("""COMPUTED_VALUE"""),"")</f>
        <v/>
      </c>
      <c r="F7969" s="72"/>
      <c r="G7969" s="72"/>
    </row>
    <row r="7970" spans="1:7" ht="14.5" hidden="1">
      <c r="A7970" s="5"/>
      <c r="B7970" s="18"/>
      <c r="C7970" s="85"/>
      <c r="D7970" s="41"/>
      <c r="E7970" s="26" t="str">
        <f ca="1">IFERROR(__xludf.DUMMYFUNCTION("""COMPUTED_VALUE"""),"")</f>
        <v/>
      </c>
      <c r="F7970" s="72"/>
      <c r="G7970" s="72"/>
    </row>
    <row r="7971" spans="1:7" ht="14.5" hidden="1">
      <c r="A7971" s="5"/>
      <c r="B7971" s="18"/>
      <c r="C7971" s="85"/>
      <c r="D7971" s="41"/>
      <c r="E7971" s="26" t="str">
        <f ca="1">IFERROR(__xludf.DUMMYFUNCTION("""COMPUTED_VALUE"""),"")</f>
        <v/>
      </c>
      <c r="F7971" s="72"/>
      <c r="G7971" s="72"/>
    </row>
    <row r="7972" spans="1:7" ht="14.5" hidden="1">
      <c r="A7972" s="5"/>
      <c r="B7972" s="18"/>
      <c r="C7972" s="85"/>
      <c r="D7972" s="41"/>
      <c r="E7972" s="26" t="str">
        <f ca="1">IFERROR(__xludf.DUMMYFUNCTION("""COMPUTED_VALUE"""),"")</f>
        <v/>
      </c>
      <c r="F7972" s="72"/>
      <c r="G7972" s="72"/>
    </row>
    <row r="7973" spans="1:7" ht="14.5" hidden="1">
      <c r="A7973" s="5"/>
      <c r="B7973" s="18"/>
      <c r="C7973" s="85"/>
      <c r="D7973" s="41"/>
      <c r="E7973" s="26" t="str">
        <f ca="1">IFERROR(__xludf.DUMMYFUNCTION("""COMPUTED_VALUE"""),"")</f>
        <v/>
      </c>
      <c r="F7973" s="72"/>
      <c r="G7973" s="72"/>
    </row>
    <row r="7974" spans="1:7" ht="14.5" hidden="1">
      <c r="A7974" s="5"/>
      <c r="B7974" s="18"/>
      <c r="C7974" s="85"/>
      <c r="D7974" s="41"/>
      <c r="E7974" s="26" t="str">
        <f ca="1">IFERROR(__xludf.DUMMYFUNCTION("""COMPUTED_VALUE"""),"")</f>
        <v/>
      </c>
      <c r="F7974" s="72"/>
      <c r="G7974" s="72"/>
    </row>
    <row r="7975" spans="1:7" ht="14.5" hidden="1">
      <c r="A7975" s="5"/>
      <c r="B7975" s="18"/>
      <c r="C7975" s="85"/>
      <c r="D7975" s="41"/>
      <c r="E7975" s="26" t="str">
        <f ca="1">IFERROR(__xludf.DUMMYFUNCTION("""COMPUTED_VALUE"""),"")</f>
        <v/>
      </c>
      <c r="F7975" s="72"/>
      <c r="G7975" s="72"/>
    </row>
    <row r="7976" spans="1:7" ht="14.5" hidden="1">
      <c r="A7976" s="5"/>
      <c r="B7976" s="18"/>
      <c r="C7976" s="85"/>
      <c r="D7976" s="41"/>
      <c r="E7976" s="26" t="str">
        <f ca="1">IFERROR(__xludf.DUMMYFUNCTION("""COMPUTED_VALUE"""),"")</f>
        <v/>
      </c>
      <c r="F7976" s="72"/>
      <c r="G7976" s="72"/>
    </row>
    <row r="7977" spans="1:7" ht="14.5" hidden="1">
      <c r="A7977" s="5"/>
      <c r="B7977" s="18"/>
      <c r="C7977" s="85"/>
      <c r="D7977" s="41"/>
      <c r="E7977" s="26" t="str">
        <f ca="1">IFERROR(__xludf.DUMMYFUNCTION("""COMPUTED_VALUE"""),"")</f>
        <v/>
      </c>
      <c r="F7977" s="72"/>
      <c r="G7977" s="72"/>
    </row>
    <row r="7978" spans="1:7" ht="14.5" hidden="1">
      <c r="A7978" s="5"/>
      <c r="B7978" s="18"/>
      <c r="C7978" s="85"/>
      <c r="D7978" s="41"/>
      <c r="E7978" s="26" t="str">
        <f ca="1">IFERROR(__xludf.DUMMYFUNCTION("""COMPUTED_VALUE"""),"")</f>
        <v/>
      </c>
      <c r="F7978" s="72"/>
      <c r="G7978" s="72"/>
    </row>
    <row r="7979" spans="1:7" ht="14.5" hidden="1">
      <c r="A7979" s="5"/>
      <c r="B7979" s="18"/>
      <c r="C7979" s="85"/>
      <c r="D7979" s="41"/>
      <c r="E7979" s="26" t="str">
        <f ca="1">IFERROR(__xludf.DUMMYFUNCTION("""COMPUTED_VALUE"""),"")</f>
        <v/>
      </c>
      <c r="F7979" s="72"/>
      <c r="G7979" s="72"/>
    </row>
    <row r="7980" spans="1:7" ht="14.5" hidden="1">
      <c r="A7980" s="5"/>
      <c r="B7980" s="18"/>
      <c r="C7980" s="85"/>
      <c r="D7980" s="41"/>
      <c r="E7980" s="26" t="str">
        <f ca="1">IFERROR(__xludf.DUMMYFUNCTION("""COMPUTED_VALUE"""),"")</f>
        <v/>
      </c>
      <c r="F7980" s="72"/>
      <c r="G7980" s="72"/>
    </row>
    <row r="7981" spans="1:7" ht="14.5" hidden="1">
      <c r="A7981" s="5"/>
      <c r="B7981" s="18"/>
      <c r="C7981" s="85"/>
      <c r="D7981" s="41"/>
      <c r="E7981" s="26" t="str">
        <f ca="1">IFERROR(__xludf.DUMMYFUNCTION("""COMPUTED_VALUE"""),"")</f>
        <v/>
      </c>
      <c r="F7981" s="72"/>
      <c r="G7981" s="72"/>
    </row>
    <row r="7982" spans="1:7" ht="14.5" hidden="1">
      <c r="A7982" s="5"/>
      <c r="B7982" s="18"/>
      <c r="C7982" s="85"/>
      <c r="D7982" s="41"/>
      <c r="E7982" s="26" t="str">
        <f ca="1">IFERROR(__xludf.DUMMYFUNCTION("""COMPUTED_VALUE"""),"")</f>
        <v/>
      </c>
      <c r="F7982" s="72"/>
      <c r="G7982" s="72"/>
    </row>
    <row r="7983" spans="1:7" ht="14.5" hidden="1">
      <c r="A7983" s="5"/>
      <c r="B7983" s="18"/>
      <c r="C7983" s="85"/>
      <c r="D7983" s="41"/>
      <c r="E7983" s="26" t="str">
        <f ca="1">IFERROR(__xludf.DUMMYFUNCTION("""COMPUTED_VALUE"""),"")</f>
        <v/>
      </c>
      <c r="F7983" s="72"/>
      <c r="G7983" s="72"/>
    </row>
    <row r="7984" spans="1:7" ht="14.5" hidden="1">
      <c r="A7984" s="5"/>
      <c r="B7984" s="18"/>
      <c r="C7984" s="85"/>
      <c r="D7984" s="41"/>
      <c r="E7984" s="26" t="str">
        <f ca="1">IFERROR(__xludf.DUMMYFUNCTION("""COMPUTED_VALUE"""),"")</f>
        <v/>
      </c>
      <c r="F7984" s="72"/>
      <c r="G7984" s="72"/>
    </row>
    <row r="7985" spans="1:7" ht="14.5" hidden="1">
      <c r="A7985" s="5"/>
      <c r="B7985" s="18"/>
      <c r="C7985" s="85"/>
      <c r="D7985" s="41"/>
      <c r="E7985" s="26" t="str">
        <f ca="1">IFERROR(__xludf.DUMMYFUNCTION("""COMPUTED_VALUE"""),"")</f>
        <v/>
      </c>
      <c r="F7985" s="72"/>
      <c r="G7985" s="72"/>
    </row>
    <row r="7986" spans="1:7" ht="14.5" hidden="1">
      <c r="A7986" s="5"/>
      <c r="B7986" s="18"/>
      <c r="C7986" s="85"/>
      <c r="D7986" s="41"/>
      <c r="E7986" s="26" t="str">
        <f ca="1">IFERROR(__xludf.DUMMYFUNCTION("""COMPUTED_VALUE"""),"")</f>
        <v/>
      </c>
      <c r="F7986" s="72"/>
      <c r="G7986" s="72"/>
    </row>
    <row r="7987" spans="1:7" ht="14.5" hidden="1">
      <c r="A7987" s="5"/>
      <c r="B7987" s="18"/>
      <c r="C7987" s="85"/>
      <c r="D7987" s="41"/>
      <c r="E7987" s="26" t="str">
        <f ca="1">IFERROR(__xludf.DUMMYFUNCTION("""COMPUTED_VALUE"""),"")</f>
        <v/>
      </c>
      <c r="F7987" s="72"/>
      <c r="G7987" s="72"/>
    </row>
    <row r="7988" spans="1:7" ht="14.5" hidden="1">
      <c r="A7988" s="5"/>
      <c r="B7988" s="18"/>
      <c r="C7988" s="85"/>
      <c r="D7988" s="41"/>
      <c r="E7988" s="26" t="str">
        <f ca="1">IFERROR(__xludf.DUMMYFUNCTION("""COMPUTED_VALUE"""),"")</f>
        <v/>
      </c>
      <c r="F7988" s="72"/>
      <c r="G7988" s="72"/>
    </row>
    <row r="7989" spans="1:7" ht="14.5" hidden="1">
      <c r="A7989" s="5"/>
      <c r="B7989" s="18"/>
      <c r="C7989" s="85"/>
      <c r="D7989" s="41"/>
      <c r="E7989" s="26" t="str">
        <f ca="1">IFERROR(__xludf.DUMMYFUNCTION("""COMPUTED_VALUE"""),"")</f>
        <v/>
      </c>
      <c r="F7989" s="72"/>
      <c r="G7989" s="72"/>
    </row>
    <row r="7990" spans="1:7" ht="14.5" hidden="1">
      <c r="A7990" s="5"/>
      <c r="B7990" s="18"/>
      <c r="C7990" s="85"/>
      <c r="D7990" s="41"/>
      <c r="E7990" s="26" t="str">
        <f ca="1">IFERROR(__xludf.DUMMYFUNCTION("""COMPUTED_VALUE"""),"")</f>
        <v/>
      </c>
      <c r="F7990" s="72"/>
      <c r="G7990" s="72"/>
    </row>
    <row r="7991" spans="1:7" ht="14.5" hidden="1">
      <c r="A7991" s="5"/>
      <c r="B7991" s="18"/>
      <c r="C7991" s="85"/>
      <c r="D7991" s="41"/>
      <c r="E7991" s="26" t="str">
        <f ca="1">IFERROR(__xludf.DUMMYFUNCTION("""COMPUTED_VALUE"""),"")</f>
        <v/>
      </c>
      <c r="F7991" s="72"/>
      <c r="G7991" s="72"/>
    </row>
    <row r="7992" spans="1:7" ht="14.5" hidden="1">
      <c r="A7992" s="5"/>
      <c r="B7992" s="18"/>
      <c r="C7992" s="85"/>
      <c r="D7992" s="41"/>
      <c r="E7992" s="26" t="str">
        <f ca="1">IFERROR(__xludf.DUMMYFUNCTION("""COMPUTED_VALUE"""),"")</f>
        <v/>
      </c>
      <c r="F7992" s="72"/>
      <c r="G7992" s="72"/>
    </row>
    <row r="7993" spans="1:7" ht="14.5" hidden="1">
      <c r="A7993" s="5"/>
      <c r="B7993" s="18"/>
      <c r="C7993" s="85"/>
      <c r="D7993" s="41"/>
      <c r="E7993" s="26" t="str">
        <f ca="1">IFERROR(__xludf.DUMMYFUNCTION("""COMPUTED_VALUE"""),"")</f>
        <v/>
      </c>
      <c r="F7993" s="72"/>
      <c r="G7993" s="72"/>
    </row>
    <row r="7994" spans="1:7" ht="14.5" hidden="1">
      <c r="A7994" s="5"/>
      <c r="B7994" s="18"/>
      <c r="C7994" s="85"/>
      <c r="D7994" s="41"/>
      <c r="E7994" s="26" t="str">
        <f ca="1">IFERROR(__xludf.DUMMYFUNCTION("""COMPUTED_VALUE"""),"")</f>
        <v/>
      </c>
      <c r="F7994" s="72"/>
      <c r="G7994" s="72"/>
    </row>
    <row r="7995" spans="1:7" ht="14.5" hidden="1">
      <c r="A7995" s="5"/>
      <c r="B7995" s="18"/>
      <c r="C7995" s="85"/>
      <c r="D7995" s="41"/>
      <c r="E7995" s="26" t="str">
        <f ca="1">IFERROR(__xludf.DUMMYFUNCTION("""COMPUTED_VALUE"""),"")</f>
        <v/>
      </c>
      <c r="F7995" s="72"/>
      <c r="G7995" s="72"/>
    </row>
    <row r="7996" spans="1:7" ht="14.5" hidden="1">
      <c r="A7996" s="5"/>
      <c r="B7996" s="18"/>
      <c r="C7996" s="85"/>
      <c r="D7996" s="41"/>
      <c r="E7996" s="26" t="str">
        <f ca="1">IFERROR(__xludf.DUMMYFUNCTION("""COMPUTED_VALUE"""),"")</f>
        <v/>
      </c>
      <c r="F7996" s="72"/>
      <c r="G7996" s="72"/>
    </row>
    <row r="7997" spans="1:7" ht="14.5" hidden="1">
      <c r="A7997" s="5"/>
      <c r="B7997" s="18"/>
      <c r="C7997" s="85"/>
      <c r="D7997" s="41"/>
      <c r="E7997" s="26" t="str">
        <f ca="1">IFERROR(__xludf.DUMMYFUNCTION("""COMPUTED_VALUE"""),"")</f>
        <v/>
      </c>
      <c r="F7997" s="72"/>
      <c r="G7997" s="72"/>
    </row>
    <row r="7998" spans="1:7" ht="14.5" hidden="1">
      <c r="A7998" s="5"/>
      <c r="B7998" s="18"/>
      <c r="C7998" s="85"/>
      <c r="D7998" s="41"/>
      <c r="E7998" s="26" t="str">
        <f ca="1">IFERROR(__xludf.DUMMYFUNCTION("""COMPUTED_VALUE"""),"")</f>
        <v/>
      </c>
      <c r="F7998" s="72"/>
      <c r="G7998" s="72"/>
    </row>
    <row r="7999" spans="1:7" ht="14.5" hidden="1">
      <c r="A7999" s="5"/>
      <c r="B7999" s="18"/>
      <c r="C7999" s="85"/>
      <c r="D7999" s="41"/>
      <c r="E7999" s="26" t="str">
        <f ca="1">IFERROR(__xludf.DUMMYFUNCTION("""COMPUTED_VALUE"""),"")</f>
        <v/>
      </c>
      <c r="F7999" s="72"/>
      <c r="G7999" s="72"/>
    </row>
    <row r="8000" spans="1:7" ht="14.5" hidden="1">
      <c r="A8000" s="5"/>
      <c r="B8000" s="18"/>
      <c r="C8000" s="85"/>
      <c r="D8000" s="41"/>
      <c r="E8000" s="26" t="str">
        <f ca="1">IFERROR(__xludf.DUMMYFUNCTION("""COMPUTED_VALUE"""),"")</f>
        <v/>
      </c>
      <c r="F8000" s="72"/>
      <c r="G8000" s="72"/>
    </row>
    <row r="8001" spans="1:7" ht="14.5" hidden="1">
      <c r="A8001" s="5"/>
      <c r="B8001" s="18"/>
      <c r="C8001" s="85"/>
      <c r="D8001" s="41"/>
      <c r="E8001" s="26" t="str">
        <f ca="1">IFERROR(__xludf.DUMMYFUNCTION("""COMPUTED_VALUE"""),"")</f>
        <v/>
      </c>
      <c r="F8001" s="72"/>
      <c r="G8001" s="72"/>
    </row>
    <row r="8002" spans="1:7" ht="14.5" hidden="1">
      <c r="A8002" s="5"/>
      <c r="B8002" s="18"/>
      <c r="C8002" s="85"/>
      <c r="D8002" s="41"/>
      <c r="E8002" s="26" t="str">
        <f ca="1">IFERROR(__xludf.DUMMYFUNCTION("""COMPUTED_VALUE"""),"")</f>
        <v/>
      </c>
      <c r="F8002" s="72"/>
      <c r="G8002" s="72"/>
    </row>
    <row r="8003" spans="1:7" ht="14.5" hidden="1">
      <c r="A8003" s="5"/>
      <c r="B8003" s="18"/>
      <c r="C8003" s="85"/>
      <c r="D8003" s="41"/>
      <c r="E8003" s="26" t="str">
        <f ca="1">IFERROR(__xludf.DUMMYFUNCTION("""COMPUTED_VALUE"""),"")</f>
        <v/>
      </c>
      <c r="F8003" s="72"/>
      <c r="G8003" s="72"/>
    </row>
    <row r="8004" spans="1:7" ht="14.5" hidden="1">
      <c r="A8004" s="5"/>
      <c r="B8004" s="18"/>
      <c r="C8004" s="85"/>
      <c r="D8004" s="41"/>
      <c r="E8004" s="26" t="str">
        <f ca="1">IFERROR(__xludf.DUMMYFUNCTION("""COMPUTED_VALUE"""),"")</f>
        <v/>
      </c>
      <c r="F8004" s="72"/>
      <c r="G8004" s="72"/>
    </row>
    <row r="8005" spans="1:7" ht="14.5" hidden="1">
      <c r="A8005" s="5"/>
      <c r="B8005" s="18"/>
      <c r="C8005" s="85"/>
      <c r="D8005" s="41"/>
      <c r="E8005" s="26" t="str">
        <f ca="1">IFERROR(__xludf.DUMMYFUNCTION("""COMPUTED_VALUE"""),"")</f>
        <v/>
      </c>
      <c r="F8005" s="72"/>
      <c r="G8005" s="72"/>
    </row>
    <row r="8006" spans="1:7" ht="14.5" hidden="1">
      <c r="A8006" s="5"/>
      <c r="B8006" s="18"/>
      <c r="C8006" s="85"/>
      <c r="D8006" s="41"/>
      <c r="E8006" s="26" t="str">
        <f ca="1">IFERROR(__xludf.DUMMYFUNCTION("""COMPUTED_VALUE"""),"")</f>
        <v/>
      </c>
      <c r="F8006" s="72"/>
      <c r="G8006" s="72"/>
    </row>
    <row r="8007" spans="1:7" ht="14.5" hidden="1">
      <c r="A8007" s="5"/>
      <c r="B8007" s="18"/>
      <c r="C8007" s="85"/>
      <c r="D8007" s="41"/>
      <c r="E8007" s="26" t="str">
        <f ca="1">IFERROR(__xludf.DUMMYFUNCTION("""COMPUTED_VALUE"""),"")</f>
        <v/>
      </c>
      <c r="F8007" s="72"/>
      <c r="G8007" s="72"/>
    </row>
    <row r="8008" spans="1:7" ht="14.5" hidden="1">
      <c r="A8008" s="5"/>
      <c r="B8008" s="18"/>
      <c r="C8008" s="85"/>
      <c r="D8008" s="41"/>
      <c r="E8008" s="26" t="str">
        <f ca="1">IFERROR(__xludf.DUMMYFUNCTION("""COMPUTED_VALUE"""),"")</f>
        <v/>
      </c>
      <c r="F8008" s="72"/>
      <c r="G8008" s="72"/>
    </row>
    <row r="8009" spans="1:7" ht="14.5" hidden="1">
      <c r="A8009" s="5"/>
      <c r="B8009" s="18"/>
      <c r="C8009" s="85"/>
      <c r="D8009" s="41"/>
      <c r="E8009" s="26" t="str">
        <f ca="1">IFERROR(__xludf.DUMMYFUNCTION("""COMPUTED_VALUE"""),"")</f>
        <v/>
      </c>
      <c r="F8009" s="72"/>
      <c r="G8009" s="72"/>
    </row>
    <row r="8010" spans="1:7" ht="14.5" hidden="1">
      <c r="A8010" s="5"/>
      <c r="B8010" s="18"/>
      <c r="C8010" s="85"/>
      <c r="D8010" s="41"/>
      <c r="E8010" s="26" t="str">
        <f ca="1">IFERROR(__xludf.DUMMYFUNCTION("""COMPUTED_VALUE"""),"")</f>
        <v/>
      </c>
      <c r="F8010" s="72"/>
      <c r="G8010" s="72"/>
    </row>
    <row r="8011" spans="1:7" ht="14.5" hidden="1">
      <c r="A8011" s="5"/>
      <c r="B8011" s="18"/>
      <c r="C8011" s="85"/>
      <c r="D8011" s="41"/>
      <c r="E8011" s="26" t="str">
        <f ca="1">IFERROR(__xludf.DUMMYFUNCTION("""COMPUTED_VALUE"""),"")</f>
        <v/>
      </c>
      <c r="F8011" s="72"/>
      <c r="G8011" s="72"/>
    </row>
    <row r="8012" spans="1:7" ht="14.5" hidden="1">
      <c r="A8012" s="5"/>
      <c r="B8012" s="18"/>
      <c r="C8012" s="85"/>
      <c r="D8012" s="41"/>
      <c r="E8012" s="26" t="str">
        <f ca="1">IFERROR(__xludf.DUMMYFUNCTION("""COMPUTED_VALUE"""),"")</f>
        <v/>
      </c>
      <c r="F8012" s="72"/>
      <c r="G8012" s="72"/>
    </row>
    <row r="8013" spans="1:7" ht="14.5" hidden="1">
      <c r="A8013" s="5"/>
      <c r="B8013" s="18"/>
      <c r="C8013" s="85"/>
      <c r="D8013" s="41"/>
      <c r="E8013" s="26" t="str">
        <f ca="1">IFERROR(__xludf.DUMMYFUNCTION("""COMPUTED_VALUE"""),"")</f>
        <v/>
      </c>
      <c r="F8013" s="72"/>
      <c r="G8013" s="72"/>
    </row>
    <row r="8014" spans="1:7" ht="14.5" hidden="1">
      <c r="A8014" s="5"/>
      <c r="B8014" s="18"/>
      <c r="C8014" s="85"/>
      <c r="D8014" s="41"/>
      <c r="E8014" s="26" t="str">
        <f ca="1">IFERROR(__xludf.DUMMYFUNCTION("""COMPUTED_VALUE"""),"")</f>
        <v/>
      </c>
      <c r="F8014" s="72"/>
      <c r="G8014" s="72"/>
    </row>
    <row r="8015" spans="1:7" ht="14.5" hidden="1">
      <c r="A8015" s="5"/>
      <c r="B8015" s="18"/>
      <c r="C8015" s="85"/>
      <c r="D8015" s="41"/>
      <c r="E8015" s="26" t="str">
        <f ca="1">IFERROR(__xludf.DUMMYFUNCTION("""COMPUTED_VALUE"""),"")</f>
        <v/>
      </c>
      <c r="F8015" s="72"/>
      <c r="G8015" s="72"/>
    </row>
    <row r="8016" spans="1:7" ht="14.5" hidden="1">
      <c r="A8016" s="5"/>
      <c r="B8016" s="18"/>
      <c r="C8016" s="85"/>
      <c r="D8016" s="41"/>
      <c r="E8016" s="26" t="str">
        <f ca="1">IFERROR(__xludf.DUMMYFUNCTION("""COMPUTED_VALUE"""),"")</f>
        <v/>
      </c>
      <c r="F8016" s="72"/>
      <c r="G8016" s="72"/>
    </row>
    <row r="8017" spans="1:7" ht="14.5" hidden="1">
      <c r="A8017" s="5"/>
      <c r="B8017" s="18"/>
      <c r="C8017" s="85"/>
      <c r="D8017" s="41"/>
      <c r="E8017" s="26" t="str">
        <f ca="1">IFERROR(__xludf.DUMMYFUNCTION("""COMPUTED_VALUE"""),"")</f>
        <v/>
      </c>
      <c r="F8017" s="72"/>
      <c r="G8017" s="72"/>
    </row>
    <row r="8018" spans="1:7" ht="14.5" hidden="1">
      <c r="A8018" s="5"/>
      <c r="B8018" s="18"/>
      <c r="C8018" s="85"/>
      <c r="D8018" s="41"/>
      <c r="E8018" s="26" t="str">
        <f ca="1">IFERROR(__xludf.DUMMYFUNCTION("""COMPUTED_VALUE"""),"")</f>
        <v/>
      </c>
      <c r="F8018" s="72"/>
      <c r="G8018" s="72"/>
    </row>
    <row r="8019" spans="1:7" ht="14.5" hidden="1">
      <c r="A8019" s="5"/>
      <c r="B8019" s="18"/>
      <c r="C8019" s="85"/>
      <c r="D8019" s="41"/>
      <c r="E8019" s="26" t="str">
        <f ca="1">IFERROR(__xludf.DUMMYFUNCTION("""COMPUTED_VALUE"""),"")</f>
        <v/>
      </c>
      <c r="F8019" s="72"/>
      <c r="G8019" s="72"/>
    </row>
    <row r="8020" spans="1:7" ht="14.5" hidden="1">
      <c r="A8020" s="5"/>
      <c r="B8020" s="18"/>
      <c r="C8020" s="85"/>
      <c r="D8020" s="41"/>
      <c r="E8020" s="26" t="str">
        <f ca="1">IFERROR(__xludf.DUMMYFUNCTION("""COMPUTED_VALUE"""),"")</f>
        <v/>
      </c>
      <c r="F8020" s="72"/>
      <c r="G8020" s="72"/>
    </row>
    <row r="8021" spans="1:7" ht="14.5" hidden="1">
      <c r="A8021" s="5"/>
      <c r="B8021" s="18"/>
      <c r="C8021" s="85"/>
      <c r="D8021" s="41"/>
      <c r="E8021" s="26" t="str">
        <f ca="1">IFERROR(__xludf.DUMMYFUNCTION("""COMPUTED_VALUE"""),"")</f>
        <v/>
      </c>
      <c r="F8021" s="72"/>
      <c r="G8021" s="72"/>
    </row>
    <row r="8022" spans="1:7" ht="14.5" hidden="1">
      <c r="A8022" s="5"/>
      <c r="B8022" s="18"/>
      <c r="C8022" s="85"/>
      <c r="D8022" s="41"/>
      <c r="E8022" s="26" t="str">
        <f ca="1">IFERROR(__xludf.DUMMYFUNCTION("""COMPUTED_VALUE"""),"")</f>
        <v/>
      </c>
      <c r="F8022" s="72"/>
      <c r="G8022" s="72"/>
    </row>
    <row r="8023" spans="1:7" ht="14.5" hidden="1">
      <c r="A8023" s="5"/>
      <c r="B8023" s="18"/>
      <c r="C8023" s="85"/>
      <c r="D8023" s="41"/>
      <c r="E8023" s="26" t="str">
        <f ca="1">IFERROR(__xludf.DUMMYFUNCTION("""COMPUTED_VALUE"""),"")</f>
        <v/>
      </c>
      <c r="F8023" s="72"/>
      <c r="G8023" s="72"/>
    </row>
    <row r="8024" spans="1:7" ht="14.5" hidden="1">
      <c r="A8024" s="5"/>
      <c r="B8024" s="18"/>
      <c r="C8024" s="85"/>
      <c r="D8024" s="41"/>
      <c r="E8024" s="26" t="str">
        <f ca="1">IFERROR(__xludf.DUMMYFUNCTION("""COMPUTED_VALUE"""),"")</f>
        <v/>
      </c>
      <c r="F8024" s="72"/>
      <c r="G8024" s="72"/>
    </row>
    <row r="8025" spans="1:7" ht="14.5" hidden="1">
      <c r="A8025" s="5"/>
      <c r="B8025" s="18"/>
      <c r="C8025" s="85"/>
      <c r="D8025" s="41"/>
      <c r="E8025" s="26" t="str">
        <f ca="1">IFERROR(__xludf.DUMMYFUNCTION("""COMPUTED_VALUE"""),"")</f>
        <v/>
      </c>
      <c r="F8025" s="72"/>
      <c r="G8025" s="72"/>
    </row>
    <row r="8026" spans="1:7" ht="14.5" hidden="1">
      <c r="A8026" s="5"/>
      <c r="B8026" s="18"/>
      <c r="C8026" s="85"/>
      <c r="D8026" s="41"/>
      <c r="E8026" s="26" t="str">
        <f ca="1">IFERROR(__xludf.DUMMYFUNCTION("""COMPUTED_VALUE"""),"")</f>
        <v/>
      </c>
      <c r="F8026" s="72"/>
      <c r="G8026" s="72"/>
    </row>
    <row r="8027" spans="1:7" ht="14.5" hidden="1">
      <c r="A8027" s="5"/>
      <c r="B8027" s="18"/>
      <c r="C8027" s="85"/>
      <c r="D8027" s="41"/>
      <c r="E8027" s="26" t="str">
        <f ca="1">IFERROR(__xludf.DUMMYFUNCTION("""COMPUTED_VALUE"""),"")</f>
        <v/>
      </c>
      <c r="F8027" s="72"/>
      <c r="G8027" s="72"/>
    </row>
    <row r="8028" spans="1:7" ht="14.5" hidden="1">
      <c r="A8028" s="5"/>
      <c r="B8028" s="18"/>
      <c r="C8028" s="85"/>
      <c r="D8028" s="41"/>
      <c r="E8028" s="26" t="str">
        <f ca="1">IFERROR(__xludf.DUMMYFUNCTION("""COMPUTED_VALUE"""),"")</f>
        <v/>
      </c>
      <c r="F8028" s="72"/>
      <c r="G8028" s="72"/>
    </row>
    <row r="8029" spans="1:7" ht="14.5" hidden="1">
      <c r="A8029" s="5"/>
      <c r="B8029" s="18"/>
      <c r="C8029" s="85"/>
      <c r="D8029" s="41"/>
      <c r="E8029" s="26" t="str">
        <f ca="1">IFERROR(__xludf.DUMMYFUNCTION("""COMPUTED_VALUE"""),"")</f>
        <v/>
      </c>
      <c r="F8029" s="72"/>
      <c r="G8029" s="72"/>
    </row>
    <row r="8030" spans="1:7" ht="14.5" hidden="1">
      <c r="A8030" s="5"/>
      <c r="B8030" s="18"/>
      <c r="C8030" s="85"/>
      <c r="D8030" s="41"/>
      <c r="E8030" s="26" t="str">
        <f ca="1">IFERROR(__xludf.DUMMYFUNCTION("""COMPUTED_VALUE"""),"")</f>
        <v/>
      </c>
      <c r="F8030" s="72"/>
      <c r="G8030" s="72"/>
    </row>
    <row r="8031" spans="1:7" ht="14.5" hidden="1">
      <c r="A8031" s="5"/>
      <c r="B8031" s="18"/>
      <c r="C8031" s="85"/>
      <c r="D8031" s="41"/>
      <c r="E8031" s="26" t="str">
        <f ca="1">IFERROR(__xludf.DUMMYFUNCTION("""COMPUTED_VALUE"""),"")</f>
        <v/>
      </c>
      <c r="F8031" s="72"/>
      <c r="G8031" s="72"/>
    </row>
    <row r="8032" spans="1:7" ht="14.5" hidden="1">
      <c r="A8032" s="5"/>
      <c r="B8032" s="18"/>
      <c r="C8032" s="85"/>
      <c r="D8032" s="41"/>
      <c r="E8032" s="26" t="str">
        <f ca="1">IFERROR(__xludf.DUMMYFUNCTION("""COMPUTED_VALUE"""),"")</f>
        <v/>
      </c>
      <c r="F8032" s="72"/>
      <c r="G8032" s="72"/>
    </row>
    <row r="8033" spans="1:7" ht="14.5" hidden="1">
      <c r="A8033" s="5"/>
      <c r="B8033" s="18"/>
      <c r="C8033" s="85"/>
      <c r="D8033" s="41"/>
      <c r="E8033" s="26" t="str">
        <f ca="1">IFERROR(__xludf.DUMMYFUNCTION("""COMPUTED_VALUE"""),"")</f>
        <v/>
      </c>
      <c r="F8033" s="72"/>
      <c r="G8033" s="72"/>
    </row>
    <row r="8034" spans="1:7" ht="14.5" hidden="1">
      <c r="A8034" s="5"/>
      <c r="B8034" s="18"/>
      <c r="C8034" s="85"/>
      <c r="D8034" s="41"/>
      <c r="E8034" s="26" t="str">
        <f ca="1">IFERROR(__xludf.DUMMYFUNCTION("""COMPUTED_VALUE"""),"")</f>
        <v/>
      </c>
      <c r="F8034" s="72"/>
      <c r="G8034" s="72"/>
    </row>
    <row r="8035" spans="1:7" ht="14.5" hidden="1">
      <c r="A8035" s="5"/>
      <c r="B8035" s="18"/>
      <c r="C8035" s="85"/>
      <c r="D8035" s="41"/>
      <c r="E8035" s="26" t="str">
        <f ca="1">IFERROR(__xludf.DUMMYFUNCTION("""COMPUTED_VALUE"""),"")</f>
        <v/>
      </c>
      <c r="F8035" s="72"/>
      <c r="G8035" s="72"/>
    </row>
    <row r="8036" spans="1:7" ht="14.5" hidden="1">
      <c r="A8036" s="5"/>
      <c r="B8036" s="18"/>
      <c r="C8036" s="85"/>
      <c r="D8036" s="41"/>
      <c r="E8036" s="26" t="str">
        <f ca="1">IFERROR(__xludf.DUMMYFUNCTION("""COMPUTED_VALUE"""),"")</f>
        <v/>
      </c>
      <c r="F8036" s="72"/>
      <c r="G8036" s="72"/>
    </row>
    <row r="8037" spans="1:7" ht="14.5" hidden="1">
      <c r="A8037" s="5"/>
      <c r="B8037" s="18"/>
      <c r="C8037" s="85"/>
      <c r="D8037" s="41"/>
      <c r="E8037" s="26" t="str">
        <f ca="1">IFERROR(__xludf.DUMMYFUNCTION("""COMPUTED_VALUE"""),"")</f>
        <v/>
      </c>
      <c r="F8037" s="72"/>
      <c r="G8037" s="72"/>
    </row>
    <row r="8038" spans="1:7" ht="14.5" hidden="1">
      <c r="A8038" s="5"/>
      <c r="B8038" s="18"/>
      <c r="C8038" s="85"/>
      <c r="D8038" s="41"/>
      <c r="E8038" s="26" t="str">
        <f ca="1">IFERROR(__xludf.DUMMYFUNCTION("""COMPUTED_VALUE"""),"")</f>
        <v/>
      </c>
      <c r="F8038" s="72"/>
      <c r="G8038" s="72"/>
    </row>
    <row r="8039" spans="1:7" ht="14.5" hidden="1">
      <c r="A8039" s="5"/>
      <c r="B8039" s="18"/>
      <c r="C8039" s="85"/>
      <c r="D8039" s="41"/>
      <c r="E8039" s="26" t="str">
        <f ca="1">IFERROR(__xludf.DUMMYFUNCTION("""COMPUTED_VALUE"""),"")</f>
        <v/>
      </c>
      <c r="F8039" s="72"/>
      <c r="G8039" s="72"/>
    </row>
    <row r="8040" spans="1:7" ht="14.5" hidden="1">
      <c r="A8040" s="5"/>
      <c r="B8040" s="18"/>
      <c r="C8040" s="85"/>
      <c r="D8040" s="41"/>
      <c r="E8040" s="26" t="str">
        <f ca="1">IFERROR(__xludf.DUMMYFUNCTION("""COMPUTED_VALUE"""),"")</f>
        <v/>
      </c>
      <c r="F8040" s="72"/>
      <c r="G8040" s="72"/>
    </row>
    <row r="8041" spans="1:7" ht="14.5" hidden="1">
      <c r="A8041" s="5"/>
      <c r="B8041" s="18"/>
      <c r="C8041" s="85"/>
      <c r="D8041" s="41"/>
      <c r="E8041" s="26" t="str">
        <f ca="1">IFERROR(__xludf.DUMMYFUNCTION("""COMPUTED_VALUE"""),"")</f>
        <v/>
      </c>
      <c r="F8041" s="72"/>
      <c r="G8041" s="72"/>
    </row>
    <row r="8042" spans="1:7" ht="14.5" hidden="1">
      <c r="A8042" s="5"/>
      <c r="B8042" s="18"/>
      <c r="C8042" s="85"/>
      <c r="D8042" s="41"/>
      <c r="E8042" s="26" t="str">
        <f ca="1">IFERROR(__xludf.DUMMYFUNCTION("""COMPUTED_VALUE"""),"")</f>
        <v/>
      </c>
      <c r="F8042" s="72"/>
      <c r="G8042" s="72"/>
    </row>
    <row r="8043" spans="1:7" ht="14.5" hidden="1">
      <c r="A8043" s="5"/>
      <c r="B8043" s="18"/>
      <c r="C8043" s="85"/>
      <c r="D8043" s="41"/>
      <c r="E8043" s="26" t="str">
        <f ca="1">IFERROR(__xludf.DUMMYFUNCTION("""COMPUTED_VALUE"""),"")</f>
        <v/>
      </c>
      <c r="F8043" s="72"/>
      <c r="G8043" s="72"/>
    </row>
    <row r="8044" spans="1:7" ht="14.5" hidden="1">
      <c r="A8044" s="5"/>
      <c r="B8044" s="18"/>
      <c r="C8044" s="85"/>
      <c r="D8044" s="41"/>
      <c r="E8044" s="26" t="str">
        <f ca="1">IFERROR(__xludf.DUMMYFUNCTION("""COMPUTED_VALUE"""),"")</f>
        <v/>
      </c>
      <c r="F8044" s="72"/>
      <c r="G8044" s="72"/>
    </row>
    <row r="8045" spans="1:7" ht="14.5" hidden="1">
      <c r="A8045" s="5"/>
      <c r="B8045" s="18"/>
      <c r="C8045" s="85"/>
      <c r="D8045" s="41"/>
      <c r="E8045" s="26" t="str">
        <f ca="1">IFERROR(__xludf.DUMMYFUNCTION("""COMPUTED_VALUE"""),"")</f>
        <v/>
      </c>
      <c r="F8045" s="72"/>
      <c r="G8045" s="72"/>
    </row>
    <row r="8046" spans="1:7" ht="14.5" hidden="1">
      <c r="A8046" s="5"/>
      <c r="B8046" s="18"/>
      <c r="C8046" s="85"/>
      <c r="D8046" s="41"/>
      <c r="E8046" s="26" t="str">
        <f ca="1">IFERROR(__xludf.DUMMYFUNCTION("""COMPUTED_VALUE"""),"")</f>
        <v/>
      </c>
      <c r="F8046" s="72"/>
      <c r="G8046" s="72"/>
    </row>
    <row r="8047" spans="1:7" ht="14.5" hidden="1">
      <c r="A8047" s="5"/>
      <c r="B8047" s="18"/>
      <c r="C8047" s="85"/>
      <c r="D8047" s="41"/>
      <c r="E8047" s="26" t="str">
        <f ca="1">IFERROR(__xludf.DUMMYFUNCTION("""COMPUTED_VALUE"""),"")</f>
        <v/>
      </c>
      <c r="F8047" s="72"/>
      <c r="G8047" s="72"/>
    </row>
    <row r="8048" spans="1:7" ht="14.5" hidden="1">
      <c r="A8048" s="5"/>
      <c r="B8048" s="18"/>
      <c r="C8048" s="85"/>
      <c r="D8048" s="41"/>
      <c r="E8048" s="26" t="str">
        <f ca="1">IFERROR(__xludf.DUMMYFUNCTION("""COMPUTED_VALUE"""),"")</f>
        <v/>
      </c>
      <c r="F8048" s="72"/>
      <c r="G8048" s="72"/>
    </row>
    <row r="8049" spans="1:7" ht="14.5" hidden="1">
      <c r="A8049" s="5"/>
      <c r="B8049" s="18"/>
      <c r="C8049" s="85"/>
      <c r="D8049" s="41"/>
      <c r="E8049" s="26" t="str">
        <f ca="1">IFERROR(__xludf.DUMMYFUNCTION("""COMPUTED_VALUE"""),"")</f>
        <v/>
      </c>
      <c r="F8049" s="72"/>
      <c r="G8049" s="72"/>
    </row>
    <row r="8050" spans="1:7" ht="14.5" hidden="1">
      <c r="A8050" s="5"/>
      <c r="B8050" s="18"/>
      <c r="C8050" s="85"/>
      <c r="D8050" s="41"/>
      <c r="E8050" s="26" t="str">
        <f ca="1">IFERROR(__xludf.DUMMYFUNCTION("""COMPUTED_VALUE"""),"")</f>
        <v/>
      </c>
      <c r="F8050" s="72"/>
      <c r="G8050" s="72"/>
    </row>
    <row r="8051" spans="1:7" ht="14.5" hidden="1">
      <c r="A8051" s="5"/>
      <c r="B8051" s="18"/>
      <c r="C8051" s="85"/>
      <c r="D8051" s="41"/>
      <c r="E8051" s="26" t="str">
        <f ca="1">IFERROR(__xludf.DUMMYFUNCTION("""COMPUTED_VALUE"""),"")</f>
        <v/>
      </c>
      <c r="F8051" s="72"/>
      <c r="G8051" s="72"/>
    </row>
    <row r="8052" spans="1:7" ht="14.5" hidden="1">
      <c r="A8052" s="5"/>
      <c r="B8052" s="18"/>
      <c r="C8052" s="85"/>
      <c r="D8052" s="41"/>
      <c r="E8052" s="26" t="str">
        <f ca="1">IFERROR(__xludf.DUMMYFUNCTION("""COMPUTED_VALUE"""),"")</f>
        <v/>
      </c>
      <c r="F8052" s="72"/>
      <c r="G8052" s="72"/>
    </row>
    <row r="8053" spans="1:7" ht="14.5" hidden="1">
      <c r="A8053" s="5"/>
      <c r="B8053" s="18"/>
      <c r="C8053" s="85"/>
      <c r="D8053" s="41"/>
      <c r="E8053" s="26" t="str">
        <f ca="1">IFERROR(__xludf.DUMMYFUNCTION("""COMPUTED_VALUE"""),"")</f>
        <v/>
      </c>
      <c r="F8053" s="72"/>
      <c r="G8053" s="72"/>
    </row>
    <row r="8054" spans="1:7" ht="14.5" hidden="1">
      <c r="A8054" s="5"/>
      <c r="B8054" s="18"/>
      <c r="C8054" s="85"/>
      <c r="D8054" s="41"/>
      <c r="E8054" s="26" t="str">
        <f ca="1">IFERROR(__xludf.DUMMYFUNCTION("""COMPUTED_VALUE"""),"")</f>
        <v/>
      </c>
      <c r="F8054" s="72"/>
      <c r="G8054" s="72"/>
    </row>
    <row r="8055" spans="1:7" ht="14.5" hidden="1">
      <c r="A8055" s="5"/>
      <c r="B8055" s="18"/>
      <c r="C8055" s="85"/>
      <c r="D8055" s="41"/>
      <c r="E8055" s="26" t="str">
        <f ca="1">IFERROR(__xludf.DUMMYFUNCTION("""COMPUTED_VALUE"""),"")</f>
        <v/>
      </c>
      <c r="F8055" s="72"/>
      <c r="G8055" s="72"/>
    </row>
    <row r="8056" spans="1:7" ht="14.5" hidden="1">
      <c r="A8056" s="5"/>
      <c r="B8056" s="18"/>
      <c r="C8056" s="85"/>
      <c r="D8056" s="41"/>
      <c r="E8056" s="26" t="str">
        <f ca="1">IFERROR(__xludf.DUMMYFUNCTION("""COMPUTED_VALUE"""),"")</f>
        <v/>
      </c>
      <c r="F8056" s="72"/>
      <c r="G8056" s="72"/>
    </row>
    <row r="8057" spans="1:7" ht="14.5" hidden="1">
      <c r="A8057" s="5"/>
      <c r="B8057" s="18"/>
      <c r="C8057" s="85"/>
      <c r="D8057" s="41"/>
      <c r="E8057" s="26" t="str">
        <f ca="1">IFERROR(__xludf.DUMMYFUNCTION("""COMPUTED_VALUE"""),"")</f>
        <v/>
      </c>
      <c r="F8057" s="72"/>
      <c r="G8057" s="72"/>
    </row>
    <row r="8058" spans="1:7" ht="14.5" hidden="1">
      <c r="A8058" s="5"/>
      <c r="B8058" s="18"/>
      <c r="C8058" s="85"/>
      <c r="D8058" s="41"/>
      <c r="E8058" s="26" t="str">
        <f ca="1">IFERROR(__xludf.DUMMYFUNCTION("""COMPUTED_VALUE"""),"")</f>
        <v/>
      </c>
      <c r="F8058" s="72"/>
      <c r="G8058" s="72"/>
    </row>
    <row r="8059" spans="1:7" ht="14.5" hidden="1">
      <c r="A8059" s="5"/>
      <c r="B8059" s="18"/>
      <c r="C8059" s="85"/>
      <c r="D8059" s="41"/>
      <c r="E8059" s="26" t="str">
        <f ca="1">IFERROR(__xludf.DUMMYFUNCTION("""COMPUTED_VALUE"""),"")</f>
        <v/>
      </c>
      <c r="F8059" s="72"/>
      <c r="G8059" s="72"/>
    </row>
    <row r="8060" spans="1:7" ht="14.5" hidden="1">
      <c r="A8060" s="5"/>
      <c r="B8060" s="18"/>
      <c r="C8060" s="85"/>
      <c r="D8060" s="41"/>
      <c r="E8060" s="26" t="str">
        <f ca="1">IFERROR(__xludf.DUMMYFUNCTION("""COMPUTED_VALUE"""),"")</f>
        <v/>
      </c>
      <c r="F8060" s="72"/>
      <c r="G8060" s="72"/>
    </row>
    <row r="8061" spans="1:7" ht="14.5" hidden="1">
      <c r="A8061" s="5"/>
      <c r="B8061" s="18"/>
      <c r="C8061" s="85"/>
      <c r="D8061" s="41"/>
      <c r="E8061" s="26" t="str">
        <f ca="1">IFERROR(__xludf.DUMMYFUNCTION("""COMPUTED_VALUE"""),"")</f>
        <v/>
      </c>
      <c r="F8061" s="72"/>
      <c r="G8061" s="72"/>
    </row>
    <row r="8062" spans="1:7" ht="14.5" hidden="1">
      <c r="A8062" s="5"/>
      <c r="B8062" s="18"/>
      <c r="C8062" s="85"/>
      <c r="D8062" s="41"/>
      <c r="E8062" s="26" t="str">
        <f ca="1">IFERROR(__xludf.DUMMYFUNCTION("""COMPUTED_VALUE"""),"")</f>
        <v/>
      </c>
      <c r="F8062" s="72"/>
      <c r="G8062" s="72"/>
    </row>
    <row r="8063" spans="1:7" ht="14.5" hidden="1">
      <c r="A8063" s="5"/>
      <c r="B8063" s="18"/>
      <c r="C8063" s="85"/>
      <c r="D8063" s="41"/>
      <c r="E8063" s="26" t="str">
        <f ca="1">IFERROR(__xludf.DUMMYFUNCTION("""COMPUTED_VALUE"""),"")</f>
        <v/>
      </c>
      <c r="F8063" s="72"/>
      <c r="G8063" s="72"/>
    </row>
    <row r="8064" spans="1:7" ht="14.5" hidden="1">
      <c r="A8064" s="5"/>
      <c r="B8064" s="18"/>
      <c r="C8064" s="85"/>
      <c r="D8064" s="41"/>
      <c r="E8064" s="26" t="str">
        <f ca="1">IFERROR(__xludf.DUMMYFUNCTION("""COMPUTED_VALUE"""),"")</f>
        <v/>
      </c>
      <c r="F8064" s="72"/>
      <c r="G8064" s="72"/>
    </row>
    <row r="8065" spans="1:7" ht="14.5" hidden="1">
      <c r="A8065" s="5"/>
      <c r="B8065" s="18"/>
      <c r="C8065" s="85"/>
      <c r="D8065" s="41"/>
      <c r="E8065" s="26" t="str">
        <f ca="1">IFERROR(__xludf.DUMMYFUNCTION("""COMPUTED_VALUE"""),"")</f>
        <v/>
      </c>
      <c r="F8065" s="72"/>
      <c r="G8065" s="72"/>
    </row>
    <row r="8066" spans="1:7" ht="14.5" hidden="1">
      <c r="A8066" s="5"/>
      <c r="B8066" s="18"/>
      <c r="C8066" s="85"/>
      <c r="D8066" s="41"/>
      <c r="E8066" s="26" t="str">
        <f ca="1">IFERROR(__xludf.DUMMYFUNCTION("""COMPUTED_VALUE"""),"")</f>
        <v/>
      </c>
      <c r="F8066" s="72"/>
      <c r="G8066" s="72"/>
    </row>
    <row r="8067" spans="1:7" ht="14.5" hidden="1">
      <c r="A8067" s="5"/>
      <c r="B8067" s="18"/>
      <c r="C8067" s="85"/>
      <c r="D8067" s="41"/>
      <c r="E8067" s="26" t="str">
        <f ca="1">IFERROR(__xludf.DUMMYFUNCTION("""COMPUTED_VALUE"""),"")</f>
        <v/>
      </c>
      <c r="F8067" s="72"/>
      <c r="G8067" s="72"/>
    </row>
    <row r="8068" spans="1:7" ht="14.5" hidden="1">
      <c r="A8068" s="5"/>
      <c r="B8068" s="18"/>
      <c r="C8068" s="85"/>
      <c r="D8068" s="41"/>
      <c r="E8068" s="26" t="str">
        <f ca="1">IFERROR(__xludf.DUMMYFUNCTION("""COMPUTED_VALUE"""),"")</f>
        <v/>
      </c>
      <c r="F8068" s="72"/>
      <c r="G8068" s="72"/>
    </row>
    <row r="8069" spans="1:7" ht="14.5" hidden="1">
      <c r="A8069" s="5"/>
      <c r="B8069" s="18"/>
      <c r="C8069" s="85"/>
      <c r="D8069" s="41"/>
      <c r="E8069" s="26" t="str">
        <f ca="1">IFERROR(__xludf.DUMMYFUNCTION("""COMPUTED_VALUE"""),"")</f>
        <v/>
      </c>
      <c r="F8069" s="72"/>
      <c r="G8069" s="72"/>
    </row>
    <row r="8070" spans="1:7" ht="14.5" hidden="1">
      <c r="A8070" s="5"/>
      <c r="B8070" s="18"/>
      <c r="C8070" s="85"/>
      <c r="D8070" s="41"/>
      <c r="E8070" s="26" t="str">
        <f ca="1">IFERROR(__xludf.DUMMYFUNCTION("""COMPUTED_VALUE"""),"")</f>
        <v/>
      </c>
      <c r="F8070" s="72"/>
      <c r="G8070" s="72"/>
    </row>
    <row r="8071" spans="1:7" ht="14.5" hidden="1">
      <c r="A8071" s="5"/>
      <c r="B8071" s="18"/>
      <c r="C8071" s="85"/>
      <c r="D8071" s="41"/>
      <c r="E8071" s="26" t="str">
        <f ca="1">IFERROR(__xludf.DUMMYFUNCTION("""COMPUTED_VALUE"""),"")</f>
        <v/>
      </c>
      <c r="F8071" s="72"/>
      <c r="G8071" s="72"/>
    </row>
    <row r="8072" spans="1:7" ht="14.5" hidden="1">
      <c r="A8072" s="5"/>
      <c r="B8072" s="18"/>
      <c r="C8072" s="85"/>
      <c r="D8072" s="41"/>
      <c r="E8072" s="26" t="str">
        <f ca="1">IFERROR(__xludf.DUMMYFUNCTION("""COMPUTED_VALUE"""),"")</f>
        <v/>
      </c>
      <c r="F8072" s="72"/>
      <c r="G8072" s="72"/>
    </row>
    <row r="8073" spans="1:7" ht="14.5" hidden="1">
      <c r="A8073" s="5"/>
      <c r="B8073" s="18"/>
      <c r="C8073" s="85"/>
      <c r="D8073" s="41"/>
      <c r="E8073" s="26" t="str">
        <f ca="1">IFERROR(__xludf.DUMMYFUNCTION("""COMPUTED_VALUE"""),"")</f>
        <v/>
      </c>
      <c r="F8073" s="72"/>
      <c r="G8073" s="72"/>
    </row>
    <row r="8074" spans="1:7" ht="14.5" hidden="1">
      <c r="A8074" s="5"/>
      <c r="B8074" s="18"/>
      <c r="C8074" s="85"/>
      <c r="D8074" s="41"/>
      <c r="E8074" s="26" t="str">
        <f ca="1">IFERROR(__xludf.DUMMYFUNCTION("""COMPUTED_VALUE"""),"")</f>
        <v/>
      </c>
      <c r="F8074" s="72"/>
      <c r="G8074" s="72"/>
    </row>
    <row r="8075" spans="1:7" ht="14.5" hidden="1">
      <c r="A8075" s="5"/>
      <c r="B8075" s="18"/>
      <c r="C8075" s="85"/>
      <c r="D8075" s="41"/>
      <c r="E8075" s="26" t="str">
        <f ca="1">IFERROR(__xludf.DUMMYFUNCTION("""COMPUTED_VALUE"""),"")</f>
        <v/>
      </c>
      <c r="F8075" s="72"/>
      <c r="G8075" s="72"/>
    </row>
    <row r="8076" spans="1:7" ht="14.5" hidden="1">
      <c r="A8076" s="5"/>
      <c r="B8076" s="18"/>
      <c r="C8076" s="85"/>
      <c r="D8076" s="41"/>
      <c r="E8076" s="26" t="str">
        <f ca="1">IFERROR(__xludf.DUMMYFUNCTION("""COMPUTED_VALUE"""),"")</f>
        <v/>
      </c>
      <c r="F8076" s="72"/>
      <c r="G8076" s="72"/>
    </row>
    <row r="8077" spans="1:7" ht="14.5" hidden="1">
      <c r="A8077" s="5"/>
      <c r="B8077" s="18"/>
      <c r="C8077" s="85"/>
      <c r="D8077" s="41"/>
      <c r="E8077" s="26" t="str">
        <f ca="1">IFERROR(__xludf.DUMMYFUNCTION("""COMPUTED_VALUE"""),"")</f>
        <v/>
      </c>
      <c r="F8077" s="72"/>
      <c r="G8077" s="72"/>
    </row>
    <row r="8078" spans="1:7" ht="14.5" hidden="1">
      <c r="A8078" s="5"/>
      <c r="B8078" s="18"/>
      <c r="C8078" s="85"/>
      <c r="D8078" s="41"/>
      <c r="E8078" s="26" t="str">
        <f ca="1">IFERROR(__xludf.DUMMYFUNCTION("""COMPUTED_VALUE"""),"")</f>
        <v/>
      </c>
      <c r="F8078" s="72"/>
      <c r="G8078" s="72"/>
    </row>
    <row r="8079" spans="1:7" ht="14.5" hidden="1">
      <c r="A8079" s="5"/>
      <c r="B8079" s="18"/>
      <c r="C8079" s="85"/>
      <c r="D8079" s="41"/>
      <c r="E8079" s="26" t="str">
        <f ca="1">IFERROR(__xludf.DUMMYFUNCTION("""COMPUTED_VALUE"""),"")</f>
        <v/>
      </c>
      <c r="F8079" s="72"/>
      <c r="G8079" s="72"/>
    </row>
    <row r="8080" spans="1:7" ht="14.5" hidden="1">
      <c r="A8080" s="5"/>
      <c r="B8080" s="18"/>
      <c r="C8080" s="85"/>
      <c r="D8080" s="41"/>
      <c r="E8080" s="26" t="str">
        <f ca="1">IFERROR(__xludf.DUMMYFUNCTION("""COMPUTED_VALUE"""),"")</f>
        <v/>
      </c>
      <c r="F8080" s="72"/>
      <c r="G8080" s="72"/>
    </row>
    <row r="8081" spans="1:7" ht="14.5" hidden="1">
      <c r="A8081" s="5"/>
      <c r="B8081" s="18"/>
      <c r="C8081" s="85"/>
      <c r="D8081" s="41"/>
      <c r="E8081" s="26" t="str">
        <f ca="1">IFERROR(__xludf.DUMMYFUNCTION("""COMPUTED_VALUE"""),"")</f>
        <v/>
      </c>
      <c r="F8081" s="72"/>
      <c r="G8081" s="72"/>
    </row>
    <row r="8082" spans="1:7" ht="14.5" hidden="1">
      <c r="A8082" s="5"/>
      <c r="B8082" s="18"/>
      <c r="C8082" s="85"/>
      <c r="D8082" s="41"/>
      <c r="E8082" s="26" t="str">
        <f ca="1">IFERROR(__xludf.DUMMYFUNCTION("""COMPUTED_VALUE"""),"")</f>
        <v/>
      </c>
      <c r="F8082" s="72"/>
      <c r="G8082" s="72"/>
    </row>
    <row r="8083" spans="1:7" ht="14.5" hidden="1">
      <c r="A8083" s="5"/>
      <c r="B8083" s="18"/>
      <c r="C8083" s="85"/>
      <c r="D8083" s="41"/>
      <c r="E8083" s="26" t="str">
        <f ca="1">IFERROR(__xludf.DUMMYFUNCTION("""COMPUTED_VALUE"""),"")</f>
        <v/>
      </c>
      <c r="F8083" s="72"/>
      <c r="G8083" s="72"/>
    </row>
    <row r="8084" spans="1:7" ht="14.5" hidden="1">
      <c r="A8084" s="5"/>
      <c r="B8084" s="18"/>
      <c r="C8084" s="85"/>
      <c r="D8084" s="41"/>
      <c r="E8084" s="26" t="str">
        <f ca="1">IFERROR(__xludf.DUMMYFUNCTION("""COMPUTED_VALUE"""),"")</f>
        <v/>
      </c>
      <c r="F8084" s="72"/>
      <c r="G8084" s="72"/>
    </row>
    <row r="8085" spans="1:7" ht="14.5" hidden="1">
      <c r="A8085" s="5"/>
      <c r="B8085" s="18"/>
      <c r="C8085" s="85"/>
      <c r="D8085" s="41"/>
      <c r="E8085" s="26" t="str">
        <f ca="1">IFERROR(__xludf.DUMMYFUNCTION("""COMPUTED_VALUE"""),"")</f>
        <v/>
      </c>
      <c r="F8085" s="72"/>
      <c r="G8085" s="72"/>
    </row>
    <row r="8086" spans="1:7" ht="14.5" hidden="1">
      <c r="A8086" s="5"/>
      <c r="B8086" s="18"/>
      <c r="C8086" s="85"/>
      <c r="D8086" s="41"/>
      <c r="E8086" s="26" t="str">
        <f ca="1">IFERROR(__xludf.DUMMYFUNCTION("""COMPUTED_VALUE"""),"")</f>
        <v/>
      </c>
      <c r="F8086" s="72"/>
      <c r="G8086" s="72"/>
    </row>
    <row r="8087" spans="1:7" ht="14.5" hidden="1">
      <c r="A8087" s="5"/>
      <c r="B8087" s="18"/>
      <c r="C8087" s="85"/>
      <c r="D8087" s="41"/>
      <c r="E8087" s="26" t="str">
        <f ca="1">IFERROR(__xludf.DUMMYFUNCTION("""COMPUTED_VALUE"""),"")</f>
        <v/>
      </c>
      <c r="F8087" s="72"/>
      <c r="G8087" s="72"/>
    </row>
    <row r="8088" spans="1:7" ht="14.5" hidden="1">
      <c r="A8088" s="5"/>
      <c r="B8088" s="18"/>
      <c r="C8088" s="85"/>
      <c r="D8088" s="41"/>
      <c r="E8088" s="26" t="str">
        <f ca="1">IFERROR(__xludf.DUMMYFUNCTION("""COMPUTED_VALUE"""),"")</f>
        <v/>
      </c>
      <c r="F8088" s="72"/>
      <c r="G8088" s="72"/>
    </row>
    <row r="8089" spans="1:7" ht="14.5" hidden="1">
      <c r="A8089" s="5"/>
      <c r="B8089" s="18"/>
      <c r="C8089" s="85"/>
      <c r="D8089" s="41"/>
      <c r="E8089" s="26" t="str">
        <f ca="1">IFERROR(__xludf.DUMMYFUNCTION("""COMPUTED_VALUE"""),"")</f>
        <v/>
      </c>
      <c r="F8089" s="72"/>
      <c r="G8089" s="72"/>
    </row>
    <row r="8090" spans="1:7" ht="14.5" hidden="1">
      <c r="A8090" s="5"/>
      <c r="B8090" s="18"/>
      <c r="C8090" s="85"/>
      <c r="D8090" s="41"/>
      <c r="E8090" s="26" t="str">
        <f ca="1">IFERROR(__xludf.DUMMYFUNCTION("""COMPUTED_VALUE"""),"")</f>
        <v/>
      </c>
      <c r="F8090" s="72"/>
      <c r="G8090" s="72"/>
    </row>
    <row r="8091" spans="1:7" ht="14.5" hidden="1">
      <c r="A8091" s="5"/>
      <c r="B8091" s="18"/>
      <c r="C8091" s="85"/>
      <c r="D8091" s="41"/>
      <c r="E8091" s="26" t="str">
        <f ca="1">IFERROR(__xludf.DUMMYFUNCTION("""COMPUTED_VALUE"""),"")</f>
        <v/>
      </c>
      <c r="F8091" s="72"/>
      <c r="G8091" s="72"/>
    </row>
    <row r="8092" spans="1:7" ht="14.5" hidden="1">
      <c r="A8092" s="5"/>
      <c r="B8092" s="18"/>
      <c r="C8092" s="85"/>
      <c r="D8092" s="41"/>
      <c r="E8092" s="26" t="str">
        <f ca="1">IFERROR(__xludf.DUMMYFUNCTION("""COMPUTED_VALUE"""),"")</f>
        <v/>
      </c>
      <c r="F8092" s="72"/>
      <c r="G8092" s="72"/>
    </row>
    <row r="8093" spans="1:7" ht="14.5" hidden="1">
      <c r="A8093" s="5"/>
      <c r="B8093" s="18"/>
      <c r="C8093" s="85"/>
      <c r="D8093" s="41"/>
      <c r="E8093" s="26" t="str">
        <f ca="1">IFERROR(__xludf.DUMMYFUNCTION("""COMPUTED_VALUE"""),"")</f>
        <v/>
      </c>
      <c r="F8093" s="72"/>
      <c r="G8093" s="72"/>
    </row>
    <row r="8094" spans="1:7" ht="14.5" hidden="1">
      <c r="A8094" s="5"/>
      <c r="B8094" s="18"/>
      <c r="C8094" s="85"/>
      <c r="D8094" s="41"/>
      <c r="E8094" s="26" t="str">
        <f ca="1">IFERROR(__xludf.DUMMYFUNCTION("""COMPUTED_VALUE"""),"")</f>
        <v/>
      </c>
      <c r="F8094" s="72"/>
      <c r="G8094" s="72"/>
    </row>
    <row r="8095" spans="1:7" ht="14.5" hidden="1">
      <c r="A8095" s="5"/>
      <c r="B8095" s="18"/>
      <c r="C8095" s="85"/>
      <c r="D8095" s="41"/>
      <c r="E8095" s="26" t="str">
        <f ca="1">IFERROR(__xludf.DUMMYFUNCTION("""COMPUTED_VALUE"""),"")</f>
        <v/>
      </c>
      <c r="F8095" s="72"/>
      <c r="G8095" s="72"/>
    </row>
    <row r="8096" spans="1:7" ht="14.5" hidden="1">
      <c r="A8096" s="5"/>
      <c r="B8096" s="18"/>
      <c r="C8096" s="85"/>
      <c r="D8096" s="41"/>
      <c r="E8096" s="26" t="str">
        <f ca="1">IFERROR(__xludf.DUMMYFUNCTION("""COMPUTED_VALUE"""),"")</f>
        <v/>
      </c>
      <c r="F8096" s="72"/>
      <c r="G8096" s="72"/>
    </row>
    <row r="8097" spans="1:7" ht="14.5" hidden="1">
      <c r="A8097" s="5"/>
      <c r="B8097" s="18"/>
      <c r="C8097" s="85"/>
      <c r="D8097" s="41"/>
      <c r="E8097" s="26" t="str">
        <f ca="1">IFERROR(__xludf.DUMMYFUNCTION("""COMPUTED_VALUE"""),"")</f>
        <v/>
      </c>
      <c r="F8097" s="72"/>
      <c r="G8097" s="72"/>
    </row>
    <row r="8098" spans="1:7" ht="14.5" hidden="1">
      <c r="A8098" s="5"/>
      <c r="B8098" s="18"/>
      <c r="C8098" s="85"/>
      <c r="D8098" s="41"/>
      <c r="E8098" s="26" t="str">
        <f ca="1">IFERROR(__xludf.DUMMYFUNCTION("""COMPUTED_VALUE"""),"")</f>
        <v/>
      </c>
      <c r="F8098" s="72"/>
      <c r="G8098" s="72"/>
    </row>
    <row r="8099" spans="1:7" ht="14.5" hidden="1">
      <c r="A8099" s="5"/>
      <c r="B8099" s="18"/>
      <c r="C8099" s="85"/>
      <c r="D8099" s="41"/>
      <c r="E8099" s="26" t="str">
        <f ca="1">IFERROR(__xludf.DUMMYFUNCTION("""COMPUTED_VALUE"""),"")</f>
        <v/>
      </c>
      <c r="F8099" s="72"/>
      <c r="G8099" s="72"/>
    </row>
    <row r="8100" spans="1:7" ht="14.5" hidden="1">
      <c r="A8100" s="5"/>
      <c r="B8100" s="18"/>
      <c r="C8100" s="85"/>
      <c r="D8100" s="41"/>
      <c r="E8100" s="26" t="str">
        <f ca="1">IFERROR(__xludf.DUMMYFUNCTION("""COMPUTED_VALUE"""),"")</f>
        <v/>
      </c>
      <c r="F8100" s="72"/>
      <c r="G8100" s="72"/>
    </row>
    <row r="8101" spans="1:7" ht="14.5" hidden="1">
      <c r="A8101" s="5"/>
      <c r="B8101" s="18"/>
      <c r="C8101" s="85"/>
      <c r="D8101" s="41"/>
      <c r="E8101" s="26" t="str">
        <f ca="1">IFERROR(__xludf.DUMMYFUNCTION("""COMPUTED_VALUE"""),"")</f>
        <v/>
      </c>
      <c r="F8101" s="72"/>
      <c r="G8101" s="72"/>
    </row>
    <row r="8102" spans="1:7" ht="14.5" hidden="1">
      <c r="A8102" s="5"/>
      <c r="B8102" s="18"/>
      <c r="C8102" s="85"/>
      <c r="D8102" s="41"/>
      <c r="E8102" s="26" t="str">
        <f ca="1">IFERROR(__xludf.DUMMYFUNCTION("""COMPUTED_VALUE"""),"")</f>
        <v/>
      </c>
      <c r="F8102" s="72"/>
      <c r="G8102" s="72"/>
    </row>
    <row r="8103" spans="1:7" ht="14.5" hidden="1">
      <c r="A8103" s="5"/>
      <c r="B8103" s="18"/>
      <c r="C8103" s="85"/>
      <c r="D8103" s="41"/>
      <c r="E8103" s="26" t="str">
        <f ca="1">IFERROR(__xludf.DUMMYFUNCTION("""COMPUTED_VALUE"""),"")</f>
        <v/>
      </c>
      <c r="F8103" s="72"/>
      <c r="G8103" s="72"/>
    </row>
    <row r="8104" spans="1:7" ht="14.5" hidden="1">
      <c r="A8104" s="5"/>
      <c r="B8104" s="18"/>
      <c r="C8104" s="85"/>
      <c r="D8104" s="41"/>
      <c r="E8104" s="26" t="str">
        <f ca="1">IFERROR(__xludf.DUMMYFUNCTION("""COMPUTED_VALUE"""),"")</f>
        <v/>
      </c>
      <c r="F8104" s="72"/>
      <c r="G8104" s="72"/>
    </row>
    <row r="8105" spans="1:7" ht="14.5" hidden="1">
      <c r="A8105" s="5"/>
      <c r="B8105" s="18"/>
      <c r="C8105" s="85"/>
      <c r="D8105" s="41"/>
      <c r="E8105" s="26" t="str">
        <f ca="1">IFERROR(__xludf.DUMMYFUNCTION("""COMPUTED_VALUE"""),"")</f>
        <v/>
      </c>
      <c r="F8105" s="72"/>
      <c r="G8105" s="72"/>
    </row>
    <row r="8106" spans="1:7" ht="14.5" hidden="1">
      <c r="A8106" s="5"/>
      <c r="B8106" s="18"/>
      <c r="C8106" s="85"/>
      <c r="D8106" s="41"/>
      <c r="E8106" s="26" t="str">
        <f ca="1">IFERROR(__xludf.DUMMYFUNCTION("""COMPUTED_VALUE"""),"")</f>
        <v/>
      </c>
      <c r="F8106" s="72"/>
      <c r="G8106" s="72"/>
    </row>
    <row r="8107" spans="1:7" ht="14.5" hidden="1">
      <c r="A8107" s="5"/>
      <c r="B8107" s="18"/>
      <c r="C8107" s="85"/>
      <c r="D8107" s="41"/>
      <c r="E8107" s="26" t="str">
        <f ca="1">IFERROR(__xludf.DUMMYFUNCTION("""COMPUTED_VALUE"""),"")</f>
        <v/>
      </c>
      <c r="F8107" s="72"/>
      <c r="G8107" s="72"/>
    </row>
    <row r="8108" spans="1:7" ht="14.5" hidden="1">
      <c r="A8108" s="5"/>
      <c r="B8108" s="18"/>
      <c r="C8108" s="85"/>
      <c r="D8108" s="41"/>
      <c r="E8108" s="26" t="str">
        <f ca="1">IFERROR(__xludf.DUMMYFUNCTION("""COMPUTED_VALUE"""),"")</f>
        <v/>
      </c>
      <c r="F8108" s="72"/>
      <c r="G8108" s="72"/>
    </row>
    <row r="8109" spans="1:7" ht="14.5" hidden="1">
      <c r="A8109" s="5"/>
      <c r="B8109" s="18"/>
      <c r="C8109" s="85"/>
      <c r="D8109" s="41"/>
      <c r="E8109" s="26" t="str">
        <f ca="1">IFERROR(__xludf.DUMMYFUNCTION("""COMPUTED_VALUE"""),"")</f>
        <v/>
      </c>
      <c r="F8109" s="72"/>
      <c r="G8109" s="72"/>
    </row>
    <row r="8110" spans="1:7" ht="14.5" hidden="1">
      <c r="A8110" s="5"/>
      <c r="B8110" s="18"/>
      <c r="C8110" s="85"/>
      <c r="D8110" s="41"/>
      <c r="E8110" s="26" t="str">
        <f ca="1">IFERROR(__xludf.DUMMYFUNCTION("""COMPUTED_VALUE"""),"")</f>
        <v/>
      </c>
      <c r="F8110" s="72"/>
      <c r="G8110" s="72"/>
    </row>
    <row r="8111" spans="1:7" ht="14.5" hidden="1">
      <c r="A8111" s="5"/>
      <c r="B8111" s="18"/>
      <c r="C8111" s="85"/>
      <c r="D8111" s="41"/>
      <c r="E8111" s="26" t="str">
        <f ca="1">IFERROR(__xludf.DUMMYFUNCTION("""COMPUTED_VALUE"""),"")</f>
        <v/>
      </c>
      <c r="F8111" s="72"/>
      <c r="G8111" s="72"/>
    </row>
    <row r="8112" spans="1:7" ht="14.5" hidden="1">
      <c r="A8112" s="5"/>
      <c r="B8112" s="18"/>
      <c r="C8112" s="85"/>
      <c r="D8112" s="41"/>
      <c r="E8112" s="26" t="str">
        <f ca="1">IFERROR(__xludf.DUMMYFUNCTION("""COMPUTED_VALUE"""),"")</f>
        <v/>
      </c>
      <c r="F8112" s="72"/>
      <c r="G8112" s="72"/>
    </row>
    <row r="8113" spans="1:7" ht="14.5" hidden="1">
      <c r="A8113" s="5"/>
      <c r="B8113" s="18"/>
      <c r="C8113" s="85"/>
      <c r="D8113" s="41"/>
      <c r="E8113" s="26" t="str">
        <f ca="1">IFERROR(__xludf.DUMMYFUNCTION("""COMPUTED_VALUE"""),"")</f>
        <v/>
      </c>
      <c r="F8113" s="72"/>
      <c r="G8113" s="72"/>
    </row>
    <row r="8114" spans="1:7" ht="14.5" hidden="1">
      <c r="A8114" s="5"/>
      <c r="B8114" s="18"/>
      <c r="C8114" s="85"/>
      <c r="D8114" s="41"/>
      <c r="E8114" s="26" t="str">
        <f ca="1">IFERROR(__xludf.DUMMYFUNCTION("""COMPUTED_VALUE"""),"")</f>
        <v/>
      </c>
      <c r="F8114" s="72"/>
      <c r="G8114" s="72"/>
    </row>
    <row r="8115" spans="1:7" ht="14.5" hidden="1">
      <c r="A8115" s="5"/>
      <c r="B8115" s="18"/>
      <c r="C8115" s="85"/>
      <c r="D8115" s="41"/>
      <c r="E8115" s="26" t="str">
        <f ca="1">IFERROR(__xludf.DUMMYFUNCTION("""COMPUTED_VALUE"""),"")</f>
        <v/>
      </c>
      <c r="F8115" s="72"/>
      <c r="G8115" s="72"/>
    </row>
    <row r="8116" spans="1:7" ht="14.5" hidden="1">
      <c r="A8116" s="5"/>
      <c r="B8116" s="18"/>
      <c r="C8116" s="85"/>
      <c r="D8116" s="41"/>
      <c r="E8116" s="26" t="str">
        <f ca="1">IFERROR(__xludf.DUMMYFUNCTION("""COMPUTED_VALUE"""),"")</f>
        <v/>
      </c>
      <c r="F8116" s="72"/>
      <c r="G8116" s="72"/>
    </row>
    <row r="8117" spans="1:7" ht="14.5" hidden="1">
      <c r="A8117" s="5"/>
      <c r="B8117" s="18"/>
      <c r="C8117" s="85"/>
      <c r="D8117" s="41"/>
      <c r="E8117" s="26" t="str">
        <f ca="1">IFERROR(__xludf.DUMMYFUNCTION("""COMPUTED_VALUE"""),"")</f>
        <v/>
      </c>
      <c r="F8117" s="72"/>
      <c r="G8117" s="72"/>
    </row>
    <row r="8118" spans="1:7" ht="14.5" hidden="1">
      <c r="A8118" s="5"/>
      <c r="B8118" s="18"/>
      <c r="C8118" s="85"/>
      <c r="D8118" s="41"/>
      <c r="E8118" s="26" t="str">
        <f ca="1">IFERROR(__xludf.DUMMYFUNCTION("""COMPUTED_VALUE"""),"")</f>
        <v/>
      </c>
      <c r="F8118" s="72"/>
      <c r="G8118" s="72"/>
    </row>
    <row r="8119" spans="1:7" ht="14.5" hidden="1">
      <c r="A8119" s="5"/>
      <c r="B8119" s="18"/>
      <c r="C8119" s="85"/>
      <c r="D8119" s="41"/>
      <c r="E8119" s="26" t="str">
        <f ca="1">IFERROR(__xludf.DUMMYFUNCTION("""COMPUTED_VALUE"""),"")</f>
        <v/>
      </c>
      <c r="F8119" s="72"/>
      <c r="G8119" s="72"/>
    </row>
    <row r="8120" spans="1:7" ht="14.5" hidden="1">
      <c r="A8120" s="5"/>
      <c r="B8120" s="18"/>
      <c r="C8120" s="85"/>
      <c r="D8120" s="41"/>
      <c r="E8120" s="26" t="str">
        <f ca="1">IFERROR(__xludf.DUMMYFUNCTION("""COMPUTED_VALUE"""),"")</f>
        <v/>
      </c>
      <c r="F8120" s="72"/>
      <c r="G8120" s="72"/>
    </row>
    <row r="8121" spans="1:7" ht="14.5" hidden="1">
      <c r="A8121" s="5"/>
      <c r="B8121" s="18"/>
      <c r="C8121" s="85"/>
      <c r="D8121" s="41"/>
      <c r="E8121" s="26" t="str">
        <f ca="1">IFERROR(__xludf.DUMMYFUNCTION("""COMPUTED_VALUE"""),"")</f>
        <v/>
      </c>
      <c r="F8121" s="72"/>
      <c r="G8121" s="72"/>
    </row>
    <row r="8122" spans="1:7" ht="14.5" hidden="1">
      <c r="A8122" s="5"/>
      <c r="B8122" s="18"/>
      <c r="C8122" s="85"/>
      <c r="D8122" s="41"/>
      <c r="E8122" s="26" t="str">
        <f ca="1">IFERROR(__xludf.DUMMYFUNCTION("""COMPUTED_VALUE"""),"")</f>
        <v/>
      </c>
      <c r="F8122" s="72"/>
      <c r="G8122" s="72"/>
    </row>
    <row r="8123" spans="1:7" ht="14.5" hidden="1">
      <c r="A8123" s="5"/>
      <c r="B8123" s="18"/>
      <c r="C8123" s="85"/>
      <c r="D8123" s="41"/>
      <c r="E8123" s="26" t="str">
        <f ca="1">IFERROR(__xludf.DUMMYFUNCTION("""COMPUTED_VALUE"""),"")</f>
        <v/>
      </c>
      <c r="F8123" s="72"/>
      <c r="G8123" s="72"/>
    </row>
    <row r="8124" spans="1:7" ht="14.5" hidden="1">
      <c r="A8124" s="5"/>
      <c r="B8124" s="18"/>
      <c r="C8124" s="85"/>
      <c r="D8124" s="41"/>
      <c r="E8124" s="26" t="str">
        <f ca="1">IFERROR(__xludf.DUMMYFUNCTION("""COMPUTED_VALUE"""),"")</f>
        <v/>
      </c>
      <c r="F8124" s="72"/>
      <c r="G8124" s="72"/>
    </row>
    <row r="8125" spans="1:7" ht="14.5" hidden="1">
      <c r="A8125" s="5"/>
      <c r="B8125" s="18"/>
      <c r="C8125" s="85"/>
      <c r="D8125" s="41"/>
      <c r="E8125" s="26" t="str">
        <f ca="1">IFERROR(__xludf.DUMMYFUNCTION("""COMPUTED_VALUE"""),"")</f>
        <v/>
      </c>
      <c r="F8125" s="72"/>
      <c r="G8125" s="72"/>
    </row>
    <row r="8126" spans="1:7" ht="14.5" hidden="1">
      <c r="A8126" s="5"/>
      <c r="B8126" s="18"/>
      <c r="C8126" s="85"/>
      <c r="D8126" s="41"/>
      <c r="E8126" s="26" t="str">
        <f ca="1">IFERROR(__xludf.DUMMYFUNCTION("""COMPUTED_VALUE"""),"")</f>
        <v/>
      </c>
      <c r="F8126" s="72"/>
      <c r="G8126" s="72"/>
    </row>
    <row r="8127" spans="1:7" ht="14.5" hidden="1">
      <c r="A8127" s="5"/>
      <c r="B8127" s="18"/>
      <c r="C8127" s="85"/>
      <c r="D8127" s="41"/>
      <c r="E8127" s="26" t="str">
        <f ca="1">IFERROR(__xludf.DUMMYFUNCTION("""COMPUTED_VALUE"""),"")</f>
        <v/>
      </c>
      <c r="F8127" s="72"/>
      <c r="G8127" s="72"/>
    </row>
    <row r="8128" spans="1:7" ht="14.5" hidden="1">
      <c r="A8128" s="5"/>
      <c r="B8128" s="18"/>
      <c r="C8128" s="85"/>
      <c r="D8128" s="41"/>
      <c r="E8128" s="26" t="str">
        <f ca="1">IFERROR(__xludf.DUMMYFUNCTION("""COMPUTED_VALUE"""),"")</f>
        <v/>
      </c>
      <c r="F8128" s="72"/>
      <c r="G8128" s="72"/>
    </row>
    <row r="8129" spans="1:7" ht="14.5" hidden="1">
      <c r="A8129" s="5"/>
      <c r="B8129" s="18"/>
      <c r="C8129" s="85"/>
      <c r="D8129" s="41"/>
      <c r="E8129" s="26" t="str">
        <f ca="1">IFERROR(__xludf.DUMMYFUNCTION("""COMPUTED_VALUE"""),"")</f>
        <v/>
      </c>
      <c r="F8129" s="72"/>
      <c r="G8129" s="72"/>
    </row>
    <row r="8130" spans="1:7" ht="14.5" hidden="1">
      <c r="A8130" s="5"/>
      <c r="B8130" s="18"/>
      <c r="C8130" s="85"/>
      <c r="D8130" s="41"/>
      <c r="E8130" s="26" t="str">
        <f ca="1">IFERROR(__xludf.DUMMYFUNCTION("""COMPUTED_VALUE"""),"")</f>
        <v/>
      </c>
      <c r="F8130" s="72"/>
      <c r="G8130" s="72"/>
    </row>
    <row r="8131" spans="1:7" ht="14.5" hidden="1">
      <c r="A8131" s="5"/>
      <c r="B8131" s="18"/>
      <c r="C8131" s="85"/>
      <c r="D8131" s="41"/>
      <c r="E8131" s="26" t="str">
        <f ca="1">IFERROR(__xludf.DUMMYFUNCTION("""COMPUTED_VALUE"""),"")</f>
        <v/>
      </c>
      <c r="F8131" s="72"/>
      <c r="G8131" s="72"/>
    </row>
    <row r="8132" spans="1:7" ht="14.5" hidden="1">
      <c r="A8132" s="5"/>
      <c r="B8132" s="18"/>
      <c r="C8132" s="85"/>
      <c r="D8132" s="41"/>
      <c r="E8132" s="26" t="str">
        <f ca="1">IFERROR(__xludf.DUMMYFUNCTION("""COMPUTED_VALUE"""),"")</f>
        <v/>
      </c>
      <c r="F8132" s="72"/>
      <c r="G8132" s="72"/>
    </row>
    <row r="8133" spans="1:7" ht="14.5" hidden="1">
      <c r="A8133" s="5"/>
      <c r="B8133" s="18"/>
      <c r="C8133" s="85"/>
      <c r="D8133" s="41"/>
      <c r="E8133" s="26" t="str">
        <f ca="1">IFERROR(__xludf.DUMMYFUNCTION("""COMPUTED_VALUE"""),"")</f>
        <v/>
      </c>
      <c r="F8133" s="72"/>
      <c r="G8133" s="72"/>
    </row>
    <row r="8134" spans="1:7" ht="14.5" hidden="1">
      <c r="A8134" s="5"/>
      <c r="B8134" s="18"/>
      <c r="C8134" s="85"/>
      <c r="D8134" s="41"/>
      <c r="E8134" s="26" t="str">
        <f ca="1">IFERROR(__xludf.DUMMYFUNCTION("""COMPUTED_VALUE"""),"")</f>
        <v/>
      </c>
      <c r="F8134" s="72"/>
      <c r="G8134" s="72"/>
    </row>
    <row r="8135" spans="1:7" ht="14.5" hidden="1">
      <c r="A8135" s="5"/>
      <c r="B8135" s="18"/>
      <c r="C8135" s="85"/>
      <c r="D8135" s="41"/>
      <c r="E8135" s="26" t="str">
        <f ca="1">IFERROR(__xludf.DUMMYFUNCTION("""COMPUTED_VALUE"""),"")</f>
        <v/>
      </c>
      <c r="F8135" s="72"/>
      <c r="G8135" s="72"/>
    </row>
    <row r="8136" spans="1:7" ht="14.5" hidden="1">
      <c r="A8136" s="5"/>
      <c r="B8136" s="18"/>
      <c r="C8136" s="85"/>
      <c r="D8136" s="41"/>
      <c r="E8136" s="26" t="str">
        <f ca="1">IFERROR(__xludf.DUMMYFUNCTION("""COMPUTED_VALUE"""),"")</f>
        <v/>
      </c>
      <c r="F8136" s="72"/>
      <c r="G8136" s="72"/>
    </row>
    <row r="8137" spans="1:7" ht="14.5" hidden="1">
      <c r="A8137" s="5"/>
      <c r="B8137" s="18"/>
      <c r="C8137" s="85"/>
      <c r="D8137" s="41"/>
      <c r="E8137" s="26" t="str">
        <f ca="1">IFERROR(__xludf.DUMMYFUNCTION("""COMPUTED_VALUE"""),"")</f>
        <v/>
      </c>
      <c r="F8137" s="72"/>
      <c r="G8137" s="72"/>
    </row>
    <row r="8138" spans="1:7" ht="14.5" hidden="1">
      <c r="A8138" s="5"/>
      <c r="B8138" s="18"/>
      <c r="C8138" s="85"/>
      <c r="D8138" s="41"/>
      <c r="E8138" s="26" t="str">
        <f ca="1">IFERROR(__xludf.DUMMYFUNCTION("""COMPUTED_VALUE"""),"")</f>
        <v/>
      </c>
      <c r="F8138" s="72"/>
      <c r="G8138" s="72"/>
    </row>
    <row r="8139" spans="1:7" ht="14.5" hidden="1">
      <c r="A8139" s="5"/>
      <c r="B8139" s="18"/>
      <c r="C8139" s="85"/>
      <c r="D8139" s="41"/>
      <c r="E8139" s="26" t="str">
        <f ca="1">IFERROR(__xludf.DUMMYFUNCTION("""COMPUTED_VALUE"""),"")</f>
        <v/>
      </c>
      <c r="F8139" s="72"/>
      <c r="G8139" s="72"/>
    </row>
    <row r="8140" spans="1:7" ht="14.5" hidden="1">
      <c r="A8140" s="5"/>
      <c r="B8140" s="18"/>
      <c r="C8140" s="85"/>
      <c r="D8140" s="41"/>
      <c r="E8140" s="26" t="str">
        <f ca="1">IFERROR(__xludf.DUMMYFUNCTION("""COMPUTED_VALUE"""),"")</f>
        <v/>
      </c>
      <c r="F8140" s="72"/>
      <c r="G8140" s="72"/>
    </row>
    <row r="8141" spans="1:7" ht="14.5" hidden="1">
      <c r="A8141" s="5"/>
      <c r="B8141" s="18"/>
      <c r="C8141" s="85"/>
      <c r="D8141" s="41"/>
      <c r="E8141" s="26" t="str">
        <f ca="1">IFERROR(__xludf.DUMMYFUNCTION("""COMPUTED_VALUE"""),"")</f>
        <v/>
      </c>
      <c r="F8141" s="72"/>
      <c r="G8141" s="72"/>
    </row>
    <row r="8142" spans="1:7" ht="14.5" hidden="1">
      <c r="A8142" s="5"/>
      <c r="B8142" s="18"/>
      <c r="C8142" s="85"/>
      <c r="D8142" s="41"/>
      <c r="E8142" s="26" t="str">
        <f ca="1">IFERROR(__xludf.DUMMYFUNCTION("""COMPUTED_VALUE"""),"")</f>
        <v/>
      </c>
      <c r="F8142" s="72"/>
      <c r="G8142" s="72"/>
    </row>
    <row r="8143" spans="1:7" ht="14.5" hidden="1">
      <c r="A8143" s="5"/>
      <c r="B8143" s="18"/>
      <c r="C8143" s="85"/>
      <c r="D8143" s="41"/>
      <c r="E8143" s="26" t="str">
        <f ca="1">IFERROR(__xludf.DUMMYFUNCTION("""COMPUTED_VALUE"""),"")</f>
        <v/>
      </c>
      <c r="F8143" s="72"/>
      <c r="G8143" s="72"/>
    </row>
    <row r="8144" spans="1:7" ht="14.5" hidden="1">
      <c r="A8144" s="5"/>
      <c r="B8144" s="18"/>
      <c r="C8144" s="85"/>
      <c r="D8144" s="41"/>
      <c r="E8144" s="26" t="str">
        <f ca="1">IFERROR(__xludf.DUMMYFUNCTION("""COMPUTED_VALUE"""),"")</f>
        <v/>
      </c>
      <c r="F8144" s="72"/>
      <c r="G8144" s="72"/>
    </row>
    <row r="8145" spans="1:7" ht="14.5" hidden="1">
      <c r="A8145" s="5"/>
      <c r="B8145" s="18"/>
      <c r="C8145" s="85"/>
      <c r="D8145" s="41"/>
      <c r="E8145" s="26" t="str">
        <f ca="1">IFERROR(__xludf.DUMMYFUNCTION("""COMPUTED_VALUE"""),"")</f>
        <v/>
      </c>
      <c r="F8145" s="72"/>
      <c r="G8145" s="72"/>
    </row>
    <row r="8146" spans="1:7" ht="14.5" hidden="1">
      <c r="A8146" s="5"/>
      <c r="B8146" s="18"/>
      <c r="C8146" s="85"/>
      <c r="D8146" s="41"/>
      <c r="E8146" s="26" t="str">
        <f ca="1">IFERROR(__xludf.DUMMYFUNCTION("""COMPUTED_VALUE"""),"")</f>
        <v/>
      </c>
      <c r="F8146" s="72"/>
      <c r="G8146" s="72"/>
    </row>
    <row r="8147" spans="1:7" ht="14.5" hidden="1">
      <c r="A8147" s="5"/>
      <c r="B8147" s="18"/>
      <c r="C8147" s="85"/>
      <c r="D8147" s="41"/>
      <c r="E8147" s="26" t="str">
        <f ca="1">IFERROR(__xludf.DUMMYFUNCTION("""COMPUTED_VALUE"""),"")</f>
        <v/>
      </c>
      <c r="F8147" s="72"/>
      <c r="G8147" s="72"/>
    </row>
    <row r="8148" spans="1:7" ht="14.5" hidden="1">
      <c r="A8148" s="5"/>
      <c r="B8148" s="18"/>
      <c r="C8148" s="85"/>
      <c r="D8148" s="41"/>
      <c r="E8148" s="26" t="str">
        <f ca="1">IFERROR(__xludf.DUMMYFUNCTION("""COMPUTED_VALUE"""),"")</f>
        <v/>
      </c>
      <c r="F8148" s="72"/>
      <c r="G8148" s="72"/>
    </row>
    <row r="8149" spans="1:7" ht="14.5" hidden="1">
      <c r="A8149" s="5"/>
      <c r="B8149" s="18"/>
      <c r="C8149" s="85"/>
      <c r="D8149" s="41"/>
      <c r="E8149" s="26" t="str">
        <f ca="1">IFERROR(__xludf.DUMMYFUNCTION("""COMPUTED_VALUE"""),"")</f>
        <v/>
      </c>
      <c r="F8149" s="72"/>
      <c r="G8149" s="72"/>
    </row>
    <row r="8150" spans="1:7" ht="14.5" hidden="1">
      <c r="A8150" s="5"/>
      <c r="B8150" s="18"/>
      <c r="C8150" s="85"/>
      <c r="D8150" s="41"/>
      <c r="E8150" s="26" t="str">
        <f ca="1">IFERROR(__xludf.DUMMYFUNCTION("""COMPUTED_VALUE"""),"")</f>
        <v/>
      </c>
      <c r="F8150" s="72"/>
      <c r="G8150" s="72"/>
    </row>
    <row r="8151" spans="1:7" ht="14.5" hidden="1">
      <c r="A8151" s="5"/>
      <c r="B8151" s="18"/>
      <c r="C8151" s="85"/>
      <c r="D8151" s="41"/>
      <c r="E8151" s="26" t="str">
        <f ca="1">IFERROR(__xludf.DUMMYFUNCTION("""COMPUTED_VALUE"""),"")</f>
        <v/>
      </c>
      <c r="F8151" s="72"/>
      <c r="G8151" s="72"/>
    </row>
    <row r="8152" spans="1:7" ht="14.5" hidden="1">
      <c r="A8152" s="5"/>
      <c r="B8152" s="18"/>
      <c r="C8152" s="85"/>
      <c r="D8152" s="41"/>
      <c r="E8152" s="26" t="str">
        <f ca="1">IFERROR(__xludf.DUMMYFUNCTION("""COMPUTED_VALUE"""),"")</f>
        <v/>
      </c>
      <c r="F8152" s="72"/>
      <c r="G8152" s="72"/>
    </row>
    <row r="8153" spans="1:7" ht="14.5" hidden="1">
      <c r="A8153" s="5"/>
      <c r="B8153" s="18"/>
      <c r="C8153" s="85"/>
      <c r="D8153" s="41"/>
      <c r="E8153" s="26" t="str">
        <f ca="1">IFERROR(__xludf.DUMMYFUNCTION("""COMPUTED_VALUE"""),"")</f>
        <v/>
      </c>
      <c r="F8153" s="72"/>
      <c r="G8153" s="72"/>
    </row>
    <row r="8154" spans="1:7" ht="14.5" hidden="1">
      <c r="A8154" s="5"/>
      <c r="B8154" s="18"/>
      <c r="C8154" s="85"/>
      <c r="D8154" s="41"/>
      <c r="E8154" s="26" t="str">
        <f ca="1">IFERROR(__xludf.DUMMYFUNCTION("""COMPUTED_VALUE"""),"")</f>
        <v/>
      </c>
      <c r="F8154" s="72"/>
      <c r="G8154" s="72"/>
    </row>
    <row r="8155" spans="1:7" ht="14.5" hidden="1">
      <c r="A8155" s="5"/>
      <c r="B8155" s="18"/>
      <c r="C8155" s="85"/>
      <c r="D8155" s="41"/>
      <c r="E8155" s="26" t="str">
        <f ca="1">IFERROR(__xludf.DUMMYFUNCTION("""COMPUTED_VALUE"""),"")</f>
        <v/>
      </c>
      <c r="F8155" s="72"/>
      <c r="G8155" s="72"/>
    </row>
    <row r="8156" spans="1:7" ht="14.5" hidden="1">
      <c r="A8156" s="5"/>
      <c r="B8156" s="18"/>
      <c r="C8156" s="85"/>
      <c r="D8156" s="41"/>
      <c r="E8156" s="26" t="str">
        <f ca="1">IFERROR(__xludf.DUMMYFUNCTION("""COMPUTED_VALUE"""),"")</f>
        <v/>
      </c>
      <c r="F8156" s="72"/>
      <c r="G8156" s="72"/>
    </row>
    <row r="8157" spans="1:7" ht="14.5" hidden="1">
      <c r="A8157" s="5"/>
      <c r="B8157" s="18"/>
      <c r="C8157" s="85"/>
      <c r="D8157" s="41"/>
      <c r="E8157" s="26" t="str">
        <f ca="1">IFERROR(__xludf.DUMMYFUNCTION("""COMPUTED_VALUE"""),"")</f>
        <v/>
      </c>
      <c r="F8157" s="72"/>
      <c r="G8157" s="72"/>
    </row>
    <row r="8158" spans="1:7" ht="14.5" hidden="1">
      <c r="A8158" s="5"/>
      <c r="B8158" s="18"/>
      <c r="C8158" s="85"/>
      <c r="D8158" s="41"/>
      <c r="E8158" s="26" t="str">
        <f ca="1">IFERROR(__xludf.DUMMYFUNCTION("""COMPUTED_VALUE"""),"")</f>
        <v/>
      </c>
      <c r="F8158" s="72"/>
      <c r="G8158" s="72"/>
    </row>
    <row r="8159" spans="1:7" ht="14.5" hidden="1">
      <c r="A8159" s="5"/>
      <c r="B8159" s="18"/>
      <c r="C8159" s="85"/>
      <c r="D8159" s="41"/>
      <c r="E8159" s="26" t="str">
        <f ca="1">IFERROR(__xludf.DUMMYFUNCTION("""COMPUTED_VALUE"""),"")</f>
        <v/>
      </c>
      <c r="F8159" s="72"/>
      <c r="G8159" s="72"/>
    </row>
    <row r="8160" spans="1:7" ht="14.5" hidden="1">
      <c r="A8160" s="5"/>
      <c r="B8160" s="18"/>
      <c r="C8160" s="85"/>
      <c r="D8160" s="41"/>
      <c r="E8160" s="26" t="str">
        <f ca="1">IFERROR(__xludf.DUMMYFUNCTION("""COMPUTED_VALUE"""),"")</f>
        <v/>
      </c>
      <c r="F8160" s="72"/>
      <c r="G8160" s="72"/>
    </row>
    <row r="8161" spans="1:7" ht="14.5" hidden="1">
      <c r="A8161" s="5"/>
      <c r="B8161" s="18"/>
      <c r="C8161" s="85"/>
      <c r="D8161" s="41"/>
      <c r="E8161" s="26" t="str">
        <f ca="1">IFERROR(__xludf.DUMMYFUNCTION("""COMPUTED_VALUE"""),"")</f>
        <v/>
      </c>
      <c r="F8161" s="72"/>
      <c r="G8161" s="72"/>
    </row>
    <row r="8162" spans="1:7" ht="14.5" hidden="1">
      <c r="A8162" s="5"/>
      <c r="B8162" s="18"/>
      <c r="C8162" s="85"/>
      <c r="D8162" s="41"/>
      <c r="E8162" s="26" t="str">
        <f ca="1">IFERROR(__xludf.DUMMYFUNCTION("""COMPUTED_VALUE"""),"")</f>
        <v/>
      </c>
      <c r="F8162" s="72"/>
      <c r="G8162" s="72"/>
    </row>
    <row r="8163" spans="1:7" ht="14.5" hidden="1">
      <c r="A8163" s="5"/>
      <c r="B8163" s="18"/>
      <c r="C8163" s="85"/>
      <c r="D8163" s="41"/>
      <c r="E8163" s="26" t="str">
        <f ca="1">IFERROR(__xludf.DUMMYFUNCTION("""COMPUTED_VALUE"""),"")</f>
        <v/>
      </c>
      <c r="F8163" s="72"/>
      <c r="G8163" s="72"/>
    </row>
    <row r="8164" spans="1:7" ht="14.5" hidden="1">
      <c r="A8164" s="5"/>
      <c r="B8164" s="18"/>
      <c r="C8164" s="85"/>
      <c r="D8164" s="41"/>
      <c r="E8164" s="26" t="str">
        <f ca="1">IFERROR(__xludf.DUMMYFUNCTION("""COMPUTED_VALUE"""),"")</f>
        <v/>
      </c>
      <c r="F8164" s="72"/>
      <c r="G8164" s="72"/>
    </row>
    <row r="8165" spans="1:7" ht="14.5" hidden="1">
      <c r="A8165" s="5"/>
      <c r="B8165" s="18"/>
      <c r="C8165" s="85"/>
      <c r="D8165" s="41"/>
      <c r="E8165" s="26" t="str">
        <f ca="1">IFERROR(__xludf.DUMMYFUNCTION("""COMPUTED_VALUE"""),"")</f>
        <v/>
      </c>
      <c r="F8165" s="72"/>
      <c r="G8165" s="72"/>
    </row>
    <row r="8166" spans="1:7" ht="14.5" hidden="1">
      <c r="A8166" s="5"/>
      <c r="B8166" s="18"/>
      <c r="C8166" s="85"/>
      <c r="D8166" s="41"/>
      <c r="E8166" s="26" t="str">
        <f ca="1">IFERROR(__xludf.DUMMYFUNCTION("""COMPUTED_VALUE"""),"")</f>
        <v/>
      </c>
      <c r="F8166" s="72"/>
      <c r="G8166" s="72"/>
    </row>
    <row r="8167" spans="1:7" ht="14.5" hidden="1">
      <c r="A8167" s="5"/>
      <c r="B8167" s="18"/>
      <c r="C8167" s="85"/>
      <c r="D8167" s="41"/>
      <c r="E8167" s="26" t="str">
        <f ca="1">IFERROR(__xludf.DUMMYFUNCTION("""COMPUTED_VALUE"""),"")</f>
        <v/>
      </c>
      <c r="F8167" s="72"/>
      <c r="G8167" s="72"/>
    </row>
    <row r="8168" spans="1:7" ht="14.5" hidden="1">
      <c r="A8168" s="5"/>
      <c r="B8168" s="18"/>
      <c r="C8168" s="85"/>
      <c r="D8168" s="41"/>
      <c r="E8168" s="26" t="str">
        <f ca="1">IFERROR(__xludf.DUMMYFUNCTION("""COMPUTED_VALUE"""),"")</f>
        <v/>
      </c>
      <c r="F8168" s="72"/>
      <c r="G8168" s="72"/>
    </row>
    <row r="8169" spans="1:7" ht="14.5" hidden="1">
      <c r="A8169" s="5"/>
      <c r="B8169" s="18"/>
      <c r="C8169" s="85"/>
      <c r="D8169" s="41"/>
      <c r="E8169" s="26" t="str">
        <f ca="1">IFERROR(__xludf.DUMMYFUNCTION("""COMPUTED_VALUE"""),"")</f>
        <v/>
      </c>
      <c r="F8169" s="72"/>
      <c r="G8169" s="72"/>
    </row>
    <row r="8170" spans="1:7" ht="14.5" hidden="1">
      <c r="A8170" s="5"/>
      <c r="B8170" s="18"/>
      <c r="C8170" s="85"/>
      <c r="D8170" s="41"/>
      <c r="E8170" s="26" t="str">
        <f ca="1">IFERROR(__xludf.DUMMYFUNCTION("""COMPUTED_VALUE"""),"")</f>
        <v/>
      </c>
      <c r="F8170" s="72"/>
      <c r="G8170" s="72"/>
    </row>
    <row r="8171" spans="1:7" ht="14.5" hidden="1">
      <c r="A8171" s="5"/>
      <c r="B8171" s="18"/>
      <c r="C8171" s="85"/>
      <c r="D8171" s="41"/>
      <c r="E8171" s="26" t="str">
        <f ca="1">IFERROR(__xludf.DUMMYFUNCTION("""COMPUTED_VALUE"""),"")</f>
        <v/>
      </c>
      <c r="F8171" s="72"/>
      <c r="G8171" s="72"/>
    </row>
    <row r="8172" spans="1:7" ht="14.5" hidden="1">
      <c r="A8172" s="5"/>
      <c r="B8172" s="18"/>
      <c r="C8172" s="85"/>
      <c r="D8172" s="41"/>
      <c r="E8172" s="26" t="str">
        <f ca="1">IFERROR(__xludf.DUMMYFUNCTION("""COMPUTED_VALUE"""),"")</f>
        <v/>
      </c>
      <c r="F8172" s="72"/>
      <c r="G8172" s="72"/>
    </row>
    <row r="8173" spans="1:7" ht="14.5" hidden="1">
      <c r="A8173" s="5"/>
      <c r="B8173" s="18"/>
      <c r="C8173" s="85"/>
      <c r="D8173" s="41"/>
      <c r="E8173" s="26" t="str">
        <f ca="1">IFERROR(__xludf.DUMMYFUNCTION("""COMPUTED_VALUE"""),"")</f>
        <v/>
      </c>
      <c r="F8173" s="72"/>
      <c r="G8173" s="72"/>
    </row>
    <row r="8174" spans="1:7" ht="14.5" hidden="1">
      <c r="A8174" s="5"/>
      <c r="B8174" s="18"/>
      <c r="C8174" s="85"/>
      <c r="D8174" s="41"/>
      <c r="E8174" s="26" t="str">
        <f ca="1">IFERROR(__xludf.DUMMYFUNCTION("""COMPUTED_VALUE"""),"")</f>
        <v/>
      </c>
      <c r="F8174" s="72"/>
      <c r="G8174" s="72"/>
    </row>
    <row r="8175" spans="1:7" ht="14.5" hidden="1">
      <c r="A8175" s="5"/>
      <c r="B8175" s="18"/>
      <c r="C8175" s="85"/>
      <c r="D8175" s="41"/>
      <c r="E8175" s="26" t="str">
        <f ca="1">IFERROR(__xludf.DUMMYFUNCTION("""COMPUTED_VALUE"""),"")</f>
        <v/>
      </c>
      <c r="F8175" s="72"/>
      <c r="G8175" s="72"/>
    </row>
    <row r="8176" spans="1:7" ht="14.5" hidden="1">
      <c r="A8176" s="5"/>
      <c r="B8176" s="18"/>
      <c r="C8176" s="85"/>
      <c r="D8176" s="41"/>
      <c r="E8176" s="26" t="str">
        <f ca="1">IFERROR(__xludf.DUMMYFUNCTION("""COMPUTED_VALUE"""),"")</f>
        <v/>
      </c>
      <c r="F8176" s="72"/>
      <c r="G8176" s="72"/>
    </row>
    <row r="8177" spans="1:7" ht="14.5" hidden="1">
      <c r="A8177" s="5"/>
      <c r="B8177" s="18"/>
      <c r="C8177" s="85"/>
      <c r="D8177" s="41"/>
      <c r="E8177" s="26" t="str">
        <f ca="1">IFERROR(__xludf.DUMMYFUNCTION("""COMPUTED_VALUE"""),"")</f>
        <v/>
      </c>
      <c r="F8177" s="72"/>
      <c r="G8177" s="72"/>
    </row>
    <row r="8178" spans="1:7" ht="14.5" hidden="1">
      <c r="A8178" s="5"/>
      <c r="B8178" s="18"/>
      <c r="C8178" s="85"/>
      <c r="D8178" s="41"/>
      <c r="E8178" s="26" t="str">
        <f ca="1">IFERROR(__xludf.DUMMYFUNCTION("""COMPUTED_VALUE"""),"")</f>
        <v/>
      </c>
      <c r="F8178" s="72"/>
      <c r="G8178" s="72"/>
    </row>
    <row r="8179" spans="1:7" ht="14.5" hidden="1">
      <c r="A8179" s="5"/>
      <c r="B8179" s="18"/>
      <c r="C8179" s="85"/>
      <c r="D8179" s="41"/>
      <c r="E8179" s="26" t="str">
        <f ca="1">IFERROR(__xludf.DUMMYFUNCTION("""COMPUTED_VALUE"""),"")</f>
        <v/>
      </c>
      <c r="F8179" s="72"/>
      <c r="G8179" s="72"/>
    </row>
    <row r="8180" spans="1:7" ht="14.5" hidden="1">
      <c r="A8180" s="5"/>
      <c r="B8180" s="18"/>
      <c r="C8180" s="85"/>
      <c r="D8180" s="41"/>
      <c r="E8180" s="26" t="str">
        <f ca="1">IFERROR(__xludf.DUMMYFUNCTION("""COMPUTED_VALUE"""),"")</f>
        <v/>
      </c>
      <c r="F8180" s="72"/>
      <c r="G8180" s="72"/>
    </row>
    <row r="8181" spans="1:7" ht="14.5" hidden="1">
      <c r="A8181" s="5"/>
      <c r="B8181" s="18"/>
      <c r="C8181" s="85"/>
      <c r="D8181" s="41"/>
      <c r="E8181" s="26" t="str">
        <f ca="1">IFERROR(__xludf.DUMMYFUNCTION("""COMPUTED_VALUE"""),"")</f>
        <v/>
      </c>
      <c r="F8181" s="72"/>
      <c r="G8181" s="72"/>
    </row>
    <row r="8182" spans="1:7" ht="14.5" hidden="1">
      <c r="A8182" s="5"/>
      <c r="B8182" s="18"/>
      <c r="C8182" s="85"/>
      <c r="D8182" s="41"/>
      <c r="E8182" s="26" t="str">
        <f ca="1">IFERROR(__xludf.DUMMYFUNCTION("""COMPUTED_VALUE"""),"")</f>
        <v/>
      </c>
      <c r="F8182" s="72"/>
      <c r="G8182" s="72"/>
    </row>
    <row r="8183" spans="1:7" ht="14.5" hidden="1">
      <c r="A8183" s="5"/>
      <c r="B8183" s="18"/>
      <c r="C8183" s="85"/>
      <c r="D8183" s="41"/>
      <c r="E8183" s="26" t="str">
        <f ca="1">IFERROR(__xludf.DUMMYFUNCTION("""COMPUTED_VALUE"""),"")</f>
        <v/>
      </c>
      <c r="F8183" s="72"/>
      <c r="G8183" s="72"/>
    </row>
    <row r="8184" spans="1:7" ht="14.5" hidden="1">
      <c r="A8184" s="5"/>
      <c r="B8184" s="18"/>
      <c r="C8184" s="85"/>
      <c r="D8184" s="41"/>
      <c r="E8184" s="26" t="str">
        <f ca="1">IFERROR(__xludf.DUMMYFUNCTION("""COMPUTED_VALUE"""),"")</f>
        <v/>
      </c>
      <c r="F8184" s="72"/>
      <c r="G8184" s="72"/>
    </row>
    <row r="8185" spans="1:7" ht="14.5" hidden="1">
      <c r="A8185" s="5"/>
      <c r="B8185" s="18"/>
      <c r="C8185" s="85"/>
      <c r="D8185" s="41"/>
      <c r="E8185" s="26" t="str">
        <f ca="1">IFERROR(__xludf.DUMMYFUNCTION("""COMPUTED_VALUE"""),"")</f>
        <v/>
      </c>
      <c r="F8185" s="72"/>
      <c r="G8185" s="72"/>
    </row>
    <row r="8186" spans="1:7" ht="14.5" hidden="1">
      <c r="A8186" s="5"/>
      <c r="B8186" s="18"/>
      <c r="C8186" s="85"/>
      <c r="D8186" s="41"/>
      <c r="E8186" s="26" t="str">
        <f ca="1">IFERROR(__xludf.DUMMYFUNCTION("""COMPUTED_VALUE"""),"")</f>
        <v/>
      </c>
      <c r="F8186" s="72"/>
      <c r="G8186" s="72"/>
    </row>
    <row r="8187" spans="1:7" ht="14.5" hidden="1">
      <c r="A8187" s="5"/>
      <c r="B8187" s="18"/>
      <c r="C8187" s="85"/>
      <c r="D8187" s="41"/>
      <c r="E8187" s="26" t="str">
        <f ca="1">IFERROR(__xludf.DUMMYFUNCTION("""COMPUTED_VALUE"""),"")</f>
        <v/>
      </c>
      <c r="F8187" s="72"/>
      <c r="G8187" s="72"/>
    </row>
    <row r="8188" spans="1:7" ht="14.5" hidden="1">
      <c r="A8188" s="5"/>
      <c r="B8188" s="18"/>
      <c r="C8188" s="85"/>
      <c r="D8188" s="41"/>
      <c r="E8188" s="26" t="str">
        <f ca="1">IFERROR(__xludf.DUMMYFUNCTION("""COMPUTED_VALUE"""),"")</f>
        <v/>
      </c>
      <c r="F8188" s="72"/>
      <c r="G8188" s="72"/>
    </row>
    <row r="8189" spans="1:7" ht="14.5" hidden="1">
      <c r="A8189" s="5"/>
      <c r="B8189" s="18"/>
      <c r="C8189" s="85"/>
      <c r="D8189" s="41"/>
      <c r="E8189" s="26" t="str">
        <f ca="1">IFERROR(__xludf.DUMMYFUNCTION("""COMPUTED_VALUE"""),"")</f>
        <v/>
      </c>
      <c r="F8189" s="72"/>
      <c r="G8189" s="72"/>
    </row>
    <row r="8190" spans="1:7" ht="14.5" hidden="1">
      <c r="A8190" s="5"/>
      <c r="B8190" s="18"/>
      <c r="C8190" s="85"/>
      <c r="D8190" s="41"/>
      <c r="E8190" s="26" t="str">
        <f ca="1">IFERROR(__xludf.DUMMYFUNCTION("""COMPUTED_VALUE"""),"")</f>
        <v/>
      </c>
      <c r="F8190" s="72"/>
      <c r="G8190" s="72"/>
    </row>
    <row r="8191" spans="1:7" ht="14.5" hidden="1">
      <c r="A8191" s="5"/>
      <c r="B8191" s="18"/>
      <c r="C8191" s="85"/>
      <c r="D8191" s="41"/>
      <c r="E8191" s="26" t="str">
        <f ca="1">IFERROR(__xludf.DUMMYFUNCTION("""COMPUTED_VALUE"""),"")</f>
        <v/>
      </c>
      <c r="F8191" s="72"/>
      <c r="G8191" s="72"/>
    </row>
    <row r="8192" spans="1:7" ht="14.5" hidden="1">
      <c r="A8192" s="5"/>
      <c r="B8192" s="18"/>
      <c r="C8192" s="85"/>
      <c r="D8192" s="41"/>
      <c r="E8192" s="26" t="str">
        <f ca="1">IFERROR(__xludf.DUMMYFUNCTION("""COMPUTED_VALUE"""),"")</f>
        <v/>
      </c>
      <c r="F8192" s="72"/>
      <c r="G8192" s="72"/>
    </row>
    <row r="8193" spans="1:7" ht="14.5" hidden="1">
      <c r="A8193" s="5"/>
      <c r="B8193" s="18"/>
      <c r="C8193" s="85"/>
      <c r="D8193" s="41"/>
      <c r="E8193" s="26" t="str">
        <f ca="1">IFERROR(__xludf.DUMMYFUNCTION("""COMPUTED_VALUE"""),"")</f>
        <v/>
      </c>
      <c r="F8193" s="72"/>
      <c r="G8193" s="72"/>
    </row>
    <row r="8194" spans="1:7" ht="14.5" hidden="1">
      <c r="A8194" s="5"/>
      <c r="B8194" s="18"/>
      <c r="C8194" s="85"/>
      <c r="D8194" s="41"/>
      <c r="E8194" s="26" t="str">
        <f ca="1">IFERROR(__xludf.DUMMYFUNCTION("""COMPUTED_VALUE"""),"")</f>
        <v/>
      </c>
      <c r="F8194" s="72"/>
      <c r="G8194" s="72"/>
    </row>
    <row r="8195" spans="1:7" ht="14.5" hidden="1">
      <c r="A8195" s="5"/>
      <c r="B8195" s="18"/>
      <c r="C8195" s="85"/>
      <c r="D8195" s="41"/>
      <c r="E8195" s="26" t="str">
        <f ca="1">IFERROR(__xludf.DUMMYFUNCTION("""COMPUTED_VALUE"""),"")</f>
        <v/>
      </c>
      <c r="F8195" s="72"/>
      <c r="G8195" s="72"/>
    </row>
    <row r="8196" spans="1:7" ht="14.5" hidden="1">
      <c r="A8196" s="5"/>
      <c r="B8196" s="18"/>
      <c r="C8196" s="85"/>
      <c r="D8196" s="41"/>
      <c r="E8196" s="26" t="str">
        <f ca="1">IFERROR(__xludf.DUMMYFUNCTION("""COMPUTED_VALUE"""),"")</f>
        <v/>
      </c>
      <c r="F8196" s="72"/>
      <c r="G8196" s="72"/>
    </row>
    <row r="8197" spans="1:7" ht="14.5" hidden="1">
      <c r="A8197" s="5"/>
      <c r="B8197" s="18"/>
      <c r="C8197" s="85"/>
      <c r="D8197" s="41"/>
      <c r="E8197" s="26" t="str">
        <f ca="1">IFERROR(__xludf.DUMMYFUNCTION("""COMPUTED_VALUE"""),"")</f>
        <v/>
      </c>
      <c r="F8197" s="72"/>
      <c r="G8197" s="72"/>
    </row>
    <row r="8198" spans="1:7" ht="14.5" hidden="1">
      <c r="A8198" s="5"/>
      <c r="B8198" s="18"/>
      <c r="C8198" s="85"/>
      <c r="D8198" s="41"/>
      <c r="E8198" s="26" t="str">
        <f ca="1">IFERROR(__xludf.DUMMYFUNCTION("""COMPUTED_VALUE"""),"")</f>
        <v/>
      </c>
      <c r="F8198" s="72"/>
      <c r="G8198" s="72"/>
    </row>
    <row r="8199" spans="1:7" ht="14.5" hidden="1">
      <c r="A8199" s="5"/>
      <c r="B8199" s="18"/>
      <c r="C8199" s="85"/>
      <c r="D8199" s="41"/>
      <c r="E8199" s="26" t="str">
        <f ca="1">IFERROR(__xludf.DUMMYFUNCTION("""COMPUTED_VALUE"""),"")</f>
        <v/>
      </c>
      <c r="F8199" s="72"/>
      <c r="G8199" s="72"/>
    </row>
    <row r="8200" spans="1:7" ht="14.5" hidden="1">
      <c r="A8200" s="5"/>
      <c r="B8200" s="18"/>
      <c r="C8200" s="85"/>
      <c r="D8200" s="41"/>
      <c r="E8200" s="26" t="str">
        <f ca="1">IFERROR(__xludf.DUMMYFUNCTION("""COMPUTED_VALUE"""),"")</f>
        <v/>
      </c>
      <c r="F8200" s="72"/>
      <c r="G8200" s="72"/>
    </row>
    <row r="8201" spans="1:7" ht="14.5" hidden="1">
      <c r="A8201" s="5"/>
      <c r="B8201" s="18"/>
      <c r="C8201" s="85"/>
      <c r="D8201" s="41"/>
      <c r="E8201" s="26" t="str">
        <f ca="1">IFERROR(__xludf.DUMMYFUNCTION("""COMPUTED_VALUE"""),"")</f>
        <v/>
      </c>
      <c r="F8201" s="72"/>
      <c r="G8201" s="72"/>
    </row>
    <row r="8202" spans="1:7" ht="14.5" hidden="1">
      <c r="A8202" s="5"/>
      <c r="B8202" s="18"/>
      <c r="C8202" s="85"/>
      <c r="D8202" s="41"/>
      <c r="E8202" s="26" t="str">
        <f ca="1">IFERROR(__xludf.DUMMYFUNCTION("""COMPUTED_VALUE"""),"")</f>
        <v/>
      </c>
      <c r="F8202" s="72"/>
      <c r="G8202" s="72"/>
    </row>
    <row r="8203" spans="1:7" ht="14.5" hidden="1">
      <c r="A8203" s="5"/>
      <c r="B8203" s="18"/>
      <c r="C8203" s="85"/>
      <c r="D8203" s="41"/>
      <c r="E8203" s="26" t="str">
        <f ca="1">IFERROR(__xludf.DUMMYFUNCTION("""COMPUTED_VALUE"""),"")</f>
        <v/>
      </c>
      <c r="F8203" s="72"/>
      <c r="G8203" s="72"/>
    </row>
    <row r="8204" spans="1:7" ht="14.5" hidden="1">
      <c r="A8204" s="5"/>
      <c r="B8204" s="18"/>
      <c r="C8204" s="85"/>
      <c r="D8204" s="41"/>
      <c r="E8204" s="26" t="str">
        <f ca="1">IFERROR(__xludf.DUMMYFUNCTION("""COMPUTED_VALUE"""),"")</f>
        <v/>
      </c>
      <c r="F8204" s="72"/>
      <c r="G8204" s="72"/>
    </row>
    <row r="8205" spans="1:7" ht="14.5" hidden="1">
      <c r="A8205" s="5"/>
      <c r="B8205" s="18"/>
      <c r="C8205" s="85"/>
      <c r="D8205" s="41"/>
      <c r="E8205" s="26" t="str">
        <f ca="1">IFERROR(__xludf.DUMMYFUNCTION("""COMPUTED_VALUE"""),"")</f>
        <v/>
      </c>
      <c r="F8205" s="72"/>
      <c r="G8205" s="72"/>
    </row>
    <row r="8206" spans="1:7" ht="14.5" hidden="1">
      <c r="A8206" s="5"/>
      <c r="B8206" s="18"/>
      <c r="C8206" s="85"/>
      <c r="D8206" s="41"/>
      <c r="E8206" s="26" t="str">
        <f ca="1">IFERROR(__xludf.DUMMYFUNCTION("""COMPUTED_VALUE"""),"")</f>
        <v/>
      </c>
      <c r="F8206" s="72"/>
      <c r="G8206" s="72"/>
    </row>
    <row r="8207" spans="1:7" ht="14.5" hidden="1">
      <c r="A8207" s="5"/>
      <c r="B8207" s="18"/>
      <c r="C8207" s="85"/>
      <c r="D8207" s="41"/>
      <c r="E8207" s="26" t="str">
        <f ca="1">IFERROR(__xludf.DUMMYFUNCTION("""COMPUTED_VALUE"""),"")</f>
        <v/>
      </c>
      <c r="F8207" s="72"/>
      <c r="G8207" s="72"/>
    </row>
    <row r="8208" spans="1:7" ht="14.5" hidden="1">
      <c r="A8208" s="5"/>
      <c r="B8208" s="18"/>
      <c r="C8208" s="85"/>
      <c r="D8208" s="41"/>
      <c r="E8208" s="26" t="str">
        <f ca="1">IFERROR(__xludf.DUMMYFUNCTION("""COMPUTED_VALUE"""),"")</f>
        <v/>
      </c>
      <c r="F8208" s="72"/>
      <c r="G8208" s="72"/>
    </row>
    <row r="8209" spans="1:7" ht="14.5" hidden="1">
      <c r="A8209" s="5"/>
      <c r="B8209" s="18"/>
      <c r="C8209" s="85"/>
      <c r="D8209" s="41"/>
      <c r="E8209" s="26" t="str">
        <f ca="1">IFERROR(__xludf.DUMMYFUNCTION("""COMPUTED_VALUE"""),"")</f>
        <v/>
      </c>
      <c r="F8209" s="72"/>
      <c r="G8209" s="72"/>
    </row>
    <row r="8210" spans="1:7" ht="14.5" hidden="1">
      <c r="A8210" s="5"/>
      <c r="B8210" s="18"/>
      <c r="C8210" s="85"/>
      <c r="D8210" s="41"/>
      <c r="E8210" s="26" t="str">
        <f ca="1">IFERROR(__xludf.DUMMYFUNCTION("""COMPUTED_VALUE"""),"")</f>
        <v/>
      </c>
      <c r="F8210" s="72"/>
      <c r="G8210" s="72"/>
    </row>
    <row r="8211" spans="1:7" ht="14.5" hidden="1">
      <c r="A8211" s="5"/>
      <c r="B8211" s="18"/>
      <c r="C8211" s="85"/>
      <c r="D8211" s="41"/>
      <c r="E8211" s="26" t="str">
        <f ca="1">IFERROR(__xludf.DUMMYFUNCTION("""COMPUTED_VALUE"""),"")</f>
        <v/>
      </c>
      <c r="F8211" s="72"/>
      <c r="G8211" s="72"/>
    </row>
    <row r="8212" spans="1:7" ht="14.5" hidden="1">
      <c r="A8212" s="5"/>
      <c r="B8212" s="18"/>
      <c r="C8212" s="85"/>
      <c r="D8212" s="41"/>
      <c r="E8212" s="26" t="str">
        <f ca="1">IFERROR(__xludf.DUMMYFUNCTION("""COMPUTED_VALUE"""),"")</f>
        <v/>
      </c>
      <c r="F8212" s="72"/>
      <c r="G8212" s="72"/>
    </row>
    <row r="8213" spans="1:7" ht="14.5" hidden="1">
      <c r="A8213" s="5"/>
      <c r="B8213" s="18"/>
      <c r="C8213" s="85"/>
      <c r="D8213" s="41"/>
      <c r="E8213" s="26" t="str">
        <f ca="1">IFERROR(__xludf.DUMMYFUNCTION("""COMPUTED_VALUE"""),"")</f>
        <v/>
      </c>
      <c r="F8213" s="72"/>
      <c r="G8213" s="72"/>
    </row>
    <row r="8214" spans="1:7" ht="14.5" hidden="1">
      <c r="A8214" s="5"/>
      <c r="B8214" s="18"/>
      <c r="C8214" s="85"/>
      <c r="D8214" s="41"/>
      <c r="E8214" s="26" t="str">
        <f ca="1">IFERROR(__xludf.DUMMYFUNCTION("""COMPUTED_VALUE"""),"")</f>
        <v/>
      </c>
      <c r="F8214" s="72"/>
      <c r="G8214" s="72"/>
    </row>
    <row r="8215" spans="1:7" ht="14.5" hidden="1">
      <c r="A8215" s="5"/>
      <c r="B8215" s="18"/>
      <c r="C8215" s="85"/>
      <c r="D8215" s="41"/>
      <c r="E8215" s="26" t="str">
        <f ca="1">IFERROR(__xludf.DUMMYFUNCTION("""COMPUTED_VALUE"""),"")</f>
        <v/>
      </c>
      <c r="F8215" s="72"/>
      <c r="G8215" s="72"/>
    </row>
    <row r="8216" spans="1:7" ht="14.5" hidden="1">
      <c r="A8216" s="5"/>
      <c r="B8216" s="18"/>
      <c r="C8216" s="85"/>
      <c r="D8216" s="41"/>
      <c r="E8216" s="26" t="str">
        <f ca="1">IFERROR(__xludf.DUMMYFUNCTION("""COMPUTED_VALUE"""),"")</f>
        <v/>
      </c>
      <c r="F8216" s="72"/>
      <c r="G8216" s="72"/>
    </row>
    <row r="8217" spans="1:7" ht="14.5" hidden="1">
      <c r="A8217" s="5"/>
      <c r="B8217" s="18"/>
      <c r="C8217" s="85"/>
      <c r="D8217" s="41"/>
      <c r="E8217" s="26" t="str">
        <f ca="1">IFERROR(__xludf.DUMMYFUNCTION("""COMPUTED_VALUE"""),"")</f>
        <v/>
      </c>
      <c r="F8217" s="72"/>
      <c r="G8217" s="72"/>
    </row>
    <row r="8218" spans="1:7" ht="14.5" hidden="1">
      <c r="A8218" s="5"/>
      <c r="B8218" s="18"/>
      <c r="C8218" s="85"/>
      <c r="D8218" s="41"/>
      <c r="E8218" s="26" t="str">
        <f ca="1">IFERROR(__xludf.DUMMYFUNCTION("""COMPUTED_VALUE"""),"")</f>
        <v/>
      </c>
      <c r="F8218" s="72"/>
      <c r="G8218" s="72"/>
    </row>
    <row r="8219" spans="1:7" ht="14.5" hidden="1">
      <c r="A8219" s="5"/>
      <c r="B8219" s="18"/>
      <c r="C8219" s="85"/>
      <c r="D8219" s="41"/>
      <c r="E8219" s="26" t="str">
        <f ca="1">IFERROR(__xludf.DUMMYFUNCTION("""COMPUTED_VALUE"""),"")</f>
        <v/>
      </c>
      <c r="F8219" s="72"/>
      <c r="G8219" s="72"/>
    </row>
    <row r="8220" spans="1:7" ht="14.5" hidden="1">
      <c r="A8220" s="5"/>
      <c r="B8220" s="18"/>
      <c r="C8220" s="85"/>
      <c r="D8220" s="41"/>
      <c r="E8220" s="26" t="str">
        <f ca="1">IFERROR(__xludf.DUMMYFUNCTION("""COMPUTED_VALUE"""),"")</f>
        <v/>
      </c>
      <c r="F8220" s="72"/>
      <c r="G8220" s="72"/>
    </row>
    <row r="8221" spans="1:7" ht="14.5" hidden="1">
      <c r="A8221" s="5"/>
      <c r="B8221" s="18"/>
      <c r="C8221" s="85"/>
      <c r="D8221" s="41"/>
      <c r="E8221" s="26" t="str">
        <f ca="1">IFERROR(__xludf.DUMMYFUNCTION("""COMPUTED_VALUE"""),"")</f>
        <v/>
      </c>
      <c r="F8221" s="72"/>
      <c r="G8221" s="72"/>
    </row>
    <row r="8222" spans="1:7" ht="14.5" hidden="1">
      <c r="A8222" s="5"/>
      <c r="B8222" s="18"/>
      <c r="C8222" s="85"/>
      <c r="D8222" s="41"/>
      <c r="E8222" s="26" t="str">
        <f ca="1">IFERROR(__xludf.DUMMYFUNCTION("""COMPUTED_VALUE"""),"")</f>
        <v/>
      </c>
      <c r="F8222" s="72"/>
      <c r="G8222" s="72"/>
    </row>
    <row r="8223" spans="1:7" ht="14.5" hidden="1">
      <c r="A8223" s="5"/>
      <c r="B8223" s="18"/>
      <c r="C8223" s="85"/>
      <c r="D8223" s="41"/>
      <c r="E8223" s="26" t="str">
        <f ca="1">IFERROR(__xludf.DUMMYFUNCTION("""COMPUTED_VALUE"""),"")</f>
        <v/>
      </c>
      <c r="F8223" s="72"/>
      <c r="G8223" s="72"/>
    </row>
    <row r="8224" spans="1:7" ht="14.5" hidden="1">
      <c r="A8224" s="5"/>
      <c r="B8224" s="18"/>
      <c r="C8224" s="85"/>
      <c r="D8224" s="41"/>
      <c r="E8224" s="26" t="str">
        <f ca="1">IFERROR(__xludf.DUMMYFUNCTION("""COMPUTED_VALUE"""),"")</f>
        <v/>
      </c>
      <c r="F8224" s="72"/>
      <c r="G8224" s="72"/>
    </row>
    <row r="8225" spans="1:7" ht="14.5" hidden="1">
      <c r="A8225" s="5"/>
      <c r="B8225" s="18"/>
      <c r="C8225" s="85"/>
      <c r="D8225" s="41"/>
      <c r="E8225" s="26" t="str">
        <f ca="1">IFERROR(__xludf.DUMMYFUNCTION("""COMPUTED_VALUE"""),"")</f>
        <v/>
      </c>
      <c r="F8225" s="72"/>
      <c r="G8225" s="72"/>
    </row>
    <row r="8226" spans="1:7" ht="14.5" hidden="1">
      <c r="A8226" s="5"/>
      <c r="B8226" s="18"/>
      <c r="C8226" s="85"/>
      <c r="D8226" s="41"/>
      <c r="E8226" s="26" t="str">
        <f ca="1">IFERROR(__xludf.DUMMYFUNCTION("""COMPUTED_VALUE"""),"")</f>
        <v/>
      </c>
      <c r="F8226" s="72"/>
      <c r="G8226" s="72"/>
    </row>
    <row r="8227" spans="1:7" ht="14.5" hidden="1">
      <c r="A8227" s="5"/>
      <c r="B8227" s="18"/>
      <c r="C8227" s="85"/>
      <c r="D8227" s="41"/>
      <c r="E8227" s="26" t="str">
        <f ca="1">IFERROR(__xludf.DUMMYFUNCTION("""COMPUTED_VALUE"""),"")</f>
        <v/>
      </c>
      <c r="F8227" s="72"/>
      <c r="G8227" s="72"/>
    </row>
    <row r="8228" spans="1:7" ht="14.5" hidden="1">
      <c r="A8228" s="5"/>
      <c r="B8228" s="18"/>
      <c r="C8228" s="85"/>
      <c r="D8228" s="41"/>
      <c r="E8228" s="26" t="str">
        <f ca="1">IFERROR(__xludf.DUMMYFUNCTION("""COMPUTED_VALUE"""),"")</f>
        <v/>
      </c>
      <c r="F8228" s="72"/>
      <c r="G8228" s="72"/>
    </row>
    <row r="8229" spans="1:7" ht="14.5" hidden="1">
      <c r="A8229" s="5"/>
      <c r="B8229" s="18"/>
      <c r="C8229" s="85"/>
      <c r="D8229" s="41"/>
      <c r="E8229" s="26" t="str">
        <f ca="1">IFERROR(__xludf.DUMMYFUNCTION("""COMPUTED_VALUE"""),"")</f>
        <v/>
      </c>
      <c r="F8229" s="72"/>
      <c r="G8229" s="72"/>
    </row>
    <row r="8230" spans="1:7" ht="14.5" hidden="1">
      <c r="A8230" s="5"/>
      <c r="B8230" s="18"/>
      <c r="C8230" s="85"/>
      <c r="D8230" s="41"/>
      <c r="E8230" s="26" t="str">
        <f ca="1">IFERROR(__xludf.DUMMYFUNCTION("""COMPUTED_VALUE"""),"")</f>
        <v/>
      </c>
      <c r="F8230" s="72"/>
      <c r="G8230" s="72"/>
    </row>
    <row r="8231" spans="1:7" ht="14.5" hidden="1">
      <c r="A8231" s="5"/>
      <c r="B8231" s="18"/>
      <c r="C8231" s="85"/>
      <c r="D8231" s="41"/>
      <c r="E8231" s="26" t="str">
        <f ca="1">IFERROR(__xludf.DUMMYFUNCTION("""COMPUTED_VALUE"""),"")</f>
        <v/>
      </c>
      <c r="F8231" s="72"/>
      <c r="G8231" s="72"/>
    </row>
    <row r="8232" spans="1:7" ht="14.5" hidden="1">
      <c r="A8232" s="5"/>
      <c r="B8232" s="18"/>
      <c r="C8232" s="85"/>
      <c r="D8232" s="41"/>
      <c r="E8232" s="26" t="str">
        <f ca="1">IFERROR(__xludf.DUMMYFUNCTION("""COMPUTED_VALUE"""),"")</f>
        <v/>
      </c>
      <c r="F8232" s="72"/>
      <c r="G8232" s="72"/>
    </row>
    <row r="8233" spans="1:7" ht="14.5" hidden="1">
      <c r="A8233" s="5"/>
      <c r="B8233" s="18"/>
      <c r="C8233" s="85"/>
      <c r="D8233" s="41"/>
      <c r="E8233" s="26" t="str">
        <f ca="1">IFERROR(__xludf.DUMMYFUNCTION("""COMPUTED_VALUE"""),"")</f>
        <v/>
      </c>
      <c r="F8233" s="72"/>
      <c r="G8233" s="72"/>
    </row>
    <row r="8234" spans="1:7" ht="14.5" hidden="1">
      <c r="A8234" s="5"/>
      <c r="B8234" s="18"/>
      <c r="C8234" s="85"/>
      <c r="D8234" s="41"/>
      <c r="E8234" s="26" t="str">
        <f ca="1">IFERROR(__xludf.DUMMYFUNCTION("""COMPUTED_VALUE"""),"")</f>
        <v/>
      </c>
      <c r="F8234" s="72"/>
      <c r="G8234" s="72"/>
    </row>
    <row r="8235" spans="1:7" ht="14.5" hidden="1">
      <c r="A8235" s="5"/>
      <c r="B8235" s="18"/>
      <c r="C8235" s="85"/>
      <c r="D8235" s="41"/>
      <c r="E8235" s="26" t="str">
        <f ca="1">IFERROR(__xludf.DUMMYFUNCTION("""COMPUTED_VALUE"""),"")</f>
        <v/>
      </c>
      <c r="F8235" s="72"/>
      <c r="G8235" s="72"/>
    </row>
    <row r="8236" spans="1:7" ht="14.5" hidden="1">
      <c r="A8236" s="5"/>
      <c r="B8236" s="18"/>
      <c r="C8236" s="85"/>
      <c r="D8236" s="41"/>
      <c r="E8236" s="26" t="str">
        <f ca="1">IFERROR(__xludf.DUMMYFUNCTION("""COMPUTED_VALUE"""),"")</f>
        <v/>
      </c>
      <c r="F8236" s="72"/>
      <c r="G8236" s="72"/>
    </row>
    <row r="8237" spans="1:7" ht="14.5" hidden="1">
      <c r="A8237" s="5"/>
      <c r="B8237" s="18"/>
      <c r="C8237" s="85"/>
      <c r="D8237" s="41"/>
      <c r="E8237" s="26" t="str">
        <f ca="1">IFERROR(__xludf.DUMMYFUNCTION("""COMPUTED_VALUE"""),"")</f>
        <v/>
      </c>
      <c r="F8237" s="72"/>
      <c r="G8237" s="72"/>
    </row>
    <row r="8238" spans="1:7" ht="14.5" hidden="1">
      <c r="A8238" s="5"/>
      <c r="B8238" s="18"/>
      <c r="C8238" s="85"/>
      <c r="D8238" s="41"/>
      <c r="E8238" s="26" t="str">
        <f ca="1">IFERROR(__xludf.DUMMYFUNCTION("""COMPUTED_VALUE"""),"")</f>
        <v/>
      </c>
      <c r="F8238" s="72"/>
      <c r="G8238" s="72"/>
    </row>
    <row r="8239" spans="1:7" ht="14.5" hidden="1">
      <c r="A8239" s="5"/>
      <c r="B8239" s="18"/>
      <c r="C8239" s="85"/>
      <c r="D8239" s="41"/>
      <c r="E8239" s="26" t="str">
        <f ca="1">IFERROR(__xludf.DUMMYFUNCTION("""COMPUTED_VALUE"""),"")</f>
        <v/>
      </c>
      <c r="F8239" s="72"/>
      <c r="G8239" s="72"/>
    </row>
    <row r="8240" spans="1:7" ht="14.5" hidden="1">
      <c r="A8240" s="5"/>
      <c r="B8240" s="18"/>
      <c r="C8240" s="85"/>
      <c r="D8240" s="41"/>
      <c r="E8240" s="26" t="str">
        <f ca="1">IFERROR(__xludf.DUMMYFUNCTION("""COMPUTED_VALUE"""),"")</f>
        <v/>
      </c>
      <c r="F8240" s="72"/>
      <c r="G8240" s="72"/>
    </row>
    <row r="8241" spans="1:7" ht="14.5" hidden="1">
      <c r="A8241" s="5"/>
      <c r="B8241" s="18"/>
      <c r="C8241" s="85"/>
      <c r="D8241" s="41"/>
      <c r="E8241" s="26" t="str">
        <f ca="1">IFERROR(__xludf.DUMMYFUNCTION("""COMPUTED_VALUE"""),"")</f>
        <v/>
      </c>
      <c r="F8241" s="72"/>
      <c r="G8241" s="72"/>
    </row>
    <row r="8242" spans="1:7" ht="14.5" hidden="1">
      <c r="A8242" s="5"/>
      <c r="B8242" s="18"/>
      <c r="C8242" s="85"/>
      <c r="D8242" s="41"/>
      <c r="E8242" s="26" t="str">
        <f ca="1">IFERROR(__xludf.DUMMYFUNCTION("""COMPUTED_VALUE"""),"")</f>
        <v/>
      </c>
      <c r="F8242" s="72"/>
      <c r="G8242" s="72"/>
    </row>
    <row r="8243" spans="1:7" ht="14.5" hidden="1">
      <c r="A8243" s="5"/>
      <c r="B8243" s="18"/>
      <c r="C8243" s="85"/>
      <c r="D8243" s="41"/>
      <c r="E8243" s="26" t="str">
        <f ca="1">IFERROR(__xludf.DUMMYFUNCTION("""COMPUTED_VALUE"""),"")</f>
        <v/>
      </c>
      <c r="F8243" s="72"/>
      <c r="G8243" s="72"/>
    </row>
    <row r="8244" spans="1:7" ht="14.5" hidden="1">
      <c r="A8244" s="5"/>
      <c r="B8244" s="18"/>
      <c r="C8244" s="85"/>
      <c r="D8244" s="41"/>
      <c r="E8244" s="26" t="str">
        <f ca="1">IFERROR(__xludf.DUMMYFUNCTION("""COMPUTED_VALUE"""),"")</f>
        <v/>
      </c>
      <c r="F8244" s="72"/>
      <c r="G8244" s="72"/>
    </row>
    <row r="8245" spans="1:7" ht="14.5" hidden="1">
      <c r="A8245" s="5"/>
      <c r="B8245" s="18"/>
      <c r="C8245" s="85"/>
      <c r="D8245" s="41"/>
      <c r="E8245" s="26" t="str">
        <f ca="1">IFERROR(__xludf.DUMMYFUNCTION("""COMPUTED_VALUE"""),"")</f>
        <v/>
      </c>
      <c r="F8245" s="72"/>
      <c r="G8245" s="72"/>
    </row>
    <row r="8246" spans="1:7" ht="14.5" hidden="1">
      <c r="A8246" s="5"/>
      <c r="B8246" s="18"/>
      <c r="C8246" s="85"/>
      <c r="D8246" s="41"/>
      <c r="E8246" s="26" t="str">
        <f ca="1">IFERROR(__xludf.DUMMYFUNCTION("""COMPUTED_VALUE"""),"")</f>
        <v/>
      </c>
      <c r="F8246" s="72"/>
      <c r="G8246" s="72"/>
    </row>
    <row r="8247" spans="1:7" ht="14.5" hidden="1">
      <c r="A8247" s="5"/>
      <c r="B8247" s="18"/>
      <c r="C8247" s="85"/>
      <c r="D8247" s="41"/>
      <c r="E8247" s="26" t="str">
        <f ca="1">IFERROR(__xludf.DUMMYFUNCTION("""COMPUTED_VALUE"""),"")</f>
        <v/>
      </c>
      <c r="F8247" s="72"/>
      <c r="G8247" s="72"/>
    </row>
    <row r="8248" spans="1:7" ht="14.5" hidden="1">
      <c r="A8248" s="5"/>
      <c r="B8248" s="18"/>
      <c r="C8248" s="85"/>
      <c r="D8248" s="41"/>
      <c r="E8248" s="26" t="str">
        <f ca="1">IFERROR(__xludf.DUMMYFUNCTION("""COMPUTED_VALUE"""),"")</f>
        <v/>
      </c>
      <c r="F8248" s="72"/>
      <c r="G8248" s="72"/>
    </row>
    <row r="8249" spans="1:7" ht="14.5" hidden="1">
      <c r="A8249" s="5"/>
      <c r="B8249" s="18"/>
      <c r="C8249" s="85"/>
      <c r="D8249" s="41"/>
      <c r="E8249" s="26" t="str">
        <f ca="1">IFERROR(__xludf.DUMMYFUNCTION("""COMPUTED_VALUE"""),"")</f>
        <v/>
      </c>
      <c r="F8249" s="72"/>
      <c r="G8249" s="72"/>
    </row>
    <row r="8250" spans="1:7" ht="14.5" hidden="1">
      <c r="A8250" s="5"/>
      <c r="B8250" s="18"/>
      <c r="C8250" s="85"/>
      <c r="D8250" s="41"/>
      <c r="E8250" s="26" t="str">
        <f ca="1">IFERROR(__xludf.DUMMYFUNCTION("""COMPUTED_VALUE"""),"")</f>
        <v/>
      </c>
      <c r="F8250" s="72"/>
      <c r="G8250" s="72"/>
    </row>
    <row r="8251" spans="1:7" ht="14.5" hidden="1">
      <c r="A8251" s="5"/>
      <c r="B8251" s="18"/>
      <c r="C8251" s="85"/>
      <c r="D8251" s="41"/>
      <c r="E8251" s="26" t="str">
        <f ca="1">IFERROR(__xludf.DUMMYFUNCTION("""COMPUTED_VALUE"""),"")</f>
        <v/>
      </c>
      <c r="F8251" s="72"/>
      <c r="G8251" s="72"/>
    </row>
    <row r="8252" spans="1:7" ht="14.5" hidden="1">
      <c r="A8252" s="5"/>
      <c r="B8252" s="18"/>
      <c r="C8252" s="85"/>
      <c r="D8252" s="41"/>
      <c r="E8252" s="26" t="str">
        <f ca="1">IFERROR(__xludf.DUMMYFUNCTION("""COMPUTED_VALUE"""),"")</f>
        <v/>
      </c>
      <c r="F8252" s="72"/>
      <c r="G8252" s="72"/>
    </row>
    <row r="8253" spans="1:7" ht="14.5" hidden="1">
      <c r="A8253" s="5"/>
      <c r="B8253" s="18"/>
      <c r="C8253" s="85"/>
      <c r="D8253" s="41"/>
      <c r="E8253" s="26" t="str">
        <f ca="1">IFERROR(__xludf.DUMMYFUNCTION("""COMPUTED_VALUE"""),"")</f>
        <v/>
      </c>
      <c r="F8253" s="72"/>
      <c r="G8253" s="72"/>
    </row>
    <row r="8254" spans="1:7" ht="14.5" hidden="1">
      <c r="A8254" s="5"/>
      <c r="B8254" s="18"/>
      <c r="C8254" s="85"/>
      <c r="D8254" s="41"/>
      <c r="E8254" s="26" t="str">
        <f ca="1">IFERROR(__xludf.DUMMYFUNCTION("""COMPUTED_VALUE"""),"")</f>
        <v/>
      </c>
      <c r="F8254" s="72"/>
      <c r="G8254" s="72"/>
    </row>
    <row r="8255" spans="1:7" ht="14.5" hidden="1">
      <c r="A8255" s="5"/>
      <c r="B8255" s="18"/>
      <c r="C8255" s="85"/>
      <c r="D8255" s="41"/>
      <c r="E8255" s="26" t="str">
        <f ca="1">IFERROR(__xludf.DUMMYFUNCTION("""COMPUTED_VALUE"""),"")</f>
        <v/>
      </c>
      <c r="F8255" s="72"/>
      <c r="G8255" s="72"/>
    </row>
    <row r="8256" spans="1:7" ht="14.5" hidden="1">
      <c r="A8256" s="5"/>
      <c r="B8256" s="18"/>
      <c r="C8256" s="85"/>
      <c r="D8256" s="41"/>
      <c r="E8256" s="26" t="str">
        <f ca="1">IFERROR(__xludf.DUMMYFUNCTION("""COMPUTED_VALUE"""),"")</f>
        <v/>
      </c>
      <c r="F8256" s="72"/>
      <c r="G8256" s="72"/>
    </row>
    <row r="8257" spans="1:7" ht="14.5" hidden="1">
      <c r="A8257" s="5"/>
      <c r="B8257" s="18"/>
      <c r="C8257" s="85"/>
      <c r="D8257" s="41"/>
      <c r="E8257" s="26" t="str">
        <f ca="1">IFERROR(__xludf.DUMMYFUNCTION("""COMPUTED_VALUE"""),"")</f>
        <v/>
      </c>
      <c r="F8257" s="72"/>
      <c r="G8257" s="72"/>
    </row>
    <row r="8258" spans="1:7" ht="14.5" hidden="1">
      <c r="A8258" s="5"/>
      <c r="B8258" s="18"/>
      <c r="C8258" s="85"/>
      <c r="D8258" s="41"/>
      <c r="E8258" s="26" t="str">
        <f ca="1">IFERROR(__xludf.DUMMYFUNCTION("""COMPUTED_VALUE"""),"")</f>
        <v/>
      </c>
      <c r="F8258" s="72"/>
      <c r="G8258" s="72"/>
    </row>
    <row r="8259" spans="1:7" ht="14.5" hidden="1">
      <c r="A8259" s="5"/>
      <c r="B8259" s="18"/>
      <c r="C8259" s="85"/>
      <c r="D8259" s="41"/>
      <c r="E8259" s="26" t="str">
        <f ca="1">IFERROR(__xludf.DUMMYFUNCTION("""COMPUTED_VALUE"""),"")</f>
        <v/>
      </c>
      <c r="F8259" s="72"/>
      <c r="G8259" s="72"/>
    </row>
    <row r="8260" spans="1:7" ht="14.5" hidden="1">
      <c r="A8260" s="5"/>
      <c r="B8260" s="18"/>
      <c r="C8260" s="85"/>
      <c r="D8260" s="41"/>
      <c r="E8260" s="26" t="str">
        <f ca="1">IFERROR(__xludf.DUMMYFUNCTION("""COMPUTED_VALUE"""),"")</f>
        <v/>
      </c>
      <c r="F8260" s="72"/>
      <c r="G8260" s="72"/>
    </row>
    <row r="8261" spans="1:7" ht="14.5" hidden="1">
      <c r="A8261" s="5"/>
      <c r="B8261" s="18"/>
      <c r="C8261" s="85"/>
      <c r="D8261" s="41"/>
      <c r="E8261" s="26" t="str">
        <f ca="1">IFERROR(__xludf.DUMMYFUNCTION("""COMPUTED_VALUE"""),"")</f>
        <v/>
      </c>
      <c r="F8261" s="72"/>
      <c r="G8261" s="72"/>
    </row>
    <row r="8262" spans="1:7" ht="14.5" hidden="1">
      <c r="A8262" s="5"/>
      <c r="B8262" s="18"/>
      <c r="C8262" s="85"/>
      <c r="D8262" s="41"/>
      <c r="E8262" s="26" t="str">
        <f ca="1">IFERROR(__xludf.DUMMYFUNCTION("""COMPUTED_VALUE"""),"")</f>
        <v/>
      </c>
      <c r="F8262" s="72"/>
      <c r="G8262" s="72"/>
    </row>
    <row r="8263" spans="1:7" ht="14.5" hidden="1">
      <c r="A8263" s="5"/>
      <c r="B8263" s="18"/>
      <c r="C8263" s="85"/>
      <c r="D8263" s="41"/>
      <c r="E8263" s="26" t="str">
        <f ca="1">IFERROR(__xludf.DUMMYFUNCTION("""COMPUTED_VALUE"""),"")</f>
        <v/>
      </c>
      <c r="F8263" s="72"/>
      <c r="G8263" s="72"/>
    </row>
    <row r="8264" spans="1:7" ht="14.5" hidden="1">
      <c r="A8264" s="5"/>
      <c r="B8264" s="18"/>
      <c r="C8264" s="85"/>
      <c r="D8264" s="41"/>
      <c r="E8264" s="26" t="str">
        <f ca="1">IFERROR(__xludf.DUMMYFUNCTION("""COMPUTED_VALUE"""),"")</f>
        <v/>
      </c>
      <c r="F8264" s="72"/>
      <c r="G8264" s="72"/>
    </row>
    <row r="8265" spans="1:7" ht="14.5" hidden="1">
      <c r="A8265" s="5"/>
      <c r="B8265" s="18"/>
      <c r="C8265" s="85"/>
      <c r="D8265" s="41"/>
      <c r="E8265" s="26" t="str">
        <f ca="1">IFERROR(__xludf.DUMMYFUNCTION("""COMPUTED_VALUE"""),"")</f>
        <v/>
      </c>
      <c r="F8265" s="72"/>
      <c r="G8265" s="72"/>
    </row>
    <row r="8266" spans="1:7" ht="14.5" hidden="1">
      <c r="A8266" s="5"/>
      <c r="B8266" s="18"/>
      <c r="C8266" s="85"/>
      <c r="D8266" s="41"/>
      <c r="E8266" s="26" t="str">
        <f ca="1">IFERROR(__xludf.DUMMYFUNCTION("""COMPUTED_VALUE"""),"")</f>
        <v/>
      </c>
      <c r="F8266" s="72"/>
      <c r="G8266" s="72"/>
    </row>
    <row r="8267" spans="1:7" ht="14.5" hidden="1">
      <c r="A8267" s="5"/>
      <c r="B8267" s="18"/>
      <c r="C8267" s="85"/>
      <c r="D8267" s="41"/>
      <c r="E8267" s="26" t="str">
        <f ca="1">IFERROR(__xludf.DUMMYFUNCTION("""COMPUTED_VALUE"""),"")</f>
        <v/>
      </c>
      <c r="F8267" s="72"/>
      <c r="G8267" s="72"/>
    </row>
    <row r="8268" spans="1:7" ht="14.5" hidden="1">
      <c r="A8268" s="5"/>
      <c r="B8268" s="18"/>
      <c r="C8268" s="85"/>
      <c r="D8268" s="41"/>
      <c r="E8268" s="26" t="str">
        <f ca="1">IFERROR(__xludf.DUMMYFUNCTION("""COMPUTED_VALUE"""),"")</f>
        <v/>
      </c>
      <c r="F8268" s="72"/>
      <c r="G8268" s="72"/>
    </row>
    <row r="8269" spans="1:7" ht="14.5" hidden="1">
      <c r="A8269" s="5"/>
      <c r="B8269" s="18"/>
      <c r="C8269" s="85"/>
      <c r="D8269" s="41"/>
      <c r="E8269" s="26" t="str">
        <f ca="1">IFERROR(__xludf.DUMMYFUNCTION("""COMPUTED_VALUE"""),"")</f>
        <v/>
      </c>
      <c r="F8269" s="72"/>
      <c r="G8269" s="72"/>
    </row>
    <row r="8270" spans="1:7" ht="14.5" hidden="1">
      <c r="A8270" s="5"/>
      <c r="B8270" s="18"/>
      <c r="C8270" s="85"/>
      <c r="D8270" s="41"/>
      <c r="E8270" s="26" t="str">
        <f ca="1">IFERROR(__xludf.DUMMYFUNCTION("""COMPUTED_VALUE"""),"")</f>
        <v/>
      </c>
      <c r="F8270" s="72"/>
      <c r="G8270" s="72"/>
    </row>
    <row r="8271" spans="1:7" ht="14.5" hidden="1">
      <c r="A8271" s="5"/>
      <c r="B8271" s="18"/>
      <c r="C8271" s="85"/>
      <c r="D8271" s="41"/>
      <c r="E8271" s="26" t="str">
        <f ca="1">IFERROR(__xludf.DUMMYFUNCTION("""COMPUTED_VALUE"""),"")</f>
        <v/>
      </c>
      <c r="F8271" s="72"/>
      <c r="G8271" s="72"/>
    </row>
    <row r="8272" spans="1:7" ht="14.5" hidden="1">
      <c r="A8272" s="5"/>
      <c r="B8272" s="18"/>
      <c r="C8272" s="85"/>
      <c r="D8272" s="41"/>
      <c r="E8272" s="26" t="str">
        <f ca="1">IFERROR(__xludf.DUMMYFUNCTION("""COMPUTED_VALUE"""),"")</f>
        <v/>
      </c>
      <c r="F8272" s="72"/>
      <c r="G8272" s="72"/>
    </row>
    <row r="8273" spans="1:7" ht="14.5" hidden="1">
      <c r="A8273" s="5"/>
      <c r="B8273" s="18"/>
      <c r="C8273" s="85"/>
      <c r="D8273" s="41"/>
      <c r="E8273" s="26" t="str">
        <f ca="1">IFERROR(__xludf.DUMMYFUNCTION("""COMPUTED_VALUE"""),"")</f>
        <v/>
      </c>
      <c r="F8273" s="72"/>
      <c r="G8273" s="72"/>
    </row>
    <row r="8274" spans="1:7" ht="14.5" hidden="1">
      <c r="A8274" s="5"/>
      <c r="B8274" s="18"/>
      <c r="C8274" s="85"/>
      <c r="D8274" s="41"/>
      <c r="E8274" s="26" t="str">
        <f ca="1">IFERROR(__xludf.DUMMYFUNCTION("""COMPUTED_VALUE"""),"")</f>
        <v/>
      </c>
      <c r="F8274" s="72"/>
      <c r="G8274" s="72"/>
    </row>
    <row r="8275" spans="1:7" ht="14.5" hidden="1">
      <c r="A8275" s="5"/>
      <c r="B8275" s="18"/>
      <c r="C8275" s="85"/>
      <c r="D8275" s="41"/>
      <c r="E8275" s="26" t="str">
        <f ca="1">IFERROR(__xludf.DUMMYFUNCTION("""COMPUTED_VALUE"""),"")</f>
        <v/>
      </c>
      <c r="F8275" s="72"/>
      <c r="G8275" s="72"/>
    </row>
    <row r="8276" spans="1:7" ht="14.5" hidden="1">
      <c r="A8276" s="5"/>
      <c r="B8276" s="18"/>
      <c r="C8276" s="85"/>
      <c r="D8276" s="41"/>
      <c r="E8276" s="26" t="str">
        <f ca="1">IFERROR(__xludf.DUMMYFUNCTION("""COMPUTED_VALUE"""),"")</f>
        <v/>
      </c>
      <c r="F8276" s="72"/>
      <c r="G8276" s="72"/>
    </row>
    <row r="8277" spans="1:7" ht="14.5" hidden="1">
      <c r="A8277" s="5"/>
      <c r="B8277" s="18"/>
      <c r="C8277" s="85"/>
      <c r="D8277" s="41"/>
      <c r="E8277" s="26" t="str">
        <f ca="1">IFERROR(__xludf.DUMMYFUNCTION("""COMPUTED_VALUE"""),"")</f>
        <v/>
      </c>
      <c r="F8277" s="72"/>
      <c r="G8277" s="72"/>
    </row>
    <row r="8278" spans="1:7" ht="14.5" hidden="1">
      <c r="A8278" s="5"/>
      <c r="B8278" s="18"/>
      <c r="C8278" s="85"/>
      <c r="D8278" s="41"/>
      <c r="E8278" s="26" t="str">
        <f ca="1">IFERROR(__xludf.DUMMYFUNCTION("""COMPUTED_VALUE"""),"")</f>
        <v/>
      </c>
      <c r="F8278" s="72"/>
      <c r="G8278" s="72"/>
    </row>
    <row r="8279" spans="1:7" ht="14.5" hidden="1">
      <c r="A8279" s="5"/>
      <c r="B8279" s="18"/>
      <c r="C8279" s="85"/>
      <c r="D8279" s="41"/>
      <c r="E8279" s="26" t="str">
        <f ca="1">IFERROR(__xludf.DUMMYFUNCTION("""COMPUTED_VALUE"""),"")</f>
        <v/>
      </c>
      <c r="F8279" s="72"/>
      <c r="G8279" s="72"/>
    </row>
    <row r="8280" spans="1:7" ht="14.5" hidden="1">
      <c r="A8280" s="5"/>
      <c r="B8280" s="18"/>
      <c r="C8280" s="85"/>
      <c r="D8280" s="41"/>
      <c r="E8280" s="26" t="str">
        <f ca="1">IFERROR(__xludf.DUMMYFUNCTION("""COMPUTED_VALUE"""),"")</f>
        <v/>
      </c>
      <c r="F8280" s="72"/>
      <c r="G8280" s="72"/>
    </row>
    <row r="8281" spans="1:7" ht="14.5" hidden="1">
      <c r="A8281" s="5"/>
      <c r="B8281" s="18"/>
      <c r="C8281" s="85"/>
      <c r="D8281" s="41"/>
      <c r="E8281" s="26" t="str">
        <f ca="1">IFERROR(__xludf.DUMMYFUNCTION("""COMPUTED_VALUE"""),"")</f>
        <v/>
      </c>
      <c r="F8281" s="72"/>
      <c r="G8281" s="72"/>
    </row>
    <row r="8282" spans="1:7" ht="14.5" hidden="1">
      <c r="A8282" s="5"/>
      <c r="B8282" s="18"/>
      <c r="C8282" s="85"/>
      <c r="D8282" s="41"/>
      <c r="E8282" s="26" t="str">
        <f ca="1">IFERROR(__xludf.DUMMYFUNCTION("""COMPUTED_VALUE"""),"")</f>
        <v/>
      </c>
      <c r="F8282" s="72"/>
      <c r="G8282" s="72"/>
    </row>
    <row r="8283" spans="1:7" ht="14.5" hidden="1">
      <c r="A8283" s="5"/>
      <c r="B8283" s="18"/>
      <c r="C8283" s="85"/>
      <c r="D8283" s="41"/>
      <c r="E8283" s="26" t="str">
        <f ca="1">IFERROR(__xludf.DUMMYFUNCTION("""COMPUTED_VALUE"""),"")</f>
        <v/>
      </c>
      <c r="F8283" s="72"/>
      <c r="G8283" s="72"/>
    </row>
    <row r="8284" spans="1:7" ht="14.5" hidden="1">
      <c r="A8284" s="5"/>
      <c r="B8284" s="18"/>
      <c r="C8284" s="85"/>
      <c r="D8284" s="41"/>
      <c r="E8284" s="26" t="str">
        <f ca="1">IFERROR(__xludf.DUMMYFUNCTION("""COMPUTED_VALUE"""),"")</f>
        <v/>
      </c>
      <c r="F8284" s="72"/>
      <c r="G8284" s="72"/>
    </row>
    <row r="8285" spans="1:7" ht="14.5" hidden="1">
      <c r="A8285" s="5"/>
      <c r="B8285" s="18"/>
      <c r="C8285" s="85"/>
      <c r="D8285" s="41"/>
      <c r="E8285" s="26" t="str">
        <f ca="1">IFERROR(__xludf.DUMMYFUNCTION("""COMPUTED_VALUE"""),"")</f>
        <v/>
      </c>
      <c r="F8285" s="72"/>
      <c r="G8285" s="72"/>
    </row>
    <row r="8286" spans="1:7" ht="14.5" hidden="1">
      <c r="A8286" s="5"/>
      <c r="B8286" s="18"/>
      <c r="C8286" s="85"/>
      <c r="D8286" s="41"/>
      <c r="E8286" s="26" t="str">
        <f ca="1">IFERROR(__xludf.DUMMYFUNCTION("""COMPUTED_VALUE"""),"")</f>
        <v/>
      </c>
      <c r="F8286" s="72"/>
      <c r="G8286" s="72"/>
    </row>
    <row r="8287" spans="1:7" ht="14.5" hidden="1">
      <c r="A8287" s="5"/>
      <c r="B8287" s="18"/>
      <c r="C8287" s="85"/>
      <c r="D8287" s="41"/>
      <c r="E8287" s="26" t="str">
        <f ca="1">IFERROR(__xludf.DUMMYFUNCTION("""COMPUTED_VALUE"""),"")</f>
        <v/>
      </c>
      <c r="F8287" s="72"/>
      <c r="G8287" s="72"/>
    </row>
    <row r="8288" spans="1:7" ht="14.5" hidden="1">
      <c r="A8288" s="5"/>
      <c r="B8288" s="18"/>
      <c r="C8288" s="85"/>
      <c r="D8288" s="41"/>
      <c r="E8288" s="26" t="str">
        <f ca="1">IFERROR(__xludf.DUMMYFUNCTION("""COMPUTED_VALUE"""),"")</f>
        <v/>
      </c>
      <c r="F8288" s="72"/>
      <c r="G8288" s="72"/>
    </row>
    <row r="8289" spans="1:7" ht="14.5" hidden="1">
      <c r="A8289" s="5"/>
      <c r="B8289" s="18"/>
      <c r="C8289" s="85"/>
      <c r="D8289" s="41"/>
      <c r="E8289" s="26" t="str">
        <f ca="1">IFERROR(__xludf.DUMMYFUNCTION("""COMPUTED_VALUE"""),"")</f>
        <v/>
      </c>
      <c r="F8289" s="72"/>
      <c r="G8289" s="72"/>
    </row>
    <row r="8290" spans="1:7" ht="14.5" hidden="1">
      <c r="A8290" s="5"/>
      <c r="B8290" s="18"/>
      <c r="C8290" s="85"/>
      <c r="D8290" s="41"/>
      <c r="E8290" s="26" t="str">
        <f ca="1">IFERROR(__xludf.DUMMYFUNCTION("""COMPUTED_VALUE"""),"")</f>
        <v/>
      </c>
      <c r="F8290" s="72"/>
      <c r="G8290" s="72"/>
    </row>
    <row r="8291" spans="1:7" ht="14.5" hidden="1">
      <c r="A8291" s="5"/>
      <c r="B8291" s="18"/>
      <c r="C8291" s="85"/>
      <c r="D8291" s="41"/>
      <c r="E8291" s="26" t="str">
        <f ca="1">IFERROR(__xludf.DUMMYFUNCTION("""COMPUTED_VALUE"""),"")</f>
        <v/>
      </c>
      <c r="F8291" s="72"/>
      <c r="G8291" s="72"/>
    </row>
    <row r="8292" spans="1:7" ht="14.5" hidden="1">
      <c r="A8292" s="5"/>
      <c r="B8292" s="18"/>
      <c r="C8292" s="85"/>
      <c r="D8292" s="41"/>
      <c r="E8292" s="26" t="str">
        <f ca="1">IFERROR(__xludf.DUMMYFUNCTION("""COMPUTED_VALUE"""),"")</f>
        <v/>
      </c>
      <c r="F8292" s="72"/>
      <c r="G8292" s="72"/>
    </row>
    <row r="8293" spans="1:7" ht="14.5" hidden="1">
      <c r="A8293" s="5"/>
      <c r="B8293" s="18"/>
      <c r="C8293" s="85"/>
      <c r="D8293" s="41"/>
      <c r="E8293" s="26" t="str">
        <f ca="1">IFERROR(__xludf.DUMMYFUNCTION("""COMPUTED_VALUE"""),"")</f>
        <v/>
      </c>
      <c r="F8293" s="72"/>
      <c r="G8293" s="72"/>
    </row>
    <row r="8294" spans="1:7" ht="14.5" hidden="1">
      <c r="A8294" s="5"/>
      <c r="B8294" s="18"/>
      <c r="C8294" s="85"/>
      <c r="D8294" s="41"/>
      <c r="E8294" s="26" t="str">
        <f ca="1">IFERROR(__xludf.DUMMYFUNCTION("""COMPUTED_VALUE"""),"")</f>
        <v/>
      </c>
      <c r="F8294" s="72"/>
      <c r="G8294" s="72"/>
    </row>
    <row r="8295" spans="1:7" ht="14.5" hidden="1">
      <c r="A8295" s="5"/>
      <c r="B8295" s="18"/>
      <c r="C8295" s="85"/>
      <c r="D8295" s="41"/>
      <c r="E8295" s="26" t="str">
        <f ca="1">IFERROR(__xludf.DUMMYFUNCTION("""COMPUTED_VALUE"""),"")</f>
        <v/>
      </c>
      <c r="F8295" s="72"/>
      <c r="G8295" s="72"/>
    </row>
    <row r="8296" spans="1:7" ht="14.5" hidden="1">
      <c r="A8296" s="5"/>
      <c r="B8296" s="18"/>
      <c r="C8296" s="85"/>
      <c r="D8296" s="41"/>
      <c r="E8296" s="26" t="str">
        <f ca="1">IFERROR(__xludf.DUMMYFUNCTION("""COMPUTED_VALUE"""),"")</f>
        <v/>
      </c>
      <c r="F8296" s="72"/>
      <c r="G8296" s="72"/>
    </row>
    <row r="8297" spans="1:7" ht="14.5" hidden="1">
      <c r="A8297" s="5"/>
      <c r="B8297" s="18"/>
      <c r="C8297" s="85"/>
      <c r="D8297" s="41"/>
      <c r="E8297" s="26" t="str">
        <f ca="1">IFERROR(__xludf.DUMMYFUNCTION("""COMPUTED_VALUE"""),"")</f>
        <v/>
      </c>
      <c r="F8297" s="72"/>
      <c r="G8297" s="72"/>
    </row>
    <row r="8298" spans="1:7" ht="14.5" hidden="1">
      <c r="A8298" s="5"/>
      <c r="B8298" s="18"/>
      <c r="C8298" s="85"/>
      <c r="D8298" s="41"/>
      <c r="E8298" s="26" t="str">
        <f ca="1">IFERROR(__xludf.DUMMYFUNCTION("""COMPUTED_VALUE"""),"")</f>
        <v/>
      </c>
      <c r="F8298" s="72"/>
      <c r="G8298" s="72"/>
    </row>
    <row r="8299" spans="1:7" ht="14.5" hidden="1">
      <c r="A8299" s="5"/>
      <c r="B8299" s="18"/>
      <c r="C8299" s="85"/>
      <c r="D8299" s="41"/>
      <c r="E8299" s="26" t="str">
        <f ca="1">IFERROR(__xludf.DUMMYFUNCTION("""COMPUTED_VALUE"""),"")</f>
        <v/>
      </c>
      <c r="F8299" s="72"/>
      <c r="G8299" s="72"/>
    </row>
    <row r="8300" spans="1:7" ht="14.5" hidden="1">
      <c r="A8300" s="5"/>
      <c r="B8300" s="18"/>
      <c r="C8300" s="85"/>
      <c r="D8300" s="41"/>
      <c r="E8300" s="26" t="str">
        <f ca="1">IFERROR(__xludf.DUMMYFUNCTION("""COMPUTED_VALUE"""),"")</f>
        <v/>
      </c>
      <c r="F8300" s="72"/>
      <c r="G8300" s="72"/>
    </row>
    <row r="8301" spans="1:7" ht="14.5" hidden="1">
      <c r="A8301" s="5"/>
      <c r="B8301" s="18"/>
      <c r="C8301" s="85"/>
      <c r="D8301" s="41"/>
      <c r="E8301" s="26" t="str">
        <f ca="1">IFERROR(__xludf.DUMMYFUNCTION("""COMPUTED_VALUE"""),"")</f>
        <v/>
      </c>
      <c r="F8301" s="72"/>
      <c r="G8301" s="72"/>
    </row>
    <row r="8302" spans="1:7" ht="14.5" hidden="1">
      <c r="A8302" s="5"/>
      <c r="B8302" s="18"/>
      <c r="C8302" s="85"/>
      <c r="D8302" s="41"/>
      <c r="E8302" s="26" t="str">
        <f ca="1">IFERROR(__xludf.DUMMYFUNCTION("""COMPUTED_VALUE"""),"")</f>
        <v/>
      </c>
      <c r="F8302" s="72"/>
      <c r="G8302" s="72"/>
    </row>
    <row r="8303" spans="1:7" ht="14.5" hidden="1">
      <c r="A8303" s="5"/>
      <c r="B8303" s="18"/>
      <c r="C8303" s="85"/>
      <c r="D8303" s="41"/>
      <c r="E8303" s="26" t="str">
        <f ca="1">IFERROR(__xludf.DUMMYFUNCTION("""COMPUTED_VALUE"""),"")</f>
        <v/>
      </c>
      <c r="F8303" s="72"/>
      <c r="G8303" s="72"/>
    </row>
    <row r="8304" spans="1:7" ht="14.5" hidden="1">
      <c r="A8304" s="5"/>
      <c r="B8304" s="18"/>
      <c r="C8304" s="85"/>
      <c r="D8304" s="41"/>
      <c r="E8304" s="26" t="str">
        <f ca="1">IFERROR(__xludf.DUMMYFUNCTION("""COMPUTED_VALUE"""),"")</f>
        <v/>
      </c>
      <c r="F8304" s="72"/>
      <c r="G8304" s="72"/>
    </row>
    <row r="8305" spans="1:7" ht="14.5" hidden="1">
      <c r="A8305" s="5"/>
      <c r="B8305" s="18"/>
      <c r="C8305" s="85"/>
      <c r="D8305" s="41"/>
      <c r="E8305" s="26" t="str">
        <f ca="1">IFERROR(__xludf.DUMMYFUNCTION("""COMPUTED_VALUE"""),"")</f>
        <v/>
      </c>
      <c r="F8305" s="72"/>
      <c r="G8305" s="72"/>
    </row>
    <row r="8306" spans="1:7" ht="14.5" hidden="1">
      <c r="A8306" s="5"/>
      <c r="B8306" s="18"/>
      <c r="C8306" s="85"/>
      <c r="D8306" s="41"/>
      <c r="E8306" s="26" t="str">
        <f ca="1">IFERROR(__xludf.DUMMYFUNCTION("""COMPUTED_VALUE"""),"")</f>
        <v/>
      </c>
      <c r="F8306" s="72"/>
      <c r="G8306" s="72"/>
    </row>
    <row r="8307" spans="1:7" ht="14.5" hidden="1">
      <c r="A8307" s="5"/>
      <c r="B8307" s="18"/>
      <c r="C8307" s="85"/>
      <c r="D8307" s="41"/>
      <c r="E8307" s="26" t="str">
        <f ca="1">IFERROR(__xludf.DUMMYFUNCTION("""COMPUTED_VALUE"""),"")</f>
        <v/>
      </c>
      <c r="F8307" s="72"/>
      <c r="G8307" s="72"/>
    </row>
    <row r="8308" spans="1:7" ht="14.5" hidden="1">
      <c r="A8308" s="5"/>
      <c r="B8308" s="18"/>
      <c r="C8308" s="85"/>
      <c r="D8308" s="41"/>
      <c r="E8308" s="26" t="str">
        <f ca="1">IFERROR(__xludf.DUMMYFUNCTION("""COMPUTED_VALUE"""),"")</f>
        <v/>
      </c>
      <c r="F8308" s="72"/>
      <c r="G8308" s="72"/>
    </row>
    <row r="8309" spans="1:7" ht="14.5" hidden="1">
      <c r="A8309" s="5"/>
      <c r="B8309" s="18"/>
      <c r="C8309" s="85"/>
      <c r="D8309" s="41"/>
      <c r="E8309" s="26" t="str">
        <f ca="1">IFERROR(__xludf.DUMMYFUNCTION("""COMPUTED_VALUE"""),"")</f>
        <v/>
      </c>
      <c r="F8309" s="72"/>
      <c r="G8309" s="72"/>
    </row>
    <row r="8310" spans="1:7" ht="14.5" hidden="1">
      <c r="A8310" s="5"/>
      <c r="B8310" s="18"/>
      <c r="C8310" s="85"/>
      <c r="D8310" s="41"/>
      <c r="E8310" s="26" t="str">
        <f ca="1">IFERROR(__xludf.DUMMYFUNCTION("""COMPUTED_VALUE"""),"")</f>
        <v/>
      </c>
      <c r="F8310" s="72"/>
      <c r="G8310" s="72"/>
    </row>
    <row r="8311" spans="1:7" ht="14.5" hidden="1">
      <c r="A8311" s="5"/>
      <c r="B8311" s="18"/>
      <c r="C8311" s="85"/>
      <c r="D8311" s="41"/>
      <c r="E8311" s="26" t="str">
        <f ca="1">IFERROR(__xludf.DUMMYFUNCTION("""COMPUTED_VALUE"""),"")</f>
        <v/>
      </c>
      <c r="F8311" s="72"/>
      <c r="G8311" s="72"/>
    </row>
    <row r="8312" spans="1:7" ht="14.5" hidden="1">
      <c r="A8312" s="5"/>
      <c r="B8312" s="18"/>
      <c r="C8312" s="85"/>
      <c r="D8312" s="41"/>
      <c r="E8312" s="26" t="str">
        <f ca="1">IFERROR(__xludf.DUMMYFUNCTION("""COMPUTED_VALUE"""),"")</f>
        <v/>
      </c>
      <c r="F8312" s="72"/>
      <c r="G8312" s="72"/>
    </row>
    <row r="8313" spans="1:7" ht="14.5" hidden="1">
      <c r="A8313" s="5"/>
      <c r="B8313" s="18"/>
      <c r="C8313" s="85"/>
      <c r="D8313" s="41"/>
      <c r="E8313" s="26" t="str">
        <f ca="1">IFERROR(__xludf.DUMMYFUNCTION("""COMPUTED_VALUE"""),"")</f>
        <v/>
      </c>
      <c r="F8313" s="72"/>
      <c r="G8313" s="72"/>
    </row>
    <row r="8314" spans="1:7" ht="14.5" hidden="1">
      <c r="A8314" s="5"/>
      <c r="B8314" s="18"/>
      <c r="C8314" s="85"/>
      <c r="D8314" s="41"/>
      <c r="E8314" s="26" t="str">
        <f ca="1">IFERROR(__xludf.DUMMYFUNCTION("""COMPUTED_VALUE"""),"")</f>
        <v/>
      </c>
      <c r="F8314" s="72"/>
      <c r="G8314" s="72"/>
    </row>
    <row r="8315" spans="1:7" ht="14.5" hidden="1">
      <c r="A8315" s="5"/>
      <c r="B8315" s="18"/>
      <c r="C8315" s="85"/>
      <c r="D8315" s="41"/>
      <c r="E8315" s="26" t="str">
        <f ca="1">IFERROR(__xludf.DUMMYFUNCTION("""COMPUTED_VALUE"""),"")</f>
        <v/>
      </c>
      <c r="F8315" s="72"/>
      <c r="G8315" s="72"/>
    </row>
    <row r="8316" spans="1:7" ht="14.5" hidden="1">
      <c r="A8316" s="5"/>
      <c r="B8316" s="18"/>
      <c r="C8316" s="85"/>
      <c r="D8316" s="41"/>
      <c r="E8316" s="26" t="str">
        <f ca="1">IFERROR(__xludf.DUMMYFUNCTION("""COMPUTED_VALUE"""),"")</f>
        <v/>
      </c>
      <c r="F8316" s="72"/>
      <c r="G8316" s="72"/>
    </row>
    <row r="8317" spans="1:7" ht="14.5" hidden="1">
      <c r="A8317" s="5"/>
      <c r="B8317" s="18"/>
      <c r="C8317" s="85"/>
      <c r="D8317" s="41"/>
      <c r="E8317" s="26" t="str">
        <f ca="1">IFERROR(__xludf.DUMMYFUNCTION("""COMPUTED_VALUE"""),"")</f>
        <v/>
      </c>
      <c r="F8317" s="72"/>
      <c r="G8317" s="72"/>
    </row>
    <row r="8318" spans="1:7" ht="14.5" hidden="1">
      <c r="A8318" s="5"/>
      <c r="B8318" s="18"/>
      <c r="C8318" s="85"/>
      <c r="D8318" s="41"/>
      <c r="E8318" s="26" t="str">
        <f ca="1">IFERROR(__xludf.DUMMYFUNCTION("""COMPUTED_VALUE"""),"")</f>
        <v/>
      </c>
      <c r="F8318" s="72"/>
      <c r="G8318" s="72"/>
    </row>
    <row r="8319" spans="1:7" ht="14.5" hidden="1">
      <c r="A8319" s="5"/>
      <c r="B8319" s="18"/>
      <c r="C8319" s="85"/>
      <c r="D8319" s="41"/>
      <c r="E8319" s="26" t="str">
        <f ca="1">IFERROR(__xludf.DUMMYFUNCTION("""COMPUTED_VALUE"""),"")</f>
        <v/>
      </c>
      <c r="F8319" s="72"/>
      <c r="G8319" s="72"/>
    </row>
    <row r="8320" spans="1:7" ht="14.5" hidden="1">
      <c r="A8320" s="5"/>
      <c r="B8320" s="18"/>
      <c r="C8320" s="85"/>
      <c r="D8320" s="41"/>
      <c r="E8320" s="26" t="str">
        <f ca="1">IFERROR(__xludf.DUMMYFUNCTION("""COMPUTED_VALUE"""),"")</f>
        <v/>
      </c>
      <c r="F8320" s="72"/>
      <c r="G8320" s="72"/>
    </row>
    <row r="8321" spans="1:7" ht="14.5" hidden="1">
      <c r="A8321" s="5"/>
      <c r="B8321" s="18"/>
      <c r="C8321" s="85"/>
      <c r="D8321" s="41"/>
      <c r="E8321" s="26" t="str">
        <f ca="1">IFERROR(__xludf.DUMMYFUNCTION("""COMPUTED_VALUE"""),"")</f>
        <v/>
      </c>
      <c r="F8321" s="72"/>
      <c r="G8321" s="72"/>
    </row>
    <row r="8322" spans="1:7" ht="14.5" hidden="1">
      <c r="A8322" s="5"/>
      <c r="B8322" s="18"/>
      <c r="C8322" s="85"/>
      <c r="D8322" s="41"/>
      <c r="E8322" s="26" t="str">
        <f ca="1">IFERROR(__xludf.DUMMYFUNCTION("""COMPUTED_VALUE"""),"")</f>
        <v/>
      </c>
      <c r="F8322" s="72"/>
      <c r="G8322" s="72"/>
    </row>
    <row r="8323" spans="1:7" ht="14.5" hidden="1">
      <c r="A8323" s="5"/>
      <c r="B8323" s="18"/>
      <c r="C8323" s="85"/>
      <c r="D8323" s="41"/>
      <c r="E8323" s="26" t="str">
        <f ca="1">IFERROR(__xludf.DUMMYFUNCTION("""COMPUTED_VALUE"""),"")</f>
        <v/>
      </c>
      <c r="F8323" s="72"/>
      <c r="G8323" s="72"/>
    </row>
    <row r="8324" spans="1:7" ht="14.5" hidden="1">
      <c r="A8324" s="5"/>
      <c r="B8324" s="18"/>
      <c r="C8324" s="85"/>
      <c r="D8324" s="41"/>
      <c r="E8324" s="26" t="str">
        <f ca="1">IFERROR(__xludf.DUMMYFUNCTION("""COMPUTED_VALUE"""),"")</f>
        <v/>
      </c>
      <c r="F8324" s="72"/>
      <c r="G8324" s="72"/>
    </row>
    <row r="8325" spans="1:7" ht="14.5" hidden="1">
      <c r="A8325" s="5"/>
      <c r="B8325" s="18"/>
      <c r="C8325" s="85"/>
      <c r="D8325" s="41"/>
      <c r="E8325" s="26" t="str">
        <f ca="1">IFERROR(__xludf.DUMMYFUNCTION("""COMPUTED_VALUE"""),"")</f>
        <v/>
      </c>
      <c r="F8325" s="72"/>
      <c r="G8325" s="72"/>
    </row>
    <row r="8326" spans="1:7" ht="14.5" hidden="1">
      <c r="A8326" s="5"/>
      <c r="B8326" s="18"/>
      <c r="C8326" s="85"/>
      <c r="D8326" s="41"/>
      <c r="E8326" s="26" t="str">
        <f ca="1">IFERROR(__xludf.DUMMYFUNCTION("""COMPUTED_VALUE"""),"")</f>
        <v/>
      </c>
      <c r="F8326" s="72"/>
      <c r="G8326" s="72"/>
    </row>
    <row r="8327" spans="1:7" ht="14.5" hidden="1">
      <c r="A8327" s="5"/>
      <c r="B8327" s="18"/>
      <c r="C8327" s="85"/>
      <c r="D8327" s="41"/>
      <c r="E8327" s="26" t="str">
        <f ca="1">IFERROR(__xludf.DUMMYFUNCTION("""COMPUTED_VALUE"""),"")</f>
        <v/>
      </c>
      <c r="F8327" s="72"/>
      <c r="G8327" s="72"/>
    </row>
    <row r="8328" spans="1:7" ht="14.5" hidden="1">
      <c r="A8328" s="5"/>
      <c r="B8328" s="18"/>
      <c r="C8328" s="85"/>
      <c r="D8328" s="41"/>
      <c r="E8328" s="26" t="str">
        <f ca="1">IFERROR(__xludf.DUMMYFUNCTION("""COMPUTED_VALUE"""),"")</f>
        <v/>
      </c>
      <c r="F8328" s="72"/>
      <c r="G8328" s="72"/>
    </row>
    <row r="8329" spans="1:7" ht="14.5" hidden="1">
      <c r="A8329" s="5"/>
      <c r="B8329" s="18"/>
      <c r="C8329" s="85"/>
      <c r="D8329" s="41"/>
      <c r="E8329" s="26" t="str">
        <f ca="1">IFERROR(__xludf.DUMMYFUNCTION("""COMPUTED_VALUE"""),"")</f>
        <v/>
      </c>
      <c r="F8329" s="72"/>
      <c r="G8329" s="72"/>
    </row>
    <row r="8330" spans="1:7" ht="14.5" hidden="1">
      <c r="A8330" s="5"/>
      <c r="B8330" s="18"/>
      <c r="C8330" s="85"/>
      <c r="D8330" s="41"/>
      <c r="E8330" s="26" t="str">
        <f ca="1">IFERROR(__xludf.DUMMYFUNCTION("""COMPUTED_VALUE"""),"")</f>
        <v/>
      </c>
      <c r="F8330" s="72"/>
      <c r="G8330" s="72"/>
    </row>
    <row r="8331" spans="1:7" ht="14.5" hidden="1">
      <c r="A8331" s="5"/>
      <c r="B8331" s="18"/>
      <c r="C8331" s="85"/>
      <c r="D8331" s="41"/>
      <c r="E8331" s="26" t="str">
        <f ca="1">IFERROR(__xludf.DUMMYFUNCTION("""COMPUTED_VALUE"""),"")</f>
        <v/>
      </c>
      <c r="F8331" s="72"/>
      <c r="G8331" s="72"/>
    </row>
    <row r="8332" spans="1:7" ht="14.5" hidden="1">
      <c r="A8332" s="5"/>
      <c r="B8332" s="18"/>
      <c r="C8332" s="85"/>
      <c r="D8332" s="41"/>
      <c r="E8332" s="26" t="str">
        <f ca="1">IFERROR(__xludf.DUMMYFUNCTION("""COMPUTED_VALUE"""),"")</f>
        <v/>
      </c>
      <c r="F8332" s="72"/>
      <c r="G8332" s="72"/>
    </row>
    <row r="8333" spans="1:7" ht="14.5" hidden="1">
      <c r="A8333" s="5"/>
      <c r="B8333" s="18"/>
      <c r="C8333" s="85"/>
      <c r="D8333" s="41"/>
      <c r="E8333" s="26" t="str">
        <f ca="1">IFERROR(__xludf.DUMMYFUNCTION("""COMPUTED_VALUE"""),"")</f>
        <v/>
      </c>
      <c r="F8333" s="72"/>
      <c r="G8333" s="72"/>
    </row>
    <row r="8334" spans="1:7" ht="14.5" hidden="1">
      <c r="A8334" s="5"/>
      <c r="B8334" s="18"/>
      <c r="C8334" s="85"/>
      <c r="D8334" s="41"/>
      <c r="E8334" s="26" t="str">
        <f ca="1">IFERROR(__xludf.DUMMYFUNCTION("""COMPUTED_VALUE"""),"")</f>
        <v/>
      </c>
      <c r="F8334" s="72"/>
      <c r="G8334" s="72"/>
    </row>
    <row r="8335" spans="1:7" ht="14.5" hidden="1">
      <c r="A8335" s="5"/>
      <c r="B8335" s="18"/>
      <c r="C8335" s="85"/>
      <c r="D8335" s="41"/>
      <c r="E8335" s="26" t="str">
        <f ca="1">IFERROR(__xludf.DUMMYFUNCTION("""COMPUTED_VALUE"""),"")</f>
        <v/>
      </c>
      <c r="F8335" s="72"/>
      <c r="G8335" s="72"/>
    </row>
    <row r="8336" spans="1:7" ht="14.5" hidden="1">
      <c r="A8336" s="5"/>
      <c r="B8336" s="18"/>
      <c r="C8336" s="85"/>
      <c r="D8336" s="41"/>
      <c r="E8336" s="26" t="str">
        <f ca="1">IFERROR(__xludf.DUMMYFUNCTION("""COMPUTED_VALUE"""),"")</f>
        <v/>
      </c>
      <c r="F8336" s="72"/>
      <c r="G8336" s="72"/>
    </row>
    <row r="8337" spans="1:7" ht="14.5" hidden="1">
      <c r="A8337" s="5"/>
      <c r="B8337" s="18"/>
      <c r="C8337" s="85"/>
      <c r="D8337" s="41"/>
      <c r="E8337" s="26" t="str">
        <f ca="1">IFERROR(__xludf.DUMMYFUNCTION("""COMPUTED_VALUE"""),"")</f>
        <v/>
      </c>
      <c r="F8337" s="72"/>
      <c r="G8337" s="72"/>
    </row>
    <row r="8338" spans="1:7" ht="14.5" hidden="1">
      <c r="A8338" s="5"/>
      <c r="B8338" s="18"/>
      <c r="C8338" s="85"/>
      <c r="D8338" s="41"/>
      <c r="E8338" s="26" t="str">
        <f ca="1">IFERROR(__xludf.DUMMYFUNCTION("""COMPUTED_VALUE"""),"")</f>
        <v/>
      </c>
      <c r="F8338" s="72"/>
      <c r="G8338" s="72"/>
    </row>
    <row r="8339" spans="1:7" ht="14.5" hidden="1">
      <c r="A8339" s="5"/>
      <c r="B8339" s="18"/>
      <c r="C8339" s="85"/>
      <c r="D8339" s="41"/>
      <c r="E8339" s="26" t="str">
        <f ca="1">IFERROR(__xludf.DUMMYFUNCTION("""COMPUTED_VALUE"""),"")</f>
        <v/>
      </c>
      <c r="F8339" s="72"/>
      <c r="G8339" s="72"/>
    </row>
    <row r="8340" spans="1:7" ht="14.5" hidden="1">
      <c r="A8340" s="5"/>
      <c r="B8340" s="18"/>
      <c r="C8340" s="85"/>
      <c r="D8340" s="41"/>
      <c r="E8340" s="26" t="str">
        <f ca="1">IFERROR(__xludf.DUMMYFUNCTION("""COMPUTED_VALUE"""),"")</f>
        <v/>
      </c>
      <c r="F8340" s="72"/>
      <c r="G8340" s="72"/>
    </row>
    <row r="8341" spans="1:7" ht="14.5" hidden="1">
      <c r="A8341" s="5"/>
      <c r="B8341" s="18"/>
      <c r="C8341" s="85"/>
      <c r="D8341" s="41"/>
      <c r="E8341" s="26" t="str">
        <f ca="1">IFERROR(__xludf.DUMMYFUNCTION("""COMPUTED_VALUE"""),"")</f>
        <v/>
      </c>
      <c r="F8341" s="72"/>
      <c r="G8341" s="72"/>
    </row>
    <row r="8342" spans="1:7" ht="14.5" hidden="1">
      <c r="A8342" s="5"/>
      <c r="B8342" s="18"/>
      <c r="C8342" s="85"/>
      <c r="D8342" s="41"/>
      <c r="E8342" s="26" t="str">
        <f ca="1">IFERROR(__xludf.DUMMYFUNCTION("""COMPUTED_VALUE"""),"")</f>
        <v/>
      </c>
      <c r="F8342" s="72"/>
      <c r="G8342" s="72"/>
    </row>
    <row r="8343" spans="1:7" ht="14.5" hidden="1">
      <c r="A8343" s="5"/>
      <c r="B8343" s="18"/>
      <c r="C8343" s="85"/>
      <c r="D8343" s="41"/>
      <c r="E8343" s="26" t="str">
        <f ca="1">IFERROR(__xludf.DUMMYFUNCTION("""COMPUTED_VALUE"""),"")</f>
        <v/>
      </c>
      <c r="F8343" s="72"/>
      <c r="G8343" s="72"/>
    </row>
    <row r="8344" spans="1:7" ht="14.5" hidden="1">
      <c r="A8344" s="5"/>
      <c r="B8344" s="18"/>
      <c r="C8344" s="85"/>
      <c r="D8344" s="41"/>
      <c r="E8344" s="26" t="str">
        <f ca="1">IFERROR(__xludf.DUMMYFUNCTION("""COMPUTED_VALUE"""),"")</f>
        <v/>
      </c>
      <c r="F8344" s="72"/>
      <c r="G8344" s="72"/>
    </row>
    <row r="8345" spans="1:7" ht="14.5" hidden="1">
      <c r="A8345" s="5"/>
      <c r="B8345" s="18"/>
      <c r="C8345" s="85"/>
      <c r="D8345" s="41"/>
      <c r="E8345" s="26" t="str">
        <f ca="1">IFERROR(__xludf.DUMMYFUNCTION("""COMPUTED_VALUE"""),"")</f>
        <v/>
      </c>
      <c r="F8345" s="72"/>
      <c r="G8345" s="72"/>
    </row>
    <row r="8346" spans="1:7" ht="14.5" hidden="1">
      <c r="A8346" s="5"/>
      <c r="B8346" s="18"/>
      <c r="C8346" s="85"/>
      <c r="D8346" s="41"/>
      <c r="E8346" s="26" t="str">
        <f ca="1">IFERROR(__xludf.DUMMYFUNCTION("""COMPUTED_VALUE"""),"")</f>
        <v/>
      </c>
      <c r="F8346" s="72"/>
      <c r="G8346" s="72"/>
    </row>
    <row r="8347" spans="1:7" ht="14.5" hidden="1">
      <c r="A8347" s="5"/>
      <c r="B8347" s="18"/>
      <c r="C8347" s="85"/>
      <c r="D8347" s="41"/>
      <c r="E8347" s="26" t="str">
        <f ca="1">IFERROR(__xludf.DUMMYFUNCTION("""COMPUTED_VALUE"""),"")</f>
        <v/>
      </c>
      <c r="F8347" s="72"/>
      <c r="G8347" s="72"/>
    </row>
    <row r="8348" spans="1:7" ht="14.5" hidden="1">
      <c r="A8348" s="5"/>
      <c r="B8348" s="18"/>
      <c r="C8348" s="85"/>
      <c r="D8348" s="41"/>
      <c r="E8348" s="26" t="str">
        <f ca="1">IFERROR(__xludf.DUMMYFUNCTION("""COMPUTED_VALUE"""),"")</f>
        <v/>
      </c>
      <c r="F8348" s="72"/>
      <c r="G8348" s="72"/>
    </row>
    <row r="8349" spans="1:7" ht="14.5" hidden="1">
      <c r="A8349" s="5"/>
      <c r="B8349" s="18"/>
      <c r="C8349" s="85"/>
      <c r="D8349" s="41"/>
      <c r="E8349" s="26" t="str">
        <f ca="1">IFERROR(__xludf.DUMMYFUNCTION("""COMPUTED_VALUE"""),"")</f>
        <v/>
      </c>
      <c r="F8349" s="72"/>
      <c r="G8349" s="72"/>
    </row>
    <row r="8350" spans="1:7" ht="14.5" hidden="1">
      <c r="A8350" s="5"/>
      <c r="B8350" s="18"/>
      <c r="C8350" s="85"/>
      <c r="D8350" s="41"/>
      <c r="E8350" s="26" t="str">
        <f ca="1">IFERROR(__xludf.DUMMYFUNCTION("""COMPUTED_VALUE"""),"")</f>
        <v/>
      </c>
      <c r="F8350" s="72"/>
      <c r="G8350" s="72"/>
    </row>
    <row r="8351" spans="1:7" ht="14.5" hidden="1">
      <c r="A8351" s="5"/>
      <c r="B8351" s="18"/>
      <c r="C8351" s="85"/>
      <c r="D8351" s="41"/>
      <c r="E8351" s="26" t="str">
        <f ca="1">IFERROR(__xludf.DUMMYFUNCTION("""COMPUTED_VALUE"""),"")</f>
        <v/>
      </c>
      <c r="F8351" s="72"/>
      <c r="G8351" s="72"/>
    </row>
    <row r="8352" spans="1:7" ht="14.5" hidden="1">
      <c r="A8352" s="5"/>
      <c r="B8352" s="18"/>
      <c r="C8352" s="85"/>
      <c r="D8352" s="41"/>
      <c r="E8352" s="26" t="str">
        <f ca="1">IFERROR(__xludf.DUMMYFUNCTION("""COMPUTED_VALUE"""),"")</f>
        <v/>
      </c>
      <c r="F8352" s="72"/>
      <c r="G8352" s="72"/>
    </row>
    <row r="8353" spans="1:7" ht="14.5" hidden="1">
      <c r="A8353" s="5"/>
      <c r="B8353" s="18"/>
      <c r="C8353" s="85"/>
      <c r="D8353" s="41"/>
      <c r="E8353" s="26" t="str">
        <f ca="1">IFERROR(__xludf.DUMMYFUNCTION("""COMPUTED_VALUE"""),"")</f>
        <v/>
      </c>
      <c r="F8353" s="72"/>
      <c r="G8353" s="72"/>
    </row>
    <row r="8354" spans="1:7" ht="14.5" hidden="1">
      <c r="A8354" s="5"/>
      <c r="B8354" s="18"/>
      <c r="C8354" s="85"/>
      <c r="D8354" s="41"/>
      <c r="E8354" s="26" t="str">
        <f ca="1">IFERROR(__xludf.DUMMYFUNCTION("""COMPUTED_VALUE"""),"")</f>
        <v/>
      </c>
      <c r="F8354" s="72"/>
      <c r="G8354" s="72"/>
    </row>
    <row r="8355" spans="1:7" ht="14.5" hidden="1">
      <c r="A8355" s="5"/>
      <c r="B8355" s="18"/>
      <c r="C8355" s="85"/>
      <c r="D8355" s="41"/>
      <c r="E8355" s="26" t="str">
        <f ca="1">IFERROR(__xludf.DUMMYFUNCTION("""COMPUTED_VALUE"""),"")</f>
        <v/>
      </c>
      <c r="F8355" s="72"/>
      <c r="G8355" s="72"/>
    </row>
    <row r="8356" spans="1:7" ht="14.5" hidden="1">
      <c r="A8356" s="5"/>
      <c r="B8356" s="18"/>
      <c r="C8356" s="85"/>
      <c r="D8356" s="41"/>
      <c r="E8356" s="26" t="str">
        <f ca="1">IFERROR(__xludf.DUMMYFUNCTION("""COMPUTED_VALUE"""),"")</f>
        <v/>
      </c>
      <c r="F8356" s="72"/>
      <c r="G8356" s="72"/>
    </row>
    <row r="8357" spans="1:7" ht="14.5" hidden="1">
      <c r="A8357" s="5"/>
      <c r="B8357" s="18"/>
      <c r="C8357" s="85"/>
      <c r="D8357" s="41"/>
      <c r="E8357" s="26" t="str">
        <f ca="1">IFERROR(__xludf.DUMMYFUNCTION("""COMPUTED_VALUE"""),"")</f>
        <v/>
      </c>
      <c r="F8357" s="72"/>
      <c r="G8357" s="72"/>
    </row>
    <row r="8358" spans="1:7" ht="14.5" hidden="1">
      <c r="A8358" s="5"/>
      <c r="B8358" s="18"/>
      <c r="C8358" s="85"/>
      <c r="D8358" s="41"/>
      <c r="E8358" s="26" t="str">
        <f ca="1">IFERROR(__xludf.DUMMYFUNCTION("""COMPUTED_VALUE"""),"")</f>
        <v/>
      </c>
      <c r="F8358" s="72"/>
      <c r="G8358" s="72"/>
    </row>
    <row r="8359" spans="1:7" ht="14.5" hidden="1">
      <c r="A8359" s="5"/>
      <c r="B8359" s="18"/>
      <c r="C8359" s="85"/>
      <c r="D8359" s="41"/>
      <c r="E8359" s="26" t="str">
        <f ca="1">IFERROR(__xludf.DUMMYFUNCTION("""COMPUTED_VALUE"""),"")</f>
        <v/>
      </c>
      <c r="F8359" s="72"/>
      <c r="G8359" s="72"/>
    </row>
    <row r="8360" spans="1:7" ht="14.5" hidden="1">
      <c r="A8360" s="5"/>
      <c r="B8360" s="18"/>
      <c r="C8360" s="85"/>
      <c r="D8360" s="41"/>
      <c r="E8360" s="26" t="str">
        <f ca="1">IFERROR(__xludf.DUMMYFUNCTION("""COMPUTED_VALUE"""),"")</f>
        <v/>
      </c>
      <c r="F8360" s="72"/>
      <c r="G8360" s="72"/>
    </row>
    <row r="8361" spans="1:7" ht="14.5" hidden="1">
      <c r="A8361" s="5"/>
      <c r="B8361" s="18"/>
      <c r="C8361" s="85"/>
      <c r="D8361" s="41"/>
      <c r="E8361" s="26" t="str">
        <f ca="1">IFERROR(__xludf.DUMMYFUNCTION("""COMPUTED_VALUE"""),"")</f>
        <v/>
      </c>
      <c r="F8361" s="72"/>
      <c r="G8361" s="72"/>
    </row>
    <row r="8362" spans="1:7" ht="14.5" hidden="1">
      <c r="A8362" s="5"/>
      <c r="B8362" s="18"/>
      <c r="C8362" s="85"/>
      <c r="D8362" s="41"/>
      <c r="E8362" s="26" t="str">
        <f ca="1">IFERROR(__xludf.DUMMYFUNCTION("""COMPUTED_VALUE"""),"")</f>
        <v/>
      </c>
      <c r="F8362" s="72"/>
      <c r="G8362" s="72"/>
    </row>
    <row r="8363" spans="1:7" ht="14.5" hidden="1">
      <c r="A8363" s="5"/>
      <c r="B8363" s="18"/>
      <c r="C8363" s="85"/>
      <c r="D8363" s="41"/>
      <c r="E8363" s="26" t="str">
        <f ca="1">IFERROR(__xludf.DUMMYFUNCTION("""COMPUTED_VALUE"""),"")</f>
        <v/>
      </c>
      <c r="F8363" s="72"/>
      <c r="G8363" s="72"/>
    </row>
    <row r="8364" spans="1:7" ht="14.5" hidden="1">
      <c r="A8364" s="5"/>
      <c r="B8364" s="18"/>
      <c r="C8364" s="85"/>
      <c r="D8364" s="41"/>
      <c r="E8364" s="26" t="str">
        <f ca="1">IFERROR(__xludf.DUMMYFUNCTION("""COMPUTED_VALUE"""),"")</f>
        <v/>
      </c>
      <c r="F8364" s="72"/>
      <c r="G8364" s="72"/>
    </row>
    <row r="8365" spans="1:7" ht="14.5" hidden="1">
      <c r="A8365" s="5"/>
      <c r="B8365" s="18"/>
      <c r="C8365" s="85"/>
      <c r="D8365" s="41"/>
      <c r="E8365" s="26" t="str">
        <f ca="1">IFERROR(__xludf.DUMMYFUNCTION("""COMPUTED_VALUE"""),"")</f>
        <v/>
      </c>
      <c r="F8365" s="72"/>
      <c r="G8365" s="72"/>
    </row>
    <row r="8366" spans="1:7" ht="14.5" hidden="1">
      <c r="A8366" s="5"/>
      <c r="B8366" s="18"/>
      <c r="C8366" s="85"/>
      <c r="D8366" s="41"/>
      <c r="E8366" s="26" t="str">
        <f ca="1">IFERROR(__xludf.DUMMYFUNCTION("""COMPUTED_VALUE"""),"")</f>
        <v/>
      </c>
      <c r="F8366" s="72"/>
      <c r="G8366" s="72"/>
    </row>
    <row r="8367" spans="1:7" ht="14.5" hidden="1">
      <c r="A8367" s="5"/>
      <c r="B8367" s="18"/>
      <c r="C8367" s="85"/>
      <c r="D8367" s="41"/>
      <c r="E8367" s="26" t="str">
        <f ca="1">IFERROR(__xludf.DUMMYFUNCTION("""COMPUTED_VALUE"""),"")</f>
        <v/>
      </c>
      <c r="F8367" s="72"/>
      <c r="G8367" s="72"/>
    </row>
    <row r="8368" spans="1:7" ht="14.5" hidden="1">
      <c r="A8368" s="5"/>
      <c r="B8368" s="18"/>
      <c r="C8368" s="85"/>
      <c r="D8368" s="41"/>
      <c r="E8368" s="26" t="str">
        <f ca="1">IFERROR(__xludf.DUMMYFUNCTION("""COMPUTED_VALUE"""),"")</f>
        <v/>
      </c>
      <c r="F8368" s="72"/>
      <c r="G8368" s="72"/>
    </row>
    <row r="8369" spans="1:7" ht="14.5" hidden="1">
      <c r="A8369" s="5"/>
      <c r="B8369" s="18"/>
      <c r="C8369" s="85"/>
      <c r="D8369" s="41"/>
      <c r="E8369" s="26" t="str">
        <f ca="1">IFERROR(__xludf.DUMMYFUNCTION("""COMPUTED_VALUE"""),"")</f>
        <v/>
      </c>
      <c r="F8369" s="72"/>
      <c r="G8369" s="72"/>
    </row>
    <row r="8370" spans="1:7" ht="14.5" hidden="1">
      <c r="A8370" s="5"/>
      <c r="B8370" s="18"/>
      <c r="C8370" s="85"/>
      <c r="D8370" s="41"/>
      <c r="E8370" s="26" t="str">
        <f ca="1">IFERROR(__xludf.DUMMYFUNCTION("""COMPUTED_VALUE"""),"")</f>
        <v/>
      </c>
      <c r="F8370" s="72"/>
      <c r="G8370" s="72"/>
    </row>
    <row r="8371" spans="1:7" ht="14.5" hidden="1">
      <c r="A8371" s="5"/>
      <c r="B8371" s="18"/>
      <c r="C8371" s="85"/>
      <c r="D8371" s="41"/>
      <c r="E8371" s="26" t="str">
        <f ca="1">IFERROR(__xludf.DUMMYFUNCTION("""COMPUTED_VALUE"""),"")</f>
        <v/>
      </c>
      <c r="F8371" s="72"/>
      <c r="G8371" s="72"/>
    </row>
    <row r="8372" spans="1:7" ht="14.5" hidden="1">
      <c r="A8372" s="5"/>
      <c r="B8372" s="18"/>
      <c r="C8372" s="85"/>
      <c r="D8372" s="41"/>
      <c r="E8372" s="26" t="str">
        <f ca="1">IFERROR(__xludf.DUMMYFUNCTION("""COMPUTED_VALUE"""),"")</f>
        <v/>
      </c>
      <c r="F8372" s="72"/>
      <c r="G8372" s="72"/>
    </row>
    <row r="8373" spans="1:7" ht="14.5" hidden="1">
      <c r="A8373" s="5"/>
      <c r="B8373" s="18"/>
      <c r="C8373" s="85"/>
      <c r="D8373" s="41"/>
      <c r="E8373" s="26" t="str">
        <f ca="1">IFERROR(__xludf.DUMMYFUNCTION("""COMPUTED_VALUE"""),"")</f>
        <v/>
      </c>
      <c r="F8373" s="72"/>
      <c r="G8373" s="72"/>
    </row>
    <row r="8374" spans="1:7" ht="14.5" hidden="1">
      <c r="A8374" s="5"/>
      <c r="B8374" s="18"/>
      <c r="C8374" s="85"/>
      <c r="D8374" s="41"/>
      <c r="E8374" s="26" t="str">
        <f ca="1">IFERROR(__xludf.DUMMYFUNCTION("""COMPUTED_VALUE"""),"")</f>
        <v/>
      </c>
      <c r="F8374" s="72"/>
      <c r="G8374" s="72"/>
    </row>
    <row r="8375" spans="1:7" ht="14.5" hidden="1">
      <c r="A8375" s="5"/>
      <c r="B8375" s="18"/>
      <c r="C8375" s="85"/>
      <c r="D8375" s="41"/>
      <c r="E8375" s="26" t="str">
        <f ca="1">IFERROR(__xludf.DUMMYFUNCTION("""COMPUTED_VALUE"""),"")</f>
        <v/>
      </c>
      <c r="F8375" s="72"/>
      <c r="G8375" s="72"/>
    </row>
    <row r="8376" spans="1:7" ht="14.5" hidden="1">
      <c r="A8376" s="5"/>
      <c r="B8376" s="18"/>
      <c r="C8376" s="85"/>
      <c r="D8376" s="41"/>
      <c r="E8376" s="26" t="str">
        <f ca="1">IFERROR(__xludf.DUMMYFUNCTION("""COMPUTED_VALUE"""),"")</f>
        <v/>
      </c>
      <c r="F8376" s="72"/>
      <c r="G8376" s="72"/>
    </row>
    <row r="8377" spans="1:7" ht="14.5" hidden="1">
      <c r="A8377" s="5"/>
      <c r="B8377" s="18"/>
      <c r="C8377" s="85"/>
      <c r="D8377" s="41"/>
      <c r="E8377" s="26" t="str">
        <f ca="1">IFERROR(__xludf.DUMMYFUNCTION("""COMPUTED_VALUE"""),"")</f>
        <v/>
      </c>
      <c r="F8377" s="72"/>
      <c r="G8377" s="72"/>
    </row>
    <row r="8378" spans="1:7" ht="14.5" hidden="1">
      <c r="A8378" s="5"/>
      <c r="B8378" s="18"/>
      <c r="C8378" s="85"/>
      <c r="D8378" s="41"/>
      <c r="E8378" s="26" t="str">
        <f ca="1">IFERROR(__xludf.DUMMYFUNCTION("""COMPUTED_VALUE"""),"")</f>
        <v/>
      </c>
      <c r="F8378" s="72"/>
      <c r="G8378" s="72"/>
    </row>
    <row r="8379" spans="1:7" ht="14.5" hidden="1">
      <c r="A8379" s="5"/>
      <c r="B8379" s="18"/>
      <c r="C8379" s="85"/>
      <c r="D8379" s="41"/>
      <c r="E8379" s="26" t="str">
        <f ca="1">IFERROR(__xludf.DUMMYFUNCTION("""COMPUTED_VALUE"""),"")</f>
        <v/>
      </c>
      <c r="F8379" s="72"/>
      <c r="G8379" s="72"/>
    </row>
    <row r="8380" spans="1:7" ht="14.5" hidden="1">
      <c r="A8380" s="5"/>
      <c r="B8380" s="18"/>
      <c r="C8380" s="85"/>
      <c r="D8380" s="41"/>
      <c r="E8380" s="26" t="str">
        <f ca="1">IFERROR(__xludf.DUMMYFUNCTION("""COMPUTED_VALUE"""),"")</f>
        <v/>
      </c>
      <c r="F8380" s="72"/>
      <c r="G8380" s="72"/>
    </row>
    <row r="8381" spans="1:7" ht="14.5" hidden="1">
      <c r="A8381" s="5"/>
      <c r="B8381" s="18"/>
      <c r="C8381" s="85"/>
      <c r="D8381" s="41"/>
      <c r="E8381" s="26" t="str">
        <f ca="1">IFERROR(__xludf.DUMMYFUNCTION("""COMPUTED_VALUE"""),"")</f>
        <v/>
      </c>
      <c r="F8381" s="72"/>
      <c r="G8381" s="72"/>
    </row>
    <row r="8382" spans="1:7" ht="14.5" hidden="1">
      <c r="A8382" s="5"/>
      <c r="B8382" s="18"/>
      <c r="C8382" s="85"/>
      <c r="D8382" s="41"/>
      <c r="E8382" s="26" t="str">
        <f ca="1">IFERROR(__xludf.DUMMYFUNCTION("""COMPUTED_VALUE"""),"")</f>
        <v/>
      </c>
      <c r="F8382" s="72"/>
      <c r="G8382" s="72"/>
    </row>
    <row r="8383" spans="1:7" ht="14.5" hidden="1">
      <c r="A8383" s="5"/>
      <c r="B8383" s="18"/>
      <c r="C8383" s="85"/>
      <c r="D8383" s="41"/>
      <c r="E8383" s="26" t="str">
        <f ca="1">IFERROR(__xludf.DUMMYFUNCTION("""COMPUTED_VALUE"""),"")</f>
        <v/>
      </c>
      <c r="F8383" s="72"/>
      <c r="G8383" s="72"/>
    </row>
    <row r="8384" spans="1:7" ht="14.5" hidden="1">
      <c r="A8384" s="5"/>
      <c r="B8384" s="18"/>
      <c r="C8384" s="85"/>
      <c r="D8384" s="41"/>
      <c r="E8384" s="26" t="str">
        <f ca="1">IFERROR(__xludf.DUMMYFUNCTION("""COMPUTED_VALUE"""),"")</f>
        <v/>
      </c>
      <c r="F8384" s="72"/>
      <c r="G8384" s="72"/>
    </row>
    <row r="8385" spans="1:7" ht="14.5" hidden="1">
      <c r="A8385" s="5"/>
      <c r="B8385" s="18"/>
      <c r="C8385" s="85"/>
      <c r="D8385" s="41"/>
      <c r="E8385" s="26" t="str">
        <f ca="1">IFERROR(__xludf.DUMMYFUNCTION("""COMPUTED_VALUE"""),"")</f>
        <v/>
      </c>
      <c r="F8385" s="72"/>
      <c r="G8385" s="72"/>
    </row>
    <row r="8386" spans="1:7" ht="14.5" hidden="1">
      <c r="A8386" s="5"/>
      <c r="B8386" s="18"/>
      <c r="C8386" s="85"/>
      <c r="D8386" s="41"/>
      <c r="E8386" s="26" t="str">
        <f ca="1">IFERROR(__xludf.DUMMYFUNCTION("""COMPUTED_VALUE"""),"")</f>
        <v/>
      </c>
      <c r="F8386" s="72"/>
      <c r="G8386" s="72"/>
    </row>
    <row r="8387" spans="1:7" ht="14.5" hidden="1">
      <c r="A8387" s="5"/>
      <c r="B8387" s="18"/>
      <c r="C8387" s="85"/>
      <c r="D8387" s="41"/>
      <c r="E8387" s="26" t="str">
        <f ca="1">IFERROR(__xludf.DUMMYFUNCTION("""COMPUTED_VALUE"""),"")</f>
        <v/>
      </c>
      <c r="F8387" s="72"/>
      <c r="G8387" s="72"/>
    </row>
    <row r="8388" spans="1:7" ht="14.5" hidden="1">
      <c r="A8388" s="5"/>
      <c r="B8388" s="18"/>
      <c r="C8388" s="85"/>
      <c r="D8388" s="41"/>
      <c r="E8388" s="26" t="str">
        <f ca="1">IFERROR(__xludf.DUMMYFUNCTION("""COMPUTED_VALUE"""),"")</f>
        <v/>
      </c>
      <c r="F8388" s="72"/>
      <c r="G8388" s="72"/>
    </row>
    <row r="8389" spans="1:7" ht="14.5" hidden="1">
      <c r="A8389" s="5"/>
      <c r="B8389" s="18"/>
      <c r="C8389" s="85"/>
      <c r="D8389" s="41"/>
      <c r="E8389" s="26" t="str">
        <f ca="1">IFERROR(__xludf.DUMMYFUNCTION("""COMPUTED_VALUE"""),"")</f>
        <v/>
      </c>
      <c r="F8389" s="72"/>
      <c r="G8389" s="72"/>
    </row>
    <row r="8390" spans="1:7" ht="14.5" hidden="1">
      <c r="A8390" s="5"/>
      <c r="B8390" s="18"/>
      <c r="C8390" s="85"/>
      <c r="D8390" s="41"/>
      <c r="E8390" s="26" t="str">
        <f ca="1">IFERROR(__xludf.DUMMYFUNCTION("""COMPUTED_VALUE"""),"")</f>
        <v/>
      </c>
      <c r="F8390" s="72"/>
      <c r="G8390" s="72"/>
    </row>
    <row r="8391" spans="1:7" ht="14.5" hidden="1">
      <c r="A8391" s="5"/>
      <c r="B8391" s="18"/>
      <c r="C8391" s="85"/>
      <c r="D8391" s="41"/>
      <c r="E8391" s="26" t="str">
        <f ca="1">IFERROR(__xludf.DUMMYFUNCTION("""COMPUTED_VALUE"""),"")</f>
        <v/>
      </c>
      <c r="F8391" s="72"/>
      <c r="G8391" s="72"/>
    </row>
    <row r="8392" spans="1:7" ht="14.5" hidden="1">
      <c r="A8392" s="5"/>
      <c r="B8392" s="18"/>
      <c r="C8392" s="85"/>
      <c r="D8392" s="41"/>
      <c r="E8392" s="26" t="str">
        <f ca="1">IFERROR(__xludf.DUMMYFUNCTION("""COMPUTED_VALUE"""),"")</f>
        <v/>
      </c>
      <c r="F8392" s="72"/>
      <c r="G8392" s="72"/>
    </row>
    <row r="8393" spans="1:7" ht="14.5" hidden="1">
      <c r="A8393" s="5"/>
      <c r="B8393" s="18"/>
      <c r="C8393" s="85"/>
      <c r="D8393" s="41"/>
      <c r="E8393" s="26" t="str">
        <f ca="1">IFERROR(__xludf.DUMMYFUNCTION("""COMPUTED_VALUE"""),"")</f>
        <v/>
      </c>
      <c r="F8393" s="72"/>
      <c r="G8393" s="72"/>
    </row>
    <row r="8394" spans="1:7" ht="14.5" hidden="1">
      <c r="A8394" s="5"/>
      <c r="B8394" s="18"/>
      <c r="C8394" s="85"/>
      <c r="D8394" s="41"/>
      <c r="E8394" s="26" t="str">
        <f ca="1">IFERROR(__xludf.DUMMYFUNCTION("""COMPUTED_VALUE"""),"")</f>
        <v/>
      </c>
      <c r="F8394" s="72"/>
      <c r="G8394" s="72"/>
    </row>
    <row r="8395" spans="1:7" ht="14.5" hidden="1">
      <c r="A8395" s="5"/>
      <c r="B8395" s="18"/>
      <c r="C8395" s="85"/>
      <c r="D8395" s="41"/>
      <c r="E8395" s="26" t="str">
        <f ca="1">IFERROR(__xludf.DUMMYFUNCTION("""COMPUTED_VALUE"""),"")</f>
        <v/>
      </c>
      <c r="F8395" s="72"/>
      <c r="G8395" s="72"/>
    </row>
    <row r="8396" spans="1:7" ht="14.5" hidden="1">
      <c r="A8396" s="5"/>
      <c r="B8396" s="18"/>
      <c r="C8396" s="85"/>
      <c r="D8396" s="41"/>
      <c r="E8396" s="26" t="str">
        <f ca="1">IFERROR(__xludf.DUMMYFUNCTION("""COMPUTED_VALUE"""),"")</f>
        <v/>
      </c>
      <c r="F8396" s="72"/>
      <c r="G8396" s="72"/>
    </row>
    <row r="8397" spans="1:7" ht="14.5" hidden="1">
      <c r="A8397" s="5"/>
      <c r="B8397" s="18"/>
      <c r="C8397" s="85"/>
      <c r="D8397" s="41"/>
      <c r="E8397" s="26" t="str">
        <f ca="1">IFERROR(__xludf.DUMMYFUNCTION("""COMPUTED_VALUE"""),"")</f>
        <v/>
      </c>
      <c r="F8397" s="72"/>
      <c r="G8397" s="72"/>
    </row>
    <row r="8398" spans="1:7" ht="14.5" hidden="1">
      <c r="A8398" s="5"/>
      <c r="B8398" s="18"/>
      <c r="C8398" s="85"/>
      <c r="D8398" s="41"/>
      <c r="E8398" s="26" t="str">
        <f ca="1">IFERROR(__xludf.DUMMYFUNCTION("""COMPUTED_VALUE"""),"")</f>
        <v/>
      </c>
      <c r="F8398" s="72"/>
      <c r="G8398" s="72"/>
    </row>
    <row r="8399" spans="1:7" ht="14.5" hidden="1">
      <c r="A8399" s="5"/>
      <c r="B8399" s="18"/>
      <c r="C8399" s="85"/>
      <c r="D8399" s="41"/>
      <c r="E8399" s="26" t="str">
        <f ca="1">IFERROR(__xludf.DUMMYFUNCTION("""COMPUTED_VALUE"""),"")</f>
        <v/>
      </c>
      <c r="F8399" s="72"/>
      <c r="G8399" s="72"/>
    </row>
    <row r="8400" spans="1:7" ht="14.5" hidden="1">
      <c r="A8400" s="5"/>
      <c r="B8400" s="18"/>
      <c r="C8400" s="85"/>
      <c r="D8400" s="41"/>
      <c r="E8400" s="26" t="str">
        <f ca="1">IFERROR(__xludf.DUMMYFUNCTION("""COMPUTED_VALUE"""),"")</f>
        <v/>
      </c>
      <c r="F8400" s="72"/>
      <c r="G8400" s="72"/>
    </row>
    <row r="8401" spans="1:7" ht="14.5" hidden="1">
      <c r="A8401" s="5"/>
      <c r="B8401" s="18"/>
      <c r="C8401" s="85"/>
      <c r="D8401" s="41"/>
      <c r="E8401" s="26" t="str">
        <f ca="1">IFERROR(__xludf.DUMMYFUNCTION("""COMPUTED_VALUE"""),"")</f>
        <v/>
      </c>
      <c r="F8401" s="72"/>
      <c r="G8401" s="72"/>
    </row>
    <row r="8402" spans="1:7" ht="14.5" hidden="1">
      <c r="A8402" s="5"/>
      <c r="B8402" s="18"/>
      <c r="C8402" s="85"/>
      <c r="D8402" s="41"/>
      <c r="E8402" s="26" t="str">
        <f ca="1">IFERROR(__xludf.DUMMYFUNCTION("""COMPUTED_VALUE"""),"")</f>
        <v/>
      </c>
      <c r="F8402" s="72"/>
      <c r="G8402" s="72"/>
    </row>
    <row r="8403" spans="1:7" ht="14.5" hidden="1">
      <c r="A8403" s="5"/>
      <c r="B8403" s="18"/>
      <c r="C8403" s="85"/>
      <c r="D8403" s="41"/>
      <c r="E8403" s="26" t="str">
        <f ca="1">IFERROR(__xludf.DUMMYFUNCTION("""COMPUTED_VALUE"""),"")</f>
        <v/>
      </c>
      <c r="F8403" s="72"/>
      <c r="G8403" s="72"/>
    </row>
    <row r="8404" spans="1:7" ht="14.5" hidden="1">
      <c r="A8404" s="5"/>
      <c r="B8404" s="18"/>
      <c r="C8404" s="85"/>
      <c r="D8404" s="41"/>
      <c r="E8404" s="26" t="str">
        <f ca="1">IFERROR(__xludf.DUMMYFUNCTION("""COMPUTED_VALUE"""),"")</f>
        <v/>
      </c>
      <c r="F8404" s="72"/>
      <c r="G8404" s="72"/>
    </row>
    <row r="8405" spans="1:7" ht="14.5" hidden="1">
      <c r="A8405" s="5"/>
      <c r="B8405" s="18"/>
      <c r="C8405" s="85"/>
      <c r="D8405" s="41"/>
      <c r="E8405" s="26" t="str">
        <f ca="1">IFERROR(__xludf.DUMMYFUNCTION("""COMPUTED_VALUE"""),"")</f>
        <v/>
      </c>
      <c r="F8405" s="72"/>
      <c r="G8405" s="72"/>
    </row>
    <row r="8406" spans="1:7" ht="14.5" hidden="1">
      <c r="A8406" s="5"/>
      <c r="B8406" s="18"/>
      <c r="C8406" s="85"/>
      <c r="D8406" s="41"/>
      <c r="E8406" s="26" t="str">
        <f ca="1">IFERROR(__xludf.DUMMYFUNCTION("""COMPUTED_VALUE"""),"")</f>
        <v/>
      </c>
      <c r="F8406" s="72"/>
      <c r="G8406" s="72"/>
    </row>
    <row r="8407" spans="1:7" ht="14.5" hidden="1">
      <c r="A8407" s="5"/>
      <c r="B8407" s="18"/>
      <c r="C8407" s="85"/>
      <c r="D8407" s="41"/>
      <c r="E8407" s="26" t="str">
        <f ca="1">IFERROR(__xludf.DUMMYFUNCTION("""COMPUTED_VALUE"""),"")</f>
        <v/>
      </c>
      <c r="F8407" s="72"/>
      <c r="G8407" s="72"/>
    </row>
    <row r="8408" spans="1:7" ht="14.5" hidden="1">
      <c r="A8408" s="5"/>
      <c r="B8408" s="18"/>
      <c r="C8408" s="85"/>
      <c r="D8408" s="41"/>
      <c r="E8408" s="26" t="str">
        <f ca="1">IFERROR(__xludf.DUMMYFUNCTION("""COMPUTED_VALUE"""),"")</f>
        <v/>
      </c>
      <c r="F8408" s="72"/>
      <c r="G8408" s="72"/>
    </row>
    <row r="8409" spans="1:7" ht="14.5" hidden="1">
      <c r="A8409" s="5"/>
      <c r="B8409" s="18"/>
      <c r="C8409" s="85"/>
      <c r="D8409" s="41"/>
      <c r="E8409" s="26" t="str">
        <f ca="1">IFERROR(__xludf.DUMMYFUNCTION("""COMPUTED_VALUE"""),"")</f>
        <v/>
      </c>
      <c r="F8409" s="72"/>
      <c r="G8409" s="72"/>
    </row>
    <row r="8410" spans="1:7" ht="14.5" hidden="1">
      <c r="A8410" s="5"/>
      <c r="B8410" s="18"/>
      <c r="C8410" s="85"/>
      <c r="D8410" s="41"/>
      <c r="E8410" s="26" t="str">
        <f ca="1">IFERROR(__xludf.DUMMYFUNCTION("""COMPUTED_VALUE"""),"")</f>
        <v/>
      </c>
      <c r="F8410" s="72"/>
      <c r="G8410" s="72"/>
    </row>
    <row r="8411" spans="1:7" ht="14.5" hidden="1">
      <c r="A8411" s="5"/>
      <c r="B8411" s="18"/>
      <c r="C8411" s="85"/>
      <c r="D8411" s="41"/>
      <c r="E8411" s="26" t="str">
        <f ca="1">IFERROR(__xludf.DUMMYFUNCTION("""COMPUTED_VALUE"""),"")</f>
        <v/>
      </c>
      <c r="F8411" s="72"/>
      <c r="G8411" s="72"/>
    </row>
    <row r="8412" spans="1:7" ht="14.5" hidden="1">
      <c r="A8412" s="5"/>
      <c r="B8412" s="18"/>
      <c r="C8412" s="85"/>
      <c r="D8412" s="41"/>
      <c r="E8412" s="26" t="str">
        <f ca="1">IFERROR(__xludf.DUMMYFUNCTION("""COMPUTED_VALUE"""),"")</f>
        <v/>
      </c>
      <c r="F8412" s="72"/>
      <c r="G8412" s="72"/>
    </row>
    <row r="8413" spans="1:7" ht="14.5" hidden="1">
      <c r="A8413" s="5"/>
      <c r="B8413" s="18"/>
      <c r="C8413" s="85"/>
      <c r="D8413" s="41"/>
      <c r="E8413" s="26" t="str">
        <f ca="1">IFERROR(__xludf.DUMMYFUNCTION("""COMPUTED_VALUE"""),"")</f>
        <v/>
      </c>
      <c r="F8413" s="72"/>
      <c r="G8413" s="72"/>
    </row>
    <row r="8414" spans="1:7" ht="14.5" hidden="1">
      <c r="A8414" s="5"/>
      <c r="B8414" s="18"/>
      <c r="C8414" s="85"/>
      <c r="D8414" s="41"/>
      <c r="E8414" s="26" t="str">
        <f ca="1">IFERROR(__xludf.DUMMYFUNCTION("""COMPUTED_VALUE"""),"")</f>
        <v/>
      </c>
      <c r="F8414" s="72"/>
      <c r="G8414" s="72"/>
    </row>
    <row r="8415" spans="1:7" ht="14.5" hidden="1">
      <c r="A8415" s="5"/>
      <c r="B8415" s="18"/>
      <c r="C8415" s="85"/>
      <c r="D8415" s="41"/>
      <c r="E8415" s="26" t="str">
        <f ca="1">IFERROR(__xludf.DUMMYFUNCTION("""COMPUTED_VALUE"""),"")</f>
        <v/>
      </c>
      <c r="F8415" s="72"/>
      <c r="G8415" s="72"/>
    </row>
    <row r="8416" spans="1:7" ht="14.5" hidden="1">
      <c r="A8416" s="5"/>
      <c r="B8416" s="18"/>
      <c r="C8416" s="85"/>
      <c r="D8416" s="41"/>
      <c r="E8416" s="26" t="str">
        <f ca="1">IFERROR(__xludf.DUMMYFUNCTION("""COMPUTED_VALUE"""),"")</f>
        <v/>
      </c>
      <c r="F8416" s="72"/>
      <c r="G8416" s="72"/>
    </row>
    <row r="8417" spans="1:7" ht="14.5" hidden="1">
      <c r="A8417" s="5"/>
      <c r="B8417" s="18"/>
      <c r="C8417" s="85"/>
      <c r="D8417" s="41"/>
      <c r="E8417" s="26" t="str">
        <f ca="1">IFERROR(__xludf.DUMMYFUNCTION("""COMPUTED_VALUE"""),"")</f>
        <v/>
      </c>
      <c r="F8417" s="72"/>
      <c r="G8417" s="72"/>
    </row>
    <row r="8418" spans="1:7" ht="14.5" hidden="1">
      <c r="A8418" s="5"/>
      <c r="B8418" s="18"/>
      <c r="C8418" s="85"/>
      <c r="D8418" s="41"/>
      <c r="E8418" s="26" t="str">
        <f ca="1">IFERROR(__xludf.DUMMYFUNCTION("""COMPUTED_VALUE"""),"")</f>
        <v/>
      </c>
      <c r="F8418" s="72"/>
      <c r="G8418" s="72"/>
    </row>
    <row r="8419" spans="1:7" ht="14.5" hidden="1">
      <c r="A8419" s="5"/>
      <c r="B8419" s="18"/>
      <c r="C8419" s="85"/>
      <c r="D8419" s="41"/>
      <c r="E8419" s="26" t="str">
        <f ca="1">IFERROR(__xludf.DUMMYFUNCTION("""COMPUTED_VALUE"""),"")</f>
        <v/>
      </c>
      <c r="F8419" s="72"/>
      <c r="G8419" s="72"/>
    </row>
    <row r="8420" spans="1:7" ht="14.5" hidden="1">
      <c r="A8420" s="5"/>
      <c r="B8420" s="18"/>
      <c r="C8420" s="85"/>
      <c r="D8420" s="41"/>
      <c r="E8420" s="26" t="str">
        <f ca="1">IFERROR(__xludf.DUMMYFUNCTION("""COMPUTED_VALUE"""),"")</f>
        <v/>
      </c>
      <c r="F8420" s="72"/>
      <c r="G8420" s="72"/>
    </row>
    <row r="8421" spans="1:7" ht="14.5" hidden="1">
      <c r="A8421" s="5"/>
      <c r="B8421" s="18"/>
      <c r="C8421" s="85"/>
      <c r="D8421" s="41"/>
      <c r="E8421" s="26" t="str">
        <f ca="1">IFERROR(__xludf.DUMMYFUNCTION("""COMPUTED_VALUE"""),"")</f>
        <v/>
      </c>
      <c r="F8421" s="72"/>
      <c r="G8421" s="72"/>
    </row>
    <row r="8422" spans="1:7" ht="14.5" hidden="1">
      <c r="A8422" s="5"/>
      <c r="B8422" s="18"/>
      <c r="C8422" s="85"/>
      <c r="D8422" s="41"/>
      <c r="E8422" s="26" t="str">
        <f ca="1">IFERROR(__xludf.DUMMYFUNCTION("""COMPUTED_VALUE"""),"")</f>
        <v/>
      </c>
      <c r="F8422" s="72"/>
      <c r="G8422" s="72"/>
    </row>
    <row r="8423" spans="1:7" ht="14.5" hidden="1">
      <c r="A8423" s="5"/>
      <c r="B8423" s="18"/>
      <c r="C8423" s="85"/>
      <c r="D8423" s="41"/>
      <c r="E8423" s="26" t="str">
        <f ca="1">IFERROR(__xludf.DUMMYFUNCTION("""COMPUTED_VALUE"""),"")</f>
        <v/>
      </c>
      <c r="F8423" s="72"/>
      <c r="G8423" s="72"/>
    </row>
    <row r="8424" spans="1:7" ht="14.5" hidden="1">
      <c r="A8424" s="5"/>
      <c r="B8424" s="18"/>
      <c r="C8424" s="85"/>
      <c r="D8424" s="41"/>
      <c r="E8424" s="26" t="str">
        <f ca="1">IFERROR(__xludf.DUMMYFUNCTION("""COMPUTED_VALUE"""),"")</f>
        <v/>
      </c>
      <c r="F8424" s="72"/>
      <c r="G8424" s="72"/>
    </row>
    <row r="8425" spans="1:7" ht="14.5" hidden="1">
      <c r="A8425" s="5"/>
      <c r="B8425" s="18"/>
      <c r="C8425" s="85"/>
      <c r="D8425" s="41"/>
      <c r="E8425" s="26" t="str">
        <f ca="1">IFERROR(__xludf.DUMMYFUNCTION("""COMPUTED_VALUE"""),"")</f>
        <v/>
      </c>
      <c r="F8425" s="72"/>
      <c r="G8425" s="72"/>
    </row>
    <row r="8426" spans="1:7" ht="14.5" hidden="1">
      <c r="A8426" s="5"/>
      <c r="B8426" s="18"/>
      <c r="C8426" s="85"/>
      <c r="D8426" s="41"/>
      <c r="E8426" s="26" t="str">
        <f ca="1">IFERROR(__xludf.DUMMYFUNCTION("""COMPUTED_VALUE"""),"")</f>
        <v/>
      </c>
      <c r="F8426" s="72"/>
      <c r="G8426" s="72"/>
    </row>
    <row r="8427" spans="1:7" ht="14.5" hidden="1">
      <c r="A8427" s="5"/>
      <c r="B8427" s="18"/>
      <c r="C8427" s="85"/>
      <c r="D8427" s="41"/>
      <c r="E8427" s="26" t="str">
        <f ca="1">IFERROR(__xludf.DUMMYFUNCTION("""COMPUTED_VALUE"""),"")</f>
        <v/>
      </c>
      <c r="F8427" s="72"/>
      <c r="G8427" s="72"/>
    </row>
    <row r="8428" spans="1:7" ht="14.5" hidden="1">
      <c r="A8428" s="5"/>
      <c r="B8428" s="18"/>
      <c r="C8428" s="85"/>
      <c r="D8428" s="41"/>
      <c r="E8428" s="26" t="str">
        <f ca="1">IFERROR(__xludf.DUMMYFUNCTION("""COMPUTED_VALUE"""),"")</f>
        <v/>
      </c>
      <c r="F8428" s="72"/>
      <c r="G8428" s="72"/>
    </row>
    <row r="8429" spans="1:7" ht="14.5" hidden="1">
      <c r="A8429" s="5"/>
      <c r="B8429" s="18"/>
      <c r="C8429" s="85"/>
      <c r="D8429" s="41"/>
      <c r="E8429" s="26" t="str">
        <f ca="1">IFERROR(__xludf.DUMMYFUNCTION("""COMPUTED_VALUE"""),"")</f>
        <v/>
      </c>
      <c r="F8429" s="72"/>
      <c r="G8429" s="72"/>
    </row>
    <row r="8430" spans="1:7" ht="14.5" hidden="1">
      <c r="A8430" s="5"/>
      <c r="B8430" s="18"/>
      <c r="C8430" s="85"/>
      <c r="D8430" s="41"/>
      <c r="E8430" s="26" t="str">
        <f ca="1">IFERROR(__xludf.DUMMYFUNCTION("""COMPUTED_VALUE"""),"")</f>
        <v/>
      </c>
      <c r="F8430" s="72"/>
      <c r="G8430" s="72"/>
    </row>
    <row r="8431" spans="1:7" ht="14.5" hidden="1">
      <c r="A8431" s="5"/>
      <c r="B8431" s="18"/>
      <c r="C8431" s="85"/>
      <c r="D8431" s="41"/>
      <c r="E8431" s="26" t="str">
        <f ca="1">IFERROR(__xludf.DUMMYFUNCTION("""COMPUTED_VALUE"""),"")</f>
        <v/>
      </c>
      <c r="F8431" s="72"/>
      <c r="G8431" s="72"/>
    </row>
    <row r="8432" spans="1:7" ht="14.5" hidden="1">
      <c r="A8432" s="5"/>
      <c r="B8432" s="18"/>
      <c r="C8432" s="85"/>
      <c r="D8432" s="41"/>
      <c r="E8432" s="26" t="str">
        <f ca="1">IFERROR(__xludf.DUMMYFUNCTION("""COMPUTED_VALUE"""),"")</f>
        <v/>
      </c>
      <c r="F8432" s="72"/>
      <c r="G8432" s="72"/>
    </row>
    <row r="8433" spans="1:7" ht="14.5" hidden="1">
      <c r="A8433" s="5"/>
      <c r="B8433" s="18"/>
      <c r="C8433" s="85"/>
      <c r="D8433" s="41"/>
      <c r="E8433" s="26" t="str">
        <f ca="1">IFERROR(__xludf.DUMMYFUNCTION("""COMPUTED_VALUE"""),"")</f>
        <v/>
      </c>
      <c r="F8433" s="72"/>
      <c r="G8433" s="72"/>
    </row>
    <row r="8434" spans="1:7" ht="14.5" hidden="1">
      <c r="A8434" s="5"/>
      <c r="B8434" s="18"/>
      <c r="C8434" s="85"/>
      <c r="D8434" s="41"/>
      <c r="E8434" s="26" t="str">
        <f ca="1">IFERROR(__xludf.DUMMYFUNCTION("""COMPUTED_VALUE"""),"")</f>
        <v/>
      </c>
      <c r="F8434" s="72"/>
      <c r="G8434" s="72"/>
    </row>
    <row r="8435" spans="1:7" ht="14.5" hidden="1">
      <c r="A8435" s="5"/>
      <c r="B8435" s="18"/>
      <c r="C8435" s="85"/>
      <c r="D8435" s="41"/>
      <c r="E8435" s="26" t="str">
        <f ca="1">IFERROR(__xludf.DUMMYFUNCTION("""COMPUTED_VALUE"""),"")</f>
        <v/>
      </c>
      <c r="F8435" s="72"/>
      <c r="G8435" s="72"/>
    </row>
    <row r="8436" spans="1:7" ht="14.5" hidden="1">
      <c r="A8436" s="5"/>
      <c r="B8436" s="18"/>
      <c r="C8436" s="85"/>
      <c r="D8436" s="41"/>
      <c r="E8436" s="26" t="str">
        <f ca="1">IFERROR(__xludf.DUMMYFUNCTION("""COMPUTED_VALUE"""),"")</f>
        <v/>
      </c>
      <c r="F8436" s="72"/>
      <c r="G8436" s="72"/>
    </row>
    <row r="8437" spans="1:7" ht="14.5" hidden="1">
      <c r="A8437" s="5"/>
      <c r="B8437" s="18"/>
      <c r="C8437" s="85"/>
      <c r="D8437" s="41"/>
      <c r="E8437" s="26" t="str">
        <f ca="1">IFERROR(__xludf.DUMMYFUNCTION("""COMPUTED_VALUE"""),"")</f>
        <v/>
      </c>
      <c r="F8437" s="72"/>
      <c r="G8437" s="72"/>
    </row>
    <row r="8438" spans="1:7" ht="14.5" hidden="1">
      <c r="A8438" s="5"/>
      <c r="B8438" s="18"/>
      <c r="C8438" s="85"/>
      <c r="D8438" s="41"/>
      <c r="E8438" s="26" t="str">
        <f ca="1">IFERROR(__xludf.DUMMYFUNCTION("""COMPUTED_VALUE"""),"")</f>
        <v/>
      </c>
      <c r="F8438" s="72"/>
      <c r="G8438" s="72"/>
    </row>
    <row r="8439" spans="1:7" ht="14.5" hidden="1">
      <c r="A8439" s="5"/>
      <c r="B8439" s="18"/>
      <c r="C8439" s="85"/>
      <c r="D8439" s="41"/>
      <c r="E8439" s="26" t="str">
        <f ca="1">IFERROR(__xludf.DUMMYFUNCTION("""COMPUTED_VALUE"""),"")</f>
        <v/>
      </c>
      <c r="F8439" s="72"/>
      <c r="G8439" s="72"/>
    </row>
    <row r="8440" spans="1:7" ht="14.5" hidden="1">
      <c r="A8440" s="5"/>
      <c r="B8440" s="18"/>
      <c r="C8440" s="85"/>
      <c r="D8440" s="41"/>
      <c r="E8440" s="26" t="str">
        <f ca="1">IFERROR(__xludf.DUMMYFUNCTION("""COMPUTED_VALUE"""),"")</f>
        <v/>
      </c>
      <c r="F8440" s="72"/>
      <c r="G8440" s="72"/>
    </row>
    <row r="8441" spans="1:7" ht="14.5" hidden="1">
      <c r="A8441" s="5"/>
      <c r="B8441" s="18"/>
      <c r="C8441" s="85"/>
      <c r="D8441" s="41"/>
      <c r="E8441" s="26" t="str">
        <f ca="1">IFERROR(__xludf.DUMMYFUNCTION("""COMPUTED_VALUE"""),"")</f>
        <v/>
      </c>
      <c r="F8441" s="72"/>
      <c r="G8441" s="72"/>
    </row>
    <row r="8442" spans="1:7" ht="14.5" hidden="1">
      <c r="A8442" s="5"/>
      <c r="B8442" s="18"/>
      <c r="C8442" s="85"/>
      <c r="D8442" s="41"/>
      <c r="E8442" s="26" t="str">
        <f ca="1">IFERROR(__xludf.DUMMYFUNCTION("""COMPUTED_VALUE"""),"")</f>
        <v/>
      </c>
      <c r="F8442" s="72"/>
      <c r="G8442" s="72"/>
    </row>
    <row r="8443" spans="1:7" ht="14.5" hidden="1">
      <c r="A8443" s="5"/>
      <c r="B8443" s="18"/>
      <c r="C8443" s="85"/>
      <c r="D8443" s="41"/>
      <c r="E8443" s="26" t="str">
        <f ca="1">IFERROR(__xludf.DUMMYFUNCTION("""COMPUTED_VALUE"""),"")</f>
        <v/>
      </c>
      <c r="F8443" s="72"/>
      <c r="G8443" s="72"/>
    </row>
    <row r="8444" spans="1:7" ht="14.5" hidden="1">
      <c r="A8444" s="5"/>
      <c r="B8444" s="18"/>
      <c r="C8444" s="85"/>
      <c r="D8444" s="41"/>
      <c r="E8444" s="26" t="str">
        <f ca="1">IFERROR(__xludf.DUMMYFUNCTION("""COMPUTED_VALUE"""),"")</f>
        <v/>
      </c>
      <c r="F8444" s="72"/>
      <c r="G8444" s="72"/>
    </row>
    <row r="8445" spans="1:7" ht="14.5" hidden="1">
      <c r="A8445" s="5"/>
      <c r="B8445" s="18"/>
      <c r="C8445" s="85"/>
      <c r="D8445" s="41"/>
      <c r="E8445" s="26" t="str">
        <f ca="1">IFERROR(__xludf.DUMMYFUNCTION("""COMPUTED_VALUE"""),"")</f>
        <v/>
      </c>
      <c r="F8445" s="72"/>
      <c r="G8445" s="72"/>
    </row>
    <row r="8446" spans="1:7" ht="14.5" hidden="1">
      <c r="A8446" s="5"/>
      <c r="B8446" s="18"/>
      <c r="C8446" s="85"/>
      <c r="D8446" s="41"/>
      <c r="E8446" s="26" t="str">
        <f ca="1">IFERROR(__xludf.DUMMYFUNCTION("""COMPUTED_VALUE"""),"")</f>
        <v/>
      </c>
      <c r="F8446" s="72"/>
      <c r="G8446" s="72"/>
    </row>
    <row r="8447" spans="1:7" ht="14.5" hidden="1">
      <c r="A8447" s="5"/>
      <c r="B8447" s="18"/>
      <c r="C8447" s="85"/>
      <c r="D8447" s="41"/>
      <c r="E8447" s="26" t="str">
        <f ca="1">IFERROR(__xludf.DUMMYFUNCTION("""COMPUTED_VALUE"""),"")</f>
        <v/>
      </c>
      <c r="F8447" s="72"/>
      <c r="G8447" s="72"/>
    </row>
    <row r="8448" spans="1:7" ht="14.5" hidden="1">
      <c r="A8448" s="5"/>
      <c r="B8448" s="18"/>
      <c r="C8448" s="85"/>
      <c r="D8448" s="41"/>
      <c r="E8448" s="26" t="str">
        <f ca="1">IFERROR(__xludf.DUMMYFUNCTION("""COMPUTED_VALUE"""),"")</f>
        <v/>
      </c>
      <c r="F8448" s="72"/>
      <c r="G8448" s="72"/>
    </row>
    <row r="8449" spans="1:7" ht="14.5" hidden="1">
      <c r="A8449" s="5"/>
      <c r="B8449" s="18"/>
      <c r="C8449" s="85"/>
      <c r="D8449" s="41"/>
      <c r="E8449" s="26" t="str">
        <f ca="1">IFERROR(__xludf.DUMMYFUNCTION("""COMPUTED_VALUE"""),"")</f>
        <v/>
      </c>
      <c r="F8449" s="72"/>
      <c r="G8449" s="72"/>
    </row>
    <row r="8450" spans="1:7" ht="14.5" hidden="1">
      <c r="A8450" s="5"/>
      <c r="B8450" s="18"/>
      <c r="C8450" s="85"/>
      <c r="D8450" s="41"/>
      <c r="E8450" s="26" t="str">
        <f ca="1">IFERROR(__xludf.DUMMYFUNCTION("""COMPUTED_VALUE"""),"")</f>
        <v/>
      </c>
      <c r="F8450" s="72"/>
      <c r="G8450" s="72"/>
    </row>
    <row r="8451" spans="1:7" ht="14.5" hidden="1">
      <c r="A8451" s="5"/>
      <c r="B8451" s="18"/>
      <c r="C8451" s="85"/>
      <c r="D8451" s="41"/>
      <c r="E8451" s="26" t="str">
        <f ca="1">IFERROR(__xludf.DUMMYFUNCTION("""COMPUTED_VALUE"""),"")</f>
        <v/>
      </c>
      <c r="F8451" s="72"/>
      <c r="G8451" s="72"/>
    </row>
    <row r="8452" spans="1:7" ht="14.5" hidden="1">
      <c r="A8452" s="5"/>
      <c r="B8452" s="18"/>
      <c r="C8452" s="85"/>
      <c r="D8452" s="41"/>
      <c r="E8452" s="26" t="str">
        <f ca="1">IFERROR(__xludf.DUMMYFUNCTION("""COMPUTED_VALUE"""),"")</f>
        <v/>
      </c>
      <c r="F8452" s="72"/>
      <c r="G8452" s="72"/>
    </row>
    <row r="8453" spans="1:7" ht="14.5" hidden="1">
      <c r="A8453" s="5"/>
      <c r="B8453" s="18"/>
      <c r="C8453" s="85"/>
      <c r="D8453" s="41"/>
      <c r="E8453" s="26" t="str">
        <f ca="1">IFERROR(__xludf.DUMMYFUNCTION("""COMPUTED_VALUE"""),"")</f>
        <v/>
      </c>
      <c r="F8453" s="72"/>
      <c r="G8453" s="72"/>
    </row>
    <row r="8454" spans="1:7" ht="14.5" hidden="1">
      <c r="A8454" s="5"/>
      <c r="B8454" s="18"/>
      <c r="C8454" s="85"/>
      <c r="D8454" s="41"/>
      <c r="E8454" s="26" t="str">
        <f ca="1">IFERROR(__xludf.DUMMYFUNCTION("""COMPUTED_VALUE"""),"")</f>
        <v/>
      </c>
      <c r="F8454" s="72"/>
      <c r="G8454" s="72"/>
    </row>
    <row r="8455" spans="1:7" ht="14.5" hidden="1">
      <c r="A8455" s="5"/>
      <c r="B8455" s="18"/>
      <c r="C8455" s="85"/>
      <c r="D8455" s="41"/>
      <c r="E8455" s="26" t="str">
        <f ca="1">IFERROR(__xludf.DUMMYFUNCTION("""COMPUTED_VALUE"""),"")</f>
        <v/>
      </c>
      <c r="F8455" s="72"/>
      <c r="G8455" s="72"/>
    </row>
    <row r="8456" spans="1:7" ht="14.5" hidden="1">
      <c r="A8456" s="5"/>
      <c r="B8456" s="18"/>
      <c r="C8456" s="85"/>
      <c r="D8456" s="41"/>
      <c r="E8456" s="26" t="str">
        <f ca="1">IFERROR(__xludf.DUMMYFUNCTION("""COMPUTED_VALUE"""),"")</f>
        <v/>
      </c>
      <c r="F8456" s="72"/>
      <c r="G8456" s="72"/>
    </row>
    <row r="8457" spans="1:7" ht="14.5" hidden="1">
      <c r="A8457" s="5"/>
      <c r="B8457" s="18"/>
      <c r="C8457" s="85"/>
      <c r="D8457" s="41"/>
      <c r="E8457" s="26" t="str">
        <f ca="1">IFERROR(__xludf.DUMMYFUNCTION("""COMPUTED_VALUE"""),"")</f>
        <v/>
      </c>
      <c r="F8457" s="72"/>
      <c r="G8457" s="72"/>
    </row>
    <row r="8458" spans="1:7" ht="14.5" hidden="1">
      <c r="A8458" s="5"/>
      <c r="B8458" s="18"/>
      <c r="C8458" s="85"/>
      <c r="D8458" s="41"/>
      <c r="E8458" s="26" t="str">
        <f ca="1">IFERROR(__xludf.DUMMYFUNCTION("""COMPUTED_VALUE"""),"")</f>
        <v/>
      </c>
      <c r="F8458" s="72"/>
      <c r="G8458" s="72"/>
    </row>
    <row r="8459" spans="1:7" ht="14.5" hidden="1">
      <c r="A8459" s="5"/>
      <c r="B8459" s="18"/>
      <c r="C8459" s="85"/>
      <c r="D8459" s="41"/>
      <c r="E8459" s="26" t="str">
        <f ca="1">IFERROR(__xludf.DUMMYFUNCTION("""COMPUTED_VALUE"""),"")</f>
        <v/>
      </c>
      <c r="F8459" s="72"/>
      <c r="G8459" s="72"/>
    </row>
    <row r="8460" spans="1:7" ht="14.5" hidden="1">
      <c r="A8460" s="5"/>
      <c r="B8460" s="18"/>
      <c r="C8460" s="85"/>
      <c r="D8460" s="41"/>
      <c r="E8460" s="26" t="str">
        <f ca="1">IFERROR(__xludf.DUMMYFUNCTION("""COMPUTED_VALUE"""),"")</f>
        <v/>
      </c>
      <c r="F8460" s="72"/>
      <c r="G8460" s="72"/>
    </row>
    <row r="8461" spans="1:7" ht="14.5" hidden="1">
      <c r="A8461" s="5"/>
      <c r="B8461" s="18"/>
      <c r="C8461" s="85"/>
      <c r="D8461" s="41"/>
      <c r="E8461" s="26" t="str">
        <f ca="1">IFERROR(__xludf.DUMMYFUNCTION("""COMPUTED_VALUE"""),"")</f>
        <v/>
      </c>
      <c r="F8461" s="72"/>
      <c r="G8461" s="72"/>
    </row>
    <row r="8462" spans="1:7" ht="14.5" hidden="1">
      <c r="A8462" s="5"/>
      <c r="B8462" s="18"/>
      <c r="C8462" s="85"/>
      <c r="D8462" s="41"/>
      <c r="E8462" s="26" t="str">
        <f ca="1">IFERROR(__xludf.DUMMYFUNCTION("""COMPUTED_VALUE"""),"")</f>
        <v/>
      </c>
      <c r="F8462" s="72"/>
      <c r="G8462" s="72"/>
    </row>
    <row r="8463" spans="1:7" ht="14.5" hidden="1">
      <c r="A8463" s="5"/>
      <c r="B8463" s="18"/>
      <c r="C8463" s="85"/>
      <c r="D8463" s="41"/>
      <c r="E8463" s="26" t="str">
        <f ca="1">IFERROR(__xludf.DUMMYFUNCTION("""COMPUTED_VALUE"""),"")</f>
        <v/>
      </c>
      <c r="F8463" s="72"/>
      <c r="G8463" s="72"/>
    </row>
    <row r="8464" spans="1:7" ht="14.5" hidden="1">
      <c r="A8464" s="5"/>
      <c r="B8464" s="18"/>
      <c r="C8464" s="85"/>
      <c r="D8464" s="41"/>
      <c r="E8464" s="26" t="str">
        <f ca="1">IFERROR(__xludf.DUMMYFUNCTION("""COMPUTED_VALUE"""),"")</f>
        <v/>
      </c>
      <c r="F8464" s="72"/>
      <c r="G8464" s="72"/>
    </row>
    <row r="8465" spans="1:7" ht="14.5" hidden="1">
      <c r="A8465" s="5"/>
      <c r="B8465" s="18"/>
      <c r="C8465" s="85"/>
      <c r="D8465" s="41"/>
      <c r="E8465" s="26" t="str">
        <f ca="1">IFERROR(__xludf.DUMMYFUNCTION("""COMPUTED_VALUE"""),"")</f>
        <v/>
      </c>
      <c r="F8465" s="72"/>
      <c r="G8465" s="72"/>
    </row>
    <row r="8466" spans="1:7" ht="14.5" hidden="1">
      <c r="A8466" s="5"/>
      <c r="B8466" s="18"/>
      <c r="C8466" s="85"/>
      <c r="D8466" s="41"/>
      <c r="E8466" s="26" t="str">
        <f ca="1">IFERROR(__xludf.DUMMYFUNCTION("""COMPUTED_VALUE"""),"")</f>
        <v/>
      </c>
      <c r="F8466" s="72"/>
      <c r="G8466" s="72"/>
    </row>
    <row r="8467" spans="1:7" ht="14.5" hidden="1">
      <c r="A8467" s="5"/>
      <c r="B8467" s="18"/>
      <c r="C8467" s="85"/>
      <c r="D8467" s="41"/>
      <c r="E8467" s="26" t="str">
        <f ca="1">IFERROR(__xludf.DUMMYFUNCTION("""COMPUTED_VALUE"""),"")</f>
        <v/>
      </c>
      <c r="F8467" s="72"/>
      <c r="G8467" s="72"/>
    </row>
    <row r="8468" spans="1:7" ht="14.5" hidden="1">
      <c r="A8468" s="5"/>
      <c r="B8468" s="18"/>
      <c r="C8468" s="85"/>
      <c r="D8468" s="41"/>
      <c r="E8468" s="26" t="str">
        <f ca="1">IFERROR(__xludf.DUMMYFUNCTION("""COMPUTED_VALUE"""),"")</f>
        <v/>
      </c>
      <c r="F8468" s="72"/>
      <c r="G8468" s="72"/>
    </row>
    <row r="8469" spans="1:7" ht="14.5" hidden="1">
      <c r="A8469" s="5"/>
      <c r="B8469" s="18"/>
      <c r="C8469" s="85"/>
      <c r="D8469" s="41"/>
      <c r="E8469" s="26" t="str">
        <f ca="1">IFERROR(__xludf.DUMMYFUNCTION("""COMPUTED_VALUE"""),"")</f>
        <v/>
      </c>
      <c r="F8469" s="72"/>
      <c r="G8469" s="72"/>
    </row>
    <row r="8470" spans="1:7" ht="14.5" hidden="1">
      <c r="A8470" s="5"/>
      <c r="B8470" s="18"/>
      <c r="C8470" s="85"/>
      <c r="D8470" s="41"/>
      <c r="E8470" s="26" t="str">
        <f ca="1">IFERROR(__xludf.DUMMYFUNCTION("""COMPUTED_VALUE"""),"")</f>
        <v/>
      </c>
      <c r="F8470" s="72"/>
      <c r="G8470" s="72"/>
    </row>
    <row r="8471" spans="1:7" ht="14.5" hidden="1">
      <c r="A8471" s="5"/>
      <c r="B8471" s="18"/>
      <c r="C8471" s="85"/>
      <c r="D8471" s="41"/>
      <c r="E8471" s="26" t="str">
        <f ca="1">IFERROR(__xludf.DUMMYFUNCTION("""COMPUTED_VALUE"""),"")</f>
        <v/>
      </c>
      <c r="F8471" s="72"/>
      <c r="G8471" s="72"/>
    </row>
    <row r="8472" spans="1:7" ht="14.5" hidden="1">
      <c r="A8472" s="5"/>
      <c r="B8472" s="18"/>
      <c r="C8472" s="85"/>
      <c r="D8472" s="41"/>
      <c r="E8472" s="26" t="str">
        <f ca="1">IFERROR(__xludf.DUMMYFUNCTION("""COMPUTED_VALUE"""),"")</f>
        <v/>
      </c>
      <c r="F8472" s="72"/>
      <c r="G8472" s="72"/>
    </row>
    <row r="8473" spans="1:7" ht="14.5" hidden="1">
      <c r="A8473" s="5"/>
      <c r="B8473" s="18"/>
      <c r="C8473" s="85"/>
      <c r="D8473" s="41"/>
      <c r="E8473" s="26" t="str">
        <f ca="1">IFERROR(__xludf.DUMMYFUNCTION("""COMPUTED_VALUE"""),"")</f>
        <v/>
      </c>
      <c r="F8473" s="72"/>
      <c r="G8473" s="72"/>
    </row>
    <row r="8474" spans="1:7" ht="14.5" hidden="1">
      <c r="A8474" s="5"/>
      <c r="B8474" s="18"/>
      <c r="C8474" s="85"/>
      <c r="D8474" s="41"/>
      <c r="E8474" s="26" t="str">
        <f ca="1">IFERROR(__xludf.DUMMYFUNCTION("""COMPUTED_VALUE"""),"")</f>
        <v/>
      </c>
      <c r="F8474" s="72"/>
      <c r="G8474" s="72"/>
    </row>
    <row r="8475" spans="1:7" ht="14.5" hidden="1">
      <c r="A8475" s="5"/>
      <c r="B8475" s="18"/>
      <c r="C8475" s="85"/>
      <c r="D8475" s="41"/>
      <c r="E8475" s="26" t="str">
        <f ca="1">IFERROR(__xludf.DUMMYFUNCTION("""COMPUTED_VALUE"""),"")</f>
        <v/>
      </c>
      <c r="F8475" s="72"/>
      <c r="G8475" s="72"/>
    </row>
    <row r="8476" spans="1:7" ht="14.5" hidden="1">
      <c r="A8476" s="5"/>
      <c r="B8476" s="18"/>
      <c r="C8476" s="85"/>
      <c r="D8476" s="41"/>
      <c r="E8476" s="26" t="str">
        <f ca="1">IFERROR(__xludf.DUMMYFUNCTION("""COMPUTED_VALUE"""),"")</f>
        <v/>
      </c>
      <c r="F8476" s="72"/>
      <c r="G8476" s="72"/>
    </row>
    <row r="8477" spans="1:7" ht="14.5" hidden="1">
      <c r="A8477" s="5"/>
      <c r="B8477" s="18"/>
      <c r="C8477" s="85"/>
      <c r="D8477" s="41"/>
      <c r="E8477" s="26" t="str">
        <f ca="1">IFERROR(__xludf.DUMMYFUNCTION("""COMPUTED_VALUE"""),"")</f>
        <v/>
      </c>
      <c r="F8477" s="72"/>
      <c r="G8477" s="72"/>
    </row>
    <row r="8478" spans="1:7" ht="14.5" hidden="1">
      <c r="A8478" s="5"/>
      <c r="B8478" s="18"/>
      <c r="C8478" s="85"/>
      <c r="D8478" s="41"/>
      <c r="E8478" s="26" t="str">
        <f ca="1">IFERROR(__xludf.DUMMYFUNCTION("""COMPUTED_VALUE"""),"")</f>
        <v/>
      </c>
      <c r="F8478" s="72"/>
      <c r="G8478" s="72"/>
    </row>
    <row r="8479" spans="1:7" ht="14.5" hidden="1">
      <c r="A8479" s="5"/>
      <c r="B8479" s="18"/>
      <c r="C8479" s="85"/>
      <c r="D8479" s="41"/>
      <c r="E8479" s="26" t="str">
        <f ca="1">IFERROR(__xludf.DUMMYFUNCTION("""COMPUTED_VALUE"""),"")</f>
        <v/>
      </c>
      <c r="F8479" s="72"/>
      <c r="G8479" s="72"/>
    </row>
    <row r="8480" spans="1:7" ht="14.5" hidden="1">
      <c r="A8480" s="5"/>
      <c r="B8480" s="18"/>
      <c r="C8480" s="85"/>
      <c r="D8480" s="41"/>
      <c r="E8480" s="26" t="str">
        <f ca="1">IFERROR(__xludf.DUMMYFUNCTION("""COMPUTED_VALUE"""),"")</f>
        <v/>
      </c>
      <c r="F8480" s="72"/>
      <c r="G8480" s="72"/>
    </row>
    <row r="8481" spans="1:7" ht="14.5" hidden="1">
      <c r="A8481" s="5"/>
      <c r="B8481" s="18"/>
      <c r="C8481" s="85"/>
      <c r="D8481" s="41"/>
      <c r="E8481" s="26" t="str">
        <f ca="1">IFERROR(__xludf.DUMMYFUNCTION("""COMPUTED_VALUE"""),"")</f>
        <v/>
      </c>
      <c r="F8481" s="72"/>
      <c r="G8481" s="72"/>
    </row>
    <row r="8482" spans="1:7" ht="14.5" hidden="1">
      <c r="A8482" s="5"/>
      <c r="B8482" s="18"/>
      <c r="C8482" s="85"/>
      <c r="D8482" s="41"/>
      <c r="E8482" s="26" t="str">
        <f ca="1">IFERROR(__xludf.DUMMYFUNCTION("""COMPUTED_VALUE"""),"")</f>
        <v/>
      </c>
      <c r="F8482" s="72"/>
      <c r="G8482" s="72"/>
    </row>
    <row r="8483" spans="1:7" ht="14.5" hidden="1">
      <c r="A8483" s="5"/>
      <c r="B8483" s="18"/>
      <c r="C8483" s="85"/>
      <c r="D8483" s="41"/>
      <c r="E8483" s="26" t="str">
        <f ca="1">IFERROR(__xludf.DUMMYFUNCTION("""COMPUTED_VALUE"""),"")</f>
        <v/>
      </c>
      <c r="F8483" s="72"/>
      <c r="G8483" s="72"/>
    </row>
    <row r="8484" spans="1:7" ht="14.5" hidden="1">
      <c r="A8484" s="5"/>
      <c r="B8484" s="18"/>
      <c r="C8484" s="85"/>
      <c r="D8484" s="41"/>
      <c r="E8484" s="26" t="str">
        <f ca="1">IFERROR(__xludf.DUMMYFUNCTION("""COMPUTED_VALUE"""),"")</f>
        <v/>
      </c>
      <c r="F8484" s="72"/>
      <c r="G8484" s="72"/>
    </row>
    <row r="8485" spans="1:7" ht="14.5" hidden="1">
      <c r="A8485" s="5"/>
      <c r="B8485" s="18"/>
      <c r="C8485" s="85"/>
      <c r="D8485" s="41"/>
      <c r="E8485" s="26" t="str">
        <f ca="1">IFERROR(__xludf.DUMMYFUNCTION("""COMPUTED_VALUE"""),"")</f>
        <v/>
      </c>
      <c r="F8485" s="72"/>
      <c r="G8485" s="72"/>
    </row>
    <row r="8486" spans="1:7" ht="14.5" hidden="1">
      <c r="A8486" s="5"/>
      <c r="B8486" s="18"/>
      <c r="C8486" s="85"/>
      <c r="D8486" s="41"/>
      <c r="E8486" s="26" t="str">
        <f ca="1">IFERROR(__xludf.DUMMYFUNCTION("""COMPUTED_VALUE"""),"")</f>
        <v/>
      </c>
      <c r="F8486" s="72"/>
      <c r="G8486" s="72"/>
    </row>
    <row r="8487" spans="1:7" ht="14.5" hidden="1">
      <c r="A8487" s="5"/>
      <c r="B8487" s="18"/>
      <c r="C8487" s="85"/>
      <c r="D8487" s="41"/>
      <c r="E8487" s="26" t="str">
        <f ca="1">IFERROR(__xludf.DUMMYFUNCTION("""COMPUTED_VALUE"""),"")</f>
        <v/>
      </c>
      <c r="F8487" s="72"/>
      <c r="G8487" s="72"/>
    </row>
    <row r="8488" spans="1:7" ht="14.5" hidden="1">
      <c r="A8488" s="5"/>
      <c r="B8488" s="18"/>
      <c r="C8488" s="85"/>
      <c r="D8488" s="41"/>
      <c r="E8488" s="26" t="str">
        <f ca="1">IFERROR(__xludf.DUMMYFUNCTION("""COMPUTED_VALUE"""),"")</f>
        <v/>
      </c>
      <c r="F8488" s="72"/>
      <c r="G8488" s="72"/>
    </row>
    <row r="8489" spans="1:7" ht="14.5" hidden="1">
      <c r="A8489" s="5"/>
      <c r="B8489" s="18"/>
      <c r="C8489" s="85"/>
      <c r="D8489" s="41"/>
      <c r="E8489" s="26" t="str">
        <f ca="1">IFERROR(__xludf.DUMMYFUNCTION("""COMPUTED_VALUE"""),"")</f>
        <v/>
      </c>
      <c r="F8489" s="72"/>
      <c r="G8489" s="72"/>
    </row>
    <row r="8490" spans="1:7" ht="14.5" hidden="1">
      <c r="A8490" s="5"/>
      <c r="B8490" s="18"/>
      <c r="C8490" s="85"/>
      <c r="D8490" s="41"/>
      <c r="E8490" s="26" t="str">
        <f ca="1">IFERROR(__xludf.DUMMYFUNCTION("""COMPUTED_VALUE"""),"")</f>
        <v/>
      </c>
      <c r="F8490" s="72"/>
      <c r="G8490" s="72"/>
    </row>
    <row r="8491" spans="1:7" ht="14.5" hidden="1">
      <c r="A8491" s="5"/>
      <c r="B8491" s="18"/>
      <c r="C8491" s="85"/>
      <c r="D8491" s="41"/>
      <c r="E8491" s="26" t="str">
        <f ca="1">IFERROR(__xludf.DUMMYFUNCTION("""COMPUTED_VALUE"""),"")</f>
        <v/>
      </c>
      <c r="F8491" s="72"/>
      <c r="G8491" s="72"/>
    </row>
    <row r="8492" spans="1:7" ht="14.5" hidden="1">
      <c r="A8492" s="5"/>
      <c r="B8492" s="18"/>
      <c r="C8492" s="85"/>
      <c r="D8492" s="41"/>
      <c r="E8492" s="26" t="str">
        <f ca="1">IFERROR(__xludf.DUMMYFUNCTION("""COMPUTED_VALUE"""),"")</f>
        <v/>
      </c>
      <c r="F8492" s="72"/>
      <c r="G8492" s="72"/>
    </row>
    <row r="8493" spans="1:7" ht="14.5" hidden="1">
      <c r="A8493" s="5"/>
      <c r="B8493" s="18"/>
      <c r="C8493" s="85"/>
      <c r="D8493" s="41"/>
      <c r="E8493" s="26" t="str">
        <f ca="1">IFERROR(__xludf.DUMMYFUNCTION("""COMPUTED_VALUE"""),"")</f>
        <v/>
      </c>
      <c r="F8493" s="72"/>
      <c r="G8493" s="72"/>
    </row>
    <row r="8494" spans="1:7" ht="14.5" hidden="1">
      <c r="A8494" s="5"/>
      <c r="B8494" s="18"/>
      <c r="C8494" s="85"/>
      <c r="D8494" s="41"/>
      <c r="E8494" s="26" t="str">
        <f ca="1">IFERROR(__xludf.DUMMYFUNCTION("""COMPUTED_VALUE"""),"")</f>
        <v/>
      </c>
      <c r="F8494" s="72"/>
      <c r="G8494" s="72"/>
    </row>
    <row r="8495" spans="1:7" ht="14.5" hidden="1">
      <c r="A8495" s="5"/>
      <c r="B8495" s="18"/>
      <c r="C8495" s="85"/>
      <c r="D8495" s="41"/>
      <c r="E8495" s="26" t="str">
        <f ca="1">IFERROR(__xludf.DUMMYFUNCTION("""COMPUTED_VALUE"""),"")</f>
        <v/>
      </c>
      <c r="F8495" s="72"/>
      <c r="G8495" s="72"/>
    </row>
    <row r="8496" spans="1:7" ht="14.5" hidden="1">
      <c r="A8496" s="5"/>
      <c r="B8496" s="18"/>
      <c r="C8496" s="85"/>
      <c r="D8496" s="41"/>
      <c r="E8496" s="26" t="str">
        <f ca="1">IFERROR(__xludf.DUMMYFUNCTION("""COMPUTED_VALUE"""),"")</f>
        <v/>
      </c>
      <c r="F8496" s="72"/>
      <c r="G8496" s="72"/>
    </row>
    <row r="8497" spans="1:7" ht="14.5" hidden="1">
      <c r="A8497" s="5"/>
      <c r="B8497" s="18"/>
      <c r="C8497" s="85"/>
      <c r="D8497" s="41"/>
      <c r="E8497" s="26" t="str">
        <f ca="1">IFERROR(__xludf.DUMMYFUNCTION("""COMPUTED_VALUE"""),"")</f>
        <v/>
      </c>
      <c r="F8497" s="72"/>
      <c r="G8497" s="72"/>
    </row>
    <row r="8498" spans="1:7" ht="14.5" hidden="1">
      <c r="A8498" s="5"/>
      <c r="B8498" s="18"/>
      <c r="C8498" s="85"/>
      <c r="D8498" s="41"/>
      <c r="E8498" s="26" t="str">
        <f ca="1">IFERROR(__xludf.DUMMYFUNCTION("""COMPUTED_VALUE"""),"")</f>
        <v/>
      </c>
      <c r="F8498" s="72"/>
      <c r="G8498" s="72"/>
    </row>
    <row r="8499" spans="1:7" ht="14.5" hidden="1">
      <c r="A8499" s="5"/>
      <c r="B8499" s="18"/>
      <c r="C8499" s="85"/>
      <c r="D8499" s="41"/>
      <c r="E8499" s="26" t="str">
        <f ca="1">IFERROR(__xludf.DUMMYFUNCTION("""COMPUTED_VALUE"""),"")</f>
        <v/>
      </c>
      <c r="F8499" s="72"/>
      <c r="G8499" s="72"/>
    </row>
    <row r="8500" spans="1:7" ht="14.5" hidden="1">
      <c r="A8500" s="5"/>
      <c r="B8500" s="18"/>
      <c r="C8500" s="85"/>
      <c r="D8500" s="41"/>
      <c r="E8500" s="26" t="str">
        <f ca="1">IFERROR(__xludf.DUMMYFUNCTION("""COMPUTED_VALUE"""),"")</f>
        <v/>
      </c>
      <c r="F8500" s="72"/>
      <c r="G8500" s="72"/>
    </row>
    <row r="8501" spans="1:7" ht="14.5" hidden="1">
      <c r="A8501" s="5"/>
      <c r="B8501" s="18"/>
      <c r="C8501" s="85"/>
      <c r="D8501" s="41"/>
      <c r="E8501" s="26" t="str">
        <f ca="1">IFERROR(__xludf.DUMMYFUNCTION("""COMPUTED_VALUE"""),"")</f>
        <v/>
      </c>
      <c r="F8501" s="72"/>
      <c r="G8501" s="72"/>
    </row>
    <row r="8502" spans="1:7" ht="14.5" hidden="1">
      <c r="A8502" s="5"/>
      <c r="B8502" s="18"/>
      <c r="C8502" s="85"/>
      <c r="D8502" s="41"/>
      <c r="E8502" s="26" t="str">
        <f ca="1">IFERROR(__xludf.DUMMYFUNCTION("""COMPUTED_VALUE"""),"")</f>
        <v/>
      </c>
      <c r="F8502" s="72"/>
      <c r="G8502" s="72"/>
    </row>
    <row r="8503" spans="1:7" ht="14.5" hidden="1">
      <c r="A8503" s="5"/>
      <c r="B8503" s="18"/>
      <c r="C8503" s="85"/>
      <c r="D8503" s="41"/>
      <c r="E8503" s="26" t="str">
        <f ca="1">IFERROR(__xludf.DUMMYFUNCTION("""COMPUTED_VALUE"""),"")</f>
        <v/>
      </c>
      <c r="F8503" s="72"/>
      <c r="G8503" s="72"/>
    </row>
    <row r="8504" spans="1:7" ht="14.5" hidden="1">
      <c r="A8504" s="5"/>
      <c r="B8504" s="18"/>
      <c r="C8504" s="85"/>
      <c r="D8504" s="41"/>
      <c r="E8504" s="26" t="str">
        <f ca="1">IFERROR(__xludf.DUMMYFUNCTION("""COMPUTED_VALUE"""),"")</f>
        <v/>
      </c>
      <c r="F8504" s="72"/>
      <c r="G8504" s="72"/>
    </row>
    <row r="8505" spans="1:7" ht="14.5" hidden="1">
      <c r="A8505" s="5"/>
      <c r="B8505" s="18"/>
      <c r="C8505" s="85"/>
      <c r="D8505" s="41"/>
      <c r="E8505" s="26" t="str">
        <f ca="1">IFERROR(__xludf.DUMMYFUNCTION("""COMPUTED_VALUE"""),"")</f>
        <v/>
      </c>
      <c r="F8505" s="72"/>
      <c r="G8505" s="72"/>
    </row>
    <row r="8506" spans="1:7" ht="14.5" hidden="1">
      <c r="A8506" s="5"/>
      <c r="B8506" s="18"/>
      <c r="C8506" s="85"/>
      <c r="D8506" s="41"/>
      <c r="E8506" s="26" t="str">
        <f ca="1">IFERROR(__xludf.DUMMYFUNCTION("""COMPUTED_VALUE"""),"")</f>
        <v/>
      </c>
      <c r="F8506" s="72"/>
      <c r="G8506" s="72"/>
    </row>
    <row r="8507" spans="1:7" ht="14.5" hidden="1">
      <c r="A8507" s="5"/>
      <c r="B8507" s="18"/>
      <c r="C8507" s="85"/>
      <c r="D8507" s="41"/>
      <c r="E8507" s="26" t="str">
        <f ca="1">IFERROR(__xludf.DUMMYFUNCTION("""COMPUTED_VALUE"""),"")</f>
        <v/>
      </c>
      <c r="F8507" s="72"/>
      <c r="G8507" s="72"/>
    </row>
    <row r="8508" spans="1:7" ht="14.5" hidden="1">
      <c r="A8508" s="5"/>
      <c r="B8508" s="18"/>
      <c r="C8508" s="85"/>
      <c r="D8508" s="41"/>
      <c r="E8508" s="26" t="str">
        <f ca="1">IFERROR(__xludf.DUMMYFUNCTION("""COMPUTED_VALUE"""),"")</f>
        <v/>
      </c>
      <c r="F8508" s="72"/>
      <c r="G8508" s="72"/>
    </row>
    <row r="8509" spans="1:7" ht="14.5" hidden="1">
      <c r="A8509" s="5"/>
      <c r="B8509" s="18"/>
      <c r="C8509" s="85"/>
      <c r="D8509" s="41"/>
      <c r="E8509" s="26" t="str">
        <f ca="1">IFERROR(__xludf.DUMMYFUNCTION("""COMPUTED_VALUE"""),"")</f>
        <v/>
      </c>
      <c r="F8509" s="72"/>
      <c r="G8509" s="72"/>
    </row>
    <row r="8510" spans="1:7" ht="14.5" hidden="1">
      <c r="A8510" s="5"/>
      <c r="B8510" s="18"/>
      <c r="C8510" s="85"/>
      <c r="D8510" s="41"/>
      <c r="E8510" s="26" t="str">
        <f ca="1">IFERROR(__xludf.DUMMYFUNCTION("""COMPUTED_VALUE"""),"")</f>
        <v/>
      </c>
      <c r="F8510" s="72"/>
      <c r="G8510" s="72"/>
    </row>
    <row r="8511" spans="1:7" ht="14.5" hidden="1">
      <c r="A8511" s="5"/>
      <c r="B8511" s="18"/>
      <c r="C8511" s="85"/>
      <c r="D8511" s="41"/>
      <c r="E8511" s="26" t="str">
        <f ca="1">IFERROR(__xludf.DUMMYFUNCTION("""COMPUTED_VALUE"""),"")</f>
        <v/>
      </c>
      <c r="F8511" s="72"/>
      <c r="G8511" s="72"/>
    </row>
    <row r="8512" spans="1:7" ht="14.5" hidden="1">
      <c r="A8512" s="5"/>
      <c r="B8512" s="18"/>
      <c r="C8512" s="85"/>
      <c r="D8512" s="41"/>
      <c r="E8512" s="26" t="str">
        <f ca="1">IFERROR(__xludf.DUMMYFUNCTION("""COMPUTED_VALUE"""),"")</f>
        <v/>
      </c>
      <c r="F8512" s="72"/>
      <c r="G8512" s="72"/>
    </row>
    <row r="8513" spans="1:7" ht="14.5" hidden="1">
      <c r="A8513" s="5"/>
      <c r="B8513" s="18"/>
      <c r="C8513" s="85"/>
      <c r="D8513" s="41"/>
      <c r="E8513" s="26" t="str">
        <f ca="1">IFERROR(__xludf.DUMMYFUNCTION("""COMPUTED_VALUE"""),"")</f>
        <v/>
      </c>
      <c r="F8513" s="72"/>
      <c r="G8513" s="72"/>
    </row>
    <row r="8514" spans="1:7" ht="14.5" hidden="1">
      <c r="A8514" s="5"/>
      <c r="B8514" s="18"/>
      <c r="C8514" s="85"/>
      <c r="D8514" s="41"/>
      <c r="E8514" s="26" t="str">
        <f ca="1">IFERROR(__xludf.DUMMYFUNCTION("""COMPUTED_VALUE"""),"")</f>
        <v/>
      </c>
      <c r="F8514" s="72"/>
      <c r="G8514" s="72"/>
    </row>
    <row r="8515" spans="1:7" ht="14.5" hidden="1">
      <c r="A8515" s="5"/>
      <c r="B8515" s="18"/>
      <c r="C8515" s="85"/>
      <c r="D8515" s="41"/>
      <c r="E8515" s="26" t="str">
        <f ca="1">IFERROR(__xludf.DUMMYFUNCTION("""COMPUTED_VALUE"""),"")</f>
        <v/>
      </c>
      <c r="F8515" s="72"/>
      <c r="G8515" s="72"/>
    </row>
    <row r="8516" spans="1:7" ht="14.5" hidden="1">
      <c r="A8516" s="5"/>
      <c r="B8516" s="18"/>
      <c r="C8516" s="85"/>
      <c r="D8516" s="41"/>
      <c r="E8516" s="26" t="str">
        <f ca="1">IFERROR(__xludf.DUMMYFUNCTION("""COMPUTED_VALUE"""),"")</f>
        <v/>
      </c>
      <c r="F8516" s="72"/>
      <c r="G8516" s="72"/>
    </row>
    <row r="8517" spans="1:7" ht="14.5" hidden="1">
      <c r="A8517" s="5"/>
      <c r="B8517" s="18"/>
      <c r="C8517" s="85"/>
      <c r="D8517" s="41"/>
      <c r="E8517" s="26" t="str">
        <f ca="1">IFERROR(__xludf.DUMMYFUNCTION("""COMPUTED_VALUE"""),"")</f>
        <v/>
      </c>
      <c r="F8517" s="72"/>
      <c r="G8517" s="72"/>
    </row>
    <row r="8518" spans="1:7" ht="14.5" hidden="1">
      <c r="A8518" s="5"/>
      <c r="B8518" s="18"/>
      <c r="C8518" s="85"/>
      <c r="D8518" s="41"/>
      <c r="E8518" s="26" t="str">
        <f ca="1">IFERROR(__xludf.DUMMYFUNCTION("""COMPUTED_VALUE"""),"")</f>
        <v/>
      </c>
      <c r="F8518" s="72"/>
      <c r="G8518" s="72"/>
    </row>
    <row r="8519" spans="1:7" ht="14.5" hidden="1">
      <c r="A8519" s="5"/>
      <c r="B8519" s="18"/>
      <c r="C8519" s="85"/>
      <c r="D8519" s="41"/>
      <c r="E8519" s="26" t="str">
        <f ca="1">IFERROR(__xludf.DUMMYFUNCTION("""COMPUTED_VALUE"""),"")</f>
        <v/>
      </c>
      <c r="F8519" s="72"/>
      <c r="G8519" s="72"/>
    </row>
    <row r="8520" spans="1:7" ht="14.5" hidden="1">
      <c r="A8520" s="5"/>
      <c r="B8520" s="18"/>
      <c r="C8520" s="85"/>
      <c r="D8520" s="41"/>
      <c r="E8520" s="26" t="str">
        <f ca="1">IFERROR(__xludf.DUMMYFUNCTION("""COMPUTED_VALUE"""),"")</f>
        <v/>
      </c>
      <c r="F8520" s="72"/>
      <c r="G8520" s="72"/>
    </row>
    <row r="8521" spans="1:7" ht="14.5" hidden="1">
      <c r="A8521" s="5"/>
      <c r="B8521" s="18"/>
      <c r="C8521" s="85"/>
      <c r="D8521" s="41"/>
      <c r="E8521" s="26" t="str">
        <f ca="1">IFERROR(__xludf.DUMMYFUNCTION("""COMPUTED_VALUE"""),"")</f>
        <v/>
      </c>
      <c r="F8521" s="72"/>
      <c r="G8521" s="72"/>
    </row>
    <row r="8522" spans="1:7" ht="14.5" hidden="1">
      <c r="A8522" s="5"/>
      <c r="B8522" s="18"/>
      <c r="C8522" s="85"/>
      <c r="D8522" s="41"/>
      <c r="E8522" s="26" t="str">
        <f ca="1">IFERROR(__xludf.DUMMYFUNCTION("""COMPUTED_VALUE"""),"")</f>
        <v/>
      </c>
      <c r="F8522" s="72"/>
      <c r="G8522" s="72"/>
    </row>
    <row r="8523" spans="1:7" ht="14.5" hidden="1">
      <c r="A8523" s="5"/>
      <c r="B8523" s="18"/>
      <c r="C8523" s="85"/>
      <c r="D8523" s="41"/>
      <c r="E8523" s="26" t="str">
        <f ca="1">IFERROR(__xludf.DUMMYFUNCTION("""COMPUTED_VALUE"""),"")</f>
        <v/>
      </c>
      <c r="F8523" s="72"/>
      <c r="G8523" s="72"/>
    </row>
    <row r="8524" spans="1:7" ht="14.5" hidden="1">
      <c r="A8524" s="5"/>
      <c r="B8524" s="18"/>
      <c r="C8524" s="85"/>
      <c r="D8524" s="41"/>
      <c r="E8524" s="26" t="str">
        <f ca="1">IFERROR(__xludf.DUMMYFUNCTION("""COMPUTED_VALUE"""),"")</f>
        <v/>
      </c>
      <c r="F8524" s="72"/>
      <c r="G8524" s="72"/>
    </row>
    <row r="8525" spans="1:7" ht="14.5" hidden="1">
      <c r="A8525" s="5"/>
      <c r="B8525" s="18"/>
      <c r="C8525" s="85"/>
      <c r="D8525" s="41"/>
      <c r="E8525" s="26" t="str">
        <f ca="1">IFERROR(__xludf.DUMMYFUNCTION("""COMPUTED_VALUE"""),"")</f>
        <v/>
      </c>
      <c r="F8525" s="72"/>
      <c r="G8525" s="72"/>
    </row>
    <row r="8526" spans="1:7" ht="14.5" hidden="1">
      <c r="A8526" s="5"/>
      <c r="B8526" s="18"/>
      <c r="C8526" s="85"/>
      <c r="D8526" s="41"/>
      <c r="E8526" s="26" t="str">
        <f ca="1">IFERROR(__xludf.DUMMYFUNCTION("""COMPUTED_VALUE"""),"")</f>
        <v/>
      </c>
      <c r="F8526" s="72"/>
      <c r="G8526" s="72"/>
    </row>
    <row r="8527" spans="1:7" ht="14.5" hidden="1">
      <c r="A8527" s="5"/>
      <c r="B8527" s="18"/>
      <c r="C8527" s="85"/>
      <c r="D8527" s="41"/>
      <c r="E8527" s="26" t="str">
        <f ca="1">IFERROR(__xludf.DUMMYFUNCTION("""COMPUTED_VALUE"""),"")</f>
        <v/>
      </c>
      <c r="F8527" s="72"/>
      <c r="G8527" s="72"/>
    </row>
    <row r="8528" spans="1:7" ht="14.5" hidden="1">
      <c r="A8528" s="5"/>
      <c r="B8528" s="18"/>
      <c r="C8528" s="85"/>
      <c r="D8528" s="41"/>
      <c r="E8528" s="26" t="str">
        <f ca="1">IFERROR(__xludf.DUMMYFUNCTION("""COMPUTED_VALUE"""),"")</f>
        <v/>
      </c>
      <c r="F8528" s="72"/>
      <c r="G8528" s="72"/>
    </row>
    <row r="8529" spans="1:7" ht="14.5" hidden="1">
      <c r="A8529" s="5"/>
      <c r="B8529" s="18"/>
      <c r="C8529" s="85"/>
      <c r="D8529" s="41"/>
      <c r="E8529" s="26" t="str">
        <f ca="1">IFERROR(__xludf.DUMMYFUNCTION("""COMPUTED_VALUE"""),"")</f>
        <v/>
      </c>
      <c r="F8529" s="72"/>
      <c r="G8529" s="72"/>
    </row>
    <row r="8530" spans="1:7" ht="14.5" hidden="1">
      <c r="A8530" s="5"/>
      <c r="B8530" s="18"/>
      <c r="C8530" s="85"/>
      <c r="D8530" s="41"/>
      <c r="E8530" s="26" t="str">
        <f ca="1">IFERROR(__xludf.DUMMYFUNCTION("""COMPUTED_VALUE"""),"")</f>
        <v/>
      </c>
      <c r="F8530" s="72"/>
      <c r="G8530" s="72"/>
    </row>
    <row r="8531" spans="1:7" ht="14.5" hidden="1">
      <c r="A8531" s="5"/>
      <c r="B8531" s="18"/>
      <c r="C8531" s="85"/>
      <c r="D8531" s="41"/>
      <c r="E8531" s="26" t="str">
        <f ca="1">IFERROR(__xludf.DUMMYFUNCTION("""COMPUTED_VALUE"""),"")</f>
        <v/>
      </c>
      <c r="F8531" s="72"/>
      <c r="G8531" s="72"/>
    </row>
    <row r="8532" spans="1:7" ht="14.5" hidden="1">
      <c r="A8532" s="5"/>
      <c r="B8532" s="18"/>
      <c r="C8532" s="85"/>
      <c r="D8532" s="41"/>
      <c r="E8532" s="26" t="str">
        <f ca="1">IFERROR(__xludf.DUMMYFUNCTION("""COMPUTED_VALUE"""),"")</f>
        <v/>
      </c>
      <c r="F8532" s="72"/>
      <c r="G8532" s="72"/>
    </row>
    <row r="8533" spans="1:7" ht="14.5" hidden="1">
      <c r="A8533" s="5"/>
      <c r="B8533" s="18"/>
      <c r="C8533" s="85"/>
      <c r="D8533" s="41"/>
      <c r="E8533" s="26" t="str">
        <f ca="1">IFERROR(__xludf.DUMMYFUNCTION("""COMPUTED_VALUE"""),"")</f>
        <v/>
      </c>
      <c r="F8533" s="72"/>
      <c r="G8533" s="72"/>
    </row>
    <row r="8534" spans="1:7" ht="14.5" hidden="1">
      <c r="A8534" s="5"/>
      <c r="B8534" s="18"/>
      <c r="C8534" s="85"/>
      <c r="D8534" s="41"/>
      <c r="E8534" s="26" t="str">
        <f ca="1">IFERROR(__xludf.DUMMYFUNCTION("""COMPUTED_VALUE"""),"")</f>
        <v/>
      </c>
      <c r="F8534" s="72"/>
      <c r="G8534" s="72"/>
    </row>
    <row r="8535" spans="1:7" ht="14.5" hidden="1">
      <c r="A8535" s="5"/>
      <c r="B8535" s="18"/>
      <c r="C8535" s="85"/>
      <c r="D8535" s="41"/>
      <c r="E8535" s="26" t="str">
        <f ca="1">IFERROR(__xludf.DUMMYFUNCTION("""COMPUTED_VALUE"""),"")</f>
        <v/>
      </c>
      <c r="F8535" s="72"/>
      <c r="G8535" s="72"/>
    </row>
    <row r="8536" spans="1:7" ht="14.5" hidden="1">
      <c r="A8536" s="5"/>
      <c r="B8536" s="18"/>
      <c r="C8536" s="85"/>
      <c r="D8536" s="41"/>
      <c r="E8536" s="26" t="str">
        <f ca="1">IFERROR(__xludf.DUMMYFUNCTION("""COMPUTED_VALUE"""),"")</f>
        <v/>
      </c>
      <c r="F8536" s="72"/>
      <c r="G8536" s="72"/>
    </row>
    <row r="8537" spans="1:7" ht="14.5" hidden="1">
      <c r="A8537" s="5"/>
      <c r="B8537" s="18"/>
      <c r="C8537" s="85"/>
      <c r="D8537" s="41"/>
      <c r="E8537" s="26" t="str">
        <f ca="1">IFERROR(__xludf.DUMMYFUNCTION("""COMPUTED_VALUE"""),"")</f>
        <v/>
      </c>
      <c r="F8537" s="72"/>
      <c r="G8537" s="72"/>
    </row>
    <row r="8538" spans="1:7" ht="14.5" hidden="1">
      <c r="A8538" s="5"/>
      <c r="B8538" s="18"/>
      <c r="C8538" s="85"/>
      <c r="D8538" s="41"/>
      <c r="E8538" s="26" t="str">
        <f ca="1">IFERROR(__xludf.DUMMYFUNCTION("""COMPUTED_VALUE"""),"")</f>
        <v/>
      </c>
      <c r="F8538" s="72"/>
      <c r="G8538" s="72"/>
    </row>
    <row r="8539" spans="1:7" ht="14.5" hidden="1">
      <c r="A8539" s="5"/>
      <c r="B8539" s="18"/>
      <c r="C8539" s="85"/>
      <c r="D8539" s="41"/>
      <c r="E8539" s="26" t="str">
        <f ca="1">IFERROR(__xludf.DUMMYFUNCTION("""COMPUTED_VALUE"""),"")</f>
        <v/>
      </c>
      <c r="F8539" s="72"/>
      <c r="G8539" s="72"/>
    </row>
    <row r="8540" spans="1:7" ht="14.5" hidden="1">
      <c r="A8540" s="5"/>
      <c r="B8540" s="18"/>
      <c r="C8540" s="85"/>
      <c r="D8540" s="41"/>
      <c r="E8540" s="26" t="str">
        <f ca="1">IFERROR(__xludf.DUMMYFUNCTION("""COMPUTED_VALUE"""),"")</f>
        <v/>
      </c>
      <c r="F8540" s="72"/>
      <c r="G8540" s="72"/>
    </row>
    <row r="8541" spans="1:7" ht="14.5" hidden="1">
      <c r="A8541" s="5"/>
      <c r="B8541" s="18"/>
      <c r="C8541" s="85"/>
      <c r="D8541" s="41"/>
      <c r="E8541" s="26" t="str">
        <f ca="1">IFERROR(__xludf.DUMMYFUNCTION("""COMPUTED_VALUE"""),"")</f>
        <v/>
      </c>
      <c r="F8541" s="72"/>
      <c r="G8541" s="72"/>
    </row>
    <row r="8542" spans="1:7" ht="14.5" hidden="1">
      <c r="A8542" s="5"/>
      <c r="B8542" s="18"/>
      <c r="C8542" s="85"/>
      <c r="D8542" s="41"/>
      <c r="E8542" s="26" t="str">
        <f ca="1">IFERROR(__xludf.DUMMYFUNCTION("""COMPUTED_VALUE"""),"")</f>
        <v/>
      </c>
      <c r="F8542" s="72"/>
      <c r="G8542" s="72"/>
    </row>
    <row r="8543" spans="1:7" ht="14.5" hidden="1">
      <c r="A8543" s="5"/>
      <c r="B8543" s="18"/>
      <c r="C8543" s="85"/>
      <c r="D8543" s="41"/>
      <c r="E8543" s="26" t="str">
        <f ca="1">IFERROR(__xludf.DUMMYFUNCTION("""COMPUTED_VALUE"""),"")</f>
        <v/>
      </c>
      <c r="F8543" s="72"/>
      <c r="G8543" s="72"/>
    </row>
    <row r="8544" spans="1:7" ht="14.5" hidden="1">
      <c r="A8544" s="5"/>
      <c r="B8544" s="18"/>
      <c r="C8544" s="85"/>
      <c r="D8544" s="41"/>
      <c r="E8544" s="26" t="str">
        <f ca="1">IFERROR(__xludf.DUMMYFUNCTION("""COMPUTED_VALUE"""),"")</f>
        <v/>
      </c>
      <c r="F8544" s="72"/>
      <c r="G8544" s="72"/>
    </row>
    <row r="8545" spans="1:7" ht="14.5" hidden="1">
      <c r="A8545" s="5"/>
      <c r="B8545" s="18"/>
      <c r="C8545" s="85"/>
      <c r="D8545" s="41"/>
      <c r="E8545" s="26" t="str">
        <f ca="1">IFERROR(__xludf.DUMMYFUNCTION("""COMPUTED_VALUE"""),"")</f>
        <v/>
      </c>
      <c r="F8545" s="72"/>
      <c r="G8545" s="72"/>
    </row>
    <row r="8546" spans="1:7" ht="14.5" hidden="1">
      <c r="A8546" s="5"/>
      <c r="B8546" s="18"/>
      <c r="C8546" s="85"/>
      <c r="D8546" s="41"/>
      <c r="E8546" s="26" t="str">
        <f ca="1">IFERROR(__xludf.DUMMYFUNCTION("""COMPUTED_VALUE"""),"")</f>
        <v/>
      </c>
      <c r="F8546" s="72"/>
      <c r="G8546" s="72"/>
    </row>
    <row r="8547" spans="1:7" ht="14.5" hidden="1">
      <c r="A8547" s="5"/>
      <c r="B8547" s="18"/>
      <c r="C8547" s="85"/>
      <c r="D8547" s="41"/>
      <c r="E8547" s="26" t="str">
        <f ca="1">IFERROR(__xludf.DUMMYFUNCTION("""COMPUTED_VALUE"""),"")</f>
        <v/>
      </c>
      <c r="F8547" s="72"/>
      <c r="G8547" s="72"/>
    </row>
    <row r="8548" spans="1:7" ht="14.5" hidden="1">
      <c r="A8548" s="5"/>
      <c r="B8548" s="18"/>
      <c r="C8548" s="85"/>
      <c r="D8548" s="41"/>
      <c r="E8548" s="26" t="str">
        <f ca="1">IFERROR(__xludf.DUMMYFUNCTION("""COMPUTED_VALUE"""),"")</f>
        <v/>
      </c>
      <c r="F8548" s="72"/>
      <c r="G8548" s="72"/>
    </row>
    <row r="8549" spans="1:7" ht="14.5" hidden="1">
      <c r="A8549" s="5"/>
      <c r="B8549" s="18"/>
      <c r="C8549" s="85"/>
      <c r="D8549" s="41"/>
      <c r="E8549" s="26" t="str">
        <f ca="1">IFERROR(__xludf.DUMMYFUNCTION("""COMPUTED_VALUE"""),"")</f>
        <v/>
      </c>
      <c r="F8549" s="72"/>
      <c r="G8549" s="72"/>
    </row>
    <row r="8550" spans="1:7" ht="14.5" hidden="1">
      <c r="A8550" s="5"/>
      <c r="B8550" s="18"/>
      <c r="C8550" s="85"/>
      <c r="D8550" s="41"/>
      <c r="E8550" s="26" t="str">
        <f ca="1">IFERROR(__xludf.DUMMYFUNCTION("""COMPUTED_VALUE"""),"")</f>
        <v/>
      </c>
      <c r="F8550" s="72"/>
      <c r="G8550" s="72"/>
    </row>
    <row r="8551" spans="1:7" ht="14.5" hidden="1">
      <c r="A8551" s="5"/>
      <c r="B8551" s="18"/>
      <c r="C8551" s="85"/>
      <c r="D8551" s="41"/>
      <c r="E8551" s="26" t="str">
        <f ca="1">IFERROR(__xludf.DUMMYFUNCTION("""COMPUTED_VALUE"""),"")</f>
        <v/>
      </c>
      <c r="F8551" s="72"/>
      <c r="G8551" s="72"/>
    </row>
    <row r="8552" spans="1:7" ht="14.5" hidden="1">
      <c r="A8552" s="5"/>
      <c r="B8552" s="18"/>
      <c r="C8552" s="85"/>
      <c r="D8552" s="41"/>
      <c r="E8552" s="26" t="str">
        <f ca="1">IFERROR(__xludf.DUMMYFUNCTION("""COMPUTED_VALUE"""),"")</f>
        <v/>
      </c>
      <c r="F8552" s="72"/>
      <c r="G8552" s="72"/>
    </row>
    <row r="8553" spans="1:7" ht="14.5" hidden="1">
      <c r="A8553" s="5"/>
      <c r="B8553" s="18"/>
      <c r="C8553" s="85"/>
      <c r="D8553" s="41"/>
      <c r="E8553" s="26" t="str">
        <f ca="1">IFERROR(__xludf.DUMMYFUNCTION("""COMPUTED_VALUE"""),"")</f>
        <v/>
      </c>
      <c r="F8553" s="72"/>
      <c r="G8553" s="72"/>
    </row>
    <row r="8554" spans="1:7" ht="14.5" hidden="1">
      <c r="A8554" s="5"/>
      <c r="B8554" s="18"/>
      <c r="C8554" s="85"/>
      <c r="D8554" s="41"/>
      <c r="E8554" s="26" t="str">
        <f ca="1">IFERROR(__xludf.DUMMYFUNCTION("""COMPUTED_VALUE"""),"")</f>
        <v/>
      </c>
      <c r="F8554" s="72"/>
      <c r="G8554" s="72"/>
    </row>
    <row r="8555" spans="1:7" ht="14.5" hidden="1">
      <c r="A8555" s="5"/>
      <c r="B8555" s="18"/>
      <c r="C8555" s="85"/>
      <c r="D8555" s="41"/>
      <c r="E8555" s="26" t="str">
        <f ca="1">IFERROR(__xludf.DUMMYFUNCTION("""COMPUTED_VALUE"""),"")</f>
        <v/>
      </c>
      <c r="F8555" s="72"/>
      <c r="G8555" s="72"/>
    </row>
    <row r="8556" spans="1:7" ht="14.5" hidden="1">
      <c r="A8556" s="5"/>
      <c r="B8556" s="18"/>
      <c r="C8556" s="85"/>
      <c r="D8556" s="41"/>
      <c r="E8556" s="26" t="str">
        <f ca="1">IFERROR(__xludf.DUMMYFUNCTION("""COMPUTED_VALUE"""),"")</f>
        <v/>
      </c>
      <c r="F8556" s="72"/>
      <c r="G8556" s="72"/>
    </row>
    <row r="8557" spans="1:7" ht="14.5" hidden="1">
      <c r="A8557" s="5"/>
      <c r="B8557" s="18"/>
      <c r="C8557" s="85"/>
      <c r="D8557" s="41"/>
      <c r="E8557" s="26" t="str">
        <f ca="1">IFERROR(__xludf.DUMMYFUNCTION("""COMPUTED_VALUE"""),"")</f>
        <v/>
      </c>
      <c r="F8557" s="72"/>
      <c r="G8557" s="72"/>
    </row>
    <row r="8558" spans="1:7" ht="14.5" hidden="1">
      <c r="A8558" s="5"/>
      <c r="B8558" s="18"/>
      <c r="C8558" s="85"/>
      <c r="D8558" s="41"/>
      <c r="E8558" s="26" t="str">
        <f ca="1">IFERROR(__xludf.DUMMYFUNCTION("""COMPUTED_VALUE"""),"")</f>
        <v/>
      </c>
      <c r="F8558" s="72"/>
      <c r="G8558" s="72"/>
    </row>
    <row r="8559" spans="1:7" ht="14.5" hidden="1">
      <c r="A8559" s="5"/>
      <c r="B8559" s="18"/>
      <c r="C8559" s="85"/>
      <c r="D8559" s="41"/>
      <c r="E8559" s="26" t="str">
        <f ca="1">IFERROR(__xludf.DUMMYFUNCTION("""COMPUTED_VALUE"""),"")</f>
        <v/>
      </c>
      <c r="F8559" s="72"/>
      <c r="G8559" s="72"/>
    </row>
    <row r="8560" spans="1:7" ht="14.5" hidden="1">
      <c r="A8560" s="5"/>
      <c r="B8560" s="18"/>
      <c r="C8560" s="85"/>
      <c r="D8560" s="41"/>
      <c r="E8560" s="26" t="str">
        <f ca="1">IFERROR(__xludf.DUMMYFUNCTION("""COMPUTED_VALUE"""),"")</f>
        <v/>
      </c>
      <c r="F8560" s="72"/>
      <c r="G8560" s="72"/>
    </row>
    <row r="8561" spans="1:7" ht="14.5" hidden="1">
      <c r="A8561" s="5"/>
      <c r="B8561" s="18"/>
      <c r="C8561" s="85"/>
      <c r="D8561" s="41"/>
      <c r="E8561" s="26" t="str">
        <f ca="1">IFERROR(__xludf.DUMMYFUNCTION("""COMPUTED_VALUE"""),"")</f>
        <v/>
      </c>
      <c r="F8561" s="72"/>
      <c r="G8561" s="72"/>
    </row>
    <row r="8562" spans="1:7" ht="14.5" hidden="1">
      <c r="A8562" s="5"/>
      <c r="B8562" s="18"/>
      <c r="C8562" s="85"/>
      <c r="D8562" s="41"/>
      <c r="E8562" s="26" t="str">
        <f ca="1">IFERROR(__xludf.DUMMYFUNCTION("""COMPUTED_VALUE"""),"")</f>
        <v/>
      </c>
      <c r="F8562" s="72"/>
      <c r="G8562" s="72"/>
    </row>
    <row r="8563" spans="1:7" ht="14.5" hidden="1">
      <c r="A8563" s="5"/>
      <c r="B8563" s="18"/>
      <c r="C8563" s="85"/>
      <c r="D8563" s="41"/>
      <c r="E8563" s="26" t="str">
        <f ca="1">IFERROR(__xludf.DUMMYFUNCTION("""COMPUTED_VALUE"""),"")</f>
        <v/>
      </c>
      <c r="F8563" s="72"/>
      <c r="G8563" s="72"/>
    </row>
    <row r="8564" spans="1:7" ht="14.5" hidden="1">
      <c r="A8564" s="5"/>
      <c r="B8564" s="18"/>
      <c r="C8564" s="85"/>
      <c r="D8564" s="41"/>
      <c r="E8564" s="26" t="str">
        <f ca="1">IFERROR(__xludf.DUMMYFUNCTION("""COMPUTED_VALUE"""),"")</f>
        <v/>
      </c>
      <c r="F8564" s="72"/>
      <c r="G8564" s="72"/>
    </row>
    <row r="8565" spans="1:7" ht="14.5" hidden="1">
      <c r="A8565" s="5"/>
      <c r="B8565" s="18"/>
      <c r="C8565" s="85"/>
      <c r="D8565" s="41"/>
      <c r="E8565" s="26" t="str">
        <f ca="1">IFERROR(__xludf.DUMMYFUNCTION("""COMPUTED_VALUE"""),"")</f>
        <v/>
      </c>
      <c r="F8565" s="72"/>
      <c r="G8565" s="72"/>
    </row>
    <row r="8566" spans="1:7" ht="14.5" hidden="1">
      <c r="A8566" s="5"/>
      <c r="B8566" s="18"/>
      <c r="C8566" s="85"/>
      <c r="D8566" s="41"/>
      <c r="E8566" s="26" t="str">
        <f ca="1">IFERROR(__xludf.DUMMYFUNCTION("""COMPUTED_VALUE"""),"")</f>
        <v/>
      </c>
      <c r="F8566" s="72"/>
      <c r="G8566" s="72"/>
    </row>
    <row r="8567" spans="1:7" ht="14.5" hidden="1">
      <c r="A8567" s="5"/>
      <c r="B8567" s="18"/>
      <c r="C8567" s="85"/>
      <c r="D8567" s="41"/>
      <c r="E8567" s="26" t="str">
        <f ca="1">IFERROR(__xludf.DUMMYFUNCTION("""COMPUTED_VALUE"""),"")</f>
        <v/>
      </c>
      <c r="F8567" s="72"/>
      <c r="G8567" s="72"/>
    </row>
    <row r="8568" spans="1:7" ht="14.5" hidden="1">
      <c r="A8568" s="5"/>
      <c r="B8568" s="18"/>
      <c r="C8568" s="85"/>
      <c r="D8568" s="41"/>
      <c r="E8568" s="26" t="str">
        <f ca="1">IFERROR(__xludf.DUMMYFUNCTION("""COMPUTED_VALUE"""),"")</f>
        <v/>
      </c>
      <c r="F8568" s="72"/>
      <c r="G8568" s="72"/>
    </row>
    <row r="8569" spans="1:7" ht="14.5" hidden="1">
      <c r="A8569" s="5"/>
      <c r="B8569" s="18"/>
      <c r="C8569" s="85"/>
      <c r="D8569" s="41"/>
      <c r="E8569" s="26" t="str">
        <f ca="1">IFERROR(__xludf.DUMMYFUNCTION("""COMPUTED_VALUE"""),"")</f>
        <v/>
      </c>
      <c r="F8569" s="72"/>
      <c r="G8569" s="72"/>
    </row>
    <row r="8570" spans="1:7" ht="14.5" hidden="1">
      <c r="A8570" s="5"/>
      <c r="B8570" s="18"/>
      <c r="C8570" s="85"/>
      <c r="D8570" s="41"/>
      <c r="E8570" s="26" t="str">
        <f ca="1">IFERROR(__xludf.DUMMYFUNCTION("""COMPUTED_VALUE"""),"")</f>
        <v/>
      </c>
      <c r="F8570" s="72"/>
      <c r="G8570" s="72"/>
    </row>
    <row r="8571" spans="1:7" ht="14.5" hidden="1">
      <c r="A8571" s="5"/>
      <c r="B8571" s="18"/>
      <c r="C8571" s="85"/>
      <c r="D8571" s="41"/>
      <c r="E8571" s="26" t="str">
        <f ca="1">IFERROR(__xludf.DUMMYFUNCTION("""COMPUTED_VALUE"""),"")</f>
        <v/>
      </c>
      <c r="F8571" s="72"/>
      <c r="G8571" s="72"/>
    </row>
    <row r="8572" spans="1:7" ht="14.5" hidden="1">
      <c r="A8572" s="5"/>
      <c r="B8572" s="18"/>
      <c r="C8572" s="85"/>
      <c r="D8572" s="41"/>
      <c r="E8572" s="26" t="str">
        <f ca="1">IFERROR(__xludf.DUMMYFUNCTION("""COMPUTED_VALUE"""),"")</f>
        <v/>
      </c>
      <c r="F8572" s="72"/>
      <c r="G8572" s="72"/>
    </row>
    <row r="8573" spans="1:7" ht="14.5" hidden="1">
      <c r="A8573" s="5"/>
      <c r="B8573" s="18"/>
      <c r="C8573" s="85"/>
      <c r="D8573" s="41"/>
      <c r="E8573" s="26" t="str">
        <f ca="1">IFERROR(__xludf.DUMMYFUNCTION("""COMPUTED_VALUE"""),"")</f>
        <v/>
      </c>
      <c r="F8573" s="72"/>
      <c r="G8573" s="72"/>
    </row>
    <row r="8574" spans="1:7" ht="14.5" hidden="1">
      <c r="A8574" s="5"/>
      <c r="B8574" s="18"/>
      <c r="C8574" s="85"/>
      <c r="D8574" s="41"/>
      <c r="E8574" s="26" t="str">
        <f ca="1">IFERROR(__xludf.DUMMYFUNCTION("""COMPUTED_VALUE"""),"")</f>
        <v/>
      </c>
      <c r="F8574" s="72"/>
      <c r="G8574" s="72"/>
    </row>
    <row r="8575" spans="1:7" ht="14.5" hidden="1">
      <c r="A8575" s="5"/>
      <c r="B8575" s="18"/>
      <c r="C8575" s="85"/>
      <c r="D8575" s="41"/>
      <c r="E8575" s="26" t="str">
        <f ca="1">IFERROR(__xludf.DUMMYFUNCTION("""COMPUTED_VALUE"""),"")</f>
        <v/>
      </c>
      <c r="F8575" s="72"/>
      <c r="G8575" s="72"/>
    </row>
    <row r="8576" spans="1:7" ht="14.5" hidden="1">
      <c r="A8576" s="5"/>
      <c r="B8576" s="18"/>
      <c r="C8576" s="85"/>
      <c r="D8576" s="41"/>
      <c r="E8576" s="26" t="str">
        <f ca="1">IFERROR(__xludf.DUMMYFUNCTION("""COMPUTED_VALUE"""),"")</f>
        <v/>
      </c>
      <c r="F8576" s="72"/>
      <c r="G8576" s="72"/>
    </row>
    <row r="8577" spans="1:7" ht="14.5" hidden="1">
      <c r="A8577" s="5"/>
      <c r="B8577" s="18"/>
      <c r="C8577" s="85"/>
      <c r="D8577" s="41"/>
      <c r="E8577" s="26" t="str">
        <f ca="1">IFERROR(__xludf.DUMMYFUNCTION("""COMPUTED_VALUE"""),"")</f>
        <v/>
      </c>
      <c r="F8577" s="72"/>
      <c r="G8577" s="72"/>
    </row>
    <row r="8578" spans="1:7" ht="14.5" hidden="1">
      <c r="A8578" s="5"/>
      <c r="B8578" s="18"/>
      <c r="C8578" s="85"/>
      <c r="D8578" s="41"/>
      <c r="E8578" s="26" t="str">
        <f ca="1">IFERROR(__xludf.DUMMYFUNCTION("""COMPUTED_VALUE"""),"")</f>
        <v/>
      </c>
      <c r="F8578" s="72"/>
      <c r="G8578" s="72"/>
    </row>
    <row r="8579" spans="1:7" ht="14.5" hidden="1">
      <c r="A8579" s="5"/>
      <c r="B8579" s="18"/>
      <c r="C8579" s="85"/>
      <c r="D8579" s="41"/>
      <c r="E8579" s="26" t="str">
        <f ca="1">IFERROR(__xludf.DUMMYFUNCTION("""COMPUTED_VALUE"""),"")</f>
        <v/>
      </c>
      <c r="F8579" s="72"/>
      <c r="G8579" s="72"/>
    </row>
    <row r="8580" spans="1:7" ht="14.5" hidden="1">
      <c r="A8580" s="5"/>
      <c r="B8580" s="18"/>
      <c r="C8580" s="85"/>
      <c r="D8580" s="41"/>
      <c r="E8580" s="26" t="str">
        <f ca="1">IFERROR(__xludf.DUMMYFUNCTION("""COMPUTED_VALUE"""),"")</f>
        <v/>
      </c>
      <c r="F8580" s="72"/>
      <c r="G8580" s="72"/>
    </row>
    <row r="8581" spans="1:7" ht="14.5" hidden="1">
      <c r="A8581" s="5"/>
      <c r="B8581" s="18"/>
      <c r="C8581" s="85"/>
      <c r="D8581" s="41"/>
      <c r="E8581" s="26" t="str">
        <f ca="1">IFERROR(__xludf.DUMMYFUNCTION("""COMPUTED_VALUE"""),"")</f>
        <v/>
      </c>
      <c r="F8581" s="72"/>
      <c r="G8581" s="72"/>
    </row>
    <row r="8582" spans="1:7" ht="14.5" hidden="1">
      <c r="A8582" s="5"/>
      <c r="B8582" s="18"/>
      <c r="C8582" s="85"/>
      <c r="D8582" s="41"/>
      <c r="E8582" s="26" t="str">
        <f ca="1">IFERROR(__xludf.DUMMYFUNCTION("""COMPUTED_VALUE"""),"")</f>
        <v/>
      </c>
      <c r="F8582" s="72"/>
      <c r="G8582" s="72"/>
    </row>
    <row r="8583" spans="1:7" ht="14.5" hidden="1">
      <c r="A8583" s="5"/>
      <c r="B8583" s="18"/>
      <c r="C8583" s="85"/>
      <c r="D8583" s="41"/>
      <c r="E8583" s="26" t="str">
        <f ca="1">IFERROR(__xludf.DUMMYFUNCTION("""COMPUTED_VALUE"""),"")</f>
        <v/>
      </c>
      <c r="F8583" s="72"/>
      <c r="G8583" s="72"/>
    </row>
    <row r="8584" spans="1:7" ht="14.5" hidden="1">
      <c r="A8584" s="5"/>
      <c r="B8584" s="18"/>
      <c r="C8584" s="85"/>
      <c r="D8584" s="41"/>
      <c r="E8584" s="26" t="str">
        <f ca="1">IFERROR(__xludf.DUMMYFUNCTION("""COMPUTED_VALUE"""),"")</f>
        <v/>
      </c>
      <c r="F8584" s="72"/>
      <c r="G8584" s="72"/>
    </row>
    <row r="8585" spans="1:7" ht="14.5" hidden="1">
      <c r="A8585" s="5"/>
      <c r="B8585" s="18"/>
      <c r="C8585" s="85"/>
      <c r="D8585" s="41"/>
      <c r="E8585" s="26" t="str">
        <f ca="1">IFERROR(__xludf.DUMMYFUNCTION("""COMPUTED_VALUE"""),"")</f>
        <v/>
      </c>
      <c r="F8585" s="72"/>
      <c r="G8585" s="72"/>
    </row>
    <row r="8586" spans="1:7" ht="14.5" hidden="1">
      <c r="A8586" s="5"/>
      <c r="B8586" s="18"/>
      <c r="C8586" s="85"/>
      <c r="D8586" s="41"/>
      <c r="E8586" s="26" t="str">
        <f ca="1">IFERROR(__xludf.DUMMYFUNCTION("""COMPUTED_VALUE"""),"")</f>
        <v/>
      </c>
      <c r="F8586" s="72"/>
      <c r="G8586" s="72"/>
    </row>
    <row r="8587" spans="1:7" ht="14.5" hidden="1">
      <c r="A8587" s="5"/>
      <c r="B8587" s="18"/>
      <c r="C8587" s="85"/>
      <c r="D8587" s="41"/>
      <c r="E8587" s="26" t="str">
        <f ca="1">IFERROR(__xludf.DUMMYFUNCTION("""COMPUTED_VALUE"""),"")</f>
        <v/>
      </c>
      <c r="F8587" s="72"/>
      <c r="G8587" s="72"/>
    </row>
    <row r="8588" spans="1:7" ht="14.5" hidden="1">
      <c r="A8588" s="5"/>
      <c r="B8588" s="18"/>
      <c r="C8588" s="85"/>
      <c r="D8588" s="41"/>
      <c r="E8588" s="26" t="str">
        <f ca="1">IFERROR(__xludf.DUMMYFUNCTION("""COMPUTED_VALUE"""),"")</f>
        <v/>
      </c>
      <c r="F8588" s="72"/>
      <c r="G8588" s="72"/>
    </row>
    <row r="8589" spans="1:7" ht="14.5" hidden="1">
      <c r="A8589" s="5"/>
      <c r="B8589" s="18"/>
      <c r="C8589" s="85"/>
      <c r="D8589" s="41"/>
      <c r="E8589" s="26" t="str">
        <f ca="1">IFERROR(__xludf.DUMMYFUNCTION("""COMPUTED_VALUE"""),"")</f>
        <v/>
      </c>
      <c r="F8589" s="72"/>
      <c r="G8589" s="72"/>
    </row>
    <row r="8590" spans="1:7" ht="14.5" hidden="1">
      <c r="A8590" s="5"/>
      <c r="B8590" s="18"/>
      <c r="C8590" s="85"/>
      <c r="D8590" s="41"/>
      <c r="E8590" s="26" t="str">
        <f ca="1">IFERROR(__xludf.DUMMYFUNCTION("""COMPUTED_VALUE"""),"")</f>
        <v/>
      </c>
      <c r="F8590" s="72"/>
      <c r="G8590" s="72"/>
    </row>
    <row r="8591" spans="1:7" ht="14.5" hidden="1">
      <c r="A8591" s="5"/>
      <c r="B8591" s="18"/>
      <c r="C8591" s="85"/>
      <c r="D8591" s="41"/>
      <c r="E8591" s="26" t="str">
        <f ca="1">IFERROR(__xludf.DUMMYFUNCTION("""COMPUTED_VALUE"""),"")</f>
        <v/>
      </c>
      <c r="F8591" s="72"/>
      <c r="G8591" s="72"/>
    </row>
    <row r="8592" spans="1:7" ht="14.5" hidden="1">
      <c r="A8592" s="5"/>
      <c r="B8592" s="18"/>
      <c r="C8592" s="85"/>
      <c r="D8592" s="41"/>
      <c r="E8592" s="26" t="str">
        <f ca="1">IFERROR(__xludf.DUMMYFUNCTION("""COMPUTED_VALUE"""),"")</f>
        <v/>
      </c>
      <c r="F8592" s="72"/>
      <c r="G8592" s="72"/>
    </row>
    <row r="8593" spans="1:7" ht="14.5" hidden="1">
      <c r="A8593" s="5"/>
      <c r="B8593" s="18"/>
      <c r="C8593" s="85"/>
      <c r="D8593" s="41"/>
      <c r="E8593" s="26" t="str">
        <f ca="1">IFERROR(__xludf.DUMMYFUNCTION("""COMPUTED_VALUE"""),"")</f>
        <v/>
      </c>
      <c r="F8593" s="72"/>
      <c r="G8593" s="72"/>
    </row>
    <row r="8594" spans="1:7" ht="14.5" hidden="1">
      <c r="A8594" s="5"/>
      <c r="B8594" s="18"/>
      <c r="C8594" s="85"/>
      <c r="D8594" s="41"/>
      <c r="E8594" s="26" t="str">
        <f ca="1">IFERROR(__xludf.DUMMYFUNCTION("""COMPUTED_VALUE"""),"")</f>
        <v/>
      </c>
      <c r="F8594" s="72"/>
      <c r="G8594" s="72"/>
    </row>
    <row r="8595" spans="1:7" ht="14.5" hidden="1">
      <c r="A8595" s="5"/>
      <c r="B8595" s="18"/>
      <c r="C8595" s="85"/>
      <c r="D8595" s="41"/>
      <c r="E8595" s="26" t="str">
        <f ca="1">IFERROR(__xludf.DUMMYFUNCTION("""COMPUTED_VALUE"""),"")</f>
        <v/>
      </c>
      <c r="F8595" s="72"/>
      <c r="G8595" s="72"/>
    </row>
    <row r="8596" spans="1:7" ht="14.5" hidden="1">
      <c r="A8596" s="5"/>
      <c r="B8596" s="18"/>
      <c r="C8596" s="85"/>
      <c r="D8596" s="41"/>
      <c r="E8596" s="26" t="str">
        <f ca="1">IFERROR(__xludf.DUMMYFUNCTION("""COMPUTED_VALUE"""),"")</f>
        <v/>
      </c>
      <c r="F8596" s="72"/>
      <c r="G8596" s="72"/>
    </row>
    <row r="8597" spans="1:7" ht="14.5" hidden="1">
      <c r="A8597" s="5"/>
      <c r="B8597" s="18"/>
      <c r="C8597" s="85"/>
      <c r="D8597" s="41"/>
      <c r="E8597" s="26" t="str">
        <f ca="1">IFERROR(__xludf.DUMMYFUNCTION("""COMPUTED_VALUE"""),"")</f>
        <v/>
      </c>
      <c r="F8597" s="72"/>
      <c r="G8597" s="72"/>
    </row>
    <row r="8598" spans="1:7" ht="14.5" hidden="1">
      <c r="A8598" s="5"/>
      <c r="B8598" s="18"/>
      <c r="C8598" s="85"/>
      <c r="D8598" s="41"/>
      <c r="E8598" s="26" t="str">
        <f ca="1">IFERROR(__xludf.DUMMYFUNCTION("""COMPUTED_VALUE"""),"")</f>
        <v/>
      </c>
      <c r="F8598" s="72"/>
      <c r="G8598" s="72"/>
    </row>
    <row r="8599" spans="1:7" ht="14.5" hidden="1">
      <c r="A8599" s="5"/>
      <c r="B8599" s="18"/>
      <c r="C8599" s="85"/>
      <c r="D8599" s="41"/>
      <c r="E8599" s="26" t="str">
        <f ca="1">IFERROR(__xludf.DUMMYFUNCTION("""COMPUTED_VALUE"""),"")</f>
        <v/>
      </c>
      <c r="F8599" s="72"/>
      <c r="G8599" s="72"/>
    </row>
    <row r="8600" spans="1:7" ht="14.5" hidden="1">
      <c r="A8600" s="5"/>
      <c r="B8600" s="18"/>
      <c r="C8600" s="85"/>
      <c r="D8600" s="41"/>
      <c r="E8600" s="26" t="str">
        <f ca="1">IFERROR(__xludf.DUMMYFUNCTION("""COMPUTED_VALUE"""),"")</f>
        <v/>
      </c>
      <c r="F8600" s="72"/>
      <c r="G8600" s="72"/>
    </row>
    <row r="8601" spans="1:7" ht="14.5" hidden="1">
      <c r="A8601" s="5"/>
      <c r="B8601" s="18"/>
      <c r="C8601" s="85"/>
      <c r="D8601" s="41"/>
      <c r="E8601" s="26" t="str">
        <f ca="1">IFERROR(__xludf.DUMMYFUNCTION("""COMPUTED_VALUE"""),"")</f>
        <v/>
      </c>
      <c r="F8601" s="72"/>
      <c r="G8601" s="72"/>
    </row>
    <row r="8602" spans="1:7" ht="14.5" hidden="1">
      <c r="A8602" s="5"/>
      <c r="B8602" s="18"/>
      <c r="C8602" s="85"/>
      <c r="D8602" s="41"/>
      <c r="E8602" s="26" t="str">
        <f ca="1">IFERROR(__xludf.DUMMYFUNCTION("""COMPUTED_VALUE"""),"")</f>
        <v/>
      </c>
      <c r="F8602" s="72"/>
      <c r="G8602" s="72"/>
    </row>
    <row r="8603" spans="1:7" ht="14.5" hidden="1">
      <c r="A8603" s="5"/>
      <c r="B8603" s="18"/>
      <c r="C8603" s="85"/>
      <c r="D8603" s="41"/>
      <c r="E8603" s="26" t="str">
        <f ca="1">IFERROR(__xludf.DUMMYFUNCTION("""COMPUTED_VALUE"""),"")</f>
        <v/>
      </c>
      <c r="F8603" s="72"/>
      <c r="G8603" s="72"/>
    </row>
    <row r="8604" spans="1:7" ht="14.5" hidden="1">
      <c r="A8604" s="5"/>
      <c r="B8604" s="18"/>
      <c r="C8604" s="85"/>
      <c r="D8604" s="41"/>
      <c r="E8604" s="26" t="str">
        <f ca="1">IFERROR(__xludf.DUMMYFUNCTION("""COMPUTED_VALUE"""),"")</f>
        <v/>
      </c>
      <c r="F8604" s="72"/>
      <c r="G8604" s="72"/>
    </row>
    <row r="8605" spans="1:7" ht="14.5" hidden="1">
      <c r="A8605" s="5"/>
      <c r="B8605" s="18"/>
      <c r="C8605" s="85"/>
      <c r="D8605" s="41"/>
      <c r="E8605" s="26" t="str">
        <f ca="1">IFERROR(__xludf.DUMMYFUNCTION("""COMPUTED_VALUE"""),"")</f>
        <v/>
      </c>
      <c r="F8605" s="72"/>
      <c r="G8605" s="72"/>
    </row>
    <row r="8606" spans="1:7" ht="14.5" hidden="1">
      <c r="A8606" s="5"/>
      <c r="B8606" s="18"/>
      <c r="C8606" s="85"/>
      <c r="D8606" s="41"/>
      <c r="E8606" s="26" t="str">
        <f ca="1">IFERROR(__xludf.DUMMYFUNCTION("""COMPUTED_VALUE"""),"")</f>
        <v/>
      </c>
      <c r="F8606" s="72"/>
      <c r="G8606" s="72"/>
    </row>
    <row r="8607" spans="1:7" ht="14.5" hidden="1">
      <c r="A8607" s="5"/>
      <c r="B8607" s="18"/>
      <c r="C8607" s="85"/>
      <c r="D8607" s="41"/>
      <c r="E8607" s="26" t="str">
        <f ca="1">IFERROR(__xludf.DUMMYFUNCTION("""COMPUTED_VALUE"""),"")</f>
        <v/>
      </c>
      <c r="F8607" s="72"/>
      <c r="G8607" s="72"/>
    </row>
    <row r="8608" spans="1:7" ht="14.5" hidden="1">
      <c r="A8608" s="5"/>
      <c r="B8608" s="18"/>
      <c r="C8608" s="85"/>
      <c r="D8608" s="41"/>
      <c r="E8608" s="26" t="str">
        <f ca="1">IFERROR(__xludf.DUMMYFUNCTION("""COMPUTED_VALUE"""),"")</f>
        <v/>
      </c>
      <c r="F8608" s="72"/>
      <c r="G8608" s="72"/>
    </row>
    <row r="8609" spans="1:7" ht="14.5" hidden="1">
      <c r="A8609" s="5"/>
      <c r="B8609" s="18"/>
      <c r="C8609" s="85"/>
      <c r="D8609" s="41"/>
      <c r="E8609" s="26" t="str">
        <f ca="1">IFERROR(__xludf.DUMMYFUNCTION("""COMPUTED_VALUE"""),"")</f>
        <v/>
      </c>
      <c r="F8609" s="72"/>
      <c r="G8609" s="72"/>
    </row>
    <row r="8610" spans="1:7" ht="14.5" hidden="1">
      <c r="A8610" s="5"/>
      <c r="B8610" s="18"/>
      <c r="C8610" s="85"/>
      <c r="D8610" s="41"/>
      <c r="E8610" s="26" t="str">
        <f ca="1">IFERROR(__xludf.DUMMYFUNCTION("""COMPUTED_VALUE"""),"")</f>
        <v/>
      </c>
      <c r="F8610" s="72"/>
      <c r="G8610" s="72"/>
    </row>
    <row r="8611" spans="1:7" ht="14.5" hidden="1">
      <c r="A8611" s="5"/>
      <c r="B8611" s="18"/>
      <c r="C8611" s="85"/>
      <c r="D8611" s="41"/>
      <c r="E8611" s="26" t="str">
        <f ca="1">IFERROR(__xludf.DUMMYFUNCTION("""COMPUTED_VALUE"""),"")</f>
        <v/>
      </c>
      <c r="F8611" s="72"/>
      <c r="G8611" s="72"/>
    </row>
    <row r="8612" spans="1:7" ht="14.5" hidden="1">
      <c r="A8612" s="5"/>
      <c r="B8612" s="18"/>
      <c r="C8612" s="85"/>
      <c r="D8612" s="41"/>
      <c r="E8612" s="26" t="str">
        <f ca="1">IFERROR(__xludf.DUMMYFUNCTION("""COMPUTED_VALUE"""),"")</f>
        <v/>
      </c>
      <c r="F8612" s="72"/>
      <c r="G8612" s="72"/>
    </row>
    <row r="8613" spans="1:7" ht="14.5" hidden="1">
      <c r="A8613" s="5"/>
      <c r="B8613" s="18"/>
      <c r="C8613" s="85"/>
      <c r="D8613" s="41"/>
      <c r="E8613" s="26" t="str">
        <f ca="1">IFERROR(__xludf.DUMMYFUNCTION("""COMPUTED_VALUE"""),"")</f>
        <v/>
      </c>
      <c r="F8613" s="72"/>
      <c r="G8613" s="72"/>
    </row>
    <row r="8614" spans="1:7" ht="14.5" hidden="1">
      <c r="A8614" s="5"/>
      <c r="B8614" s="18"/>
      <c r="C8614" s="85"/>
      <c r="D8614" s="41"/>
      <c r="E8614" s="26" t="str">
        <f ca="1">IFERROR(__xludf.DUMMYFUNCTION("""COMPUTED_VALUE"""),"")</f>
        <v/>
      </c>
      <c r="F8614" s="72"/>
      <c r="G8614" s="72"/>
    </row>
    <row r="8615" spans="1:7" ht="14.5" hidden="1">
      <c r="A8615" s="5"/>
      <c r="B8615" s="18"/>
      <c r="C8615" s="85"/>
      <c r="D8615" s="41"/>
      <c r="E8615" s="26" t="str">
        <f ca="1">IFERROR(__xludf.DUMMYFUNCTION("""COMPUTED_VALUE"""),"")</f>
        <v/>
      </c>
      <c r="F8615" s="72"/>
      <c r="G8615" s="72"/>
    </row>
    <row r="8616" spans="1:7" ht="14.5" hidden="1">
      <c r="A8616" s="5"/>
      <c r="B8616" s="18"/>
      <c r="C8616" s="85"/>
      <c r="D8616" s="41"/>
      <c r="E8616" s="26" t="str">
        <f ca="1">IFERROR(__xludf.DUMMYFUNCTION("""COMPUTED_VALUE"""),"")</f>
        <v/>
      </c>
      <c r="F8616" s="72"/>
      <c r="G8616" s="72"/>
    </row>
    <row r="8617" spans="1:7" ht="14.5" hidden="1">
      <c r="A8617" s="5"/>
      <c r="B8617" s="18"/>
      <c r="C8617" s="85"/>
      <c r="D8617" s="41"/>
      <c r="E8617" s="26" t="str">
        <f ca="1">IFERROR(__xludf.DUMMYFUNCTION("""COMPUTED_VALUE"""),"")</f>
        <v/>
      </c>
      <c r="F8617" s="72"/>
      <c r="G8617" s="72"/>
    </row>
    <row r="8618" spans="1:7" ht="14.5" hidden="1">
      <c r="A8618" s="5"/>
      <c r="B8618" s="18"/>
      <c r="C8618" s="85"/>
      <c r="D8618" s="41"/>
      <c r="E8618" s="26" t="str">
        <f ca="1">IFERROR(__xludf.DUMMYFUNCTION("""COMPUTED_VALUE"""),"")</f>
        <v/>
      </c>
      <c r="F8618" s="72"/>
      <c r="G8618" s="72"/>
    </row>
    <row r="8619" spans="1:7" ht="14.5" hidden="1">
      <c r="A8619" s="5"/>
      <c r="B8619" s="18"/>
      <c r="C8619" s="85"/>
      <c r="D8619" s="41"/>
      <c r="E8619" s="26" t="str">
        <f ca="1">IFERROR(__xludf.DUMMYFUNCTION("""COMPUTED_VALUE"""),"")</f>
        <v/>
      </c>
      <c r="F8619" s="72"/>
      <c r="G8619" s="72"/>
    </row>
    <row r="8620" spans="1:7" ht="14.5" hidden="1">
      <c r="A8620" s="5"/>
      <c r="B8620" s="18"/>
      <c r="C8620" s="85"/>
      <c r="D8620" s="41"/>
      <c r="E8620" s="26" t="str">
        <f ca="1">IFERROR(__xludf.DUMMYFUNCTION("""COMPUTED_VALUE"""),"")</f>
        <v/>
      </c>
      <c r="F8620" s="72"/>
      <c r="G8620" s="72"/>
    </row>
    <row r="8621" spans="1:7" ht="14.5" hidden="1">
      <c r="A8621" s="5"/>
      <c r="B8621" s="18"/>
      <c r="C8621" s="85"/>
      <c r="D8621" s="41"/>
      <c r="E8621" s="26" t="str">
        <f ca="1">IFERROR(__xludf.DUMMYFUNCTION("""COMPUTED_VALUE"""),"")</f>
        <v/>
      </c>
      <c r="F8621" s="72"/>
      <c r="G8621" s="72"/>
    </row>
    <row r="8622" spans="1:7" ht="14.5" hidden="1">
      <c r="A8622" s="5"/>
      <c r="B8622" s="18"/>
      <c r="C8622" s="85"/>
      <c r="D8622" s="41"/>
      <c r="E8622" s="26" t="str">
        <f ca="1">IFERROR(__xludf.DUMMYFUNCTION("""COMPUTED_VALUE"""),"")</f>
        <v/>
      </c>
      <c r="F8622" s="72"/>
      <c r="G8622" s="72"/>
    </row>
    <row r="8623" spans="1:7" ht="14.5" hidden="1">
      <c r="A8623" s="5"/>
      <c r="B8623" s="18"/>
      <c r="C8623" s="85"/>
      <c r="D8623" s="41"/>
      <c r="E8623" s="26" t="str">
        <f ca="1">IFERROR(__xludf.DUMMYFUNCTION("""COMPUTED_VALUE"""),"")</f>
        <v/>
      </c>
      <c r="F8623" s="72"/>
      <c r="G8623" s="72"/>
    </row>
    <row r="8624" spans="1:7" ht="14.5" hidden="1">
      <c r="A8624" s="5"/>
      <c r="B8624" s="18"/>
      <c r="C8624" s="85"/>
      <c r="D8624" s="41"/>
      <c r="E8624" s="26" t="str">
        <f ca="1">IFERROR(__xludf.DUMMYFUNCTION("""COMPUTED_VALUE"""),"")</f>
        <v/>
      </c>
      <c r="F8624" s="72"/>
      <c r="G8624" s="72"/>
    </row>
    <row r="8625" spans="1:7" ht="14.5" hidden="1">
      <c r="A8625" s="5"/>
      <c r="B8625" s="18"/>
      <c r="C8625" s="85"/>
      <c r="D8625" s="41"/>
      <c r="E8625" s="26" t="str">
        <f ca="1">IFERROR(__xludf.DUMMYFUNCTION("""COMPUTED_VALUE"""),"")</f>
        <v/>
      </c>
      <c r="F8625" s="72"/>
      <c r="G8625" s="72"/>
    </row>
    <row r="8626" spans="1:7" ht="14.5" hidden="1">
      <c r="A8626" s="5"/>
      <c r="B8626" s="18"/>
      <c r="C8626" s="85"/>
      <c r="D8626" s="41"/>
      <c r="E8626" s="26" t="str">
        <f ca="1">IFERROR(__xludf.DUMMYFUNCTION("""COMPUTED_VALUE"""),"")</f>
        <v/>
      </c>
      <c r="F8626" s="72"/>
      <c r="G8626" s="72"/>
    </row>
    <row r="8627" spans="1:7" ht="14.5" hidden="1">
      <c r="A8627" s="5"/>
      <c r="B8627" s="18"/>
      <c r="C8627" s="85"/>
      <c r="D8627" s="41"/>
      <c r="E8627" s="26" t="str">
        <f ca="1">IFERROR(__xludf.DUMMYFUNCTION("""COMPUTED_VALUE"""),"")</f>
        <v/>
      </c>
      <c r="F8627" s="72"/>
      <c r="G8627" s="72"/>
    </row>
    <row r="8628" spans="1:7" ht="14.5" hidden="1">
      <c r="A8628" s="5"/>
      <c r="B8628" s="18"/>
      <c r="C8628" s="85"/>
      <c r="D8628" s="41"/>
      <c r="E8628" s="26" t="str">
        <f ca="1">IFERROR(__xludf.DUMMYFUNCTION("""COMPUTED_VALUE"""),"")</f>
        <v/>
      </c>
      <c r="F8628" s="72"/>
      <c r="G8628" s="72"/>
    </row>
    <row r="8629" spans="1:7" ht="14.5" hidden="1">
      <c r="A8629" s="5"/>
      <c r="B8629" s="18"/>
      <c r="C8629" s="85"/>
      <c r="D8629" s="41"/>
      <c r="E8629" s="26" t="str">
        <f ca="1">IFERROR(__xludf.DUMMYFUNCTION("""COMPUTED_VALUE"""),"")</f>
        <v/>
      </c>
      <c r="F8629" s="72"/>
      <c r="G8629" s="72"/>
    </row>
    <row r="8630" spans="1:7" ht="14.5" hidden="1">
      <c r="A8630" s="5"/>
      <c r="B8630" s="18"/>
      <c r="C8630" s="85"/>
      <c r="D8630" s="41"/>
      <c r="E8630" s="26" t="str">
        <f ca="1">IFERROR(__xludf.DUMMYFUNCTION("""COMPUTED_VALUE"""),"")</f>
        <v/>
      </c>
      <c r="F8630" s="72"/>
      <c r="G8630" s="72"/>
    </row>
    <row r="8631" spans="1:7" ht="14.5" hidden="1">
      <c r="A8631" s="5"/>
      <c r="B8631" s="18"/>
      <c r="C8631" s="85"/>
      <c r="D8631" s="41"/>
      <c r="E8631" s="26" t="str">
        <f ca="1">IFERROR(__xludf.DUMMYFUNCTION("""COMPUTED_VALUE"""),"")</f>
        <v/>
      </c>
      <c r="F8631" s="72"/>
      <c r="G8631" s="72"/>
    </row>
    <row r="8632" spans="1:7" ht="14.5" hidden="1">
      <c r="A8632" s="5"/>
      <c r="B8632" s="18"/>
      <c r="C8632" s="85"/>
      <c r="D8632" s="41"/>
      <c r="E8632" s="26" t="str">
        <f ca="1">IFERROR(__xludf.DUMMYFUNCTION("""COMPUTED_VALUE"""),"")</f>
        <v/>
      </c>
      <c r="F8632" s="72"/>
      <c r="G8632" s="72"/>
    </row>
    <row r="8633" spans="1:7" ht="14.5" hidden="1">
      <c r="A8633" s="5"/>
      <c r="B8633" s="18"/>
      <c r="C8633" s="85"/>
      <c r="D8633" s="41"/>
      <c r="E8633" s="26" t="str">
        <f ca="1">IFERROR(__xludf.DUMMYFUNCTION("""COMPUTED_VALUE"""),"")</f>
        <v/>
      </c>
      <c r="F8633" s="72"/>
      <c r="G8633" s="72"/>
    </row>
    <row r="8634" spans="1:7" ht="14.5" hidden="1">
      <c r="A8634" s="5"/>
      <c r="B8634" s="18"/>
      <c r="C8634" s="85"/>
      <c r="D8634" s="41"/>
      <c r="E8634" s="26" t="str">
        <f ca="1">IFERROR(__xludf.DUMMYFUNCTION("""COMPUTED_VALUE"""),"")</f>
        <v/>
      </c>
      <c r="F8634" s="72"/>
      <c r="G8634" s="72"/>
    </row>
    <row r="8635" spans="1:7" ht="14.5" hidden="1">
      <c r="A8635" s="5"/>
      <c r="B8635" s="18"/>
      <c r="C8635" s="85"/>
      <c r="D8635" s="41"/>
      <c r="E8635" s="26" t="str">
        <f ca="1">IFERROR(__xludf.DUMMYFUNCTION("""COMPUTED_VALUE"""),"")</f>
        <v/>
      </c>
      <c r="F8635" s="72"/>
      <c r="G8635" s="72"/>
    </row>
    <row r="8636" spans="1:7" ht="14.5" hidden="1">
      <c r="A8636" s="5"/>
      <c r="B8636" s="18"/>
      <c r="C8636" s="85"/>
      <c r="D8636" s="41"/>
      <c r="E8636" s="26" t="str">
        <f ca="1">IFERROR(__xludf.DUMMYFUNCTION("""COMPUTED_VALUE"""),"")</f>
        <v/>
      </c>
      <c r="F8636" s="72"/>
      <c r="G8636" s="72"/>
    </row>
    <row r="8637" spans="1:7" ht="14.5" hidden="1">
      <c r="A8637" s="5"/>
      <c r="B8637" s="18"/>
      <c r="C8637" s="85"/>
      <c r="D8637" s="41"/>
      <c r="E8637" s="26" t="str">
        <f ca="1">IFERROR(__xludf.DUMMYFUNCTION("""COMPUTED_VALUE"""),"")</f>
        <v/>
      </c>
      <c r="F8637" s="72"/>
      <c r="G8637" s="72"/>
    </row>
    <row r="8638" spans="1:7" ht="14.5" hidden="1">
      <c r="A8638" s="5"/>
      <c r="B8638" s="18"/>
      <c r="C8638" s="85"/>
      <c r="D8638" s="41"/>
      <c r="E8638" s="26" t="str">
        <f ca="1">IFERROR(__xludf.DUMMYFUNCTION("""COMPUTED_VALUE"""),"")</f>
        <v/>
      </c>
      <c r="F8638" s="72"/>
      <c r="G8638" s="72"/>
    </row>
    <row r="8639" spans="1:7" ht="14.5" hidden="1">
      <c r="A8639" s="5"/>
      <c r="B8639" s="18"/>
      <c r="C8639" s="85"/>
      <c r="D8639" s="41"/>
      <c r="E8639" s="26" t="str">
        <f ca="1">IFERROR(__xludf.DUMMYFUNCTION("""COMPUTED_VALUE"""),"")</f>
        <v/>
      </c>
      <c r="F8639" s="72"/>
      <c r="G8639" s="72"/>
    </row>
    <row r="8640" spans="1:7" ht="14.5" hidden="1">
      <c r="A8640" s="5"/>
      <c r="B8640" s="18"/>
      <c r="C8640" s="85"/>
      <c r="D8640" s="41"/>
      <c r="E8640" s="26" t="str">
        <f ca="1">IFERROR(__xludf.DUMMYFUNCTION("""COMPUTED_VALUE"""),"")</f>
        <v/>
      </c>
      <c r="F8640" s="72"/>
      <c r="G8640" s="72"/>
    </row>
    <row r="8641" spans="1:7" ht="14.5" hidden="1">
      <c r="A8641" s="5"/>
      <c r="B8641" s="18"/>
      <c r="C8641" s="85"/>
      <c r="D8641" s="41"/>
      <c r="E8641" s="26" t="str">
        <f ca="1">IFERROR(__xludf.DUMMYFUNCTION("""COMPUTED_VALUE"""),"")</f>
        <v/>
      </c>
      <c r="F8641" s="72"/>
      <c r="G8641" s="72"/>
    </row>
    <row r="8642" spans="1:7" ht="14.5" hidden="1">
      <c r="A8642" s="5"/>
      <c r="B8642" s="18"/>
      <c r="C8642" s="85"/>
      <c r="D8642" s="41"/>
      <c r="E8642" s="26" t="str">
        <f ca="1">IFERROR(__xludf.DUMMYFUNCTION("""COMPUTED_VALUE"""),"")</f>
        <v/>
      </c>
      <c r="F8642" s="72"/>
      <c r="G8642" s="72"/>
    </row>
    <row r="8643" spans="1:7" ht="14.5" hidden="1">
      <c r="A8643" s="5"/>
      <c r="B8643" s="18"/>
      <c r="C8643" s="85"/>
      <c r="D8643" s="41"/>
      <c r="E8643" s="26" t="str">
        <f ca="1">IFERROR(__xludf.DUMMYFUNCTION("""COMPUTED_VALUE"""),"")</f>
        <v/>
      </c>
      <c r="F8643" s="72"/>
      <c r="G8643" s="72"/>
    </row>
    <row r="8644" spans="1:7" ht="14.5" hidden="1">
      <c r="A8644" s="5"/>
      <c r="B8644" s="18"/>
      <c r="C8644" s="85"/>
      <c r="D8644" s="41"/>
      <c r="E8644" s="26" t="str">
        <f ca="1">IFERROR(__xludf.DUMMYFUNCTION("""COMPUTED_VALUE"""),"")</f>
        <v/>
      </c>
      <c r="F8644" s="72"/>
      <c r="G8644" s="72"/>
    </row>
    <row r="8645" spans="1:7" ht="14.5" hidden="1">
      <c r="A8645" s="5"/>
      <c r="B8645" s="18"/>
      <c r="C8645" s="85"/>
      <c r="D8645" s="41"/>
      <c r="E8645" s="26" t="str">
        <f ca="1">IFERROR(__xludf.DUMMYFUNCTION("""COMPUTED_VALUE"""),"")</f>
        <v/>
      </c>
      <c r="F8645" s="72"/>
      <c r="G8645" s="72"/>
    </row>
    <row r="8646" spans="1:7" ht="14.5" hidden="1">
      <c r="A8646" s="5"/>
      <c r="B8646" s="18"/>
      <c r="C8646" s="85"/>
      <c r="D8646" s="41"/>
      <c r="E8646" s="26" t="str">
        <f ca="1">IFERROR(__xludf.DUMMYFUNCTION("""COMPUTED_VALUE"""),"")</f>
        <v/>
      </c>
      <c r="F8646" s="72"/>
      <c r="G8646" s="72"/>
    </row>
    <row r="8647" spans="1:7" ht="14.5" hidden="1">
      <c r="A8647" s="5"/>
      <c r="B8647" s="18"/>
      <c r="C8647" s="85"/>
      <c r="D8647" s="41"/>
      <c r="E8647" s="26" t="str">
        <f ca="1">IFERROR(__xludf.DUMMYFUNCTION("""COMPUTED_VALUE"""),"")</f>
        <v/>
      </c>
      <c r="F8647" s="72"/>
      <c r="G8647" s="72"/>
    </row>
    <row r="8648" spans="1:7" ht="14.5" hidden="1">
      <c r="A8648" s="5"/>
      <c r="B8648" s="18"/>
      <c r="C8648" s="85"/>
      <c r="D8648" s="41"/>
      <c r="E8648" s="26" t="str">
        <f ca="1">IFERROR(__xludf.DUMMYFUNCTION("""COMPUTED_VALUE"""),"")</f>
        <v/>
      </c>
      <c r="F8648" s="72"/>
      <c r="G8648" s="72"/>
    </row>
    <row r="8649" spans="1:7" ht="14.5" hidden="1">
      <c r="A8649" s="5"/>
      <c r="B8649" s="18"/>
      <c r="C8649" s="85"/>
      <c r="D8649" s="41"/>
      <c r="E8649" s="26" t="str">
        <f ca="1">IFERROR(__xludf.DUMMYFUNCTION("""COMPUTED_VALUE"""),"")</f>
        <v/>
      </c>
      <c r="F8649" s="72"/>
      <c r="G8649" s="72"/>
    </row>
    <row r="8650" spans="1:7" ht="14.5" hidden="1">
      <c r="A8650" s="5"/>
      <c r="B8650" s="18"/>
      <c r="C8650" s="85"/>
      <c r="D8650" s="41"/>
      <c r="E8650" s="26" t="str">
        <f ca="1">IFERROR(__xludf.DUMMYFUNCTION("""COMPUTED_VALUE"""),"")</f>
        <v/>
      </c>
      <c r="F8650" s="72"/>
      <c r="G8650" s="72"/>
    </row>
    <row r="8651" spans="1:7" ht="14.5" hidden="1">
      <c r="A8651" s="5"/>
      <c r="B8651" s="18"/>
      <c r="C8651" s="85"/>
      <c r="D8651" s="41"/>
      <c r="E8651" s="26" t="str">
        <f ca="1">IFERROR(__xludf.DUMMYFUNCTION("""COMPUTED_VALUE"""),"")</f>
        <v/>
      </c>
      <c r="F8651" s="72"/>
      <c r="G8651" s="72"/>
    </row>
    <row r="8652" spans="1:7" ht="14.5" hidden="1">
      <c r="A8652" s="5"/>
      <c r="B8652" s="18"/>
      <c r="C8652" s="85"/>
      <c r="D8652" s="41"/>
      <c r="E8652" s="26" t="str">
        <f ca="1">IFERROR(__xludf.DUMMYFUNCTION("""COMPUTED_VALUE"""),"")</f>
        <v/>
      </c>
      <c r="F8652" s="72"/>
      <c r="G8652" s="72"/>
    </row>
    <row r="8653" spans="1:7" ht="14.5" hidden="1">
      <c r="A8653" s="5"/>
      <c r="B8653" s="18"/>
      <c r="C8653" s="85"/>
      <c r="D8653" s="41"/>
      <c r="E8653" s="26" t="str">
        <f ca="1">IFERROR(__xludf.DUMMYFUNCTION("""COMPUTED_VALUE"""),"")</f>
        <v/>
      </c>
      <c r="F8653" s="72"/>
      <c r="G8653" s="72"/>
    </row>
    <row r="8654" spans="1:7" ht="14.5" hidden="1">
      <c r="A8654" s="5"/>
      <c r="B8654" s="18"/>
      <c r="C8654" s="85"/>
      <c r="D8654" s="41"/>
      <c r="E8654" s="26" t="str">
        <f ca="1">IFERROR(__xludf.DUMMYFUNCTION("""COMPUTED_VALUE"""),"")</f>
        <v/>
      </c>
      <c r="F8654" s="72"/>
      <c r="G8654" s="72"/>
    </row>
    <row r="8655" spans="1:7" ht="14.5" hidden="1">
      <c r="A8655" s="5"/>
      <c r="B8655" s="18"/>
      <c r="C8655" s="85"/>
      <c r="D8655" s="41"/>
      <c r="E8655" s="26" t="str">
        <f ca="1">IFERROR(__xludf.DUMMYFUNCTION("""COMPUTED_VALUE"""),"")</f>
        <v/>
      </c>
      <c r="F8655" s="72"/>
      <c r="G8655" s="72"/>
    </row>
    <row r="8656" spans="1:7" ht="14.5" hidden="1">
      <c r="A8656" s="5"/>
      <c r="B8656" s="18"/>
      <c r="C8656" s="85"/>
      <c r="D8656" s="41"/>
      <c r="E8656" s="26" t="str">
        <f ca="1">IFERROR(__xludf.DUMMYFUNCTION("""COMPUTED_VALUE"""),"")</f>
        <v/>
      </c>
      <c r="F8656" s="72"/>
      <c r="G8656" s="72"/>
    </row>
    <row r="8657" spans="1:7" ht="14.5" hidden="1">
      <c r="A8657" s="5"/>
      <c r="B8657" s="18"/>
      <c r="C8657" s="85"/>
      <c r="D8657" s="41"/>
      <c r="E8657" s="26" t="str">
        <f ca="1">IFERROR(__xludf.DUMMYFUNCTION("""COMPUTED_VALUE"""),"")</f>
        <v/>
      </c>
      <c r="F8657" s="72"/>
      <c r="G8657" s="72"/>
    </row>
    <row r="8658" spans="1:7" ht="14.5" hidden="1">
      <c r="A8658" s="5"/>
      <c r="B8658" s="18"/>
      <c r="C8658" s="85"/>
      <c r="D8658" s="41"/>
      <c r="E8658" s="26" t="str">
        <f ca="1">IFERROR(__xludf.DUMMYFUNCTION("""COMPUTED_VALUE"""),"")</f>
        <v/>
      </c>
      <c r="F8658" s="72"/>
      <c r="G8658" s="72"/>
    </row>
    <row r="8659" spans="1:7" ht="14.5" hidden="1">
      <c r="A8659" s="5"/>
      <c r="B8659" s="18"/>
      <c r="C8659" s="85"/>
      <c r="D8659" s="41"/>
      <c r="E8659" s="26" t="str">
        <f ca="1">IFERROR(__xludf.DUMMYFUNCTION("""COMPUTED_VALUE"""),"")</f>
        <v/>
      </c>
      <c r="F8659" s="72"/>
      <c r="G8659" s="72"/>
    </row>
    <row r="8660" spans="1:7" ht="14.5" hidden="1">
      <c r="A8660" s="5"/>
      <c r="B8660" s="18"/>
      <c r="C8660" s="85"/>
      <c r="D8660" s="41"/>
      <c r="E8660" s="26" t="str">
        <f ca="1">IFERROR(__xludf.DUMMYFUNCTION("""COMPUTED_VALUE"""),"")</f>
        <v/>
      </c>
      <c r="F8660" s="72"/>
      <c r="G8660" s="72"/>
    </row>
    <row r="8661" spans="1:7" ht="14.5" hidden="1">
      <c r="A8661" s="5"/>
      <c r="B8661" s="18"/>
      <c r="C8661" s="85"/>
      <c r="D8661" s="41"/>
      <c r="E8661" s="26" t="str">
        <f ca="1">IFERROR(__xludf.DUMMYFUNCTION("""COMPUTED_VALUE"""),"")</f>
        <v/>
      </c>
      <c r="F8661" s="72"/>
      <c r="G8661" s="72"/>
    </row>
    <row r="8662" spans="1:7" ht="14.5" hidden="1">
      <c r="A8662" s="5"/>
      <c r="B8662" s="18"/>
      <c r="C8662" s="85"/>
      <c r="D8662" s="41"/>
      <c r="E8662" s="26" t="str">
        <f ca="1">IFERROR(__xludf.DUMMYFUNCTION("""COMPUTED_VALUE"""),"")</f>
        <v/>
      </c>
      <c r="F8662" s="72"/>
      <c r="G8662" s="72"/>
    </row>
    <row r="8663" spans="1:7" ht="14.5" hidden="1">
      <c r="A8663" s="5"/>
      <c r="B8663" s="18"/>
      <c r="C8663" s="85"/>
      <c r="D8663" s="41"/>
      <c r="E8663" s="26" t="str">
        <f ca="1">IFERROR(__xludf.DUMMYFUNCTION("""COMPUTED_VALUE"""),"")</f>
        <v/>
      </c>
      <c r="F8663" s="72"/>
      <c r="G8663" s="72"/>
    </row>
    <row r="8664" spans="1:7" ht="14.5" hidden="1">
      <c r="A8664" s="5"/>
      <c r="B8664" s="18"/>
      <c r="C8664" s="85"/>
      <c r="D8664" s="41"/>
      <c r="E8664" s="26" t="str">
        <f ca="1">IFERROR(__xludf.DUMMYFUNCTION("""COMPUTED_VALUE"""),"")</f>
        <v/>
      </c>
      <c r="F8664" s="72"/>
      <c r="G8664" s="72"/>
    </row>
    <row r="8665" spans="1:7" ht="14.5" hidden="1">
      <c r="A8665" s="5"/>
      <c r="B8665" s="18"/>
      <c r="C8665" s="85"/>
      <c r="D8665" s="41"/>
      <c r="E8665" s="26" t="str">
        <f ca="1">IFERROR(__xludf.DUMMYFUNCTION("""COMPUTED_VALUE"""),"")</f>
        <v/>
      </c>
      <c r="F8665" s="72"/>
      <c r="G8665" s="72"/>
    </row>
    <row r="8666" spans="1:7" ht="14.5" hidden="1">
      <c r="A8666" s="5"/>
      <c r="B8666" s="18"/>
      <c r="C8666" s="85"/>
      <c r="D8666" s="41"/>
      <c r="E8666" s="26" t="str">
        <f ca="1">IFERROR(__xludf.DUMMYFUNCTION("""COMPUTED_VALUE"""),"")</f>
        <v/>
      </c>
      <c r="F8666" s="72"/>
      <c r="G8666" s="72"/>
    </row>
    <row r="8667" spans="1:7" ht="14.5" hidden="1">
      <c r="A8667" s="5"/>
      <c r="B8667" s="18"/>
      <c r="C8667" s="85"/>
      <c r="D8667" s="41"/>
      <c r="E8667" s="26" t="str">
        <f ca="1">IFERROR(__xludf.DUMMYFUNCTION("""COMPUTED_VALUE"""),"")</f>
        <v/>
      </c>
      <c r="F8667" s="72"/>
      <c r="G8667" s="72"/>
    </row>
    <row r="8668" spans="1:7" ht="14.5" hidden="1">
      <c r="A8668" s="5"/>
      <c r="B8668" s="18"/>
      <c r="C8668" s="85"/>
      <c r="D8668" s="41"/>
      <c r="E8668" s="26" t="str">
        <f ca="1">IFERROR(__xludf.DUMMYFUNCTION("""COMPUTED_VALUE"""),"")</f>
        <v/>
      </c>
      <c r="F8668" s="72"/>
      <c r="G8668" s="72"/>
    </row>
    <row r="8669" spans="1:7" ht="14.5" hidden="1">
      <c r="A8669" s="5"/>
      <c r="B8669" s="18"/>
      <c r="C8669" s="85"/>
      <c r="D8669" s="41"/>
      <c r="E8669" s="26" t="str">
        <f ca="1">IFERROR(__xludf.DUMMYFUNCTION("""COMPUTED_VALUE"""),"")</f>
        <v/>
      </c>
      <c r="F8669" s="72"/>
      <c r="G8669" s="72"/>
    </row>
    <row r="8670" spans="1:7" ht="14.5" hidden="1">
      <c r="A8670" s="5"/>
      <c r="B8670" s="18"/>
      <c r="C8670" s="85"/>
      <c r="D8670" s="41"/>
      <c r="E8670" s="26" t="str">
        <f ca="1">IFERROR(__xludf.DUMMYFUNCTION("""COMPUTED_VALUE"""),"")</f>
        <v/>
      </c>
      <c r="F8670" s="72"/>
      <c r="G8670" s="72"/>
    </row>
    <row r="8671" spans="1:7" ht="14.5" hidden="1">
      <c r="A8671" s="5"/>
      <c r="B8671" s="18"/>
      <c r="C8671" s="85"/>
      <c r="D8671" s="41"/>
      <c r="E8671" s="26" t="str">
        <f ca="1">IFERROR(__xludf.DUMMYFUNCTION("""COMPUTED_VALUE"""),"")</f>
        <v/>
      </c>
      <c r="F8671" s="72"/>
      <c r="G8671" s="72"/>
    </row>
    <row r="8672" spans="1:7" ht="14.5" hidden="1">
      <c r="A8672" s="5"/>
      <c r="B8672" s="18"/>
      <c r="C8672" s="85"/>
      <c r="D8672" s="41"/>
      <c r="E8672" s="26" t="str">
        <f ca="1">IFERROR(__xludf.DUMMYFUNCTION("""COMPUTED_VALUE"""),"")</f>
        <v/>
      </c>
      <c r="F8672" s="72"/>
      <c r="G8672" s="72"/>
    </row>
    <row r="8673" spans="1:7" ht="14.5" hidden="1">
      <c r="A8673" s="5"/>
      <c r="B8673" s="18"/>
      <c r="C8673" s="85"/>
      <c r="D8673" s="41"/>
      <c r="E8673" s="26" t="str">
        <f ca="1">IFERROR(__xludf.DUMMYFUNCTION("""COMPUTED_VALUE"""),"")</f>
        <v/>
      </c>
      <c r="F8673" s="72"/>
      <c r="G8673" s="72"/>
    </row>
    <row r="8674" spans="1:7" ht="14.5" hidden="1">
      <c r="A8674" s="5"/>
      <c r="B8674" s="18"/>
      <c r="C8674" s="85"/>
      <c r="D8674" s="41"/>
      <c r="E8674" s="26" t="str">
        <f ca="1">IFERROR(__xludf.DUMMYFUNCTION("""COMPUTED_VALUE"""),"")</f>
        <v/>
      </c>
      <c r="F8674" s="72"/>
      <c r="G8674" s="72"/>
    </row>
    <row r="8675" spans="1:7" ht="14.5" hidden="1">
      <c r="A8675" s="5"/>
      <c r="B8675" s="18"/>
      <c r="C8675" s="85"/>
      <c r="D8675" s="41"/>
      <c r="E8675" s="26" t="str">
        <f ca="1">IFERROR(__xludf.DUMMYFUNCTION("""COMPUTED_VALUE"""),"")</f>
        <v/>
      </c>
      <c r="F8675" s="72"/>
      <c r="G8675" s="72"/>
    </row>
    <row r="8676" spans="1:7" ht="14.5" hidden="1">
      <c r="A8676" s="5"/>
      <c r="B8676" s="18"/>
      <c r="C8676" s="85"/>
      <c r="D8676" s="41"/>
      <c r="E8676" s="26" t="str">
        <f ca="1">IFERROR(__xludf.DUMMYFUNCTION("""COMPUTED_VALUE"""),"")</f>
        <v/>
      </c>
      <c r="F8676" s="72"/>
      <c r="G8676" s="72"/>
    </row>
    <row r="8677" spans="1:7" ht="14.5" hidden="1">
      <c r="A8677" s="5"/>
      <c r="B8677" s="18"/>
      <c r="C8677" s="85"/>
      <c r="D8677" s="41"/>
      <c r="E8677" s="26" t="str">
        <f ca="1">IFERROR(__xludf.DUMMYFUNCTION("""COMPUTED_VALUE"""),"")</f>
        <v/>
      </c>
      <c r="F8677" s="72"/>
      <c r="G8677" s="72"/>
    </row>
    <row r="8678" spans="1:7" ht="14.5" hidden="1">
      <c r="A8678" s="5"/>
      <c r="B8678" s="18"/>
      <c r="C8678" s="85"/>
      <c r="D8678" s="41"/>
      <c r="E8678" s="26" t="str">
        <f ca="1">IFERROR(__xludf.DUMMYFUNCTION("""COMPUTED_VALUE"""),"")</f>
        <v/>
      </c>
      <c r="F8678" s="72"/>
      <c r="G8678" s="72"/>
    </row>
    <row r="8679" spans="1:7" ht="14.5" hidden="1">
      <c r="A8679" s="5"/>
      <c r="B8679" s="18"/>
      <c r="C8679" s="85"/>
      <c r="D8679" s="41"/>
      <c r="E8679" s="26" t="str">
        <f ca="1">IFERROR(__xludf.DUMMYFUNCTION("""COMPUTED_VALUE"""),"")</f>
        <v/>
      </c>
      <c r="F8679" s="72"/>
      <c r="G8679" s="72"/>
    </row>
    <row r="8680" spans="1:7" ht="14.5" hidden="1">
      <c r="A8680" s="5"/>
      <c r="B8680" s="18"/>
      <c r="C8680" s="85"/>
      <c r="D8680" s="41"/>
      <c r="E8680" s="26" t="str">
        <f ca="1">IFERROR(__xludf.DUMMYFUNCTION("""COMPUTED_VALUE"""),"")</f>
        <v/>
      </c>
      <c r="F8680" s="72"/>
      <c r="G8680" s="72"/>
    </row>
    <row r="8681" spans="1:7" ht="14.5" hidden="1">
      <c r="A8681" s="5"/>
      <c r="B8681" s="18"/>
      <c r="C8681" s="85"/>
      <c r="D8681" s="41"/>
      <c r="E8681" s="26" t="str">
        <f ca="1">IFERROR(__xludf.DUMMYFUNCTION("""COMPUTED_VALUE"""),"")</f>
        <v/>
      </c>
      <c r="F8681" s="72"/>
      <c r="G8681" s="72"/>
    </row>
    <row r="8682" spans="1:7" ht="14.5" hidden="1">
      <c r="A8682" s="5"/>
      <c r="B8682" s="18"/>
      <c r="C8682" s="85"/>
      <c r="D8682" s="41"/>
      <c r="E8682" s="26" t="str">
        <f ca="1">IFERROR(__xludf.DUMMYFUNCTION("""COMPUTED_VALUE"""),"")</f>
        <v/>
      </c>
      <c r="F8682" s="72"/>
      <c r="G8682" s="72"/>
    </row>
    <row r="8683" spans="1:7" ht="14.5" hidden="1">
      <c r="A8683" s="5"/>
      <c r="B8683" s="18"/>
      <c r="C8683" s="85"/>
      <c r="D8683" s="41"/>
      <c r="E8683" s="26" t="str">
        <f ca="1">IFERROR(__xludf.DUMMYFUNCTION("""COMPUTED_VALUE"""),"")</f>
        <v/>
      </c>
      <c r="F8683" s="72"/>
      <c r="G8683" s="72"/>
    </row>
    <row r="8684" spans="1:7" ht="14.5" hidden="1">
      <c r="A8684" s="5"/>
      <c r="B8684" s="18"/>
      <c r="C8684" s="85"/>
      <c r="D8684" s="41"/>
      <c r="E8684" s="26" t="str">
        <f ca="1">IFERROR(__xludf.DUMMYFUNCTION("""COMPUTED_VALUE"""),"")</f>
        <v/>
      </c>
      <c r="F8684" s="72"/>
      <c r="G8684" s="72"/>
    </row>
    <row r="8685" spans="1:7" ht="14.5" hidden="1">
      <c r="A8685" s="5"/>
      <c r="B8685" s="18"/>
      <c r="C8685" s="85"/>
      <c r="D8685" s="41"/>
      <c r="E8685" s="26" t="str">
        <f ca="1">IFERROR(__xludf.DUMMYFUNCTION("""COMPUTED_VALUE"""),"")</f>
        <v/>
      </c>
      <c r="F8685" s="72"/>
      <c r="G8685" s="72"/>
    </row>
    <row r="8686" spans="1:7" ht="14.5" hidden="1">
      <c r="A8686" s="5"/>
      <c r="B8686" s="18"/>
      <c r="C8686" s="85"/>
      <c r="D8686" s="41"/>
      <c r="E8686" s="26" t="str">
        <f ca="1">IFERROR(__xludf.DUMMYFUNCTION("""COMPUTED_VALUE"""),"")</f>
        <v/>
      </c>
      <c r="F8686" s="72"/>
      <c r="G8686" s="72"/>
    </row>
    <row r="8687" spans="1:7" ht="14.5" hidden="1">
      <c r="A8687" s="5"/>
      <c r="B8687" s="18"/>
      <c r="C8687" s="85"/>
      <c r="D8687" s="41"/>
      <c r="E8687" s="26" t="str">
        <f ca="1">IFERROR(__xludf.DUMMYFUNCTION("""COMPUTED_VALUE"""),"")</f>
        <v/>
      </c>
      <c r="F8687" s="72"/>
      <c r="G8687" s="72"/>
    </row>
    <row r="8688" spans="1:7" ht="14.5" hidden="1">
      <c r="A8688" s="5"/>
      <c r="B8688" s="18"/>
      <c r="C8688" s="85"/>
      <c r="D8688" s="41"/>
      <c r="E8688" s="26" t="str">
        <f ca="1">IFERROR(__xludf.DUMMYFUNCTION("""COMPUTED_VALUE"""),"")</f>
        <v/>
      </c>
      <c r="F8688" s="72"/>
      <c r="G8688" s="72"/>
    </row>
    <row r="8689" spans="1:7" ht="14.5" hidden="1">
      <c r="A8689" s="5"/>
      <c r="B8689" s="18"/>
      <c r="C8689" s="85"/>
      <c r="D8689" s="41"/>
      <c r="E8689" s="26" t="str">
        <f ca="1">IFERROR(__xludf.DUMMYFUNCTION("""COMPUTED_VALUE"""),"")</f>
        <v/>
      </c>
      <c r="F8689" s="72"/>
      <c r="G8689" s="72"/>
    </row>
    <row r="8690" spans="1:7" ht="14.5" hidden="1">
      <c r="A8690" s="5"/>
      <c r="B8690" s="18"/>
      <c r="C8690" s="85"/>
      <c r="D8690" s="41"/>
      <c r="E8690" s="26" t="str">
        <f ca="1">IFERROR(__xludf.DUMMYFUNCTION("""COMPUTED_VALUE"""),"")</f>
        <v/>
      </c>
      <c r="F8690" s="72"/>
      <c r="G8690" s="72"/>
    </row>
    <row r="8691" spans="1:7" ht="14.5" hidden="1">
      <c r="A8691" s="5"/>
      <c r="B8691" s="18"/>
      <c r="C8691" s="85"/>
      <c r="D8691" s="41"/>
      <c r="E8691" s="26" t="str">
        <f ca="1">IFERROR(__xludf.DUMMYFUNCTION("""COMPUTED_VALUE"""),"")</f>
        <v/>
      </c>
      <c r="F8691" s="72"/>
      <c r="G8691" s="72"/>
    </row>
    <row r="8692" spans="1:7" ht="14.5" hidden="1">
      <c r="A8692" s="5"/>
      <c r="B8692" s="18"/>
      <c r="C8692" s="85"/>
      <c r="D8692" s="41"/>
      <c r="E8692" s="26" t="str">
        <f ca="1">IFERROR(__xludf.DUMMYFUNCTION("""COMPUTED_VALUE"""),"")</f>
        <v/>
      </c>
      <c r="F8692" s="72"/>
      <c r="G8692" s="72"/>
    </row>
    <row r="8693" spans="1:7" ht="14.5" hidden="1">
      <c r="A8693" s="5"/>
      <c r="B8693" s="18"/>
      <c r="C8693" s="85"/>
      <c r="D8693" s="41"/>
      <c r="E8693" s="26" t="str">
        <f ca="1">IFERROR(__xludf.DUMMYFUNCTION("""COMPUTED_VALUE"""),"")</f>
        <v/>
      </c>
      <c r="F8693" s="72"/>
      <c r="G8693" s="72"/>
    </row>
    <row r="8694" spans="1:7" ht="14.5" hidden="1">
      <c r="A8694" s="5"/>
      <c r="B8694" s="18"/>
      <c r="C8694" s="85"/>
      <c r="D8694" s="41"/>
      <c r="E8694" s="26" t="str">
        <f ca="1">IFERROR(__xludf.DUMMYFUNCTION("""COMPUTED_VALUE"""),"")</f>
        <v/>
      </c>
      <c r="F8694" s="72"/>
      <c r="G8694" s="72"/>
    </row>
    <row r="8695" spans="1:7" ht="14.5" hidden="1">
      <c r="A8695" s="5"/>
      <c r="B8695" s="18"/>
      <c r="C8695" s="85"/>
      <c r="D8695" s="41"/>
      <c r="E8695" s="26" t="str">
        <f ca="1">IFERROR(__xludf.DUMMYFUNCTION("""COMPUTED_VALUE"""),"")</f>
        <v/>
      </c>
      <c r="F8695" s="72"/>
      <c r="G8695" s="72"/>
    </row>
    <row r="8696" spans="1:7" ht="14.5" hidden="1">
      <c r="A8696" s="5"/>
      <c r="B8696" s="18"/>
      <c r="C8696" s="85"/>
      <c r="D8696" s="41"/>
      <c r="E8696" s="26" t="str">
        <f ca="1">IFERROR(__xludf.DUMMYFUNCTION("""COMPUTED_VALUE"""),"")</f>
        <v/>
      </c>
      <c r="F8696" s="72"/>
      <c r="G8696" s="72"/>
    </row>
    <row r="8697" spans="1:7" ht="14.5" hidden="1">
      <c r="A8697" s="5"/>
      <c r="B8697" s="18"/>
      <c r="C8697" s="85"/>
      <c r="D8697" s="41"/>
      <c r="E8697" s="26" t="str">
        <f ca="1">IFERROR(__xludf.DUMMYFUNCTION("""COMPUTED_VALUE"""),"")</f>
        <v/>
      </c>
      <c r="F8697" s="72"/>
      <c r="G8697" s="72"/>
    </row>
    <row r="8698" spans="1:7" ht="14.5" hidden="1">
      <c r="A8698" s="5"/>
      <c r="B8698" s="18"/>
      <c r="C8698" s="85"/>
      <c r="D8698" s="41"/>
      <c r="E8698" s="26" t="str">
        <f ca="1">IFERROR(__xludf.DUMMYFUNCTION("""COMPUTED_VALUE"""),"")</f>
        <v/>
      </c>
      <c r="F8698" s="72"/>
      <c r="G8698" s="72"/>
    </row>
    <row r="8699" spans="1:7" ht="14.5" hidden="1">
      <c r="A8699" s="5"/>
      <c r="B8699" s="18"/>
      <c r="C8699" s="85"/>
      <c r="D8699" s="41"/>
      <c r="E8699" s="26" t="str">
        <f ca="1">IFERROR(__xludf.DUMMYFUNCTION("""COMPUTED_VALUE"""),"")</f>
        <v/>
      </c>
      <c r="F8699" s="72"/>
      <c r="G8699" s="72"/>
    </row>
    <row r="8700" spans="1:7" ht="14.5" hidden="1">
      <c r="A8700" s="5"/>
      <c r="B8700" s="18"/>
      <c r="C8700" s="85"/>
      <c r="D8700" s="41"/>
      <c r="E8700" s="26" t="str">
        <f ca="1">IFERROR(__xludf.DUMMYFUNCTION("""COMPUTED_VALUE"""),"")</f>
        <v/>
      </c>
      <c r="F8700" s="72"/>
      <c r="G8700" s="72"/>
    </row>
    <row r="8701" spans="1:7" ht="14.5" hidden="1">
      <c r="A8701" s="5"/>
      <c r="B8701" s="18"/>
      <c r="C8701" s="85"/>
      <c r="D8701" s="41"/>
      <c r="E8701" s="26" t="str">
        <f ca="1">IFERROR(__xludf.DUMMYFUNCTION("""COMPUTED_VALUE"""),"")</f>
        <v/>
      </c>
      <c r="F8701" s="72"/>
      <c r="G8701" s="72"/>
    </row>
    <row r="8702" spans="1:7" ht="14.5" hidden="1">
      <c r="A8702" s="5"/>
      <c r="B8702" s="18"/>
      <c r="C8702" s="85"/>
      <c r="D8702" s="41"/>
      <c r="E8702" s="26" t="str">
        <f ca="1">IFERROR(__xludf.DUMMYFUNCTION("""COMPUTED_VALUE"""),"")</f>
        <v/>
      </c>
      <c r="F8702" s="72"/>
      <c r="G8702" s="72"/>
    </row>
    <row r="8703" spans="1:7" ht="14.5" hidden="1">
      <c r="A8703" s="5"/>
      <c r="B8703" s="18"/>
      <c r="C8703" s="85"/>
      <c r="D8703" s="41"/>
      <c r="E8703" s="26" t="str">
        <f ca="1">IFERROR(__xludf.DUMMYFUNCTION("""COMPUTED_VALUE"""),"")</f>
        <v/>
      </c>
      <c r="F8703" s="72"/>
      <c r="G8703" s="72"/>
    </row>
    <row r="8704" spans="1:7" ht="14.5" hidden="1">
      <c r="A8704" s="5"/>
      <c r="B8704" s="18"/>
      <c r="C8704" s="85"/>
      <c r="D8704" s="41"/>
      <c r="E8704" s="26" t="str">
        <f ca="1">IFERROR(__xludf.DUMMYFUNCTION("""COMPUTED_VALUE"""),"")</f>
        <v/>
      </c>
      <c r="F8704" s="72"/>
      <c r="G8704" s="72"/>
    </row>
    <row r="8705" spans="1:7" ht="14.5" hidden="1">
      <c r="A8705" s="5"/>
      <c r="B8705" s="18"/>
      <c r="C8705" s="85"/>
      <c r="D8705" s="41"/>
      <c r="E8705" s="26" t="str">
        <f ca="1">IFERROR(__xludf.DUMMYFUNCTION("""COMPUTED_VALUE"""),"")</f>
        <v/>
      </c>
      <c r="F8705" s="72"/>
      <c r="G8705" s="72"/>
    </row>
    <row r="8706" spans="1:7" ht="14.5" hidden="1">
      <c r="A8706" s="5"/>
      <c r="B8706" s="18"/>
      <c r="C8706" s="85"/>
      <c r="D8706" s="41"/>
      <c r="E8706" s="26" t="str">
        <f ca="1">IFERROR(__xludf.DUMMYFUNCTION("""COMPUTED_VALUE"""),"")</f>
        <v/>
      </c>
      <c r="F8706" s="72"/>
      <c r="G8706" s="72"/>
    </row>
    <row r="8707" spans="1:7" ht="14.5" hidden="1">
      <c r="A8707" s="5"/>
      <c r="B8707" s="18"/>
      <c r="C8707" s="85"/>
      <c r="D8707" s="41"/>
      <c r="E8707" s="26" t="str">
        <f ca="1">IFERROR(__xludf.DUMMYFUNCTION("""COMPUTED_VALUE"""),"")</f>
        <v/>
      </c>
      <c r="F8707" s="72"/>
      <c r="G8707" s="72"/>
    </row>
    <row r="8708" spans="1:7" ht="14.5" hidden="1">
      <c r="A8708" s="5"/>
      <c r="B8708" s="18"/>
      <c r="C8708" s="85"/>
      <c r="D8708" s="41"/>
      <c r="E8708" s="26" t="str">
        <f ca="1">IFERROR(__xludf.DUMMYFUNCTION("""COMPUTED_VALUE"""),"")</f>
        <v/>
      </c>
      <c r="F8708" s="72"/>
      <c r="G8708" s="72"/>
    </row>
    <row r="8709" spans="1:7" ht="14.5" hidden="1">
      <c r="A8709" s="5"/>
      <c r="B8709" s="18"/>
      <c r="C8709" s="85"/>
      <c r="D8709" s="41"/>
      <c r="E8709" s="26" t="str">
        <f ca="1">IFERROR(__xludf.DUMMYFUNCTION("""COMPUTED_VALUE"""),"")</f>
        <v/>
      </c>
      <c r="F8709" s="72"/>
      <c r="G8709" s="72"/>
    </row>
    <row r="8710" spans="1:7" ht="14.5" hidden="1">
      <c r="A8710" s="5"/>
      <c r="B8710" s="18"/>
      <c r="C8710" s="85"/>
      <c r="D8710" s="41"/>
      <c r="E8710" s="26" t="str">
        <f ca="1">IFERROR(__xludf.DUMMYFUNCTION("""COMPUTED_VALUE"""),"")</f>
        <v/>
      </c>
      <c r="F8710" s="72"/>
      <c r="G8710" s="72"/>
    </row>
    <row r="8711" spans="1:7" ht="14.5" hidden="1">
      <c r="A8711" s="5"/>
      <c r="B8711" s="18"/>
      <c r="C8711" s="85"/>
      <c r="D8711" s="41"/>
      <c r="E8711" s="26" t="str">
        <f ca="1">IFERROR(__xludf.DUMMYFUNCTION("""COMPUTED_VALUE"""),"")</f>
        <v/>
      </c>
      <c r="F8711" s="72"/>
      <c r="G8711" s="72"/>
    </row>
    <row r="8712" spans="1:7" ht="14.5" hidden="1">
      <c r="A8712" s="5"/>
      <c r="B8712" s="18"/>
      <c r="C8712" s="85"/>
      <c r="D8712" s="41"/>
      <c r="E8712" s="26" t="str">
        <f ca="1">IFERROR(__xludf.DUMMYFUNCTION("""COMPUTED_VALUE"""),"")</f>
        <v/>
      </c>
      <c r="F8712" s="72"/>
      <c r="G8712" s="72"/>
    </row>
    <row r="8713" spans="1:7" ht="14.5" hidden="1">
      <c r="A8713" s="5"/>
      <c r="B8713" s="18"/>
      <c r="C8713" s="85"/>
      <c r="D8713" s="41"/>
      <c r="E8713" s="26" t="str">
        <f ca="1">IFERROR(__xludf.DUMMYFUNCTION("""COMPUTED_VALUE"""),"")</f>
        <v/>
      </c>
      <c r="F8713" s="72"/>
      <c r="G8713" s="72"/>
    </row>
    <row r="8714" spans="1:7" ht="14.5" hidden="1">
      <c r="A8714" s="5"/>
      <c r="B8714" s="18"/>
      <c r="C8714" s="85"/>
      <c r="D8714" s="41"/>
      <c r="E8714" s="26" t="str">
        <f ca="1">IFERROR(__xludf.DUMMYFUNCTION("""COMPUTED_VALUE"""),"")</f>
        <v/>
      </c>
      <c r="F8714" s="72"/>
      <c r="G8714" s="72"/>
    </row>
    <row r="8715" spans="1:7" ht="14.5" hidden="1">
      <c r="A8715" s="5"/>
      <c r="B8715" s="18"/>
      <c r="C8715" s="85"/>
      <c r="D8715" s="41"/>
      <c r="E8715" s="26" t="str">
        <f ca="1">IFERROR(__xludf.DUMMYFUNCTION("""COMPUTED_VALUE"""),"")</f>
        <v/>
      </c>
      <c r="F8715" s="72"/>
      <c r="G8715" s="72"/>
    </row>
    <row r="8716" spans="1:7" ht="14.5" hidden="1">
      <c r="A8716" s="5"/>
      <c r="B8716" s="18"/>
      <c r="C8716" s="85"/>
      <c r="D8716" s="41"/>
      <c r="E8716" s="26" t="str">
        <f ca="1">IFERROR(__xludf.DUMMYFUNCTION("""COMPUTED_VALUE"""),"")</f>
        <v/>
      </c>
      <c r="F8716" s="72"/>
      <c r="G8716" s="72"/>
    </row>
    <row r="8717" spans="1:7" ht="14.5" hidden="1">
      <c r="A8717" s="5"/>
      <c r="B8717" s="18"/>
      <c r="C8717" s="85"/>
      <c r="D8717" s="41"/>
      <c r="E8717" s="26" t="str">
        <f ca="1">IFERROR(__xludf.DUMMYFUNCTION("""COMPUTED_VALUE"""),"")</f>
        <v/>
      </c>
      <c r="F8717" s="72"/>
      <c r="G8717" s="72"/>
    </row>
    <row r="8718" spans="1:7" ht="14.5" hidden="1">
      <c r="A8718" s="5"/>
      <c r="B8718" s="18"/>
      <c r="C8718" s="85"/>
      <c r="D8718" s="41"/>
      <c r="E8718" s="26" t="str">
        <f ca="1">IFERROR(__xludf.DUMMYFUNCTION("""COMPUTED_VALUE"""),"")</f>
        <v/>
      </c>
      <c r="F8718" s="72"/>
      <c r="G8718" s="72"/>
    </row>
    <row r="8719" spans="1:7" ht="14.5" hidden="1">
      <c r="A8719" s="5"/>
      <c r="B8719" s="18"/>
      <c r="C8719" s="85"/>
      <c r="D8719" s="41"/>
      <c r="E8719" s="26" t="str">
        <f ca="1">IFERROR(__xludf.DUMMYFUNCTION("""COMPUTED_VALUE"""),"")</f>
        <v/>
      </c>
      <c r="F8719" s="72"/>
      <c r="G8719" s="72"/>
    </row>
    <row r="8720" spans="1:7" ht="14.5" hidden="1">
      <c r="A8720" s="5"/>
      <c r="B8720" s="18"/>
      <c r="C8720" s="85"/>
      <c r="D8720" s="41"/>
      <c r="E8720" s="26" t="str">
        <f ca="1">IFERROR(__xludf.DUMMYFUNCTION("""COMPUTED_VALUE"""),"")</f>
        <v/>
      </c>
      <c r="F8720" s="72"/>
      <c r="G8720" s="72"/>
    </row>
    <row r="8721" spans="1:7" ht="14.5" hidden="1">
      <c r="A8721" s="5"/>
      <c r="B8721" s="18"/>
      <c r="C8721" s="85"/>
      <c r="D8721" s="41"/>
      <c r="E8721" s="26" t="str">
        <f ca="1">IFERROR(__xludf.DUMMYFUNCTION("""COMPUTED_VALUE"""),"")</f>
        <v/>
      </c>
      <c r="F8721" s="72"/>
      <c r="G8721" s="72"/>
    </row>
    <row r="8722" spans="1:7" ht="14.5" hidden="1">
      <c r="A8722" s="5"/>
      <c r="B8722" s="18"/>
      <c r="C8722" s="85"/>
      <c r="D8722" s="41"/>
      <c r="E8722" s="26" t="str">
        <f ca="1">IFERROR(__xludf.DUMMYFUNCTION("""COMPUTED_VALUE"""),"")</f>
        <v/>
      </c>
      <c r="F8722" s="72"/>
      <c r="G8722" s="72"/>
    </row>
    <row r="8723" spans="1:7" ht="14.5" hidden="1">
      <c r="A8723" s="5"/>
      <c r="B8723" s="18"/>
      <c r="C8723" s="85"/>
      <c r="D8723" s="41"/>
      <c r="E8723" s="26" t="str">
        <f ca="1">IFERROR(__xludf.DUMMYFUNCTION("""COMPUTED_VALUE"""),"")</f>
        <v/>
      </c>
      <c r="F8723" s="72"/>
      <c r="G8723" s="72"/>
    </row>
    <row r="8724" spans="1:7" ht="14.5" hidden="1">
      <c r="A8724" s="5"/>
      <c r="B8724" s="18"/>
      <c r="C8724" s="85"/>
      <c r="D8724" s="41"/>
      <c r="E8724" s="26" t="str">
        <f ca="1">IFERROR(__xludf.DUMMYFUNCTION("""COMPUTED_VALUE"""),"")</f>
        <v/>
      </c>
      <c r="F8724" s="72"/>
      <c r="G8724" s="72"/>
    </row>
    <row r="8725" spans="1:7" ht="14.5" hidden="1">
      <c r="A8725" s="5"/>
      <c r="B8725" s="18"/>
      <c r="C8725" s="85"/>
      <c r="D8725" s="41"/>
      <c r="E8725" s="26" t="str">
        <f ca="1">IFERROR(__xludf.DUMMYFUNCTION("""COMPUTED_VALUE"""),"")</f>
        <v/>
      </c>
      <c r="F8725" s="72"/>
      <c r="G8725" s="72"/>
    </row>
    <row r="8726" spans="1:7" ht="14.5" hidden="1">
      <c r="A8726" s="5"/>
      <c r="B8726" s="18"/>
      <c r="C8726" s="85"/>
      <c r="D8726" s="41"/>
      <c r="E8726" s="26" t="str">
        <f ca="1">IFERROR(__xludf.DUMMYFUNCTION("""COMPUTED_VALUE"""),"")</f>
        <v/>
      </c>
      <c r="F8726" s="72"/>
      <c r="G8726" s="72"/>
    </row>
    <row r="8727" spans="1:7" ht="14.5" hidden="1">
      <c r="A8727" s="5"/>
      <c r="B8727" s="18"/>
      <c r="C8727" s="85"/>
      <c r="D8727" s="41"/>
      <c r="E8727" s="26" t="str">
        <f ca="1">IFERROR(__xludf.DUMMYFUNCTION("""COMPUTED_VALUE"""),"")</f>
        <v/>
      </c>
      <c r="F8727" s="72"/>
      <c r="G8727" s="72"/>
    </row>
    <row r="8728" spans="1:7" ht="14.5" hidden="1">
      <c r="A8728" s="5"/>
      <c r="B8728" s="18"/>
      <c r="C8728" s="85"/>
      <c r="D8728" s="41"/>
      <c r="E8728" s="26" t="str">
        <f ca="1">IFERROR(__xludf.DUMMYFUNCTION("""COMPUTED_VALUE"""),"")</f>
        <v/>
      </c>
      <c r="F8728" s="72"/>
      <c r="G8728" s="72"/>
    </row>
    <row r="8729" spans="1:7" ht="14.5" hidden="1">
      <c r="A8729" s="5"/>
      <c r="B8729" s="18"/>
      <c r="C8729" s="85"/>
      <c r="D8729" s="41"/>
      <c r="E8729" s="26" t="str">
        <f ca="1">IFERROR(__xludf.DUMMYFUNCTION("""COMPUTED_VALUE"""),"")</f>
        <v/>
      </c>
      <c r="F8729" s="72"/>
      <c r="G8729" s="72"/>
    </row>
    <row r="8730" spans="1:7" ht="14.5" hidden="1">
      <c r="A8730" s="5"/>
      <c r="B8730" s="18"/>
      <c r="C8730" s="85"/>
      <c r="D8730" s="41"/>
      <c r="E8730" s="26" t="str">
        <f ca="1">IFERROR(__xludf.DUMMYFUNCTION("""COMPUTED_VALUE"""),"")</f>
        <v/>
      </c>
      <c r="F8730" s="72"/>
      <c r="G8730" s="72"/>
    </row>
    <row r="8731" spans="1:7" ht="14.5" hidden="1">
      <c r="A8731" s="5"/>
      <c r="B8731" s="18"/>
      <c r="C8731" s="85"/>
      <c r="D8731" s="41"/>
      <c r="E8731" s="26" t="str">
        <f ca="1">IFERROR(__xludf.DUMMYFUNCTION("""COMPUTED_VALUE"""),"")</f>
        <v/>
      </c>
      <c r="F8731" s="72"/>
      <c r="G8731" s="72"/>
    </row>
    <row r="8732" spans="1:7" ht="14.5" hidden="1">
      <c r="A8732" s="5"/>
      <c r="B8732" s="18"/>
      <c r="C8732" s="85"/>
      <c r="D8732" s="41"/>
      <c r="E8732" s="26" t="str">
        <f ca="1">IFERROR(__xludf.DUMMYFUNCTION("""COMPUTED_VALUE"""),"")</f>
        <v/>
      </c>
      <c r="F8732" s="72"/>
      <c r="G8732" s="72"/>
    </row>
    <row r="8733" spans="1:7" ht="14.5" hidden="1">
      <c r="A8733" s="5"/>
      <c r="B8733" s="18"/>
      <c r="C8733" s="85"/>
      <c r="D8733" s="41"/>
      <c r="E8733" s="26" t="str">
        <f ca="1">IFERROR(__xludf.DUMMYFUNCTION("""COMPUTED_VALUE"""),"")</f>
        <v/>
      </c>
      <c r="F8733" s="72"/>
      <c r="G8733" s="72"/>
    </row>
    <row r="8734" spans="1:7" ht="14.5" hidden="1">
      <c r="A8734" s="5"/>
      <c r="B8734" s="18"/>
      <c r="C8734" s="85"/>
      <c r="D8734" s="41"/>
      <c r="E8734" s="26" t="str">
        <f ca="1">IFERROR(__xludf.DUMMYFUNCTION("""COMPUTED_VALUE"""),"")</f>
        <v/>
      </c>
      <c r="F8734" s="72"/>
      <c r="G8734" s="72"/>
    </row>
    <row r="8735" spans="1:7" ht="14.5" hidden="1">
      <c r="A8735" s="5"/>
      <c r="B8735" s="18"/>
      <c r="C8735" s="85"/>
      <c r="D8735" s="41"/>
      <c r="E8735" s="26" t="str">
        <f ca="1">IFERROR(__xludf.DUMMYFUNCTION("""COMPUTED_VALUE"""),"")</f>
        <v/>
      </c>
      <c r="F8735" s="72"/>
      <c r="G8735" s="72"/>
    </row>
    <row r="8736" spans="1:7" ht="14.5" hidden="1">
      <c r="A8736" s="5"/>
      <c r="B8736" s="18"/>
      <c r="C8736" s="85"/>
      <c r="D8736" s="41"/>
      <c r="E8736" s="26" t="str">
        <f ca="1">IFERROR(__xludf.DUMMYFUNCTION("""COMPUTED_VALUE"""),"")</f>
        <v/>
      </c>
      <c r="F8736" s="72"/>
      <c r="G8736" s="72"/>
    </row>
    <row r="8737" spans="1:7" ht="14.5" hidden="1">
      <c r="A8737" s="5"/>
      <c r="B8737" s="18"/>
      <c r="C8737" s="85"/>
      <c r="D8737" s="41"/>
      <c r="E8737" s="26" t="str">
        <f ca="1">IFERROR(__xludf.DUMMYFUNCTION("""COMPUTED_VALUE"""),"")</f>
        <v/>
      </c>
      <c r="F8737" s="72"/>
      <c r="G8737" s="72"/>
    </row>
    <row r="8738" spans="1:7" ht="14.5" hidden="1">
      <c r="A8738" s="5"/>
      <c r="B8738" s="18"/>
      <c r="C8738" s="85"/>
      <c r="D8738" s="41"/>
      <c r="E8738" s="26" t="str">
        <f ca="1">IFERROR(__xludf.DUMMYFUNCTION("""COMPUTED_VALUE"""),"")</f>
        <v/>
      </c>
      <c r="F8738" s="72"/>
      <c r="G8738" s="72"/>
    </row>
    <row r="8739" spans="1:7" ht="14.5" hidden="1">
      <c r="A8739" s="5"/>
      <c r="B8739" s="18"/>
      <c r="C8739" s="85"/>
      <c r="D8739" s="41"/>
      <c r="E8739" s="26" t="str">
        <f ca="1">IFERROR(__xludf.DUMMYFUNCTION("""COMPUTED_VALUE"""),"")</f>
        <v/>
      </c>
      <c r="F8739" s="72"/>
      <c r="G8739" s="72"/>
    </row>
    <row r="8740" spans="1:7" ht="14.5" hidden="1">
      <c r="A8740" s="5"/>
      <c r="B8740" s="18"/>
      <c r="C8740" s="85"/>
      <c r="D8740" s="41"/>
      <c r="E8740" s="26" t="str">
        <f ca="1">IFERROR(__xludf.DUMMYFUNCTION("""COMPUTED_VALUE"""),"")</f>
        <v/>
      </c>
      <c r="F8740" s="72"/>
      <c r="G8740" s="72"/>
    </row>
    <row r="8741" spans="1:7" ht="14.5" hidden="1">
      <c r="A8741" s="5"/>
      <c r="B8741" s="18"/>
      <c r="C8741" s="85"/>
      <c r="D8741" s="41"/>
      <c r="E8741" s="26" t="str">
        <f ca="1">IFERROR(__xludf.DUMMYFUNCTION("""COMPUTED_VALUE"""),"")</f>
        <v/>
      </c>
      <c r="F8741" s="72"/>
      <c r="G8741" s="72"/>
    </row>
    <row r="8742" spans="1:7" ht="14.5" hidden="1">
      <c r="A8742" s="5"/>
      <c r="B8742" s="18"/>
      <c r="C8742" s="85"/>
      <c r="D8742" s="41"/>
      <c r="E8742" s="26" t="str">
        <f ca="1">IFERROR(__xludf.DUMMYFUNCTION("""COMPUTED_VALUE"""),"")</f>
        <v/>
      </c>
      <c r="F8742" s="72"/>
      <c r="G8742" s="72"/>
    </row>
    <row r="8743" spans="1:7" ht="14.5" hidden="1">
      <c r="A8743" s="5"/>
      <c r="B8743" s="18"/>
      <c r="C8743" s="85"/>
      <c r="D8743" s="41"/>
      <c r="E8743" s="26" t="str">
        <f ca="1">IFERROR(__xludf.DUMMYFUNCTION("""COMPUTED_VALUE"""),"")</f>
        <v/>
      </c>
      <c r="F8743" s="72"/>
      <c r="G8743" s="72"/>
    </row>
    <row r="8744" spans="1:7" ht="14.5" hidden="1">
      <c r="A8744" s="5"/>
      <c r="B8744" s="18"/>
      <c r="C8744" s="85"/>
      <c r="D8744" s="41"/>
      <c r="E8744" s="26" t="str">
        <f ca="1">IFERROR(__xludf.DUMMYFUNCTION("""COMPUTED_VALUE"""),"")</f>
        <v/>
      </c>
      <c r="F8744" s="72"/>
      <c r="G8744" s="72"/>
    </row>
    <row r="8745" spans="1:7" ht="14.5" hidden="1">
      <c r="A8745" s="5"/>
      <c r="B8745" s="18"/>
      <c r="C8745" s="85"/>
      <c r="D8745" s="41"/>
      <c r="E8745" s="26" t="str">
        <f ca="1">IFERROR(__xludf.DUMMYFUNCTION("""COMPUTED_VALUE"""),"")</f>
        <v/>
      </c>
      <c r="F8745" s="72"/>
      <c r="G8745" s="72"/>
    </row>
    <row r="8746" spans="1:7" ht="14.5" hidden="1">
      <c r="A8746" s="5"/>
      <c r="B8746" s="18"/>
      <c r="C8746" s="85"/>
      <c r="D8746" s="41"/>
      <c r="E8746" s="26" t="str">
        <f ca="1">IFERROR(__xludf.DUMMYFUNCTION("""COMPUTED_VALUE"""),"")</f>
        <v/>
      </c>
      <c r="F8746" s="72"/>
      <c r="G8746" s="72"/>
    </row>
    <row r="8747" spans="1:7" ht="14.5" hidden="1">
      <c r="A8747" s="5"/>
      <c r="B8747" s="18"/>
      <c r="C8747" s="85"/>
      <c r="D8747" s="41"/>
      <c r="E8747" s="26" t="str">
        <f ca="1">IFERROR(__xludf.DUMMYFUNCTION("""COMPUTED_VALUE"""),"")</f>
        <v/>
      </c>
      <c r="F8747" s="72"/>
      <c r="G8747" s="72"/>
    </row>
    <row r="8748" spans="1:7" ht="14.5" hidden="1">
      <c r="A8748" s="5"/>
      <c r="B8748" s="18"/>
      <c r="C8748" s="85"/>
      <c r="D8748" s="41"/>
      <c r="E8748" s="26" t="str">
        <f ca="1">IFERROR(__xludf.DUMMYFUNCTION("""COMPUTED_VALUE"""),"")</f>
        <v/>
      </c>
      <c r="F8748" s="72"/>
      <c r="G8748" s="72"/>
    </row>
    <row r="8749" spans="1:7" ht="14.5" hidden="1">
      <c r="A8749" s="5"/>
      <c r="B8749" s="18"/>
      <c r="C8749" s="85"/>
      <c r="D8749" s="41"/>
      <c r="E8749" s="26" t="str">
        <f ca="1">IFERROR(__xludf.DUMMYFUNCTION("""COMPUTED_VALUE"""),"")</f>
        <v/>
      </c>
      <c r="F8749" s="72"/>
      <c r="G8749" s="72"/>
    </row>
    <row r="8750" spans="1:7" ht="14.5" hidden="1">
      <c r="A8750" s="5"/>
      <c r="B8750" s="18"/>
      <c r="C8750" s="85"/>
      <c r="D8750" s="41"/>
      <c r="E8750" s="26" t="str">
        <f ca="1">IFERROR(__xludf.DUMMYFUNCTION("""COMPUTED_VALUE"""),"")</f>
        <v/>
      </c>
      <c r="F8750" s="72"/>
      <c r="G8750" s="72"/>
    </row>
    <row r="8751" spans="1:7" ht="14.5" hidden="1">
      <c r="A8751" s="5"/>
      <c r="B8751" s="18"/>
      <c r="C8751" s="85"/>
      <c r="D8751" s="41"/>
      <c r="E8751" s="26" t="str">
        <f ca="1">IFERROR(__xludf.DUMMYFUNCTION("""COMPUTED_VALUE"""),"")</f>
        <v/>
      </c>
      <c r="F8751" s="72"/>
      <c r="G8751" s="72"/>
    </row>
    <row r="8752" spans="1:7" ht="14.5" hidden="1">
      <c r="A8752" s="5"/>
      <c r="B8752" s="18"/>
      <c r="C8752" s="85"/>
      <c r="D8752" s="41"/>
      <c r="E8752" s="26" t="str">
        <f ca="1">IFERROR(__xludf.DUMMYFUNCTION("""COMPUTED_VALUE"""),"")</f>
        <v/>
      </c>
      <c r="F8752" s="72"/>
      <c r="G8752" s="72"/>
    </row>
    <row r="8753" spans="1:7" ht="14.5" hidden="1">
      <c r="A8753" s="5"/>
      <c r="B8753" s="18"/>
      <c r="C8753" s="85"/>
      <c r="D8753" s="41"/>
      <c r="E8753" s="26" t="str">
        <f ca="1">IFERROR(__xludf.DUMMYFUNCTION("""COMPUTED_VALUE"""),"")</f>
        <v/>
      </c>
      <c r="F8753" s="72"/>
      <c r="G8753" s="72"/>
    </row>
    <row r="8754" spans="1:7" ht="14.5" hidden="1">
      <c r="A8754" s="5"/>
      <c r="B8754" s="18"/>
      <c r="C8754" s="85"/>
      <c r="D8754" s="41"/>
      <c r="E8754" s="26" t="str">
        <f ca="1">IFERROR(__xludf.DUMMYFUNCTION("""COMPUTED_VALUE"""),"")</f>
        <v/>
      </c>
      <c r="F8754" s="72"/>
      <c r="G8754" s="72"/>
    </row>
    <row r="8755" spans="1:7" ht="14.5" hidden="1">
      <c r="A8755" s="5"/>
      <c r="B8755" s="18"/>
      <c r="C8755" s="85"/>
      <c r="D8755" s="41"/>
      <c r="E8755" s="26" t="str">
        <f ca="1">IFERROR(__xludf.DUMMYFUNCTION("""COMPUTED_VALUE"""),"")</f>
        <v/>
      </c>
      <c r="F8755" s="72"/>
      <c r="G8755" s="72"/>
    </row>
    <row r="8756" spans="1:7" ht="14.5" hidden="1">
      <c r="A8756" s="5"/>
      <c r="B8756" s="18"/>
      <c r="C8756" s="85"/>
      <c r="D8756" s="41"/>
      <c r="E8756" s="26" t="str">
        <f ca="1">IFERROR(__xludf.DUMMYFUNCTION("""COMPUTED_VALUE"""),"")</f>
        <v/>
      </c>
      <c r="F8756" s="72"/>
      <c r="G8756" s="72"/>
    </row>
    <row r="8757" spans="1:7" ht="14.5" hidden="1">
      <c r="A8757" s="5"/>
      <c r="B8757" s="18"/>
      <c r="C8757" s="85"/>
      <c r="D8757" s="41"/>
      <c r="E8757" s="26" t="str">
        <f ca="1">IFERROR(__xludf.DUMMYFUNCTION("""COMPUTED_VALUE"""),"")</f>
        <v/>
      </c>
      <c r="F8757" s="72"/>
      <c r="G8757" s="72"/>
    </row>
    <row r="8758" spans="1:7" ht="14.5" hidden="1">
      <c r="A8758" s="5"/>
      <c r="B8758" s="18"/>
      <c r="C8758" s="85"/>
      <c r="D8758" s="41"/>
      <c r="E8758" s="26" t="str">
        <f ca="1">IFERROR(__xludf.DUMMYFUNCTION("""COMPUTED_VALUE"""),"")</f>
        <v/>
      </c>
      <c r="F8758" s="72"/>
      <c r="G8758" s="72"/>
    </row>
    <row r="8759" spans="1:7" ht="14.5" hidden="1">
      <c r="A8759" s="5"/>
      <c r="B8759" s="18"/>
      <c r="C8759" s="85"/>
      <c r="D8759" s="41"/>
      <c r="E8759" s="26" t="str">
        <f ca="1">IFERROR(__xludf.DUMMYFUNCTION("""COMPUTED_VALUE"""),"")</f>
        <v/>
      </c>
      <c r="F8759" s="72"/>
      <c r="G8759" s="72"/>
    </row>
    <row r="8760" spans="1:7" ht="14.5" hidden="1">
      <c r="A8760" s="5"/>
      <c r="B8760" s="18"/>
      <c r="C8760" s="85"/>
      <c r="D8760" s="41"/>
      <c r="E8760" s="26" t="str">
        <f ca="1">IFERROR(__xludf.DUMMYFUNCTION("""COMPUTED_VALUE"""),"")</f>
        <v/>
      </c>
      <c r="F8760" s="72"/>
      <c r="G8760" s="72"/>
    </row>
    <row r="8761" spans="1:7" ht="14.5" hidden="1">
      <c r="A8761" s="5"/>
      <c r="B8761" s="18"/>
      <c r="C8761" s="85"/>
      <c r="D8761" s="41"/>
      <c r="E8761" s="26" t="str">
        <f ca="1">IFERROR(__xludf.DUMMYFUNCTION("""COMPUTED_VALUE"""),"")</f>
        <v/>
      </c>
      <c r="F8761" s="72"/>
      <c r="G8761" s="72"/>
    </row>
    <row r="8762" spans="1:7" ht="14.5" hidden="1">
      <c r="A8762" s="5"/>
      <c r="B8762" s="18"/>
      <c r="C8762" s="85"/>
      <c r="D8762" s="41"/>
      <c r="E8762" s="26" t="str">
        <f ca="1">IFERROR(__xludf.DUMMYFUNCTION("""COMPUTED_VALUE"""),"")</f>
        <v/>
      </c>
      <c r="F8762" s="72"/>
      <c r="G8762" s="72"/>
    </row>
    <row r="8763" spans="1:7" ht="14.5" hidden="1">
      <c r="A8763" s="5"/>
      <c r="B8763" s="18"/>
      <c r="C8763" s="85"/>
      <c r="D8763" s="41"/>
      <c r="E8763" s="26" t="str">
        <f ca="1">IFERROR(__xludf.DUMMYFUNCTION("""COMPUTED_VALUE"""),"")</f>
        <v/>
      </c>
      <c r="F8763" s="72"/>
      <c r="G8763" s="72"/>
    </row>
    <row r="8764" spans="1:7" ht="14.5" hidden="1">
      <c r="A8764" s="5"/>
      <c r="B8764" s="18"/>
      <c r="C8764" s="85"/>
      <c r="D8764" s="41"/>
      <c r="E8764" s="26" t="str">
        <f ca="1">IFERROR(__xludf.DUMMYFUNCTION("""COMPUTED_VALUE"""),"")</f>
        <v/>
      </c>
      <c r="F8764" s="72"/>
      <c r="G8764" s="72"/>
    </row>
    <row r="8765" spans="1:7" ht="14.5" hidden="1">
      <c r="A8765" s="5"/>
      <c r="B8765" s="18"/>
      <c r="C8765" s="85"/>
      <c r="D8765" s="41"/>
      <c r="E8765" s="26" t="str">
        <f ca="1">IFERROR(__xludf.DUMMYFUNCTION("""COMPUTED_VALUE"""),"")</f>
        <v/>
      </c>
      <c r="F8765" s="72"/>
      <c r="G8765" s="72"/>
    </row>
    <row r="8766" spans="1:7" ht="14.5" hidden="1">
      <c r="A8766" s="5"/>
      <c r="B8766" s="18"/>
      <c r="C8766" s="85"/>
      <c r="D8766" s="41"/>
      <c r="E8766" s="26" t="str">
        <f ca="1">IFERROR(__xludf.DUMMYFUNCTION("""COMPUTED_VALUE"""),"")</f>
        <v/>
      </c>
      <c r="F8766" s="72"/>
      <c r="G8766" s="72"/>
    </row>
    <row r="8767" spans="1:7" ht="14.5" hidden="1">
      <c r="A8767" s="5"/>
      <c r="B8767" s="18"/>
      <c r="C8767" s="85"/>
      <c r="D8767" s="41"/>
      <c r="E8767" s="26" t="str">
        <f ca="1">IFERROR(__xludf.DUMMYFUNCTION("""COMPUTED_VALUE"""),"")</f>
        <v/>
      </c>
      <c r="F8767" s="72"/>
      <c r="G8767" s="72"/>
    </row>
    <row r="8768" spans="1:7" ht="14.5" hidden="1">
      <c r="A8768" s="5"/>
      <c r="B8768" s="18"/>
      <c r="C8768" s="85"/>
      <c r="D8768" s="41"/>
      <c r="E8768" s="26" t="str">
        <f ca="1">IFERROR(__xludf.DUMMYFUNCTION("""COMPUTED_VALUE"""),"")</f>
        <v/>
      </c>
      <c r="F8768" s="72"/>
      <c r="G8768" s="72"/>
    </row>
    <row r="8769" spans="1:7" ht="14.5" hidden="1">
      <c r="A8769" s="5"/>
      <c r="B8769" s="18"/>
      <c r="C8769" s="85"/>
      <c r="D8769" s="41"/>
      <c r="E8769" s="26" t="str">
        <f ca="1">IFERROR(__xludf.DUMMYFUNCTION("""COMPUTED_VALUE"""),"")</f>
        <v/>
      </c>
      <c r="F8769" s="72"/>
      <c r="G8769" s="72"/>
    </row>
    <row r="8770" spans="1:7" ht="14.5" hidden="1">
      <c r="A8770" s="5"/>
      <c r="B8770" s="18"/>
      <c r="C8770" s="85"/>
      <c r="D8770" s="41"/>
      <c r="E8770" s="26" t="str">
        <f ca="1">IFERROR(__xludf.DUMMYFUNCTION("""COMPUTED_VALUE"""),"")</f>
        <v/>
      </c>
      <c r="F8770" s="72"/>
      <c r="G8770" s="72"/>
    </row>
    <row r="8771" spans="1:7" ht="14.5" hidden="1">
      <c r="A8771" s="5"/>
      <c r="B8771" s="18"/>
      <c r="C8771" s="85"/>
      <c r="D8771" s="41"/>
      <c r="E8771" s="26" t="str">
        <f ca="1">IFERROR(__xludf.DUMMYFUNCTION("""COMPUTED_VALUE"""),"")</f>
        <v/>
      </c>
      <c r="F8771" s="72"/>
      <c r="G8771" s="72"/>
    </row>
    <row r="8772" spans="1:7" ht="14.5" hidden="1">
      <c r="A8772" s="5"/>
      <c r="B8772" s="18"/>
      <c r="C8772" s="85"/>
      <c r="D8772" s="41"/>
      <c r="E8772" s="26" t="str">
        <f ca="1">IFERROR(__xludf.DUMMYFUNCTION("""COMPUTED_VALUE"""),"")</f>
        <v/>
      </c>
      <c r="F8772" s="72"/>
      <c r="G8772" s="72"/>
    </row>
    <row r="8773" spans="1:7" ht="14.5" hidden="1">
      <c r="A8773" s="5"/>
      <c r="B8773" s="18"/>
      <c r="C8773" s="85"/>
      <c r="D8773" s="41"/>
      <c r="E8773" s="26" t="str">
        <f ca="1">IFERROR(__xludf.DUMMYFUNCTION("""COMPUTED_VALUE"""),"")</f>
        <v/>
      </c>
      <c r="F8773" s="72"/>
      <c r="G8773" s="72"/>
    </row>
    <row r="8774" spans="1:7" ht="14.5" hidden="1">
      <c r="A8774" s="5"/>
      <c r="B8774" s="18"/>
      <c r="C8774" s="85"/>
      <c r="D8774" s="41"/>
      <c r="E8774" s="26" t="str">
        <f ca="1">IFERROR(__xludf.DUMMYFUNCTION("""COMPUTED_VALUE"""),"")</f>
        <v/>
      </c>
      <c r="F8774" s="72"/>
      <c r="G8774" s="72"/>
    </row>
    <row r="8775" spans="1:7" ht="14.5" hidden="1">
      <c r="A8775" s="5"/>
      <c r="B8775" s="18"/>
      <c r="C8775" s="85"/>
      <c r="D8775" s="41"/>
      <c r="E8775" s="26" t="str">
        <f ca="1">IFERROR(__xludf.DUMMYFUNCTION("""COMPUTED_VALUE"""),"")</f>
        <v/>
      </c>
      <c r="F8775" s="72"/>
      <c r="G8775" s="72"/>
    </row>
    <row r="8776" spans="1:7" ht="14.5" hidden="1">
      <c r="A8776" s="5"/>
      <c r="B8776" s="18"/>
      <c r="C8776" s="85"/>
      <c r="D8776" s="41"/>
      <c r="E8776" s="26" t="str">
        <f ca="1">IFERROR(__xludf.DUMMYFUNCTION("""COMPUTED_VALUE"""),"")</f>
        <v/>
      </c>
      <c r="F8776" s="72"/>
      <c r="G8776" s="72"/>
    </row>
    <row r="8777" spans="1:7" ht="14.5" hidden="1">
      <c r="A8777" s="5"/>
      <c r="B8777" s="18"/>
      <c r="C8777" s="85"/>
      <c r="D8777" s="41"/>
      <c r="E8777" s="26" t="str">
        <f ca="1">IFERROR(__xludf.DUMMYFUNCTION("""COMPUTED_VALUE"""),"")</f>
        <v/>
      </c>
      <c r="F8777" s="72"/>
      <c r="G8777" s="72"/>
    </row>
    <row r="8778" spans="1:7" ht="14.5" hidden="1">
      <c r="A8778" s="5"/>
      <c r="B8778" s="18"/>
      <c r="C8778" s="85"/>
      <c r="D8778" s="41"/>
      <c r="E8778" s="26" t="str">
        <f ca="1">IFERROR(__xludf.DUMMYFUNCTION("""COMPUTED_VALUE"""),"")</f>
        <v/>
      </c>
      <c r="F8778" s="72"/>
      <c r="G8778" s="72"/>
    </row>
    <row r="8779" spans="1:7" ht="14.5" hidden="1">
      <c r="A8779" s="5"/>
      <c r="B8779" s="18"/>
      <c r="C8779" s="85"/>
      <c r="D8779" s="41"/>
      <c r="E8779" s="26" t="str">
        <f ca="1">IFERROR(__xludf.DUMMYFUNCTION("""COMPUTED_VALUE"""),"")</f>
        <v/>
      </c>
      <c r="F8779" s="72"/>
      <c r="G8779" s="72"/>
    </row>
    <row r="8780" spans="1:7" ht="14.5" hidden="1">
      <c r="A8780" s="5"/>
      <c r="B8780" s="18"/>
      <c r="C8780" s="85"/>
      <c r="D8780" s="41"/>
      <c r="E8780" s="26" t="str">
        <f ca="1">IFERROR(__xludf.DUMMYFUNCTION("""COMPUTED_VALUE"""),"")</f>
        <v/>
      </c>
      <c r="F8780" s="72"/>
      <c r="G8780" s="72"/>
    </row>
    <row r="8781" spans="1:7" ht="14.5" hidden="1">
      <c r="A8781" s="5"/>
      <c r="B8781" s="18"/>
      <c r="C8781" s="85"/>
      <c r="D8781" s="41"/>
      <c r="E8781" s="26" t="str">
        <f ca="1">IFERROR(__xludf.DUMMYFUNCTION("""COMPUTED_VALUE"""),"")</f>
        <v/>
      </c>
      <c r="F8781" s="72"/>
      <c r="G8781" s="72"/>
    </row>
    <row r="8782" spans="1:7" ht="14.5" hidden="1">
      <c r="A8782" s="5"/>
      <c r="B8782" s="18"/>
      <c r="C8782" s="85"/>
      <c r="D8782" s="41"/>
      <c r="E8782" s="26" t="str">
        <f ca="1">IFERROR(__xludf.DUMMYFUNCTION("""COMPUTED_VALUE"""),"")</f>
        <v/>
      </c>
      <c r="F8782" s="72"/>
      <c r="G8782" s="72"/>
    </row>
    <row r="8783" spans="1:7" ht="14.5" hidden="1">
      <c r="A8783" s="5"/>
      <c r="B8783" s="18"/>
      <c r="C8783" s="85"/>
      <c r="D8783" s="41"/>
      <c r="E8783" s="26" t="str">
        <f ca="1">IFERROR(__xludf.DUMMYFUNCTION("""COMPUTED_VALUE"""),"")</f>
        <v/>
      </c>
      <c r="F8783" s="72"/>
      <c r="G8783" s="72"/>
    </row>
    <row r="8784" spans="1:7" ht="14.5" hidden="1">
      <c r="A8784" s="5"/>
      <c r="B8784" s="18"/>
      <c r="C8784" s="85"/>
      <c r="D8784" s="41"/>
      <c r="E8784" s="26" t="str">
        <f ca="1">IFERROR(__xludf.DUMMYFUNCTION("""COMPUTED_VALUE"""),"")</f>
        <v/>
      </c>
      <c r="F8784" s="72"/>
      <c r="G8784" s="72"/>
    </row>
    <row r="8785" spans="1:7" ht="14.5" hidden="1">
      <c r="A8785" s="5"/>
      <c r="B8785" s="18"/>
      <c r="C8785" s="85"/>
      <c r="D8785" s="41"/>
      <c r="E8785" s="26" t="str">
        <f ca="1">IFERROR(__xludf.DUMMYFUNCTION("""COMPUTED_VALUE"""),"")</f>
        <v/>
      </c>
      <c r="F8785" s="72"/>
      <c r="G8785" s="72"/>
    </row>
    <row r="8786" spans="1:7" ht="14.5" hidden="1">
      <c r="A8786" s="5"/>
      <c r="B8786" s="18"/>
      <c r="C8786" s="85"/>
      <c r="D8786" s="41"/>
      <c r="E8786" s="26" t="str">
        <f ca="1">IFERROR(__xludf.DUMMYFUNCTION("""COMPUTED_VALUE"""),"")</f>
        <v/>
      </c>
      <c r="F8786" s="72"/>
      <c r="G8786" s="72"/>
    </row>
    <row r="8787" spans="1:7" ht="14.5" hidden="1">
      <c r="A8787" s="5"/>
      <c r="B8787" s="18"/>
      <c r="C8787" s="85"/>
      <c r="D8787" s="41"/>
      <c r="E8787" s="26" t="str">
        <f ca="1">IFERROR(__xludf.DUMMYFUNCTION("""COMPUTED_VALUE"""),"")</f>
        <v/>
      </c>
      <c r="F8787" s="72"/>
      <c r="G8787" s="72"/>
    </row>
    <row r="8788" spans="1:7" ht="14.5" hidden="1">
      <c r="A8788" s="5"/>
      <c r="B8788" s="18"/>
      <c r="C8788" s="85"/>
      <c r="D8788" s="41"/>
      <c r="E8788" s="26" t="str">
        <f ca="1">IFERROR(__xludf.DUMMYFUNCTION("""COMPUTED_VALUE"""),"")</f>
        <v/>
      </c>
      <c r="F8788" s="72"/>
      <c r="G8788" s="72"/>
    </row>
    <row r="8789" spans="1:7" ht="14.5" hidden="1">
      <c r="A8789" s="5"/>
      <c r="B8789" s="18"/>
      <c r="C8789" s="85"/>
      <c r="D8789" s="41"/>
      <c r="E8789" s="26" t="str">
        <f ca="1">IFERROR(__xludf.DUMMYFUNCTION("""COMPUTED_VALUE"""),"")</f>
        <v/>
      </c>
      <c r="F8789" s="72"/>
      <c r="G8789" s="72"/>
    </row>
    <row r="8790" spans="1:7" ht="14.5" hidden="1">
      <c r="A8790" s="5"/>
      <c r="B8790" s="18"/>
      <c r="C8790" s="85"/>
      <c r="D8790" s="41"/>
      <c r="E8790" s="26" t="str">
        <f ca="1">IFERROR(__xludf.DUMMYFUNCTION("""COMPUTED_VALUE"""),"")</f>
        <v/>
      </c>
      <c r="F8790" s="72"/>
      <c r="G8790" s="72"/>
    </row>
    <row r="8791" spans="1:7" ht="14.5" hidden="1">
      <c r="A8791" s="5"/>
      <c r="B8791" s="18"/>
      <c r="C8791" s="85"/>
      <c r="D8791" s="41"/>
      <c r="E8791" s="26" t="str">
        <f ca="1">IFERROR(__xludf.DUMMYFUNCTION("""COMPUTED_VALUE"""),"")</f>
        <v/>
      </c>
      <c r="F8791" s="72"/>
      <c r="G8791" s="72"/>
    </row>
    <row r="8792" spans="1:7" ht="14.5" hidden="1">
      <c r="A8792" s="5"/>
      <c r="B8792" s="18"/>
      <c r="C8792" s="85"/>
      <c r="D8792" s="41"/>
      <c r="E8792" s="26" t="str">
        <f ca="1">IFERROR(__xludf.DUMMYFUNCTION("""COMPUTED_VALUE"""),"")</f>
        <v/>
      </c>
      <c r="F8792" s="72"/>
      <c r="G8792" s="72"/>
    </row>
    <row r="8793" spans="1:7" ht="14.5" hidden="1">
      <c r="A8793" s="5"/>
      <c r="B8793" s="18"/>
      <c r="C8793" s="85"/>
      <c r="D8793" s="41"/>
      <c r="E8793" s="26" t="str">
        <f ca="1">IFERROR(__xludf.DUMMYFUNCTION("""COMPUTED_VALUE"""),"")</f>
        <v/>
      </c>
      <c r="F8793" s="72"/>
      <c r="G8793" s="72"/>
    </row>
    <row r="8794" spans="1:7" ht="14.5" hidden="1">
      <c r="A8794" s="5"/>
      <c r="B8794" s="18"/>
      <c r="C8794" s="85"/>
      <c r="D8794" s="41"/>
      <c r="E8794" s="26" t="str">
        <f ca="1">IFERROR(__xludf.DUMMYFUNCTION("""COMPUTED_VALUE"""),"")</f>
        <v/>
      </c>
      <c r="F8794" s="72"/>
      <c r="G8794" s="72"/>
    </row>
    <row r="8795" spans="1:7" ht="14.5" hidden="1">
      <c r="A8795" s="5"/>
      <c r="B8795" s="18"/>
      <c r="C8795" s="85"/>
      <c r="D8795" s="41"/>
      <c r="E8795" s="26" t="str">
        <f ca="1">IFERROR(__xludf.DUMMYFUNCTION("""COMPUTED_VALUE"""),"")</f>
        <v/>
      </c>
      <c r="F8795" s="72"/>
      <c r="G8795" s="72"/>
    </row>
    <row r="8796" spans="1:7" ht="14.5" hidden="1">
      <c r="A8796" s="5"/>
      <c r="B8796" s="18"/>
      <c r="C8796" s="85"/>
      <c r="D8796" s="41"/>
      <c r="E8796" s="26" t="str">
        <f ca="1">IFERROR(__xludf.DUMMYFUNCTION("""COMPUTED_VALUE"""),"")</f>
        <v/>
      </c>
      <c r="F8796" s="72"/>
      <c r="G8796" s="72"/>
    </row>
    <row r="8797" spans="1:7" ht="14.5" hidden="1">
      <c r="A8797" s="5"/>
      <c r="B8797" s="18"/>
      <c r="C8797" s="85"/>
      <c r="D8797" s="41"/>
      <c r="E8797" s="26" t="str">
        <f ca="1">IFERROR(__xludf.DUMMYFUNCTION("""COMPUTED_VALUE"""),"")</f>
        <v/>
      </c>
      <c r="F8797" s="72"/>
      <c r="G8797" s="72"/>
    </row>
    <row r="8798" spans="1:7" ht="14.5" hidden="1">
      <c r="A8798" s="5"/>
      <c r="B8798" s="18"/>
      <c r="C8798" s="85"/>
      <c r="D8798" s="41"/>
      <c r="E8798" s="26" t="str">
        <f ca="1">IFERROR(__xludf.DUMMYFUNCTION("""COMPUTED_VALUE"""),"")</f>
        <v/>
      </c>
      <c r="F8798" s="72"/>
      <c r="G8798" s="72"/>
    </row>
    <row r="8799" spans="1:7" ht="14.5" hidden="1">
      <c r="A8799" s="5"/>
      <c r="B8799" s="18"/>
      <c r="C8799" s="85"/>
      <c r="D8799" s="41"/>
      <c r="E8799" s="26" t="str">
        <f ca="1">IFERROR(__xludf.DUMMYFUNCTION("""COMPUTED_VALUE"""),"")</f>
        <v/>
      </c>
      <c r="F8799" s="72"/>
      <c r="G8799" s="72"/>
    </row>
    <row r="8800" spans="1:7" ht="14.5" hidden="1">
      <c r="A8800" s="5"/>
      <c r="B8800" s="18"/>
      <c r="C8800" s="85"/>
      <c r="D8800" s="41"/>
      <c r="E8800" s="26" t="str">
        <f ca="1">IFERROR(__xludf.DUMMYFUNCTION("""COMPUTED_VALUE"""),"")</f>
        <v/>
      </c>
      <c r="F8800" s="72"/>
      <c r="G8800" s="72"/>
    </row>
    <row r="8801" spans="1:7" ht="14.5" hidden="1">
      <c r="A8801" s="5"/>
      <c r="B8801" s="18"/>
      <c r="C8801" s="85"/>
      <c r="D8801" s="41"/>
      <c r="E8801" s="26" t="str">
        <f ca="1">IFERROR(__xludf.DUMMYFUNCTION("""COMPUTED_VALUE"""),"")</f>
        <v/>
      </c>
      <c r="F8801" s="72"/>
      <c r="G8801" s="72"/>
    </row>
    <row r="8802" spans="1:7" ht="14.5" hidden="1">
      <c r="A8802" s="5"/>
      <c r="B8802" s="18"/>
      <c r="C8802" s="85"/>
      <c r="D8802" s="41"/>
      <c r="E8802" s="26" t="str">
        <f ca="1">IFERROR(__xludf.DUMMYFUNCTION("""COMPUTED_VALUE"""),"")</f>
        <v/>
      </c>
      <c r="F8802" s="72"/>
      <c r="G8802" s="72"/>
    </row>
    <row r="8803" spans="1:7" ht="14.5" hidden="1">
      <c r="A8803" s="5"/>
      <c r="B8803" s="18"/>
      <c r="C8803" s="85"/>
      <c r="D8803" s="41"/>
      <c r="E8803" s="26" t="str">
        <f ca="1">IFERROR(__xludf.DUMMYFUNCTION("""COMPUTED_VALUE"""),"")</f>
        <v/>
      </c>
      <c r="F8803" s="72"/>
      <c r="G8803" s="72"/>
    </row>
    <row r="8804" spans="1:7" ht="14.5" hidden="1">
      <c r="A8804" s="5"/>
      <c r="B8804" s="18"/>
      <c r="C8804" s="85"/>
      <c r="D8804" s="41"/>
      <c r="E8804" s="26" t="str">
        <f ca="1">IFERROR(__xludf.DUMMYFUNCTION("""COMPUTED_VALUE"""),"")</f>
        <v/>
      </c>
      <c r="F8804" s="72"/>
      <c r="G8804" s="72"/>
    </row>
    <row r="8805" spans="1:7" ht="14.5" hidden="1">
      <c r="A8805" s="5"/>
      <c r="B8805" s="18"/>
      <c r="C8805" s="85"/>
      <c r="D8805" s="41"/>
      <c r="E8805" s="26" t="str">
        <f ca="1">IFERROR(__xludf.DUMMYFUNCTION("""COMPUTED_VALUE"""),"")</f>
        <v/>
      </c>
      <c r="F8805" s="72"/>
      <c r="G8805" s="72"/>
    </row>
    <row r="8806" spans="1:7" ht="14.5" hidden="1">
      <c r="A8806" s="5"/>
      <c r="B8806" s="18"/>
      <c r="C8806" s="85"/>
      <c r="D8806" s="41"/>
      <c r="E8806" s="26" t="str">
        <f ca="1">IFERROR(__xludf.DUMMYFUNCTION("""COMPUTED_VALUE"""),"")</f>
        <v/>
      </c>
      <c r="F8806" s="72"/>
      <c r="G8806" s="72"/>
    </row>
    <row r="8807" spans="1:7" ht="14.5" hidden="1">
      <c r="A8807" s="5"/>
      <c r="B8807" s="18"/>
      <c r="C8807" s="85"/>
      <c r="D8807" s="41"/>
      <c r="E8807" s="26" t="str">
        <f ca="1">IFERROR(__xludf.DUMMYFUNCTION("""COMPUTED_VALUE"""),"")</f>
        <v/>
      </c>
      <c r="F8807" s="72"/>
      <c r="G8807" s="72"/>
    </row>
    <row r="8808" spans="1:7" ht="14.5" hidden="1">
      <c r="A8808" s="5"/>
      <c r="B8808" s="18"/>
      <c r="C8808" s="85"/>
      <c r="D8808" s="41"/>
      <c r="E8808" s="26" t="str">
        <f ca="1">IFERROR(__xludf.DUMMYFUNCTION("""COMPUTED_VALUE"""),"")</f>
        <v/>
      </c>
      <c r="F8808" s="72"/>
      <c r="G8808" s="72"/>
    </row>
    <row r="8809" spans="1:7" ht="14.5" hidden="1">
      <c r="A8809" s="5"/>
      <c r="B8809" s="18"/>
      <c r="C8809" s="85"/>
      <c r="D8809" s="41"/>
      <c r="E8809" s="26" t="str">
        <f ca="1">IFERROR(__xludf.DUMMYFUNCTION("""COMPUTED_VALUE"""),"")</f>
        <v/>
      </c>
      <c r="F8809" s="72"/>
      <c r="G8809" s="72"/>
    </row>
    <row r="8810" spans="1:7" ht="14.5" hidden="1">
      <c r="A8810" s="5"/>
      <c r="B8810" s="18"/>
      <c r="C8810" s="85"/>
      <c r="D8810" s="41"/>
      <c r="E8810" s="26" t="str">
        <f ca="1">IFERROR(__xludf.DUMMYFUNCTION("""COMPUTED_VALUE"""),"")</f>
        <v/>
      </c>
      <c r="F8810" s="72"/>
      <c r="G8810" s="72"/>
    </row>
    <row r="8811" spans="1:7" ht="14.5" hidden="1">
      <c r="A8811" s="5"/>
      <c r="B8811" s="18"/>
      <c r="C8811" s="85"/>
      <c r="D8811" s="41"/>
      <c r="E8811" s="26" t="str">
        <f ca="1">IFERROR(__xludf.DUMMYFUNCTION("""COMPUTED_VALUE"""),"")</f>
        <v/>
      </c>
      <c r="F8811" s="72"/>
      <c r="G8811" s="72"/>
    </row>
    <row r="8812" spans="1:7" ht="14.5" hidden="1">
      <c r="A8812" s="5"/>
      <c r="B8812" s="18"/>
      <c r="C8812" s="85"/>
      <c r="D8812" s="41"/>
      <c r="E8812" s="26" t="str">
        <f ca="1">IFERROR(__xludf.DUMMYFUNCTION("""COMPUTED_VALUE"""),"")</f>
        <v/>
      </c>
      <c r="F8812" s="72"/>
      <c r="G8812" s="72"/>
    </row>
    <row r="8813" spans="1:7" ht="14.5" hidden="1">
      <c r="A8813" s="5"/>
      <c r="B8813" s="18"/>
      <c r="C8813" s="85"/>
      <c r="D8813" s="41"/>
      <c r="E8813" s="26" t="str">
        <f ca="1">IFERROR(__xludf.DUMMYFUNCTION("""COMPUTED_VALUE"""),"")</f>
        <v/>
      </c>
      <c r="F8813" s="72"/>
      <c r="G8813" s="72"/>
    </row>
    <row r="8814" spans="1:7" ht="14.5" hidden="1">
      <c r="A8814" s="5"/>
      <c r="B8814" s="18"/>
      <c r="C8814" s="85"/>
      <c r="D8814" s="41"/>
      <c r="E8814" s="26" t="str">
        <f ca="1">IFERROR(__xludf.DUMMYFUNCTION("""COMPUTED_VALUE"""),"")</f>
        <v/>
      </c>
      <c r="F8814" s="72"/>
      <c r="G8814" s="72"/>
    </row>
    <row r="8815" spans="1:7" ht="14.5" hidden="1">
      <c r="A8815" s="5"/>
      <c r="B8815" s="18"/>
      <c r="C8815" s="85"/>
      <c r="D8815" s="41"/>
      <c r="E8815" s="26" t="str">
        <f ca="1">IFERROR(__xludf.DUMMYFUNCTION("""COMPUTED_VALUE"""),"")</f>
        <v/>
      </c>
      <c r="F8815" s="72"/>
      <c r="G8815" s="72"/>
    </row>
    <row r="8816" spans="1:7" ht="14.5" hidden="1">
      <c r="A8816" s="5"/>
      <c r="B8816" s="18"/>
      <c r="C8816" s="85"/>
      <c r="D8816" s="41"/>
      <c r="E8816" s="26" t="str">
        <f ca="1">IFERROR(__xludf.DUMMYFUNCTION("""COMPUTED_VALUE"""),"")</f>
        <v/>
      </c>
      <c r="F8816" s="72"/>
      <c r="G8816" s="72"/>
    </row>
    <row r="8817" spans="1:7" ht="14.5" hidden="1">
      <c r="A8817" s="5"/>
      <c r="B8817" s="18"/>
      <c r="C8817" s="85"/>
      <c r="D8817" s="41"/>
      <c r="E8817" s="26" t="str">
        <f ca="1">IFERROR(__xludf.DUMMYFUNCTION("""COMPUTED_VALUE"""),"")</f>
        <v/>
      </c>
      <c r="F8817" s="72"/>
      <c r="G8817" s="72"/>
    </row>
    <row r="8818" spans="1:7" ht="14.5" hidden="1">
      <c r="A8818" s="5"/>
      <c r="B8818" s="18"/>
      <c r="C8818" s="85"/>
      <c r="D8818" s="41"/>
      <c r="E8818" s="26" t="str">
        <f ca="1">IFERROR(__xludf.DUMMYFUNCTION("""COMPUTED_VALUE"""),"")</f>
        <v/>
      </c>
      <c r="F8818" s="72"/>
      <c r="G8818" s="72"/>
    </row>
    <row r="8819" spans="1:7" ht="14.5" hidden="1">
      <c r="A8819" s="5"/>
      <c r="B8819" s="18"/>
      <c r="C8819" s="85"/>
      <c r="D8819" s="41"/>
      <c r="E8819" s="26" t="str">
        <f ca="1">IFERROR(__xludf.DUMMYFUNCTION("""COMPUTED_VALUE"""),"")</f>
        <v/>
      </c>
      <c r="F8819" s="72"/>
      <c r="G8819" s="72"/>
    </row>
    <row r="8820" spans="1:7" ht="14.5" hidden="1">
      <c r="A8820" s="5"/>
      <c r="B8820" s="18"/>
      <c r="C8820" s="85"/>
      <c r="D8820" s="41"/>
      <c r="E8820" s="26" t="str">
        <f ca="1">IFERROR(__xludf.DUMMYFUNCTION("""COMPUTED_VALUE"""),"")</f>
        <v/>
      </c>
      <c r="F8820" s="72"/>
      <c r="G8820" s="72"/>
    </row>
    <row r="8821" spans="1:7" ht="14.5" hidden="1">
      <c r="A8821" s="5"/>
      <c r="B8821" s="18"/>
      <c r="C8821" s="85"/>
      <c r="D8821" s="41"/>
      <c r="E8821" s="26" t="str">
        <f ca="1">IFERROR(__xludf.DUMMYFUNCTION("""COMPUTED_VALUE"""),"")</f>
        <v/>
      </c>
      <c r="F8821" s="72"/>
      <c r="G8821" s="72"/>
    </row>
    <row r="8822" spans="1:7" ht="14.5" hidden="1">
      <c r="A8822" s="5"/>
      <c r="B8822" s="18"/>
      <c r="C8822" s="85"/>
      <c r="D8822" s="41"/>
      <c r="E8822" s="26" t="str">
        <f ca="1">IFERROR(__xludf.DUMMYFUNCTION("""COMPUTED_VALUE"""),"")</f>
        <v/>
      </c>
      <c r="F8822" s="72"/>
      <c r="G8822" s="72"/>
    </row>
    <row r="8823" spans="1:7" ht="14.5" hidden="1">
      <c r="A8823" s="5"/>
      <c r="B8823" s="18"/>
      <c r="C8823" s="85"/>
      <c r="D8823" s="41"/>
      <c r="E8823" s="26" t="str">
        <f ca="1">IFERROR(__xludf.DUMMYFUNCTION("""COMPUTED_VALUE"""),"")</f>
        <v/>
      </c>
      <c r="F8823" s="72"/>
      <c r="G8823" s="72"/>
    </row>
    <row r="8824" spans="1:7" ht="14.5" hidden="1">
      <c r="A8824" s="5"/>
      <c r="B8824" s="18"/>
      <c r="C8824" s="85"/>
      <c r="D8824" s="41"/>
      <c r="E8824" s="26" t="str">
        <f ca="1">IFERROR(__xludf.DUMMYFUNCTION("""COMPUTED_VALUE"""),"")</f>
        <v/>
      </c>
      <c r="F8824" s="72"/>
      <c r="G8824" s="72"/>
    </row>
    <row r="8825" spans="1:7" ht="14.5" hidden="1">
      <c r="A8825" s="5"/>
      <c r="B8825" s="18"/>
      <c r="C8825" s="85"/>
      <c r="D8825" s="41"/>
      <c r="E8825" s="26" t="str">
        <f ca="1">IFERROR(__xludf.DUMMYFUNCTION("""COMPUTED_VALUE"""),"")</f>
        <v/>
      </c>
      <c r="F8825" s="72"/>
      <c r="G8825" s="72"/>
    </row>
    <row r="8826" spans="1:7" ht="14.5" hidden="1">
      <c r="A8826" s="5"/>
      <c r="B8826" s="18"/>
      <c r="C8826" s="85"/>
      <c r="D8826" s="41"/>
      <c r="E8826" s="26" t="str">
        <f ca="1">IFERROR(__xludf.DUMMYFUNCTION("""COMPUTED_VALUE"""),"")</f>
        <v/>
      </c>
      <c r="F8826" s="72"/>
      <c r="G8826" s="72"/>
    </row>
    <row r="8827" spans="1:7" ht="14.5" hidden="1">
      <c r="A8827" s="5"/>
      <c r="B8827" s="18"/>
      <c r="C8827" s="85"/>
      <c r="D8827" s="41"/>
      <c r="E8827" s="26" t="str">
        <f ca="1">IFERROR(__xludf.DUMMYFUNCTION("""COMPUTED_VALUE"""),"")</f>
        <v/>
      </c>
      <c r="F8827" s="72"/>
      <c r="G8827" s="72"/>
    </row>
    <row r="8828" spans="1:7" ht="14.5" hidden="1">
      <c r="A8828" s="5"/>
      <c r="B8828" s="18"/>
      <c r="C8828" s="85"/>
      <c r="D8828" s="41"/>
      <c r="E8828" s="26" t="str">
        <f ca="1">IFERROR(__xludf.DUMMYFUNCTION("""COMPUTED_VALUE"""),"")</f>
        <v/>
      </c>
      <c r="F8828" s="72"/>
      <c r="G8828" s="72"/>
    </row>
    <row r="8829" spans="1:7" ht="14.5" hidden="1">
      <c r="A8829" s="5"/>
      <c r="B8829" s="18"/>
      <c r="C8829" s="85"/>
      <c r="D8829" s="41"/>
      <c r="E8829" s="26" t="str">
        <f ca="1">IFERROR(__xludf.DUMMYFUNCTION("""COMPUTED_VALUE"""),"")</f>
        <v/>
      </c>
      <c r="F8829" s="72"/>
      <c r="G8829" s="72"/>
    </row>
    <row r="8830" spans="1:7" ht="14.5" hidden="1">
      <c r="A8830" s="5"/>
      <c r="B8830" s="18"/>
      <c r="C8830" s="85"/>
      <c r="D8830" s="41"/>
      <c r="E8830" s="26" t="str">
        <f ca="1">IFERROR(__xludf.DUMMYFUNCTION("""COMPUTED_VALUE"""),"")</f>
        <v/>
      </c>
      <c r="F8830" s="72"/>
      <c r="G8830" s="72"/>
    </row>
    <row r="8831" spans="1:7" ht="14.5" hidden="1">
      <c r="A8831" s="5"/>
      <c r="B8831" s="18"/>
      <c r="C8831" s="85"/>
      <c r="D8831" s="41"/>
      <c r="E8831" s="26" t="str">
        <f ca="1">IFERROR(__xludf.DUMMYFUNCTION("""COMPUTED_VALUE"""),"")</f>
        <v/>
      </c>
      <c r="F8831" s="72"/>
      <c r="G8831" s="72"/>
    </row>
    <row r="8832" spans="1:7" ht="14.5" hidden="1">
      <c r="A8832" s="5"/>
      <c r="B8832" s="18"/>
      <c r="C8832" s="85"/>
      <c r="D8832" s="41"/>
      <c r="E8832" s="26" t="str">
        <f ca="1">IFERROR(__xludf.DUMMYFUNCTION("""COMPUTED_VALUE"""),"")</f>
        <v/>
      </c>
      <c r="F8832" s="72"/>
      <c r="G8832" s="72"/>
    </row>
    <row r="8833" spans="1:7" ht="14.5" hidden="1">
      <c r="A8833" s="5"/>
      <c r="B8833" s="18"/>
      <c r="C8833" s="85"/>
      <c r="D8833" s="41"/>
      <c r="E8833" s="26" t="str">
        <f ca="1">IFERROR(__xludf.DUMMYFUNCTION("""COMPUTED_VALUE"""),"")</f>
        <v/>
      </c>
      <c r="F8833" s="72"/>
      <c r="G8833" s="72"/>
    </row>
    <row r="8834" spans="1:7" ht="14.5" hidden="1">
      <c r="A8834" s="5"/>
      <c r="B8834" s="18"/>
      <c r="C8834" s="85"/>
      <c r="D8834" s="41"/>
      <c r="E8834" s="26" t="str">
        <f ca="1">IFERROR(__xludf.DUMMYFUNCTION("""COMPUTED_VALUE"""),"")</f>
        <v/>
      </c>
      <c r="F8834" s="72"/>
      <c r="G8834" s="72"/>
    </row>
    <row r="8835" spans="1:7" ht="14.5" hidden="1">
      <c r="A8835" s="5"/>
      <c r="B8835" s="18"/>
      <c r="C8835" s="85"/>
      <c r="D8835" s="41"/>
      <c r="E8835" s="26" t="str">
        <f ca="1">IFERROR(__xludf.DUMMYFUNCTION("""COMPUTED_VALUE"""),"")</f>
        <v/>
      </c>
      <c r="F8835" s="72"/>
      <c r="G8835" s="72"/>
    </row>
    <row r="8836" spans="1:7" ht="14.5" hidden="1">
      <c r="A8836" s="5"/>
      <c r="B8836" s="18"/>
      <c r="C8836" s="85"/>
      <c r="D8836" s="41"/>
      <c r="E8836" s="26" t="str">
        <f ca="1">IFERROR(__xludf.DUMMYFUNCTION("""COMPUTED_VALUE"""),"")</f>
        <v/>
      </c>
      <c r="F8836" s="72"/>
      <c r="G8836" s="72"/>
    </row>
    <row r="8837" spans="1:7" ht="14.5" hidden="1">
      <c r="A8837" s="5"/>
      <c r="B8837" s="18"/>
      <c r="C8837" s="85"/>
      <c r="D8837" s="41"/>
      <c r="E8837" s="26" t="str">
        <f ca="1">IFERROR(__xludf.DUMMYFUNCTION("""COMPUTED_VALUE"""),"")</f>
        <v/>
      </c>
      <c r="F8837" s="72"/>
      <c r="G8837" s="72"/>
    </row>
    <row r="8838" spans="1:7" ht="14.5" hidden="1">
      <c r="A8838" s="5"/>
      <c r="B8838" s="18"/>
      <c r="C8838" s="85"/>
      <c r="D8838" s="41"/>
      <c r="E8838" s="26" t="str">
        <f ca="1">IFERROR(__xludf.DUMMYFUNCTION("""COMPUTED_VALUE"""),"")</f>
        <v/>
      </c>
      <c r="F8838" s="72"/>
      <c r="G8838" s="72"/>
    </row>
    <row r="8839" spans="1:7" ht="14.5" hidden="1">
      <c r="A8839" s="5"/>
      <c r="B8839" s="18"/>
      <c r="C8839" s="85"/>
      <c r="D8839" s="41"/>
      <c r="E8839" s="26" t="str">
        <f ca="1">IFERROR(__xludf.DUMMYFUNCTION("""COMPUTED_VALUE"""),"")</f>
        <v/>
      </c>
      <c r="F8839" s="72"/>
      <c r="G8839" s="72"/>
    </row>
    <row r="8840" spans="1:7" ht="14.5" hidden="1">
      <c r="A8840" s="5"/>
      <c r="B8840" s="18"/>
      <c r="C8840" s="85"/>
      <c r="D8840" s="41"/>
      <c r="E8840" s="26" t="str">
        <f ca="1">IFERROR(__xludf.DUMMYFUNCTION("""COMPUTED_VALUE"""),"")</f>
        <v/>
      </c>
      <c r="F8840" s="72"/>
      <c r="G8840" s="72"/>
    </row>
    <row r="8841" spans="1:7" ht="14.5" hidden="1">
      <c r="A8841" s="5"/>
      <c r="B8841" s="18"/>
      <c r="C8841" s="85"/>
      <c r="D8841" s="41"/>
      <c r="E8841" s="26" t="str">
        <f ca="1">IFERROR(__xludf.DUMMYFUNCTION("""COMPUTED_VALUE"""),"")</f>
        <v/>
      </c>
      <c r="F8841" s="72"/>
      <c r="G8841" s="72"/>
    </row>
    <row r="8842" spans="1:7" ht="14.5" hidden="1">
      <c r="A8842" s="5"/>
      <c r="B8842" s="18"/>
      <c r="C8842" s="85"/>
      <c r="D8842" s="41"/>
      <c r="E8842" s="26" t="str">
        <f ca="1">IFERROR(__xludf.DUMMYFUNCTION("""COMPUTED_VALUE"""),"")</f>
        <v/>
      </c>
      <c r="F8842" s="72"/>
      <c r="G8842" s="72"/>
    </row>
    <row r="8843" spans="1:7" ht="14.5" hidden="1">
      <c r="A8843" s="5"/>
      <c r="B8843" s="18"/>
      <c r="C8843" s="85"/>
      <c r="D8843" s="41"/>
      <c r="E8843" s="26" t="str">
        <f ca="1">IFERROR(__xludf.DUMMYFUNCTION("""COMPUTED_VALUE"""),"")</f>
        <v/>
      </c>
      <c r="F8843" s="72"/>
      <c r="G8843" s="72"/>
    </row>
    <row r="8844" spans="1:7" ht="14.5" hidden="1">
      <c r="A8844" s="5"/>
      <c r="B8844" s="18"/>
      <c r="C8844" s="85"/>
      <c r="D8844" s="41"/>
      <c r="E8844" s="26" t="str">
        <f ca="1">IFERROR(__xludf.DUMMYFUNCTION("""COMPUTED_VALUE"""),"")</f>
        <v/>
      </c>
      <c r="F8844" s="72"/>
      <c r="G8844" s="72"/>
    </row>
    <row r="8845" spans="1:7" ht="14.5" hidden="1">
      <c r="A8845" s="5"/>
      <c r="B8845" s="18"/>
      <c r="C8845" s="85"/>
      <c r="D8845" s="41"/>
      <c r="E8845" s="26" t="str">
        <f ca="1">IFERROR(__xludf.DUMMYFUNCTION("""COMPUTED_VALUE"""),"")</f>
        <v/>
      </c>
      <c r="F8845" s="72"/>
      <c r="G8845" s="72"/>
    </row>
    <row r="8846" spans="1:7" ht="14.5" hidden="1">
      <c r="A8846" s="5"/>
      <c r="B8846" s="18"/>
      <c r="C8846" s="85"/>
      <c r="D8846" s="41"/>
      <c r="E8846" s="26" t="str">
        <f ca="1">IFERROR(__xludf.DUMMYFUNCTION("""COMPUTED_VALUE"""),"")</f>
        <v/>
      </c>
      <c r="F8846" s="72"/>
      <c r="G8846" s="72"/>
    </row>
    <row r="8847" spans="1:7" ht="14.5" hidden="1">
      <c r="A8847" s="5"/>
      <c r="B8847" s="18"/>
      <c r="C8847" s="85"/>
      <c r="D8847" s="41"/>
      <c r="E8847" s="26" t="str">
        <f ca="1">IFERROR(__xludf.DUMMYFUNCTION("""COMPUTED_VALUE"""),"")</f>
        <v/>
      </c>
      <c r="F8847" s="72"/>
      <c r="G8847" s="72"/>
    </row>
    <row r="8848" spans="1:7" ht="14.5" hidden="1">
      <c r="A8848" s="5"/>
      <c r="B8848" s="18"/>
      <c r="C8848" s="85"/>
      <c r="D8848" s="41"/>
      <c r="E8848" s="26" t="str">
        <f ca="1">IFERROR(__xludf.DUMMYFUNCTION("""COMPUTED_VALUE"""),"")</f>
        <v/>
      </c>
      <c r="F8848" s="72"/>
      <c r="G8848" s="72"/>
    </row>
    <row r="8849" spans="1:7" ht="14.5" hidden="1">
      <c r="A8849" s="5"/>
      <c r="B8849" s="18"/>
      <c r="C8849" s="85"/>
      <c r="D8849" s="41"/>
      <c r="E8849" s="26" t="str">
        <f ca="1">IFERROR(__xludf.DUMMYFUNCTION("""COMPUTED_VALUE"""),"")</f>
        <v/>
      </c>
      <c r="F8849" s="72"/>
      <c r="G8849" s="72"/>
    </row>
    <row r="8850" spans="1:7" ht="14.5" hidden="1">
      <c r="A8850" s="5"/>
      <c r="B8850" s="18"/>
      <c r="C8850" s="85"/>
      <c r="D8850" s="41"/>
      <c r="E8850" s="26" t="str">
        <f ca="1">IFERROR(__xludf.DUMMYFUNCTION("""COMPUTED_VALUE"""),"")</f>
        <v/>
      </c>
      <c r="F8850" s="72"/>
      <c r="G8850" s="72"/>
    </row>
    <row r="8851" spans="1:7" ht="14.5" hidden="1">
      <c r="A8851" s="5"/>
      <c r="B8851" s="18"/>
      <c r="C8851" s="85"/>
      <c r="D8851" s="41"/>
      <c r="E8851" s="26" t="str">
        <f ca="1">IFERROR(__xludf.DUMMYFUNCTION("""COMPUTED_VALUE"""),"")</f>
        <v/>
      </c>
      <c r="F8851" s="72"/>
      <c r="G8851" s="72"/>
    </row>
    <row r="8852" spans="1:7" ht="14.5" hidden="1">
      <c r="A8852" s="5"/>
      <c r="B8852" s="18"/>
      <c r="C8852" s="85"/>
      <c r="D8852" s="41"/>
      <c r="E8852" s="26" t="str">
        <f ca="1">IFERROR(__xludf.DUMMYFUNCTION("""COMPUTED_VALUE"""),"")</f>
        <v/>
      </c>
      <c r="F8852" s="72"/>
      <c r="G8852" s="72"/>
    </row>
    <row r="8853" spans="1:7" ht="14.5" hidden="1">
      <c r="A8853" s="5"/>
      <c r="B8853" s="18"/>
      <c r="C8853" s="85"/>
      <c r="D8853" s="41"/>
      <c r="E8853" s="26" t="str">
        <f ca="1">IFERROR(__xludf.DUMMYFUNCTION("""COMPUTED_VALUE"""),"")</f>
        <v/>
      </c>
      <c r="F8853" s="72"/>
      <c r="G8853" s="72"/>
    </row>
    <row r="8854" spans="1:7" ht="14.5" hidden="1">
      <c r="A8854" s="5"/>
      <c r="B8854" s="18"/>
      <c r="C8854" s="85"/>
      <c r="D8854" s="41"/>
      <c r="E8854" s="26" t="str">
        <f ca="1">IFERROR(__xludf.DUMMYFUNCTION("""COMPUTED_VALUE"""),"")</f>
        <v/>
      </c>
      <c r="F8854" s="72"/>
      <c r="G8854" s="72"/>
    </row>
    <row r="8855" spans="1:7" ht="14.5" hidden="1">
      <c r="A8855" s="5"/>
      <c r="B8855" s="18"/>
      <c r="C8855" s="85"/>
      <c r="D8855" s="41"/>
      <c r="E8855" s="26" t="str">
        <f ca="1">IFERROR(__xludf.DUMMYFUNCTION("""COMPUTED_VALUE"""),"")</f>
        <v/>
      </c>
      <c r="F8855" s="72"/>
      <c r="G8855" s="72"/>
    </row>
    <row r="8856" spans="1:7" ht="14.5" hidden="1">
      <c r="A8856" s="5"/>
      <c r="B8856" s="18"/>
      <c r="C8856" s="85"/>
      <c r="D8856" s="41"/>
      <c r="E8856" s="26" t="str">
        <f ca="1">IFERROR(__xludf.DUMMYFUNCTION("""COMPUTED_VALUE"""),"")</f>
        <v/>
      </c>
      <c r="F8856" s="72"/>
      <c r="G8856" s="72"/>
    </row>
    <row r="8857" spans="1:7" ht="14.5" hidden="1">
      <c r="A8857" s="5"/>
      <c r="B8857" s="18"/>
      <c r="C8857" s="85"/>
      <c r="D8857" s="41"/>
      <c r="E8857" s="26" t="str">
        <f ca="1">IFERROR(__xludf.DUMMYFUNCTION("""COMPUTED_VALUE"""),"")</f>
        <v/>
      </c>
      <c r="F8857" s="72"/>
      <c r="G8857" s="72"/>
    </row>
    <row r="8858" spans="1:7" ht="14.5" hidden="1">
      <c r="A8858" s="5"/>
      <c r="B8858" s="18"/>
      <c r="C8858" s="85"/>
      <c r="D8858" s="41"/>
      <c r="E8858" s="26" t="str">
        <f ca="1">IFERROR(__xludf.DUMMYFUNCTION("""COMPUTED_VALUE"""),"")</f>
        <v/>
      </c>
      <c r="F8858" s="72"/>
      <c r="G8858" s="72"/>
    </row>
    <row r="8859" spans="1:7" ht="14.5" hidden="1">
      <c r="A8859" s="5"/>
      <c r="B8859" s="18"/>
      <c r="C8859" s="85"/>
      <c r="D8859" s="41"/>
      <c r="E8859" s="26" t="str">
        <f ca="1">IFERROR(__xludf.DUMMYFUNCTION("""COMPUTED_VALUE"""),"")</f>
        <v/>
      </c>
      <c r="F8859" s="72"/>
      <c r="G8859" s="72"/>
    </row>
    <row r="8860" spans="1:7" ht="14.5" hidden="1">
      <c r="A8860" s="5"/>
      <c r="B8860" s="18"/>
      <c r="C8860" s="85"/>
      <c r="D8860" s="41"/>
      <c r="E8860" s="26" t="str">
        <f ca="1">IFERROR(__xludf.DUMMYFUNCTION("""COMPUTED_VALUE"""),"")</f>
        <v/>
      </c>
      <c r="F8860" s="72"/>
      <c r="G8860" s="72"/>
    </row>
    <row r="8861" spans="1:7" ht="14.5" hidden="1">
      <c r="A8861" s="5"/>
      <c r="B8861" s="18"/>
      <c r="C8861" s="85"/>
      <c r="D8861" s="41"/>
      <c r="E8861" s="26" t="str">
        <f ca="1">IFERROR(__xludf.DUMMYFUNCTION("""COMPUTED_VALUE"""),"")</f>
        <v/>
      </c>
      <c r="F8861" s="72"/>
      <c r="G8861" s="72"/>
    </row>
    <row r="8862" spans="1:7" ht="14.5" hidden="1">
      <c r="A8862" s="5"/>
      <c r="B8862" s="18"/>
      <c r="C8862" s="85"/>
      <c r="D8862" s="41"/>
      <c r="E8862" s="26" t="str">
        <f ca="1">IFERROR(__xludf.DUMMYFUNCTION("""COMPUTED_VALUE"""),"")</f>
        <v/>
      </c>
      <c r="F8862" s="72"/>
      <c r="G8862" s="72"/>
    </row>
    <row r="8863" spans="1:7" ht="14.5" hidden="1">
      <c r="A8863" s="5"/>
      <c r="B8863" s="18"/>
      <c r="C8863" s="85"/>
      <c r="D8863" s="41"/>
      <c r="E8863" s="26" t="str">
        <f ca="1">IFERROR(__xludf.DUMMYFUNCTION("""COMPUTED_VALUE"""),"")</f>
        <v/>
      </c>
      <c r="F8863" s="72"/>
      <c r="G8863" s="72"/>
    </row>
    <row r="8864" spans="1:7" ht="14.5" hidden="1">
      <c r="A8864" s="5"/>
      <c r="B8864" s="18"/>
      <c r="C8864" s="85"/>
      <c r="D8864" s="41"/>
      <c r="E8864" s="26" t="str">
        <f ca="1">IFERROR(__xludf.DUMMYFUNCTION("""COMPUTED_VALUE"""),"")</f>
        <v/>
      </c>
      <c r="F8864" s="72"/>
      <c r="G8864" s="72"/>
    </row>
    <row r="8865" spans="1:7" ht="14.5" hidden="1">
      <c r="A8865" s="5"/>
      <c r="B8865" s="18"/>
      <c r="C8865" s="85"/>
      <c r="D8865" s="41"/>
      <c r="E8865" s="26" t="str">
        <f ca="1">IFERROR(__xludf.DUMMYFUNCTION("""COMPUTED_VALUE"""),"")</f>
        <v/>
      </c>
      <c r="F8865" s="72"/>
      <c r="G8865" s="72"/>
    </row>
    <row r="8866" spans="1:7" ht="14.5" hidden="1">
      <c r="A8866" s="5"/>
      <c r="B8866" s="18"/>
      <c r="C8866" s="85"/>
      <c r="D8866" s="41"/>
      <c r="E8866" s="26" t="str">
        <f ca="1">IFERROR(__xludf.DUMMYFUNCTION("""COMPUTED_VALUE"""),"")</f>
        <v/>
      </c>
      <c r="F8866" s="72"/>
      <c r="G8866" s="72"/>
    </row>
    <row r="8867" spans="1:7" ht="14.5" hidden="1">
      <c r="A8867" s="5"/>
      <c r="B8867" s="18"/>
      <c r="C8867" s="85"/>
      <c r="D8867" s="41"/>
      <c r="E8867" s="26" t="str">
        <f ca="1">IFERROR(__xludf.DUMMYFUNCTION("""COMPUTED_VALUE"""),"")</f>
        <v/>
      </c>
      <c r="F8867" s="72"/>
      <c r="G8867" s="72"/>
    </row>
    <row r="8868" spans="1:7" ht="14.5" hidden="1">
      <c r="A8868" s="5"/>
      <c r="B8868" s="18"/>
      <c r="C8868" s="85"/>
      <c r="D8868" s="41"/>
      <c r="E8868" s="26" t="str">
        <f ca="1">IFERROR(__xludf.DUMMYFUNCTION("""COMPUTED_VALUE"""),"")</f>
        <v/>
      </c>
      <c r="F8868" s="72"/>
      <c r="G8868" s="72"/>
    </row>
    <row r="8869" spans="1:7" ht="14.5" hidden="1">
      <c r="A8869" s="5"/>
      <c r="B8869" s="18"/>
      <c r="C8869" s="85"/>
      <c r="D8869" s="41"/>
      <c r="E8869" s="26" t="str">
        <f ca="1">IFERROR(__xludf.DUMMYFUNCTION("""COMPUTED_VALUE"""),"")</f>
        <v/>
      </c>
      <c r="F8869" s="72"/>
      <c r="G8869" s="72"/>
    </row>
    <row r="8870" spans="1:7" ht="14.5" hidden="1">
      <c r="A8870" s="5"/>
      <c r="B8870" s="18"/>
      <c r="C8870" s="85"/>
      <c r="D8870" s="41"/>
      <c r="E8870" s="26" t="str">
        <f ca="1">IFERROR(__xludf.DUMMYFUNCTION("""COMPUTED_VALUE"""),"")</f>
        <v/>
      </c>
      <c r="F8870" s="72"/>
      <c r="G8870" s="72"/>
    </row>
    <row r="8871" spans="1:7" ht="14.5" hidden="1">
      <c r="A8871" s="5"/>
      <c r="B8871" s="18"/>
      <c r="C8871" s="85"/>
      <c r="D8871" s="41"/>
      <c r="E8871" s="26" t="str">
        <f ca="1">IFERROR(__xludf.DUMMYFUNCTION("""COMPUTED_VALUE"""),"")</f>
        <v/>
      </c>
      <c r="F8871" s="72"/>
      <c r="G8871" s="72"/>
    </row>
    <row r="8872" spans="1:7" ht="14.5" hidden="1">
      <c r="A8872" s="5"/>
      <c r="B8872" s="18"/>
      <c r="C8872" s="85"/>
      <c r="D8872" s="41"/>
      <c r="E8872" s="26" t="str">
        <f ca="1">IFERROR(__xludf.DUMMYFUNCTION("""COMPUTED_VALUE"""),"")</f>
        <v/>
      </c>
      <c r="F8872" s="72"/>
      <c r="G8872" s="72"/>
    </row>
    <row r="8873" spans="1:7" ht="14.5" hidden="1">
      <c r="A8873" s="5"/>
      <c r="B8873" s="18"/>
      <c r="C8873" s="85"/>
      <c r="D8873" s="41"/>
      <c r="E8873" s="26" t="str">
        <f ca="1">IFERROR(__xludf.DUMMYFUNCTION("""COMPUTED_VALUE"""),"")</f>
        <v/>
      </c>
      <c r="F8873" s="72"/>
      <c r="G8873" s="72"/>
    </row>
    <row r="8874" spans="1:7" ht="14.5" hidden="1">
      <c r="A8874" s="5"/>
      <c r="B8874" s="18"/>
      <c r="C8874" s="85"/>
      <c r="D8874" s="41"/>
      <c r="E8874" s="26" t="str">
        <f ca="1">IFERROR(__xludf.DUMMYFUNCTION("""COMPUTED_VALUE"""),"")</f>
        <v/>
      </c>
      <c r="F8874" s="72"/>
      <c r="G8874" s="72"/>
    </row>
    <row r="8875" spans="1:7" ht="14.5" hidden="1">
      <c r="A8875" s="5"/>
      <c r="B8875" s="18"/>
      <c r="C8875" s="85"/>
      <c r="D8875" s="41"/>
      <c r="E8875" s="26" t="str">
        <f ca="1">IFERROR(__xludf.DUMMYFUNCTION("""COMPUTED_VALUE"""),"")</f>
        <v/>
      </c>
      <c r="F8875" s="72"/>
      <c r="G8875" s="72"/>
    </row>
    <row r="8876" spans="1:7" ht="14.5" hidden="1">
      <c r="A8876" s="5"/>
      <c r="B8876" s="18"/>
      <c r="C8876" s="85"/>
      <c r="D8876" s="41"/>
      <c r="E8876" s="26" t="str">
        <f ca="1">IFERROR(__xludf.DUMMYFUNCTION("""COMPUTED_VALUE"""),"")</f>
        <v/>
      </c>
      <c r="F8876" s="72"/>
      <c r="G8876" s="72"/>
    </row>
    <row r="8877" spans="1:7" ht="14.5" hidden="1">
      <c r="A8877" s="5"/>
      <c r="B8877" s="18"/>
      <c r="C8877" s="85"/>
      <c r="D8877" s="41"/>
      <c r="E8877" s="26" t="str">
        <f ca="1">IFERROR(__xludf.DUMMYFUNCTION("""COMPUTED_VALUE"""),"")</f>
        <v/>
      </c>
      <c r="F8877" s="72"/>
      <c r="G8877" s="72"/>
    </row>
    <row r="8878" spans="1:7" ht="14.5" hidden="1">
      <c r="A8878" s="5"/>
      <c r="B8878" s="18"/>
      <c r="C8878" s="85"/>
      <c r="D8878" s="41"/>
      <c r="E8878" s="26" t="str">
        <f ca="1">IFERROR(__xludf.DUMMYFUNCTION("""COMPUTED_VALUE"""),"")</f>
        <v/>
      </c>
      <c r="F8878" s="72"/>
      <c r="G8878" s="72"/>
    </row>
    <row r="8879" spans="1:7" ht="14.5" hidden="1">
      <c r="A8879" s="5"/>
      <c r="B8879" s="18"/>
      <c r="C8879" s="85"/>
      <c r="D8879" s="41"/>
      <c r="E8879" s="26" t="str">
        <f ca="1">IFERROR(__xludf.DUMMYFUNCTION("""COMPUTED_VALUE"""),"")</f>
        <v/>
      </c>
      <c r="F8879" s="72"/>
      <c r="G8879" s="72"/>
    </row>
    <row r="8880" spans="1:7" ht="14.5" hidden="1">
      <c r="A8880" s="5"/>
      <c r="B8880" s="18"/>
      <c r="C8880" s="85"/>
      <c r="D8880" s="41"/>
      <c r="E8880" s="26" t="str">
        <f ca="1">IFERROR(__xludf.DUMMYFUNCTION("""COMPUTED_VALUE"""),"")</f>
        <v/>
      </c>
      <c r="F8880" s="72"/>
      <c r="G8880" s="72"/>
    </row>
    <row r="8881" spans="1:7" ht="14.5" hidden="1">
      <c r="A8881" s="5"/>
      <c r="B8881" s="18"/>
      <c r="C8881" s="85"/>
      <c r="D8881" s="41"/>
      <c r="E8881" s="26" t="str">
        <f ca="1">IFERROR(__xludf.DUMMYFUNCTION("""COMPUTED_VALUE"""),"")</f>
        <v/>
      </c>
      <c r="F8881" s="72"/>
      <c r="G8881" s="72"/>
    </row>
    <row r="8882" spans="1:7" ht="14.5" hidden="1">
      <c r="A8882" s="5"/>
      <c r="B8882" s="18"/>
      <c r="C8882" s="85"/>
      <c r="D8882" s="41"/>
      <c r="E8882" s="26" t="str">
        <f ca="1">IFERROR(__xludf.DUMMYFUNCTION("""COMPUTED_VALUE"""),"")</f>
        <v/>
      </c>
      <c r="F8882" s="72"/>
      <c r="G8882" s="72"/>
    </row>
    <row r="8883" spans="1:7" ht="14.5" hidden="1">
      <c r="A8883" s="5"/>
      <c r="B8883" s="18"/>
      <c r="C8883" s="85"/>
      <c r="D8883" s="41"/>
      <c r="E8883" s="26" t="str">
        <f ca="1">IFERROR(__xludf.DUMMYFUNCTION("""COMPUTED_VALUE"""),"")</f>
        <v/>
      </c>
      <c r="F8883" s="72"/>
      <c r="G8883" s="72"/>
    </row>
    <row r="8884" spans="1:7" ht="14.5" hidden="1">
      <c r="A8884" s="5"/>
      <c r="B8884" s="18"/>
      <c r="C8884" s="85"/>
      <c r="D8884" s="41"/>
      <c r="E8884" s="26" t="str">
        <f ca="1">IFERROR(__xludf.DUMMYFUNCTION("""COMPUTED_VALUE"""),"")</f>
        <v/>
      </c>
      <c r="F8884" s="72"/>
      <c r="G8884" s="72"/>
    </row>
    <row r="8885" spans="1:7" ht="14.5" hidden="1">
      <c r="A8885" s="5"/>
      <c r="B8885" s="18"/>
      <c r="C8885" s="85"/>
      <c r="D8885" s="41"/>
      <c r="E8885" s="26" t="str">
        <f ca="1">IFERROR(__xludf.DUMMYFUNCTION("""COMPUTED_VALUE"""),"")</f>
        <v/>
      </c>
      <c r="F8885" s="72"/>
      <c r="G8885" s="72"/>
    </row>
    <row r="8886" spans="1:7" ht="14.5" hidden="1">
      <c r="A8886" s="5"/>
      <c r="B8886" s="18"/>
      <c r="C8886" s="85"/>
      <c r="D8886" s="41"/>
      <c r="E8886" s="26" t="str">
        <f ca="1">IFERROR(__xludf.DUMMYFUNCTION("""COMPUTED_VALUE"""),"")</f>
        <v/>
      </c>
      <c r="F8886" s="72"/>
      <c r="G8886" s="72"/>
    </row>
    <row r="8887" spans="1:7" ht="14.5" hidden="1">
      <c r="A8887" s="5"/>
      <c r="B8887" s="18"/>
      <c r="C8887" s="85"/>
      <c r="D8887" s="41"/>
      <c r="E8887" s="26" t="str">
        <f ca="1">IFERROR(__xludf.DUMMYFUNCTION("""COMPUTED_VALUE"""),"")</f>
        <v/>
      </c>
      <c r="F8887" s="72"/>
      <c r="G8887" s="72"/>
    </row>
    <row r="8888" spans="1:7" ht="14.5" hidden="1">
      <c r="A8888" s="5"/>
      <c r="B8888" s="18"/>
      <c r="C8888" s="85"/>
      <c r="D8888" s="41"/>
      <c r="E8888" s="26" t="str">
        <f ca="1">IFERROR(__xludf.DUMMYFUNCTION("""COMPUTED_VALUE"""),"")</f>
        <v/>
      </c>
      <c r="F8888" s="72"/>
      <c r="G8888" s="72"/>
    </row>
    <row r="8889" spans="1:7" ht="14.5" hidden="1">
      <c r="A8889" s="5"/>
      <c r="B8889" s="18"/>
      <c r="C8889" s="85"/>
      <c r="D8889" s="41"/>
      <c r="E8889" s="26" t="str">
        <f ca="1">IFERROR(__xludf.DUMMYFUNCTION("""COMPUTED_VALUE"""),"")</f>
        <v/>
      </c>
      <c r="F8889" s="72"/>
      <c r="G8889" s="72"/>
    </row>
    <row r="8890" spans="1:7" ht="14.5" hidden="1">
      <c r="A8890" s="5"/>
      <c r="B8890" s="18"/>
      <c r="C8890" s="85"/>
      <c r="D8890" s="41"/>
      <c r="E8890" s="26" t="str">
        <f ca="1">IFERROR(__xludf.DUMMYFUNCTION("""COMPUTED_VALUE"""),"")</f>
        <v/>
      </c>
      <c r="F8890" s="72"/>
      <c r="G8890" s="72"/>
    </row>
    <row r="8891" spans="1:7" ht="14.5" hidden="1">
      <c r="A8891" s="5"/>
      <c r="B8891" s="18"/>
      <c r="C8891" s="85"/>
      <c r="D8891" s="41"/>
      <c r="E8891" s="26" t="str">
        <f ca="1">IFERROR(__xludf.DUMMYFUNCTION("""COMPUTED_VALUE"""),"")</f>
        <v/>
      </c>
      <c r="F8891" s="72"/>
      <c r="G8891" s="72"/>
    </row>
    <row r="8892" spans="1:7" ht="14.5" hidden="1">
      <c r="A8892" s="5"/>
      <c r="B8892" s="18"/>
      <c r="C8892" s="85"/>
      <c r="D8892" s="41"/>
      <c r="E8892" s="26" t="str">
        <f ca="1">IFERROR(__xludf.DUMMYFUNCTION("""COMPUTED_VALUE"""),"")</f>
        <v/>
      </c>
      <c r="F8892" s="72"/>
      <c r="G8892" s="72"/>
    </row>
    <row r="8893" spans="1:7" ht="14.5" hidden="1">
      <c r="A8893" s="5"/>
      <c r="B8893" s="18"/>
      <c r="C8893" s="85"/>
      <c r="D8893" s="41"/>
      <c r="E8893" s="26" t="str">
        <f ca="1">IFERROR(__xludf.DUMMYFUNCTION("""COMPUTED_VALUE"""),"")</f>
        <v/>
      </c>
      <c r="F8893" s="72"/>
      <c r="G8893" s="72"/>
    </row>
    <row r="8894" spans="1:7" ht="14.5" hidden="1">
      <c r="A8894" s="5"/>
      <c r="B8894" s="18"/>
      <c r="C8894" s="85"/>
      <c r="D8894" s="41"/>
      <c r="E8894" s="26" t="str">
        <f ca="1">IFERROR(__xludf.DUMMYFUNCTION("""COMPUTED_VALUE"""),"")</f>
        <v/>
      </c>
      <c r="F8894" s="72"/>
      <c r="G8894" s="72"/>
    </row>
    <row r="8895" spans="1:7" ht="14.5" hidden="1">
      <c r="A8895" s="5"/>
      <c r="B8895" s="18"/>
      <c r="C8895" s="85"/>
      <c r="D8895" s="41"/>
      <c r="E8895" s="26" t="str">
        <f ca="1">IFERROR(__xludf.DUMMYFUNCTION("""COMPUTED_VALUE"""),"")</f>
        <v/>
      </c>
      <c r="F8895" s="72"/>
      <c r="G8895" s="72"/>
    </row>
    <row r="8896" spans="1:7" ht="14.5" hidden="1">
      <c r="A8896" s="5"/>
      <c r="B8896" s="18"/>
      <c r="C8896" s="85"/>
      <c r="D8896" s="41"/>
      <c r="E8896" s="26" t="str">
        <f ca="1">IFERROR(__xludf.DUMMYFUNCTION("""COMPUTED_VALUE"""),"")</f>
        <v/>
      </c>
      <c r="F8896" s="72"/>
      <c r="G8896" s="72"/>
    </row>
    <row r="8897" spans="1:7" ht="14.5" hidden="1">
      <c r="A8897" s="5"/>
      <c r="B8897" s="18"/>
      <c r="C8897" s="85"/>
      <c r="D8897" s="41"/>
      <c r="E8897" s="26" t="str">
        <f ca="1">IFERROR(__xludf.DUMMYFUNCTION("""COMPUTED_VALUE"""),"")</f>
        <v/>
      </c>
      <c r="F8897" s="72"/>
      <c r="G8897" s="72"/>
    </row>
    <row r="8898" spans="1:7" ht="14.5" hidden="1">
      <c r="A8898" s="5"/>
      <c r="B8898" s="18"/>
      <c r="C8898" s="85"/>
      <c r="D8898" s="41"/>
      <c r="E8898" s="26" t="str">
        <f ca="1">IFERROR(__xludf.DUMMYFUNCTION("""COMPUTED_VALUE"""),"")</f>
        <v/>
      </c>
      <c r="F8898" s="72"/>
      <c r="G8898" s="72"/>
    </row>
    <row r="8899" spans="1:7" ht="14.5" hidden="1">
      <c r="A8899" s="5"/>
      <c r="B8899" s="18"/>
      <c r="C8899" s="85"/>
      <c r="D8899" s="41"/>
      <c r="E8899" s="26" t="str">
        <f ca="1">IFERROR(__xludf.DUMMYFUNCTION("""COMPUTED_VALUE"""),"")</f>
        <v/>
      </c>
      <c r="F8899" s="72"/>
      <c r="G8899" s="72"/>
    </row>
    <row r="8900" spans="1:7" ht="14.5" hidden="1">
      <c r="A8900" s="5"/>
      <c r="B8900" s="18"/>
      <c r="C8900" s="85"/>
      <c r="D8900" s="41"/>
      <c r="E8900" s="26" t="str">
        <f ca="1">IFERROR(__xludf.DUMMYFUNCTION("""COMPUTED_VALUE"""),"")</f>
        <v/>
      </c>
      <c r="F8900" s="72"/>
      <c r="G8900" s="72"/>
    </row>
    <row r="8901" spans="1:7" ht="14.5" hidden="1">
      <c r="A8901" s="5"/>
      <c r="B8901" s="18"/>
      <c r="C8901" s="85"/>
      <c r="D8901" s="41"/>
      <c r="E8901" s="26" t="str">
        <f ca="1">IFERROR(__xludf.DUMMYFUNCTION("""COMPUTED_VALUE"""),"")</f>
        <v/>
      </c>
      <c r="F8901" s="72"/>
      <c r="G8901" s="72"/>
    </row>
    <row r="8902" spans="1:7" ht="14.5" hidden="1">
      <c r="A8902" s="5"/>
      <c r="B8902" s="18"/>
      <c r="C8902" s="85"/>
      <c r="D8902" s="41"/>
      <c r="E8902" s="26" t="str">
        <f ca="1">IFERROR(__xludf.DUMMYFUNCTION("""COMPUTED_VALUE"""),"")</f>
        <v/>
      </c>
      <c r="F8902" s="72"/>
      <c r="G8902" s="72"/>
    </row>
    <row r="8903" spans="1:7" ht="14.5" hidden="1">
      <c r="A8903" s="5"/>
      <c r="B8903" s="18"/>
      <c r="C8903" s="85"/>
      <c r="D8903" s="41"/>
      <c r="E8903" s="26" t="str">
        <f ca="1">IFERROR(__xludf.DUMMYFUNCTION("""COMPUTED_VALUE"""),"")</f>
        <v/>
      </c>
      <c r="F8903" s="72"/>
      <c r="G8903" s="72"/>
    </row>
    <row r="8904" spans="1:7" ht="14.5" hidden="1">
      <c r="A8904" s="5"/>
      <c r="B8904" s="18"/>
      <c r="C8904" s="85"/>
      <c r="D8904" s="41"/>
      <c r="E8904" s="26" t="str">
        <f ca="1">IFERROR(__xludf.DUMMYFUNCTION("""COMPUTED_VALUE"""),"")</f>
        <v/>
      </c>
      <c r="F8904" s="72"/>
      <c r="G8904" s="72"/>
    </row>
    <row r="8905" spans="1:7" ht="14.5" hidden="1">
      <c r="A8905" s="5"/>
      <c r="B8905" s="18"/>
      <c r="C8905" s="85"/>
      <c r="D8905" s="41"/>
      <c r="E8905" s="26" t="str">
        <f ca="1">IFERROR(__xludf.DUMMYFUNCTION("""COMPUTED_VALUE"""),"")</f>
        <v/>
      </c>
      <c r="F8905" s="72"/>
      <c r="G8905" s="72"/>
    </row>
    <row r="8906" spans="1:7" ht="14.5" hidden="1">
      <c r="A8906" s="5"/>
      <c r="B8906" s="18"/>
      <c r="C8906" s="85"/>
      <c r="D8906" s="41"/>
      <c r="E8906" s="26" t="str">
        <f ca="1">IFERROR(__xludf.DUMMYFUNCTION("""COMPUTED_VALUE"""),"")</f>
        <v/>
      </c>
      <c r="F8906" s="72"/>
      <c r="G8906" s="72"/>
    </row>
    <row r="8907" spans="1:7" ht="14.5" hidden="1">
      <c r="A8907" s="5"/>
      <c r="B8907" s="18"/>
      <c r="C8907" s="85"/>
      <c r="D8907" s="41"/>
      <c r="E8907" s="26" t="str">
        <f ca="1">IFERROR(__xludf.DUMMYFUNCTION("""COMPUTED_VALUE"""),"")</f>
        <v/>
      </c>
      <c r="F8907" s="72"/>
      <c r="G8907" s="72"/>
    </row>
    <row r="8908" spans="1:7" ht="14.5" hidden="1">
      <c r="A8908" s="5"/>
      <c r="B8908" s="18"/>
      <c r="C8908" s="85"/>
      <c r="D8908" s="41"/>
      <c r="E8908" s="26" t="str">
        <f ca="1">IFERROR(__xludf.DUMMYFUNCTION("""COMPUTED_VALUE"""),"")</f>
        <v/>
      </c>
      <c r="F8908" s="72"/>
      <c r="G8908" s="72"/>
    </row>
    <row r="8909" spans="1:7" ht="14.5" hidden="1">
      <c r="A8909" s="5"/>
      <c r="B8909" s="18"/>
      <c r="C8909" s="85"/>
      <c r="D8909" s="41"/>
      <c r="E8909" s="26" t="str">
        <f ca="1">IFERROR(__xludf.DUMMYFUNCTION("""COMPUTED_VALUE"""),"")</f>
        <v/>
      </c>
      <c r="F8909" s="72"/>
      <c r="G8909" s="72"/>
    </row>
    <row r="8910" spans="1:7" ht="14.5" hidden="1">
      <c r="A8910" s="5"/>
      <c r="B8910" s="18"/>
      <c r="C8910" s="85"/>
      <c r="D8910" s="41"/>
      <c r="E8910" s="26" t="str">
        <f ca="1">IFERROR(__xludf.DUMMYFUNCTION("""COMPUTED_VALUE"""),"")</f>
        <v/>
      </c>
      <c r="F8910" s="72"/>
      <c r="G8910" s="72"/>
    </row>
    <row r="8911" spans="1:7" ht="14.5" hidden="1">
      <c r="A8911" s="5"/>
      <c r="B8911" s="18"/>
      <c r="C8911" s="85"/>
      <c r="D8911" s="41"/>
      <c r="E8911" s="26" t="str">
        <f ca="1">IFERROR(__xludf.DUMMYFUNCTION("""COMPUTED_VALUE"""),"")</f>
        <v/>
      </c>
      <c r="F8911" s="72"/>
      <c r="G8911" s="72"/>
    </row>
    <row r="8912" spans="1:7" ht="14.5" hidden="1">
      <c r="A8912" s="5"/>
      <c r="B8912" s="18"/>
      <c r="C8912" s="85"/>
      <c r="D8912" s="41"/>
      <c r="E8912" s="26" t="str">
        <f ca="1">IFERROR(__xludf.DUMMYFUNCTION("""COMPUTED_VALUE"""),"")</f>
        <v/>
      </c>
      <c r="F8912" s="72"/>
      <c r="G8912" s="72"/>
    </row>
    <row r="8913" spans="1:7" ht="14.5" hidden="1">
      <c r="A8913" s="5"/>
      <c r="B8913" s="18"/>
      <c r="C8913" s="85"/>
      <c r="D8913" s="41"/>
      <c r="E8913" s="26" t="str">
        <f ca="1">IFERROR(__xludf.DUMMYFUNCTION("""COMPUTED_VALUE"""),"")</f>
        <v/>
      </c>
      <c r="F8913" s="72"/>
      <c r="G8913" s="72"/>
    </row>
    <row r="8914" spans="1:7" ht="14.5" hidden="1">
      <c r="A8914" s="5"/>
      <c r="B8914" s="18"/>
      <c r="C8914" s="85"/>
      <c r="D8914" s="41"/>
      <c r="E8914" s="26" t="str">
        <f ca="1">IFERROR(__xludf.DUMMYFUNCTION("""COMPUTED_VALUE"""),"")</f>
        <v/>
      </c>
      <c r="F8914" s="72"/>
      <c r="G8914" s="72"/>
    </row>
    <row r="8915" spans="1:7" ht="14.5" hidden="1">
      <c r="A8915" s="5"/>
      <c r="B8915" s="18"/>
      <c r="C8915" s="85"/>
      <c r="D8915" s="41"/>
      <c r="E8915" s="26" t="str">
        <f ca="1">IFERROR(__xludf.DUMMYFUNCTION("""COMPUTED_VALUE"""),"")</f>
        <v/>
      </c>
      <c r="F8915" s="72"/>
      <c r="G8915" s="72"/>
    </row>
    <row r="8916" spans="1:7" ht="14.5" hidden="1">
      <c r="A8916" s="5"/>
      <c r="B8916" s="18"/>
      <c r="C8916" s="85"/>
      <c r="D8916" s="41"/>
      <c r="E8916" s="26" t="str">
        <f ca="1">IFERROR(__xludf.DUMMYFUNCTION("""COMPUTED_VALUE"""),"")</f>
        <v/>
      </c>
      <c r="F8916" s="72"/>
      <c r="G8916" s="72"/>
    </row>
    <row r="8917" spans="1:7" ht="14.5" hidden="1">
      <c r="A8917" s="5"/>
      <c r="B8917" s="18"/>
      <c r="C8917" s="85"/>
      <c r="D8917" s="41"/>
      <c r="E8917" s="26" t="str">
        <f ca="1">IFERROR(__xludf.DUMMYFUNCTION("""COMPUTED_VALUE"""),"")</f>
        <v/>
      </c>
      <c r="F8917" s="72"/>
      <c r="G8917" s="72"/>
    </row>
    <row r="8918" spans="1:7" ht="14.5" hidden="1">
      <c r="A8918" s="5"/>
      <c r="B8918" s="18"/>
      <c r="C8918" s="85"/>
      <c r="D8918" s="41"/>
      <c r="E8918" s="26" t="str">
        <f ca="1">IFERROR(__xludf.DUMMYFUNCTION("""COMPUTED_VALUE"""),"")</f>
        <v/>
      </c>
      <c r="F8918" s="72"/>
      <c r="G8918" s="72"/>
    </row>
    <row r="8919" spans="1:7" ht="14.5" hidden="1">
      <c r="A8919" s="5"/>
      <c r="B8919" s="18"/>
      <c r="C8919" s="85"/>
      <c r="D8919" s="41"/>
      <c r="E8919" s="26" t="str">
        <f ca="1">IFERROR(__xludf.DUMMYFUNCTION("""COMPUTED_VALUE"""),"")</f>
        <v/>
      </c>
      <c r="F8919" s="72"/>
      <c r="G8919" s="72"/>
    </row>
    <row r="8920" spans="1:7" ht="14.5" hidden="1">
      <c r="A8920" s="5"/>
      <c r="B8920" s="18"/>
      <c r="C8920" s="85"/>
      <c r="D8920" s="41"/>
      <c r="E8920" s="26" t="str">
        <f ca="1">IFERROR(__xludf.DUMMYFUNCTION("""COMPUTED_VALUE"""),"")</f>
        <v/>
      </c>
      <c r="F8920" s="72"/>
      <c r="G8920" s="72"/>
    </row>
    <row r="8921" spans="1:7" ht="14.5" hidden="1">
      <c r="A8921" s="5"/>
      <c r="B8921" s="18"/>
      <c r="C8921" s="85"/>
      <c r="D8921" s="41"/>
      <c r="E8921" s="26" t="str">
        <f ca="1">IFERROR(__xludf.DUMMYFUNCTION("""COMPUTED_VALUE"""),"")</f>
        <v/>
      </c>
      <c r="F8921" s="72"/>
      <c r="G8921" s="72"/>
    </row>
    <row r="8922" spans="1:7" ht="14.5" hidden="1">
      <c r="A8922" s="5"/>
      <c r="B8922" s="18"/>
      <c r="C8922" s="85"/>
      <c r="D8922" s="41"/>
      <c r="E8922" s="26" t="str">
        <f ca="1">IFERROR(__xludf.DUMMYFUNCTION("""COMPUTED_VALUE"""),"")</f>
        <v/>
      </c>
      <c r="F8922" s="72"/>
      <c r="G8922" s="72"/>
    </row>
    <row r="8923" spans="1:7" ht="14.5" hidden="1">
      <c r="A8923" s="5"/>
      <c r="B8923" s="18"/>
      <c r="C8923" s="85"/>
      <c r="D8923" s="41"/>
      <c r="E8923" s="26" t="str">
        <f ca="1">IFERROR(__xludf.DUMMYFUNCTION("""COMPUTED_VALUE"""),"")</f>
        <v/>
      </c>
      <c r="F8923" s="72"/>
      <c r="G8923" s="72"/>
    </row>
    <row r="8924" spans="1:7" ht="14.5" hidden="1">
      <c r="A8924" s="5"/>
      <c r="B8924" s="18"/>
      <c r="C8924" s="85"/>
      <c r="D8924" s="41"/>
      <c r="E8924" s="26" t="str">
        <f ca="1">IFERROR(__xludf.DUMMYFUNCTION("""COMPUTED_VALUE"""),"")</f>
        <v/>
      </c>
      <c r="F8924" s="72"/>
      <c r="G8924" s="72"/>
    </row>
    <row r="8925" spans="1:7" ht="14.5" hidden="1">
      <c r="A8925" s="5"/>
      <c r="B8925" s="18"/>
      <c r="C8925" s="85"/>
      <c r="D8925" s="41"/>
      <c r="E8925" s="26" t="str">
        <f ca="1">IFERROR(__xludf.DUMMYFUNCTION("""COMPUTED_VALUE"""),"")</f>
        <v/>
      </c>
      <c r="F8925" s="72"/>
      <c r="G8925" s="72"/>
    </row>
    <row r="8926" spans="1:7" ht="14.5" hidden="1">
      <c r="A8926" s="5"/>
      <c r="B8926" s="18"/>
      <c r="C8926" s="85"/>
      <c r="D8926" s="41"/>
      <c r="E8926" s="26" t="str">
        <f ca="1">IFERROR(__xludf.DUMMYFUNCTION("""COMPUTED_VALUE"""),"")</f>
        <v/>
      </c>
      <c r="F8926" s="72"/>
      <c r="G8926" s="72"/>
    </row>
    <row r="8927" spans="1:7" ht="14.5" hidden="1">
      <c r="A8927" s="5"/>
      <c r="B8927" s="18"/>
      <c r="C8927" s="85"/>
      <c r="D8927" s="41"/>
      <c r="E8927" s="26" t="str">
        <f ca="1">IFERROR(__xludf.DUMMYFUNCTION("""COMPUTED_VALUE"""),"")</f>
        <v/>
      </c>
      <c r="F8927" s="72"/>
      <c r="G8927" s="72"/>
    </row>
    <row r="8928" spans="1:7" ht="14.5" hidden="1">
      <c r="A8928" s="5"/>
      <c r="B8928" s="18"/>
      <c r="C8928" s="85"/>
      <c r="D8928" s="41"/>
      <c r="E8928" s="26" t="str">
        <f ca="1">IFERROR(__xludf.DUMMYFUNCTION("""COMPUTED_VALUE"""),"")</f>
        <v/>
      </c>
      <c r="F8928" s="72"/>
      <c r="G8928" s="72"/>
    </row>
    <row r="8929" spans="1:7" ht="14.5" hidden="1">
      <c r="A8929" s="5"/>
      <c r="B8929" s="18"/>
      <c r="C8929" s="85"/>
      <c r="D8929" s="41"/>
      <c r="E8929" s="26" t="str">
        <f ca="1">IFERROR(__xludf.DUMMYFUNCTION("""COMPUTED_VALUE"""),"")</f>
        <v/>
      </c>
      <c r="F8929" s="72"/>
      <c r="G8929" s="72"/>
    </row>
    <row r="8930" spans="1:7" ht="14.5" hidden="1">
      <c r="A8930" s="5"/>
      <c r="B8930" s="18"/>
      <c r="C8930" s="85"/>
      <c r="D8930" s="41"/>
      <c r="E8930" s="26" t="str">
        <f ca="1">IFERROR(__xludf.DUMMYFUNCTION("""COMPUTED_VALUE"""),"")</f>
        <v/>
      </c>
      <c r="F8930" s="72"/>
      <c r="G8930" s="72"/>
    </row>
    <row r="8931" spans="1:7" ht="14.5" hidden="1">
      <c r="A8931" s="5"/>
      <c r="B8931" s="18"/>
      <c r="C8931" s="85"/>
      <c r="D8931" s="41"/>
      <c r="E8931" s="26" t="str">
        <f ca="1">IFERROR(__xludf.DUMMYFUNCTION("""COMPUTED_VALUE"""),"")</f>
        <v/>
      </c>
      <c r="F8931" s="72"/>
      <c r="G8931" s="72"/>
    </row>
    <row r="8932" spans="1:7" ht="14.5" hidden="1">
      <c r="A8932" s="5"/>
      <c r="B8932" s="18"/>
      <c r="C8932" s="85"/>
      <c r="D8932" s="41"/>
      <c r="E8932" s="26" t="str">
        <f ca="1">IFERROR(__xludf.DUMMYFUNCTION("""COMPUTED_VALUE"""),"")</f>
        <v/>
      </c>
      <c r="F8932" s="72"/>
      <c r="G8932" s="72"/>
    </row>
    <row r="8933" spans="1:7" ht="14.5" hidden="1">
      <c r="A8933" s="5"/>
      <c r="B8933" s="18"/>
      <c r="C8933" s="85"/>
      <c r="D8933" s="41"/>
      <c r="E8933" s="26" t="str">
        <f ca="1">IFERROR(__xludf.DUMMYFUNCTION("""COMPUTED_VALUE"""),"")</f>
        <v/>
      </c>
      <c r="F8933" s="72"/>
      <c r="G8933" s="72"/>
    </row>
    <row r="8934" spans="1:7" ht="14.5" hidden="1">
      <c r="A8934" s="5"/>
      <c r="B8934" s="18"/>
      <c r="C8934" s="85"/>
      <c r="D8934" s="41"/>
      <c r="E8934" s="26" t="str">
        <f ca="1">IFERROR(__xludf.DUMMYFUNCTION("""COMPUTED_VALUE"""),"")</f>
        <v/>
      </c>
      <c r="F8934" s="72"/>
      <c r="G8934" s="72"/>
    </row>
    <row r="8935" spans="1:7" ht="14.5" hidden="1">
      <c r="A8935" s="5"/>
      <c r="B8935" s="18"/>
      <c r="C8935" s="85"/>
      <c r="D8935" s="41"/>
      <c r="E8935" s="26" t="str">
        <f ca="1">IFERROR(__xludf.DUMMYFUNCTION("""COMPUTED_VALUE"""),"")</f>
        <v/>
      </c>
      <c r="F8935" s="72"/>
      <c r="G8935" s="72"/>
    </row>
    <row r="8936" spans="1:7" ht="14.5" hidden="1">
      <c r="A8936" s="5"/>
      <c r="B8936" s="18"/>
      <c r="C8936" s="85"/>
      <c r="D8936" s="41"/>
      <c r="E8936" s="26" t="str">
        <f ca="1">IFERROR(__xludf.DUMMYFUNCTION("""COMPUTED_VALUE"""),"")</f>
        <v/>
      </c>
      <c r="F8936" s="72"/>
      <c r="G8936" s="72"/>
    </row>
    <row r="8937" spans="1:7" ht="14.5" hidden="1">
      <c r="A8937" s="5"/>
      <c r="B8937" s="18"/>
      <c r="C8937" s="85"/>
      <c r="D8937" s="41"/>
      <c r="E8937" s="26" t="str">
        <f ca="1">IFERROR(__xludf.DUMMYFUNCTION("""COMPUTED_VALUE"""),"")</f>
        <v/>
      </c>
      <c r="F8937" s="72"/>
      <c r="G8937" s="72"/>
    </row>
    <row r="8938" spans="1:7" ht="14.5" hidden="1">
      <c r="A8938" s="5"/>
      <c r="B8938" s="18"/>
      <c r="C8938" s="85"/>
      <c r="D8938" s="41"/>
      <c r="E8938" s="26" t="str">
        <f ca="1">IFERROR(__xludf.DUMMYFUNCTION("""COMPUTED_VALUE"""),"")</f>
        <v/>
      </c>
      <c r="F8938" s="72"/>
      <c r="G8938" s="72"/>
    </row>
    <row r="8939" spans="1:7" ht="14.5" hidden="1">
      <c r="A8939" s="5"/>
      <c r="B8939" s="18"/>
      <c r="C8939" s="85"/>
      <c r="D8939" s="41"/>
      <c r="E8939" s="26" t="str">
        <f ca="1">IFERROR(__xludf.DUMMYFUNCTION("""COMPUTED_VALUE"""),"")</f>
        <v/>
      </c>
      <c r="F8939" s="72"/>
      <c r="G8939" s="72"/>
    </row>
    <row r="8940" spans="1:7" ht="14.5" hidden="1">
      <c r="A8940" s="5"/>
      <c r="B8940" s="18"/>
      <c r="C8940" s="85"/>
      <c r="D8940" s="41"/>
      <c r="E8940" s="26" t="str">
        <f ca="1">IFERROR(__xludf.DUMMYFUNCTION("""COMPUTED_VALUE"""),"")</f>
        <v/>
      </c>
      <c r="F8940" s="72"/>
      <c r="G8940" s="72"/>
    </row>
    <row r="8941" spans="1:7" ht="14.5" hidden="1">
      <c r="A8941" s="5"/>
      <c r="B8941" s="18"/>
      <c r="C8941" s="85"/>
      <c r="D8941" s="41"/>
      <c r="E8941" s="26" t="str">
        <f ca="1">IFERROR(__xludf.DUMMYFUNCTION("""COMPUTED_VALUE"""),"")</f>
        <v/>
      </c>
      <c r="F8941" s="72"/>
      <c r="G8941" s="72"/>
    </row>
    <row r="8942" spans="1:7" ht="14.5" hidden="1">
      <c r="A8942" s="5"/>
      <c r="B8942" s="18"/>
      <c r="C8942" s="85"/>
      <c r="D8942" s="41"/>
      <c r="E8942" s="26" t="str">
        <f ca="1">IFERROR(__xludf.DUMMYFUNCTION("""COMPUTED_VALUE"""),"")</f>
        <v/>
      </c>
      <c r="F8942" s="72"/>
      <c r="G8942" s="72"/>
    </row>
    <row r="8943" spans="1:7" ht="14.5" hidden="1">
      <c r="A8943" s="5"/>
      <c r="B8943" s="18"/>
      <c r="C8943" s="85"/>
      <c r="D8943" s="41"/>
      <c r="E8943" s="26" t="str">
        <f ca="1">IFERROR(__xludf.DUMMYFUNCTION("""COMPUTED_VALUE"""),"")</f>
        <v/>
      </c>
      <c r="F8943" s="72"/>
      <c r="G8943" s="72"/>
    </row>
    <row r="8944" spans="1:7" ht="14.5" hidden="1">
      <c r="A8944" s="5"/>
      <c r="B8944" s="18"/>
      <c r="C8944" s="85"/>
      <c r="D8944" s="41"/>
      <c r="E8944" s="26" t="str">
        <f ca="1">IFERROR(__xludf.DUMMYFUNCTION("""COMPUTED_VALUE"""),"")</f>
        <v/>
      </c>
      <c r="F8944" s="72"/>
      <c r="G8944" s="72"/>
    </row>
    <row r="8945" spans="1:7" ht="14.5" hidden="1">
      <c r="A8945" s="5"/>
      <c r="B8945" s="18"/>
      <c r="C8945" s="85"/>
      <c r="D8945" s="41"/>
      <c r="E8945" s="26" t="str">
        <f ca="1">IFERROR(__xludf.DUMMYFUNCTION("""COMPUTED_VALUE"""),"")</f>
        <v/>
      </c>
      <c r="F8945" s="72"/>
      <c r="G8945" s="72"/>
    </row>
    <row r="8946" spans="1:7" ht="14.5" hidden="1">
      <c r="A8946" s="5"/>
      <c r="B8946" s="18"/>
      <c r="C8946" s="85"/>
      <c r="D8946" s="41"/>
      <c r="E8946" s="26" t="str">
        <f ca="1">IFERROR(__xludf.DUMMYFUNCTION("""COMPUTED_VALUE"""),"")</f>
        <v/>
      </c>
      <c r="F8946" s="72"/>
      <c r="G8946" s="72"/>
    </row>
    <row r="8947" spans="1:7" ht="14.5" hidden="1">
      <c r="A8947" s="5"/>
      <c r="B8947" s="18"/>
      <c r="C8947" s="85"/>
      <c r="D8947" s="41"/>
      <c r="E8947" s="26" t="str">
        <f ca="1">IFERROR(__xludf.DUMMYFUNCTION("""COMPUTED_VALUE"""),"")</f>
        <v/>
      </c>
      <c r="F8947" s="72"/>
      <c r="G8947" s="72"/>
    </row>
    <row r="8948" spans="1:7" ht="14.5" hidden="1">
      <c r="A8948" s="5"/>
      <c r="B8948" s="18"/>
      <c r="C8948" s="85"/>
      <c r="D8948" s="41"/>
      <c r="E8948" s="26" t="str">
        <f ca="1">IFERROR(__xludf.DUMMYFUNCTION("""COMPUTED_VALUE"""),"")</f>
        <v/>
      </c>
      <c r="F8948" s="72"/>
      <c r="G8948" s="72"/>
    </row>
    <row r="8949" spans="1:7" ht="14.5" hidden="1">
      <c r="A8949" s="5"/>
      <c r="B8949" s="18"/>
      <c r="C8949" s="85"/>
      <c r="D8949" s="41"/>
      <c r="E8949" s="26" t="str">
        <f ca="1">IFERROR(__xludf.DUMMYFUNCTION("""COMPUTED_VALUE"""),"")</f>
        <v/>
      </c>
      <c r="F8949" s="72"/>
      <c r="G8949" s="72"/>
    </row>
    <row r="8950" spans="1:7" ht="14.5" hidden="1">
      <c r="A8950" s="5"/>
      <c r="B8950" s="18"/>
      <c r="C8950" s="85"/>
      <c r="D8950" s="41"/>
      <c r="E8950" s="26" t="str">
        <f ca="1">IFERROR(__xludf.DUMMYFUNCTION("""COMPUTED_VALUE"""),"")</f>
        <v/>
      </c>
      <c r="F8950" s="72"/>
      <c r="G8950" s="72"/>
    </row>
    <row r="8951" spans="1:7" ht="14.5" hidden="1">
      <c r="A8951" s="5"/>
      <c r="B8951" s="18"/>
      <c r="C8951" s="85"/>
      <c r="D8951" s="41"/>
      <c r="E8951" s="26" t="str">
        <f ca="1">IFERROR(__xludf.DUMMYFUNCTION("""COMPUTED_VALUE"""),"")</f>
        <v/>
      </c>
      <c r="F8951" s="72"/>
      <c r="G8951" s="72"/>
    </row>
    <row r="8952" spans="1:7" ht="14.5" hidden="1">
      <c r="A8952" s="5"/>
      <c r="B8952" s="18"/>
      <c r="C8952" s="85"/>
      <c r="D8952" s="41"/>
      <c r="E8952" s="26" t="str">
        <f ca="1">IFERROR(__xludf.DUMMYFUNCTION("""COMPUTED_VALUE"""),"")</f>
        <v/>
      </c>
      <c r="F8952" s="72"/>
      <c r="G8952" s="72"/>
    </row>
    <row r="8953" spans="1:7" ht="14.5" hidden="1">
      <c r="A8953" s="5"/>
      <c r="B8953" s="18"/>
      <c r="C8953" s="85"/>
      <c r="D8953" s="41"/>
      <c r="E8953" s="26" t="str">
        <f ca="1">IFERROR(__xludf.DUMMYFUNCTION("""COMPUTED_VALUE"""),"")</f>
        <v/>
      </c>
      <c r="F8953" s="72"/>
      <c r="G8953" s="72"/>
    </row>
    <row r="8954" spans="1:7" ht="14.5" hidden="1">
      <c r="A8954" s="5"/>
      <c r="B8954" s="18"/>
      <c r="C8954" s="85"/>
      <c r="D8954" s="41"/>
      <c r="E8954" s="26" t="str">
        <f ca="1">IFERROR(__xludf.DUMMYFUNCTION("""COMPUTED_VALUE"""),"")</f>
        <v/>
      </c>
      <c r="F8954" s="72"/>
      <c r="G8954" s="72"/>
    </row>
    <row r="8955" spans="1:7" ht="14.5" hidden="1">
      <c r="A8955" s="5"/>
      <c r="B8955" s="18"/>
      <c r="C8955" s="85"/>
      <c r="D8955" s="41"/>
      <c r="E8955" s="26" t="str">
        <f ca="1">IFERROR(__xludf.DUMMYFUNCTION("""COMPUTED_VALUE"""),"")</f>
        <v/>
      </c>
      <c r="F8955" s="72"/>
      <c r="G8955" s="72"/>
    </row>
    <row r="8956" spans="1:7" ht="14.5" hidden="1">
      <c r="A8956" s="5"/>
      <c r="B8956" s="18"/>
      <c r="C8956" s="85"/>
      <c r="D8956" s="41"/>
      <c r="E8956" s="26" t="str">
        <f ca="1">IFERROR(__xludf.DUMMYFUNCTION("""COMPUTED_VALUE"""),"")</f>
        <v/>
      </c>
      <c r="F8956" s="72"/>
      <c r="G8956" s="72"/>
    </row>
    <row r="8957" spans="1:7" ht="14.5" hidden="1">
      <c r="A8957" s="5"/>
      <c r="B8957" s="18"/>
      <c r="C8957" s="85"/>
      <c r="D8957" s="41"/>
      <c r="E8957" s="26" t="str">
        <f ca="1">IFERROR(__xludf.DUMMYFUNCTION("""COMPUTED_VALUE"""),"")</f>
        <v/>
      </c>
      <c r="F8957" s="72"/>
      <c r="G8957" s="72"/>
    </row>
    <row r="8958" spans="1:7" ht="14.5" hidden="1">
      <c r="A8958" s="5"/>
      <c r="B8958" s="18"/>
      <c r="C8958" s="85"/>
      <c r="D8958" s="41"/>
      <c r="E8958" s="26" t="str">
        <f ca="1">IFERROR(__xludf.DUMMYFUNCTION("""COMPUTED_VALUE"""),"")</f>
        <v/>
      </c>
      <c r="F8958" s="72"/>
      <c r="G8958" s="72"/>
    </row>
    <row r="8959" spans="1:7" ht="14.5" hidden="1">
      <c r="A8959" s="5"/>
      <c r="B8959" s="18"/>
      <c r="C8959" s="85"/>
      <c r="D8959" s="41"/>
      <c r="E8959" s="26" t="str">
        <f ca="1">IFERROR(__xludf.DUMMYFUNCTION("""COMPUTED_VALUE"""),"")</f>
        <v/>
      </c>
      <c r="F8959" s="72"/>
      <c r="G8959" s="72"/>
    </row>
    <row r="8960" spans="1:7" ht="14.5" hidden="1">
      <c r="A8960" s="5"/>
      <c r="B8960" s="18"/>
      <c r="C8960" s="85"/>
      <c r="D8960" s="41"/>
      <c r="E8960" s="26" t="str">
        <f ca="1">IFERROR(__xludf.DUMMYFUNCTION("""COMPUTED_VALUE"""),"")</f>
        <v/>
      </c>
      <c r="F8960" s="72"/>
      <c r="G8960" s="72"/>
    </row>
    <row r="8961" spans="1:7" ht="14.5" hidden="1">
      <c r="A8961" s="5"/>
      <c r="B8961" s="18"/>
      <c r="C8961" s="85"/>
      <c r="D8961" s="41"/>
      <c r="E8961" s="26" t="str">
        <f ca="1">IFERROR(__xludf.DUMMYFUNCTION("""COMPUTED_VALUE"""),"")</f>
        <v/>
      </c>
      <c r="F8961" s="72"/>
      <c r="G8961" s="72"/>
    </row>
    <row r="8962" spans="1:7" ht="14.5" hidden="1">
      <c r="A8962" s="5"/>
      <c r="B8962" s="18"/>
      <c r="C8962" s="85"/>
      <c r="D8962" s="41"/>
      <c r="E8962" s="26" t="str">
        <f ca="1">IFERROR(__xludf.DUMMYFUNCTION("""COMPUTED_VALUE"""),"")</f>
        <v/>
      </c>
      <c r="F8962" s="72"/>
      <c r="G8962" s="72"/>
    </row>
    <row r="8963" spans="1:7" ht="14.5" hidden="1">
      <c r="A8963" s="5"/>
      <c r="B8963" s="18"/>
      <c r="C8963" s="85"/>
      <c r="D8963" s="41"/>
      <c r="E8963" s="26" t="str">
        <f ca="1">IFERROR(__xludf.DUMMYFUNCTION("""COMPUTED_VALUE"""),"")</f>
        <v/>
      </c>
      <c r="F8963" s="72"/>
      <c r="G8963" s="72"/>
    </row>
    <row r="8964" spans="1:7" ht="14.5" hidden="1">
      <c r="A8964" s="5"/>
      <c r="B8964" s="18"/>
      <c r="C8964" s="85"/>
      <c r="D8964" s="41"/>
      <c r="E8964" s="26" t="str">
        <f ca="1">IFERROR(__xludf.DUMMYFUNCTION("""COMPUTED_VALUE"""),"")</f>
        <v/>
      </c>
      <c r="F8964" s="72"/>
      <c r="G8964" s="72"/>
    </row>
    <row r="8965" spans="1:7" ht="14.5" hidden="1">
      <c r="A8965" s="5"/>
      <c r="B8965" s="18"/>
      <c r="C8965" s="85"/>
      <c r="D8965" s="41"/>
      <c r="E8965" s="26" t="str">
        <f ca="1">IFERROR(__xludf.DUMMYFUNCTION("""COMPUTED_VALUE"""),"")</f>
        <v/>
      </c>
      <c r="F8965" s="72"/>
      <c r="G8965" s="72"/>
    </row>
    <row r="8966" spans="1:7" ht="14.5" hidden="1">
      <c r="A8966" s="5"/>
      <c r="B8966" s="18"/>
      <c r="C8966" s="85"/>
      <c r="D8966" s="41"/>
      <c r="E8966" s="26" t="str">
        <f ca="1">IFERROR(__xludf.DUMMYFUNCTION("""COMPUTED_VALUE"""),"")</f>
        <v/>
      </c>
      <c r="F8966" s="72"/>
      <c r="G8966" s="72"/>
    </row>
    <row r="8967" spans="1:7" ht="14.5" hidden="1">
      <c r="A8967" s="5"/>
      <c r="B8967" s="18"/>
      <c r="C8967" s="85"/>
      <c r="D8967" s="41"/>
      <c r="E8967" s="26" t="str">
        <f ca="1">IFERROR(__xludf.DUMMYFUNCTION("""COMPUTED_VALUE"""),"")</f>
        <v/>
      </c>
      <c r="F8967" s="72"/>
      <c r="G8967" s="72"/>
    </row>
    <row r="8968" spans="1:7" ht="14.5" hidden="1">
      <c r="A8968" s="5"/>
      <c r="B8968" s="18"/>
      <c r="C8968" s="85"/>
      <c r="D8968" s="41"/>
      <c r="E8968" s="26" t="str">
        <f ca="1">IFERROR(__xludf.DUMMYFUNCTION("""COMPUTED_VALUE"""),"")</f>
        <v/>
      </c>
      <c r="F8968" s="72"/>
      <c r="G8968" s="72"/>
    </row>
    <row r="8969" spans="1:7" ht="14.5" hidden="1">
      <c r="A8969" s="5"/>
      <c r="B8969" s="18"/>
      <c r="C8969" s="85"/>
      <c r="D8969" s="41"/>
      <c r="E8969" s="26" t="str">
        <f ca="1">IFERROR(__xludf.DUMMYFUNCTION("""COMPUTED_VALUE"""),"")</f>
        <v/>
      </c>
      <c r="F8969" s="72"/>
      <c r="G8969" s="72"/>
    </row>
    <row r="8970" spans="1:7" ht="14.5" hidden="1">
      <c r="A8970" s="5"/>
      <c r="B8970" s="18"/>
      <c r="C8970" s="85"/>
      <c r="D8970" s="41"/>
      <c r="E8970" s="26" t="str">
        <f ca="1">IFERROR(__xludf.DUMMYFUNCTION("""COMPUTED_VALUE"""),"")</f>
        <v/>
      </c>
      <c r="F8970" s="72"/>
      <c r="G8970" s="72"/>
    </row>
    <row r="8971" spans="1:7" ht="14.5" hidden="1">
      <c r="A8971" s="5"/>
      <c r="B8971" s="18"/>
      <c r="C8971" s="85"/>
      <c r="D8971" s="41"/>
      <c r="E8971" s="26" t="str">
        <f ca="1">IFERROR(__xludf.DUMMYFUNCTION("""COMPUTED_VALUE"""),"")</f>
        <v/>
      </c>
      <c r="F8971" s="72"/>
      <c r="G8971" s="72"/>
    </row>
    <row r="8972" spans="1:7" ht="14.5" hidden="1">
      <c r="A8972" s="5"/>
      <c r="B8972" s="18"/>
      <c r="C8972" s="85"/>
      <c r="D8972" s="41"/>
      <c r="E8972" s="26" t="str">
        <f ca="1">IFERROR(__xludf.DUMMYFUNCTION("""COMPUTED_VALUE"""),"")</f>
        <v/>
      </c>
      <c r="F8972" s="72"/>
      <c r="G8972" s="72"/>
    </row>
    <row r="8973" spans="1:7" ht="14.5" hidden="1">
      <c r="A8973" s="5"/>
      <c r="B8973" s="18"/>
      <c r="C8973" s="85"/>
      <c r="D8973" s="41"/>
      <c r="E8973" s="26" t="str">
        <f ca="1">IFERROR(__xludf.DUMMYFUNCTION("""COMPUTED_VALUE"""),"")</f>
        <v/>
      </c>
      <c r="F8973" s="72"/>
      <c r="G8973" s="72"/>
    </row>
    <row r="8974" spans="1:7" ht="14.5" hidden="1">
      <c r="A8974" s="5"/>
      <c r="B8974" s="18"/>
      <c r="C8974" s="85"/>
      <c r="D8974" s="41"/>
      <c r="E8974" s="26" t="str">
        <f ca="1">IFERROR(__xludf.DUMMYFUNCTION("""COMPUTED_VALUE"""),"")</f>
        <v/>
      </c>
      <c r="F8974" s="72"/>
      <c r="G8974" s="72"/>
    </row>
    <row r="8975" spans="1:7" ht="14.5" hidden="1">
      <c r="A8975" s="5"/>
      <c r="B8975" s="18"/>
      <c r="C8975" s="85"/>
      <c r="D8975" s="41"/>
      <c r="E8975" s="26" t="str">
        <f ca="1">IFERROR(__xludf.DUMMYFUNCTION("""COMPUTED_VALUE"""),"")</f>
        <v/>
      </c>
      <c r="F8975" s="72"/>
      <c r="G8975" s="72"/>
    </row>
    <row r="8976" spans="1:7" ht="14.5" hidden="1">
      <c r="A8976" s="5"/>
      <c r="B8976" s="18"/>
      <c r="C8976" s="85"/>
      <c r="D8976" s="41"/>
      <c r="E8976" s="26" t="str">
        <f ca="1">IFERROR(__xludf.DUMMYFUNCTION("""COMPUTED_VALUE"""),"")</f>
        <v/>
      </c>
      <c r="F8976" s="72"/>
      <c r="G8976" s="72"/>
    </row>
    <row r="8977" spans="1:7" ht="14.5" hidden="1">
      <c r="A8977" s="5"/>
      <c r="B8977" s="18"/>
      <c r="C8977" s="85"/>
      <c r="D8977" s="41"/>
      <c r="E8977" s="26" t="str">
        <f ca="1">IFERROR(__xludf.DUMMYFUNCTION("""COMPUTED_VALUE"""),"")</f>
        <v/>
      </c>
      <c r="F8977" s="72"/>
      <c r="G8977" s="72"/>
    </row>
    <row r="8978" spans="1:7" ht="14.5" hidden="1">
      <c r="A8978" s="5"/>
      <c r="B8978" s="18"/>
      <c r="C8978" s="85"/>
      <c r="D8978" s="41"/>
      <c r="E8978" s="26" t="str">
        <f ca="1">IFERROR(__xludf.DUMMYFUNCTION("""COMPUTED_VALUE"""),"")</f>
        <v/>
      </c>
      <c r="F8978" s="72"/>
      <c r="G8978" s="72"/>
    </row>
    <row r="8979" spans="1:7" ht="14.5" hidden="1">
      <c r="A8979" s="5"/>
      <c r="B8979" s="18"/>
      <c r="C8979" s="85"/>
      <c r="D8979" s="41"/>
      <c r="E8979" s="26" t="str">
        <f ca="1">IFERROR(__xludf.DUMMYFUNCTION("""COMPUTED_VALUE"""),"")</f>
        <v/>
      </c>
      <c r="F8979" s="72"/>
      <c r="G8979" s="72"/>
    </row>
    <row r="8980" spans="1:7" ht="14.5" hidden="1">
      <c r="A8980" s="5"/>
      <c r="B8980" s="18"/>
      <c r="C8980" s="85"/>
      <c r="D8980" s="41"/>
      <c r="E8980" s="26" t="str">
        <f ca="1">IFERROR(__xludf.DUMMYFUNCTION("""COMPUTED_VALUE"""),"")</f>
        <v/>
      </c>
      <c r="F8980" s="72"/>
      <c r="G8980" s="72"/>
    </row>
    <row r="8981" spans="1:7" ht="14.5" hidden="1">
      <c r="A8981" s="5"/>
      <c r="B8981" s="18"/>
      <c r="C8981" s="85"/>
      <c r="D8981" s="41"/>
      <c r="E8981" s="26" t="str">
        <f ca="1">IFERROR(__xludf.DUMMYFUNCTION("""COMPUTED_VALUE"""),"")</f>
        <v/>
      </c>
      <c r="F8981" s="72"/>
      <c r="G8981" s="72"/>
    </row>
    <row r="8982" spans="1:7" ht="14.5" hidden="1">
      <c r="A8982" s="5"/>
      <c r="B8982" s="18"/>
      <c r="C8982" s="85"/>
      <c r="D8982" s="41"/>
      <c r="E8982" s="26" t="str">
        <f ca="1">IFERROR(__xludf.DUMMYFUNCTION("""COMPUTED_VALUE"""),"")</f>
        <v/>
      </c>
      <c r="F8982" s="72"/>
      <c r="G8982" s="72"/>
    </row>
    <row r="8983" spans="1:7" ht="14.5" hidden="1">
      <c r="A8983" s="5"/>
      <c r="B8983" s="18"/>
      <c r="C8983" s="85"/>
      <c r="D8983" s="41"/>
      <c r="E8983" s="26" t="str">
        <f ca="1">IFERROR(__xludf.DUMMYFUNCTION("""COMPUTED_VALUE"""),"")</f>
        <v/>
      </c>
      <c r="F8983" s="72"/>
      <c r="G8983" s="72"/>
    </row>
    <row r="8984" spans="1:7" ht="14.5" hidden="1">
      <c r="A8984" s="5"/>
      <c r="B8984" s="18"/>
      <c r="C8984" s="85"/>
      <c r="D8984" s="41"/>
      <c r="E8984" s="26" t="str">
        <f ca="1">IFERROR(__xludf.DUMMYFUNCTION("""COMPUTED_VALUE"""),"")</f>
        <v/>
      </c>
      <c r="F8984" s="72"/>
      <c r="G8984" s="72"/>
    </row>
    <row r="8985" spans="1:7" ht="14.5" hidden="1">
      <c r="A8985" s="5"/>
      <c r="B8985" s="18"/>
      <c r="C8985" s="85"/>
      <c r="D8985" s="41"/>
      <c r="E8985" s="26" t="str">
        <f ca="1">IFERROR(__xludf.DUMMYFUNCTION("""COMPUTED_VALUE"""),"")</f>
        <v/>
      </c>
      <c r="F8985" s="72"/>
      <c r="G8985" s="72"/>
    </row>
    <row r="8986" spans="1:7" ht="14.5" hidden="1">
      <c r="A8986" s="5"/>
      <c r="B8986" s="18"/>
      <c r="C8986" s="85"/>
      <c r="D8986" s="41"/>
      <c r="E8986" s="26" t="str">
        <f ca="1">IFERROR(__xludf.DUMMYFUNCTION("""COMPUTED_VALUE"""),"")</f>
        <v/>
      </c>
      <c r="F8986" s="72"/>
      <c r="G8986" s="72"/>
    </row>
    <row r="8987" spans="1:7" ht="14.5" hidden="1">
      <c r="A8987" s="5"/>
      <c r="B8987" s="18"/>
      <c r="C8987" s="85"/>
      <c r="D8987" s="41"/>
      <c r="E8987" s="26" t="str">
        <f ca="1">IFERROR(__xludf.DUMMYFUNCTION("""COMPUTED_VALUE"""),"")</f>
        <v/>
      </c>
      <c r="F8987" s="72"/>
      <c r="G8987" s="72"/>
    </row>
    <row r="8988" spans="1:7" ht="14.5" hidden="1">
      <c r="A8988" s="5"/>
      <c r="B8988" s="18"/>
      <c r="C8988" s="85"/>
      <c r="D8988" s="41"/>
      <c r="E8988" s="26" t="str">
        <f ca="1">IFERROR(__xludf.DUMMYFUNCTION("""COMPUTED_VALUE"""),"")</f>
        <v/>
      </c>
      <c r="F8988" s="72"/>
      <c r="G8988" s="72"/>
    </row>
    <row r="8989" spans="1:7" ht="14.5" hidden="1">
      <c r="A8989" s="5"/>
      <c r="B8989" s="18"/>
      <c r="C8989" s="85"/>
      <c r="D8989" s="41"/>
      <c r="E8989" s="26" t="str">
        <f ca="1">IFERROR(__xludf.DUMMYFUNCTION("""COMPUTED_VALUE"""),"")</f>
        <v/>
      </c>
      <c r="F8989" s="72"/>
      <c r="G8989" s="72"/>
    </row>
    <row r="8990" spans="1:7" ht="14.5" hidden="1">
      <c r="A8990" s="5"/>
      <c r="B8990" s="18"/>
      <c r="C8990" s="85"/>
      <c r="D8990" s="41"/>
      <c r="E8990" s="26" t="str">
        <f ca="1">IFERROR(__xludf.DUMMYFUNCTION("""COMPUTED_VALUE"""),"")</f>
        <v/>
      </c>
      <c r="F8990" s="72"/>
      <c r="G8990" s="72"/>
    </row>
    <row r="8991" spans="1:7" ht="14.5" hidden="1">
      <c r="A8991" s="5"/>
      <c r="B8991" s="18"/>
      <c r="C8991" s="85"/>
      <c r="D8991" s="41"/>
      <c r="E8991" s="26" t="str">
        <f ca="1">IFERROR(__xludf.DUMMYFUNCTION("""COMPUTED_VALUE"""),"")</f>
        <v/>
      </c>
      <c r="F8991" s="72"/>
      <c r="G8991" s="72"/>
    </row>
    <row r="8992" spans="1:7" ht="14.5" hidden="1">
      <c r="A8992" s="5"/>
      <c r="B8992" s="18"/>
      <c r="C8992" s="85"/>
      <c r="D8992" s="41"/>
      <c r="E8992" s="26" t="str">
        <f ca="1">IFERROR(__xludf.DUMMYFUNCTION("""COMPUTED_VALUE"""),"")</f>
        <v/>
      </c>
      <c r="F8992" s="72"/>
      <c r="G8992" s="72"/>
    </row>
    <row r="8993" spans="1:7" ht="14.5" hidden="1">
      <c r="A8993" s="5"/>
      <c r="B8993" s="18"/>
      <c r="C8993" s="85"/>
      <c r="D8993" s="41"/>
      <c r="E8993" s="26" t="str">
        <f ca="1">IFERROR(__xludf.DUMMYFUNCTION("""COMPUTED_VALUE"""),"")</f>
        <v/>
      </c>
      <c r="F8993" s="72"/>
      <c r="G8993" s="72"/>
    </row>
    <row r="8994" spans="1:7" ht="14.5" hidden="1">
      <c r="A8994" s="5"/>
      <c r="B8994" s="18"/>
      <c r="C8994" s="85"/>
      <c r="D8994" s="41"/>
      <c r="E8994" s="26" t="str">
        <f ca="1">IFERROR(__xludf.DUMMYFUNCTION("""COMPUTED_VALUE"""),"")</f>
        <v/>
      </c>
      <c r="F8994" s="72"/>
      <c r="G8994" s="72"/>
    </row>
    <row r="8995" spans="1:7" ht="14.5" hidden="1">
      <c r="A8995" s="5"/>
      <c r="B8995" s="18"/>
      <c r="C8995" s="85"/>
      <c r="D8995" s="41"/>
      <c r="E8995" s="26" t="str">
        <f ca="1">IFERROR(__xludf.DUMMYFUNCTION("""COMPUTED_VALUE"""),"")</f>
        <v/>
      </c>
      <c r="F8995" s="72"/>
      <c r="G8995" s="72"/>
    </row>
    <row r="8996" spans="1:7" ht="14.5" hidden="1">
      <c r="A8996" s="5"/>
      <c r="B8996" s="18"/>
      <c r="C8996" s="85"/>
      <c r="D8996" s="41"/>
      <c r="E8996" s="26" t="str">
        <f ca="1">IFERROR(__xludf.DUMMYFUNCTION("""COMPUTED_VALUE"""),"")</f>
        <v/>
      </c>
      <c r="F8996" s="72"/>
      <c r="G8996" s="72"/>
    </row>
    <row r="8997" spans="1:7" ht="14.5" hidden="1">
      <c r="A8997" s="5"/>
      <c r="B8997" s="18"/>
      <c r="C8997" s="85"/>
      <c r="D8997" s="41"/>
      <c r="E8997" s="26" t="str">
        <f ca="1">IFERROR(__xludf.DUMMYFUNCTION("""COMPUTED_VALUE"""),"")</f>
        <v/>
      </c>
      <c r="F8997" s="72"/>
      <c r="G8997" s="72"/>
    </row>
    <row r="8998" spans="1:7" ht="14.5" hidden="1">
      <c r="A8998" s="5"/>
      <c r="B8998" s="18"/>
      <c r="C8998" s="85"/>
      <c r="D8998" s="41"/>
      <c r="E8998" s="26" t="str">
        <f ca="1">IFERROR(__xludf.DUMMYFUNCTION("""COMPUTED_VALUE"""),"")</f>
        <v/>
      </c>
      <c r="F8998" s="72"/>
      <c r="G8998" s="72"/>
    </row>
    <row r="8999" spans="1:7" ht="14.5" hidden="1">
      <c r="A8999" s="5"/>
      <c r="B8999" s="18"/>
      <c r="C8999" s="85"/>
      <c r="D8999" s="41"/>
      <c r="E8999" s="26" t="str">
        <f ca="1">IFERROR(__xludf.DUMMYFUNCTION("""COMPUTED_VALUE"""),"")</f>
        <v/>
      </c>
      <c r="F8999" s="72"/>
      <c r="G8999" s="72"/>
    </row>
    <row r="9000" spans="1:7" ht="14.5" hidden="1">
      <c r="A9000" s="5"/>
      <c r="B9000" s="18"/>
      <c r="C9000" s="85"/>
      <c r="D9000" s="41"/>
      <c r="E9000" s="26" t="str">
        <f ca="1">IFERROR(__xludf.DUMMYFUNCTION("""COMPUTED_VALUE"""),"")</f>
        <v/>
      </c>
      <c r="F9000" s="72"/>
      <c r="G9000" s="72"/>
    </row>
    <row r="9001" spans="1:7" ht="14.5" hidden="1">
      <c r="A9001" s="5"/>
      <c r="B9001" s="18"/>
      <c r="C9001" s="85"/>
      <c r="D9001" s="41"/>
      <c r="E9001" s="26" t="str">
        <f ca="1">IFERROR(__xludf.DUMMYFUNCTION("""COMPUTED_VALUE"""),"")</f>
        <v/>
      </c>
      <c r="F9001" s="72"/>
      <c r="G9001" s="72"/>
    </row>
    <row r="9002" spans="1:7" ht="14.5" hidden="1">
      <c r="A9002" s="5"/>
      <c r="B9002" s="18"/>
      <c r="C9002" s="85"/>
      <c r="D9002" s="41"/>
      <c r="E9002" s="26" t="str">
        <f ca="1">IFERROR(__xludf.DUMMYFUNCTION("""COMPUTED_VALUE"""),"")</f>
        <v/>
      </c>
      <c r="F9002" s="72"/>
      <c r="G9002" s="72"/>
    </row>
    <row r="9003" spans="1:7" ht="14.5" hidden="1">
      <c r="A9003" s="5"/>
      <c r="B9003" s="18"/>
      <c r="C9003" s="85"/>
      <c r="D9003" s="41"/>
      <c r="E9003" s="26" t="str">
        <f ca="1">IFERROR(__xludf.DUMMYFUNCTION("""COMPUTED_VALUE"""),"")</f>
        <v/>
      </c>
      <c r="F9003" s="72"/>
      <c r="G9003" s="72"/>
    </row>
    <row r="9004" spans="1:7" ht="14.5" hidden="1">
      <c r="A9004" s="5"/>
      <c r="B9004" s="18"/>
      <c r="C9004" s="85"/>
      <c r="D9004" s="41"/>
      <c r="E9004" s="26" t="str">
        <f ca="1">IFERROR(__xludf.DUMMYFUNCTION("""COMPUTED_VALUE"""),"")</f>
        <v/>
      </c>
      <c r="F9004" s="72"/>
      <c r="G9004" s="72"/>
    </row>
    <row r="9005" spans="1:7" ht="14.5" hidden="1">
      <c r="A9005" s="5"/>
      <c r="B9005" s="18"/>
      <c r="C9005" s="85"/>
      <c r="D9005" s="41"/>
      <c r="E9005" s="26" t="str">
        <f ca="1">IFERROR(__xludf.DUMMYFUNCTION("""COMPUTED_VALUE"""),"")</f>
        <v/>
      </c>
      <c r="F9005" s="72"/>
      <c r="G9005" s="72"/>
    </row>
    <row r="9006" spans="1:7" ht="14.5" hidden="1">
      <c r="A9006" s="5"/>
      <c r="B9006" s="18"/>
      <c r="C9006" s="85"/>
      <c r="D9006" s="41"/>
      <c r="E9006" s="26" t="str">
        <f ca="1">IFERROR(__xludf.DUMMYFUNCTION("""COMPUTED_VALUE"""),"")</f>
        <v/>
      </c>
      <c r="F9006" s="72"/>
      <c r="G9006" s="72"/>
    </row>
    <row r="9007" spans="1:7" ht="14.5" hidden="1">
      <c r="A9007" s="5"/>
      <c r="B9007" s="18"/>
      <c r="C9007" s="85"/>
      <c r="D9007" s="41"/>
      <c r="E9007" s="26" t="str">
        <f ca="1">IFERROR(__xludf.DUMMYFUNCTION("""COMPUTED_VALUE"""),"")</f>
        <v/>
      </c>
      <c r="F9007" s="72"/>
      <c r="G9007" s="72"/>
    </row>
    <row r="9008" spans="1:7" ht="14.5" hidden="1">
      <c r="A9008" s="5"/>
      <c r="B9008" s="18"/>
      <c r="C9008" s="85"/>
      <c r="D9008" s="41"/>
      <c r="E9008" s="26" t="str">
        <f ca="1">IFERROR(__xludf.DUMMYFUNCTION("""COMPUTED_VALUE"""),"")</f>
        <v/>
      </c>
      <c r="F9008" s="72"/>
      <c r="G9008" s="72"/>
    </row>
    <row r="9009" spans="1:7" ht="14.5" hidden="1">
      <c r="A9009" s="5"/>
      <c r="B9009" s="18"/>
      <c r="C9009" s="85"/>
      <c r="D9009" s="41"/>
      <c r="E9009" s="26" t="str">
        <f ca="1">IFERROR(__xludf.DUMMYFUNCTION("""COMPUTED_VALUE"""),"")</f>
        <v/>
      </c>
      <c r="F9009" s="72"/>
      <c r="G9009" s="72"/>
    </row>
    <row r="9010" spans="1:7" ht="14.5" hidden="1">
      <c r="A9010" s="5"/>
      <c r="B9010" s="18"/>
      <c r="C9010" s="85"/>
      <c r="D9010" s="41"/>
      <c r="E9010" s="26" t="str">
        <f ca="1">IFERROR(__xludf.DUMMYFUNCTION("""COMPUTED_VALUE"""),"")</f>
        <v/>
      </c>
      <c r="F9010" s="72"/>
      <c r="G9010" s="72"/>
    </row>
    <row r="9011" spans="1:7" ht="14.5" hidden="1">
      <c r="A9011" s="5"/>
      <c r="B9011" s="18"/>
      <c r="C9011" s="85"/>
      <c r="D9011" s="41"/>
      <c r="E9011" s="26" t="str">
        <f ca="1">IFERROR(__xludf.DUMMYFUNCTION("""COMPUTED_VALUE"""),"")</f>
        <v/>
      </c>
      <c r="F9011" s="72"/>
      <c r="G9011" s="72"/>
    </row>
    <row r="9012" spans="1:7" ht="14.5" hidden="1">
      <c r="A9012" s="5"/>
      <c r="B9012" s="18"/>
      <c r="C9012" s="85"/>
      <c r="D9012" s="41"/>
      <c r="E9012" s="26" t="str">
        <f ca="1">IFERROR(__xludf.DUMMYFUNCTION("""COMPUTED_VALUE"""),"")</f>
        <v/>
      </c>
      <c r="F9012" s="72"/>
      <c r="G9012" s="72"/>
    </row>
    <row r="9013" spans="1:7" ht="14.5" hidden="1">
      <c r="A9013" s="5"/>
      <c r="B9013" s="18"/>
      <c r="C9013" s="85"/>
      <c r="D9013" s="41"/>
      <c r="E9013" s="26" t="str">
        <f ca="1">IFERROR(__xludf.DUMMYFUNCTION("""COMPUTED_VALUE"""),"")</f>
        <v/>
      </c>
      <c r="F9013" s="72"/>
      <c r="G9013" s="72"/>
    </row>
    <row r="9014" spans="1:7" ht="14.5" hidden="1">
      <c r="A9014" s="5"/>
      <c r="B9014" s="18"/>
      <c r="C9014" s="85"/>
      <c r="D9014" s="41"/>
      <c r="E9014" s="26" t="str">
        <f ca="1">IFERROR(__xludf.DUMMYFUNCTION("""COMPUTED_VALUE"""),"")</f>
        <v/>
      </c>
      <c r="F9014" s="72"/>
      <c r="G9014" s="72"/>
    </row>
    <row r="9015" spans="1:7" ht="14.5" hidden="1">
      <c r="A9015" s="5"/>
      <c r="B9015" s="18"/>
      <c r="C9015" s="85"/>
      <c r="D9015" s="41"/>
      <c r="E9015" s="26" t="str">
        <f ca="1">IFERROR(__xludf.DUMMYFUNCTION("""COMPUTED_VALUE"""),"")</f>
        <v/>
      </c>
      <c r="F9015" s="72"/>
      <c r="G9015" s="72"/>
    </row>
    <row r="9016" spans="1:7" ht="14.5" hidden="1">
      <c r="A9016" s="5"/>
      <c r="B9016" s="18"/>
      <c r="C9016" s="85"/>
      <c r="D9016" s="41"/>
      <c r="E9016" s="26" t="str">
        <f ca="1">IFERROR(__xludf.DUMMYFUNCTION("""COMPUTED_VALUE"""),"")</f>
        <v/>
      </c>
      <c r="F9016" s="72"/>
      <c r="G9016" s="72"/>
    </row>
    <row r="9017" spans="1:7" ht="14.5" hidden="1">
      <c r="A9017" s="5"/>
      <c r="B9017" s="18"/>
      <c r="C9017" s="85"/>
      <c r="D9017" s="41"/>
      <c r="E9017" s="26" t="str">
        <f ca="1">IFERROR(__xludf.DUMMYFUNCTION("""COMPUTED_VALUE"""),"")</f>
        <v/>
      </c>
      <c r="F9017" s="72"/>
      <c r="G9017" s="72"/>
    </row>
    <row r="9018" spans="1:7" ht="14.5" hidden="1">
      <c r="A9018" s="5"/>
      <c r="B9018" s="18"/>
      <c r="C9018" s="85"/>
      <c r="D9018" s="41"/>
      <c r="E9018" s="26" t="str">
        <f ca="1">IFERROR(__xludf.DUMMYFUNCTION("""COMPUTED_VALUE"""),"")</f>
        <v/>
      </c>
      <c r="F9018" s="72"/>
      <c r="G9018" s="72"/>
    </row>
    <row r="9019" spans="1:7" ht="14.5" hidden="1">
      <c r="A9019" s="5"/>
      <c r="B9019" s="18"/>
      <c r="C9019" s="85"/>
      <c r="D9019" s="41"/>
      <c r="E9019" s="26" t="str">
        <f ca="1">IFERROR(__xludf.DUMMYFUNCTION("""COMPUTED_VALUE"""),"")</f>
        <v/>
      </c>
      <c r="F9019" s="72"/>
      <c r="G9019" s="72"/>
    </row>
    <row r="9020" spans="1:7" ht="14.5" hidden="1">
      <c r="A9020" s="5"/>
      <c r="B9020" s="18"/>
      <c r="C9020" s="85"/>
      <c r="D9020" s="41"/>
      <c r="E9020" s="26" t="str">
        <f ca="1">IFERROR(__xludf.DUMMYFUNCTION("""COMPUTED_VALUE"""),"")</f>
        <v/>
      </c>
      <c r="F9020" s="72"/>
      <c r="G9020" s="72"/>
    </row>
    <row r="9021" spans="1:7" ht="14.5" hidden="1">
      <c r="A9021" s="5"/>
      <c r="B9021" s="18"/>
      <c r="C9021" s="85"/>
      <c r="D9021" s="41"/>
      <c r="E9021" s="26" t="str">
        <f ca="1">IFERROR(__xludf.DUMMYFUNCTION("""COMPUTED_VALUE"""),"")</f>
        <v/>
      </c>
      <c r="F9021" s="72"/>
      <c r="G9021" s="72"/>
    </row>
    <row r="9022" spans="1:7" ht="14.5" hidden="1">
      <c r="A9022" s="5"/>
      <c r="B9022" s="18"/>
      <c r="C9022" s="85"/>
      <c r="D9022" s="41"/>
      <c r="E9022" s="26" t="str">
        <f ca="1">IFERROR(__xludf.DUMMYFUNCTION("""COMPUTED_VALUE"""),"")</f>
        <v/>
      </c>
      <c r="F9022" s="72"/>
      <c r="G9022" s="72"/>
    </row>
    <row r="9023" spans="1:7" ht="14.5" hidden="1">
      <c r="A9023" s="5"/>
      <c r="B9023" s="18"/>
      <c r="C9023" s="85"/>
      <c r="D9023" s="41"/>
      <c r="E9023" s="26" t="str">
        <f ca="1">IFERROR(__xludf.DUMMYFUNCTION("""COMPUTED_VALUE"""),"")</f>
        <v/>
      </c>
      <c r="F9023" s="72"/>
      <c r="G9023" s="72"/>
    </row>
    <row r="9024" spans="1:7" ht="14.5" hidden="1">
      <c r="A9024" s="5"/>
      <c r="B9024" s="18"/>
      <c r="C9024" s="85"/>
      <c r="D9024" s="41"/>
      <c r="E9024" s="26" t="str">
        <f ca="1">IFERROR(__xludf.DUMMYFUNCTION("""COMPUTED_VALUE"""),"")</f>
        <v/>
      </c>
      <c r="F9024" s="72"/>
      <c r="G9024" s="72"/>
    </row>
    <row r="9025" spans="1:7" ht="14.5" hidden="1">
      <c r="A9025" s="5"/>
      <c r="B9025" s="18"/>
      <c r="C9025" s="85"/>
      <c r="D9025" s="41"/>
      <c r="E9025" s="26" t="str">
        <f ca="1">IFERROR(__xludf.DUMMYFUNCTION("""COMPUTED_VALUE"""),"")</f>
        <v/>
      </c>
      <c r="F9025" s="72"/>
      <c r="G9025" s="72"/>
    </row>
    <row r="9026" spans="1:7" ht="14.5" hidden="1">
      <c r="A9026" s="5"/>
      <c r="B9026" s="18"/>
      <c r="C9026" s="85"/>
      <c r="D9026" s="41"/>
      <c r="E9026" s="26" t="str">
        <f ca="1">IFERROR(__xludf.DUMMYFUNCTION("""COMPUTED_VALUE"""),"")</f>
        <v/>
      </c>
      <c r="F9026" s="72"/>
      <c r="G9026" s="72"/>
    </row>
    <row r="9027" spans="1:7" ht="14.5" hidden="1">
      <c r="A9027" s="5"/>
      <c r="B9027" s="18"/>
      <c r="C9027" s="85"/>
      <c r="D9027" s="41"/>
      <c r="E9027" s="26" t="str">
        <f ca="1">IFERROR(__xludf.DUMMYFUNCTION("""COMPUTED_VALUE"""),"")</f>
        <v/>
      </c>
      <c r="F9027" s="72"/>
      <c r="G9027" s="72"/>
    </row>
    <row r="9028" spans="1:7" ht="14.5" hidden="1">
      <c r="A9028" s="5"/>
      <c r="B9028" s="18"/>
      <c r="C9028" s="85"/>
      <c r="D9028" s="41"/>
      <c r="E9028" s="26" t="str">
        <f ca="1">IFERROR(__xludf.DUMMYFUNCTION("""COMPUTED_VALUE"""),"")</f>
        <v/>
      </c>
      <c r="F9028" s="72"/>
      <c r="G9028" s="72"/>
    </row>
    <row r="9029" spans="1:7" ht="14.5" hidden="1">
      <c r="A9029" s="5"/>
      <c r="B9029" s="18"/>
      <c r="C9029" s="85"/>
      <c r="D9029" s="41"/>
      <c r="E9029" s="26" t="str">
        <f ca="1">IFERROR(__xludf.DUMMYFUNCTION("""COMPUTED_VALUE"""),"")</f>
        <v/>
      </c>
      <c r="F9029" s="72"/>
      <c r="G9029" s="72"/>
    </row>
    <row r="9030" spans="1:7" ht="14.5" hidden="1">
      <c r="A9030" s="5"/>
      <c r="B9030" s="18"/>
      <c r="C9030" s="85"/>
      <c r="D9030" s="41"/>
      <c r="E9030" s="26" t="str">
        <f ca="1">IFERROR(__xludf.DUMMYFUNCTION("""COMPUTED_VALUE"""),"")</f>
        <v/>
      </c>
      <c r="F9030" s="72"/>
      <c r="G9030" s="72"/>
    </row>
    <row r="9031" spans="1:7" ht="14.5" hidden="1">
      <c r="A9031" s="5"/>
      <c r="B9031" s="18"/>
      <c r="C9031" s="85"/>
      <c r="D9031" s="41"/>
      <c r="E9031" s="26" t="str">
        <f ca="1">IFERROR(__xludf.DUMMYFUNCTION("""COMPUTED_VALUE"""),"")</f>
        <v/>
      </c>
      <c r="F9031" s="72"/>
      <c r="G9031" s="72"/>
    </row>
    <row r="9032" spans="1:7" ht="14.5" hidden="1">
      <c r="A9032" s="5"/>
      <c r="B9032" s="18"/>
      <c r="C9032" s="85"/>
      <c r="D9032" s="41"/>
      <c r="E9032" s="26" t="str">
        <f ca="1">IFERROR(__xludf.DUMMYFUNCTION("""COMPUTED_VALUE"""),"")</f>
        <v/>
      </c>
      <c r="F9032" s="72"/>
      <c r="G9032" s="72"/>
    </row>
    <row r="9033" spans="1:7" ht="14.5" hidden="1">
      <c r="A9033" s="5"/>
      <c r="B9033" s="18"/>
      <c r="C9033" s="85"/>
      <c r="D9033" s="41"/>
      <c r="E9033" s="26" t="str">
        <f ca="1">IFERROR(__xludf.DUMMYFUNCTION("""COMPUTED_VALUE"""),"")</f>
        <v/>
      </c>
      <c r="F9033" s="72"/>
      <c r="G9033" s="72"/>
    </row>
    <row r="9034" spans="1:7" ht="14.5" hidden="1">
      <c r="A9034" s="5"/>
      <c r="B9034" s="18"/>
      <c r="C9034" s="85"/>
      <c r="D9034" s="41"/>
      <c r="E9034" s="26" t="str">
        <f ca="1">IFERROR(__xludf.DUMMYFUNCTION("""COMPUTED_VALUE"""),"")</f>
        <v/>
      </c>
      <c r="F9034" s="72"/>
      <c r="G9034" s="72"/>
    </row>
    <row r="9035" spans="1:7" ht="14.5" hidden="1">
      <c r="A9035" s="5"/>
      <c r="B9035" s="18"/>
      <c r="C9035" s="85"/>
      <c r="D9035" s="41"/>
      <c r="E9035" s="26" t="str">
        <f ca="1">IFERROR(__xludf.DUMMYFUNCTION("""COMPUTED_VALUE"""),"")</f>
        <v/>
      </c>
      <c r="F9035" s="72"/>
      <c r="G9035" s="72"/>
    </row>
    <row r="9036" spans="1:7" ht="14.5" hidden="1">
      <c r="A9036" s="5"/>
      <c r="B9036" s="18"/>
      <c r="C9036" s="85"/>
      <c r="D9036" s="41"/>
      <c r="E9036" s="26" t="str">
        <f ca="1">IFERROR(__xludf.DUMMYFUNCTION("""COMPUTED_VALUE"""),"")</f>
        <v/>
      </c>
      <c r="F9036" s="72"/>
      <c r="G9036" s="72"/>
    </row>
    <row r="9037" spans="1:7" ht="14.5" hidden="1">
      <c r="A9037" s="5"/>
      <c r="B9037" s="18"/>
      <c r="C9037" s="85"/>
      <c r="D9037" s="41"/>
      <c r="E9037" s="26" t="str">
        <f ca="1">IFERROR(__xludf.DUMMYFUNCTION("""COMPUTED_VALUE"""),"")</f>
        <v/>
      </c>
      <c r="F9037" s="72"/>
      <c r="G9037" s="72"/>
    </row>
    <row r="9038" spans="1:7" ht="14.5" hidden="1">
      <c r="A9038" s="5"/>
      <c r="B9038" s="18"/>
      <c r="C9038" s="85"/>
      <c r="D9038" s="41"/>
      <c r="E9038" s="26" t="str">
        <f ca="1">IFERROR(__xludf.DUMMYFUNCTION("""COMPUTED_VALUE"""),"")</f>
        <v/>
      </c>
      <c r="F9038" s="72"/>
      <c r="G9038" s="72"/>
    </row>
    <row r="9039" spans="1:7" ht="14.5" hidden="1">
      <c r="A9039" s="5"/>
      <c r="B9039" s="18"/>
      <c r="C9039" s="85"/>
      <c r="D9039" s="41"/>
      <c r="E9039" s="26" t="str">
        <f ca="1">IFERROR(__xludf.DUMMYFUNCTION("""COMPUTED_VALUE"""),"")</f>
        <v/>
      </c>
      <c r="F9039" s="72"/>
      <c r="G9039" s="72"/>
    </row>
    <row r="9040" spans="1:7" ht="14.5" hidden="1">
      <c r="A9040" s="5"/>
      <c r="B9040" s="18"/>
      <c r="C9040" s="85"/>
      <c r="D9040" s="41"/>
      <c r="E9040" s="26" t="str">
        <f ca="1">IFERROR(__xludf.DUMMYFUNCTION("""COMPUTED_VALUE"""),"")</f>
        <v/>
      </c>
      <c r="F9040" s="72"/>
      <c r="G9040" s="72"/>
    </row>
    <row r="9041" spans="1:7" ht="14.5" hidden="1">
      <c r="A9041" s="5"/>
      <c r="B9041" s="18"/>
      <c r="C9041" s="85"/>
      <c r="D9041" s="41"/>
      <c r="E9041" s="26" t="str">
        <f ca="1">IFERROR(__xludf.DUMMYFUNCTION("""COMPUTED_VALUE"""),"")</f>
        <v/>
      </c>
      <c r="F9041" s="72"/>
      <c r="G9041" s="72"/>
    </row>
    <row r="9042" spans="1:7" ht="14.5" hidden="1">
      <c r="A9042" s="5"/>
      <c r="B9042" s="18"/>
      <c r="C9042" s="85"/>
      <c r="D9042" s="41"/>
      <c r="E9042" s="26" t="str">
        <f ca="1">IFERROR(__xludf.DUMMYFUNCTION("""COMPUTED_VALUE"""),"")</f>
        <v/>
      </c>
      <c r="F9042" s="72"/>
      <c r="G9042" s="72"/>
    </row>
    <row r="9043" spans="1:7" ht="14.5" hidden="1">
      <c r="A9043" s="5"/>
      <c r="B9043" s="18"/>
      <c r="C9043" s="85"/>
      <c r="D9043" s="41"/>
      <c r="E9043" s="26" t="str">
        <f ca="1">IFERROR(__xludf.DUMMYFUNCTION("""COMPUTED_VALUE"""),"")</f>
        <v/>
      </c>
      <c r="F9043" s="72"/>
      <c r="G9043" s="72"/>
    </row>
    <row r="9044" spans="1:7" ht="14.5" hidden="1">
      <c r="A9044" s="5"/>
      <c r="B9044" s="18"/>
      <c r="C9044" s="85"/>
      <c r="D9044" s="41"/>
      <c r="E9044" s="26" t="str">
        <f ca="1">IFERROR(__xludf.DUMMYFUNCTION("""COMPUTED_VALUE"""),"")</f>
        <v/>
      </c>
      <c r="F9044" s="72"/>
      <c r="G9044" s="72"/>
    </row>
    <row r="9045" spans="1:7" ht="14.5" hidden="1">
      <c r="A9045" s="5"/>
      <c r="B9045" s="18"/>
      <c r="C9045" s="85"/>
      <c r="D9045" s="41"/>
      <c r="E9045" s="26" t="str">
        <f ca="1">IFERROR(__xludf.DUMMYFUNCTION("""COMPUTED_VALUE"""),"")</f>
        <v/>
      </c>
      <c r="F9045" s="72"/>
      <c r="G9045" s="72"/>
    </row>
    <row r="9046" spans="1:7" ht="14.5" hidden="1">
      <c r="A9046" s="5"/>
      <c r="B9046" s="18"/>
      <c r="C9046" s="85"/>
      <c r="D9046" s="41"/>
      <c r="E9046" s="26" t="str">
        <f ca="1">IFERROR(__xludf.DUMMYFUNCTION("""COMPUTED_VALUE"""),"")</f>
        <v/>
      </c>
      <c r="F9046" s="72"/>
      <c r="G9046" s="72"/>
    </row>
    <row r="9047" spans="1:7" ht="14.5" hidden="1">
      <c r="A9047" s="5"/>
      <c r="B9047" s="18"/>
      <c r="C9047" s="85"/>
      <c r="D9047" s="41"/>
      <c r="E9047" s="26" t="str">
        <f ca="1">IFERROR(__xludf.DUMMYFUNCTION("""COMPUTED_VALUE"""),"")</f>
        <v/>
      </c>
      <c r="F9047" s="72"/>
      <c r="G9047" s="72"/>
    </row>
    <row r="9048" spans="1:7" ht="14.5" hidden="1">
      <c r="A9048" s="5"/>
      <c r="B9048" s="18"/>
      <c r="C9048" s="85"/>
      <c r="D9048" s="41"/>
      <c r="E9048" s="26" t="str">
        <f ca="1">IFERROR(__xludf.DUMMYFUNCTION("""COMPUTED_VALUE"""),"")</f>
        <v/>
      </c>
      <c r="F9048" s="72"/>
      <c r="G9048" s="72"/>
    </row>
    <row r="9049" spans="1:7" ht="14.5" hidden="1">
      <c r="A9049" s="5"/>
      <c r="B9049" s="18"/>
      <c r="C9049" s="85"/>
      <c r="D9049" s="41"/>
      <c r="E9049" s="26" t="str">
        <f ca="1">IFERROR(__xludf.DUMMYFUNCTION("""COMPUTED_VALUE"""),"")</f>
        <v/>
      </c>
      <c r="F9049" s="72"/>
      <c r="G9049" s="72"/>
    </row>
    <row r="9050" spans="1:7" ht="14.5" hidden="1">
      <c r="A9050" s="5"/>
      <c r="B9050" s="18"/>
      <c r="C9050" s="85"/>
      <c r="D9050" s="41"/>
      <c r="E9050" s="26" t="str">
        <f ca="1">IFERROR(__xludf.DUMMYFUNCTION("""COMPUTED_VALUE"""),"")</f>
        <v/>
      </c>
      <c r="F9050" s="72"/>
      <c r="G9050" s="72"/>
    </row>
    <row r="9051" spans="1:7" ht="14.5" hidden="1">
      <c r="A9051" s="5"/>
      <c r="B9051" s="18"/>
      <c r="C9051" s="85"/>
      <c r="D9051" s="41"/>
      <c r="E9051" s="26" t="str">
        <f ca="1">IFERROR(__xludf.DUMMYFUNCTION("""COMPUTED_VALUE"""),"")</f>
        <v/>
      </c>
      <c r="F9051" s="72"/>
      <c r="G9051" s="72"/>
    </row>
    <row r="9052" spans="1:7" ht="14.5" hidden="1">
      <c r="A9052" s="5"/>
      <c r="B9052" s="18"/>
      <c r="C9052" s="85"/>
      <c r="D9052" s="41"/>
      <c r="E9052" s="26" t="str">
        <f ca="1">IFERROR(__xludf.DUMMYFUNCTION("""COMPUTED_VALUE"""),"")</f>
        <v/>
      </c>
      <c r="F9052" s="72"/>
      <c r="G9052" s="72"/>
    </row>
    <row r="9053" spans="1:7" ht="14.5" hidden="1">
      <c r="A9053" s="5"/>
      <c r="B9053" s="18"/>
      <c r="C9053" s="85"/>
      <c r="D9053" s="41"/>
      <c r="E9053" s="26" t="str">
        <f ca="1">IFERROR(__xludf.DUMMYFUNCTION("""COMPUTED_VALUE"""),"")</f>
        <v/>
      </c>
      <c r="F9053" s="72"/>
      <c r="G9053" s="72"/>
    </row>
    <row r="9054" spans="1:7" ht="14.5" hidden="1">
      <c r="A9054" s="5"/>
      <c r="B9054" s="18"/>
      <c r="C9054" s="85"/>
      <c r="D9054" s="41"/>
      <c r="E9054" s="26" t="str">
        <f ca="1">IFERROR(__xludf.DUMMYFUNCTION("""COMPUTED_VALUE"""),"")</f>
        <v/>
      </c>
      <c r="F9054" s="72"/>
      <c r="G9054" s="72"/>
    </row>
    <row r="9055" spans="1:7" ht="14.5" hidden="1">
      <c r="A9055" s="5"/>
      <c r="B9055" s="18"/>
      <c r="C9055" s="85"/>
      <c r="D9055" s="41"/>
      <c r="E9055" s="26" t="str">
        <f ca="1">IFERROR(__xludf.DUMMYFUNCTION("""COMPUTED_VALUE"""),"")</f>
        <v/>
      </c>
      <c r="F9055" s="72"/>
      <c r="G9055" s="72"/>
    </row>
    <row r="9056" spans="1:7" ht="14.5" hidden="1">
      <c r="A9056" s="5"/>
      <c r="B9056" s="18"/>
      <c r="C9056" s="85"/>
      <c r="D9056" s="41"/>
      <c r="E9056" s="26" t="str">
        <f ca="1">IFERROR(__xludf.DUMMYFUNCTION("""COMPUTED_VALUE"""),"")</f>
        <v/>
      </c>
      <c r="F9056" s="72"/>
      <c r="G9056" s="72"/>
    </row>
    <row r="9057" spans="1:7" ht="14.5" hidden="1">
      <c r="A9057" s="5"/>
      <c r="B9057" s="18"/>
      <c r="C9057" s="85"/>
      <c r="D9057" s="41"/>
      <c r="E9057" s="26" t="str">
        <f ca="1">IFERROR(__xludf.DUMMYFUNCTION("""COMPUTED_VALUE"""),"")</f>
        <v/>
      </c>
      <c r="F9057" s="72"/>
      <c r="G9057" s="72"/>
    </row>
    <row r="9058" spans="1:7" ht="14.5" hidden="1">
      <c r="A9058" s="5"/>
      <c r="B9058" s="18"/>
      <c r="C9058" s="85"/>
      <c r="D9058" s="41"/>
      <c r="E9058" s="26" t="str">
        <f ca="1">IFERROR(__xludf.DUMMYFUNCTION("""COMPUTED_VALUE"""),"")</f>
        <v/>
      </c>
      <c r="F9058" s="72"/>
      <c r="G9058" s="72"/>
    </row>
    <row r="9059" spans="1:7" ht="14.5" hidden="1">
      <c r="A9059" s="5"/>
      <c r="B9059" s="18"/>
      <c r="C9059" s="85"/>
      <c r="D9059" s="41"/>
      <c r="E9059" s="26" t="str">
        <f ca="1">IFERROR(__xludf.DUMMYFUNCTION("""COMPUTED_VALUE"""),"")</f>
        <v/>
      </c>
      <c r="F9059" s="72"/>
      <c r="G9059" s="72"/>
    </row>
    <row r="9060" spans="1:7" ht="14.5" hidden="1">
      <c r="A9060" s="5"/>
      <c r="B9060" s="18"/>
      <c r="C9060" s="85"/>
      <c r="D9060" s="41"/>
      <c r="E9060" s="26" t="str">
        <f ca="1">IFERROR(__xludf.DUMMYFUNCTION("""COMPUTED_VALUE"""),"")</f>
        <v/>
      </c>
      <c r="F9060" s="72"/>
      <c r="G9060" s="72"/>
    </row>
    <row r="9061" spans="1:7" ht="14.5" hidden="1">
      <c r="A9061" s="5"/>
      <c r="B9061" s="18"/>
      <c r="C9061" s="85"/>
      <c r="D9061" s="41"/>
      <c r="E9061" s="26" t="str">
        <f ca="1">IFERROR(__xludf.DUMMYFUNCTION("""COMPUTED_VALUE"""),"")</f>
        <v/>
      </c>
      <c r="F9061" s="72"/>
      <c r="G9061" s="72"/>
    </row>
    <row r="9062" spans="1:7" ht="14.5" hidden="1">
      <c r="A9062" s="5"/>
      <c r="B9062" s="18"/>
      <c r="C9062" s="85"/>
      <c r="D9062" s="41"/>
      <c r="E9062" s="26" t="str">
        <f ca="1">IFERROR(__xludf.DUMMYFUNCTION("""COMPUTED_VALUE"""),"")</f>
        <v/>
      </c>
      <c r="F9062" s="72"/>
      <c r="G9062" s="72"/>
    </row>
    <row r="9063" spans="1:7" ht="14.5" hidden="1">
      <c r="A9063" s="5"/>
      <c r="B9063" s="18"/>
      <c r="C9063" s="85"/>
      <c r="D9063" s="41"/>
      <c r="E9063" s="26" t="str">
        <f ca="1">IFERROR(__xludf.DUMMYFUNCTION("""COMPUTED_VALUE"""),"")</f>
        <v/>
      </c>
      <c r="F9063" s="72"/>
      <c r="G9063" s="72"/>
    </row>
    <row r="9064" spans="1:7" ht="14.5" hidden="1">
      <c r="A9064" s="5"/>
      <c r="B9064" s="18"/>
      <c r="C9064" s="85"/>
      <c r="D9064" s="41"/>
      <c r="E9064" s="26" t="str">
        <f ca="1">IFERROR(__xludf.DUMMYFUNCTION("""COMPUTED_VALUE"""),"")</f>
        <v/>
      </c>
      <c r="F9064" s="72"/>
      <c r="G9064" s="72"/>
    </row>
    <row r="9065" spans="1:7" ht="14.5" hidden="1">
      <c r="A9065" s="5"/>
      <c r="B9065" s="18"/>
      <c r="C9065" s="85"/>
      <c r="D9065" s="41"/>
      <c r="E9065" s="26" t="str">
        <f ca="1">IFERROR(__xludf.DUMMYFUNCTION("""COMPUTED_VALUE"""),"")</f>
        <v/>
      </c>
      <c r="F9065" s="72"/>
      <c r="G9065" s="72"/>
    </row>
    <row r="9066" spans="1:7" ht="14.5" hidden="1">
      <c r="A9066" s="5"/>
      <c r="B9066" s="18"/>
      <c r="C9066" s="85"/>
      <c r="D9066" s="41"/>
      <c r="E9066" s="26" t="str">
        <f ca="1">IFERROR(__xludf.DUMMYFUNCTION("""COMPUTED_VALUE"""),"")</f>
        <v/>
      </c>
      <c r="F9066" s="72"/>
      <c r="G9066" s="72"/>
    </row>
    <row r="9067" spans="1:7" ht="14.5" hidden="1">
      <c r="A9067" s="5"/>
      <c r="B9067" s="18"/>
      <c r="C9067" s="85"/>
      <c r="D9067" s="41"/>
      <c r="E9067" s="26" t="str">
        <f ca="1">IFERROR(__xludf.DUMMYFUNCTION("""COMPUTED_VALUE"""),"")</f>
        <v/>
      </c>
      <c r="F9067" s="72"/>
      <c r="G9067" s="72"/>
    </row>
    <row r="9068" spans="1:7" ht="14.5" hidden="1">
      <c r="A9068" s="5"/>
      <c r="B9068" s="18"/>
      <c r="C9068" s="85"/>
      <c r="D9068" s="41"/>
      <c r="E9068" s="26" t="str">
        <f ca="1">IFERROR(__xludf.DUMMYFUNCTION("""COMPUTED_VALUE"""),"")</f>
        <v/>
      </c>
      <c r="F9068" s="72"/>
      <c r="G9068" s="72"/>
    </row>
    <row r="9069" spans="1:7" ht="14.5" hidden="1">
      <c r="A9069" s="5"/>
      <c r="B9069" s="18"/>
      <c r="C9069" s="85"/>
      <c r="D9069" s="41"/>
      <c r="E9069" s="26" t="str">
        <f ca="1">IFERROR(__xludf.DUMMYFUNCTION("""COMPUTED_VALUE"""),"")</f>
        <v/>
      </c>
      <c r="F9069" s="72"/>
      <c r="G9069" s="72"/>
    </row>
    <row r="9070" spans="1:7" ht="14.5" hidden="1">
      <c r="A9070" s="5"/>
      <c r="B9070" s="18"/>
      <c r="C9070" s="85"/>
      <c r="D9070" s="41"/>
      <c r="E9070" s="26" t="str">
        <f ca="1">IFERROR(__xludf.DUMMYFUNCTION("""COMPUTED_VALUE"""),"")</f>
        <v/>
      </c>
      <c r="F9070" s="72"/>
      <c r="G9070" s="72"/>
    </row>
    <row r="9071" spans="1:7" ht="14.5" hidden="1">
      <c r="A9071" s="5"/>
      <c r="B9071" s="18"/>
      <c r="C9071" s="85"/>
      <c r="D9071" s="41"/>
      <c r="E9071" s="26" t="str">
        <f ca="1">IFERROR(__xludf.DUMMYFUNCTION("""COMPUTED_VALUE"""),"")</f>
        <v/>
      </c>
      <c r="F9071" s="72"/>
      <c r="G9071" s="72"/>
    </row>
    <row r="9072" spans="1:7" ht="14.5" hidden="1">
      <c r="A9072" s="5"/>
      <c r="B9072" s="18"/>
      <c r="C9072" s="85"/>
      <c r="D9072" s="41"/>
      <c r="E9072" s="26" t="str">
        <f ca="1">IFERROR(__xludf.DUMMYFUNCTION("""COMPUTED_VALUE"""),"")</f>
        <v/>
      </c>
      <c r="F9072" s="72"/>
      <c r="G9072" s="72"/>
    </row>
    <row r="9073" spans="1:7" ht="14.5" hidden="1">
      <c r="A9073" s="5"/>
      <c r="B9073" s="18"/>
      <c r="C9073" s="85"/>
      <c r="D9073" s="41"/>
      <c r="E9073" s="26" t="str">
        <f ca="1">IFERROR(__xludf.DUMMYFUNCTION("""COMPUTED_VALUE"""),"")</f>
        <v/>
      </c>
      <c r="F9073" s="72"/>
      <c r="G9073" s="72"/>
    </row>
    <row r="9074" spans="1:7" ht="14.5" hidden="1">
      <c r="A9074" s="5"/>
      <c r="B9074" s="18"/>
      <c r="C9074" s="85"/>
      <c r="D9074" s="41"/>
      <c r="E9074" s="26" t="str">
        <f ca="1">IFERROR(__xludf.DUMMYFUNCTION("""COMPUTED_VALUE"""),"")</f>
        <v/>
      </c>
      <c r="F9074" s="72"/>
      <c r="G9074" s="72"/>
    </row>
    <row r="9075" spans="1:7" ht="14.5" hidden="1">
      <c r="A9075" s="5"/>
      <c r="B9075" s="18"/>
      <c r="C9075" s="85"/>
      <c r="D9075" s="41"/>
      <c r="E9075" s="26" t="str">
        <f ca="1">IFERROR(__xludf.DUMMYFUNCTION("""COMPUTED_VALUE"""),"")</f>
        <v/>
      </c>
      <c r="F9075" s="72"/>
      <c r="G9075" s="72"/>
    </row>
    <row r="9076" spans="1:7" ht="14.5" hidden="1">
      <c r="A9076" s="5"/>
      <c r="B9076" s="18"/>
      <c r="C9076" s="85"/>
      <c r="D9076" s="41"/>
      <c r="E9076" s="26" t="str">
        <f ca="1">IFERROR(__xludf.DUMMYFUNCTION("""COMPUTED_VALUE"""),"")</f>
        <v/>
      </c>
      <c r="F9076" s="72"/>
      <c r="G9076" s="72"/>
    </row>
    <row r="9077" spans="1:7" ht="14.5" hidden="1">
      <c r="A9077" s="5"/>
      <c r="B9077" s="18"/>
      <c r="C9077" s="85"/>
      <c r="D9077" s="41"/>
      <c r="E9077" s="26" t="str">
        <f ca="1">IFERROR(__xludf.DUMMYFUNCTION("""COMPUTED_VALUE"""),"")</f>
        <v/>
      </c>
      <c r="F9077" s="72"/>
      <c r="G9077" s="72"/>
    </row>
    <row r="9078" spans="1:7" ht="14.5" hidden="1">
      <c r="A9078" s="5"/>
      <c r="B9078" s="18"/>
      <c r="C9078" s="85"/>
      <c r="D9078" s="41"/>
      <c r="E9078" s="26" t="str">
        <f ca="1">IFERROR(__xludf.DUMMYFUNCTION("""COMPUTED_VALUE"""),"")</f>
        <v/>
      </c>
      <c r="F9078" s="72"/>
      <c r="G9078" s="72"/>
    </row>
    <row r="9079" spans="1:7" ht="14.5" hidden="1">
      <c r="A9079" s="5"/>
      <c r="B9079" s="18"/>
      <c r="C9079" s="85"/>
      <c r="D9079" s="41"/>
      <c r="E9079" s="26" t="str">
        <f ca="1">IFERROR(__xludf.DUMMYFUNCTION("""COMPUTED_VALUE"""),"")</f>
        <v/>
      </c>
      <c r="F9079" s="72"/>
      <c r="G9079" s="72"/>
    </row>
    <row r="9080" spans="1:7" ht="14.5" hidden="1">
      <c r="A9080" s="5"/>
      <c r="B9080" s="18"/>
      <c r="C9080" s="85"/>
      <c r="D9080" s="41"/>
      <c r="E9080" s="26" t="str">
        <f ca="1">IFERROR(__xludf.DUMMYFUNCTION("""COMPUTED_VALUE"""),"")</f>
        <v/>
      </c>
      <c r="F9080" s="72"/>
      <c r="G9080" s="72"/>
    </row>
    <row r="9081" spans="1:7" ht="14.5" hidden="1">
      <c r="A9081" s="5"/>
      <c r="B9081" s="18"/>
      <c r="C9081" s="85"/>
      <c r="D9081" s="41"/>
      <c r="E9081" s="26" t="str">
        <f ca="1">IFERROR(__xludf.DUMMYFUNCTION("""COMPUTED_VALUE"""),"")</f>
        <v/>
      </c>
      <c r="F9081" s="72"/>
      <c r="G9081" s="72"/>
    </row>
    <row r="9082" spans="1:7" ht="14.5" hidden="1">
      <c r="A9082" s="5"/>
      <c r="B9082" s="18"/>
      <c r="C9082" s="85"/>
      <c r="D9082" s="41"/>
      <c r="E9082" s="26" t="str">
        <f ca="1">IFERROR(__xludf.DUMMYFUNCTION("""COMPUTED_VALUE"""),"")</f>
        <v/>
      </c>
      <c r="F9082" s="72"/>
      <c r="G9082" s="72"/>
    </row>
    <row r="9083" spans="1:7" ht="14.5" hidden="1">
      <c r="A9083" s="5"/>
      <c r="B9083" s="18"/>
      <c r="C9083" s="85"/>
      <c r="D9083" s="41"/>
      <c r="E9083" s="26" t="str">
        <f ca="1">IFERROR(__xludf.DUMMYFUNCTION("""COMPUTED_VALUE"""),"")</f>
        <v/>
      </c>
      <c r="F9083" s="72"/>
      <c r="G9083" s="72"/>
    </row>
    <row r="9084" spans="1:7" ht="14.5" hidden="1">
      <c r="A9084" s="5"/>
      <c r="B9084" s="18"/>
      <c r="C9084" s="85"/>
      <c r="D9084" s="41"/>
      <c r="E9084" s="26" t="str">
        <f ca="1">IFERROR(__xludf.DUMMYFUNCTION("""COMPUTED_VALUE"""),"")</f>
        <v/>
      </c>
      <c r="F9084" s="72"/>
      <c r="G9084" s="72"/>
    </row>
    <row r="9085" spans="1:7" ht="14.5" hidden="1">
      <c r="A9085" s="5"/>
      <c r="B9085" s="18"/>
      <c r="C9085" s="85"/>
      <c r="D9085" s="41"/>
      <c r="E9085" s="26" t="str">
        <f ca="1">IFERROR(__xludf.DUMMYFUNCTION("""COMPUTED_VALUE"""),"")</f>
        <v/>
      </c>
      <c r="F9085" s="72"/>
      <c r="G9085" s="72"/>
    </row>
    <row r="9086" spans="1:7" ht="14.5" hidden="1">
      <c r="A9086" s="5"/>
      <c r="B9086" s="18"/>
      <c r="C9086" s="85"/>
      <c r="D9086" s="41"/>
      <c r="E9086" s="26" t="str">
        <f ca="1">IFERROR(__xludf.DUMMYFUNCTION("""COMPUTED_VALUE"""),"")</f>
        <v/>
      </c>
      <c r="F9086" s="72"/>
      <c r="G9086" s="72"/>
    </row>
    <row r="9087" spans="1:7" ht="14.5" hidden="1">
      <c r="A9087" s="5"/>
      <c r="B9087" s="18"/>
      <c r="C9087" s="85"/>
      <c r="D9087" s="41"/>
      <c r="E9087" s="26" t="str">
        <f ca="1">IFERROR(__xludf.DUMMYFUNCTION("""COMPUTED_VALUE"""),"")</f>
        <v/>
      </c>
      <c r="F9087" s="72"/>
      <c r="G9087" s="72"/>
    </row>
    <row r="9088" spans="1:7" ht="14.5" hidden="1">
      <c r="A9088" s="5"/>
      <c r="B9088" s="18"/>
      <c r="C9088" s="85"/>
      <c r="D9088" s="41"/>
      <c r="E9088" s="26" t="str">
        <f ca="1">IFERROR(__xludf.DUMMYFUNCTION("""COMPUTED_VALUE"""),"")</f>
        <v/>
      </c>
      <c r="F9088" s="72"/>
      <c r="G9088" s="72"/>
    </row>
    <row r="9089" spans="1:7" ht="14.5" hidden="1">
      <c r="A9089" s="5"/>
      <c r="B9089" s="18"/>
      <c r="C9089" s="85"/>
      <c r="D9089" s="41"/>
      <c r="E9089" s="26" t="str">
        <f ca="1">IFERROR(__xludf.DUMMYFUNCTION("""COMPUTED_VALUE"""),"")</f>
        <v/>
      </c>
      <c r="F9089" s="72"/>
      <c r="G9089" s="72"/>
    </row>
    <row r="9090" spans="1:7" ht="14.5" hidden="1">
      <c r="A9090" s="5"/>
      <c r="B9090" s="18"/>
      <c r="C9090" s="85"/>
      <c r="D9090" s="41"/>
      <c r="E9090" s="26" t="str">
        <f ca="1">IFERROR(__xludf.DUMMYFUNCTION("""COMPUTED_VALUE"""),"")</f>
        <v/>
      </c>
      <c r="F9090" s="72"/>
      <c r="G9090" s="72"/>
    </row>
    <row r="9091" spans="1:7" ht="14.5" hidden="1">
      <c r="A9091" s="5"/>
      <c r="B9091" s="18"/>
      <c r="C9091" s="85"/>
      <c r="D9091" s="41"/>
      <c r="E9091" s="26" t="str">
        <f ca="1">IFERROR(__xludf.DUMMYFUNCTION("""COMPUTED_VALUE"""),"")</f>
        <v/>
      </c>
      <c r="F9091" s="72"/>
      <c r="G9091" s="72"/>
    </row>
    <row r="9092" spans="1:7" ht="14.5" hidden="1">
      <c r="A9092" s="5"/>
      <c r="B9092" s="18"/>
      <c r="C9092" s="85"/>
      <c r="D9092" s="41"/>
      <c r="E9092" s="26" t="str">
        <f ca="1">IFERROR(__xludf.DUMMYFUNCTION("""COMPUTED_VALUE"""),"")</f>
        <v/>
      </c>
      <c r="F9092" s="72"/>
      <c r="G9092" s="72"/>
    </row>
    <row r="9093" spans="1:7" ht="14.5" hidden="1">
      <c r="A9093" s="5"/>
      <c r="B9093" s="18"/>
      <c r="C9093" s="85"/>
      <c r="D9093" s="41"/>
      <c r="E9093" s="26" t="str">
        <f ca="1">IFERROR(__xludf.DUMMYFUNCTION("""COMPUTED_VALUE"""),"")</f>
        <v/>
      </c>
      <c r="F9093" s="72"/>
      <c r="G9093" s="72"/>
    </row>
    <row r="9094" spans="1:7" ht="14.5" hidden="1">
      <c r="A9094" s="5"/>
      <c r="B9094" s="18"/>
      <c r="C9094" s="85"/>
      <c r="D9094" s="41"/>
      <c r="E9094" s="26" t="str">
        <f ca="1">IFERROR(__xludf.DUMMYFUNCTION("""COMPUTED_VALUE"""),"")</f>
        <v/>
      </c>
      <c r="F9094" s="72"/>
      <c r="G9094" s="72"/>
    </row>
    <row r="9095" spans="1:7" ht="14.5" hidden="1">
      <c r="A9095" s="5"/>
      <c r="B9095" s="18"/>
      <c r="C9095" s="85"/>
      <c r="D9095" s="41"/>
      <c r="E9095" s="26" t="str">
        <f ca="1">IFERROR(__xludf.DUMMYFUNCTION("""COMPUTED_VALUE"""),"")</f>
        <v/>
      </c>
      <c r="F9095" s="72"/>
      <c r="G9095" s="72"/>
    </row>
    <row r="9096" spans="1:7" ht="14.5" hidden="1">
      <c r="A9096" s="5"/>
      <c r="B9096" s="18"/>
      <c r="C9096" s="85"/>
      <c r="D9096" s="41"/>
      <c r="E9096" s="26" t="str">
        <f ca="1">IFERROR(__xludf.DUMMYFUNCTION("""COMPUTED_VALUE"""),"")</f>
        <v/>
      </c>
      <c r="F9096" s="72"/>
      <c r="G9096" s="72"/>
    </row>
    <row r="9097" spans="1:7" ht="14.5" hidden="1">
      <c r="A9097" s="5"/>
      <c r="B9097" s="18"/>
      <c r="C9097" s="85"/>
      <c r="D9097" s="41"/>
      <c r="E9097" s="26" t="str">
        <f ca="1">IFERROR(__xludf.DUMMYFUNCTION("""COMPUTED_VALUE"""),"")</f>
        <v/>
      </c>
      <c r="F9097" s="72"/>
      <c r="G9097" s="72"/>
    </row>
    <row r="9098" spans="1:7" ht="14.5" hidden="1">
      <c r="A9098" s="5"/>
      <c r="B9098" s="18"/>
      <c r="C9098" s="85"/>
      <c r="D9098" s="41"/>
      <c r="E9098" s="26" t="str">
        <f ca="1">IFERROR(__xludf.DUMMYFUNCTION("""COMPUTED_VALUE"""),"")</f>
        <v/>
      </c>
      <c r="F9098" s="72"/>
      <c r="G9098" s="72"/>
    </row>
    <row r="9099" spans="1:7" ht="14.5" hidden="1">
      <c r="A9099" s="5"/>
      <c r="B9099" s="18"/>
      <c r="C9099" s="85"/>
      <c r="D9099" s="41"/>
      <c r="E9099" s="26" t="str">
        <f ca="1">IFERROR(__xludf.DUMMYFUNCTION("""COMPUTED_VALUE"""),"")</f>
        <v/>
      </c>
      <c r="F9099" s="72"/>
      <c r="G9099" s="72"/>
    </row>
    <row r="9100" spans="1:7" ht="14.5" hidden="1">
      <c r="A9100" s="5"/>
      <c r="B9100" s="18"/>
      <c r="C9100" s="85"/>
      <c r="D9100" s="41"/>
      <c r="E9100" s="26" t="str">
        <f ca="1">IFERROR(__xludf.DUMMYFUNCTION("""COMPUTED_VALUE"""),"")</f>
        <v/>
      </c>
      <c r="F9100" s="72"/>
      <c r="G9100" s="72"/>
    </row>
    <row r="9101" spans="1:7" ht="14.5" hidden="1">
      <c r="A9101" s="5"/>
      <c r="B9101" s="18"/>
      <c r="C9101" s="85"/>
      <c r="D9101" s="41"/>
      <c r="E9101" s="26" t="str">
        <f ca="1">IFERROR(__xludf.DUMMYFUNCTION("""COMPUTED_VALUE"""),"")</f>
        <v/>
      </c>
      <c r="F9101" s="72"/>
      <c r="G9101" s="72"/>
    </row>
    <row r="9102" spans="1:7" ht="14.5" hidden="1">
      <c r="A9102" s="5"/>
      <c r="B9102" s="18"/>
      <c r="C9102" s="85"/>
      <c r="D9102" s="41"/>
      <c r="E9102" s="26" t="str">
        <f ca="1">IFERROR(__xludf.DUMMYFUNCTION("""COMPUTED_VALUE"""),"")</f>
        <v/>
      </c>
      <c r="F9102" s="72"/>
      <c r="G9102" s="72"/>
    </row>
    <row r="9103" spans="1:7" ht="14.5" hidden="1">
      <c r="A9103" s="5"/>
      <c r="B9103" s="18"/>
      <c r="C9103" s="85"/>
      <c r="D9103" s="41"/>
      <c r="E9103" s="26" t="str">
        <f ca="1">IFERROR(__xludf.DUMMYFUNCTION("""COMPUTED_VALUE"""),"")</f>
        <v/>
      </c>
      <c r="F9103" s="72"/>
      <c r="G9103" s="72"/>
    </row>
    <row r="9104" spans="1:7" ht="14.5" hidden="1">
      <c r="A9104" s="5"/>
      <c r="B9104" s="18"/>
      <c r="C9104" s="85"/>
      <c r="D9104" s="41"/>
      <c r="E9104" s="26" t="str">
        <f ca="1">IFERROR(__xludf.DUMMYFUNCTION("""COMPUTED_VALUE"""),"")</f>
        <v/>
      </c>
      <c r="F9104" s="72"/>
      <c r="G9104" s="72"/>
    </row>
    <row r="9105" spans="1:7" ht="14.5" hidden="1">
      <c r="A9105" s="5"/>
      <c r="B9105" s="18"/>
      <c r="C9105" s="85"/>
      <c r="D9105" s="41"/>
      <c r="E9105" s="26" t="str">
        <f ca="1">IFERROR(__xludf.DUMMYFUNCTION("""COMPUTED_VALUE"""),"")</f>
        <v/>
      </c>
      <c r="F9105" s="72"/>
      <c r="G9105" s="72"/>
    </row>
    <row r="9106" spans="1:7" ht="14.5" hidden="1">
      <c r="A9106" s="5"/>
      <c r="B9106" s="18"/>
      <c r="C9106" s="85"/>
      <c r="D9106" s="41"/>
      <c r="E9106" s="26" t="str">
        <f ca="1">IFERROR(__xludf.DUMMYFUNCTION("""COMPUTED_VALUE"""),"")</f>
        <v/>
      </c>
      <c r="F9106" s="72"/>
      <c r="G9106" s="72"/>
    </row>
    <row r="9107" spans="1:7" ht="14.5" hidden="1">
      <c r="A9107" s="5"/>
      <c r="B9107" s="18"/>
      <c r="C9107" s="85"/>
      <c r="D9107" s="41"/>
      <c r="E9107" s="26" t="str">
        <f ca="1">IFERROR(__xludf.DUMMYFUNCTION("""COMPUTED_VALUE"""),"")</f>
        <v/>
      </c>
      <c r="F9107" s="72"/>
      <c r="G9107" s="72"/>
    </row>
    <row r="9108" spans="1:7" ht="14.5" hidden="1">
      <c r="A9108" s="5"/>
      <c r="B9108" s="18"/>
      <c r="C9108" s="85"/>
      <c r="D9108" s="41"/>
      <c r="E9108" s="26" t="str">
        <f ca="1">IFERROR(__xludf.DUMMYFUNCTION("""COMPUTED_VALUE"""),"")</f>
        <v/>
      </c>
      <c r="F9108" s="72"/>
      <c r="G9108" s="72"/>
    </row>
    <row r="9109" spans="1:7" ht="14.5" hidden="1">
      <c r="A9109" s="5"/>
      <c r="B9109" s="18"/>
      <c r="C9109" s="85"/>
      <c r="D9109" s="41"/>
      <c r="E9109" s="26" t="str">
        <f ca="1">IFERROR(__xludf.DUMMYFUNCTION("""COMPUTED_VALUE"""),"")</f>
        <v/>
      </c>
      <c r="F9109" s="72"/>
      <c r="G9109" s="72"/>
    </row>
    <row r="9110" spans="1:7" ht="14.5" hidden="1">
      <c r="A9110" s="5"/>
      <c r="B9110" s="18"/>
      <c r="C9110" s="85"/>
      <c r="D9110" s="41"/>
      <c r="E9110" s="26" t="str">
        <f ca="1">IFERROR(__xludf.DUMMYFUNCTION("""COMPUTED_VALUE"""),"")</f>
        <v/>
      </c>
      <c r="F9110" s="72"/>
      <c r="G9110" s="72"/>
    </row>
    <row r="9111" spans="1:7" ht="14.5" hidden="1">
      <c r="A9111" s="5"/>
      <c r="B9111" s="18"/>
      <c r="C9111" s="85"/>
      <c r="D9111" s="41"/>
      <c r="E9111" s="26" t="str">
        <f ca="1">IFERROR(__xludf.DUMMYFUNCTION("""COMPUTED_VALUE"""),"")</f>
        <v/>
      </c>
      <c r="F9111" s="72"/>
      <c r="G9111" s="72"/>
    </row>
    <row r="9112" spans="1:7" ht="14.5" hidden="1">
      <c r="A9112" s="5"/>
      <c r="B9112" s="18"/>
      <c r="C9112" s="85"/>
      <c r="D9112" s="41"/>
      <c r="E9112" s="26" t="str">
        <f ca="1">IFERROR(__xludf.DUMMYFUNCTION("""COMPUTED_VALUE"""),"")</f>
        <v/>
      </c>
      <c r="F9112" s="72"/>
      <c r="G9112" s="72"/>
    </row>
    <row r="9113" spans="1:7" ht="14.5" hidden="1">
      <c r="A9113" s="5"/>
      <c r="B9113" s="18"/>
      <c r="C9113" s="85"/>
      <c r="D9113" s="41"/>
      <c r="E9113" s="26" t="str">
        <f ca="1">IFERROR(__xludf.DUMMYFUNCTION("""COMPUTED_VALUE"""),"")</f>
        <v/>
      </c>
      <c r="F9113" s="72"/>
      <c r="G9113" s="72"/>
    </row>
    <row r="9114" spans="1:7" ht="14.5" hidden="1">
      <c r="A9114" s="5"/>
      <c r="B9114" s="18"/>
      <c r="C9114" s="85"/>
      <c r="D9114" s="41"/>
      <c r="E9114" s="26" t="str">
        <f ca="1">IFERROR(__xludf.DUMMYFUNCTION("""COMPUTED_VALUE"""),"")</f>
        <v/>
      </c>
      <c r="F9114" s="72"/>
      <c r="G9114" s="72"/>
    </row>
    <row r="9115" spans="1:7" ht="14.5" hidden="1">
      <c r="A9115" s="5"/>
      <c r="B9115" s="18"/>
      <c r="C9115" s="85"/>
      <c r="D9115" s="41"/>
      <c r="E9115" s="26" t="str">
        <f ca="1">IFERROR(__xludf.DUMMYFUNCTION("""COMPUTED_VALUE"""),"")</f>
        <v/>
      </c>
      <c r="F9115" s="72"/>
      <c r="G9115" s="72"/>
    </row>
    <row r="9116" spans="1:7" ht="14.5" hidden="1">
      <c r="A9116" s="5"/>
      <c r="B9116" s="18"/>
      <c r="C9116" s="85"/>
      <c r="D9116" s="41"/>
      <c r="E9116" s="26" t="str">
        <f ca="1">IFERROR(__xludf.DUMMYFUNCTION("""COMPUTED_VALUE"""),"")</f>
        <v/>
      </c>
      <c r="F9116" s="72"/>
      <c r="G9116" s="72"/>
    </row>
    <row r="9117" spans="1:7" ht="14.5" hidden="1">
      <c r="A9117" s="5"/>
      <c r="B9117" s="18"/>
      <c r="C9117" s="85"/>
      <c r="D9117" s="41"/>
      <c r="E9117" s="26" t="str">
        <f ca="1">IFERROR(__xludf.DUMMYFUNCTION("""COMPUTED_VALUE"""),"")</f>
        <v/>
      </c>
      <c r="F9117" s="72"/>
      <c r="G9117" s="72"/>
    </row>
    <row r="9118" spans="1:7" ht="14.5" hidden="1">
      <c r="A9118" s="5"/>
      <c r="B9118" s="18"/>
      <c r="C9118" s="85"/>
      <c r="D9118" s="41"/>
      <c r="E9118" s="26" t="str">
        <f ca="1">IFERROR(__xludf.DUMMYFUNCTION("""COMPUTED_VALUE"""),"")</f>
        <v/>
      </c>
      <c r="F9118" s="72"/>
      <c r="G9118" s="72"/>
    </row>
    <row r="9119" spans="1:7" ht="14.5" hidden="1">
      <c r="A9119" s="5"/>
      <c r="B9119" s="18"/>
      <c r="C9119" s="85"/>
      <c r="D9119" s="41"/>
      <c r="E9119" s="26" t="str">
        <f ca="1">IFERROR(__xludf.DUMMYFUNCTION("""COMPUTED_VALUE"""),"")</f>
        <v/>
      </c>
      <c r="F9119" s="72"/>
      <c r="G9119" s="72"/>
    </row>
    <row r="9120" spans="1:7" ht="14.5" hidden="1">
      <c r="A9120" s="5"/>
      <c r="B9120" s="18"/>
      <c r="C9120" s="85"/>
      <c r="D9120" s="41"/>
      <c r="E9120" s="26" t="str">
        <f ca="1">IFERROR(__xludf.DUMMYFUNCTION("""COMPUTED_VALUE"""),"")</f>
        <v/>
      </c>
      <c r="F9120" s="72"/>
      <c r="G9120" s="72"/>
    </row>
    <row r="9121" spans="1:7" ht="14.5" hidden="1">
      <c r="A9121" s="5"/>
      <c r="B9121" s="18"/>
      <c r="C9121" s="85"/>
      <c r="D9121" s="41"/>
      <c r="E9121" s="26" t="str">
        <f ca="1">IFERROR(__xludf.DUMMYFUNCTION("""COMPUTED_VALUE"""),"")</f>
        <v/>
      </c>
      <c r="F9121" s="72"/>
      <c r="G9121" s="72"/>
    </row>
    <row r="9122" spans="1:7" ht="14.5" hidden="1">
      <c r="A9122" s="5"/>
      <c r="B9122" s="18"/>
      <c r="C9122" s="85"/>
      <c r="D9122" s="41"/>
      <c r="E9122" s="26" t="str">
        <f ca="1">IFERROR(__xludf.DUMMYFUNCTION("""COMPUTED_VALUE"""),"")</f>
        <v/>
      </c>
      <c r="F9122" s="72"/>
      <c r="G9122" s="72"/>
    </row>
    <row r="9123" spans="1:7" ht="14.5" hidden="1">
      <c r="A9123" s="5"/>
      <c r="B9123" s="18"/>
      <c r="C9123" s="85"/>
      <c r="D9123" s="41"/>
      <c r="E9123" s="26" t="str">
        <f ca="1">IFERROR(__xludf.DUMMYFUNCTION("""COMPUTED_VALUE"""),"")</f>
        <v/>
      </c>
      <c r="F9123" s="72"/>
      <c r="G9123" s="72"/>
    </row>
    <row r="9124" spans="1:7" ht="14.5" hidden="1">
      <c r="A9124" s="5"/>
      <c r="B9124" s="18"/>
      <c r="C9124" s="85"/>
      <c r="D9124" s="41"/>
      <c r="E9124" s="26" t="str">
        <f ca="1">IFERROR(__xludf.DUMMYFUNCTION("""COMPUTED_VALUE"""),"")</f>
        <v/>
      </c>
      <c r="F9124" s="72"/>
      <c r="G9124" s="72"/>
    </row>
    <row r="9125" spans="1:7" ht="14.5" hidden="1">
      <c r="A9125" s="5"/>
      <c r="B9125" s="18"/>
      <c r="C9125" s="85"/>
      <c r="D9125" s="41"/>
      <c r="E9125" s="26" t="str">
        <f ca="1">IFERROR(__xludf.DUMMYFUNCTION("""COMPUTED_VALUE"""),"")</f>
        <v/>
      </c>
      <c r="F9125" s="72"/>
      <c r="G9125" s="72"/>
    </row>
    <row r="9126" spans="1:7" ht="14.5" hidden="1">
      <c r="A9126" s="5"/>
      <c r="B9126" s="18"/>
      <c r="C9126" s="85"/>
      <c r="D9126" s="41"/>
      <c r="E9126" s="26" t="str">
        <f ca="1">IFERROR(__xludf.DUMMYFUNCTION("""COMPUTED_VALUE"""),"")</f>
        <v/>
      </c>
      <c r="F9126" s="72"/>
      <c r="G9126" s="72"/>
    </row>
    <row r="9127" spans="1:7" ht="14.5" hidden="1">
      <c r="A9127" s="5"/>
      <c r="B9127" s="18"/>
      <c r="C9127" s="85"/>
      <c r="D9127" s="41"/>
      <c r="E9127" s="26" t="str">
        <f ca="1">IFERROR(__xludf.DUMMYFUNCTION("""COMPUTED_VALUE"""),"")</f>
        <v/>
      </c>
      <c r="F9127" s="72"/>
      <c r="G9127" s="72"/>
    </row>
    <row r="9128" spans="1:7" ht="14.5" hidden="1">
      <c r="A9128" s="5"/>
      <c r="B9128" s="18"/>
      <c r="C9128" s="85"/>
      <c r="D9128" s="41"/>
      <c r="E9128" s="26" t="str">
        <f ca="1">IFERROR(__xludf.DUMMYFUNCTION("""COMPUTED_VALUE"""),"")</f>
        <v/>
      </c>
      <c r="F9128" s="72"/>
      <c r="G9128" s="72"/>
    </row>
    <row r="9129" spans="1:7" ht="14.5" hidden="1">
      <c r="A9129" s="5"/>
      <c r="B9129" s="18"/>
      <c r="C9129" s="85"/>
      <c r="D9129" s="41"/>
      <c r="E9129" s="26" t="str">
        <f ca="1">IFERROR(__xludf.DUMMYFUNCTION("""COMPUTED_VALUE"""),"")</f>
        <v/>
      </c>
      <c r="F9129" s="72"/>
      <c r="G9129" s="72"/>
    </row>
    <row r="9130" spans="1:7" ht="14.5" hidden="1">
      <c r="A9130" s="5"/>
      <c r="B9130" s="18"/>
      <c r="C9130" s="85"/>
      <c r="D9130" s="41"/>
      <c r="E9130" s="26" t="str">
        <f ca="1">IFERROR(__xludf.DUMMYFUNCTION("""COMPUTED_VALUE"""),"")</f>
        <v/>
      </c>
      <c r="F9130" s="72"/>
      <c r="G9130" s="72"/>
    </row>
    <row r="9131" spans="1:7" ht="14.5" hidden="1">
      <c r="A9131" s="5"/>
      <c r="B9131" s="18"/>
      <c r="C9131" s="85"/>
      <c r="D9131" s="41"/>
      <c r="E9131" s="26" t="str">
        <f ca="1">IFERROR(__xludf.DUMMYFUNCTION("""COMPUTED_VALUE"""),"")</f>
        <v/>
      </c>
      <c r="F9131" s="72"/>
      <c r="G9131" s="72"/>
    </row>
    <row r="9132" spans="1:7" ht="14.5" hidden="1">
      <c r="A9132" s="5"/>
      <c r="B9132" s="18"/>
      <c r="C9132" s="85"/>
      <c r="D9132" s="41"/>
      <c r="E9132" s="26" t="str">
        <f ca="1">IFERROR(__xludf.DUMMYFUNCTION("""COMPUTED_VALUE"""),"")</f>
        <v/>
      </c>
      <c r="F9132" s="72"/>
      <c r="G9132" s="72"/>
    </row>
    <row r="9133" spans="1:7" ht="14.5" hidden="1">
      <c r="A9133" s="5"/>
      <c r="B9133" s="18"/>
      <c r="C9133" s="85"/>
      <c r="D9133" s="41"/>
      <c r="E9133" s="26" t="str">
        <f ca="1">IFERROR(__xludf.DUMMYFUNCTION("""COMPUTED_VALUE"""),"")</f>
        <v/>
      </c>
      <c r="F9133" s="72"/>
      <c r="G9133" s="72"/>
    </row>
    <row r="9134" spans="1:7" ht="14.5" hidden="1">
      <c r="A9134" s="5"/>
      <c r="B9134" s="18"/>
      <c r="C9134" s="85"/>
      <c r="D9134" s="41"/>
      <c r="E9134" s="26" t="str">
        <f ca="1">IFERROR(__xludf.DUMMYFUNCTION("""COMPUTED_VALUE"""),"")</f>
        <v/>
      </c>
      <c r="F9134" s="72"/>
      <c r="G9134" s="72"/>
    </row>
    <row r="9135" spans="1:7" ht="14.5" hidden="1">
      <c r="A9135" s="5"/>
      <c r="B9135" s="18"/>
      <c r="C9135" s="85"/>
      <c r="D9135" s="41"/>
      <c r="E9135" s="26" t="str">
        <f ca="1">IFERROR(__xludf.DUMMYFUNCTION("""COMPUTED_VALUE"""),"")</f>
        <v/>
      </c>
      <c r="F9135" s="72"/>
      <c r="G9135" s="72"/>
    </row>
    <row r="9136" spans="1:7" ht="14.5" hidden="1">
      <c r="A9136" s="5"/>
      <c r="B9136" s="18"/>
      <c r="C9136" s="85"/>
      <c r="D9136" s="41"/>
      <c r="E9136" s="26" t="str">
        <f ca="1">IFERROR(__xludf.DUMMYFUNCTION("""COMPUTED_VALUE"""),"")</f>
        <v/>
      </c>
      <c r="F9136" s="72"/>
      <c r="G9136" s="72"/>
    </row>
    <row r="9137" spans="1:12" ht="14.5" hidden="1">
      <c r="A9137" s="5"/>
      <c r="B9137" s="18"/>
      <c r="C9137" s="85"/>
      <c r="D9137" s="41"/>
      <c r="E9137" s="26" t="str">
        <f ca="1">IFERROR(__xludf.DUMMYFUNCTION("""COMPUTED_VALUE"""),"")</f>
        <v/>
      </c>
      <c r="F9137" s="72"/>
      <c r="G9137" s="72"/>
    </row>
    <row r="9138" spans="1:12" ht="14.5" hidden="1">
      <c r="A9138" s="5"/>
      <c r="B9138" s="18"/>
      <c r="C9138" s="85"/>
      <c r="D9138" s="41"/>
      <c r="E9138" s="26" t="str">
        <f ca="1">IFERROR(__xludf.DUMMYFUNCTION("""COMPUTED_VALUE"""),"")</f>
        <v/>
      </c>
      <c r="F9138" s="72"/>
      <c r="G9138" s="72"/>
    </row>
    <row r="9139" spans="1:12" ht="14.5" hidden="1">
      <c r="A9139" s="5"/>
      <c r="B9139" s="18"/>
      <c r="C9139" s="85"/>
      <c r="D9139" s="41"/>
      <c r="E9139" s="26" t="str">
        <f ca="1">IFERROR(__xludf.DUMMYFUNCTION("""COMPUTED_VALUE"""),"")</f>
        <v/>
      </c>
      <c r="F9139" s="72"/>
      <c r="G9139" s="72"/>
    </row>
    <row r="9140" spans="1:12" ht="14.5" hidden="1">
      <c r="A9140" s="5"/>
      <c r="B9140" s="18"/>
      <c r="C9140" s="85"/>
      <c r="D9140" s="41"/>
      <c r="E9140" s="26" t="str">
        <f ca="1">IFERROR(__xludf.DUMMYFUNCTION("""COMPUTED_VALUE"""),"")</f>
        <v/>
      </c>
      <c r="F9140" s="72"/>
      <c r="G9140" s="72"/>
    </row>
    <row r="9141" spans="1:12" ht="14.5" hidden="1">
      <c r="A9141" s="5"/>
      <c r="B9141" s="18"/>
      <c r="C9141" s="85"/>
      <c r="D9141" s="41"/>
      <c r="E9141" s="26" t="str">
        <f ca="1">IFERROR(__xludf.DUMMYFUNCTION("""COMPUTED_VALUE"""),"")</f>
        <v/>
      </c>
      <c r="F9141" s="72"/>
      <c r="G9141" s="72"/>
    </row>
    <row r="9142" spans="1:12" ht="14.5" hidden="1">
      <c r="A9142" s="5"/>
      <c r="B9142" s="18"/>
      <c r="C9142" s="85"/>
      <c r="D9142" s="41"/>
      <c r="E9142" s="26" t="str">
        <f ca="1">IFERROR(__xludf.DUMMYFUNCTION("""COMPUTED_VALUE"""),"")</f>
        <v/>
      </c>
      <c r="F9142" s="72"/>
      <c r="G9142" s="72"/>
    </row>
    <row r="9143" spans="1:12" ht="14.5" hidden="1">
      <c r="A9143" s="5"/>
      <c r="B9143" s="18"/>
      <c r="C9143" s="85"/>
      <c r="D9143" s="41"/>
      <c r="E9143" s="26" t="str">
        <f ca="1">IFERROR(__xludf.DUMMYFUNCTION("""COMPUTED_VALUE"""),"")</f>
        <v/>
      </c>
      <c r="F9143" s="72"/>
      <c r="G9143" s="72"/>
    </row>
    <row r="9144" spans="1:12" ht="14.5" hidden="1">
      <c r="A9144" s="5"/>
      <c r="B9144" s="18"/>
      <c r="C9144" s="85"/>
      <c r="D9144" s="41"/>
      <c r="E9144" s="26" t="str">
        <f ca="1">IFERROR(__xludf.DUMMYFUNCTION("""COMPUTED_VALUE"""),"")</f>
        <v/>
      </c>
      <c r="F9144" s="72"/>
      <c r="G9144" s="72"/>
    </row>
    <row r="9145" spans="1:12" ht="14.5" hidden="1">
      <c r="A9145" s="5"/>
      <c r="B9145" s="18"/>
      <c r="C9145" s="85"/>
      <c r="D9145" s="41"/>
      <c r="E9145" s="26" t="str">
        <f ca="1">IFERROR(__xludf.DUMMYFUNCTION("""COMPUTED_VALUE"""),"")</f>
        <v/>
      </c>
      <c r="F9145" s="72"/>
      <c r="G9145" s="72"/>
    </row>
    <row r="9146" spans="1:12" ht="14.5" hidden="1">
      <c r="A9146" s="5"/>
      <c r="B9146" s="18"/>
      <c r="C9146" s="85"/>
      <c r="D9146" s="41"/>
      <c r="E9146" s="26" t="str">
        <f ca="1">IFERROR(__xludf.DUMMYFUNCTION("""COMPUTED_VALUE"""),"")</f>
        <v/>
      </c>
      <c r="F9146" s="72"/>
      <c r="G9146" s="72"/>
    </row>
    <row r="9147" spans="1:12" ht="14.5" hidden="1">
      <c r="A9147" s="5"/>
      <c r="B9147" s="18"/>
      <c r="C9147" s="85"/>
      <c r="D9147" s="41"/>
      <c r="E9147" s="26" t="str">
        <f ca="1">IFERROR(__xludf.DUMMYFUNCTION("""COMPUTED_VALUE"""),"")</f>
        <v/>
      </c>
      <c r="F9147" s="72"/>
      <c r="G9147" s="72"/>
    </row>
    <row r="9148" spans="1:12" ht="14.5" hidden="1">
      <c r="A9148" s="5"/>
      <c r="B9148" s="18"/>
      <c r="C9148" s="85"/>
      <c r="D9148" s="41"/>
      <c r="E9148" s="26" t="str">
        <f ca="1">IFERROR(__xludf.DUMMYFUNCTION("""COMPUTED_VALUE"""),"")</f>
        <v/>
      </c>
      <c r="F9148" s="72"/>
      <c r="G9148" s="72"/>
    </row>
    <row r="9149" spans="1:12" ht="14.5">
      <c r="A9149" s="90" t="s">
        <v>9115</v>
      </c>
      <c r="B9149" s="57" t="s">
        <v>2900</v>
      </c>
      <c r="C9149" s="46" t="s">
        <v>9116</v>
      </c>
      <c r="D9149" s="41" t="str">
        <f ca="1">IFERROR(__xludf.DUMMYFUNCTION("IFERROR(ARRAYFORMULA(REGEXEXTRACT(C9149,""^(?:https?:\/\/)?(?:[^@\n]+@)?(?:www\.)?([^:\/\n]+)"")),"""")"),"threebestrated.com")</f>
        <v>threebestrated.com</v>
      </c>
      <c r="E9149" s="26" t="str">
        <f ca="1">IFERROR(__xludf.DUMMYFUNCTION("""COMPUTED_VALUE"""),"New")</f>
        <v>New</v>
      </c>
      <c r="F9149" s="72">
        <v>80</v>
      </c>
      <c r="G9149" s="72">
        <v>1228</v>
      </c>
    </row>
    <row r="9150" spans="1:12" ht="14.5">
      <c r="A9150" s="3" t="s">
        <v>9115</v>
      </c>
      <c r="B9150" s="12" t="s">
        <v>2900</v>
      </c>
      <c r="C9150" s="46" t="s">
        <v>9117</v>
      </c>
      <c r="D9150" s="41" t="str">
        <f ca="1">IFERROR(__xludf.DUMMYFUNCTION("IFERROR(ARRAYFORMULA(REGEXEXTRACT(C9150,""^(?:https?:\/\/)?(?:[^@\n]+@)?(?:www\.)?([^:\/\n]+)"")),"""")"),"chambermaster.wakeforestchamber.org")</f>
        <v>chambermaster.wakeforestchamber.org</v>
      </c>
      <c r="E9150" s="26" t="str">
        <f ca="1">IFERROR(__xludf.DUMMYFUNCTION("""COMPUTED_VALUE"""),"New")</f>
        <v>New</v>
      </c>
      <c r="F9150" s="72">
        <v>39</v>
      </c>
      <c r="G9150" s="72">
        <v>1147</v>
      </c>
    </row>
    <row r="9151" spans="1:12" ht="14.5">
      <c r="A9151" s="3" t="s">
        <v>9115</v>
      </c>
      <c r="B9151" s="12" t="s">
        <v>2900</v>
      </c>
      <c r="C9151" s="46" t="s">
        <v>9118</v>
      </c>
      <c r="D9151" s="41" t="str">
        <f ca="1">IFERROR(__xludf.DUMMYFUNCTION("IFERROR(ARRAYFORMULA(REGEXEXTRACT(C9151,""^(?:https?:\/\/)?(?:[^@\n]+@)?(?:www\.)?([^:\/\n]+)"")),"""")"),"followtheyellowbrickhome.com")</f>
        <v>followtheyellowbrickhome.com</v>
      </c>
      <c r="E9151" s="26" t="str">
        <f ca="1">IFERROR(__xludf.DUMMYFUNCTION("""COMPUTED_VALUE"""),"New")</f>
        <v>New</v>
      </c>
      <c r="F9151" s="72">
        <v>41</v>
      </c>
      <c r="G9151" s="72">
        <v>2452</v>
      </c>
      <c r="H9151" s="27" t="s">
        <v>9119</v>
      </c>
      <c r="I9151" s="27" t="s">
        <v>9120</v>
      </c>
      <c r="K9151" s="27" t="s">
        <v>4515</v>
      </c>
      <c r="L9151" s="112"/>
    </row>
    <row r="9152" spans="1:12" ht="14.5" hidden="1">
      <c r="A9152" s="3" t="s">
        <v>9115</v>
      </c>
      <c r="B9152" s="12" t="s">
        <v>2900</v>
      </c>
      <c r="C9152" s="46" t="s">
        <v>9121</v>
      </c>
      <c r="D9152" s="41" t="str">
        <f ca="1">IFERROR(__xludf.DUMMYFUNCTION("IFERROR(ARRAYFORMULA(REGEXEXTRACT(C9152,""^(?:https?:\/\/)?(?:[^@\n]+@)?(?:www\.)?([^:\/\n]+)"")),"""")"),"grandmashousediy.com")</f>
        <v>grandmashousediy.com</v>
      </c>
      <c r="E9152" s="26" t="str">
        <f ca="1">IFERROR(__xludf.DUMMYFUNCTION("""COMPUTED_VALUE"""),"Already Exists")</f>
        <v>Already Exists</v>
      </c>
      <c r="F9152" s="72">
        <v>42</v>
      </c>
      <c r="G9152" s="72">
        <v>1343</v>
      </c>
    </row>
    <row r="9153" spans="1:7" ht="14.5" hidden="1">
      <c r="A9153" s="3" t="s">
        <v>9115</v>
      </c>
      <c r="B9153" s="12" t="s">
        <v>2900</v>
      </c>
      <c r="C9153" s="46" t="s">
        <v>9122</v>
      </c>
      <c r="D9153" s="41" t="str">
        <f ca="1">IFERROR(__xludf.DUMMYFUNCTION("IFERROR(ARRAYFORMULA(REGEXEXTRACT(C9153,""^(?:https?:\/\/)?(?:[^@\n]+@)?(?:www\.)?([^:\/\n]+)"")),"""")"),"myinteriorpalace.com")</f>
        <v>myinteriorpalace.com</v>
      </c>
      <c r="E9153" s="26" t="str">
        <f ca="1">IFERROR(__xludf.DUMMYFUNCTION("""COMPUTED_VALUE"""),"Already Exists")</f>
        <v>Already Exists</v>
      </c>
      <c r="F9153" s="72">
        <v>61</v>
      </c>
      <c r="G9153" s="72">
        <v>1983</v>
      </c>
    </row>
    <row r="9154" spans="1:7" ht="14.5" hidden="1">
      <c r="A9154" s="3" t="s">
        <v>9115</v>
      </c>
      <c r="B9154" s="12" t="s">
        <v>2900</v>
      </c>
      <c r="C9154" s="46" t="s">
        <v>9123</v>
      </c>
      <c r="D9154" s="41" t="str">
        <f ca="1">IFERROR(__xludf.DUMMYFUNCTION("IFERROR(ARRAYFORMULA(REGEXEXTRACT(C9154,""^(?:https?:\/\/)?(?:[^@\n]+@)?(?:www\.)?([^:\/\n]+)"")),"""")"),"terristeffes.com")</f>
        <v>terristeffes.com</v>
      </c>
      <c r="E9154" s="26" t="str">
        <f ca="1">IFERROR(__xludf.DUMMYFUNCTION("""COMPUTED_VALUE"""),"Already Exists")</f>
        <v>Already Exists</v>
      </c>
      <c r="F9154" s="72">
        <v>50</v>
      </c>
      <c r="G9154" s="72">
        <v>1938</v>
      </c>
    </row>
    <row r="9155" spans="1:7" ht="14.5" hidden="1">
      <c r="A9155" s="3" t="s">
        <v>9115</v>
      </c>
      <c r="B9155" s="12" t="s">
        <v>2900</v>
      </c>
      <c r="C9155" s="46" t="s">
        <v>9124</v>
      </c>
      <c r="D9155" s="41" t="str">
        <f ca="1">IFERROR(__xludf.DUMMYFUNCTION("IFERROR(ARRAYFORMULA(REGEXEXTRACT(C9155,""^(?:https?:\/\/)?(?:[^@\n]+@)?(?:www\.)?([^:\/\n]+)"")),"""")"),"homebusinessmag.com")</f>
        <v>homebusinessmag.com</v>
      </c>
      <c r="E9155" s="26" t="str">
        <f ca="1">IFERROR(__xludf.DUMMYFUNCTION("""COMPUTED_VALUE"""),"Already Exists")</f>
        <v>Already Exists</v>
      </c>
      <c r="F9155" s="72">
        <v>71</v>
      </c>
      <c r="G9155" s="72">
        <v>1688</v>
      </c>
    </row>
    <row r="9156" spans="1:7" ht="14.5">
      <c r="A9156" s="3" t="s">
        <v>9115</v>
      </c>
      <c r="B9156" s="12" t="s">
        <v>2900</v>
      </c>
      <c r="C9156" s="46" t="s">
        <v>9125</v>
      </c>
      <c r="D9156" s="41" t="str">
        <f ca="1">IFERROR(__xludf.DUMMYFUNCTION("IFERROR(ARRAYFORMULA(REGEXEXTRACT(C9156,""^(?:https?:\/\/)?(?:[^@\n]+@)?(?:www\.)?([^:\/\n]+)"")),"""")"),"janubaba.com")</f>
        <v>janubaba.com</v>
      </c>
      <c r="E9156" s="26" t="str">
        <f ca="1">IFERROR(__xludf.DUMMYFUNCTION("""COMPUTED_VALUE"""),"New")</f>
        <v>New</v>
      </c>
      <c r="F9156" s="72">
        <v>31</v>
      </c>
      <c r="G9156" s="72">
        <v>1289</v>
      </c>
    </row>
    <row r="9157" spans="1:7" ht="14.5" hidden="1">
      <c r="A9157" s="3" t="s">
        <v>9115</v>
      </c>
      <c r="B9157" s="12" t="s">
        <v>2900</v>
      </c>
      <c r="C9157" s="46" t="s">
        <v>9126</v>
      </c>
      <c r="D9157" s="41" t="str">
        <f ca="1">IFERROR(__xludf.DUMMYFUNCTION("IFERROR(ARRAYFORMULA(REGEXEXTRACT(C9157,""^(?:https?:\/\/)?(?:[^@\n]+@)?(?:www\.)?([^:\/\n]+)"")),"""")"),"middleclasshomes.net")</f>
        <v>middleclasshomes.net</v>
      </c>
      <c r="E9157" s="26" t="str">
        <f ca="1">IFERROR(__xludf.DUMMYFUNCTION("""COMPUTED_VALUE"""),"Already Exists")</f>
        <v>Already Exists</v>
      </c>
      <c r="F9157" s="72">
        <v>56</v>
      </c>
      <c r="G9157" s="72">
        <v>1943</v>
      </c>
    </row>
    <row r="9158" spans="1:7" ht="14.5" hidden="1">
      <c r="A9158" s="3" t="s">
        <v>9115</v>
      </c>
      <c r="B9158" s="12" t="s">
        <v>2900</v>
      </c>
      <c r="C9158" s="46" t="s">
        <v>9127</v>
      </c>
      <c r="D9158" s="41" t="str">
        <f ca="1">IFERROR(__xludf.DUMMYFUNCTION("IFERROR(ARRAYFORMULA(REGEXEXTRACT(C9158,""^(?:https?:\/\/)?(?:[^@\n]+@)?(?:www\.)?([^:\/\n]+)"")),"""")"),"urbansplatter.com")</f>
        <v>urbansplatter.com</v>
      </c>
      <c r="E9158" s="26" t="str">
        <f ca="1">IFERROR(__xludf.DUMMYFUNCTION("""COMPUTED_VALUE"""),"Already Exists")</f>
        <v>Already Exists</v>
      </c>
      <c r="F9158" s="72">
        <v>64</v>
      </c>
      <c r="G9158" s="72">
        <v>24225</v>
      </c>
    </row>
    <row r="9159" spans="1:7" ht="14.5">
      <c r="A9159" s="3" t="s">
        <v>9115</v>
      </c>
      <c r="B9159" s="12" t="s">
        <v>2900</v>
      </c>
      <c r="C9159" s="46" t="s">
        <v>9128</v>
      </c>
      <c r="D9159" s="41" t="str">
        <f ca="1">IFERROR(__xludf.DUMMYFUNCTION("IFERROR(ARRAYFORMULA(REGEXEXTRACT(C9159,""^(?:https?:\/\/)?(?:[^@\n]+@)?(?:www\.)?([^:\/\n]+)"")),"""")"),"fly-architecture.net")</f>
        <v>fly-architecture.net</v>
      </c>
      <c r="E9159" s="26" t="str">
        <f ca="1">IFERROR(__xludf.DUMMYFUNCTION("""COMPUTED_VALUE"""),"New")</f>
        <v>New</v>
      </c>
      <c r="F9159" s="72">
        <v>31</v>
      </c>
      <c r="G9159" s="72">
        <v>3507</v>
      </c>
    </row>
    <row r="9160" spans="1:7" ht="14.5" hidden="1">
      <c r="A9160" s="3" t="s">
        <v>9115</v>
      </c>
      <c r="B9160" s="12" t="s">
        <v>2900</v>
      </c>
      <c r="C9160" s="46" t="s">
        <v>9129</v>
      </c>
      <c r="D9160" s="41" t="str">
        <f ca="1">IFERROR(__xludf.DUMMYFUNCTION("IFERROR(ARRAYFORMULA(REGEXEXTRACT(C9160,""^(?:https?:\/\/)?(?:[^@\n]+@)?(?:www\.)?([^:\/\n]+)"")),"""")"),"sweetsofties.com")</f>
        <v>sweetsofties.com</v>
      </c>
      <c r="E9160" s="26" t="str">
        <f ca="1">IFERROR(__xludf.DUMMYFUNCTION("""COMPUTED_VALUE"""),"Already Exists")</f>
        <v>Already Exists</v>
      </c>
      <c r="F9160" s="72">
        <v>51</v>
      </c>
      <c r="G9160" s="72">
        <v>15130</v>
      </c>
    </row>
    <row r="9161" spans="1:7" ht="14.5" hidden="1">
      <c r="A9161" s="3" t="s">
        <v>9115</v>
      </c>
      <c r="B9161" s="12" t="s">
        <v>2900</v>
      </c>
      <c r="C9161" s="46" t="s">
        <v>9130</v>
      </c>
      <c r="D9161" s="41" t="str">
        <f ca="1">IFERROR(__xludf.DUMMYFUNCTION("IFERROR(ARRAYFORMULA(REGEXEXTRACT(C9161,""^(?:https?:\/\/)?(?:[^@\n]+@)?(?:www\.)?([^:\/\n]+)"")),"""")"),"homelovr.com")</f>
        <v>homelovr.com</v>
      </c>
      <c r="E9161" s="26" t="str">
        <f ca="1">IFERROR(__xludf.DUMMYFUNCTION("""COMPUTED_VALUE"""),"Already Exists")</f>
        <v>Already Exists</v>
      </c>
      <c r="F9161" s="72">
        <v>34</v>
      </c>
      <c r="G9161" s="72">
        <v>7716</v>
      </c>
    </row>
    <row r="9162" spans="1:7" ht="14.5">
      <c r="A9162" s="3" t="s">
        <v>9115</v>
      </c>
      <c r="B9162" s="12" t="s">
        <v>2900</v>
      </c>
      <c r="C9162" s="46" t="s">
        <v>9131</v>
      </c>
      <c r="D9162" s="41" t="str">
        <f ca="1">IFERROR(__xludf.DUMMYFUNCTION("IFERROR(ARRAYFORMULA(REGEXEXTRACT(C9162,""^(?:https?:\/\/)?(?:[^@\n]+@)?(?:www\.)?([^:\/\n]+)"")),"""")"),"apexchamber.chambermaster.com")</f>
        <v>apexchamber.chambermaster.com</v>
      </c>
      <c r="E9162" s="26" t="str">
        <f ca="1">IFERROR(__xludf.DUMMYFUNCTION("""COMPUTED_VALUE"""),"New")</f>
        <v>New</v>
      </c>
      <c r="F9162" s="72">
        <v>78</v>
      </c>
      <c r="G9162" s="72">
        <v>63574</v>
      </c>
    </row>
    <row r="9163" spans="1:7" ht="14.5">
      <c r="A9163" s="3" t="s">
        <v>9115</v>
      </c>
      <c r="B9163" s="12" t="s">
        <v>2900</v>
      </c>
      <c r="C9163" s="46" t="s">
        <v>9132</v>
      </c>
      <c r="D9163" s="41" t="str">
        <f ca="1">IFERROR(__xludf.DUMMYFUNCTION("IFERROR(ARRAYFORMULA(REGEXEXTRACT(C9163,""^(?:https?:\/\/)?(?:[^@\n]+@)?(?:www\.)?([^:\/\n]+)"")),"""")"),"qualitybusinessawards.com")</f>
        <v>qualitybusinessawards.com</v>
      </c>
      <c r="E9163" s="26" t="str">
        <f ca="1">IFERROR(__xludf.DUMMYFUNCTION("""COMPUTED_VALUE"""),"New")</f>
        <v>New</v>
      </c>
      <c r="F9163" s="72">
        <v>73</v>
      </c>
      <c r="G9163" s="72">
        <v>2069</v>
      </c>
    </row>
    <row r="9164" spans="1:7" ht="14.5">
      <c r="A9164" s="3" t="s">
        <v>9115</v>
      </c>
      <c r="B9164" s="12" t="s">
        <v>2900</v>
      </c>
      <c r="C9164" s="46" t="s">
        <v>9133</v>
      </c>
      <c r="D9164" s="41" t="str">
        <f ca="1">IFERROR(__xludf.DUMMYFUNCTION("IFERROR(ARRAYFORMULA(REGEXEXTRACT(C9164,""^(?:https?:\/\/)?(?:[^@\n]+@)?(?:www\.)?([^:\/\n]+)"")),"""")"),"apexchamber.preview.gochambermaster.com")</f>
        <v>apexchamber.preview.gochambermaster.com</v>
      </c>
      <c r="E9164" s="26" t="str">
        <f ca="1">IFERROR(__xludf.DUMMYFUNCTION("""COMPUTED_VALUE"""),"New")</f>
        <v>New</v>
      </c>
      <c r="F9164" s="72">
        <v>34</v>
      </c>
      <c r="G9164" s="72">
        <v>1325</v>
      </c>
    </row>
    <row r="9165" spans="1:7" ht="14.5">
      <c r="A9165" s="3" t="s">
        <v>9115</v>
      </c>
      <c r="B9165" s="12" t="s">
        <v>2900</v>
      </c>
      <c r="C9165" s="46" t="s">
        <v>9134</v>
      </c>
      <c r="D9165" s="41" t="str">
        <f ca="1">IFERROR(__xludf.DUMMYFUNCTION("IFERROR(ARRAYFORMULA(REGEXEXTRACT(C9165,""^(?:https?:\/\/)?(?:[^@\n]+@)?(?:www\.)?([^:\/\n]+)"")),"""")"),"gilmedia.com")</f>
        <v>gilmedia.com</v>
      </c>
      <c r="E9165" s="26" t="str">
        <f ca="1">IFERROR(__xludf.DUMMYFUNCTION("""COMPUTED_VALUE"""),"New")</f>
        <v>New</v>
      </c>
      <c r="F9165" s="72">
        <v>61</v>
      </c>
      <c r="G9165" s="72">
        <v>2390</v>
      </c>
    </row>
    <row r="9166" spans="1:7" ht="14.5">
      <c r="A9166" s="3" t="s">
        <v>9115</v>
      </c>
      <c r="B9166" s="57" t="s">
        <v>2906</v>
      </c>
      <c r="C9166" s="46" t="s">
        <v>9135</v>
      </c>
      <c r="D9166" s="41" t="str">
        <f ca="1">IFERROR(__xludf.DUMMYFUNCTION("IFERROR(ARRAYFORMULA(REGEXEXTRACT(C9166,""^(?:https?:\/\/)?(?:[^@\n]+@)?(?:www\.)?([^:\/\n]+)"")),"""")"),"wordable.io")</f>
        <v>wordable.io</v>
      </c>
      <c r="E9166" s="26" t="str">
        <f ca="1">IFERROR(__xludf.DUMMYFUNCTION("""COMPUTED_VALUE"""),"New")</f>
        <v>New</v>
      </c>
      <c r="F9166" s="72">
        <v>74</v>
      </c>
      <c r="G9166" s="72">
        <v>16992</v>
      </c>
    </row>
    <row r="9167" spans="1:7" ht="14.5">
      <c r="A9167" s="3" t="s">
        <v>9115</v>
      </c>
      <c r="B9167" s="12" t="s">
        <v>2906</v>
      </c>
      <c r="C9167" s="46" t="s">
        <v>9136</v>
      </c>
      <c r="D9167" s="41" t="str">
        <f ca="1">IFERROR(__xludf.DUMMYFUNCTION("IFERROR(ARRAYFORMULA(REGEXEXTRACT(C9167,""^(?:https?:\/\/)?(?:[^@\n]+@)?(?:www\.)?([^:\/\n]+)"")),"""")"),"skarinlaw.com")</f>
        <v>skarinlaw.com</v>
      </c>
      <c r="E9167" s="26" t="str">
        <f ca="1">IFERROR(__xludf.DUMMYFUNCTION("""COMPUTED_VALUE"""),"New")</f>
        <v>New</v>
      </c>
      <c r="F9167" s="72">
        <v>30</v>
      </c>
      <c r="G9167" s="72">
        <v>1130</v>
      </c>
    </row>
    <row r="9168" spans="1:7" ht="14.5" hidden="1">
      <c r="A9168" s="3" t="s">
        <v>9115</v>
      </c>
      <c r="B9168" s="12" t="s">
        <v>2906</v>
      </c>
      <c r="C9168" s="46" t="s">
        <v>9137</v>
      </c>
      <c r="D9168" s="41" t="str">
        <f ca="1">IFERROR(__xludf.DUMMYFUNCTION("IFERROR(ARRAYFORMULA(REGEXEXTRACT(C9168,""^(?:https?:\/\/)?(?:[^@\n]+@)?(?:www\.)?([^:\/\n]+)"")),"""")"),"lookwhatmomfound.com")</f>
        <v>lookwhatmomfound.com</v>
      </c>
      <c r="E9168" s="26" t="str">
        <f ca="1">IFERROR(__xludf.DUMMYFUNCTION("""COMPUTED_VALUE"""),"Already Exists")</f>
        <v>Already Exists</v>
      </c>
      <c r="F9168" s="72">
        <v>70</v>
      </c>
      <c r="G9168" s="72">
        <v>31599</v>
      </c>
    </row>
    <row r="9169" spans="1:12" ht="14.5">
      <c r="A9169" s="3" t="s">
        <v>9115</v>
      </c>
      <c r="B9169" s="12" t="s">
        <v>2906</v>
      </c>
      <c r="C9169" s="46" t="s">
        <v>9138</v>
      </c>
      <c r="D9169" s="41" t="str">
        <f ca="1">IFERROR(__xludf.DUMMYFUNCTION("IFERROR(ARRAYFORMULA(REGEXEXTRACT(C9169,""^(?:https?:\/\/)?(?:[^@\n]+@)?(?:www\.)?([^:\/\n]+)"")),"""")"),"mastermindbehavior.com")</f>
        <v>mastermindbehavior.com</v>
      </c>
      <c r="E9169" s="26" t="str">
        <f ca="1">IFERROR(__xludf.DUMMYFUNCTION("""COMPUTED_VALUE"""),"New")</f>
        <v>New</v>
      </c>
      <c r="F9169" s="72">
        <v>54</v>
      </c>
      <c r="G9169" s="72">
        <v>44500</v>
      </c>
    </row>
    <row r="9170" spans="1:12" ht="14.5">
      <c r="A9170" s="3" t="s">
        <v>9115</v>
      </c>
      <c r="B9170" s="12" t="s">
        <v>2906</v>
      </c>
      <c r="C9170" s="46" t="s">
        <v>9139</v>
      </c>
      <c r="D9170" s="41" t="str">
        <f ca="1">IFERROR(__xludf.DUMMYFUNCTION("IFERROR(ARRAYFORMULA(REGEXEXTRACT(C9170,""^(?:https?:\/\/)?(?:[^@\n]+@)?(?:www\.)?([^:\/\n]+)"")),"""")"),"raffinews.com")</f>
        <v>raffinews.com</v>
      </c>
      <c r="E9170" s="26" t="str">
        <f ca="1">IFERROR(__xludf.DUMMYFUNCTION("""COMPUTED_VALUE"""),"New")</f>
        <v>New</v>
      </c>
      <c r="F9170" s="72">
        <v>42</v>
      </c>
      <c r="G9170" s="72">
        <v>3120</v>
      </c>
    </row>
    <row r="9171" spans="1:12" ht="14.5">
      <c r="A9171" s="3" t="s">
        <v>9115</v>
      </c>
      <c r="B9171" s="12" t="s">
        <v>2906</v>
      </c>
      <c r="C9171" s="46" t="s">
        <v>9140</v>
      </c>
      <c r="D9171" s="41" t="str">
        <f ca="1">IFERROR(__xludf.DUMMYFUNCTION("IFERROR(ARRAYFORMULA(REGEXEXTRACT(C9171,""^(?:https?:\/\/)?(?:[^@\n]+@)?(?:www\.)?([^:\/\n]+)"")),"""")"),"elnacain.com")</f>
        <v>elnacain.com</v>
      </c>
      <c r="E9171" s="26" t="str">
        <f ca="1">IFERROR(__xludf.DUMMYFUNCTION("""COMPUTED_VALUE"""),"New")</f>
        <v>New</v>
      </c>
      <c r="F9171" s="72">
        <v>64</v>
      </c>
      <c r="G9171" s="72">
        <v>13664</v>
      </c>
    </row>
    <row r="9172" spans="1:12" ht="14.5">
      <c r="A9172" s="3" t="s">
        <v>9115</v>
      </c>
      <c r="B9172" s="12" t="s">
        <v>2906</v>
      </c>
      <c r="C9172" s="46" t="s">
        <v>9141</v>
      </c>
      <c r="D9172" s="41" t="str">
        <f ca="1">IFERROR(__xludf.DUMMYFUNCTION("IFERROR(ARRAYFORMULA(REGEXEXTRACT(C9172,""^(?:https?:\/\/)?(?:[^@\n]+@)?(?:www\.)?([^:\/\n]+)"")),"""")"),"ledesthetics.com")</f>
        <v>ledesthetics.com</v>
      </c>
      <c r="E9172" s="26" t="str">
        <f ca="1">IFERROR(__xludf.DUMMYFUNCTION("""COMPUTED_VALUE"""),"New")</f>
        <v>New</v>
      </c>
      <c r="F9172" s="72">
        <v>31</v>
      </c>
      <c r="G9172" s="72">
        <v>3061</v>
      </c>
    </row>
    <row r="9173" spans="1:12" ht="14.5">
      <c r="A9173" s="3" t="s">
        <v>9115</v>
      </c>
      <c r="B9173" s="12" t="s">
        <v>2906</v>
      </c>
      <c r="C9173" s="46" t="s">
        <v>9142</v>
      </c>
      <c r="D9173" s="41" t="str">
        <f ca="1">IFERROR(__xludf.DUMMYFUNCTION("IFERROR(ARRAYFORMULA(REGEXEXTRACT(C9173,""^(?:https?:\/\/)?(?:[^@\n]+@)?(?:www\.)?([^:\/\n]+)"")),"""")"),"stylecraze.com")</f>
        <v>stylecraze.com</v>
      </c>
      <c r="E9173" s="26" t="str">
        <f ca="1">IFERROR(__xludf.DUMMYFUNCTION("""COMPUTED_VALUE"""),"New")</f>
        <v>New</v>
      </c>
      <c r="F9173" s="72">
        <v>78</v>
      </c>
      <c r="G9173" s="72">
        <v>213342</v>
      </c>
    </row>
    <row r="9174" spans="1:12" ht="14.5">
      <c r="A9174" s="3" t="s">
        <v>9115</v>
      </c>
      <c r="B9174" s="12" t="s">
        <v>2906</v>
      </c>
      <c r="C9174" s="46" t="s">
        <v>9143</v>
      </c>
      <c r="D9174" s="41" t="str">
        <f ca="1">IFERROR(__xludf.DUMMYFUNCTION("IFERROR(ARRAYFORMULA(REGEXEXTRACT(C9174,""^(?:https?:\/\/)?(?:[^@\n]+@)?(?:www\.)?([^:\/\n]+)"")),"""")"),"foodmeanderings.com")</f>
        <v>foodmeanderings.com</v>
      </c>
      <c r="E9174" s="26" t="str">
        <f ca="1">IFERROR(__xludf.DUMMYFUNCTION("""COMPUTED_VALUE"""),"New")</f>
        <v>New</v>
      </c>
      <c r="F9174" s="72">
        <v>53</v>
      </c>
      <c r="G9174" s="72">
        <v>58320</v>
      </c>
    </row>
    <row r="9175" spans="1:12" ht="14.5">
      <c r="A9175" s="3" t="s">
        <v>9115</v>
      </c>
      <c r="B9175" s="12" t="s">
        <v>2906</v>
      </c>
      <c r="C9175" s="46" t="s">
        <v>9144</v>
      </c>
      <c r="D9175" s="41" t="str">
        <f ca="1">IFERROR(__xludf.DUMMYFUNCTION("IFERROR(ARRAYFORMULA(REGEXEXTRACT(C9175,""^(?:https?:\/\/)?(?:[^@\n]+@)?(?:www\.)?([^:\/\n]+)"")),"""")"),"thesilentdiscocompany.co.uk")</f>
        <v>thesilentdiscocompany.co.uk</v>
      </c>
      <c r="E9175" s="26" t="str">
        <f ca="1">IFERROR(__xludf.DUMMYFUNCTION("""COMPUTED_VALUE"""),"New")</f>
        <v>New</v>
      </c>
      <c r="F9175" s="72">
        <v>32</v>
      </c>
      <c r="G9175" s="72">
        <v>17424</v>
      </c>
    </row>
    <row r="9176" spans="1:12" ht="14.5">
      <c r="A9176" s="3" t="s">
        <v>9115</v>
      </c>
      <c r="B9176" s="12" t="s">
        <v>2906</v>
      </c>
      <c r="C9176" s="46" t="s">
        <v>9145</v>
      </c>
      <c r="D9176" s="41" t="str">
        <f ca="1">IFERROR(__xludf.DUMMYFUNCTION("IFERROR(ARRAYFORMULA(REGEXEXTRACT(C9176,""^(?:https?:\/\/)?(?:[^@\n]+@)?(?:www\.)?([^:\/\n]+)"")),"""")"),"mediate.com")</f>
        <v>mediate.com</v>
      </c>
      <c r="E9176" s="26" t="str">
        <f ca="1">IFERROR(__xludf.DUMMYFUNCTION("""COMPUTED_VALUE"""),"New")</f>
        <v>New</v>
      </c>
      <c r="F9176" s="72">
        <v>77</v>
      </c>
      <c r="G9176" s="72">
        <v>20351</v>
      </c>
    </row>
    <row r="9177" spans="1:12" ht="14.5">
      <c r="A9177" s="3" t="s">
        <v>9115</v>
      </c>
      <c r="B9177" s="12" t="s">
        <v>2906</v>
      </c>
      <c r="C9177" s="46" t="s">
        <v>9146</v>
      </c>
      <c r="D9177" s="41" t="str">
        <f ca="1">IFERROR(__xludf.DUMMYFUNCTION("IFERROR(ARRAYFORMULA(REGEXEXTRACT(C9177,""^(?:https?:\/\/)?(?:[^@\n]+@)?(?:www\.)?([^:\/\n]+)"")),"""")"),"momenvy.co")</f>
        <v>momenvy.co</v>
      </c>
      <c r="E9177" s="26" t="str">
        <f ca="1">IFERROR(__xludf.DUMMYFUNCTION("""COMPUTED_VALUE"""),"New")</f>
        <v>New</v>
      </c>
      <c r="F9177" s="72">
        <v>35</v>
      </c>
      <c r="G9177" s="72">
        <v>2894</v>
      </c>
      <c r="H9177" s="27" t="s">
        <v>3672</v>
      </c>
      <c r="I9177" s="27" t="s">
        <v>9147</v>
      </c>
      <c r="K9177" s="27" t="s">
        <v>3756</v>
      </c>
      <c r="L9177" s="112"/>
    </row>
    <row r="9178" spans="1:12" ht="14.5">
      <c r="A9178" s="3" t="s">
        <v>9115</v>
      </c>
      <c r="B9178" s="12" t="s">
        <v>2906</v>
      </c>
      <c r="C9178" s="46" t="s">
        <v>9148</v>
      </c>
      <c r="D9178" s="41" t="str">
        <f ca="1">IFERROR(__xludf.DUMMYFUNCTION("IFERROR(ARRAYFORMULA(REGEXEXTRACT(C9178,""^(?:https?:\/\/)?(?:[^@\n]+@)?(?:www\.)?([^:\/\n]+)"")),"""")"),"myregistry.com")</f>
        <v>myregistry.com</v>
      </c>
      <c r="E9178" s="26" t="str">
        <f ca="1">IFERROR(__xludf.DUMMYFUNCTION("""COMPUTED_VALUE"""),"New")</f>
        <v>New</v>
      </c>
      <c r="F9178" s="72">
        <v>80</v>
      </c>
      <c r="G9178" s="72">
        <v>56420</v>
      </c>
    </row>
    <row r="9179" spans="1:12" ht="14.5">
      <c r="A9179" s="3" t="s">
        <v>9115</v>
      </c>
      <c r="B9179" s="12" t="s">
        <v>2906</v>
      </c>
      <c r="C9179" s="46" t="s">
        <v>9149</v>
      </c>
      <c r="D9179" s="41" t="str">
        <f ca="1">IFERROR(__xludf.DUMMYFUNCTION("IFERROR(ARRAYFORMULA(REGEXEXTRACT(C9179,""^(?:https?:\/\/)?(?:[^@\n]+@)?(?:www\.)?([^:\/\n]+)"")),"""")"),"anniebabymonitor.com")</f>
        <v>anniebabymonitor.com</v>
      </c>
      <c r="E9179" s="26" t="str">
        <f ca="1">IFERROR(__xludf.DUMMYFUNCTION("""COMPUTED_VALUE"""),"New")</f>
        <v>New</v>
      </c>
      <c r="F9179" s="72">
        <v>40</v>
      </c>
      <c r="G9179" s="72">
        <v>3743</v>
      </c>
    </row>
    <row r="9180" spans="1:12" ht="14.5">
      <c r="A9180" s="3" t="s">
        <v>9115</v>
      </c>
      <c r="B9180" s="12" t="s">
        <v>2906</v>
      </c>
      <c r="C9180" s="46" t="s">
        <v>9150</v>
      </c>
      <c r="D9180" s="41" t="str">
        <f ca="1">IFERROR(__xludf.DUMMYFUNCTION("IFERROR(ARRAYFORMULA(REGEXEXTRACT(C9180,""^(?:https?:\/\/)?(?:[^@\n]+@)?(?:www\.)?([^:\/\n]+)"")),"""")"),"freshroastedcoffee.com")</f>
        <v>freshroastedcoffee.com</v>
      </c>
      <c r="E9180" s="26" t="str">
        <f ca="1">IFERROR(__xludf.DUMMYFUNCTION("""COMPUTED_VALUE"""),"New")</f>
        <v>New</v>
      </c>
      <c r="F9180" s="72">
        <v>46</v>
      </c>
      <c r="G9180" s="72">
        <v>19691</v>
      </c>
    </row>
    <row r="9181" spans="1:12" ht="14.5">
      <c r="A9181" s="3" t="s">
        <v>9115</v>
      </c>
      <c r="B9181" s="12" t="s">
        <v>2906</v>
      </c>
      <c r="C9181" s="46" t="s">
        <v>9151</v>
      </c>
      <c r="D9181" s="41" t="str">
        <f ca="1">IFERROR(__xludf.DUMMYFUNCTION("IFERROR(ARRAYFORMULA(REGEXEXTRACT(C9181,""^(?:https?:\/\/)?(?:[^@\n]+@)?(?:www\.)?([^:\/\n]+)"")),"""")"),"armsreach.com")</f>
        <v>armsreach.com</v>
      </c>
      <c r="E9181" s="26" t="str">
        <f ca="1">IFERROR(__xludf.DUMMYFUNCTION("""COMPUTED_VALUE"""),"New")</f>
        <v>New</v>
      </c>
      <c r="F9181" s="72">
        <v>36</v>
      </c>
      <c r="G9181" s="72">
        <v>6770</v>
      </c>
    </row>
    <row r="9182" spans="1:12" ht="14.5">
      <c r="A9182" s="3" t="s">
        <v>9115</v>
      </c>
      <c r="B9182" s="12" t="s">
        <v>2906</v>
      </c>
      <c r="C9182" s="46" t="s">
        <v>9152</v>
      </c>
      <c r="D9182" s="41" t="str">
        <f ca="1">IFERROR(__xludf.DUMMYFUNCTION("IFERROR(ARRAYFORMULA(REGEXEXTRACT(C9182,""^(?:https?:\/\/)?(?:[^@\n]+@)?(?:www\.)?([^:\/\n]+)"")),"""")"),"getjubileetv.com")</f>
        <v>getjubileetv.com</v>
      </c>
      <c r="E9182" s="26" t="str">
        <f ca="1">IFERROR(__xludf.DUMMYFUNCTION("""COMPUTED_VALUE"""),"New")</f>
        <v>New</v>
      </c>
      <c r="F9182" s="72">
        <v>34</v>
      </c>
      <c r="G9182" s="72">
        <v>2517</v>
      </c>
    </row>
    <row r="9183" spans="1:12" ht="14.5">
      <c r="A9183" s="3" t="s">
        <v>9115</v>
      </c>
      <c r="B9183" s="12" t="s">
        <v>2906</v>
      </c>
      <c r="C9183" s="46" t="s">
        <v>9153</v>
      </c>
      <c r="D9183" s="41" t="str">
        <f ca="1">IFERROR(__xludf.DUMMYFUNCTION("IFERROR(ARRAYFORMULA(REGEXEXTRACT(C9183,""^(?:https?:\/\/)?(?:[^@\n]+@)?(?:www\.)?([^:\/\n]+)"")),"""")"),"news9.com")</f>
        <v>news9.com</v>
      </c>
      <c r="E9183" s="26" t="str">
        <f ca="1">IFERROR(__xludf.DUMMYFUNCTION("""COMPUTED_VALUE"""),"New")</f>
        <v>New</v>
      </c>
      <c r="F9183" s="72">
        <v>75</v>
      </c>
      <c r="G9183" s="72">
        <v>202073</v>
      </c>
    </row>
    <row r="9184" spans="1:12" ht="14.5">
      <c r="A9184" s="3" t="s">
        <v>9115</v>
      </c>
      <c r="B9184" s="12" t="s">
        <v>2906</v>
      </c>
      <c r="C9184" s="46" t="s">
        <v>9154</v>
      </c>
      <c r="D9184" s="41" t="str">
        <f ca="1">IFERROR(__xludf.DUMMYFUNCTION("IFERROR(ARRAYFORMULA(REGEXEXTRACT(C9184,""^(?:https?:\/\/)?(?:[^@\n]+@)?(?:www\.)?([^:\/\n]+)"")),"""")"),"storypirates.com")</f>
        <v>storypirates.com</v>
      </c>
      <c r="E9184" s="26" t="str">
        <f ca="1">IFERROR(__xludf.DUMMYFUNCTION("""COMPUTED_VALUE"""),"New")</f>
        <v>New</v>
      </c>
      <c r="F9184" s="72">
        <v>58</v>
      </c>
      <c r="G9184" s="72">
        <v>1197</v>
      </c>
    </row>
    <row r="9185" spans="1:12" ht="14.5">
      <c r="A9185" s="3" t="s">
        <v>9115</v>
      </c>
      <c r="B9185" s="12" t="s">
        <v>2906</v>
      </c>
      <c r="C9185" s="46" t="s">
        <v>9155</v>
      </c>
      <c r="D9185" s="41" t="str">
        <f ca="1">IFERROR(__xludf.DUMMYFUNCTION("IFERROR(ARRAYFORMULA(REGEXEXTRACT(C9185,""^(?:https?:\/\/)?(?:[^@\n]+@)?(?:www\.)?([^:\/\n]+)"")),"""")"),"anyreasonvegans.com")</f>
        <v>anyreasonvegans.com</v>
      </c>
      <c r="E9185" s="26" t="str">
        <f ca="1">IFERROR(__xludf.DUMMYFUNCTION("""COMPUTED_VALUE"""),"New")</f>
        <v>New</v>
      </c>
      <c r="F9185" s="72">
        <v>32</v>
      </c>
      <c r="G9185" s="72">
        <v>1373</v>
      </c>
    </row>
    <row r="9186" spans="1:12" ht="14.5">
      <c r="A9186" s="3" t="s">
        <v>9115</v>
      </c>
      <c r="B9186" s="12" t="s">
        <v>2906</v>
      </c>
      <c r="C9186" s="46" t="s">
        <v>9156</v>
      </c>
      <c r="D9186" s="41" t="str">
        <f ca="1">IFERROR(__xludf.DUMMYFUNCTION("IFERROR(ARRAYFORMULA(REGEXEXTRACT(C9186,""^(?:https?:\/\/)?(?:[^@\n]+@)?(?:www\.)?([^:\/\n]+)"")),"""")"),"urasiru.s54.xrea.com")</f>
        <v>urasiru.s54.xrea.com</v>
      </c>
      <c r="E9186" s="26" t="str">
        <f ca="1">IFERROR(__xludf.DUMMYFUNCTION("""COMPUTED_VALUE"""),"New")</f>
        <v>New</v>
      </c>
      <c r="F9186" s="72">
        <v>86</v>
      </c>
      <c r="G9186" s="72">
        <v>158469</v>
      </c>
    </row>
    <row r="9187" spans="1:12" ht="14.5" hidden="1">
      <c r="A9187" s="3" t="s">
        <v>9115</v>
      </c>
      <c r="B9187" s="12" t="s">
        <v>2906</v>
      </c>
      <c r="C9187" s="46" t="s">
        <v>9157</v>
      </c>
      <c r="D9187" s="41" t="str">
        <f ca="1">IFERROR(__xludf.DUMMYFUNCTION("IFERROR(ARRAYFORMULA(REGEXEXTRACT(C9187,""^(?:https?:\/\/)?(?:[^@\n]+@)?(?:www\.)?([^:\/\n]+)"")),"""")"),"urbansplatter.com")</f>
        <v>urbansplatter.com</v>
      </c>
      <c r="E9187" s="26" t="str">
        <f ca="1">IFERROR(__xludf.DUMMYFUNCTION("""COMPUTED_VALUE"""),"Already Exists")</f>
        <v>Already Exists</v>
      </c>
      <c r="F9187" s="72">
        <v>64</v>
      </c>
      <c r="G9187" s="72">
        <v>24225</v>
      </c>
    </row>
    <row r="9188" spans="1:12" ht="14.5">
      <c r="A9188" s="3" t="s">
        <v>9115</v>
      </c>
      <c r="B9188" s="12" t="s">
        <v>2906</v>
      </c>
      <c r="C9188" s="46" t="s">
        <v>9158</v>
      </c>
      <c r="D9188" s="41" t="str">
        <f ca="1">IFERROR(__xludf.DUMMYFUNCTION("IFERROR(ARRAYFORMULA(REGEXEXTRACT(C9188,""^(?:https?:\/\/)?(?:[^@\n]+@)?(?:www\.)?([^:\/\n]+)"")),"""")"),"savingtalents.com")</f>
        <v>savingtalents.com</v>
      </c>
      <c r="E9188" s="26" t="str">
        <f ca="1">IFERROR(__xludf.DUMMYFUNCTION("""COMPUTED_VALUE"""),"New")</f>
        <v>New</v>
      </c>
      <c r="F9188" s="72">
        <v>46</v>
      </c>
      <c r="G9188" s="72">
        <v>2963</v>
      </c>
      <c r="I9188" s="27" t="s">
        <v>9159</v>
      </c>
      <c r="J9188" s="27" t="s">
        <v>9160</v>
      </c>
      <c r="K9188" s="27" t="s">
        <v>3756</v>
      </c>
      <c r="L9188" s="112"/>
    </row>
    <row r="9189" spans="1:12" ht="14.5">
      <c r="A9189" s="3" t="s">
        <v>9115</v>
      </c>
      <c r="B9189" s="12" t="s">
        <v>2906</v>
      </c>
      <c r="C9189" s="46" t="s">
        <v>9161</v>
      </c>
      <c r="D9189" s="41" t="str">
        <f ca="1">IFERROR(__xludf.DUMMYFUNCTION("IFERROR(ARRAYFORMULA(REGEXEXTRACT(C9189,""^(?:https?:\/\/)?(?:[^@\n]+@)?(?:www\.)?([^:\/\n]+)"")),"""")"),"spicy1.blob.core.windows.net")</f>
        <v>spicy1.blob.core.windows.net</v>
      </c>
      <c r="E9189" s="26" t="str">
        <f ca="1">IFERROR(__xludf.DUMMYFUNCTION("""COMPUTED_VALUE"""),"New")</f>
        <v>New</v>
      </c>
      <c r="F9189" s="72">
        <v>92</v>
      </c>
      <c r="G9189" s="72">
        <v>589129</v>
      </c>
    </row>
    <row r="9190" spans="1:12" ht="14.5">
      <c r="A9190" s="3" t="s">
        <v>9115</v>
      </c>
      <c r="B9190" s="12" t="s">
        <v>2906</v>
      </c>
      <c r="C9190" s="46" t="s">
        <v>9162</v>
      </c>
      <c r="D9190" s="41" t="str">
        <f ca="1">IFERROR(__xludf.DUMMYFUNCTION("IFERROR(ARRAYFORMULA(REGEXEXTRACT(C9190,""^(?:https?:\/\/)?(?:[^@\n]+@)?(?:www\.)?([^:\/\n]+)"")),"""")"),"twinsmommy.com")</f>
        <v>twinsmommy.com</v>
      </c>
      <c r="E9190" s="26" t="str">
        <f ca="1">IFERROR(__xludf.DUMMYFUNCTION("""COMPUTED_VALUE"""),"New")</f>
        <v>New</v>
      </c>
      <c r="F9190" s="72">
        <v>45</v>
      </c>
      <c r="G9190" s="72">
        <v>5698</v>
      </c>
    </row>
    <row r="9191" spans="1:12" ht="14.5">
      <c r="A9191" s="3" t="s">
        <v>9115</v>
      </c>
      <c r="B9191" s="12" t="s">
        <v>2906</v>
      </c>
      <c r="C9191" s="46" t="s">
        <v>9163</v>
      </c>
      <c r="D9191" s="41" t="str">
        <f ca="1">IFERROR(__xludf.DUMMYFUNCTION("IFERROR(ARRAYFORMULA(REGEXEXTRACT(C9191,""^(?:https?:\/\/)?(?:[^@\n]+@)?(?:www\.)?([^:\/\n]+)"")),"""")"),"www2.archivists.org")</f>
        <v>www2.archivists.org</v>
      </c>
      <c r="E9191" s="26" t="str">
        <f ca="1">IFERROR(__xludf.DUMMYFUNCTION("""COMPUTED_VALUE"""),"New")</f>
        <v>New</v>
      </c>
      <c r="F9191" s="72">
        <v>73</v>
      </c>
      <c r="G9191" s="72">
        <v>11127</v>
      </c>
    </row>
    <row r="9192" spans="1:12" ht="14.5">
      <c r="A9192" s="3" t="s">
        <v>9115</v>
      </c>
      <c r="B9192" s="12" t="s">
        <v>2906</v>
      </c>
      <c r="C9192" s="46" t="s">
        <v>9164</v>
      </c>
      <c r="D9192" s="41" t="str">
        <f ca="1">IFERROR(__xludf.DUMMYFUNCTION("IFERROR(ARRAYFORMULA(REGEXEXTRACT(C9192,""^(?:https?:\/\/)?(?:[^@\n]+@)?(?:www\.)?([^:\/\n]+)"")),"""")"),"raisingarrows.net")</f>
        <v>raisingarrows.net</v>
      </c>
      <c r="E9192" s="26" t="str">
        <f ca="1">IFERROR(__xludf.DUMMYFUNCTION("""COMPUTED_VALUE"""),"New")</f>
        <v>New</v>
      </c>
      <c r="F9192" s="72">
        <v>37</v>
      </c>
      <c r="G9192" s="72">
        <v>2105</v>
      </c>
    </row>
    <row r="9193" spans="1:12" ht="14.5">
      <c r="A9193" s="3" t="s">
        <v>9115</v>
      </c>
      <c r="B9193" s="12" t="s">
        <v>2906</v>
      </c>
      <c r="C9193" s="46" t="s">
        <v>9165</v>
      </c>
      <c r="D9193" s="41" t="str">
        <f ca="1">IFERROR(__xludf.DUMMYFUNCTION("IFERROR(ARRAYFORMULA(REGEXEXTRACT(C9193,""^(?:https?:\/\/)?(?:[^@\n]+@)?(?:www\.)?([^:\/\n]+)"")),"""")"),"artsycraftsymom.com")</f>
        <v>artsycraftsymom.com</v>
      </c>
      <c r="E9193" s="26" t="str">
        <f ca="1">IFERROR(__xludf.DUMMYFUNCTION("""COMPUTED_VALUE"""),"New")</f>
        <v>New</v>
      </c>
      <c r="F9193" s="72">
        <v>60</v>
      </c>
      <c r="G9193" s="72">
        <v>7176</v>
      </c>
    </row>
    <row r="9194" spans="1:12" ht="14.5" hidden="1">
      <c r="A9194" s="3" t="s">
        <v>9115</v>
      </c>
      <c r="B9194" s="12" t="s">
        <v>2906</v>
      </c>
      <c r="C9194" s="46" t="s">
        <v>9166</v>
      </c>
      <c r="D9194" s="41" t="str">
        <f ca="1">IFERROR(__xludf.DUMMYFUNCTION("IFERROR(ARRAYFORMULA(REGEXEXTRACT(C9194,""^(?:https?:\/\/)?(?:[^@\n]+@)?(?:www\.)?([^:\/\n]+)"")),"""")"),"lovechicliving.co.uk")</f>
        <v>lovechicliving.co.uk</v>
      </c>
      <c r="E9194" s="26" t="str">
        <f ca="1">IFERROR(__xludf.DUMMYFUNCTION("""COMPUTED_VALUE"""),"Already Exists")</f>
        <v>Already Exists</v>
      </c>
      <c r="F9194" s="72">
        <v>46</v>
      </c>
      <c r="G9194" s="72">
        <v>17895</v>
      </c>
    </row>
    <row r="9195" spans="1:12" ht="14.5">
      <c r="A9195" s="3" t="s">
        <v>9115</v>
      </c>
      <c r="B9195" s="12" t="s">
        <v>2906</v>
      </c>
      <c r="C9195" s="46" t="s">
        <v>9167</v>
      </c>
      <c r="D9195" s="41" t="str">
        <f ca="1">IFERROR(__xludf.DUMMYFUNCTION("IFERROR(ARRAYFORMULA(REGEXEXTRACT(C9195,""^(?:https?:\/\/)?(?:[^@\n]+@)?(?:www\.)?([^:\/\n]+)"")),"""")"),"desertchica.com")</f>
        <v>desertchica.com</v>
      </c>
      <c r="E9195" s="26" t="str">
        <f ca="1">IFERROR(__xludf.DUMMYFUNCTION("""COMPUTED_VALUE"""),"New")</f>
        <v>New</v>
      </c>
      <c r="F9195" s="72">
        <v>44</v>
      </c>
      <c r="G9195" s="72">
        <v>6584</v>
      </c>
      <c r="H9195" s="27" t="s">
        <v>9168</v>
      </c>
      <c r="I9195" s="27" t="s">
        <v>9169</v>
      </c>
      <c r="K9195" s="27" t="s">
        <v>3756</v>
      </c>
      <c r="L9195" s="112"/>
    </row>
    <row r="9196" spans="1:12" ht="14.5">
      <c r="A9196" s="3" t="s">
        <v>9115</v>
      </c>
      <c r="B9196" s="12" t="s">
        <v>2906</v>
      </c>
      <c r="C9196" s="46" t="s">
        <v>9170</v>
      </c>
      <c r="D9196" s="41" t="str">
        <f ca="1">IFERROR(__xludf.DUMMYFUNCTION("IFERROR(ARRAYFORMULA(REGEXEXTRACT(C9196,""^(?:https?:\/\/)?(?:[^@\n]+@)?(?:www\.)?([^:\/\n]+)"")),"""")"),"s3.us-east-1.wasabisys.com")</f>
        <v>s3.us-east-1.wasabisys.com</v>
      </c>
      <c r="E9196" s="26" t="str">
        <f ca="1">IFERROR(__xludf.DUMMYFUNCTION("""COMPUTED_VALUE"""),"New")</f>
        <v>New</v>
      </c>
      <c r="F9196" s="72">
        <v>82</v>
      </c>
      <c r="G9196" s="72">
        <v>21986</v>
      </c>
    </row>
    <row r="9197" spans="1:12" ht="14.5">
      <c r="A9197" s="3" t="s">
        <v>9115</v>
      </c>
      <c r="B9197" s="12" t="s">
        <v>2906</v>
      </c>
      <c r="C9197" s="46" t="s">
        <v>9171</v>
      </c>
      <c r="D9197" s="41" t="str">
        <f ca="1">IFERROR(__xludf.DUMMYFUNCTION("IFERROR(ARRAYFORMULA(REGEXEXTRACT(C9197,""^(?:https?:\/\/)?(?:[^@\n]+@)?(?:www\.)?([^:\/\n]+)"")),"""")"),"sushiandgelato.com")</f>
        <v>sushiandgelato.com</v>
      </c>
      <c r="E9197" s="26" t="str">
        <f ca="1">IFERROR(__xludf.DUMMYFUNCTION("""COMPUTED_VALUE"""),"New")</f>
        <v>New</v>
      </c>
      <c r="F9197" s="72">
        <v>33</v>
      </c>
      <c r="G9197" s="72">
        <v>86795</v>
      </c>
    </row>
    <row r="9198" spans="1:12" ht="14.5">
      <c r="A9198" s="3" t="s">
        <v>9115</v>
      </c>
      <c r="B9198" s="12" t="s">
        <v>2906</v>
      </c>
      <c r="C9198" s="46" t="s">
        <v>9172</v>
      </c>
      <c r="D9198" s="41" t="str">
        <f ca="1">IFERROR(__xludf.DUMMYFUNCTION("IFERROR(ARRAYFORMULA(REGEXEXTRACT(C9198,""^(?:https?:\/\/)?(?:[^@\n]+@)?(?:www\.)?([^:\/\n]+)"")),"""")"),"3boysandadog.com")</f>
        <v>3boysandadog.com</v>
      </c>
      <c r="E9198" s="26" t="str">
        <f ca="1">IFERROR(__xludf.DUMMYFUNCTION("""COMPUTED_VALUE"""),"New")</f>
        <v>New</v>
      </c>
      <c r="F9198" s="72">
        <v>55</v>
      </c>
      <c r="G9198" s="72">
        <v>7971</v>
      </c>
    </row>
    <row r="9199" spans="1:12" ht="14.5">
      <c r="A9199" s="3" t="s">
        <v>9115</v>
      </c>
      <c r="B9199" s="12" t="s">
        <v>2906</v>
      </c>
      <c r="C9199" s="46" t="s">
        <v>9173</v>
      </c>
      <c r="D9199" s="41" t="str">
        <f ca="1">IFERROR(__xludf.DUMMYFUNCTION("IFERROR(ARRAYFORMULA(REGEXEXTRACT(C9199,""^(?:https?:\/\/)?(?:[^@\n]+@)?(?:www\.)?([^:\/\n]+)"")),"""")"),"blog.iglcoatings.com")</f>
        <v>blog.iglcoatings.com</v>
      </c>
      <c r="E9199" s="26" t="str">
        <f ca="1">IFERROR(__xludf.DUMMYFUNCTION("""COMPUTED_VALUE"""),"New")</f>
        <v>New</v>
      </c>
      <c r="F9199" s="72">
        <v>57</v>
      </c>
      <c r="G9199" s="72">
        <v>2136</v>
      </c>
    </row>
    <row r="9200" spans="1:12" ht="14.5">
      <c r="A9200" s="3" t="s">
        <v>9115</v>
      </c>
      <c r="B9200" s="12" t="s">
        <v>2906</v>
      </c>
      <c r="C9200" s="46" t="s">
        <v>9174</v>
      </c>
      <c r="D9200" s="41" t="str">
        <f ca="1">IFERROR(__xludf.DUMMYFUNCTION("IFERROR(ARRAYFORMULA(REGEXEXTRACT(C9200,""^(?:https?:\/\/)?(?:[^@\n]+@)?(?:www\.)?([^:\/\n]+)"")),"""")"),"eclipse23.com")</f>
        <v>eclipse23.com</v>
      </c>
      <c r="E9200" s="26" t="str">
        <f ca="1">IFERROR(__xludf.DUMMYFUNCTION("""COMPUTED_VALUE"""),"New")</f>
        <v>New</v>
      </c>
      <c r="F9200" s="72">
        <v>40</v>
      </c>
      <c r="G9200" s="72">
        <v>1240</v>
      </c>
    </row>
    <row r="9201" spans="1:12" ht="14.5">
      <c r="A9201" s="3" t="s">
        <v>9115</v>
      </c>
      <c r="B9201" s="12" t="s">
        <v>2906</v>
      </c>
      <c r="C9201" s="46" t="s">
        <v>9175</v>
      </c>
      <c r="D9201" s="41" t="str">
        <f ca="1">IFERROR(__xludf.DUMMYFUNCTION("IFERROR(ARRAYFORMULA(REGEXEXTRACT(C9201,""^(?:https?:\/\/)?(?:[^@\n]+@)?(?:www\.)?([^:\/\n]+)"")),"""")"),"destiny-matrix.cc")</f>
        <v>destiny-matrix.cc</v>
      </c>
      <c r="E9201" s="26" t="str">
        <f ca="1">IFERROR(__xludf.DUMMYFUNCTION("""COMPUTED_VALUE"""),"New")</f>
        <v>New</v>
      </c>
      <c r="F9201" s="72">
        <v>45</v>
      </c>
      <c r="G9201" s="72">
        <v>33699</v>
      </c>
    </row>
    <row r="9202" spans="1:12" ht="14.5">
      <c r="A9202" s="3" t="s">
        <v>9115</v>
      </c>
      <c r="B9202" s="12" t="s">
        <v>2906</v>
      </c>
      <c r="C9202" s="46" t="s">
        <v>9176</v>
      </c>
      <c r="D9202" s="41" t="str">
        <f ca="1">IFERROR(__xludf.DUMMYFUNCTION("IFERROR(ARRAYFORMULA(REGEXEXTRACT(C9202,""^(?:https?:\/\/)?(?:[^@\n]+@)?(?:www\.)?([^:\/\n]+)"")),"""")"),"knights-plumbing-drain.s3.us.cloud-object-storage.appdomain.cloud")</f>
        <v>knights-plumbing-drain.s3.us.cloud-object-storage.appdomain.cloud</v>
      </c>
      <c r="E9202" s="26" t="str">
        <f ca="1">IFERROR(__xludf.DUMMYFUNCTION("""COMPUTED_VALUE"""),"New")</f>
        <v>New</v>
      </c>
      <c r="F9202" s="72">
        <v>73</v>
      </c>
      <c r="G9202" s="72">
        <v>1576</v>
      </c>
    </row>
    <row r="9203" spans="1:12" ht="14.5">
      <c r="A9203" s="3" t="s">
        <v>9115</v>
      </c>
      <c r="B9203" s="12" t="s">
        <v>2906</v>
      </c>
      <c r="C9203" s="46" t="s">
        <v>9177</v>
      </c>
      <c r="D9203" s="41" t="str">
        <f ca="1">IFERROR(__xludf.DUMMYFUNCTION("IFERROR(ARRAYFORMULA(REGEXEXTRACT(C9203,""^(?:https?:\/\/)?(?:[^@\n]+@)?(?:www\.)?([^:\/\n]+)"")),"""")"),"aroundmyfamilytable.com")</f>
        <v>aroundmyfamilytable.com</v>
      </c>
      <c r="E9203" s="26" t="str">
        <f ca="1">IFERROR(__xludf.DUMMYFUNCTION("""COMPUTED_VALUE"""),"New")</f>
        <v>New</v>
      </c>
      <c r="F9203" s="72">
        <v>55</v>
      </c>
      <c r="G9203" s="72">
        <v>17022</v>
      </c>
      <c r="H9203" s="27" t="s">
        <v>9178</v>
      </c>
      <c r="I9203" s="27" t="s">
        <v>9179</v>
      </c>
      <c r="K9203" s="27" t="s">
        <v>3756</v>
      </c>
      <c r="L9203" s="112"/>
    </row>
    <row r="9204" spans="1:12" ht="14.5">
      <c r="A9204" s="3" t="s">
        <v>9115</v>
      </c>
      <c r="B9204" s="12" t="s">
        <v>2906</v>
      </c>
      <c r="C9204" s="46" t="s">
        <v>9180</v>
      </c>
      <c r="D9204" s="41" t="str">
        <f ca="1">IFERROR(__xludf.DUMMYFUNCTION("IFERROR(ARRAYFORMULA(REGEXEXTRACT(C9204,""^(?:https?:\/\/)?(?:[^@\n]+@)?(?:www\.)?([^:\/\n]+)"")),"""")"),"serpzilla.com")</f>
        <v>serpzilla.com</v>
      </c>
      <c r="E9204" s="26" t="str">
        <f ca="1">IFERROR(__xludf.DUMMYFUNCTION("""COMPUTED_VALUE"""),"New")</f>
        <v>New</v>
      </c>
      <c r="F9204" s="72">
        <v>52</v>
      </c>
      <c r="G9204" s="72">
        <v>9294</v>
      </c>
    </row>
    <row r="9205" spans="1:12" ht="14.5" hidden="1">
      <c r="A9205" s="3" t="s">
        <v>9115</v>
      </c>
      <c r="B9205" s="12" t="s">
        <v>2906</v>
      </c>
      <c r="C9205" s="46" t="s">
        <v>9181</v>
      </c>
      <c r="D9205" s="41" t="str">
        <f ca="1">IFERROR(__xludf.DUMMYFUNCTION("IFERROR(ARRAYFORMULA(REGEXEXTRACT(C9205,""^(?:https?:\/\/)?(?:[^@\n]+@)?(?:www\.)?([^:\/\n]+)"")),"""")"),"offthemrkt.com")</f>
        <v>offthemrkt.com</v>
      </c>
      <c r="E9205" s="26" t="str">
        <f ca="1">IFERROR(__xludf.DUMMYFUNCTION("""COMPUTED_VALUE"""),"Already Exists")</f>
        <v>Already Exists</v>
      </c>
      <c r="F9205" s="72">
        <v>63</v>
      </c>
      <c r="G9205" s="72">
        <v>1155</v>
      </c>
    </row>
    <row r="9206" spans="1:12" ht="14.5">
      <c r="A9206" s="3" t="s">
        <v>9115</v>
      </c>
      <c r="B9206" s="12" t="s">
        <v>2906</v>
      </c>
      <c r="C9206" s="46" t="s">
        <v>9182</v>
      </c>
      <c r="D9206" s="41" t="str">
        <f ca="1">IFERROR(__xludf.DUMMYFUNCTION("IFERROR(ARRAYFORMULA(REGEXEXTRACT(C9206,""^(?:https?:\/\/)?(?:[^@\n]+@)?(?:www\.)?([^:\/\n]+)"")),"""")"),"pinkzebramoving.com")</f>
        <v>pinkzebramoving.com</v>
      </c>
      <c r="E9206" s="26" t="str">
        <f ca="1">IFERROR(__xludf.DUMMYFUNCTION("""COMPUTED_VALUE"""),"New")</f>
        <v>New</v>
      </c>
      <c r="F9206" s="72">
        <v>33</v>
      </c>
      <c r="G9206" s="72">
        <v>4310</v>
      </c>
      <c r="J9206" s="27" t="s">
        <v>9183</v>
      </c>
      <c r="K9206" s="27" t="s">
        <v>4092</v>
      </c>
      <c r="L9206" s="112"/>
    </row>
    <row r="9207" spans="1:12" ht="14.5">
      <c r="A9207" s="3" t="s">
        <v>9115</v>
      </c>
      <c r="B9207" s="12" t="s">
        <v>2906</v>
      </c>
      <c r="C9207" s="46" t="s">
        <v>9184</v>
      </c>
      <c r="D9207" s="41" t="str">
        <f ca="1">IFERROR(__xludf.DUMMYFUNCTION("IFERROR(ARRAYFORMULA(REGEXEXTRACT(C9207,""^(?:https?:\/\/)?(?:[^@\n]+@)?(?:www\.)?([^:\/\n]+)"")),"""")"),"totalstoragesolutions.com")</f>
        <v>totalstoragesolutions.com</v>
      </c>
      <c r="E9207" s="26" t="str">
        <f ca="1">IFERROR(__xludf.DUMMYFUNCTION("""COMPUTED_VALUE"""),"New")</f>
        <v>New</v>
      </c>
      <c r="F9207" s="72">
        <v>24</v>
      </c>
      <c r="G9207" s="72">
        <v>5410</v>
      </c>
    </row>
    <row r="9208" spans="1:12" ht="14.5">
      <c r="A9208" s="3" t="s">
        <v>9115</v>
      </c>
      <c r="B9208" s="12" t="s">
        <v>2906</v>
      </c>
      <c r="C9208" s="46" t="s">
        <v>9185</v>
      </c>
      <c r="D9208" s="41" t="str">
        <f ca="1">IFERROR(__xludf.DUMMYFUNCTION("IFERROR(ARRAYFORMULA(REGEXEXTRACT(C9208,""^(?:https?:\/\/)?(?:[^@\n]+@)?(?:www\.)?([^:\/\n]+)"")),"""")"),"georgiaplastic.com")</f>
        <v>georgiaplastic.com</v>
      </c>
      <c r="E9208" s="26" t="str">
        <f ca="1">IFERROR(__xludf.DUMMYFUNCTION("""COMPUTED_VALUE"""),"New")</f>
        <v>New</v>
      </c>
      <c r="F9208" s="72">
        <v>30</v>
      </c>
      <c r="G9208" s="72">
        <v>9057</v>
      </c>
    </row>
    <row r="9209" spans="1:12" ht="14.5" hidden="1">
      <c r="A9209" s="3" t="s">
        <v>9115</v>
      </c>
      <c r="B9209" s="12" t="s">
        <v>2906</v>
      </c>
      <c r="C9209" s="46" t="s">
        <v>9186</v>
      </c>
      <c r="D9209" s="41" t="str">
        <f ca="1">IFERROR(__xludf.DUMMYFUNCTION("IFERROR(ARRAYFORMULA(REGEXEXTRACT(C9209,""^(?:https?:\/\/)?(?:[^@\n]+@)?(?:www\.)?([^:\/\n]+)"")),"""")"),"melaniejadedesign.com")</f>
        <v>melaniejadedesign.com</v>
      </c>
      <c r="E9209" s="26" t="str">
        <f ca="1">IFERROR(__xludf.DUMMYFUNCTION("""COMPUTED_VALUE"""),"Already Exists")</f>
        <v>Already Exists</v>
      </c>
      <c r="F9209" s="72">
        <v>40</v>
      </c>
      <c r="G9209" s="72">
        <v>2672</v>
      </c>
    </row>
    <row r="9210" spans="1:12" ht="14.5">
      <c r="A9210" s="3" t="s">
        <v>9115</v>
      </c>
      <c r="B9210" s="12" t="s">
        <v>2906</v>
      </c>
      <c r="C9210" s="46" t="s">
        <v>9187</v>
      </c>
      <c r="D9210" s="41" t="str">
        <f ca="1">IFERROR(__xludf.DUMMYFUNCTION("IFERROR(ARRAYFORMULA(REGEXEXTRACT(C9210,""^(?:https?:\/\/)?(?:[^@\n]+@)?(?:www\.)?([^:\/\n]+)"")),"""")"),"farmerswiferambles.com")</f>
        <v>farmerswiferambles.com</v>
      </c>
      <c r="E9210" s="26" t="str">
        <f ca="1">IFERROR(__xludf.DUMMYFUNCTION("""COMPUTED_VALUE"""),"New")</f>
        <v>New</v>
      </c>
      <c r="F9210" s="72">
        <v>21</v>
      </c>
      <c r="G9210" s="72">
        <v>1879</v>
      </c>
    </row>
    <row r="9211" spans="1:12" ht="14.5">
      <c r="A9211" s="3" t="s">
        <v>9115</v>
      </c>
      <c r="B9211" s="12" t="s">
        <v>2906</v>
      </c>
      <c r="C9211" s="46" t="s">
        <v>9188</v>
      </c>
      <c r="D9211" s="41" t="str">
        <f ca="1">IFERROR(__xludf.DUMMYFUNCTION("IFERROR(ARRAYFORMULA(REGEXEXTRACT(C9211,""^(?:https?:\/\/)?(?:[^@\n]+@)?(?:www\.)?([^:\/\n]+)"")),"""")"),"lizoncall.com")</f>
        <v>lizoncall.com</v>
      </c>
      <c r="E9211" s="26" t="str">
        <f ca="1">IFERROR(__xludf.DUMMYFUNCTION("""COMPUTED_VALUE"""),"New")</f>
        <v>New</v>
      </c>
      <c r="F9211" s="72">
        <v>51</v>
      </c>
      <c r="G9211" s="72">
        <v>9254</v>
      </c>
      <c r="H9211" s="27" t="s">
        <v>9189</v>
      </c>
      <c r="I9211" s="27" t="s">
        <v>9190</v>
      </c>
      <c r="K9211" s="27" t="s">
        <v>3756</v>
      </c>
      <c r="L9211" s="112"/>
    </row>
    <row r="9212" spans="1:12" ht="14.5" hidden="1">
      <c r="A9212" s="3" t="s">
        <v>9115</v>
      </c>
      <c r="B9212" s="12" t="s">
        <v>2906</v>
      </c>
      <c r="C9212" s="46" t="s">
        <v>9191</v>
      </c>
      <c r="D9212" s="41" t="str">
        <f ca="1">IFERROR(__xludf.DUMMYFUNCTION("IFERROR(ARRAYFORMULA(REGEXEXTRACT(C9212,""^(?:https?:\/\/)?(?:[^@\n]+@)?(?:www\.)?([^:\/\n]+)"")),"""")"),"forgetfulmomma.com")</f>
        <v>forgetfulmomma.com</v>
      </c>
      <c r="E9212" s="26" t="str">
        <f ca="1">IFERROR(__xludf.DUMMYFUNCTION("""COMPUTED_VALUE"""),"Already Exists")</f>
        <v>Already Exists</v>
      </c>
      <c r="F9212" s="72">
        <v>25</v>
      </c>
      <c r="G9212" s="72">
        <v>6911</v>
      </c>
    </row>
    <row r="9213" spans="1:12" ht="14.5" hidden="1">
      <c r="A9213" s="3" t="s">
        <v>9115</v>
      </c>
      <c r="B9213" s="12" t="s">
        <v>2906</v>
      </c>
      <c r="C9213" s="46" t="s">
        <v>9192</v>
      </c>
      <c r="D9213" s="41" t="str">
        <f ca="1">IFERROR(__xludf.DUMMYFUNCTION("IFERROR(ARRAYFORMULA(REGEXEXTRACT(C9213,""^(?:https?:\/\/)?(?:[^@\n]+@)?(?:www\.)?([^:\/\n]+)"")),"""")"),"myinteriorpalace.com")</f>
        <v>myinteriorpalace.com</v>
      </c>
      <c r="E9213" s="26" t="str">
        <f ca="1">IFERROR(__xludf.DUMMYFUNCTION("""COMPUTED_VALUE"""),"Already Exists")</f>
        <v>Already Exists</v>
      </c>
      <c r="F9213" s="72">
        <v>61</v>
      </c>
      <c r="G9213" s="72">
        <v>1983</v>
      </c>
    </row>
    <row r="9214" spans="1:12" ht="14.5">
      <c r="A9214" s="3" t="s">
        <v>9115</v>
      </c>
      <c r="B9214" s="12" t="s">
        <v>2906</v>
      </c>
      <c r="C9214" s="46" t="s">
        <v>9193</v>
      </c>
      <c r="D9214" s="41" t="str">
        <f ca="1">IFERROR(__xludf.DUMMYFUNCTION("IFERROR(ARRAYFORMULA(REGEXEXTRACT(C9214,""^(?:https?:\/\/)?(?:[^@\n]+@)?(?:www\.)?([^:\/\n]+)"")),"""")"),"soundsandcolours.com")</f>
        <v>soundsandcolours.com</v>
      </c>
      <c r="E9214" s="26" t="str">
        <f ca="1">IFERROR(__xludf.DUMMYFUNCTION("""COMPUTED_VALUE"""),"New")</f>
        <v>New</v>
      </c>
      <c r="F9214" s="72">
        <v>58</v>
      </c>
      <c r="G9214" s="72">
        <v>1863</v>
      </c>
    </row>
    <row r="9215" spans="1:12" ht="14.5" hidden="1">
      <c r="A9215" s="3" t="s">
        <v>9115</v>
      </c>
      <c r="B9215" s="12" t="s">
        <v>2906</v>
      </c>
      <c r="C9215" s="46" t="s">
        <v>9194</v>
      </c>
      <c r="D9215" s="41" t="str">
        <f ca="1">IFERROR(__xludf.DUMMYFUNCTION("IFERROR(ARRAYFORMULA(REGEXEXTRACT(C9215,""^(?:https?:\/\/)?(?:[^@\n]+@)?(?:www\.)?([^:\/\n]+)"")),"""")"),"intelligentliving.co")</f>
        <v>intelligentliving.co</v>
      </c>
      <c r="E9215" s="26" t="str">
        <f ca="1">IFERROR(__xludf.DUMMYFUNCTION("""COMPUTED_VALUE"""),"Already Exists")</f>
        <v>Already Exists</v>
      </c>
      <c r="F9215" s="72">
        <v>65</v>
      </c>
      <c r="G9215" s="72">
        <v>1484</v>
      </c>
    </row>
    <row r="9216" spans="1:12" ht="14.5">
      <c r="A9216" s="3" t="s">
        <v>9115</v>
      </c>
      <c r="B9216" s="12" t="s">
        <v>2906</v>
      </c>
      <c r="C9216" s="46" t="s">
        <v>9195</v>
      </c>
      <c r="D9216" s="41" t="str">
        <f ca="1">IFERROR(__xludf.DUMMYFUNCTION("IFERROR(ARRAYFORMULA(REGEXEXTRACT(C9216,""^(?:https?:\/\/)?(?:[^@\n]+@)?(?:www\.)?([^:\/\n]+)"")),"""")"),"stringlabscreative.com")</f>
        <v>stringlabscreative.com</v>
      </c>
      <c r="E9216" s="26" t="str">
        <f ca="1">IFERROR(__xludf.DUMMYFUNCTION("""COMPUTED_VALUE"""),"New")</f>
        <v>New</v>
      </c>
      <c r="F9216" s="72">
        <v>31</v>
      </c>
      <c r="G9216" s="72">
        <v>3505</v>
      </c>
    </row>
    <row r="9217" spans="1:12" ht="14.5">
      <c r="A9217" s="3" t="s">
        <v>9115</v>
      </c>
      <c r="B9217" s="12" t="s">
        <v>2906</v>
      </c>
      <c r="C9217" s="46" t="s">
        <v>9196</v>
      </c>
      <c r="D9217" s="41" t="str">
        <f ca="1">IFERROR(__xludf.DUMMYFUNCTION("IFERROR(ARRAYFORMULA(REGEXEXTRACT(C9217,""^(?:https?:\/\/)?(?:[^@\n]+@)?(?:www\.)?([^:\/\n]+)"")),"""")"),"osgcontainers.com")</f>
        <v>osgcontainers.com</v>
      </c>
      <c r="E9217" s="26" t="str">
        <f ca="1">IFERROR(__xludf.DUMMYFUNCTION("""COMPUTED_VALUE"""),"New")</f>
        <v>New</v>
      </c>
      <c r="F9217" s="72">
        <v>23</v>
      </c>
      <c r="G9217" s="72">
        <v>1388</v>
      </c>
    </row>
    <row r="9218" spans="1:12" ht="14.5">
      <c r="A9218" s="3" t="s">
        <v>9115</v>
      </c>
      <c r="B9218" s="12" t="s">
        <v>2906</v>
      </c>
      <c r="C9218" s="46" t="s">
        <v>9197</v>
      </c>
      <c r="D9218" s="41" t="str">
        <f ca="1">IFERROR(__xludf.DUMMYFUNCTION("IFERROR(ARRAYFORMULA(REGEXEXTRACT(C9218,""^(?:https?:\/\/)?(?:[^@\n]+@)?(?:www\.)?([^:\/\n]+)"")),"""")"),"impakter.com")</f>
        <v>impakter.com</v>
      </c>
      <c r="E9218" s="26" t="str">
        <f ca="1">IFERROR(__xludf.DUMMYFUNCTION("""COMPUTED_VALUE"""),"New")</f>
        <v>New</v>
      </c>
      <c r="F9218" s="72">
        <v>70</v>
      </c>
      <c r="G9218" s="72">
        <v>3897</v>
      </c>
      <c r="J9218" s="27" t="s">
        <v>9198</v>
      </c>
      <c r="K9218" s="27" t="s">
        <v>3756</v>
      </c>
      <c r="L9218" s="112"/>
    </row>
    <row r="9219" spans="1:12" ht="14.5">
      <c r="A9219" s="3" t="s">
        <v>9115</v>
      </c>
      <c r="B9219" s="12" t="s">
        <v>2906</v>
      </c>
      <c r="C9219" s="46" t="s">
        <v>9199</v>
      </c>
      <c r="D9219" s="41" t="str">
        <f ca="1">IFERROR(__xludf.DUMMYFUNCTION("IFERROR(ARRAYFORMULA(REGEXEXTRACT(C9219,""^(?:https?:\/\/)?(?:[^@\n]+@)?(?:www\.)?([^:\/\n]+)"")),"""")"),"s3.us-west-004.backblazeb2.com")</f>
        <v>s3.us-west-004.backblazeb2.com</v>
      </c>
      <c r="E9219" s="26" t="str">
        <f ca="1">IFERROR(__xludf.DUMMYFUNCTION("""COMPUTED_VALUE"""),"New")</f>
        <v>New</v>
      </c>
      <c r="F9219" s="72">
        <v>80</v>
      </c>
      <c r="G9219" s="72">
        <v>1559</v>
      </c>
    </row>
    <row r="9220" spans="1:12" ht="14.5">
      <c r="A9220" s="3" t="s">
        <v>9115</v>
      </c>
      <c r="B9220" s="12" t="s">
        <v>2906</v>
      </c>
      <c r="C9220" s="46" t="s">
        <v>9200</v>
      </c>
      <c r="D9220" s="41" t="str">
        <f ca="1">IFERROR(__xludf.DUMMYFUNCTION("IFERROR(ARRAYFORMULA(REGEXEXTRACT(C9220,""^(?:https?:\/\/)?(?:[^@\n]+@)?(?:www\.)?([^:\/\n]+)"")),"""")"),"acultivatednest.com")</f>
        <v>acultivatednest.com</v>
      </c>
      <c r="E9220" s="26" t="str">
        <f ca="1">IFERROR(__xludf.DUMMYFUNCTION("""COMPUTED_VALUE"""),"New")</f>
        <v>New</v>
      </c>
      <c r="F9220" s="72">
        <v>57</v>
      </c>
      <c r="G9220" s="72">
        <v>1754</v>
      </c>
    </row>
    <row r="9221" spans="1:12" ht="14.5" hidden="1">
      <c r="A9221" s="3" t="s">
        <v>9115</v>
      </c>
      <c r="B9221" s="12" t="s">
        <v>2906</v>
      </c>
      <c r="C9221" s="46" t="s">
        <v>9201</v>
      </c>
      <c r="D9221" s="41" t="str">
        <f ca="1">IFERROR(__xludf.DUMMYFUNCTION("IFERROR(ARRAYFORMULA(REGEXEXTRACT(C9221,""^(?:https?:\/\/)?(?:[^@\n]+@)?(?:www\.)?([^:\/\n]+)"")),"""")"),"hnmagazine.co.uk")</f>
        <v>hnmagazine.co.uk</v>
      </c>
      <c r="E9221" s="26" t="str">
        <f ca="1">IFERROR(__xludf.DUMMYFUNCTION("""COMPUTED_VALUE"""),"Already Exists")</f>
        <v>Already Exists</v>
      </c>
      <c r="F9221" s="72">
        <v>44</v>
      </c>
      <c r="G9221" s="72">
        <v>1007</v>
      </c>
    </row>
    <row r="9222" spans="1:12" ht="14.5" hidden="1">
      <c r="A9222" s="3" t="s">
        <v>9115</v>
      </c>
      <c r="B9222" s="12" t="s">
        <v>2906</v>
      </c>
      <c r="C9222" s="46" t="s">
        <v>9202</v>
      </c>
      <c r="D9222" s="41" t="str">
        <f ca="1">IFERROR(__xludf.DUMMYFUNCTION("IFERROR(ARRAYFORMULA(REGEXEXTRACT(C9222,""^(?:https?:\/\/)?(?:[^@\n]+@)?(?:www\.)?([^:\/\n]+)"")),"""")"),"famousparenting.com")</f>
        <v>famousparenting.com</v>
      </c>
      <c r="E9222" s="26" t="str">
        <f ca="1">IFERROR(__xludf.DUMMYFUNCTION("""COMPUTED_VALUE"""),"Already Exists")</f>
        <v>Already Exists</v>
      </c>
      <c r="F9222" s="72">
        <v>71</v>
      </c>
      <c r="G9222" s="72">
        <v>48136</v>
      </c>
    </row>
    <row r="9223" spans="1:12" ht="14.5">
      <c r="A9223" s="3" t="s">
        <v>9115</v>
      </c>
      <c r="B9223" s="12" t="s">
        <v>2906</v>
      </c>
      <c r="C9223" s="46" t="s">
        <v>9203</v>
      </c>
      <c r="D9223" s="41" t="str">
        <f ca="1">IFERROR(__xludf.DUMMYFUNCTION("IFERROR(ARRAYFORMULA(REGEXEXTRACT(C9223,""^(?:https?:\/\/)?(?:[^@\n]+@)?(?:www\.)?([^:\/\n]+)"")),"""")"),"otasteandseeblog.com")</f>
        <v>otasteandseeblog.com</v>
      </c>
      <c r="E9223" s="26" t="str">
        <f ca="1">IFERROR(__xludf.DUMMYFUNCTION("""COMPUTED_VALUE"""),"New")</f>
        <v>New</v>
      </c>
      <c r="F9223" s="72">
        <v>36</v>
      </c>
      <c r="G9223" s="72">
        <v>1829</v>
      </c>
    </row>
    <row r="9224" spans="1:12" ht="14.5">
      <c r="A9224" s="3" t="s">
        <v>9115</v>
      </c>
      <c r="B9224" s="12" t="s">
        <v>2906</v>
      </c>
      <c r="C9224" s="46" t="s">
        <v>9204</v>
      </c>
      <c r="D9224" s="41" t="str">
        <f ca="1">IFERROR(__xludf.DUMMYFUNCTION("IFERROR(ARRAYFORMULA(REGEXEXTRACT(C9224,""^(?:https?:\/\/)?(?:[^@\n]+@)?(?:www\.)?([^:\/\n]+)"")),"""")"),"theprothots.com")</f>
        <v>theprothots.com</v>
      </c>
      <c r="E9224" s="26" t="str">
        <f ca="1">IFERROR(__xludf.DUMMYFUNCTION("""COMPUTED_VALUE"""),"New")</f>
        <v>New</v>
      </c>
      <c r="F9224" s="72">
        <v>65</v>
      </c>
      <c r="G9224" s="72">
        <v>2810</v>
      </c>
    </row>
    <row r="9225" spans="1:12" ht="14.5" hidden="1">
      <c r="A9225" s="3" t="s">
        <v>9115</v>
      </c>
      <c r="B9225" s="12" t="s">
        <v>2906</v>
      </c>
      <c r="C9225" s="46" t="s">
        <v>9205</v>
      </c>
      <c r="D9225" s="41" t="str">
        <f ca="1">IFERROR(__xludf.DUMMYFUNCTION("IFERROR(ARRAYFORMULA(REGEXEXTRACT(C9225,""^(?:https?:\/\/)?(?:[^@\n]+@)?(?:www\.)?([^:\/\n]+)"")),"""")"),"trans4mind.com")</f>
        <v>trans4mind.com</v>
      </c>
      <c r="E9225" s="26" t="str">
        <f ca="1">IFERROR(__xludf.DUMMYFUNCTION("""COMPUTED_VALUE"""),"Already Exists")</f>
        <v>Already Exists</v>
      </c>
      <c r="F9225" s="72">
        <v>70</v>
      </c>
      <c r="G9225" s="72">
        <v>9783</v>
      </c>
    </row>
    <row r="9226" spans="1:12" ht="14.5">
      <c r="A9226" s="3" t="s">
        <v>9115</v>
      </c>
      <c r="B9226" s="12" t="s">
        <v>2906</v>
      </c>
      <c r="C9226" s="46" t="s">
        <v>9206</v>
      </c>
      <c r="D9226" s="41" t="str">
        <f ca="1">IFERROR(__xludf.DUMMYFUNCTION("IFERROR(ARRAYFORMULA(REGEXEXTRACT(C9226,""^(?:https?:\/\/)?(?:[^@\n]+@)?(?:www\.)?([^:\/\n]+)"")),"""")"),"smithfieldtimes.com")</f>
        <v>smithfieldtimes.com</v>
      </c>
      <c r="E9226" s="26" t="str">
        <f ca="1">IFERROR(__xludf.DUMMYFUNCTION("""COMPUTED_VALUE"""),"New")</f>
        <v>New</v>
      </c>
      <c r="F9226" s="72">
        <v>54</v>
      </c>
      <c r="G9226" s="72">
        <v>1532</v>
      </c>
      <c r="H9226" s="27" t="s">
        <v>9207</v>
      </c>
      <c r="I9226" s="27" t="s">
        <v>9208</v>
      </c>
      <c r="J9226" s="27" t="s">
        <v>9209</v>
      </c>
      <c r="K9226" s="27" t="s">
        <v>3772</v>
      </c>
      <c r="L9226" s="112"/>
    </row>
    <row r="9227" spans="1:12" ht="14.5">
      <c r="A9227" s="3" t="s">
        <v>9115</v>
      </c>
      <c r="B9227" s="12" t="s">
        <v>2906</v>
      </c>
      <c r="C9227" s="46" t="s">
        <v>9210</v>
      </c>
      <c r="D9227" s="41" t="str">
        <f ca="1">IFERROR(__xludf.DUMMYFUNCTION("IFERROR(ARRAYFORMULA(REGEXEXTRACT(C9227,""^(?:https?:\/\/)?(?:[^@\n]+@)?(?:www\.)?([^:\/\n]+)"")),"""")"),"elegantwedding.ca")</f>
        <v>elegantwedding.ca</v>
      </c>
      <c r="E9227" s="26" t="str">
        <f ca="1">IFERROR(__xludf.DUMMYFUNCTION("""COMPUTED_VALUE"""),"New")</f>
        <v>New</v>
      </c>
      <c r="F9227" s="72">
        <v>63</v>
      </c>
      <c r="G9227" s="72">
        <v>4099</v>
      </c>
    </row>
    <row r="9228" spans="1:12" ht="14.5" hidden="1">
      <c r="A9228" s="3" t="s">
        <v>9115</v>
      </c>
      <c r="B9228" s="12" t="s">
        <v>2906</v>
      </c>
      <c r="C9228" s="46" t="s">
        <v>9211</v>
      </c>
      <c r="D9228" s="41" t="str">
        <f ca="1">IFERROR(__xludf.DUMMYFUNCTION("IFERROR(ARRAYFORMULA(REGEXEXTRACT(C9228,""^(?:https?:\/\/)?(?:[^@\n]+@)?(?:www\.)?([^:\/\n]+)"")),"""")"),"gluesticksgumdrops.com")</f>
        <v>gluesticksgumdrops.com</v>
      </c>
      <c r="E9228" s="26" t="str">
        <f ca="1">IFERROR(__xludf.DUMMYFUNCTION("""COMPUTED_VALUE"""),"Already Exists")</f>
        <v>Already Exists</v>
      </c>
      <c r="F9228" s="72">
        <v>51</v>
      </c>
      <c r="G9228" s="72">
        <v>1383</v>
      </c>
    </row>
    <row r="9229" spans="1:12" ht="14.5">
      <c r="A9229" s="3" t="s">
        <v>9115</v>
      </c>
      <c r="B9229" s="12" t="s">
        <v>2906</v>
      </c>
      <c r="C9229" s="46" t="s">
        <v>9212</v>
      </c>
      <c r="D9229" s="41" t="str">
        <f ca="1">IFERROR(__xludf.DUMMYFUNCTION("IFERROR(ARRAYFORMULA(REGEXEXTRACT(C9229,""^(?:https?:\/\/)?(?:[^@\n]+@)?(?:www\.)?([^:\/\n]+)"")),"""")"),"marcieinmommyland.com")</f>
        <v>marcieinmommyland.com</v>
      </c>
      <c r="E9229" s="26" t="str">
        <f ca="1">IFERROR(__xludf.DUMMYFUNCTION("""COMPUTED_VALUE"""),"New")</f>
        <v>New</v>
      </c>
      <c r="F9229" s="72">
        <v>41</v>
      </c>
      <c r="G9229" s="72">
        <v>1680</v>
      </c>
    </row>
    <row r="9230" spans="1:12" ht="14.5" hidden="1">
      <c r="A9230" s="3" t="s">
        <v>9115</v>
      </c>
      <c r="B9230" s="12" t="s">
        <v>2906</v>
      </c>
      <c r="C9230" s="46" t="s">
        <v>9213</v>
      </c>
      <c r="D9230" s="41" t="str">
        <f ca="1">IFERROR(__xludf.DUMMYFUNCTION("IFERROR(ARRAYFORMULA(REGEXEXTRACT(C9230,""^(?:https?:\/\/)?(?:[^@\n]+@)?(?:www\.)?([^:\/\n]+)"")),"""")"),"lifestylebyps.com")</f>
        <v>lifestylebyps.com</v>
      </c>
      <c r="E9230" s="26" t="str">
        <f ca="1">IFERROR(__xludf.DUMMYFUNCTION("""COMPUTED_VALUE"""),"Already Exists")</f>
        <v>Already Exists</v>
      </c>
      <c r="F9230" s="72">
        <v>54</v>
      </c>
      <c r="G9230" s="72">
        <v>4987</v>
      </c>
    </row>
    <row r="9231" spans="1:12" ht="14.5" hidden="1">
      <c r="A9231" s="3" t="s">
        <v>9115</v>
      </c>
      <c r="B9231" s="12" t="s">
        <v>2906</v>
      </c>
      <c r="C9231" s="46" t="s">
        <v>9214</v>
      </c>
      <c r="D9231" s="41" t="str">
        <f ca="1">IFERROR(__xludf.DUMMYFUNCTION("IFERROR(ARRAYFORMULA(REGEXEXTRACT(C9231,""^(?:https?:\/\/)?(?:[^@\n]+@)?(?:www\.)?([^:\/\n]+)"")),"""")"),"tamaracamerablog.com")</f>
        <v>tamaracamerablog.com</v>
      </c>
      <c r="E9231" s="26" t="str">
        <f ca="1">IFERROR(__xludf.DUMMYFUNCTION("""COMPUTED_VALUE"""),"Already Exists")</f>
        <v>Already Exists</v>
      </c>
      <c r="F9231" s="72">
        <v>58</v>
      </c>
      <c r="G9231" s="72">
        <v>17944</v>
      </c>
    </row>
    <row r="9232" spans="1:12" ht="14.5" hidden="1">
      <c r="A9232" s="3" t="s">
        <v>9115</v>
      </c>
      <c r="B9232" s="12" t="s">
        <v>2906</v>
      </c>
      <c r="C9232" s="46" t="s">
        <v>9215</v>
      </c>
      <c r="D9232" s="41" t="str">
        <f ca="1">IFERROR(__xludf.DUMMYFUNCTION("IFERROR(ARRAYFORMULA(REGEXEXTRACT(C9232,""^(?:https?:\/\/)?(?:[^@\n]+@)?(?:www\.)?([^:\/\n]+)"")),"""")"),"intheplayroom.co.uk")</f>
        <v>intheplayroom.co.uk</v>
      </c>
      <c r="E9232" s="26" t="str">
        <f ca="1">IFERROR(__xludf.DUMMYFUNCTION("""COMPUTED_VALUE"""),"Already Exists")</f>
        <v>Already Exists</v>
      </c>
      <c r="F9232" s="72">
        <v>60</v>
      </c>
      <c r="G9232" s="72">
        <v>5790</v>
      </c>
    </row>
    <row r="9233" spans="1:12" ht="14.5">
      <c r="A9233" s="3" t="s">
        <v>9115</v>
      </c>
      <c r="B9233" s="12" t="s">
        <v>2906</v>
      </c>
      <c r="C9233" s="46" t="s">
        <v>9216</v>
      </c>
      <c r="D9233" s="41" t="str">
        <f ca="1">IFERROR(__xludf.DUMMYFUNCTION("IFERROR(ARRAYFORMULA(REGEXEXTRACT(C9233,""^(?:https?:\/\/)?(?:[^@\n]+@)?(?:www\.)?([^:\/\n]+)"")),"""")"),"10kwraps.com")</f>
        <v>10kwraps.com</v>
      </c>
      <c r="E9233" s="26" t="str">
        <f ca="1">IFERROR(__xludf.DUMMYFUNCTION("""COMPUTED_VALUE"""),"New")</f>
        <v>New</v>
      </c>
      <c r="F9233" s="72">
        <v>58</v>
      </c>
      <c r="G9233" s="72">
        <v>7768</v>
      </c>
    </row>
    <row r="9234" spans="1:12" ht="14.5">
      <c r="A9234" s="3" t="s">
        <v>9115</v>
      </c>
      <c r="B9234" s="12" t="s">
        <v>2906</v>
      </c>
      <c r="C9234" s="46" t="s">
        <v>9217</v>
      </c>
      <c r="D9234" s="41" t="str">
        <f ca="1">IFERROR(__xludf.DUMMYFUNCTION("IFERROR(ARRAYFORMULA(REGEXEXTRACT(C9234,""^(?:https?:\/\/)?(?:[^@\n]+@)?(?:www\.)?([^:\/\n]+)"")),"""")"),"mixandmatchmama.com")</f>
        <v>mixandmatchmama.com</v>
      </c>
      <c r="E9234" s="26" t="str">
        <f ca="1">IFERROR(__xludf.DUMMYFUNCTION("""COMPUTED_VALUE"""),"New")</f>
        <v>New</v>
      </c>
      <c r="F9234" s="72">
        <v>39</v>
      </c>
      <c r="G9234" s="72">
        <v>10024</v>
      </c>
    </row>
    <row r="9235" spans="1:12" ht="14.5" hidden="1">
      <c r="A9235" s="3" t="s">
        <v>9115</v>
      </c>
      <c r="B9235" s="12" t="s">
        <v>2906</v>
      </c>
      <c r="C9235" s="46" t="s">
        <v>9218</v>
      </c>
      <c r="D9235" s="41" t="str">
        <f ca="1">IFERROR(__xludf.DUMMYFUNCTION("IFERROR(ARRAYFORMULA(REGEXEXTRACT(C9235,""^(?:https?:\/\/)?(?:[^@\n]+@)?(?:www\.)?([^:\/\n]+)"")),"""")"),"livingpristine.com")</f>
        <v>livingpristine.com</v>
      </c>
      <c r="E9235" s="26" t="str">
        <f ca="1">IFERROR(__xludf.DUMMYFUNCTION("""COMPUTED_VALUE"""),"Already Exists")</f>
        <v>Already Exists</v>
      </c>
      <c r="F9235" s="72">
        <v>52</v>
      </c>
      <c r="G9235" s="72">
        <v>8580</v>
      </c>
    </row>
    <row r="9236" spans="1:12" ht="14.5">
      <c r="A9236" s="3" t="s">
        <v>9115</v>
      </c>
      <c r="B9236" s="12" t="s">
        <v>2906</v>
      </c>
      <c r="C9236" s="46" t="s">
        <v>9219</v>
      </c>
      <c r="D9236" s="41" t="str">
        <f ca="1">IFERROR(__xludf.DUMMYFUNCTION("IFERROR(ARRAYFORMULA(REGEXEXTRACT(C9236,""^(?:https?:\/\/)?(?:[^@\n]+@)?(?:www\.)?([^:\/\n]+)"")),"""")"),"nyc3.digitaloceanspaces.com")</f>
        <v>nyc3.digitaloceanspaces.com</v>
      </c>
      <c r="E9236" s="26" t="str">
        <f ca="1">IFERROR(__xludf.DUMMYFUNCTION("""COMPUTED_VALUE"""),"New")</f>
        <v>New</v>
      </c>
      <c r="F9236" s="72">
        <v>91</v>
      </c>
      <c r="G9236" s="72">
        <v>134183</v>
      </c>
    </row>
    <row r="9237" spans="1:12" ht="14.5" hidden="1">
      <c r="A9237" s="3" t="s">
        <v>9115</v>
      </c>
      <c r="B9237" s="12" t="s">
        <v>2906</v>
      </c>
      <c r="C9237" s="46" t="s">
        <v>9220</v>
      </c>
      <c r="D9237" s="41" t="str">
        <f ca="1">IFERROR(__xludf.DUMMYFUNCTION("IFERROR(ARRAYFORMULA(REGEXEXTRACT(C9237,""^(?:https?:\/\/)?(?:[^@\n]+@)?(?:www\.)?([^:\/\n]+)"")),"""")"),"quirkohub.com")</f>
        <v>quirkohub.com</v>
      </c>
      <c r="E9237" s="26" t="str">
        <f ca="1">IFERROR(__xludf.DUMMYFUNCTION("""COMPUTED_VALUE"""),"Already Exists")</f>
        <v>Already Exists</v>
      </c>
      <c r="F9237" s="72">
        <v>36</v>
      </c>
      <c r="G9237" s="72">
        <v>1544</v>
      </c>
    </row>
    <row r="9238" spans="1:12" ht="14.5">
      <c r="A9238" s="3" t="s">
        <v>9115</v>
      </c>
      <c r="B9238" s="12" t="s">
        <v>2906</v>
      </c>
      <c r="C9238" s="46" t="s">
        <v>9221</v>
      </c>
      <c r="D9238" s="41" t="str">
        <f ca="1">IFERROR(__xludf.DUMMYFUNCTION("IFERROR(ARRAYFORMULA(REGEXEXTRACT(C9238,""^(?:https?:\/\/)?(?:[^@\n]+@)?(?:www\.)?([^:\/\n]+)"")),"""")"),"craftsyhacks.com")</f>
        <v>craftsyhacks.com</v>
      </c>
      <c r="E9238" s="26" t="str">
        <f ca="1">IFERROR(__xludf.DUMMYFUNCTION("""COMPUTED_VALUE"""),"New")</f>
        <v>New</v>
      </c>
      <c r="F9238" s="72">
        <v>43</v>
      </c>
      <c r="G9238" s="72">
        <v>2868</v>
      </c>
      <c r="H9238" s="27" t="s">
        <v>9222</v>
      </c>
      <c r="I9238" s="27" t="s">
        <v>9223</v>
      </c>
      <c r="K9238" s="27" t="s">
        <v>3756</v>
      </c>
      <c r="L9238" s="112"/>
    </row>
    <row r="9239" spans="1:12" ht="14.5">
      <c r="A9239" s="3" t="s">
        <v>9115</v>
      </c>
      <c r="B9239" s="12" t="s">
        <v>2906</v>
      </c>
      <c r="C9239" s="46" t="s">
        <v>9224</v>
      </c>
      <c r="D9239" s="41" t="str">
        <f ca="1">IFERROR(__xludf.DUMMYFUNCTION("IFERROR(ARRAYFORMULA(REGEXEXTRACT(C9239,""^(?:https?:\/\/)?(?:[^@\n]+@)?(?:www\.)?([^:\/\n]+)"")),"""")"),"thenakedchemist.com")</f>
        <v>thenakedchemist.com</v>
      </c>
      <c r="E9239" s="26" t="str">
        <f ca="1">IFERROR(__xludf.DUMMYFUNCTION("""COMPUTED_VALUE"""),"New")</f>
        <v>New</v>
      </c>
      <c r="F9239" s="72">
        <v>35</v>
      </c>
      <c r="G9239" s="72">
        <v>4795</v>
      </c>
    </row>
    <row r="9240" spans="1:12" ht="14.5">
      <c r="A9240" s="3" t="s">
        <v>9115</v>
      </c>
      <c r="B9240" s="12" t="s">
        <v>2906</v>
      </c>
      <c r="C9240" s="46" t="s">
        <v>9225</v>
      </c>
      <c r="D9240" s="41" t="str">
        <f ca="1">IFERROR(__xludf.DUMMYFUNCTION("IFERROR(ARRAYFORMULA(REGEXEXTRACT(C9240,""^(?:https?:\/\/)?(?:[^@\n]+@)?(?:www\.)?([^:\/\n]+)"")),"""")"),"rasmussen.edu")</f>
        <v>rasmussen.edu</v>
      </c>
      <c r="E9240" s="26" t="str">
        <f ca="1">IFERROR(__xludf.DUMMYFUNCTION("""COMPUTED_VALUE"""),"New")</f>
        <v>New</v>
      </c>
      <c r="F9240" s="72">
        <v>76</v>
      </c>
      <c r="G9240" s="72">
        <v>136443</v>
      </c>
    </row>
    <row r="9241" spans="1:12" ht="14.5">
      <c r="A9241" s="3" t="s">
        <v>9115</v>
      </c>
      <c r="B9241" s="12" t="s">
        <v>2906</v>
      </c>
      <c r="C9241" s="46" t="s">
        <v>9226</v>
      </c>
      <c r="D9241" s="41" t="str">
        <f ca="1">IFERROR(__xludf.DUMMYFUNCTION("IFERROR(ARRAYFORMULA(REGEXEXTRACT(C9241,""^(?:https?:\/\/)?(?:[^@\n]+@)?(?:www\.)?([^:\/\n]+)"")),"""")"),"netmums.com")</f>
        <v>netmums.com</v>
      </c>
      <c r="E9241" s="26" t="str">
        <f ca="1">IFERROR(__xludf.DUMMYFUNCTION("""COMPUTED_VALUE"""),"New")</f>
        <v>New</v>
      </c>
      <c r="F9241" s="72">
        <v>75</v>
      </c>
      <c r="G9241" s="72">
        <v>188391</v>
      </c>
    </row>
    <row r="9242" spans="1:12" ht="14.5" hidden="1">
      <c r="A9242" s="3" t="s">
        <v>9115</v>
      </c>
      <c r="B9242" s="12" t="s">
        <v>2906</v>
      </c>
      <c r="C9242" s="46" t="s">
        <v>9227</v>
      </c>
      <c r="D9242" s="41" t="str">
        <f ca="1">IFERROR(__xludf.DUMMYFUNCTION("IFERROR(ARRAYFORMULA(REGEXEXTRACT(C9242,""^(?:https?:\/\/)?(?:[^@\n]+@)?(?:www\.)?([^:\/\n]+)"")),"""")"),"woombie.com")</f>
        <v>woombie.com</v>
      </c>
      <c r="E9242" s="26" t="str">
        <f ca="1">IFERROR(__xludf.DUMMYFUNCTION("""COMPUTED_VALUE"""),"Already Exists")</f>
        <v>Already Exists</v>
      </c>
      <c r="F9242" s="72">
        <v>44</v>
      </c>
      <c r="G9242" s="72">
        <v>1936</v>
      </c>
    </row>
    <row r="9243" spans="1:12" ht="14.5">
      <c r="A9243" s="3" t="s">
        <v>9115</v>
      </c>
      <c r="B9243" s="12" t="s">
        <v>2906</v>
      </c>
      <c r="C9243" s="46" t="s">
        <v>9228</v>
      </c>
      <c r="D9243" s="41" t="str">
        <f ca="1">IFERROR(__xludf.DUMMYFUNCTION("IFERROR(ARRAYFORMULA(REGEXEXTRACT(C9243,""^(?:https?:\/\/)?(?:[^@\n]+@)?(?:www\.)?([^:\/\n]+)"")),"""")"),"gardenspotvillage.org")</f>
        <v>gardenspotvillage.org</v>
      </c>
      <c r="E9243" s="26" t="str">
        <f ca="1">IFERROR(__xludf.DUMMYFUNCTION("""COMPUTED_VALUE"""),"New")</f>
        <v>New</v>
      </c>
      <c r="F9243" s="72">
        <v>33</v>
      </c>
      <c r="G9243" s="72">
        <v>1226</v>
      </c>
      <c r="H9243" s="27" t="s">
        <v>9229</v>
      </c>
      <c r="I9243" s="27" t="s">
        <v>9230</v>
      </c>
      <c r="J9243" s="27" t="s">
        <v>9231</v>
      </c>
      <c r="K9243" s="27" t="s">
        <v>3853</v>
      </c>
      <c r="L9243" s="112"/>
    </row>
    <row r="9244" spans="1:12" ht="14.5">
      <c r="A9244" s="3" t="s">
        <v>9115</v>
      </c>
      <c r="B9244" s="12" t="s">
        <v>2906</v>
      </c>
      <c r="C9244" s="46" t="s">
        <v>9232</v>
      </c>
      <c r="D9244" s="41" t="str">
        <f ca="1">IFERROR(__xludf.DUMMYFUNCTION("IFERROR(ARRAYFORMULA(REGEXEXTRACT(C9244,""^(?:https?:\/\/)?(?:[^@\n]+@)?(?:www\.)?([^:\/\n]+)"")),"""")"),"classic.ptotoday.com")</f>
        <v>classic.ptotoday.com</v>
      </c>
      <c r="E9244" s="26" t="str">
        <f ca="1">IFERROR(__xludf.DUMMYFUNCTION("""COMPUTED_VALUE"""),"New")</f>
        <v>New</v>
      </c>
      <c r="F9244" s="72">
        <v>66</v>
      </c>
      <c r="G9244" s="72">
        <v>24932</v>
      </c>
    </row>
    <row r="9245" spans="1:12" ht="14.5" hidden="1">
      <c r="A9245" s="3" t="s">
        <v>9115</v>
      </c>
      <c r="B9245" s="12" t="s">
        <v>2906</v>
      </c>
      <c r="C9245" s="46" t="s">
        <v>9233</v>
      </c>
      <c r="D9245" s="41" t="str">
        <f ca="1">IFERROR(__xludf.DUMMYFUNCTION("IFERROR(ARRAYFORMULA(REGEXEXTRACT(C9245,""^(?:https?:\/\/)?(?:[^@\n]+@)?(?:www\.)?([^:\/\n]+)"")),"""")"),"holrmagazine.com")</f>
        <v>holrmagazine.com</v>
      </c>
      <c r="E9245" s="26" t="str">
        <f ca="1">IFERROR(__xludf.DUMMYFUNCTION("""COMPUTED_VALUE"""),"Already Exists")</f>
        <v>Already Exists</v>
      </c>
      <c r="F9245" s="72">
        <v>59</v>
      </c>
      <c r="G9245" s="72">
        <v>2428</v>
      </c>
    </row>
    <row r="9246" spans="1:12" ht="14.5" hidden="1">
      <c r="A9246" s="3" t="s">
        <v>9115</v>
      </c>
      <c r="B9246" s="12" t="s">
        <v>2906</v>
      </c>
      <c r="C9246" s="46" t="s">
        <v>9234</v>
      </c>
      <c r="D9246" s="41" t="str">
        <f ca="1">IFERROR(__xludf.DUMMYFUNCTION("IFERROR(ARRAYFORMULA(REGEXEXTRACT(C9246,""^(?:https?:\/\/)?(?:[^@\n]+@)?(?:www\.)?([^:\/\n]+)"")),"""")"),"terristeffes.com")</f>
        <v>terristeffes.com</v>
      </c>
      <c r="E9246" s="26" t="str">
        <f ca="1">IFERROR(__xludf.DUMMYFUNCTION("""COMPUTED_VALUE"""),"Already Exists")</f>
        <v>Already Exists</v>
      </c>
      <c r="F9246" s="72">
        <v>50</v>
      </c>
      <c r="G9246" s="72">
        <v>1938</v>
      </c>
    </row>
    <row r="9247" spans="1:12" ht="14.5" hidden="1">
      <c r="A9247" s="3" t="s">
        <v>9115</v>
      </c>
      <c r="B9247" s="12" t="s">
        <v>2906</v>
      </c>
      <c r="C9247" s="46" t="s">
        <v>9235</v>
      </c>
      <c r="D9247" s="41" t="str">
        <f ca="1">IFERROR(__xludf.DUMMYFUNCTION("IFERROR(ARRAYFORMULA(REGEXEXTRACT(C9247,""^(?:https?:\/\/)?(?:[^@\n]+@)?(?:www\.)?([^:\/\n]+)"")),"""")"),"canyon-news.com")</f>
        <v>canyon-news.com</v>
      </c>
      <c r="E9247" s="26" t="str">
        <f ca="1">IFERROR(__xludf.DUMMYFUNCTION("""COMPUTED_VALUE"""),"Already Exists")</f>
        <v>Already Exists</v>
      </c>
      <c r="F9247" s="72">
        <v>56</v>
      </c>
      <c r="G9247" s="72">
        <v>1572</v>
      </c>
    </row>
    <row r="9248" spans="1:12" ht="14.5">
      <c r="A9248" s="3" t="s">
        <v>9115</v>
      </c>
      <c r="B9248" s="12" t="s">
        <v>2906</v>
      </c>
      <c r="C9248" s="46" t="s">
        <v>9236</v>
      </c>
      <c r="D9248" s="41" t="str">
        <f ca="1">IFERROR(__xludf.DUMMYFUNCTION("IFERROR(ARRAYFORMULA(REGEXEXTRACT(C9248,""^(?:https?:\/\/)?(?:[^@\n]+@)?(?:www\.)?([^:\/\n]+)"")),"""")"),"livingmontessorinow.com")</f>
        <v>livingmontessorinow.com</v>
      </c>
      <c r="E9248" s="26" t="str">
        <f ca="1">IFERROR(__xludf.DUMMYFUNCTION("""COMPUTED_VALUE"""),"New")</f>
        <v>New</v>
      </c>
      <c r="F9248" s="72">
        <v>58</v>
      </c>
      <c r="G9248" s="72">
        <v>1880</v>
      </c>
    </row>
    <row r="9249" spans="1:12" ht="14.5">
      <c r="A9249" s="3" t="s">
        <v>9115</v>
      </c>
      <c r="B9249" s="12" t="s">
        <v>2906</v>
      </c>
      <c r="C9249" s="46" t="s">
        <v>9237</v>
      </c>
      <c r="D9249" s="41" t="str">
        <f ca="1">IFERROR(__xludf.DUMMYFUNCTION("IFERROR(ARRAYFORMULA(REGEXEXTRACT(C9249,""^(?:https?:\/\/)?(?:[^@\n]+@)?(?:www\.)?([^:\/\n]+)"")),"""")"),"modpodpodiatry.com.au")</f>
        <v>modpodpodiatry.com.au</v>
      </c>
      <c r="E9249" s="26" t="str">
        <f ca="1">IFERROR(__xludf.DUMMYFUNCTION("""COMPUTED_VALUE"""),"New")</f>
        <v>New</v>
      </c>
      <c r="F9249" s="72">
        <v>28</v>
      </c>
      <c r="G9249" s="72">
        <v>6273</v>
      </c>
    </row>
    <row r="9250" spans="1:12" ht="14.5">
      <c r="A9250" s="3" t="s">
        <v>9115</v>
      </c>
      <c r="B9250" s="12" t="s">
        <v>2906</v>
      </c>
      <c r="C9250" s="46" t="s">
        <v>9238</v>
      </c>
      <c r="D9250" s="41" t="str">
        <f ca="1">IFERROR(__xludf.DUMMYFUNCTION("IFERROR(ARRAYFORMULA(REGEXEXTRACT(C9250,""^(?:https?:\/\/)?(?:[^@\n]+@)?(?:www\.)?([^:\/\n]+)"")),"""")"),"ceolawyer.com")</f>
        <v>ceolawyer.com</v>
      </c>
      <c r="E9250" s="26" t="str">
        <f ca="1">IFERROR(__xludf.DUMMYFUNCTION("""COMPUTED_VALUE"""),"New")</f>
        <v>New</v>
      </c>
      <c r="F9250" s="72">
        <v>38</v>
      </c>
      <c r="G9250" s="72">
        <v>2933</v>
      </c>
    </row>
    <row r="9251" spans="1:12" ht="14.5">
      <c r="A9251" s="3" t="s">
        <v>9115</v>
      </c>
      <c r="B9251" s="12" t="s">
        <v>2906</v>
      </c>
      <c r="C9251" s="46" t="s">
        <v>9239</v>
      </c>
      <c r="D9251" s="41" t="str">
        <f ca="1">IFERROR(__xludf.DUMMYFUNCTION("IFERROR(ARRAYFORMULA(REGEXEXTRACT(C9251,""^(?:https?:\/\/)?(?:[^@\n]+@)?(?:www\.)?([^:\/\n]+)"")),"""")"),"siraplimau.com")</f>
        <v>siraplimau.com</v>
      </c>
      <c r="E9251" s="26" t="str">
        <f ca="1">IFERROR(__xludf.DUMMYFUNCTION("""COMPUTED_VALUE"""),"New")</f>
        <v>New</v>
      </c>
      <c r="F9251" s="72">
        <v>48</v>
      </c>
      <c r="G9251" s="72">
        <v>300719</v>
      </c>
    </row>
    <row r="9252" spans="1:12" ht="14.5">
      <c r="A9252" s="3" t="s">
        <v>9115</v>
      </c>
      <c r="B9252" s="12" t="s">
        <v>2906</v>
      </c>
      <c r="C9252" s="46" t="s">
        <v>9240</v>
      </c>
      <c r="D9252" s="41" t="str">
        <f ca="1">IFERROR(__xludf.DUMMYFUNCTION("IFERROR(ARRAYFORMULA(REGEXEXTRACT(C9252,""^(?:https?:\/\/)?(?:[^@\n]+@)?(?:www\.)?([^:\/\n]+)"")),"""")"),"archive.ogunstate.gov.ng")</f>
        <v>archive.ogunstate.gov.ng</v>
      </c>
      <c r="E9252" s="26" t="str">
        <f ca="1">IFERROR(__xludf.DUMMYFUNCTION("""COMPUTED_VALUE"""),"New")</f>
        <v>New</v>
      </c>
      <c r="F9252" s="72">
        <v>49</v>
      </c>
      <c r="G9252" s="72">
        <v>48451</v>
      </c>
    </row>
    <row r="9253" spans="1:12" ht="14.5">
      <c r="A9253" s="3" t="s">
        <v>9115</v>
      </c>
      <c r="B9253" s="12" t="s">
        <v>2906</v>
      </c>
      <c r="C9253" s="46" t="s">
        <v>9241</v>
      </c>
      <c r="D9253" s="41" t="str">
        <f ca="1">IFERROR(__xludf.DUMMYFUNCTION("IFERROR(ARRAYFORMULA(REGEXEXTRACT(C9253,""^(?:https?:\/\/)?(?:[^@\n]+@)?(?:www\.)?([^:\/\n]+)"")),"""")"),"smbc-comics.com")</f>
        <v>smbc-comics.com</v>
      </c>
      <c r="E9253" s="26" t="str">
        <f ca="1">IFERROR(__xludf.DUMMYFUNCTION("""COMPUTED_VALUE"""),"New")</f>
        <v>New</v>
      </c>
      <c r="F9253" s="72">
        <v>73</v>
      </c>
      <c r="G9253" s="72">
        <v>12198</v>
      </c>
    </row>
    <row r="9254" spans="1:12" ht="14.5" hidden="1">
      <c r="A9254" s="3" t="s">
        <v>9115</v>
      </c>
      <c r="B9254" s="12" t="s">
        <v>2906</v>
      </c>
      <c r="C9254" s="46" t="s">
        <v>9242</v>
      </c>
      <c r="D9254" s="41" t="str">
        <f ca="1">IFERROR(__xludf.DUMMYFUNCTION("IFERROR(ARRAYFORMULA(REGEXEXTRACT(C9254,""^(?:https?:\/\/)?(?:[^@\n]+@)?(?:www\.)?([^:\/\n]+)"")),"""")"),"impactwealth.org")</f>
        <v>impactwealth.org</v>
      </c>
      <c r="E9254" s="26" t="str">
        <f ca="1">IFERROR(__xludf.DUMMYFUNCTION("""COMPUTED_VALUE"""),"Already Exists")</f>
        <v>Already Exists</v>
      </c>
      <c r="F9254" s="72">
        <v>75</v>
      </c>
      <c r="G9254" s="72">
        <v>34802</v>
      </c>
    </row>
    <row r="9255" spans="1:12" ht="14.5">
      <c r="A9255" s="3" t="s">
        <v>9115</v>
      </c>
      <c r="B9255" s="12" t="s">
        <v>2906</v>
      </c>
      <c r="C9255" s="46" t="s">
        <v>9243</v>
      </c>
      <c r="D9255" s="41" t="str">
        <f ca="1">IFERROR(__xludf.DUMMYFUNCTION("IFERROR(ARRAYFORMULA(REGEXEXTRACT(C9255,""^(?:https?:\/\/)?(?:[^@\n]+@)?(?:www\.)?([^:\/\n]+)"")),"""")"),"skinnedcartree.com")</f>
        <v>skinnedcartree.com</v>
      </c>
      <c r="E9255" s="26" t="str">
        <f ca="1">IFERROR(__xludf.DUMMYFUNCTION("""COMPUTED_VALUE"""),"New")</f>
        <v>New</v>
      </c>
      <c r="F9255" s="72">
        <v>28</v>
      </c>
      <c r="G9255" s="72">
        <v>6374</v>
      </c>
      <c r="H9255" s="27" t="s">
        <v>9244</v>
      </c>
      <c r="I9255" s="27" t="s">
        <v>9245</v>
      </c>
      <c r="K9255" s="27" t="s">
        <v>3756</v>
      </c>
      <c r="L9255" s="112"/>
    </row>
    <row r="9256" spans="1:12" ht="14.5">
      <c r="A9256" s="3" t="s">
        <v>9115</v>
      </c>
      <c r="B9256" s="12" t="s">
        <v>2906</v>
      </c>
      <c r="C9256" s="46" t="s">
        <v>9246</v>
      </c>
      <c r="D9256" s="41" t="str">
        <f ca="1">IFERROR(__xludf.DUMMYFUNCTION("IFERROR(ARRAYFORMULA(REGEXEXTRACT(C9256,""^(?:https?:\/\/)?(?:[^@\n]+@)?(?:www\.)?([^:\/\n]+)"")),"""")"),"fn29f.mssg.me")</f>
        <v>fn29f.mssg.me</v>
      </c>
      <c r="E9256" s="26" t="str">
        <f ca="1">IFERROR(__xludf.DUMMYFUNCTION("""COMPUTED_VALUE"""),"New")</f>
        <v>New</v>
      </c>
      <c r="F9256" s="72">
        <v>80</v>
      </c>
      <c r="G9256" s="72">
        <v>6902</v>
      </c>
    </row>
    <row r="9257" spans="1:12" ht="14.5">
      <c r="A9257" s="3" t="s">
        <v>9115</v>
      </c>
      <c r="B9257" s="12" t="s">
        <v>2906</v>
      </c>
      <c r="C9257" s="46" t="s">
        <v>9247</v>
      </c>
      <c r="D9257" s="41" t="str">
        <f ca="1">IFERROR(__xludf.DUMMYFUNCTION("IFERROR(ARRAYFORMULA(REGEXEXTRACT(C9257,""^(?:https?:\/\/)?(?:[^@\n]+@)?(?:www\.)?([^:\/\n]+)"")),"""")"),"wizikey.com")</f>
        <v>wizikey.com</v>
      </c>
      <c r="E9257" s="26" t="str">
        <f ca="1">IFERROR(__xludf.DUMMYFUNCTION("""COMPUTED_VALUE"""),"New")</f>
        <v>New</v>
      </c>
      <c r="F9257" s="72">
        <v>36</v>
      </c>
      <c r="G9257" s="72">
        <v>2555</v>
      </c>
    </row>
    <row r="9258" spans="1:12" ht="14.5">
      <c r="A9258" s="3" t="s">
        <v>9115</v>
      </c>
      <c r="B9258" s="12" t="s">
        <v>2906</v>
      </c>
      <c r="C9258" s="46" t="s">
        <v>9248</v>
      </c>
      <c r="D9258" s="41" t="str">
        <f ca="1">IFERROR(__xludf.DUMMYFUNCTION("IFERROR(ARRAYFORMULA(REGEXEXTRACT(C9258,""^(?:https?:\/\/)?(?:[^@\n]+@)?(?:www\.)?([^:\/\n]+)"")),"""")"),"sumo.app")</f>
        <v>sumo.app</v>
      </c>
      <c r="E9258" s="26" t="str">
        <f ca="1">IFERROR(__xludf.DUMMYFUNCTION("""COMPUTED_VALUE"""),"New")</f>
        <v>New</v>
      </c>
      <c r="F9258" s="72">
        <v>59</v>
      </c>
      <c r="G9258" s="72">
        <v>69024</v>
      </c>
    </row>
    <row r="9259" spans="1:12" ht="14.5" hidden="1">
      <c r="A9259" s="3" t="s">
        <v>9115</v>
      </c>
      <c r="B9259" s="12" t="s">
        <v>2906</v>
      </c>
      <c r="C9259" s="46" t="s">
        <v>9249</v>
      </c>
      <c r="D9259" s="41" t="str">
        <f ca="1">IFERROR(__xludf.DUMMYFUNCTION("IFERROR(ARRAYFORMULA(REGEXEXTRACT(C9259,""^(?:https?:\/\/)?(?:[^@\n]+@)?(?:www\.)?([^:\/\n]+)"")),"""")"),"breakingac.com")</f>
        <v>breakingac.com</v>
      </c>
      <c r="E9259" s="26" t="str">
        <f ca="1">IFERROR(__xludf.DUMMYFUNCTION("""COMPUTED_VALUE"""),"Already Exists")</f>
        <v>Already Exists</v>
      </c>
      <c r="F9259" s="72">
        <v>54</v>
      </c>
      <c r="G9259" s="72">
        <v>23013</v>
      </c>
    </row>
    <row r="9260" spans="1:12" ht="14.5">
      <c r="A9260" s="3" t="s">
        <v>9115</v>
      </c>
      <c r="B9260" s="12" t="s">
        <v>2906</v>
      </c>
      <c r="C9260" s="46" t="s">
        <v>9250</v>
      </c>
      <c r="D9260" s="41" t="str">
        <f ca="1">IFERROR(__xludf.DUMMYFUNCTION("IFERROR(ARRAYFORMULA(REGEXEXTRACT(C9260,""^(?:https?:\/\/)?(?:[^@\n]+@)?(?:www\.)?([^:\/\n]+)"")),"""")"),"ilonas-five-star-site-e3803d.webflow.io")</f>
        <v>ilonas-five-star-site-e3803d.webflow.io</v>
      </c>
      <c r="E9260" s="26" t="str">
        <f ca="1">IFERROR(__xludf.DUMMYFUNCTION("""COMPUTED_VALUE"""),"New")</f>
        <v>New</v>
      </c>
      <c r="F9260" s="72">
        <v>92</v>
      </c>
      <c r="G9260" s="72">
        <v>848668</v>
      </c>
    </row>
    <row r="9261" spans="1:12" ht="14.5">
      <c r="A9261" s="3" t="s">
        <v>9115</v>
      </c>
      <c r="B9261" s="12" t="s">
        <v>2906</v>
      </c>
      <c r="C9261" s="46" t="s">
        <v>9251</v>
      </c>
      <c r="D9261" s="41" t="str">
        <f ca="1">IFERROR(__xludf.DUMMYFUNCTION("IFERROR(ARRAYFORMULA(REGEXEXTRACT(C9261,""^(?:https?:\/\/)?(?:[^@\n]+@)?(?:www\.)?([^:\/\n]+)"")),"""")"),"elearning.itkesmusidrap.ac.id")</f>
        <v>elearning.itkesmusidrap.ac.id</v>
      </c>
      <c r="E9261" s="26" t="str">
        <f ca="1">IFERROR(__xludf.DUMMYFUNCTION("""COMPUTED_VALUE"""),"New")</f>
        <v>New</v>
      </c>
      <c r="F9261" s="72">
        <v>30</v>
      </c>
      <c r="G9261" s="72">
        <v>1925</v>
      </c>
    </row>
    <row r="9262" spans="1:12" ht="14.5">
      <c r="A9262" s="3" t="s">
        <v>9115</v>
      </c>
      <c r="B9262" s="12" t="s">
        <v>2906</v>
      </c>
      <c r="C9262" s="46" t="s">
        <v>9252</v>
      </c>
      <c r="D9262" s="41" t="str">
        <f ca="1">IFERROR(__xludf.DUMMYFUNCTION("IFERROR(ARRAYFORMULA(REGEXEXTRACT(C9262,""^(?:https?:\/\/)?(?:[^@\n]+@)?(?:www\.)?([^:\/\n]+)"")),"""")"),"prachinburi.doae.go.th")</f>
        <v>prachinburi.doae.go.th</v>
      </c>
      <c r="E9262" s="26" t="str">
        <f ca="1">IFERROR(__xludf.DUMMYFUNCTION("""COMPUTED_VALUE"""),"New")</f>
        <v>New</v>
      </c>
      <c r="F9262" s="72">
        <v>66</v>
      </c>
      <c r="G9262" s="72">
        <v>238458</v>
      </c>
    </row>
    <row r="9263" spans="1:12" ht="14.5">
      <c r="A9263" s="3" t="s">
        <v>9115</v>
      </c>
      <c r="B9263" s="12" t="s">
        <v>2906</v>
      </c>
      <c r="C9263" s="46" t="s">
        <v>9253</v>
      </c>
      <c r="D9263" s="41" t="str">
        <f ca="1">IFERROR(__xludf.DUMMYFUNCTION("IFERROR(ARRAYFORMULA(REGEXEXTRACT(C9263,""^(?:https?:\/\/)?(?:[^@\n]+@)?(?:www\.)?([^:\/\n]+)"")),"""")"),"padborgvest.dk.linux35.curanetserver.dk")</f>
        <v>padborgvest.dk.linux35.curanetserver.dk</v>
      </c>
      <c r="E9263" s="26" t="str">
        <f ca="1">IFERROR(__xludf.DUMMYFUNCTION("""COMPUTED_VALUE"""),"New")</f>
        <v>New</v>
      </c>
      <c r="F9263" s="72">
        <v>77</v>
      </c>
      <c r="G9263" s="72">
        <v>1992</v>
      </c>
    </row>
    <row r="9264" spans="1:12" ht="14.5">
      <c r="A9264" s="3" t="s">
        <v>9115</v>
      </c>
      <c r="B9264" s="12" t="s">
        <v>2906</v>
      </c>
      <c r="C9264" s="46" t="s">
        <v>9254</v>
      </c>
      <c r="D9264" s="41" t="str">
        <f ca="1">IFERROR(__xludf.DUMMYFUNCTION("IFERROR(ARRAYFORMULA(REGEXEXTRACT(C9264,""^(?:https?:\/\/)?(?:[^@\n]+@)?(?:www\.)?([^:\/\n]+)"")),"""")"),"jameswilson.livepositively.com")</f>
        <v>jameswilson.livepositively.com</v>
      </c>
      <c r="E9264" s="26" t="str">
        <f ca="1">IFERROR(__xludf.DUMMYFUNCTION("""COMPUTED_VALUE"""),"New")</f>
        <v>New</v>
      </c>
      <c r="F9264" s="72">
        <v>72</v>
      </c>
      <c r="G9264" s="72">
        <v>17615</v>
      </c>
    </row>
    <row r="9265" spans="1:7" ht="14.5" hidden="1">
      <c r="A9265" s="3" t="s">
        <v>9115</v>
      </c>
      <c r="B9265" s="12" t="s">
        <v>2906</v>
      </c>
      <c r="C9265" s="46" t="s">
        <v>9255</v>
      </c>
      <c r="D9265" s="41" t="str">
        <f ca="1">IFERROR(__xludf.DUMMYFUNCTION("IFERROR(ARRAYFORMULA(REGEXEXTRACT(C9265,""^(?:https?:\/\/)?(?:[^@\n]+@)?(?:www\.)?([^:\/\n]+)"")),"""")"),"inkl.com")</f>
        <v>inkl.com</v>
      </c>
      <c r="E9265" s="26" t="str">
        <f ca="1">IFERROR(__xludf.DUMMYFUNCTION("""COMPUTED_VALUE"""),"Already Exists")</f>
        <v>Already Exists</v>
      </c>
      <c r="F9265" s="72">
        <v>71</v>
      </c>
      <c r="G9265" s="72">
        <v>76869</v>
      </c>
    </row>
    <row r="9266" spans="1:7" ht="14.5">
      <c r="A9266" s="3" t="s">
        <v>9115</v>
      </c>
      <c r="B9266" s="12" t="s">
        <v>2906</v>
      </c>
      <c r="C9266" s="46" t="s">
        <v>9256</v>
      </c>
      <c r="D9266" s="41" t="str">
        <f ca="1">IFERROR(__xludf.DUMMYFUNCTION("IFERROR(ARRAYFORMULA(REGEXEXTRACT(C9266,""^(?:https?:\/\/)?(?:[^@\n]+@)?(?:www\.)?([^:\/\n]+)"")),"""")"),"masterclass.infoorel.ru")</f>
        <v>masterclass.infoorel.ru</v>
      </c>
      <c r="E9266" s="26" t="str">
        <f ca="1">IFERROR(__xludf.DUMMYFUNCTION("""COMPUTED_VALUE"""),"New")</f>
        <v>New</v>
      </c>
      <c r="F9266" s="72">
        <v>41</v>
      </c>
      <c r="G9266" s="72">
        <v>1385</v>
      </c>
    </row>
    <row r="9267" spans="1:7" ht="14.5">
      <c r="A9267" s="3" t="s">
        <v>9115</v>
      </c>
      <c r="B9267" s="12" t="s">
        <v>2906</v>
      </c>
      <c r="C9267" s="46" t="s">
        <v>9257</v>
      </c>
      <c r="D9267" s="41" t="str">
        <f ca="1">IFERROR(__xludf.DUMMYFUNCTION("IFERROR(ARRAYFORMULA(REGEXEXTRACT(C9267,""^(?:https?:\/\/)?(?:[^@\n]+@)?(?:www\.)?([^:\/\n]+)"")),"""")"),"protopage.com")</f>
        <v>protopage.com</v>
      </c>
      <c r="E9267" s="26" t="str">
        <f ca="1">IFERROR(__xludf.DUMMYFUNCTION("""COMPUTED_VALUE"""),"New")</f>
        <v>New</v>
      </c>
      <c r="F9267" s="72">
        <v>71</v>
      </c>
      <c r="G9267" s="72">
        <v>1075</v>
      </c>
    </row>
    <row r="9268" spans="1:7" ht="14.5" hidden="1">
      <c r="A9268" s="3" t="s">
        <v>9115</v>
      </c>
      <c r="B9268" s="12" t="s">
        <v>2906</v>
      </c>
      <c r="C9268" s="46" t="s">
        <v>9258</v>
      </c>
      <c r="D9268" s="41" t="str">
        <f ca="1">IFERROR(__xludf.DUMMYFUNCTION("IFERROR(ARRAYFORMULA(REGEXEXTRACT(C9268,""^(?:https?:\/\/)?(?:[^@\n]+@)?(?:www\.)?([^:\/\n]+)"")),"""")"),"legalreader.com")</f>
        <v>legalreader.com</v>
      </c>
      <c r="E9268" s="26" t="str">
        <f ca="1">IFERROR(__xludf.DUMMYFUNCTION("""COMPUTED_VALUE"""),"Already Exists")</f>
        <v>Already Exists</v>
      </c>
      <c r="F9268" s="72">
        <v>66</v>
      </c>
      <c r="G9268" s="72">
        <v>3826</v>
      </c>
    </row>
    <row r="9269" spans="1:7" ht="14.5">
      <c r="A9269" s="3" t="s">
        <v>9115</v>
      </c>
      <c r="B9269" s="12" t="s">
        <v>2906</v>
      </c>
      <c r="C9269" s="46" t="s">
        <v>9259</v>
      </c>
      <c r="D9269" s="41" t="str">
        <f ca="1">IFERROR(__xludf.DUMMYFUNCTION("IFERROR(ARRAYFORMULA(REGEXEXTRACT(C9269,""^(?:https?:\/\/)?(?:[^@\n]+@)?(?:www\.)?([^:\/\n]+)"")),"""")"),"koenau")</f>
        <v>koenau</v>
      </c>
      <c r="E9269" s="26" t="str">
        <f ca="1">IFERROR(__xludf.DUMMYFUNCTION("""COMPUTED_VALUE"""),"New")</f>
        <v>New</v>
      </c>
      <c r="F9269" s="72">
        <v>81</v>
      </c>
      <c r="G9269" s="72">
        <v>917623</v>
      </c>
    </row>
    <row r="9270" spans="1:7" ht="14.5">
      <c r="A9270" s="3" t="s">
        <v>9115</v>
      </c>
      <c r="B9270" s="12" t="s">
        <v>2906</v>
      </c>
      <c r="C9270" s="46" t="s">
        <v>9260</v>
      </c>
      <c r="D9270" s="41" t="str">
        <f ca="1">IFERROR(__xludf.DUMMYFUNCTION("IFERROR(ARRAYFORMULA(REGEXEXTRACT(C9270,""^(?:https?:\/\/)?(?:[^@\n]+@)?(?:www\.)?([^:\/\n]+)"")),"""")"),"filmdaily.co")</f>
        <v>filmdaily.co</v>
      </c>
      <c r="E9270" s="26" t="str">
        <f ca="1">IFERROR(__xludf.DUMMYFUNCTION("""COMPUTED_VALUE"""),"New")</f>
        <v>New</v>
      </c>
      <c r="F9270" s="72">
        <v>71</v>
      </c>
      <c r="G9270" s="72">
        <v>2822</v>
      </c>
    </row>
    <row r="9271" spans="1:7" ht="14.5" hidden="1">
      <c r="A9271" s="3" t="s">
        <v>9115</v>
      </c>
      <c r="B9271" s="12" t="s">
        <v>2906</v>
      </c>
      <c r="C9271" s="46" t="s">
        <v>9261</v>
      </c>
      <c r="D9271" s="41" t="str">
        <f ca="1">IFERROR(__xludf.DUMMYFUNCTION("IFERROR(ARRAYFORMULA(REGEXEXTRACT(C9271,""^(?:https?:\/\/)?(?:[^@\n]+@)?(?:www\.)?([^:\/\n]+)"")),"""")"),"metromsk.com")</f>
        <v>metromsk.com</v>
      </c>
      <c r="E9271" s="26" t="str">
        <f ca="1">IFERROR(__xludf.DUMMYFUNCTION("""COMPUTED_VALUE"""),"Already Exists")</f>
        <v>Already Exists</v>
      </c>
      <c r="F9271" s="72">
        <v>50</v>
      </c>
      <c r="G9271" s="72">
        <v>32333</v>
      </c>
    </row>
    <row r="9272" spans="1:7" ht="14.5">
      <c r="A9272" s="3" t="s">
        <v>9115</v>
      </c>
      <c r="B9272" s="12" t="s">
        <v>2906</v>
      </c>
      <c r="C9272" s="46" t="s">
        <v>9262</v>
      </c>
      <c r="D9272" s="41" t="str">
        <f ca="1">IFERROR(__xludf.DUMMYFUNCTION("IFERROR(ARRAYFORMULA(REGEXEXTRACT(C9272,""^(?:https?:\/\/)?(?:[^@\n]+@)?(?:www\.)?([^:\/\n]+)"")),"""")"),"artificialgrassliquidators.com")</f>
        <v>artificialgrassliquidators.com</v>
      </c>
      <c r="E9272" s="26" t="str">
        <f ca="1">IFERROR(__xludf.DUMMYFUNCTION("""COMPUTED_VALUE"""),"New")</f>
        <v>New</v>
      </c>
      <c r="F9272" s="72">
        <v>40</v>
      </c>
      <c r="G9272" s="72">
        <v>4665</v>
      </c>
    </row>
    <row r="9273" spans="1:7" ht="14.5" hidden="1">
      <c r="A9273" s="3" t="s">
        <v>9115</v>
      </c>
      <c r="B9273" s="12" t="s">
        <v>2906</v>
      </c>
      <c r="C9273" s="46" t="s">
        <v>9263</v>
      </c>
      <c r="D9273" s="41" t="str">
        <f ca="1">IFERROR(__xludf.DUMMYFUNCTION("IFERROR(ARRAYFORMULA(REGEXEXTRACT(C9273,""^(?:https?:\/\/)?(?:[^@\n]+@)?(?:www\.)?([^:\/\n]+)"")),"""")"),"theinspirationedit.com")</f>
        <v>theinspirationedit.com</v>
      </c>
      <c r="E9273" s="26" t="str">
        <f ca="1">IFERROR(__xludf.DUMMYFUNCTION("""COMPUTED_VALUE"""),"Already Exists")</f>
        <v>Already Exists</v>
      </c>
      <c r="F9273" s="72">
        <v>56</v>
      </c>
      <c r="G9273" s="72">
        <v>11429</v>
      </c>
    </row>
    <row r="9274" spans="1:7" ht="14.5">
      <c r="A9274" s="3" t="s">
        <v>9115</v>
      </c>
      <c r="B9274" s="12" t="s">
        <v>2906</v>
      </c>
      <c r="C9274" s="46" t="s">
        <v>9264</v>
      </c>
      <c r="D9274" s="41" t="str">
        <f ca="1">IFERROR(__xludf.DUMMYFUNCTION("IFERROR(ARRAYFORMULA(REGEXEXTRACT(C9274,""^(?:https?:\/\/)?(?:[^@\n]+@)?(?:www\.)?([^:\/\n]+)"")),"""")"),"evite.com")</f>
        <v>evite.com</v>
      </c>
      <c r="E9274" s="26" t="str">
        <f ca="1">IFERROR(__xludf.DUMMYFUNCTION("""COMPUTED_VALUE"""),"New")</f>
        <v>New</v>
      </c>
      <c r="F9274" s="72">
        <v>79</v>
      </c>
      <c r="G9274" s="72">
        <v>701566</v>
      </c>
    </row>
    <row r="9275" spans="1:7" ht="14.5">
      <c r="A9275" s="3" t="s">
        <v>9115</v>
      </c>
      <c r="B9275" s="12" t="s">
        <v>2906</v>
      </c>
      <c r="C9275" s="46" t="s">
        <v>9265</v>
      </c>
      <c r="D9275" s="41" t="str">
        <f ca="1">IFERROR(__xludf.DUMMYFUNCTION("IFERROR(ARRAYFORMULA(REGEXEXTRACT(C9275,""^(?:https?:\/\/)?(?:[^@\n]+@)?(?:www\.)?([^:\/\n]+)"")),"""")"),"livechat.theninehertz.com")</f>
        <v>livechat.theninehertz.com</v>
      </c>
      <c r="E9275" s="26" t="str">
        <f ca="1">IFERROR(__xludf.DUMMYFUNCTION("""COMPUTED_VALUE"""),"New")</f>
        <v>New</v>
      </c>
      <c r="F9275" s="72">
        <v>49</v>
      </c>
      <c r="G9275" s="72">
        <v>5391</v>
      </c>
    </row>
    <row r="9276" spans="1:7" ht="14.5">
      <c r="A9276" s="3" t="s">
        <v>9115</v>
      </c>
      <c r="B9276" s="12" t="s">
        <v>2906</v>
      </c>
      <c r="C9276" s="46" t="s">
        <v>9266</v>
      </c>
      <c r="D9276" s="41" t="str">
        <f ca="1">IFERROR(__xludf.DUMMYFUNCTION("IFERROR(ARRAYFORMULA(REGEXEXTRACT(C9276,""^(?:https?:\/\/)?(?:[^@\n]+@)?(?:www\.)?([^:\/\n]+)"")),"""")"),"gomotionapp.com")</f>
        <v>gomotionapp.com</v>
      </c>
      <c r="E9276" s="26" t="str">
        <f ca="1">IFERROR(__xludf.DUMMYFUNCTION("""COMPUTED_VALUE"""),"New")</f>
        <v>New</v>
      </c>
      <c r="F9276" s="72">
        <v>81</v>
      </c>
      <c r="G9276" s="72">
        <v>60980</v>
      </c>
    </row>
    <row r="9277" spans="1:7" ht="14.5" hidden="1">
      <c r="A9277" s="3" t="s">
        <v>9115</v>
      </c>
      <c r="B9277" s="12" t="s">
        <v>2906</v>
      </c>
      <c r="C9277" s="46" t="s">
        <v>9267</v>
      </c>
      <c r="D9277" s="41" t="str">
        <f ca="1">IFERROR(__xludf.DUMMYFUNCTION("IFERROR(ARRAYFORMULA(REGEXEXTRACT(C9277,""^(?:https?:\/\/)?(?:[^@\n]+@)?(?:www\.)?([^:\/\n]+)"")),"""")"),"geeksaroundglobe.com")</f>
        <v>geeksaroundglobe.com</v>
      </c>
      <c r="E9277" s="26" t="str">
        <f ca="1">IFERROR(__xludf.DUMMYFUNCTION("""COMPUTED_VALUE"""),"Already Exists")</f>
        <v>Already Exists</v>
      </c>
      <c r="F9277" s="72">
        <v>62</v>
      </c>
      <c r="G9277" s="72">
        <v>1961</v>
      </c>
    </row>
    <row r="9278" spans="1:7" ht="14.5">
      <c r="A9278" s="3" t="s">
        <v>9115</v>
      </c>
      <c r="B9278" s="12" t="s">
        <v>2906</v>
      </c>
      <c r="C9278" s="46" t="s">
        <v>9268</v>
      </c>
      <c r="D9278" s="41" t="str">
        <f ca="1">IFERROR(__xludf.DUMMYFUNCTION("IFERROR(ARRAYFORMULA(REGEXEXTRACT(C9278,""^(?:https?:\/\/)?(?:[^@\n]+@)?(?:www\.)?([^:\/\n]+)"")),"""")"),"manage-uss.printkk.com")</f>
        <v>manage-uss.printkk.com</v>
      </c>
      <c r="E9278" s="26" t="str">
        <f ca="1">IFERROR(__xludf.DUMMYFUNCTION("""COMPUTED_VALUE"""),"New")</f>
        <v>New</v>
      </c>
      <c r="F9278" s="72">
        <v>59</v>
      </c>
      <c r="G9278" s="72">
        <v>8588</v>
      </c>
    </row>
    <row r="9279" spans="1:7" ht="14.5">
      <c r="A9279" s="3" t="s">
        <v>9115</v>
      </c>
      <c r="B9279" s="12" t="s">
        <v>2906</v>
      </c>
      <c r="C9279" s="46" t="s">
        <v>9269</v>
      </c>
      <c r="D9279" s="41" t="str">
        <f ca="1">IFERROR(__xludf.DUMMYFUNCTION("IFERROR(ARRAYFORMULA(REGEXEXTRACT(C9279,""^(?:https?:\/\/)?(?:[^@\n]+@)?(?:www\.)?([^:\/\n]+)"")),"""")"),"md.darmstadt.ccc.de")</f>
        <v>md.darmstadt.ccc.de</v>
      </c>
      <c r="E9279" s="26" t="str">
        <f ca="1">IFERROR(__xludf.DUMMYFUNCTION("""COMPUTED_VALUE"""),"New")</f>
        <v>New</v>
      </c>
      <c r="F9279" s="72">
        <v>85</v>
      </c>
      <c r="G9279" s="72">
        <v>10802</v>
      </c>
    </row>
    <row r="9280" spans="1:7" ht="14.5">
      <c r="A9280" s="3" t="s">
        <v>9115</v>
      </c>
      <c r="B9280" s="12" t="s">
        <v>2906</v>
      </c>
      <c r="C9280" s="46" t="s">
        <v>9270</v>
      </c>
      <c r="D9280" s="41" t="str">
        <f ca="1">IFERROR(__xludf.DUMMYFUNCTION("IFERROR(ARRAYFORMULA(REGEXEXTRACT(C9280,""^(?:https?:\/\/)?(?:[^@\n]+@)?(?:www\.)?([^:\/\n]+)"")),"""")"),"freshsends.com")</f>
        <v>freshsends.com</v>
      </c>
      <c r="E9280" s="26" t="str">
        <f ca="1">IFERROR(__xludf.DUMMYFUNCTION("""COMPUTED_VALUE"""),"New")</f>
        <v>New</v>
      </c>
      <c r="F9280" s="72">
        <v>41</v>
      </c>
      <c r="G9280" s="72">
        <v>41053</v>
      </c>
    </row>
    <row r="9281" spans="1:12" ht="14.5">
      <c r="A9281" s="3" t="s">
        <v>9115</v>
      </c>
      <c r="B9281" s="12" t="s">
        <v>2906</v>
      </c>
      <c r="C9281" s="46" t="s">
        <v>9271</v>
      </c>
      <c r="D9281" s="41" t="str">
        <f ca="1">IFERROR(__xludf.DUMMYFUNCTION("IFERROR(ARRAYFORMULA(REGEXEXTRACT(C9281,""^(?:https?:\/\/)?(?:[^@\n]+@)?(?:www\.)?([^:\/\n]+)"")),"""")"),"visitwichita.com")</f>
        <v>visitwichita.com</v>
      </c>
      <c r="E9281" s="26" t="str">
        <f ca="1">IFERROR(__xludf.DUMMYFUNCTION("""COMPUTED_VALUE"""),"New")</f>
        <v>New</v>
      </c>
      <c r="F9281" s="72">
        <v>64</v>
      </c>
      <c r="G9281" s="72">
        <v>43691</v>
      </c>
    </row>
    <row r="9282" spans="1:12" ht="14.5">
      <c r="A9282" s="3" t="s">
        <v>9115</v>
      </c>
      <c r="B9282" s="12" t="s">
        <v>2906</v>
      </c>
      <c r="C9282" s="46" t="s">
        <v>9272</v>
      </c>
      <c r="D9282" s="41" t="str">
        <f ca="1">IFERROR(__xludf.DUMMYFUNCTION("IFERROR(ARRAYFORMULA(REGEXEXTRACT(C9282,""^(?:https?:\/\/)?(?:[^@\n]+@)?(?:www\.)?([^:\/\n]+)"")),"""")"),"horsebud99.bitbucket.io")</f>
        <v>horsebud99.bitbucket.io</v>
      </c>
      <c r="E9282" s="26" t="str">
        <f ca="1">IFERROR(__xludf.DUMMYFUNCTION("""COMPUTED_VALUE"""),"New")</f>
        <v>New</v>
      </c>
      <c r="F9282" s="72">
        <v>78</v>
      </c>
      <c r="G9282" s="72">
        <v>771050</v>
      </c>
    </row>
    <row r="9283" spans="1:12" ht="14.5">
      <c r="A9283" s="3" t="s">
        <v>9115</v>
      </c>
      <c r="B9283" s="12" t="s">
        <v>2906</v>
      </c>
      <c r="C9283" s="46" t="s">
        <v>9273</v>
      </c>
      <c r="D9283" s="41" t="str">
        <f ca="1">IFERROR(__xludf.DUMMYFUNCTION("IFERROR(ARRAYFORMULA(REGEXEXTRACT(C9283,""^(?:https?:\/\/)?(?:[^@\n]+@)?(?:www\.)?([^:\/\n]+)"")),"""")"),"hoptraveler.com")</f>
        <v>hoptraveler.com</v>
      </c>
      <c r="E9283" s="26" t="str">
        <f ca="1">IFERROR(__xludf.DUMMYFUNCTION("""COMPUTED_VALUE"""),"New")</f>
        <v>New</v>
      </c>
      <c r="F9283" s="72">
        <v>59</v>
      </c>
      <c r="G9283" s="72">
        <v>87123</v>
      </c>
    </row>
    <row r="9284" spans="1:12" ht="14.5" hidden="1">
      <c r="A9284" s="3" t="s">
        <v>9115</v>
      </c>
      <c r="B9284" s="12" t="s">
        <v>2906</v>
      </c>
      <c r="C9284" s="46" t="s">
        <v>9274</v>
      </c>
      <c r="D9284" s="41" t="str">
        <f ca="1">IFERROR(__xludf.DUMMYFUNCTION("IFERROR(ARRAYFORMULA(REGEXEXTRACT(C9284,""^(?:https?:\/\/)?(?:[^@\n]+@)?(?:www\.)?([^:\/\n]+)"")),"""")"),"flyarchitecture.net")</f>
        <v>flyarchitecture.net</v>
      </c>
      <c r="E9284" s="26" t="str">
        <f ca="1">IFERROR(__xludf.DUMMYFUNCTION("""COMPUTED_VALUE"""),"Already Exists")</f>
        <v>Already Exists</v>
      </c>
      <c r="F9284" s="72">
        <v>51</v>
      </c>
      <c r="G9284" s="72">
        <v>1637</v>
      </c>
    </row>
    <row r="9285" spans="1:12" ht="14.5">
      <c r="A9285" s="3" t="s">
        <v>9115</v>
      </c>
      <c r="B9285" s="12" t="s">
        <v>2906</v>
      </c>
      <c r="C9285" s="46" t="s">
        <v>9275</v>
      </c>
      <c r="D9285" s="41" t="str">
        <f ca="1">IFERROR(__xludf.DUMMYFUNCTION("IFERROR(ARRAYFORMULA(REGEXEXTRACT(C9285,""^(?:https?:\/\/)?(?:[^@\n]+@)?(?:www\.)?([^:\/\n]+)"")),"""")"),"medigy.com")</f>
        <v>medigy.com</v>
      </c>
      <c r="E9285" s="26" t="str">
        <f ca="1">IFERROR(__xludf.DUMMYFUNCTION("""COMPUTED_VALUE"""),"New")</f>
        <v>New</v>
      </c>
      <c r="F9285" s="72">
        <v>33</v>
      </c>
      <c r="G9285" s="72">
        <v>1591</v>
      </c>
    </row>
    <row r="9286" spans="1:12" ht="14.5">
      <c r="A9286" s="3" t="s">
        <v>9115</v>
      </c>
      <c r="B9286" s="12" t="s">
        <v>2906</v>
      </c>
      <c r="C9286" s="46" t="s">
        <v>9276</v>
      </c>
      <c r="D9286" s="41" t="str">
        <f ca="1">IFERROR(__xludf.DUMMYFUNCTION("IFERROR(ARRAYFORMULA(REGEXEXTRACT(C9286,""^(?:https?:\/\/)?(?:[^@\n]+@)?(?:www\.)?([^:\/\n]+)"")),"""")"),"blockbath71.pythonanywhere.com")</f>
        <v>blockbath71.pythonanywhere.com</v>
      </c>
      <c r="E9286" s="26" t="str">
        <f ca="1">IFERROR(__xludf.DUMMYFUNCTION("""COMPUTED_VALUE"""),"New")</f>
        <v>New</v>
      </c>
      <c r="F9286" s="72">
        <v>82</v>
      </c>
      <c r="G9286" s="72">
        <v>110355</v>
      </c>
    </row>
    <row r="9287" spans="1:12" ht="14.5">
      <c r="A9287" s="3" t="s">
        <v>9115</v>
      </c>
      <c r="B9287" s="12" t="s">
        <v>2906</v>
      </c>
      <c r="C9287" s="46" t="s">
        <v>9277</v>
      </c>
      <c r="D9287" s="41" t="str">
        <f ca="1">IFERROR(__xludf.DUMMYFUNCTION("IFERROR(ARRAYFORMULA(REGEXEXTRACT(C9287,""^(?:https?:\/\/)?(?:[^@\n]+@)?(?:www\.)?([^:\/\n]+)"")),"""")"),"radiologykey.com")</f>
        <v>radiologykey.com</v>
      </c>
      <c r="E9287" s="26" t="str">
        <f ca="1">IFERROR(__xludf.DUMMYFUNCTION("""COMPUTED_VALUE"""),"New")</f>
        <v>New</v>
      </c>
      <c r="F9287" s="72">
        <v>47</v>
      </c>
      <c r="G9287" s="72">
        <v>22514</v>
      </c>
    </row>
    <row r="9288" spans="1:12" ht="14.5">
      <c r="A9288" s="3" t="s">
        <v>9115</v>
      </c>
      <c r="B9288" s="12" t="s">
        <v>2906</v>
      </c>
      <c r="C9288" s="46" t="s">
        <v>9278</v>
      </c>
      <c r="D9288" s="41" t="str">
        <f ca="1">IFERROR(__xludf.DUMMYFUNCTION("IFERROR(ARRAYFORMULA(REGEXEXTRACT(C9288,""^(?:https?:\/\/)?(?:[^@\n]+@)?(?:www\.)?([^:\/\n]+)"")),"""")"),"writeraccess.com")</f>
        <v>writeraccess.com</v>
      </c>
      <c r="E9288" s="26" t="str">
        <f ca="1">IFERROR(__xludf.DUMMYFUNCTION("""COMPUTED_VALUE"""),"New")</f>
        <v>New</v>
      </c>
      <c r="F9288" s="72">
        <v>72</v>
      </c>
      <c r="G9288" s="72">
        <v>4745</v>
      </c>
    </row>
    <row r="9289" spans="1:12" ht="14.5" hidden="1">
      <c r="A9289" s="3" t="s">
        <v>9115</v>
      </c>
      <c r="B9289" s="12" t="s">
        <v>2906</v>
      </c>
      <c r="C9289" s="46" t="s">
        <v>9279</v>
      </c>
      <c r="D9289" s="41" t="str">
        <f ca="1">IFERROR(__xludf.DUMMYFUNCTION("IFERROR(ARRAYFORMULA(REGEXEXTRACT(C9289,""^(?:https?:\/\/)?(?:[^@\n]+@)?(?:www\.)?([^:\/\n]+)"")),"""")"),"thatericalper.com")</f>
        <v>thatericalper.com</v>
      </c>
      <c r="E9289" s="26" t="str">
        <f ca="1">IFERROR(__xludf.DUMMYFUNCTION("""COMPUTED_VALUE"""),"Already Exists")</f>
        <v>Already Exists</v>
      </c>
      <c r="F9289" s="72">
        <v>60</v>
      </c>
      <c r="G9289" s="72">
        <v>12126</v>
      </c>
    </row>
    <row r="9290" spans="1:12" ht="14.5">
      <c r="A9290" s="3" t="s">
        <v>9115</v>
      </c>
      <c r="B9290" s="12" t="s">
        <v>2906</v>
      </c>
      <c r="C9290" s="46" t="s">
        <v>9280</v>
      </c>
      <c r="D9290" s="41" t="str">
        <f ca="1">IFERROR(__xludf.DUMMYFUNCTION("IFERROR(ARRAYFORMULA(REGEXEXTRACT(C9290,""^(?:https?:\/\/)?(?:[^@\n]+@)?(?:www\.)?([^:\/\n]+)"")),"""")"),"carinsuranseau.web.app")</f>
        <v>carinsuranseau.web.app</v>
      </c>
      <c r="E9290" s="26" t="str">
        <f ca="1">IFERROR(__xludf.DUMMYFUNCTION("""COMPUTED_VALUE"""),"New")</f>
        <v>New</v>
      </c>
      <c r="F9290" s="72">
        <v>91</v>
      </c>
      <c r="G9290" s="72">
        <v>620985</v>
      </c>
    </row>
    <row r="9291" spans="1:12" ht="14.5" hidden="1">
      <c r="A9291" s="3" t="s">
        <v>9115</v>
      </c>
      <c r="B9291" s="12" t="s">
        <v>2906</v>
      </c>
      <c r="C9291" s="46" t="s">
        <v>9281</v>
      </c>
      <c r="D9291" s="41" t="str">
        <f ca="1">IFERROR(__xludf.DUMMYFUNCTION("IFERROR(ARRAYFORMULA(REGEXEXTRACT(C9291,""^(?:https?:\/\/)?(?:[^@\n]+@)?(?:www\.)?([^:\/\n]+)"")),"""")"),"ccr-mag.com")</f>
        <v>ccr-mag.com</v>
      </c>
      <c r="E9291" s="26" t="str">
        <f ca="1">IFERROR(__xludf.DUMMYFUNCTION("""COMPUTED_VALUE"""),"Already Exists")</f>
        <v>Already Exists</v>
      </c>
      <c r="F9291" s="72">
        <v>64</v>
      </c>
      <c r="G9291" s="72">
        <v>2653</v>
      </c>
    </row>
    <row r="9292" spans="1:12" ht="14.5">
      <c r="A9292" s="3" t="s">
        <v>9115</v>
      </c>
      <c r="B9292" s="12" t="s">
        <v>2906</v>
      </c>
      <c r="C9292" s="46" t="s">
        <v>9282</v>
      </c>
      <c r="D9292" s="41" t="str">
        <f ca="1">IFERROR(__xludf.DUMMYFUNCTION("IFERROR(ARRAYFORMULA(REGEXEXTRACT(C9292,""^(?:https?:\/\/)?(?:[^@\n]+@)?(?:www\.)?([^:\/\n]+)"")),"""")"),"objectstorage.us-chicago-1.oraclecloud.com")</f>
        <v>objectstorage.us-chicago-1.oraclecloud.com</v>
      </c>
      <c r="E9292" s="26" t="str">
        <f ca="1">IFERROR(__xludf.DUMMYFUNCTION("""COMPUTED_VALUE"""),"New")</f>
        <v>New</v>
      </c>
      <c r="F9292" s="72">
        <v>88</v>
      </c>
      <c r="G9292" s="72">
        <v>656224</v>
      </c>
    </row>
    <row r="9293" spans="1:12" ht="14.5">
      <c r="A9293" s="3" t="s">
        <v>9115</v>
      </c>
      <c r="B9293" s="12" t="s">
        <v>2906</v>
      </c>
      <c r="C9293" s="46" t="s">
        <v>9283</v>
      </c>
      <c r="D9293" s="41" t="str">
        <f ca="1">IFERROR(__xludf.DUMMYFUNCTION("IFERROR(ARRAYFORMULA(REGEXEXTRACT(C9293,""^(?:https?:\/\/)?(?:[^@\n]+@)?(?:www\.)?([^:\/\n]+)"")),"""")"),"267820.8b.io")</f>
        <v>267820.8b.io</v>
      </c>
      <c r="E9293" s="26" t="str">
        <f ca="1">IFERROR(__xludf.DUMMYFUNCTION("""COMPUTED_VALUE"""),"New")</f>
        <v>New</v>
      </c>
      <c r="F9293" s="72">
        <v>71</v>
      </c>
      <c r="G9293" s="72">
        <v>26368</v>
      </c>
    </row>
    <row r="9294" spans="1:12" ht="14.5">
      <c r="A9294" s="3" t="s">
        <v>9115</v>
      </c>
      <c r="B9294" s="12" t="s">
        <v>2906</v>
      </c>
      <c r="C9294" s="46" t="s">
        <v>9284</v>
      </c>
      <c r="D9294" s="41" t="str">
        <f ca="1">IFERROR(__xludf.DUMMYFUNCTION("IFERROR(ARRAYFORMULA(REGEXEXTRACT(C9294,""^(?:https?:\/\/)?(?:[^@\n]+@)?(?:www\.)?([^:\/\n]+)"")),"""")"),"featured.com")</f>
        <v>featured.com</v>
      </c>
      <c r="E9294" s="26" t="str">
        <f ca="1">IFERROR(__xludf.DUMMYFUNCTION("""COMPUTED_VALUE"""),"New")</f>
        <v>New</v>
      </c>
      <c r="F9294" s="72">
        <v>72</v>
      </c>
      <c r="G9294" s="72">
        <v>12191</v>
      </c>
    </row>
    <row r="9295" spans="1:12" ht="14.5">
      <c r="A9295" s="3" t="s">
        <v>9115</v>
      </c>
      <c r="B9295" s="12" t="s">
        <v>2906</v>
      </c>
      <c r="C9295" s="46" t="s">
        <v>9285</v>
      </c>
      <c r="D9295" s="41" t="str">
        <f ca="1">IFERROR(__xludf.DUMMYFUNCTION("IFERROR(ARRAYFORMULA(REGEXEXTRACT(C9295,""^(?:https?:\/\/)?(?:[^@\n]+@)?(?:www\.)?([^:\/\n]+)"")),"""")"),"save.ca")</f>
        <v>save.ca</v>
      </c>
      <c r="E9295" s="26" t="str">
        <f ca="1">IFERROR(__xludf.DUMMYFUNCTION("""COMPUTED_VALUE"""),"New")</f>
        <v>New</v>
      </c>
      <c r="F9295" s="72">
        <v>49</v>
      </c>
      <c r="G9295" s="72">
        <v>2518</v>
      </c>
    </row>
    <row r="9296" spans="1:12" ht="14.5">
      <c r="A9296" s="3" t="s">
        <v>9115</v>
      </c>
      <c r="B9296" s="12" t="s">
        <v>2906</v>
      </c>
      <c r="C9296" s="46" t="s">
        <v>9286</v>
      </c>
      <c r="D9296" s="41" t="str">
        <f ca="1">IFERROR(__xludf.DUMMYFUNCTION("IFERROR(ARRAYFORMULA(REGEXEXTRACT(C9296,""^(?:https?:\/\/)?(?:[^@\n]+@)?(?:www\.)?([^:\/\n]+)"")),"""")"),"womensnetwork.com.au")</f>
        <v>womensnetwork.com.au</v>
      </c>
      <c r="E9296" s="26" t="str">
        <f ca="1">IFERROR(__xludf.DUMMYFUNCTION("""COMPUTED_VALUE"""),"New")</f>
        <v>New</v>
      </c>
      <c r="F9296" s="72">
        <v>45</v>
      </c>
      <c r="G9296" s="72">
        <v>1668</v>
      </c>
      <c r="H9296" s="27" t="s">
        <v>9287</v>
      </c>
      <c r="I9296" s="27" t="s">
        <v>9288</v>
      </c>
      <c r="J9296" s="27" t="s">
        <v>9289</v>
      </c>
      <c r="K9296" s="27" t="s">
        <v>3772</v>
      </c>
      <c r="L9296" s="112"/>
    </row>
    <row r="9297" spans="1:7" ht="14.5" hidden="1">
      <c r="A9297" s="3" t="s">
        <v>9115</v>
      </c>
      <c r="B9297" s="12" t="s">
        <v>2906</v>
      </c>
      <c r="C9297" s="46" t="s">
        <v>9290</v>
      </c>
      <c r="D9297" s="41" t="str">
        <f ca="1">IFERROR(__xludf.DUMMYFUNCTION("IFERROR(ARRAYFORMULA(REGEXEXTRACT(C9297,""^(?:https?:\/\/)?(?:[^@\n]+@)?(?:www\.)?([^:\/\n]+)"")),"""")"),"luxurylifestyle.com")</f>
        <v>luxurylifestyle.com</v>
      </c>
      <c r="E9297" s="26" t="str">
        <f ca="1">IFERROR(__xludf.DUMMYFUNCTION("""COMPUTED_VALUE"""),"Already Exists")</f>
        <v>Already Exists</v>
      </c>
      <c r="F9297" s="72">
        <v>44</v>
      </c>
      <c r="G9297" s="72">
        <v>2025</v>
      </c>
    </row>
    <row r="9298" spans="1:7" ht="14.5">
      <c r="A9298" s="3" t="s">
        <v>9115</v>
      </c>
      <c r="B9298" s="12" t="s">
        <v>2906</v>
      </c>
      <c r="C9298" s="46" t="s">
        <v>9291</v>
      </c>
      <c r="D9298" s="41" t="str">
        <f ca="1">IFERROR(__xludf.DUMMYFUNCTION("IFERROR(ARRAYFORMULA(REGEXEXTRACT(C9298,""^(?:https?:\/\/)?(?:[^@\n]+@)?(?:www\.)?([^:\/\n]+)"")),"""")"),"airlinesofficialsite-21.webselfsite.net")</f>
        <v>airlinesofficialsite-21.webselfsite.net</v>
      </c>
      <c r="E9298" s="26" t="str">
        <f ca="1">IFERROR(__xludf.DUMMYFUNCTION("""COMPUTED_VALUE"""),"New")</f>
        <v>New</v>
      </c>
      <c r="F9298" s="72">
        <v>73</v>
      </c>
      <c r="G9298" s="72">
        <v>25371</v>
      </c>
    </row>
    <row r="9299" spans="1:7" ht="14.5">
      <c r="A9299" s="3" t="s">
        <v>9115</v>
      </c>
      <c r="B9299" s="12" t="s">
        <v>2906</v>
      </c>
      <c r="C9299" s="46" t="s">
        <v>9292</v>
      </c>
      <c r="D9299" s="41" t="str">
        <f ca="1">IFERROR(__xludf.DUMMYFUNCTION("IFERROR(ARRAYFORMULA(REGEXEXTRACT(C9299,""^(?:https?:\/\/)?(?:[^@\n]+@)?(?:www\.)?([^:\/\n]+)"")),"""")"),"deanpbhp081.godaddysites.com")</f>
        <v>deanpbhp081.godaddysites.com</v>
      </c>
      <c r="E9299" s="26" t="str">
        <f ca="1">IFERROR(__xludf.DUMMYFUNCTION("""COMPUTED_VALUE"""),"New")</f>
        <v>New</v>
      </c>
      <c r="F9299" s="72">
        <v>88</v>
      </c>
      <c r="G9299" s="72">
        <v>270502</v>
      </c>
    </row>
    <row r="9300" spans="1:7" ht="14.5" hidden="1">
      <c r="A9300" s="3" t="s">
        <v>9115</v>
      </c>
      <c r="B9300" s="12" t="s">
        <v>2906</v>
      </c>
      <c r="C9300" s="46" t="s">
        <v>9293</v>
      </c>
      <c r="D9300" s="41" t="str">
        <f ca="1">IFERROR(__xludf.DUMMYFUNCTION("IFERROR(ARRAYFORMULA(REGEXEXTRACT(C9300,""^(?:https?:\/\/)?(?:[^@\n]+@)?(?:www\.)?([^:\/\n]+)"")),"""")"),"geekextreme.com")</f>
        <v>geekextreme.com</v>
      </c>
      <c r="E9300" s="26" t="str">
        <f ca="1">IFERROR(__xludf.DUMMYFUNCTION("""COMPUTED_VALUE"""),"Already Exists")</f>
        <v>Already Exists</v>
      </c>
      <c r="F9300" s="72">
        <v>43</v>
      </c>
      <c r="G9300" s="72">
        <v>3497</v>
      </c>
    </row>
    <row r="9301" spans="1:7" ht="14.5">
      <c r="A9301" s="3" t="s">
        <v>9115</v>
      </c>
      <c r="B9301" s="12" t="s">
        <v>2906</v>
      </c>
      <c r="C9301" s="46" t="s">
        <v>9294</v>
      </c>
      <c r="D9301" s="41" t="str">
        <f ca="1">IFERROR(__xludf.DUMMYFUNCTION("IFERROR(ARRAYFORMULA(REGEXEXTRACT(C9301,""^(?:https?:\/\/)?(?:[^@\n]+@)?(?:www\.)?([^:\/\n]+)"")),"""")"),"eugene-mcintyre8209.firebaseapp.com")</f>
        <v>eugene-mcintyre8209.firebaseapp.com</v>
      </c>
      <c r="E9301" s="26" t="str">
        <f ca="1">IFERROR(__xludf.DUMMYFUNCTION("""COMPUTED_VALUE"""),"New")</f>
        <v>New</v>
      </c>
      <c r="F9301" s="72">
        <v>87</v>
      </c>
      <c r="G9301" s="72">
        <v>68985</v>
      </c>
    </row>
    <row r="9302" spans="1:7" ht="14.5">
      <c r="A9302" s="3" t="s">
        <v>9115</v>
      </c>
      <c r="B9302" s="12" t="s">
        <v>2906</v>
      </c>
      <c r="C9302" s="46" t="s">
        <v>9295</v>
      </c>
      <c r="D9302" s="41" t="str">
        <f ca="1">IFERROR(__xludf.DUMMYFUNCTION("IFERROR(ARRAYFORMULA(REGEXEXTRACT(C9302,""^(?:https?:\/\/)?(?:[^@\n]+@)?(?:www\.)?([^:\/\n]+)"")),"""")"),"geekvibesnation.com")</f>
        <v>geekvibesnation.com</v>
      </c>
      <c r="E9302" s="26" t="str">
        <f ca="1">IFERROR(__xludf.DUMMYFUNCTION("""COMPUTED_VALUE"""),"New")</f>
        <v>New</v>
      </c>
      <c r="F9302" s="72">
        <v>57</v>
      </c>
      <c r="G9302" s="72">
        <v>16534</v>
      </c>
    </row>
    <row r="9303" spans="1:7" ht="14.5" hidden="1">
      <c r="A9303" s="3" t="s">
        <v>9115</v>
      </c>
      <c r="B9303" s="12" t="s">
        <v>2906</v>
      </c>
      <c r="C9303" s="46" t="s">
        <v>9296</v>
      </c>
      <c r="D9303" s="41" t="str">
        <f ca="1">IFERROR(__xludf.DUMMYFUNCTION("IFERROR(ARRAYFORMULA(REGEXEXTRACT(C9303,""^(?:https?:\/\/)?(?:[^@\n]+@)?(?:www\.)?([^:\/\n]+)"")),"""")"),"optimisticmommy.com")</f>
        <v>optimisticmommy.com</v>
      </c>
      <c r="E9303" s="26" t="str">
        <f ca="1">IFERROR(__xludf.DUMMYFUNCTION("""COMPUTED_VALUE"""),"Already Exists")</f>
        <v>Already Exists</v>
      </c>
      <c r="F9303" s="72">
        <v>55</v>
      </c>
      <c r="G9303" s="72">
        <v>18438</v>
      </c>
    </row>
    <row r="9304" spans="1:7" ht="14.5">
      <c r="A9304" s="3" t="s">
        <v>9115</v>
      </c>
      <c r="B9304" s="12" t="s">
        <v>2906</v>
      </c>
      <c r="C9304" s="46" t="s">
        <v>9297</v>
      </c>
      <c r="D9304" s="41" t="str">
        <f ca="1">IFERROR(__xludf.DUMMYFUNCTION("IFERROR(ARRAYFORMULA(REGEXEXTRACT(C9304,""^(?:https?:\/\/)?(?:[^@\n]+@)?(?:www\.)?([^:\/\n]+)"")),"""")"),"seo.goover.ai")</f>
        <v>seo.goover.ai</v>
      </c>
      <c r="E9304" s="26" t="str">
        <f ca="1">IFERROR(__xludf.DUMMYFUNCTION("""COMPUTED_VALUE"""),"New")</f>
        <v>New</v>
      </c>
      <c r="F9304" s="72">
        <v>39</v>
      </c>
      <c r="G9304" s="72">
        <v>1483</v>
      </c>
    </row>
    <row r="9305" spans="1:7" ht="14.5">
      <c r="A9305" s="3" t="s">
        <v>9115</v>
      </c>
      <c r="B9305" s="12" t="s">
        <v>2906</v>
      </c>
      <c r="C9305" s="46" t="s">
        <v>9298</v>
      </c>
      <c r="D9305" s="41" t="str">
        <f ca="1">IFERROR(__xludf.DUMMYFUNCTION("IFERROR(ARRAYFORMULA(REGEXEXTRACT(C9305,""^(?:https?:\/\/)?(?:[^@\n]+@)?(?:www\.)?([^:\/\n]+)"")),"""")"),"microfiberwholesale.com")</f>
        <v>microfiberwholesale.com</v>
      </c>
      <c r="E9305" s="26" t="str">
        <f ca="1">IFERROR(__xludf.DUMMYFUNCTION("""COMPUTED_VALUE"""),"New")</f>
        <v>New</v>
      </c>
      <c r="F9305" s="72">
        <v>55</v>
      </c>
      <c r="G9305" s="72">
        <v>29176</v>
      </c>
    </row>
    <row r="9306" spans="1:7" ht="14.5">
      <c r="A9306" s="3" t="s">
        <v>9115</v>
      </c>
      <c r="B9306" s="12" t="s">
        <v>2906</v>
      </c>
      <c r="C9306" s="46" t="s">
        <v>9299</v>
      </c>
      <c r="D9306" s="41" t="str">
        <f ca="1">IFERROR(__xludf.DUMMYFUNCTION("IFERROR(ARRAYFORMULA(REGEXEXTRACT(C9306,""^(?:https?:\/\/)?(?:[^@\n]+@)?(?:www\.)?([^:\/\n]+)"")),"""")"),"eris.yabaleftonline.ng")</f>
        <v>eris.yabaleftonline.ng</v>
      </c>
      <c r="E9306" s="26" t="str">
        <f ca="1">IFERROR(__xludf.DUMMYFUNCTION("""COMPUTED_VALUE"""),"New")</f>
        <v>New</v>
      </c>
      <c r="F9306" s="72">
        <v>39</v>
      </c>
      <c r="G9306" s="72">
        <v>1670</v>
      </c>
    </row>
    <row r="9307" spans="1:7" ht="14.5">
      <c r="A9307" s="3" t="s">
        <v>9115</v>
      </c>
      <c r="B9307" s="12" t="s">
        <v>2906</v>
      </c>
      <c r="C9307" s="46" t="s">
        <v>9300</v>
      </c>
      <c r="D9307" s="41" t="str">
        <f ca="1">IFERROR(__xludf.DUMMYFUNCTION("IFERROR(ARRAYFORMULA(REGEXEXTRACT(C9307,""^(?:https?:\/\/)?(?:[^@\n]+@)?(?:www\.)?([^:\/\n]+)"")),"""")"),"storage.googleapis.com")</f>
        <v>storage.googleapis.com</v>
      </c>
      <c r="E9307" s="26" t="str">
        <f ca="1">IFERROR(__xludf.DUMMYFUNCTION("""COMPUTED_VALUE"""),"New")</f>
        <v>New</v>
      </c>
      <c r="F9307" s="72">
        <v>93</v>
      </c>
      <c r="G9307" s="72">
        <v>346959</v>
      </c>
    </row>
    <row r="9308" spans="1:7" ht="14.5">
      <c r="A9308" s="3" t="s">
        <v>9115</v>
      </c>
      <c r="B9308" s="12" t="s">
        <v>2906</v>
      </c>
      <c r="C9308" s="46" t="s">
        <v>9301</v>
      </c>
      <c r="D9308" s="41" t="str">
        <f ca="1">IFERROR(__xludf.DUMMYFUNCTION("IFERROR(ARRAYFORMULA(REGEXEXTRACT(C9308,""^(?:https?:\/\/)?(?:[^@\n]+@)?(?:www\.)?([^:\/\n]+)"")),"""")"),"admin.phacility.com")</f>
        <v>admin.phacility.com</v>
      </c>
      <c r="E9308" s="26" t="str">
        <f ca="1">IFERROR(__xludf.DUMMYFUNCTION("""COMPUTED_VALUE"""),"New")</f>
        <v>New</v>
      </c>
      <c r="F9308" s="72">
        <v>72</v>
      </c>
      <c r="G9308" s="72">
        <v>1534</v>
      </c>
    </row>
    <row r="9309" spans="1:7" ht="14.5">
      <c r="A9309" s="3" t="s">
        <v>9115</v>
      </c>
      <c r="B9309" s="12" t="s">
        <v>2906</v>
      </c>
      <c r="C9309" s="46" t="s">
        <v>9302</v>
      </c>
      <c r="D9309" s="41" t="str">
        <f ca="1">IFERROR(__xludf.DUMMYFUNCTION("IFERROR(ARRAYFORMULA(REGEXEXTRACT(C9309,""^(?:https?:\/\/)?(?:[^@\n]+@)?(?:www\.)?([^:\/\n]+)"")),"""")"),"herotraveler.com")</f>
        <v>herotraveler.com</v>
      </c>
      <c r="E9309" s="26" t="str">
        <f ca="1">IFERROR(__xludf.DUMMYFUNCTION("""COMPUTED_VALUE"""),"New")</f>
        <v>New</v>
      </c>
      <c r="F9309" s="72">
        <v>25</v>
      </c>
      <c r="G9309" s="72">
        <v>5452</v>
      </c>
    </row>
    <row r="9310" spans="1:7" ht="14.5">
      <c r="A9310" s="3" t="s">
        <v>9115</v>
      </c>
      <c r="B9310" s="12" t="s">
        <v>2906</v>
      </c>
      <c r="C9310" s="46" t="s">
        <v>9303</v>
      </c>
      <c r="D9310" s="41" t="str">
        <f ca="1">IFERROR(__xludf.DUMMYFUNCTION("IFERROR(ARRAYFORMULA(REGEXEXTRACT(C9310,""^(?:https?:\/\/)?(?:[^@\n]+@)?(?:www\.)?([^:\/\n]+)"")),"""")"),"fbsp.ftu.edu.vn")</f>
        <v>fbsp.ftu.edu.vn</v>
      </c>
      <c r="E9310" s="26" t="str">
        <f ca="1">IFERROR(__xludf.DUMMYFUNCTION("""COMPUTED_VALUE"""),"New")</f>
        <v>New</v>
      </c>
      <c r="F9310" s="72">
        <v>65</v>
      </c>
      <c r="G9310" s="72">
        <v>42034</v>
      </c>
    </row>
    <row r="9311" spans="1:7" ht="14.5">
      <c r="A9311" s="3" t="s">
        <v>9115</v>
      </c>
      <c r="B9311" s="12" t="s">
        <v>2906</v>
      </c>
      <c r="C9311" s="46" t="s">
        <v>9304</v>
      </c>
      <c r="D9311" s="41" t="str">
        <f ca="1">IFERROR(__xludf.DUMMYFUNCTION("IFERROR(ARRAYFORMULA(REGEXEXTRACT(C9311,""^(?:https?:\/\/)?(?:[^@\n]+@)?(?:www\.)?([^:\/\n]+)"")),"""")"),"fpgeeks.com")</f>
        <v>fpgeeks.com</v>
      </c>
      <c r="E9311" s="26" t="str">
        <f ca="1">IFERROR(__xludf.DUMMYFUNCTION("""COMPUTED_VALUE"""),"New")</f>
        <v>New</v>
      </c>
      <c r="F9311" s="72">
        <v>40</v>
      </c>
      <c r="G9311" s="72">
        <v>3397</v>
      </c>
    </row>
    <row r="9312" spans="1:7" ht="14.5">
      <c r="A9312" s="3" t="s">
        <v>9115</v>
      </c>
      <c r="B9312" s="12" t="s">
        <v>2906</v>
      </c>
      <c r="C9312" s="46" t="s">
        <v>9305</v>
      </c>
      <c r="D9312" s="41" t="str">
        <f ca="1">IFERROR(__xludf.DUMMYFUNCTION("IFERROR(ARRAYFORMULA(REGEXEXTRACT(C9312,""^(?:https?:\/\/)?(?:[^@\n]+@)?(?:www\.)?([^:\/\n]+)"")),"""")"),"instapaper.com")</f>
        <v>instapaper.com</v>
      </c>
      <c r="E9312" s="26" t="str">
        <f ca="1">IFERROR(__xludf.DUMMYFUNCTION("""COMPUTED_VALUE"""),"New")</f>
        <v>New</v>
      </c>
      <c r="F9312" s="72">
        <v>82</v>
      </c>
      <c r="G9312" s="72">
        <v>11956</v>
      </c>
    </row>
    <row r="9313" spans="1:7" ht="14.5">
      <c r="A9313" s="3" t="s">
        <v>9115</v>
      </c>
      <c r="B9313" s="12" t="s">
        <v>2906</v>
      </c>
      <c r="C9313" s="46" t="s">
        <v>9306</v>
      </c>
      <c r="D9313" s="41" t="str">
        <f ca="1">IFERROR(__xludf.DUMMYFUNCTION("IFERROR(ARRAYFORMULA(REGEXEXTRACT(C9313,""^(?:https?:\/\/)?(?:[^@\n]+@)?(?:www\.)?([^:\/\n]+)"")),"""")"),"bernadettesutherlandvxp.mystrikingly.com")</f>
        <v>bernadettesutherlandvxp.mystrikingly.com</v>
      </c>
      <c r="E9313" s="26" t="str">
        <f ca="1">IFERROR(__xludf.DUMMYFUNCTION("""COMPUTED_VALUE"""),"New")</f>
        <v>New</v>
      </c>
      <c r="F9313" s="72">
        <v>89</v>
      </c>
      <c r="G9313" s="72">
        <v>391459</v>
      </c>
    </row>
    <row r="9314" spans="1:7" ht="14.5">
      <c r="A9314" s="3" t="s">
        <v>9115</v>
      </c>
      <c r="B9314" s="12" t="s">
        <v>2906</v>
      </c>
      <c r="C9314" s="46" t="s">
        <v>9307</v>
      </c>
      <c r="D9314" s="41" t="str">
        <f ca="1">IFERROR(__xludf.DUMMYFUNCTION("IFERROR(ARRAYFORMULA(REGEXEXTRACT(C9314,""^(?:https?:\/\/)?(?:[^@\n]+@)?(?:www\.)?([^:\/\n]+)"")),"""")"),"forum.programosy.pl")</f>
        <v>forum.programosy.pl</v>
      </c>
      <c r="E9314" s="26" t="str">
        <f ca="1">IFERROR(__xludf.DUMMYFUNCTION("""COMPUTED_VALUE"""),"New")</f>
        <v>New</v>
      </c>
      <c r="F9314" s="72">
        <v>61</v>
      </c>
      <c r="G9314" s="72">
        <v>5441</v>
      </c>
    </row>
    <row r="9315" spans="1:7" ht="14.5">
      <c r="A9315" s="3" t="s">
        <v>9115</v>
      </c>
      <c r="B9315" s="12" t="s">
        <v>2906</v>
      </c>
      <c r="C9315" s="46" t="s">
        <v>9308</v>
      </c>
      <c r="D9315" s="41" t="str">
        <f ca="1">IFERROR(__xludf.DUMMYFUNCTION("IFERROR(ARRAYFORMULA(REGEXEXTRACT(C9315,""^(?:https?:\/\/)?(?:[^@\n]+@)?(?:www\.)?([^:\/\n]+)"")),"""")"),"naturehike.com")</f>
        <v>naturehike.com</v>
      </c>
      <c r="E9315" s="26" t="str">
        <f ca="1">IFERROR(__xludf.DUMMYFUNCTION("""COMPUTED_VALUE"""),"New")</f>
        <v>New</v>
      </c>
      <c r="F9315" s="72">
        <v>46</v>
      </c>
      <c r="G9315" s="72">
        <v>40546</v>
      </c>
    </row>
    <row r="9316" spans="1:7" ht="14.5">
      <c r="A9316" s="3" t="s">
        <v>9115</v>
      </c>
      <c r="B9316" s="12" t="s">
        <v>2906</v>
      </c>
      <c r="C9316" s="46" t="s">
        <v>9309</v>
      </c>
      <c r="D9316" s="41" t="str">
        <f ca="1">IFERROR(__xludf.DUMMYFUNCTION("IFERROR(ARRAYFORMULA(REGEXEXTRACT(C9316,""^(?:https?:\/\/)?(?:[^@\n]+@)?(?:www\.)?([^:\/\n]+)"")),"""")"),"prettyopinionated.com")</f>
        <v>prettyopinionated.com</v>
      </c>
      <c r="E9316" s="26" t="str">
        <f ca="1">IFERROR(__xludf.DUMMYFUNCTION("""COMPUTED_VALUE"""),"New")</f>
        <v>New</v>
      </c>
      <c r="F9316" s="72">
        <v>38</v>
      </c>
      <c r="G9316" s="72">
        <v>4103</v>
      </c>
    </row>
    <row r="9317" spans="1:7" ht="14.5">
      <c r="A9317" s="3" t="s">
        <v>9115</v>
      </c>
      <c r="B9317" s="12" t="s">
        <v>2906</v>
      </c>
      <c r="C9317" s="46" t="s">
        <v>9310</v>
      </c>
      <c r="D9317" s="41" t="str">
        <f ca="1">IFERROR(__xludf.DUMMYFUNCTION("IFERROR(ARRAYFORMULA(REGEXEXTRACT(C9317,""^(?:https?:\/\/)?(?:[^@\n]+@)?(?:www\.)?([^:\/\n]+)"")),"""")"),"Haedongacademy.org")</f>
        <v>Haedongacademy.org</v>
      </c>
      <c r="E9317" s="26" t="str">
        <f ca="1">IFERROR(__xludf.DUMMYFUNCTION("""COMPUTED_VALUE"""),"New")</f>
        <v>New</v>
      </c>
      <c r="F9317" s="72">
        <v>64</v>
      </c>
      <c r="G9317" s="72">
        <v>1033</v>
      </c>
    </row>
    <row r="9318" spans="1:7" ht="14.5">
      <c r="A9318" s="3" t="s">
        <v>9115</v>
      </c>
      <c r="B9318" s="12" t="s">
        <v>2906</v>
      </c>
      <c r="C9318" s="46" t="s">
        <v>9311</v>
      </c>
      <c r="D9318" s="41" t="str">
        <f ca="1">IFERROR(__xludf.DUMMYFUNCTION("IFERROR(ARRAYFORMULA(REGEXEXTRACT(C9318,""^(?:https?:\/\/)?(?:[^@\n]+@)?(?:www\.)?([^:\/\n]+)"")),"""")"),"arenabg.com")</f>
        <v>arenabg.com</v>
      </c>
      <c r="E9318" s="26" t="str">
        <f ca="1">IFERROR(__xludf.DUMMYFUNCTION("""COMPUTED_VALUE"""),"New")</f>
        <v>New</v>
      </c>
      <c r="F9318" s="72">
        <v>34</v>
      </c>
      <c r="G9318" s="72">
        <v>7458</v>
      </c>
    </row>
    <row r="9319" spans="1:7" ht="14.5">
      <c r="A9319" s="3" t="s">
        <v>9115</v>
      </c>
      <c r="B9319" s="12" t="s">
        <v>2906</v>
      </c>
      <c r="C9319" s="46" t="s">
        <v>9312</v>
      </c>
      <c r="D9319" s="41" t="str">
        <f ca="1">IFERROR(__xludf.DUMMYFUNCTION("IFERROR(ARRAYFORMULA(REGEXEXTRACT(C9319,""^(?:https?:\/\/)?(?:[^@\n]+@)?(?:www\.)?([^:\/\n]+)"")),"""")"),"4.bing.com")</f>
        <v>4.bing.com</v>
      </c>
      <c r="E9319" s="26" t="str">
        <f ca="1">IFERROR(__xludf.DUMMYFUNCTION("""COMPUTED_VALUE"""),"New")</f>
        <v>New</v>
      </c>
      <c r="F9319" s="72">
        <v>93</v>
      </c>
      <c r="G9319" s="72">
        <v>14799014</v>
      </c>
    </row>
    <row r="9320" spans="1:7" ht="14.5">
      <c r="A9320" s="3" t="s">
        <v>9115</v>
      </c>
      <c r="B9320" s="12" t="s">
        <v>2906</v>
      </c>
      <c r="C9320" s="46" t="s">
        <v>9313</v>
      </c>
      <c r="D9320" s="41" t="str">
        <f ca="1">IFERROR(__xludf.DUMMYFUNCTION("IFERROR(ARRAYFORMULA(REGEXEXTRACT(C9320,""^(?:https?:\/\/)?(?:[^@\n]+@)?(?:www\.)?([^:\/\n]+)"")),"""")"),"espaciodca.fedace.org")</f>
        <v>espaciodca.fedace.org</v>
      </c>
      <c r="E9320" s="26" t="str">
        <f ca="1">IFERROR(__xludf.DUMMYFUNCTION("""COMPUTED_VALUE"""),"New")</f>
        <v>New</v>
      </c>
      <c r="F9320" s="72">
        <v>53</v>
      </c>
      <c r="G9320" s="72">
        <v>1819</v>
      </c>
    </row>
    <row r="9321" spans="1:7" ht="14.5">
      <c r="A9321" s="3" t="s">
        <v>9115</v>
      </c>
      <c r="B9321" s="57" t="s">
        <v>2903</v>
      </c>
      <c r="C9321" s="46" t="s">
        <v>9314</v>
      </c>
      <c r="D9321" s="41" t="str">
        <f ca="1">IFERROR(__xludf.DUMMYFUNCTION("IFERROR(ARRAYFORMULA(REGEXEXTRACT(C9321,""^(?:https?:\/\/)?(?:[^@\n]+@)?(?:www\.)?([^:\/\n]+)"")),"""")"),"aqglassshowerdoorsphoenix-9a71f6.gitlab.io")</f>
        <v>aqglassshowerdoorsphoenix-9a71f6.gitlab.io</v>
      </c>
      <c r="E9321" s="26" t="str">
        <f ca="1">IFERROR(__xludf.DUMMYFUNCTION("""COMPUTED_VALUE"""),"New")</f>
        <v>New</v>
      </c>
      <c r="F9321" s="72">
        <v>89</v>
      </c>
      <c r="G9321" s="72">
        <v>744909</v>
      </c>
    </row>
    <row r="9322" spans="1:7" ht="14.5" hidden="1">
      <c r="A9322" s="3" t="s">
        <v>9115</v>
      </c>
      <c r="B9322" s="12" t="s">
        <v>2903</v>
      </c>
      <c r="C9322" s="46" t="s">
        <v>9315</v>
      </c>
      <c r="D9322" s="41" t="str">
        <f ca="1">IFERROR(__xludf.DUMMYFUNCTION("IFERROR(ARRAYFORMULA(REGEXEXTRACT(C9322,""^(?:https?:\/\/)?(?:[^@\n]+@)?(?:www\.)?([^:\/\n]+)"")),"""")"),"myinteriorpalace.com")</f>
        <v>myinteriorpalace.com</v>
      </c>
      <c r="E9322" s="26" t="str">
        <f ca="1">IFERROR(__xludf.DUMMYFUNCTION("""COMPUTED_VALUE"""),"Already Exists")</f>
        <v>Already Exists</v>
      </c>
      <c r="F9322" s="72">
        <v>61</v>
      </c>
      <c r="G9322" s="72">
        <v>1983</v>
      </c>
    </row>
    <row r="9323" spans="1:7" ht="14.5" hidden="1">
      <c r="A9323" s="3" t="s">
        <v>9115</v>
      </c>
      <c r="B9323" s="12" t="s">
        <v>2903</v>
      </c>
      <c r="C9323" s="46" t="s">
        <v>9316</v>
      </c>
      <c r="D9323" s="41" t="str">
        <f ca="1">IFERROR(__xludf.DUMMYFUNCTION("IFERROR(ARRAYFORMULA(REGEXEXTRACT(C9323,""^(?:https?:\/\/)?(?:[^@\n]+@)?(?:www\.)?([^:\/\n]+)"")),"""")"),"alittledelightful.com")</f>
        <v>alittledelightful.com</v>
      </c>
      <c r="E9323" s="26" t="str">
        <f ca="1">IFERROR(__xludf.DUMMYFUNCTION("""COMPUTED_VALUE"""),"Already Exists")</f>
        <v>Already Exists</v>
      </c>
      <c r="F9323" s="72">
        <v>65</v>
      </c>
      <c r="G9323" s="72">
        <v>13997</v>
      </c>
    </row>
    <row r="9324" spans="1:7" ht="14.5">
      <c r="A9324" s="3" t="s">
        <v>9115</v>
      </c>
      <c r="B9324" s="12" t="s">
        <v>2903</v>
      </c>
      <c r="C9324" s="46" t="s">
        <v>9317</v>
      </c>
      <c r="D9324" s="41" t="str">
        <f ca="1">IFERROR(__xludf.DUMMYFUNCTION("IFERROR(ARRAYFORMULA(REGEXEXTRACT(C9324,""^(?:https?:\/\/)?(?:[^@\n]+@)?(?:www\.)?([^:\/\n]+)"")),"""")"),"psbios.com")</f>
        <v>psbios.com</v>
      </c>
      <c r="E9324" s="26" t="str">
        <f ca="1">IFERROR(__xludf.DUMMYFUNCTION("""COMPUTED_VALUE"""),"New")</f>
        <v>New</v>
      </c>
      <c r="F9324" s="72">
        <v>63</v>
      </c>
      <c r="G9324" s="72">
        <v>19029</v>
      </c>
    </row>
    <row r="9325" spans="1:7" ht="14.5" hidden="1">
      <c r="A9325" s="3" t="s">
        <v>9115</v>
      </c>
      <c r="B9325" s="12" t="s">
        <v>2903</v>
      </c>
      <c r="C9325" s="46" t="s">
        <v>9318</v>
      </c>
      <c r="D9325" s="41" t="str">
        <f ca="1">IFERROR(__xludf.DUMMYFUNCTION("IFERROR(ARRAYFORMULA(REGEXEXTRACT(C9325,""^(?:https?:\/\/)?(?:[^@\n]+@)?(?:www\.)?([^:\/\n]+)"")),"""")"),"opplehouse.com")</f>
        <v>opplehouse.com</v>
      </c>
      <c r="E9325" s="26" t="str">
        <f ca="1">IFERROR(__xludf.DUMMYFUNCTION("""COMPUTED_VALUE"""),"Already Exists")</f>
        <v>Already Exists</v>
      </c>
      <c r="F9325" s="72">
        <v>59</v>
      </c>
      <c r="G9325" s="72">
        <v>2999</v>
      </c>
    </row>
    <row r="9326" spans="1:7" ht="14.5">
      <c r="A9326" s="3" t="s">
        <v>9115</v>
      </c>
      <c r="B9326" s="12" t="s">
        <v>2903</v>
      </c>
      <c r="C9326" s="46" t="s">
        <v>9319</v>
      </c>
      <c r="D9326" s="41" t="str">
        <f ca="1">IFERROR(__xludf.DUMMYFUNCTION("IFERROR(ARRAYFORMULA(REGEXEXTRACT(C9326,""^(?:https?:\/\/)?(?:[^@\n]+@)?(?:www\.)?([^:\/\n]+)"")),"""")"),"laterza.it")</f>
        <v>laterza.it</v>
      </c>
      <c r="E9326" s="26" t="str">
        <f ca="1">IFERROR(__xludf.DUMMYFUNCTION("""COMPUTED_VALUE"""),"New")</f>
        <v>New</v>
      </c>
      <c r="F9326" s="72">
        <v>66</v>
      </c>
      <c r="G9326" s="72">
        <v>6911</v>
      </c>
    </row>
    <row r="9327" spans="1:7" ht="14.5">
      <c r="A9327" s="3" t="s">
        <v>9115</v>
      </c>
      <c r="B9327" s="12" t="s">
        <v>2903</v>
      </c>
      <c r="C9327" s="46" t="s">
        <v>9320</v>
      </c>
      <c r="D9327" s="41" t="str">
        <f ca="1">IFERROR(__xludf.DUMMYFUNCTION("IFERROR(ARRAYFORMULA(REGEXEXTRACT(C9327,""^(?:https?:\/\/)?(?:[^@\n]+@)?(?:www\.)?([^:\/\n]+)"")),"""")"),"azbigmedia.com")</f>
        <v>azbigmedia.com</v>
      </c>
      <c r="E9327" s="26" t="str">
        <f ca="1">IFERROR(__xludf.DUMMYFUNCTION("""COMPUTED_VALUE"""),"New")</f>
        <v>New</v>
      </c>
      <c r="F9327" s="72">
        <v>77</v>
      </c>
      <c r="G9327" s="72">
        <v>10201</v>
      </c>
    </row>
    <row r="9328" spans="1:7" ht="14.5">
      <c r="A9328" s="3" t="s">
        <v>9115</v>
      </c>
      <c r="B9328" s="12" t="s">
        <v>2903</v>
      </c>
      <c r="C9328" s="46" t="s">
        <v>9321</v>
      </c>
      <c r="D9328" s="41" t="str">
        <f ca="1">IFERROR(__xludf.DUMMYFUNCTION("IFERROR(ARRAYFORMULA(REGEXEXTRACT(C9328,""^(?:https?:\/\/)?(?:[^@\n]+@)?(?:www\.)?([^:\/\n]+)"")),"""")"),"discuss.ilw.com")</f>
        <v>discuss.ilw.com</v>
      </c>
      <c r="E9328" s="26" t="str">
        <f ca="1">IFERROR(__xludf.DUMMYFUNCTION("""COMPUTED_VALUE"""),"New")</f>
        <v>New</v>
      </c>
      <c r="F9328" s="72">
        <v>64</v>
      </c>
      <c r="G9328" s="72">
        <v>7351</v>
      </c>
    </row>
    <row r="9329" spans="1:7" ht="14.5">
      <c r="A9329" s="3" t="s">
        <v>9115</v>
      </c>
      <c r="B9329" s="12" t="s">
        <v>2903</v>
      </c>
      <c r="C9329" s="46" t="s">
        <v>9322</v>
      </c>
      <c r="D9329" s="41" t="str">
        <f ca="1">IFERROR(__xludf.DUMMYFUNCTION("IFERROR(ARRAYFORMULA(REGEXEXTRACT(C9329,""^(?:https?:\/\/)?(?:[^@\n]+@)?(?:www\.)?([^:\/\n]+)"")),"""")"),"leeduser.buildinggreen.com")</f>
        <v>leeduser.buildinggreen.com</v>
      </c>
      <c r="E9329" s="26" t="str">
        <f ca="1">IFERROR(__xludf.DUMMYFUNCTION("""COMPUTED_VALUE"""),"New")</f>
        <v>New</v>
      </c>
      <c r="F9329" s="72">
        <v>73</v>
      </c>
      <c r="G9329" s="72">
        <v>3936</v>
      </c>
    </row>
    <row r="9330" spans="1:7" ht="14.5">
      <c r="A9330" s="3" t="s">
        <v>9115</v>
      </c>
      <c r="B9330" s="12" t="s">
        <v>2903</v>
      </c>
      <c r="C9330" s="46" t="s">
        <v>9323</v>
      </c>
      <c r="D9330" s="41" t="str">
        <f ca="1">IFERROR(__xludf.DUMMYFUNCTION("IFERROR(ARRAYFORMULA(REGEXEXTRACT(C9330,""^(?:https?:\/\/)?(?:[^@\n]+@)?(?:www\.)?([^:\/\n]+)"")),"""")"),"merchantcircle.com")</f>
        <v>merchantcircle.com</v>
      </c>
      <c r="E9330" s="26" t="str">
        <f ca="1">IFERROR(__xludf.DUMMYFUNCTION("""COMPUTED_VALUE"""),"New")</f>
        <v>New</v>
      </c>
      <c r="F9330" s="72">
        <v>84</v>
      </c>
      <c r="G9330" s="72">
        <v>5133</v>
      </c>
    </row>
    <row r="9331" spans="1:7" ht="14.5">
      <c r="A9331" s="3" t="s">
        <v>9115</v>
      </c>
      <c r="B9331" s="12" t="s">
        <v>2903</v>
      </c>
      <c r="C9331" s="46" t="s">
        <v>9324</v>
      </c>
      <c r="D9331" s="41" t="str">
        <f ca="1">IFERROR(__xludf.DUMMYFUNCTION("IFERROR(ARRAYFORMULA(REGEXEXTRACT(C9331,""^(?:https?:\/\/)?(?:[^@\n]+@)?(?:www\.)?([^:\/\n]+)"")),"""")"),"provenexpert.com")</f>
        <v>provenexpert.com</v>
      </c>
      <c r="E9331" s="26" t="str">
        <f ca="1">IFERROR(__xludf.DUMMYFUNCTION("""COMPUTED_VALUE"""),"New")</f>
        <v>New</v>
      </c>
      <c r="F9331" s="72">
        <v>91</v>
      </c>
      <c r="G9331" s="72">
        <v>85283</v>
      </c>
    </row>
    <row r="9332" spans="1:7" ht="14.5" hidden="1">
      <c r="A9332" s="3" t="s">
        <v>9115</v>
      </c>
      <c r="B9332" s="12" t="s">
        <v>2903</v>
      </c>
      <c r="C9332" s="46" t="s">
        <v>9325</v>
      </c>
      <c r="D9332" s="41" t="str">
        <f ca="1">IFERROR(__xludf.DUMMYFUNCTION("IFERROR(ARRAYFORMULA(REGEXEXTRACT(C9332,""^(?:https?:\/\/)?(?:[^@\n]+@)?(?:www\.)?([^:\/\n]+)"")),"""")"),"urbansplatter.com")</f>
        <v>urbansplatter.com</v>
      </c>
      <c r="E9332" s="26" t="str">
        <f ca="1">IFERROR(__xludf.DUMMYFUNCTION("""COMPUTED_VALUE"""),"Already Exists")</f>
        <v>Already Exists</v>
      </c>
      <c r="F9332" s="72">
        <v>64</v>
      </c>
      <c r="G9332" s="72">
        <v>24225</v>
      </c>
    </row>
    <row r="9333" spans="1:7" ht="14.5" hidden="1">
      <c r="A9333" s="3" t="s">
        <v>9115</v>
      </c>
      <c r="B9333" s="12" t="s">
        <v>2903</v>
      </c>
      <c r="C9333" s="46" t="s">
        <v>9326</v>
      </c>
      <c r="D9333" s="41" t="str">
        <f ca="1">IFERROR(__xludf.DUMMYFUNCTION("IFERROR(ARRAYFORMULA(REGEXEXTRACT(C9333,""^(?:https?:\/\/)?(?:[^@\n]+@)?(?:www\.)?([^:\/\n]+)"")),"""")"),"resident.com")</f>
        <v>resident.com</v>
      </c>
      <c r="E9333" s="26" t="str">
        <f ca="1">IFERROR(__xludf.DUMMYFUNCTION("""COMPUTED_VALUE"""),"Already Exists")</f>
        <v>Already Exists</v>
      </c>
      <c r="F9333" s="72">
        <v>71</v>
      </c>
      <c r="G9333" s="72">
        <v>29372</v>
      </c>
    </row>
    <row r="9334" spans="1:7" ht="14.5">
      <c r="A9334" s="3" t="s">
        <v>9115</v>
      </c>
      <c r="B9334" s="12" t="s">
        <v>2903</v>
      </c>
      <c r="C9334" s="46" t="s">
        <v>9327</v>
      </c>
      <c r="D9334" s="41" t="str">
        <f ca="1">IFERROR(__xludf.DUMMYFUNCTION("IFERROR(ARRAYFORMULA(REGEXEXTRACT(C9334,""^(?:https?:\/\/)?(?:[^@\n]+@)?(?:www\.)?([^:\/\n]+)"")),"""")"),"aqglassshowerdoorsphoenix.pages.dev")</f>
        <v>aqglassshowerdoorsphoenix.pages.dev</v>
      </c>
      <c r="E9334" s="26" t="str">
        <f ca="1">IFERROR(__xludf.DUMMYFUNCTION("""COMPUTED_VALUE"""),"New")</f>
        <v>New</v>
      </c>
      <c r="F9334" s="72">
        <v>92</v>
      </c>
      <c r="G9334" s="72">
        <v>7412934</v>
      </c>
    </row>
    <row r="9335" spans="1:7" ht="14.5">
      <c r="A9335" s="3" t="s">
        <v>9115</v>
      </c>
      <c r="B9335" s="17" t="s">
        <v>2898</v>
      </c>
      <c r="C9335" s="46" t="s">
        <v>9328</v>
      </c>
      <c r="D9335" s="41" t="str">
        <f ca="1">IFERROR(__xludf.DUMMYFUNCTION("IFERROR(ARRAYFORMULA(REGEXEXTRACT(C9335,""^(?:https?:\/\/)?(?:[^@\n]+@)?(?:www\.)?([^:\/\n]+)"")),"""")"),"mbav.com.au")</f>
        <v>mbav.com.au</v>
      </c>
      <c r="E9335" s="26" t="str">
        <f ca="1">IFERROR(__xludf.DUMMYFUNCTION("""COMPUTED_VALUE"""),"New")</f>
        <v>New</v>
      </c>
      <c r="F9335" s="72">
        <v>71</v>
      </c>
      <c r="G9335" s="72">
        <v>2774</v>
      </c>
    </row>
    <row r="9336" spans="1:7" ht="14.5">
      <c r="A9336" s="3" t="s">
        <v>9115</v>
      </c>
      <c r="B9336" s="12" t="s">
        <v>2898</v>
      </c>
      <c r="C9336" s="46" t="s">
        <v>9329</v>
      </c>
      <c r="D9336" s="41" t="str">
        <f ca="1">IFERROR(__xludf.DUMMYFUNCTION("IFERROR(ARRAYFORMULA(REGEXEXTRACT(C9336,""^(?:https?:\/\/)?(?:[^@\n]+@)?(?:www\.)?([^:\/\n]+)"")),"""")"),"threebirdsrenovations.com")</f>
        <v>threebirdsrenovations.com</v>
      </c>
      <c r="E9336" s="26" t="str">
        <f ca="1">IFERROR(__xludf.DUMMYFUNCTION("""COMPUTED_VALUE"""),"New")</f>
        <v>New</v>
      </c>
      <c r="F9336" s="72">
        <v>59</v>
      </c>
      <c r="G9336" s="72">
        <v>29895</v>
      </c>
    </row>
    <row r="9337" spans="1:7" ht="14.5" hidden="1">
      <c r="A9337" s="3" t="s">
        <v>9115</v>
      </c>
      <c r="B9337" s="12" t="s">
        <v>2898</v>
      </c>
      <c r="C9337" s="46" t="s">
        <v>9330</v>
      </c>
      <c r="D9337" s="41" t="str">
        <f ca="1">IFERROR(__xludf.DUMMYFUNCTION("IFERROR(ARRAYFORMULA(REGEXEXTRACT(C9337,""^(?:https?:\/\/)?(?:[^@\n]+@)?(?:www\.)?([^:\/\n]+)"")),"""")"),"e-architect.com")</f>
        <v>e-architect.com</v>
      </c>
      <c r="E9337" s="26" t="str">
        <f ca="1">IFERROR(__xludf.DUMMYFUNCTION("""COMPUTED_VALUE"""),"Already Exists")</f>
        <v>Already Exists</v>
      </c>
      <c r="F9337" s="72">
        <v>73</v>
      </c>
      <c r="G9337" s="72">
        <v>4051</v>
      </c>
    </row>
    <row r="9338" spans="1:7" ht="14.5" hidden="1">
      <c r="A9338" s="3" t="s">
        <v>9115</v>
      </c>
      <c r="B9338" s="12" t="s">
        <v>2898</v>
      </c>
      <c r="C9338" s="46" t="s">
        <v>9331</v>
      </c>
      <c r="D9338" s="41" t="str">
        <f ca="1">IFERROR(__xludf.DUMMYFUNCTION("IFERROR(ARRAYFORMULA(REGEXEXTRACT(C9338,""^(?:https?:\/\/)?(?:[^@\n]+@)?(?:www\.)?([^:\/\n]+)"")),"""")"),"opplehouse.com")</f>
        <v>opplehouse.com</v>
      </c>
      <c r="E9338" s="26" t="str">
        <f ca="1">IFERROR(__xludf.DUMMYFUNCTION("""COMPUTED_VALUE"""),"Already Exists")</f>
        <v>Already Exists</v>
      </c>
      <c r="F9338" s="72">
        <v>59</v>
      </c>
      <c r="G9338" s="72">
        <v>2999</v>
      </c>
    </row>
    <row r="9339" spans="1:7" ht="14.5" hidden="1">
      <c r="A9339" s="3" t="s">
        <v>9115</v>
      </c>
      <c r="B9339" s="12" t="s">
        <v>2898</v>
      </c>
      <c r="C9339" s="46" t="s">
        <v>9332</v>
      </c>
      <c r="D9339" s="41" t="str">
        <f ca="1">IFERROR(__xludf.DUMMYFUNCTION("IFERROR(ARRAYFORMULA(REGEXEXTRACT(C9339,""^(?:https?:\/\/)?(?:[^@\n]+@)?(?:www\.)?([^:\/\n]+)"")),"""")"),"ahouseinthehills.com")</f>
        <v>ahouseinthehills.com</v>
      </c>
      <c r="E9339" s="26" t="str">
        <f ca="1">IFERROR(__xludf.DUMMYFUNCTION("""COMPUTED_VALUE"""),"Already Exists")</f>
        <v>Already Exists</v>
      </c>
      <c r="F9339" s="72">
        <v>58</v>
      </c>
      <c r="G9339" s="72">
        <v>2861</v>
      </c>
    </row>
    <row r="9340" spans="1:7" ht="14.5">
      <c r="A9340" s="3" t="s">
        <v>9115</v>
      </c>
      <c r="B9340" s="12" t="s">
        <v>2898</v>
      </c>
      <c r="C9340" s="46" t="s">
        <v>9333</v>
      </c>
      <c r="D9340" s="41" t="str">
        <f ca="1">IFERROR(__xludf.DUMMYFUNCTION("IFERROR(ARRAYFORMULA(REGEXEXTRACT(C9340,""^(?:https?:\/\/)?(?:[^@\n]+@)?(?:www\.)?([^:\/\n]+)"")),"""")"),"purelocal.com.au")</f>
        <v>purelocal.com.au</v>
      </c>
      <c r="E9340" s="26" t="str">
        <f ca="1">IFERROR(__xludf.DUMMYFUNCTION("""COMPUTED_VALUE"""),"New")</f>
        <v>New</v>
      </c>
      <c r="F9340" s="72">
        <v>51</v>
      </c>
      <c r="G9340" s="72">
        <v>4211</v>
      </c>
    </row>
    <row r="9341" spans="1:7" ht="14.5" hidden="1">
      <c r="A9341" s="3" t="s">
        <v>9115</v>
      </c>
      <c r="B9341" s="12" t="s">
        <v>2898</v>
      </c>
      <c r="C9341" s="46" t="s">
        <v>9334</v>
      </c>
      <c r="D9341" s="41" t="str">
        <f ca="1">IFERROR(__xludf.DUMMYFUNCTION("IFERROR(ARRAYFORMULA(REGEXEXTRACT(C9341,""^(?:https?:\/\/)?(?:[^@\n]+@)?(?:www\.)?([^:\/\n]+)"")),"""")"),"myinteriorpalace.com")</f>
        <v>myinteriorpalace.com</v>
      </c>
      <c r="E9341" s="26" t="str">
        <f ca="1">IFERROR(__xludf.DUMMYFUNCTION("""COMPUTED_VALUE"""),"Already Exists")</f>
        <v>Already Exists</v>
      </c>
      <c r="F9341" s="72">
        <v>61</v>
      </c>
      <c r="G9341" s="72">
        <v>1983</v>
      </c>
    </row>
    <row r="9342" spans="1:7" ht="14.5">
      <c r="A9342" s="3" t="s">
        <v>9115</v>
      </c>
      <c r="B9342" s="12" t="s">
        <v>2898</v>
      </c>
      <c r="C9342" s="46" t="s">
        <v>9335</v>
      </c>
      <c r="D9342" s="41" t="str">
        <f ca="1">IFERROR(__xludf.DUMMYFUNCTION("IFERROR(ARRAYFORMULA(REGEXEXTRACT(C9342,""^(?:https?:\/\/)?(?:[^@\n]+@)?(?:www\.)?([^:\/\n]+)"")),"""")"),"criticalhit.net")</f>
        <v>criticalhit.net</v>
      </c>
      <c r="E9342" s="26" t="str">
        <f ca="1">IFERROR(__xludf.DUMMYFUNCTION("""COMPUTED_VALUE"""),"New")</f>
        <v>New</v>
      </c>
      <c r="F9342" s="72">
        <v>57</v>
      </c>
      <c r="G9342" s="72">
        <v>24650</v>
      </c>
    </row>
    <row r="9343" spans="1:7" ht="14.5">
      <c r="A9343" s="3" t="s">
        <v>9115</v>
      </c>
      <c r="B9343" s="12" t="s">
        <v>2898</v>
      </c>
      <c r="C9343" s="46" t="s">
        <v>9336</v>
      </c>
      <c r="D9343" s="41" t="str">
        <f ca="1">IFERROR(__xludf.DUMMYFUNCTION("IFERROR(ARRAYFORMULA(REGEXEXTRACT(C9343,""^(?:https?:\/\/)?(?:[^@\n]+@)?(?:www\.)?([^:\/\n]+)"")),"""")"),"pasoroblesdailynews.com")</f>
        <v>pasoroblesdailynews.com</v>
      </c>
      <c r="E9343" s="26" t="str">
        <f ca="1">IFERROR(__xludf.DUMMYFUNCTION("""COMPUTED_VALUE"""),"New")</f>
        <v>New</v>
      </c>
      <c r="F9343" s="72">
        <v>59</v>
      </c>
      <c r="G9343" s="72">
        <v>3391</v>
      </c>
    </row>
    <row r="9344" spans="1:7" ht="14.5">
      <c r="A9344" s="3" t="s">
        <v>9115</v>
      </c>
      <c r="B9344" s="12" t="s">
        <v>2898</v>
      </c>
      <c r="C9344" s="46" t="s">
        <v>9337</v>
      </c>
      <c r="D9344" s="41" t="str">
        <f ca="1">IFERROR(__xludf.DUMMYFUNCTION("IFERROR(ARRAYFORMULA(REGEXEXTRACT(C9344,""^(?:https?:\/\/)?(?:[^@\n]+@)?(?:www\.)?([^:\/\n]+)"")),"""")"),"accio.com")</f>
        <v>accio.com</v>
      </c>
      <c r="E9344" s="26" t="str">
        <f ca="1">IFERROR(__xludf.DUMMYFUNCTION("""COMPUTED_VALUE"""),"New")</f>
        <v>New</v>
      </c>
      <c r="F9344" s="72">
        <v>74</v>
      </c>
      <c r="G9344" s="72">
        <v>326136</v>
      </c>
    </row>
    <row r="9345" spans="1:7" ht="14.5">
      <c r="A9345" s="3" t="s">
        <v>9115</v>
      </c>
      <c r="B9345" s="12" t="s">
        <v>2898</v>
      </c>
      <c r="C9345" s="46" t="s">
        <v>9338</v>
      </c>
      <c r="D9345" s="41" t="str">
        <f ca="1">IFERROR(__xludf.DUMMYFUNCTION("IFERROR(ARRAYFORMULA(REGEXEXTRACT(C9345,""^(?:https?:\/\/)?(?:[^@\n]+@)?(?:www\.)?([^:\/\n]+)"")),"""")"),"homeone.com.au")</f>
        <v>homeone.com.au</v>
      </c>
      <c r="E9345" s="26" t="str">
        <f ca="1">IFERROR(__xludf.DUMMYFUNCTION("""COMPUTED_VALUE"""),"New")</f>
        <v>New</v>
      </c>
      <c r="F9345" s="72">
        <v>38</v>
      </c>
      <c r="G9345" s="72">
        <v>12188</v>
      </c>
    </row>
    <row r="9346" spans="1:7" ht="14.5">
      <c r="A9346" s="3" t="s">
        <v>9115</v>
      </c>
      <c r="B9346" s="12" t="s">
        <v>2898</v>
      </c>
      <c r="C9346" s="46" t="s">
        <v>9339</v>
      </c>
      <c r="D9346" s="41" t="str">
        <f ca="1">IFERROR(__xludf.DUMMYFUNCTION("IFERROR(ARRAYFORMULA(REGEXEXTRACT(C9346,""^(?:https?:\/\/)?(?:[^@\n]+@)?(?:www\.)?([^:\/\n]+)"")),"""")"),"grokipedia.com")</f>
        <v>grokipedia.com</v>
      </c>
      <c r="E9346" s="26" t="str">
        <f ca="1">IFERROR(__xludf.DUMMYFUNCTION("""COMPUTED_VALUE"""),"New")</f>
        <v>New</v>
      </c>
      <c r="F9346" s="72">
        <v>75</v>
      </c>
      <c r="G9346" s="72">
        <v>667361</v>
      </c>
    </row>
    <row r="9347" spans="1:7" ht="14.5">
      <c r="A9347" s="3" t="s">
        <v>9115</v>
      </c>
      <c r="B9347" s="12" t="s">
        <v>2898</v>
      </c>
      <c r="C9347" s="46" t="s">
        <v>9340</v>
      </c>
      <c r="D9347" s="41" t="str">
        <f ca="1">IFERROR(__xludf.DUMMYFUNCTION("IFERROR(ARRAYFORMULA(REGEXEXTRACT(C9347,""^(?:https?:\/\/)?(?:[^@\n]+@)?(?:www\.)?([^:\/\n]+)"")),"""")"),"ohhappyhome.com.au")</f>
        <v>ohhappyhome.com.au</v>
      </c>
      <c r="E9347" s="26" t="str">
        <f ca="1">IFERROR(__xludf.DUMMYFUNCTION("""COMPUTED_VALUE"""),"New")</f>
        <v>New</v>
      </c>
      <c r="F9347" s="72">
        <v>35</v>
      </c>
      <c r="G9347" s="72">
        <v>2714</v>
      </c>
    </row>
    <row r="9348" spans="1:7" ht="14.5">
      <c r="A9348" s="3" t="s">
        <v>9115</v>
      </c>
      <c r="B9348" s="12" t="s">
        <v>2898</v>
      </c>
      <c r="C9348" s="46" t="s">
        <v>9341</v>
      </c>
      <c r="D9348" s="41" t="str">
        <f ca="1">IFERROR(__xludf.DUMMYFUNCTION("IFERROR(ARRAYFORMULA(REGEXEXTRACT(C9348,""^(?:https?:\/\/)?(?:[^@\n]+@)?(?:www\.)?([^:\/\n]+)"")),"""")"),"sciencetimes.com")</f>
        <v>sciencetimes.com</v>
      </c>
      <c r="E9348" s="26" t="str">
        <f ca="1">IFERROR(__xludf.DUMMYFUNCTION("""COMPUTED_VALUE"""),"New")</f>
        <v>New</v>
      </c>
      <c r="F9348" s="72">
        <v>74</v>
      </c>
      <c r="G9348" s="72">
        <v>2792</v>
      </c>
    </row>
    <row r="9349" spans="1:7" ht="14.5">
      <c r="A9349" s="3" t="s">
        <v>9115</v>
      </c>
      <c r="B9349" s="12" t="s">
        <v>2898</v>
      </c>
      <c r="C9349" s="46" t="s">
        <v>9342</v>
      </c>
      <c r="D9349" s="41" t="str">
        <f ca="1">IFERROR(__xludf.DUMMYFUNCTION("IFERROR(ARRAYFORMULA(REGEXEXTRACT(C9349,""^(?:https?:\/\/)?(?:[^@\n]+@)?(?:www\.)?([^:\/\n]+)"")),"""")"),"bloglovin.com")</f>
        <v>bloglovin.com</v>
      </c>
      <c r="E9349" s="26" t="str">
        <f ca="1">IFERROR(__xludf.DUMMYFUNCTION("""COMPUTED_VALUE"""),"New")</f>
        <v>New</v>
      </c>
      <c r="F9349" s="72">
        <v>86</v>
      </c>
      <c r="G9349" s="72">
        <v>1971</v>
      </c>
    </row>
    <row r="9350" spans="1:7" ht="14.5">
      <c r="A9350" s="3" t="s">
        <v>9115</v>
      </c>
      <c r="B9350" s="12" t="s">
        <v>2898</v>
      </c>
      <c r="C9350" s="46" t="s">
        <v>9343</v>
      </c>
      <c r="D9350" s="41" t="str">
        <f ca="1">IFERROR(__xludf.DUMMYFUNCTION("IFERROR(ARRAYFORMULA(REGEXEXTRACT(C9350,""^(?:https?:\/\/)?(?:[^@\n]+@)?(?:www\.)?([^:\/\n]+)"")),"""")"),"state-journal.com")</f>
        <v>state-journal.com</v>
      </c>
      <c r="E9350" s="26" t="str">
        <f ca="1">IFERROR(__xludf.DUMMYFUNCTION("""COMPUTED_VALUE"""),"New")</f>
        <v>New</v>
      </c>
      <c r="F9350" s="72">
        <v>62</v>
      </c>
      <c r="G9350" s="72">
        <v>4431</v>
      </c>
    </row>
    <row r="9351" spans="1:7" ht="14.5" hidden="1">
      <c r="A9351" s="3" t="s">
        <v>9115</v>
      </c>
      <c r="B9351" s="12" t="s">
        <v>2898</v>
      </c>
      <c r="C9351" s="46" t="s">
        <v>9344</v>
      </c>
      <c r="D9351" s="41" t="str">
        <f ca="1">IFERROR(__xludf.DUMMYFUNCTION("IFERROR(ARRAYFORMULA(REGEXEXTRACT(C9351,""^(?:https?:\/\/)?(?:[^@\n]+@)?(?:www\.)?([^:\/\n]+)"")),"""")"),"amazingarchitecture.com")</f>
        <v>amazingarchitecture.com</v>
      </c>
      <c r="E9351" s="26" t="str">
        <f ca="1">IFERROR(__xludf.DUMMYFUNCTION("""COMPUTED_VALUE"""),"Already Exists")</f>
        <v>Already Exists</v>
      </c>
      <c r="F9351" s="72">
        <v>71</v>
      </c>
      <c r="G9351" s="72">
        <v>4167</v>
      </c>
    </row>
    <row r="9352" spans="1:7" ht="14.5" hidden="1">
      <c r="A9352" s="3" t="s">
        <v>9115</v>
      </c>
      <c r="B9352" s="12" t="s">
        <v>2898</v>
      </c>
      <c r="C9352" s="46" t="s">
        <v>9345</v>
      </c>
      <c r="D9352" s="41" t="str">
        <f ca="1">IFERROR(__xludf.DUMMYFUNCTION("IFERROR(ARRAYFORMULA(REGEXEXTRACT(C9352,""^(?:https?:\/\/)?(?:[^@\n]+@)?(?:www\.)?([^:\/\n]+)"")),"""")"),"lorddecor.com")</f>
        <v>lorddecor.com</v>
      </c>
      <c r="E9352" s="26" t="str">
        <f ca="1">IFERROR(__xludf.DUMMYFUNCTION("""COMPUTED_VALUE"""),"Already Exists")</f>
        <v>Already Exists</v>
      </c>
      <c r="F9352" s="72">
        <v>59</v>
      </c>
      <c r="G9352" s="72">
        <v>1732</v>
      </c>
    </row>
    <row r="9353" spans="1:7" ht="14.5">
      <c r="A9353" s="3" t="s">
        <v>9115</v>
      </c>
      <c r="B9353" s="17" t="s">
        <v>2892</v>
      </c>
      <c r="C9353" s="46" t="s">
        <v>9346</v>
      </c>
      <c r="D9353" s="41" t="str">
        <f ca="1">IFERROR(__xludf.DUMMYFUNCTION("IFERROR(ARRAYFORMULA(REGEXEXTRACT(C9353,""^(?:https?:\/\/)?(?:[^@\n]+@)?(?:www\.)?([^:\/\n]+)"")),"""")"),"servicetitan.com")</f>
        <v>servicetitan.com</v>
      </c>
      <c r="E9353" s="26" t="str">
        <f ca="1">IFERROR(__xludf.DUMMYFUNCTION("""COMPUTED_VALUE"""),"New")</f>
        <v>New</v>
      </c>
      <c r="F9353" s="72">
        <v>79</v>
      </c>
      <c r="G9353" s="72">
        <v>421095</v>
      </c>
    </row>
    <row r="9354" spans="1:7" ht="14.5">
      <c r="A9354" s="3" t="s">
        <v>9115</v>
      </c>
      <c r="B9354" s="12" t="s">
        <v>2892</v>
      </c>
      <c r="C9354" s="46" t="s">
        <v>9347</v>
      </c>
      <c r="D9354" s="41" t="str">
        <f ca="1">IFERROR(__xludf.DUMMYFUNCTION("IFERROR(ARRAYFORMULA(REGEXEXTRACT(C9354,""^(?:https?:\/\/)?(?:[^@\n]+@)?(?:www\.)?([^:\/\n]+)"")),"""")"),"discovermass.com")</f>
        <v>discovermass.com</v>
      </c>
      <c r="E9354" s="26" t="str">
        <f ca="1">IFERROR(__xludf.DUMMYFUNCTION("""COMPUTED_VALUE"""),"New")</f>
        <v>New</v>
      </c>
      <c r="F9354" s="72">
        <v>70</v>
      </c>
      <c r="G9354" s="72">
        <v>56107</v>
      </c>
    </row>
    <row r="9355" spans="1:7" ht="14.5">
      <c r="A9355" s="3" t="s">
        <v>9115</v>
      </c>
      <c r="B9355" s="12" t="s">
        <v>2892</v>
      </c>
      <c r="C9355" s="46" t="s">
        <v>9348</v>
      </c>
      <c r="D9355" s="41" t="str">
        <f ca="1">IFERROR(__xludf.DUMMYFUNCTION("IFERROR(ARRAYFORMULA(REGEXEXTRACT(C9355,""^(?:https?:\/\/)?(?:[^@\n]+@)?(?:www\.)?([^:\/\n]+)"")),"""")"),"trentonroofing.com")</f>
        <v>trentonroofing.com</v>
      </c>
      <c r="E9355" s="26" t="str">
        <f ca="1">IFERROR(__xludf.DUMMYFUNCTION("""COMPUTED_VALUE"""),"New")</f>
        <v>New</v>
      </c>
      <c r="F9355" s="72">
        <v>30</v>
      </c>
      <c r="G9355" s="72">
        <v>2184</v>
      </c>
    </row>
    <row r="9356" spans="1:7" ht="14.5">
      <c r="A9356" s="3" t="s">
        <v>9115</v>
      </c>
      <c r="B9356" s="12" t="s">
        <v>2892</v>
      </c>
      <c r="C9356" s="46" t="s">
        <v>9349</v>
      </c>
      <c r="D9356" s="41" t="str">
        <f ca="1">IFERROR(__xludf.DUMMYFUNCTION("IFERROR(ARRAYFORMULA(REGEXEXTRACT(C9356,""^(?:https?:\/\/)?(?:[^@\n]+@)?(?:www\.)?([^:\/\n]+)"")),"""")"),"comradeweb.com")</f>
        <v>comradeweb.com</v>
      </c>
      <c r="E9356" s="26" t="str">
        <f ca="1">IFERROR(__xludf.DUMMYFUNCTION("""COMPUTED_VALUE"""),"New")</f>
        <v>New</v>
      </c>
      <c r="F9356" s="72">
        <v>71</v>
      </c>
      <c r="G9356" s="72">
        <v>4978</v>
      </c>
    </row>
    <row r="9357" spans="1:7" ht="14.5">
      <c r="A9357" s="3" t="s">
        <v>9115</v>
      </c>
      <c r="B9357" s="12" t="s">
        <v>2892</v>
      </c>
      <c r="C9357" s="46" t="s">
        <v>9350</v>
      </c>
      <c r="D9357" s="41" t="str">
        <f ca="1">IFERROR(__xludf.DUMMYFUNCTION("IFERROR(ARRAYFORMULA(REGEXEXTRACT(C9357,""^(?:https?:\/\/)?(?:[^@\n]+@)?(?:www\.)?([^:\/\n]+)"")),"""")"),"muffingroup.com")</f>
        <v>muffingroup.com</v>
      </c>
      <c r="E9357" s="26" t="str">
        <f ca="1">IFERROR(__xludf.DUMMYFUNCTION("""COMPUTED_VALUE"""),"New")</f>
        <v>New</v>
      </c>
      <c r="F9357" s="72">
        <v>90</v>
      </c>
      <c r="G9357" s="72">
        <v>25629</v>
      </c>
    </row>
    <row r="9358" spans="1:7" ht="14.5" hidden="1">
      <c r="A9358" s="3" t="s">
        <v>9115</v>
      </c>
      <c r="B9358" s="12" t="s">
        <v>2892</v>
      </c>
      <c r="C9358" s="46" t="s">
        <v>9351</v>
      </c>
      <c r="D9358" s="41" t="str">
        <f ca="1">IFERROR(__xludf.DUMMYFUNCTION("IFERROR(ARRAYFORMULA(REGEXEXTRACT(C9358,""^(?:https?:\/\/)?(?:[^@\n]+@)?(?:www\.)?([^:\/\n]+)"")),"""")"),"ahouseinthehills.com")</f>
        <v>ahouseinthehills.com</v>
      </c>
      <c r="E9358" s="26" t="str">
        <f ca="1">IFERROR(__xludf.DUMMYFUNCTION("""COMPUTED_VALUE"""),"Already Exists")</f>
        <v>Already Exists</v>
      </c>
      <c r="F9358" s="72">
        <v>58</v>
      </c>
      <c r="G9358" s="72">
        <v>2861</v>
      </c>
    </row>
    <row r="9359" spans="1:7" ht="14.5" hidden="1">
      <c r="A9359" s="3" t="s">
        <v>9115</v>
      </c>
      <c r="B9359" s="12" t="s">
        <v>2892</v>
      </c>
      <c r="C9359" s="46" t="s">
        <v>9352</v>
      </c>
      <c r="D9359" s="41" t="str">
        <f ca="1">IFERROR(__xludf.DUMMYFUNCTION("IFERROR(ARRAYFORMULA(REGEXEXTRACT(C9359,""^(?:https?:\/\/)?(?:[^@\n]+@)?(?:www\.)?([^:\/\n]+)"")),"""")"),"amazingarchitecture.com")</f>
        <v>amazingarchitecture.com</v>
      </c>
      <c r="E9359" s="26" t="str">
        <f ca="1">IFERROR(__xludf.DUMMYFUNCTION("""COMPUTED_VALUE"""),"Already Exists")</f>
        <v>Already Exists</v>
      </c>
      <c r="F9359" s="72">
        <v>71</v>
      </c>
      <c r="G9359" s="72">
        <v>4167</v>
      </c>
    </row>
    <row r="9360" spans="1:7" ht="14.5" hidden="1">
      <c r="A9360" s="3" t="s">
        <v>9115</v>
      </c>
      <c r="B9360" s="12" t="s">
        <v>2892</v>
      </c>
      <c r="C9360" s="46" t="s">
        <v>9353</v>
      </c>
      <c r="D9360" s="41" t="str">
        <f ca="1">IFERROR(__xludf.DUMMYFUNCTION("IFERROR(ARRAYFORMULA(REGEXEXTRACT(C9360,""^(?:https?:\/\/)?(?:[^@\n]+@)?(?:www\.)?([^:\/\n]+)"")),"""")"),"freshdesignblog.com")</f>
        <v>freshdesignblog.com</v>
      </c>
      <c r="E9360" s="26" t="str">
        <f ca="1">IFERROR(__xludf.DUMMYFUNCTION("""COMPUTED_VALUE"""),"Already Exists")</f>
        <v>Already Exists</v>
      </c>
      <c r="F9360" s="72">
        <v>56</v>
      </c>
      <c r="G9360" s="72">
        <v>1022</v>
      </c>
    </row>
    <row r="9361" spans="1:7" ht="14.5" hidden="1">
      <c r="A9361" s="3" t="s">
        <v>9115</v>
      </c>
      <c r="B9361" s="12" t="s">
        <v>2892</v>
      </c>
      <c r="C9361" s="46" t="s">
        <v>9354</v>
      </c>
      <c r="D9361" s="41" t="str">
        <f ca="1">IFERROR(__xludf.DUMMYFUNCTION("IFERROR(ARRAYFORMULA(REGEXEXTRACT(C9361,""^(?:https?:\/\/)?(?:[^@\n]+@)?(?:www\.)?([^:\/\n]+)"")),"""")"),"thearchitectsdiary.com")</f>
        <v>thearchitectsdiary.com</v>
      </c>
      <c r="E9361" s="26" t="str">
        <f ca="1">IFERROR(__xludf.DUMMYFUNCTION("""COMPUTED_VALUE"""),"Already Exists")</f>
        <v>Already Exists</v>
      </c>
      <c r="F9361" s="72">
        <v>68</v>
      </c>
      <c r="G9361" s="72">
        <v>36414</v>
      </c>
    </row>
    <row r="9362" spans="1:7" ht="14.5" hidden="1">
      <c r="A9362" s="3" t="s">
        <v>9115</v>
      </c>
      <c r="B9362" s="12" t="s">
        <v>2892</v>
      </c>
      <c r="C9362" s="46" t="s">
        <v>9355</v>
      </c>
      <c r="D9362" s="41" t="str">
        <f ca="1">IFERROR(__xludf.DUMMYFUNCTION("IFERROR(ARRAYFORMULA(REGEXEXTRACT(C9362,""^(?:https?:\/\/)?(?:[^@\n]+@)?(?:www\.)?([^:\/\n]+)"")),"""")"),"myinteriorpalace.com")</f>
        <v>myinteriorpalace.com</v>
      </c>
      <c r="E9362" s="26" t="str">
        <f ca="1">IFERROR(__xludf.DUMMYFUNCTION("""COMPUTED_VALUE"""),"Already Exists")</f>
        <v>Already Exists</v>
      </c>
      <c r="F9362" s="72">
        <v>61</v>
      </c>
      <c r="G9362" s="72">
        <v>1983</v>
      </c>
    </row>
    <row r="9363" spans="1:7" ht="14.5" hidden="1">
      <c r="A9363" s="3" t="s">
        <v>9115</v>
      </c>
      <c r="B9363" s="12" t="s">
        <v>2892</v>
      </c>
      <c r="C9363" s="46" t="s">
        <v>9356</v>
      </c>
      <c r="D9363" s="41" t="str">
        <f ca="1">IFERROR(__xludf.DUMMYFUNCTION("IFERROR(ARRAYFORMULA(REGEXEXTRACT(C9363,""^(?:https?:\/\/)?(?:[^@\n]+@)?(?:www\.)?([^:\/\n]+)"")),"""")"),"terristeffes.com")</f>
        <v>terristeffes.com</v>
      </c>
      <c r="E9363" s="26" t="str">
        <f ca="1">IFERROR(__xludf.DUMMYFUNCTION("""COMPUTED_VALUE"""),"Already Exists")</f>
        <v>Already Exists</v>
      </c>
      <c r="F9363" s="72">
        <v>50</v>
      </c>
      <c r="G9363" s="72">
        <v>1938</v>
      </c>
    </row>
    <row r="9364" spans="1:7" ht="14.5" hidden="1">
      <c r="A9364" s="3" t="s">
        <v>9115</v>
      </c>
      <c r="B9364" s="12" t="s">
        <v>2892</v>
      </c>
      <c r="C9364" s="46" t="s">
        <v>9357</v>
      </c>
      <c r="D9364" s="41" t="str">
        <f ca="1">IFERROR(__xludf.DUMMYFUNCTION("IFERROR(ARRAYFORMULA(REGEXEXTRACT(C9364,""^(?:https?:\/\/)?(?:[^@\n]+@)?(?:www\.)?([^:\/\n]+)"")),"""")"),"thepinnaclelist.com")</f>
        <v>thepinnaclelist.com</v>
      </c>
      <c r="E9364" s="26" t="str">
        <f ca="1">IFERROR(__xludf.DUMMYFUNCTION("""COMPUTED_VALUE"""),"Already Exists")</f>
        <v>Already Exists</v>
      </c>
      <c r="F9364" s="72">
        <v>57</v>
      </c>
      <c r="G9364" s="72">
        <v>1211</v>
      </c>
    </row>
    <row r="9365" spans="1:7" ht="14.5">
      <c r="A9365" s="3" t="s">
        <v>9115</v>
      </c>
      <c r="B9365" s="12" t="s">
        <v>2892</v>
      </c>
      <c r="C9365" s="46" t="s">
        <v>9358</v>
      </c>
      <c r="D9365" s="41" t="str">
        <f ca="1">IFERROR(__xludf.DUMMYFUNCTION("IFERROR(ARRAYFORMULA(REGEXEXTRACT(C9365,""^(?:https?:\/\/)?(?:[^@\n]+@)?(?:www\.)?([^:\/\n]+)"")),"""")"),"yourgreenpal.com")</f>
        <v>yourgreenpal.com</v>
      </c>
      <c r="E9365" s="26" t="str">
        <f ca="1">IFERROR(__xludf.DUMMYFUNCTION("""COMPUTED_VALUE"""),"New")</f>
        <v>New</v>
      </c>
      <c r="F9365" s="72">
        <v>71</v>
      </c>
      <c r="G9365" s="72">
        <v>77633</v>
      </c>
    </row>
    <row r="9366" spans="1:7" ht="14.5">
      <c r="A9366" s="3" t="s">
        <v>9115</v>
      </c>
      <c r="B9366" s="12" t="s">
        <v>2892</v>
      </c>
      <c r="C9366" s="46" t="s">
        <v>9359</v>
      </c>
      <c r="D9366" s="41" t="str">
        <f ca="1">IFERROR(__xludf.DUMMYFUNCTION("IFERROR(ARRAYFORMULA(REGEXEXTRACT(C9366,""^(?:https?:\/\/)?(?:[^@\n]+@)?(?:www\.)?([^:\/\n]+)"")),"""")"),"kevinszabojrplumbing.net")</f>
        <v>kevinszabojrplumbing.net</v>
      </c>
      <c r="E9366" s="26" t="str">
        <f ca="1">IFERROR(__xludf.DUMMYFUNCTION("""COMPUTED_VALUE"""),"New")</f>
        <v>New</v>
      </c>
      <c r="F9366" s="72">
        <v>36</v>
      </c>
      <c r="G9366" s="72">
        <v>2158</v>
      </c>
    </row>
    <row r="9367" spans="1:7" ht="14.5" hidden="1">
      <c r="A9367" s="3" t="s">
        <v>9115</v>
      </c>
      <c r="B9367" s="12" t="s">
        <v>2892</v>
      </c>
      <c r="C9367" s="46" t="s">
        <v>9360</v>
      </c>
      <c r="D9367" s="41" t="str">
        <f ca="1">IFERROR(__xludf.DUMMYFUNCTION("IFERROR(ARRAYFORMULA(REGEXEXTRACT(C9367,""^(?:https?:\/\/)?(?:[^@\n]+@)?(?:www\.)?([^:\/\n]+)"")),"""")"),"realtytimes.com")</f>
        <v>realtytimes.com</v>
      </c>
      <c r="E9367" s="26" t="str">
        <f ca="1">IFERROR(__xludf.DUMMYFUNCTION("""COMPUTED_VALUE"""),"Already Exists")</f>
        <v>Already Exists</v>
      </c>
      <c r="F9367" s="72">
        <v>74</v>
      </c>
      <c r="G9367" s="72">
        <v>1998</v>
      </c>
    </row>
    <row r="9368" spans="1:7" ht="14.5">
      <c r="A9368" s="3" t="s">
        <v>9115</v>
      </c>
      <c r="B9368" s="12" t="s">
        <v>2892</v>
      </c>
      <c r="C9368" s="46" t="s">
        <v>9361</v>
      </c>
      <c r="D9368" s="41" t="str">
        <f ca="1">IFERROR(__xludf.DUMMYFUNCTION("IFERROR(ARRAYFORMULA(REGEXEXTRACT(C9368,""^(?:https?:\/\/)?(?:[^@\n]+@)?(?:www\.)?([^:\/\n]+)"")),"""")"),"b2b.getemail.io")</f>
        <v>b2b.getemail.io</v>
      </c>
      <c r="E9368" s="26" t="str">
        <f ca="1">IFERROR(__xludf.DUMMYFUNCTION("""COMPUTED_VALUE"""),"New")</f>
        <v>New</v>
      </c>
      <c r="F9368" s="72">
        <v>52</v>
      </c>
      <c r="G9368" s="72">
        <v>1807</v>
      </c>
    </row>
    <row r="9369" spans="1:7" ht="14.5" hidden="1">
      <c r="A9369" s="3" t="s">
        <v>9115</v>
      </c>
      <c r="B9369" s="12" t="s">
        <v>2892</v>
      </c>
      <c r="C9369" s="46" t="s">
        <v>9362</v>
      </c>
      <c r="D9369" s="41" t="str">
        <f ca="1">IFERROR(__xludf.DUMMYFUNCTION("IFERROR(ARRAYFORMULA(REGEXEXTRACT(C9369,""^(?:https?:\/\/)?(?:[^@\n]+@)?(?:www\.)?([^:\/\n]+)"")),"""")"),"famousparenting.com")</f>
        <v>famousparenting.com</v>
      </c>
      <c r="E9369" s="26" t="str">
        <f ca="1">IFERROR(__xludf.DUMMYFUNCTION("""COMPUTED_VALUE"""),"Already Exists")</f>
        <v>Already Exists</v>
      </c>
      <c r="F9369" s="72">
        <v>71</v>
      </c>
      <c r="G9369" s="72">
        <v>48136</v>
      </c>
    </row>
    <row r="9370" spans="1:7" ht="14.5">
      <c r="A9370" s="3" t="s">
        <v>9115</v>
      </c>
      <c r="B9370" s="12" t="s">
        <v>2892</v>
      </c>
      <c r="C9370" s="46" t="s">
        <v>9363</v>
      </c>
      <c r="D9370" s="41" t="str">
        <f ca="1">IFERROR(__xludf.DUMMYFUNCTION("IFERROR(ARRAYFORMULA(REGEXEXTRACT(C9370,""^(?:https?:\/\/)?(?:[^@\n]+@)?(?:www\.)?([^:\/\n]+)"")),"""")"),"directory.coldlytics.com")</f>
        <v>directory.coldlytics.com</v>
      </c>
      <c r="E9370" s="26" t="str">
        <f ca="1">IFERROR(__xludf.DUMMYFUNCTION("""COMPUTED_VALUE"""),"New")</f>
        <v>New</v>
      </c>
      <c r="F9370" s="72">
        <v>31</v>
      </c>
      <c r="G9370" s="72">
        <v>4674</v>
      </c>
    </row>
    <row r="9371" spans="1:7" ht="14.5" hidden="1">
      <c r="A9371" s="3" t="s">
        <v>9115</v>
      </c>
      <c r="B9371" s="12" t="s">
        <v>2892</v>
      </c>
      <c r="C9371" s="46" t="s">
        <v>9364</v>
      </c>
      <c r="D9371" s="41" t="str">
        <f ca="1">IFERROR(__xludf.DUMMYFUNCTION("IFERROR(ARRAYFORMULA(REGEXEXTRACT(C9371,""^(?:https?:\/\/)?(?:[^@\n]+@)?(?:www\.)?([^:\/\n]+)"")),"""")"),"flexhouse.org")</f>
        <v>flexhouse.org</v>
      </c>
      <c r="E9371" s="26" t="str">
        <f ca="1">IFERROR(__xludf.DUMMYFUNCTION("""COMPUTED_VALUE"""),"Already Exists")</f>
        <v>Already Exists</v>
      </c>
      <c r="F9371" s="72">
        <v>38</v>
      </c>
      <c r="G9371" s="72">
        <v>7520</v>
      </c>
    </row>
    <row r="9372" spans="1:7" ht="14.5" hidden="1">
      <c r="A9372" s="3" t="s">
        <v>9115</v>
      </c>
      <c r="B9372" s="12" t="s">
        <v>2892</v>
      </c>
      <c r="C9372" s="46" t="s">
        <v>9365</v>
      </c>
      <c r="D9372" s="41" t="str">
        <f ca="1">IFERROR(__xludf.DUMMYFUNCTION("IFERROR(ARRAYFORMULA(REGEXEXTRACT(C9372,""^(?:https?:\/\/)?(?:[^@\n]+@)?(?:www\.)?([^:\/\n]+)"")),"""")"),"offthemrkt.com")</f>
        <v>offthemrkt.com</v>
      </c>
      <c r="E9372" s="26" t="str">
        <f ca="1">IFERROR(__xludf.DUMMYFUNCTION("""COMPUTED_VALUE"""),"Already Exists")</f>
        <v>Already Exists</v>
      </c>
      <c r="F9372" s="72">
        <v>63</v>
      </c>
      <c r="G9372" s="72">
        <v>1155</v>
      </c>
    </row>
    <row r="9373" spans="1:7" ht="14.5">
      <c r="A9373" s="3" t="s">
        <v>9115</v>
      </c>
      <c r="B9373" s="12" t="s">
        <v>2892</v>
      </c>
      <c r="C9373" s="46" t="s">
        <v>9366</v>
      </c>
      <c r="D9373" s="41" t="str">
        <f ca="1">IFERROR(__xludf.DUMMYFUNCTION("IFERROR(ARRAYFORMULA(REGEXEXTRACT(C9373,""^(?:https?:\/\/)?(?:[^@\n]+@)?(?:www\.)?([^:\/\n]+)"")),"""")"),"sunnysweetdays.com")</f>
        <v>sunnysweetdays.com</v>
      </c>
      <c r="E9373" s="26" t="str">
        <f ca="1">IFERROR(__xludf.DUMMYFUNCTION("""COMPUTED_VALUE"""),"New")</f>
        <v>New</v>
      </c>
      <c r="F9373" s="72">
        <v>50</v>
      </c>
      <c r="G9373" s="72">
        <v>2011</v>
      </c>
    </row>
    <row r="9374" spans="1:7" ht="14.5" hidden="1">
      <c r="A9374" s="3" t="s">
        <v>9115</v>
      </c>
      <c r="B9374" s="12" t="s">
        <v>2892</v>
      </c>
      <c r="C9374" s="46" t="s">
        <v>9367</v>
      </c>
      <c r="D9374" s="41" t="str">
        <f ca="1">IFERROR(__xludf.DUMMYFUNCTION("IFERROR(ARRAYFORMULA(REGEXEXTRACT(C9374,""^(?:https?:\/\/)?(?:[^@\n]+@)?(?:www\.)?([^:\/\n]+)"")),"""")"),"urbansplatter.com")</f>
        <v>urbansplatter.com</v>
      </c>
      <c r="E9374" s="26" t="str">
        <f ca="1">IFERROR(__xludf.DUMMYFUNCTION("""COMPUTED_VALUE"""),"Already Exists")</f>
        <v>Already Exists</v>
      </c>
      <c r="F9374" s="72">
        <v>64</v>
      </c>
      <c r="G9374" s="72">
        <v>24225</v>
      </c>
    </row>
    <row r="9375" spans="1:7" ht="14.5" hidden="1">
      <c r="A9375" s="3" t="s">
        <v>9115</v>
      </c>
      <c r="B9375" s="12" t="s">
        <v>2892</v>
      </c>
      <c r="C9375" s="46" t="s">
        <v>9368</v>
      </c>
      <c r="D9375" s="41" t="str">
        <f ca="1">IFERROR(__xludf.DUMMYFUNCTION("IFERROR(ARRAYFORMULA(REGEXEXTRACT(C9375,""^(?:https?:\/\/)?(?:[^@\n]+@)?(?:www\.)?([^:\/\n]+)"")),"""")"),"gluesticksgumdrops.com")</f>
        <v>gluesticksgumdrops.com</v>
      </c>
      <c r="E9375" s="26" t="str">
        <f ca="1">IFERROR(__xludf.DUMMYFUNCTION("""COMPUTED_VALUE"""),"Already Exists")</f>
        <v>Already Exists</v>
      </c>
      <c r="F9375" s="72">
        <v>51</v>
      </c>
      <c r="G9375" s="72">
        <v>1383</v>
      </c>
    </row>
    <row r="9376" spans="1:7" ht="14.5" hidden="1">
      <c r="A9376" s="3" t="s">
        <v>9115</v>
      </c>
      <c r="B9376" s="12" t="s">
        <v>2892</v>
      </c>
      <c r="C9376" s="46" t="s">
        <v>9369</v>
      </c>
      <c r="D9376" s="41" t="str">
        <f ca="1">IFERROR(__xludf.DUMMYFUNCTION("IFERROR(ARRAYFORMULA(REGEXEXTRACT(C9376,""^(?:https?:\/\/)?(?:[^@\n]+@)?(?:www\.)?([^:\/\n]+)"")),"""")"),"renotalk.com")</f>
        <v>renotalk.com</v>
      </c>
      <c r="E9376" s="26" t="str">
        <f ca="1">IFERROR(__xludf.DUMMYFUNCTION("""COMPUTED_VALUE"""),"Already Exists")</f>
        <v>Already Exists</v>
      </c>
      <c r="F9376" s="72">
        <v>45</v>
      </c>
      <c r="G9376" s="72">
        <v>8984</v>
      </c>
    </row>
    <row r="9377" spans="1:7" ht="14.5">
      <c r="A9377" s="3" t="s">
        <v>9115</v>
      </c>
      <c r="B9377" s="12" t="s">
        <v>2892</v>
      </c>
      <c r="C9377" s="46" t="s">
        <v>9370</v>
      </c>
      <c r="D9377" s="41" t="str">
        <f ca="1">IFERROR(__xludf.DUMMYFUNCTION("IFERROR(ARRAYFORMULA(REGEXEXTRACT(C9377,""^(?:https?:\/\/)?(?:[^@\n]+@)?(?:www\.)?([^:\/\n]+)"")),"""")"),"fastbase.com")</f>
        <v>fastbase.com</v>
      </c>
      <c r="E9377" s="26" t="str">
        <f ca="1">IFERROR(__xludf.DUMMYFUNCTION("""COMPUTED_VALUE"""),"New")</f>
        <v>New</v>
      </c>
      <c r="F9377" s="72">
        <v>46</v>
      </c>
      <c r="G9377" s="72">
        <v>1186</v>
      </c>
    </row>
    <row r="9378" spans="1:7" ht="14.5">
      <c r="A9378" s="3" t="s">
        <v>9115</v>
      </c>
      <c r="B9378" s="12" t="s">
        <v>2892</v>
      </c>
      <c r="C9378" s="46" t="s">
        <v>9371</v>
      </c>
      <c r="D9378" s="41" t="str">
        <f ca="1">IFERROR(__xludf.DUMMYFUNCTION("IFERROR(ARRAYFORMULA(REGEXEXTRACT(C9378,""^(?:https?:\/\/)?(?:[^@\n]+@)?(?:www\.)?([^:\/\n]+)"")),"""")"),"appclonescript.com")</f>
        <v>appclonescript.com</v>
      </c>
      <c r="E9378" s="26" t="str">
        <f ca="1">IFERROR(__xludf.DUMMYFUNCTION("""COMPUTED_VALUE"""),"New")</f>
        <v>New</v>
      </c>
      <c r="F9378" s="72">
        <v>40</v>
      </c>
      <c r="G9378" s="72">
        <v>2302</v>
      </c>
    </row>
    <row r="9379" spans="1:7" ht="14.5">
      <c r="A9379" s="3" t="s">
        <v>9115</v>
      </c>
      <c r="B9379" s="12" t="s">
        <v>2892</v>
      </c>
      <c r="C9379" s="46" t="s">
        <v>9372</v>
      </c>
      <c r="D9379" s="41" t="str">
        <f ca="1">IFERROR(__xludf.DUMMYFUNCTION("IFERROR(ARRAYFORMULA(REGEXEXTRACT(C9379,""^(?:https?:\/\/)?(?:[^@\n]+@)?(?:www\.)?([^:\/\n]+)"")),"""")"),"aftconstruction.com")</f>
        <v>aftconstruction.com</v>
      </c>
      <c r="E9379" s="26" t="str">
        <f ca="1">IFERROR(__xludf.DUMMYFUNCTION("""COMPUTED_VALUE"""),"New")</f>
        <v>New</v>
      </c>
      <c r="F9379" s="72">
        <v>40</v>
      </c>
      <c r="G9379" s="72">
        <v>1619</v>
      </c>
    </row>
    <row r="9380" spans="1:7" ht="14.5">
      <c r="A9380" s="3" t="s">
        <v>9115</v>
      </c>
      <c r="B9380" s="17" t="s">
        <v>2896</v>
      </c>
      <c r="C9380" s="46" t="s">
        <v>893</v>
      </c>
      <c r="D9380" s="41" t="str">
        <f ca="1">IFERROR(__xludf.DUMMYFUNCTION("IFERROR(ARRAYFORMULA(REGEXEXTRACT(C9380,""^(?:https?:\/\/)?(?:[^@\n]+@)?(?:www\.)?([^:\/\n]+)"")),"""")"),"keystonecustomdecks.com")</f>
        <v>keystonecustomdecks.com</v>
      </c>
      <c r="E9380" s="26" t="str">
        <f ca="1">IFERROR(__xludf.DUMMYFUNCTION("""COMPUTED_VALUE"""),"New")</f>
        <v>New</v>
      </c>
      <c r="F9380" s="72">
        <v>39</v>
      </c>
      <c r="G9380" s="72">
        <v>2489</v>
      </c>
    </row>
    <row r="9381" spans="1:7" ht="14.5">
      <c r="A9381" s="3" t="s">
        <v>9115</v>
      </c>
      <c r="B9381" s="12" t="s">
        <v>2896</v>
      </c>
      <c r="C9381" s="46" t="s">
        <v>9373</v>
      </c>
      <c r="D9381" s="41" t="str">
        <f ca="1">IFERROR(__xludf.DUMMYFUNCTION("IFERROR(ARRAYFORMULA(REGEXEXTRACT(C9381,""^(?:https?:\/\/)?(?:[^@\n]+@)?(?:www\.)?([^:\/\n]+)"")),"""")"),"ghthanks.com")</f>
        <v>ghthanks.com</v>
      </c>
      <c r="E9381" s="26" t="str">
        <f ca="1">IFERROR(__xludf.DUMMYFUNCTION("""COMPUTED_VALUE"""),"New")</f>
        <v>New</v>
      </c>
      <c r="F9381" s="72">
        <v>54</v>
      </c>
      <c r="G9381" s="72">
        <v>1296</v>
      </c>
    </row>
    <row r="9382" spans="1:7" ht="14.5">
      <c r="A9382" s="3" t="s">
        <v>9115</v>
      </c>
      <c r="B9382" s="12" t="s">
        <v>2896</v>
      </c>
      <c r="C9382" s="46" t="s">
        <v>9374</v>
      </c>
      <c r="D9382" s="41" t="str">
        <f ca="1">IFERROR(__xludf.DUMMYFUNCTION("IFERROR(ARRAYFORMULA(REGEXEXTRACT(C9382,""^(?:https?:\/\/)?(?:[^@\n]+@)?(?:www\.)?([^:\/\n]+)"")),"""")"),"fluxmagazine.co.uk")</f>
        <v>fluxmagazine.co.uk</v>
      </c>
      <c r="E9382" s="26" t="str">
        <f ca="1">IFERROR(__xludf.DUMMYFUNCTION("""COMPUTED_VALUE"""),"New")</f>
        <v>New</v>
      </c>
      <c r="F9382" s="72">
        <v>54</v>
      </c>
      <c r="G9382" s="72">
        <v>5594</v>
      </c>
    </row>
    <row r="9383" spans="1:7" ht="14.5">
      <c r="A9383" s="3" t="s">
        <v>9115</v>
      </c>
      <c r="B9383" s="12" t="s">
        <v>2896</v>
      </c>
      <c r="C9383" s="46" t="s">
        <v>9375</v>
      </c>
      <c r="D9383" s="41" t="str">
        <f ca="1">IFERROR(__xludf.DUMMYFUNCTION("IFERROR(ARRAYFORMULA(REGEXEXTRACT(C9383,""^(?:https?:\/\/)?(?:[^@\n]+@)?(?:www\.)?([^:\/\n]+)"")),"""")"),"dsnews.co.uk")</f>
        <v>dsnews.co.uk</v>
      </c>
      <c r="E9383" s="26" t="str">
        <f ca="1">IFERROR(__xludf.DUMMYFUNCTION("""COMPUTED_VALUE"""),"New")</f>
        <v>New</v>
      </c>
      <c r="F9383" s="72">
        <v>33</v>
      </c>
      <c r="G9383" s="72">
        <v>8511</v>
      </c>
    </row>
    <row r="9384" spans="1:7" ht="14.5">
      <c r="A9384" s="3" t="s">
        <v>9115</v>
      </c>
      <c r="B9384" s="12" t="s">
        <v>2896</v>
      </c>
      <c r="C9384" s="46" t="s">
        <v>9376</v>
      </c>
      <c r="D9384" s="41" t="str">
        <f ca="1">IFERROR(__xludf.DUMMYFUNCTION("IFERROR(ARRAYFORMULA(REGEXEXTRACT(C9384,""^(?:https?:\/\/)?(?:[^@\n]+@)?(?:www\.)?([^:\/\n]+)"")),"""")"),"timelapsemagazine.com")</f>
        <v>timelapsemagazine.com</v>
      </c>
      <c r="E9384" s="26" t="str">
        <f ca="1">IFERROR(__xludf.DUMMYFUNCTION("""COMPUTED_VALUE"""),"New")</f>
        <v>New</v>
      </c>
      <c r="F9384" s="72">
        <v>55</v>
      </c>
      <c r="G9384" s="72">
        <v>3953</v>
      </c>
    </row>
    <row r="9385" spans="1:7" ht="14.5" hidden="1">
      <c r="A9385" s="3" t="s">
        <v>9115</v>
      </c>
      <c r="B9385" s="12" t="s">
        <v>2896</v>
      </c>
      <c r="C9385" s="46" t="s">
        <v>9377</v>
      </c>
      <c r="D9385" s="41" t="str">
        <f ca="1">IFERROR(__xludf.DUMMYFUNCTION("IFERROR(ARRAYFORMULA(REGEXEXTRACT(C9385,""^(?:https?:\/\/)?(?:[^@\n]+@)?(?:www\.)?([^:\/\n]+)"")),"""")"),"homeworlddesign.com")</f>
        <v>homeworlddesign.com</v>
      </c>
      <c r="E9385" s="26" t="str">
        <f ca="1">IFERROR(__xludf.DUMMYFUNCTION("""COMPUTED_VALUE"""),"Already Exists")</f>
        <v>Already Exists</v>
      </c>
      <c r="F9385" s="72">
        <v>60</v>
      </c>
      <c r="G9385" s="72">
        <v>1286</v>
      </c>
    </row>
    <row r="9386" spans="1:7" ht="14.5" hidden="1">
      <c r="A9386" s="3" t="s">
        <v>9115</v>
      </c>
      <c r="B9386" s="12" t="s">
        <v>2896</v>
      </c>
      <c r="C9386" s="46" t="s">
        <v>9378</v>
      </c>
      <c r="D9386" s="41" t="str">
        <f ca="1">IFERROR(__xludf.DUMMYFUNCTION("IFERROR(ARRAYFORMULA(REGEXEXTRACT(C9386,""^(?:https?:\/\/)?(?:[^@\n]+@)?(?:www\.)?([^:\/\n]+)"")),"""")"),"myinteriorpalace.com")</f>
        <v>myinteriorpalace.com</v>
      </c>
      <c r="E9386" s="26" t="str">
        <f ca="1">IFERROR(__xludf.DUMMYFUNCTION("""COMPUTED_VALUE"""),"Already Exists")</f>
        <v>Already Exists</v>
      </c>
      <c r="F9386" s="72">
        <v>61</v>
      </c>
      <c r="G9386" s="72">
        <v>1983</v>
      </c>
    </row>
    <row r="9387" spans="1:7" ht="14.5" hidden="1">
      <c r="A9387" s="3" t="s">
        <v>9115</v>
      </c>
      <c r="B9387" s="12" t="s">
        <v>2896</v>
      </c>
      <c r="C9387" s="46" t="s">
        <v>9379</v>
      </c>
      <c r="D9387" s="41" t="str">
        <f ca="1">IFERROR(__xludf.DUMMYFUNCTION("IFERROR(ARRAYFORMULA(REGEXEXTRACT(C9387,""^(?:https?:\/\/)?(?:[^@\n]+@)?(?:www\.)?([^:\/\n]+)"")),"""")"),"tamaracamerablog.com")</f>
        <v>tamaracamerablog.com</v>
      </c>
      <c r="E9387" s="26" t="str">
        <f ca="1">IFERROR(__xludf.DUMMYFUNCTION("""COMPUTED_VALUE"""),"Already Exists")</f>
        <v>Already Exists</v>
      </c>
      <c r="F9387" s="72">
        <v>58</v>
      </c>
      <c r="G9387" s="72">
        <v>17944</v>
      </c>
    </row>
    <row r="9388" spans="1:7" ht="14.5" hidden="1">
      <c r="A9388" s="3" t="s">
        <v>9115</v>
      </c>
      <c r="B9388" s="12" t="s">
        <v>2896</v>
      </c>
      <c r="C9388" s="46" t="s">
        <v>9380</v>
      </c>
      <c r="D9388" s="41" t="str">
        <f ca="1">IFERROR(__xludf.DUMMYFUNCTION("IFERROR(ARRAYFORMULA(REGEXEXTRACT(C9388,""^(?:https?:\/\/)?(?:[^@\n]+@)?(?:www\.)?([^:\/\n]+)"")),"""")"),"mossandfog.com")</f>
        <v>mossandfog.com</v>
      </c>
      <c r="E9388" s="26" t="str">
        <f ca="1">IFERROR(__xludf.DUMMYFUNCTION("""COMPUTED_VALUE"""),"Already Exists")</f>
        <v>Already Exists</v>
      </c>
      <c r="F9388" s="72">
        <v>48</v>
      </c>
      <c r="G9388" s="72">
        <v>1501</v>
      </c>
    </row>
    <row r="9389" spans="1:7" ht="14.5" hidden="1">
      <c r="A9389" s="3" t="s">
        <v>9115</v>
      </c>
      <c r="B9389" s="12" t="s">
        <v>2896</v>
      </c>
      <c r="C9389" s="46" t="s">
        <v>9381</v>
      </c>
      <c r="D9389" s="41" t="str">
        <f ca="1">IFERROR(__xludf.DUMMYFUNCTION("IFERROR(ARRAYFORMULA(REGEXEXTRACT(C9389,""^(?:https?:\/\/)?(?:[^@\n]+@)?(?:www\.)?([^:\/\n]+)"")),"""")"),"designrelated.com")</f>
        <v>designrelated.com</v>
      </c>
      <c r="E9389" s="26" t="str">
        <f ca="1">IFERROR(__xludf.DUMMYFUNCTION("""COMPUTED_VALUE"""),"Already Exists")</f>
        <v>Already Exists</v>
      </c>
      <c r="F9389" s="72">
        <v>38</v>
      </c>
      <c r="G9389" s="72">
        <v>1649</v>
      </c>
    </row>
    <row r="9390" spans="1:7" ht="14.5">
      <c r="A9390" s="3" t="s">
        <v>9115</v>
      </c>
      <c r="B9390" s="12" t="s">
        <v>2896</v>
      </c>
      <c r="C9390" s="46" t="s">
        <v>9382</v>
      </c>
      <c r="D9390" s="41" t="str">
        <f ca="1">IFERROR(__xludf.DUMMYFUNCTION("IFERROR(ARRAYFORMULA(REGEXEXTRACT(C9390,""^(?:https?:\/\/)?(?:[^@\n]+@)?(?:www\.)?([^:\/\n]+)"")),"""")"),"greenecodream.com")</f>
        <v>greenecodream.com</v>
      </c>
      <c r="E9390" s="26" t="str">
        <f ca="1">IFERROR(__xludf.DUMMYFUNCTION("""COMPUTED_VALUE"""),"New")</f>
        <v>New</v>
      </c>
      <c r="F9390" s="72">
        <v>45</v>
      </c>
      <c r="G9390" s="72">
        <v>2484</v>
      </c>
    </row>
    <row r="9391" spans="1:7" ht="14.5">
      <c r="A9391" s="3" t="s">
        <v>9115</v>
      </c>
      <c r="B9391" s="12" t="s">
        <v>2896</v>
      </c>
      <c r="C9391" s="46" t="s">
        <v>9383</v>
      </c>
      <c r="D9391" s="41" t="str">
        <f ca="1">IFERROR(__xludf.DUMMYFUNCTION("IFERROR(ARRAYFORMULA(REGEXEXTRACT(C9391,""^(?:https?:\/\/)?(?:[^@\n]+@)?(?:www\.)?([^:\/\n]+)"")),"""")"),"moneyinc.com")</f>
        <v>moneyinc.com</v>
      </c>
      <c r="E9391" s="26" t="str">
        <f ca="1">IFERROR(__xludf.DUMMYFUNCTION("""COMPUTED_VALUE"""),"New")</f>
        <v>New</v>
      </c>
      <c r="F9391" s="72">
        <v>72</v>
      </c>
      <c r="G9391" s="72">
        <v>1944</v>
      </c>
    </row>
    <row r="9392" spans="1:7" ht="14.5">
      <c r="A9392" s="3" t="s">
        <v>9115</v>
      </c>
      <c r="B9392" s="12" t="s">
        <v>2896</v>
      </c>
      <c r="C9392" s="46" t="s">
        <v>9384</v>
      </c>
      <c r="D9392" s="41" t="str">
        <f ca="1">IFERROR(__xludf.DUMMYFUNCTION("IFERROR(ARRAYFORMULA(REGEXEXTRACT(C9392,""^(?:https?:\/\/)?(?:[^@\n]+@)?(?:www\.)?([^:\/\n]+)"")),"""")"),"nyweeklyinfo.co.uk")</f>
        <v>nyweeklyinfo.co.uk</v>
      </c>
      <c r="E9392" s="26" t="str">
        <f ca="1">IFERROR(__xludf.DUMMYFUNCTION("""COMPUTED_VALUE"""),"New")</f>
        <v>New</v>
      </c>
      <c r="F9392" s="72">
        <v>60</v>
      </c>
      <c r="G9392" s="72">
        <v>13285</v>
      </c>
    </row>
    <row r="9393" spans="1:7" ht="14.5" hidden="1">
      <c r="A9393" s="3" t="s">
        <v>9115</v>
      </c>
      <c r="B9393" s="12" t="s">
        <v>2896</v>
      </c>
      <c r="C9393" s="46" t="s">
        <v>9385</v>
      </c>
      <c r="D9393" s="41" t="str">
        <f ca="1">IFERROR(__xludf.DUMMYFUNCTION("IFERROR(ARRAYFORMULA(REGEXEXTRACT(C9393,""^(?:https?:\/\/)?(?:[^@\n]+@)?(?:www\.)?([^:\/\n]+)"")),"""")"),"we-heart.com")</f>
        <v>we-heart.com</v>
      </c>
      <c r="E9393" s="26" t="str">
        <f ca="1">IFERROR(__xludf.DUMMYFUNCTION("""COMPUTED_VALUE"""),"Already Exists")</f>
        <v>Already Exists</v>
      </c>
      <c r="F9393" s="72">
        <v>71</v>
      </c>
      <c r="G9393" s="72">
        <v>2269</v>
      </c>
    </row>
    <row r="9394" spans="1:7" ht="14.5">
      <c r="A9394" s="3" t="s">
        <v>9115</v>
      </c>
      <c r="B9394" s="12" t="s">
        <v>2896</v>
      </c>
      <c r="C9394" s="46" t="s">
        <v>9386</v>
      </c>
      <c r="D9394" s="41" t="str">
        <f ca="1">IFERROR(__xludf.DUMMYFUNCTION("IFERROR(ARRAYFORMULA(REGEXEXTRACT(C9394,""^(?:https?:\/\/)?(?:[^@\n]+@)?(?:www\.)?([^:\/\n]+)"")),"""")"),"thedesigninspiration.com")</f>
        <v>thedesigninspiration.com</v>
      </c>
      <c r="E9394" s="26" t="str">
        <f ca="1">IFERROR(__xludf.DUMMYFUNCTION("""COMPUTED_VALUE"""),"New")</f>
        <v>New</v>
      </c>
      <c r="F9394" s="72">
        <v>59</v>
      </c>
      <c r="G9394" s="72">
        <v>2752</v>
      </c>
    </row>
    <row r="9395" spans="1:7" ht="14.5" hidden="1">
      <c r="A9395" s="3" t="s">
        <v>9115</v>
      </c>
      <c r="B9395" s="12" t="s">
        <v>2896</v>
      </c>
      <c r="C9395" s="46" t="s">
        <v>9387</v>
      </c>
      <c r="D9395" s="41" t="str">
        <f ca="1">IFERROR(__xludf.DUMMYFUNCTION("IFERROR(ARRAYFORMULA(REGEXEXTRACT(C9395,""^(?:https?:\/\/)?(?:[^@\n]+@)?(?:www\.)?([^:\/\n]+)"")),"""")"),"omnihomeideas.com")</f>
        <v>omnihomeideas.com</v>
      </c>
      <c r="E9395" s="26" t="str">
        <f ca="1">IFERROR(__xludf.DUMMYFUNCTION("""COMPUTED_VALUE"""),"Already Exists")</f>
        <v>Already Exists</v>
      </c>
      <c r="F9395" s="72">
        <v>38</v>
      </c>
      <c r="G9395" s="72">
        <v>1862</v>
      </c>
    </row>
    <row r="9396" spans="1:7" ht="14.5" hidden="1">
      <c r="A9396" s="3" t="s">
        <v>9115</v>
      </c>
      <c r="B9396" s="12" t="s">
        <v>2896</v>
      </c>
      <c r="C9396" s="46" t="s">
        <v>9388</v>
      </c>
      <c r="D9396" s="41" t="str">
        <f ca="1">IFERROR(__xludf.DUMMYFUNCTION("IFERROR(ARRAYFORMULA(REGEXEXTRACT(C9396,""^(?:https?:\/\/)?(?:[^@\n]+@)?(?:www\.)?([^:\/\n]+)"")),"""")"),"businessflare.co.uk")</f>
        <v>businessflare.co.uk</v>
      </c>
      <c r="E9396" s="26" t="str">
        <f ca="1">IFERROR(__xludf.DUMMYFUNCTION("""COMPUTED_VALUE"""),"Already Exists")</f>
        <v>Already Exists</v>
      </c>
      <c r="F9396" s="72">
        <v>46</v>
      </c>
      <c r="G9396" s="72">
        <v>1155</v>
      </c>
    </row>
    <row r="9397" spans="1:7" ht="14.5" hidden="1">
      <c r="A9397" s="3" t="s">
        <v>9115</v>
      </c>
      <c r="B9397" s="12" t="s">
        <v>2896</v>
      </c>
      <c r="C9397" s="46" t="s">
        <v>9389</v>
      </c>
      <c r="D9397" s="41" t="str">
        <f ca="1">IFERROR(__xludf.DUMMYFUNCTION("IFERROR(ARRAYFORMULA(REGEXEXTRACT(C9397,""^(?:https?:\/\/)?(?:[^@\n]+@)?(?:www\.)?([^:\/\n]+)"")),"""")"),"opplehouse.com")</f>
        <v>opplehouse.com</v>
      </c>
      <c r="E9397" s="26" t="str">
        <f ca="1">IFERROR(__xludf.DUMMYFUNCTION("""COMPUTED_VALUE"""),"Already Exists")</f>
        <v>Already Exists</v>
      </c>
      <c r="F9397" s="72">
        <v>59</v>
      </c>
      <c r="G9397" s="72">
        <v>2999</v>
      </c>
    </row>
    <row r="9398" spans="1:7" ht="14.5">
      <c r="A9398" s="3" t="s">
        <v>9115</v>
      </c>
      <c r="B9398" s="12" t="s">
        <v>2896</v>
      </c>
      <c r="C9398" s="46" t="s">
        <v>9390</v>
      </c>
      <c r="D9398" s="41" t="str">
        <f ca="1">IFERROR(__xludf.DUMMYFUNCTION("IFERROR(ARRAYFORMULA(REGEXEXTRACT(C9398,""^(?:https?:\/\/)?(?:[^@\n]+@)?(?:www\.)?([^:\/\n]+)"")),"""")"),"puremagazine.co.uk")</f>
        <v>puremagazine.co.uk</v>
      </c>
      <c r="E9398" s="26" t="str">
        <f ca="1">IFERROR(__xludf.DUMMYFUNCTION("""COMPUTED_VALUE"""),"New")</f>
        <v>New</v>
      </c>
      <c r="F9398" s="72">
        <v>54</v>
      </c>
      <c r="G9398" s="72">
        <v>5849</v>
      </c>
    </row>
    <row r="9399" spans="1:7" ht="14.5" hidden="1">
      <c r="A9399" s="3" t="s">
        <v>9115</v>
      </c>
      <c r="B9399" s="12" t="s">
        <v>2896</v>
      </c>
      <c r="C9399" s="46" t="s">
        <v>9391</v>
      </c>
      <c r="D9399" s="41" t="str">
        <f ca="1">IFERROR(__xludf.DUMMYFUNCTION("IFERROR(ARRAYFORMULA(REGEXEXTRACT(C9399,""^(?:https?:\/\/)?(?:[^@\n]+@)?(?:www\.)?([^:\/\n]+)"")),"""")"),"mystayathomeadventures.com")</f>
        <v>mystayathomeadventures.com</v>
      </c>
      <c r="E9399" s="26" t="str">
        <f ca="1">IFERROR(__xludf.DUMMYFUNCTION("""COMPUTED_VALUE"""),"Already Exists")</f>
        <v>Already Exists</v>
      </c>
      <c r="F9399" s="72">
        <v>40</v>
      </c>
      <c r="G9399" s="72">
        <v>1839</v>
      </c>
    </row>
    <row r="9400" spans="1:7" ht="14.5">
      <c r="A9400" s="3" t="s">
        <v>9115</v>
      </c>
      <c r="B9400" s="12" t="s">
        <v>2896</v>
      </c>
      <c r="C9400" s="46" t="s">
        <v>9392</v>
      </c>
      <c r="D9400" s="41" t="str">
        <f ca="1">IFERROR(__xludf.DUMMYFUNCTION("IFERROR(ARRAYFORMULA(REGEXEXTRACT(C9400,""^(?:https?:\/\/)?(?:[^@\n]+@)?(?:www\.)?([^:\/\n]+)"")),"""")"),"smartbusinessdaily.com")</f>
        <v>smartbusinessdaily.com</v>
      </c>
      <c r="E9400" s="26" t="str">
        <f ca="1">IFERROR(__xludf.DUMMYFUNCTION("""COMPUTED_VALUE"""),"New")</f>
        <v>New</v>
      </c>
      <c r="F9400" s="72">
        <v>45</v>
      </c>
      <c r="G9400" s="72">
        <v>7494</v>
      </c>
    </row>
    <row r="9401" spans="1:7" ht="14.5">
      <c r="A9401" s="3" t="s">
        <v>9115</v>
      </c>
      <c r="B9401" s="12" t="s">
        <v>2896</v>
      </c>
      <c r="C9401" s="46" t="s">
        <v>9393</v>
      </c>
      <c r="D9401" s="41" t="str">
        <f ca="1">IFERROR(__xludf.DUMMYFUNCTION("IFERROR(ARRAYFORMULA(REGEXEXTRACT(C9401,""^(?:https?:\/\/)?(?:[^@\n]+@)?(?:www\.)?([^:\/\n]+)"")),"""")"),"osvira.com")</f>
        <v>osvira.com</v>
      </c>
      <c r="E9401" s="26" t="str">
        <f ca="1">IFERROR(__xludf.DUMMYFUNCTION("""COMPUTED_VALUE"""),"New")</f>
        <v>New</v>
      </c>
      <c r="F9401" s="72">
        <v>66</v>
      </c>
      <c r="G9401" s="72">
        <v>1426</v>
      </c>
    </row>
    <row r="9402" spans="1:7" ht="14.5">
      <c r="A9402" s="3" t="s">
        <v>9115</v>
      </c>
      <c r="B9402" s="12" t="s">
        <v>2896</v>
      </c>
      <c r="C9402" s="46" t="s">
        <v>9394</v>
      </c>
      <c r="D9402" s="41" t="str">
        <f ca="1">IFERROR(__xludf.DUMMYFUNCTION("IFERROR(ARRAYFORMULA(REGEXEXTRACT(C9402,""^(?:https?:\/\/)?(?:[^@\n]+@)?(?:www\.)?([^:\/\n]+)"")),"""")"),"blogbuz.co.uk")</f>
        <v>blogbuz.co.uk</v>
      </c>
      <c r="E9402" s="26" t="str">
        <f ca="1">IFERROR(__xludf.DUMMYFUNCTION("""COMPUTED_VALUE"""),"New")</f>
        <v>New</v>
      </c>
      <c r="F9402" s="72">
        <v>56</v>
      </c>
      <c r="G9402" s="72">
        <v>8870</v>
      </c>
    </row>
    <row r="9403" spans="1:7" ht="14.5">
      <c r="A9403" s="3" t="s">
        <v>9115</v>
      </c>
      <c r="B9403" s="12" t="s">
        <v>2896</v>
      </c>
      <c r="C9403" s="46" t="s">
        <v>9395</v>
      </c>
      <c r="D9403" s="41" t="str">
        <f ca="1">IFERROR(__xludf.DUMMYFUNCTION("IFERROR(ARRAYFORMULA(REGEXEXTRACT(C9403,""^(?:https?:\/\/)?(?:[^@\n]+@)?(?:www\.)?([^:\/\n]+)"")),"""")"),"azbigmedia.com")</f>
        <v>azbigmedia.com</v>
      </c>
      <c r="E9403" s="26" t="str">
        <f ca="1">IFERROR(__xludf.DUMMYFUNCTION("""COMPUTED_VALUE"""),"New")</f>
        <v>New</v>
      </c>
      <c r="F9403" s="72">
        <v>77</v>
      </c>
      <c r="G9403" s="72">
        <v>10201</v>
      </c>
    </row>
    <row r="9404" spans="1:7" ht="14.5">
      <c r="A9404" s="3" t="s">
        <v>9115</v>
      </c>
      <c r="B9404" s="12" t="s">
        <v>2896</v>
      </c>
      <c r="C9404" s="46" t="s">
        <v>9396</v>
      </c>
      <c r="D9404" s="41" t="str">
        <f ca="1">IFERROR(__xludf.DUMMYFUNCTION("IFERROR(ARRAYFORMULA(REGEXEXTRACT(C9404,""^(?:https?:\/\/)?(?:[^@\n]+@)?(?:www\.)?([^:\/\n]+)"")),"""")"),"notsalmon.com")</f>
        <v>notsalmon.com</v>
      </c>
      <c r="E9404" s="26" t="str">
        <f ca="1">IFERROR(__xludf.DUMMYFUNCTION("""COMPUTED_VALUE"""),"New")</f>
        <v>New</v>
      </c>
      <c r="F9404" s="72">
        <v>44</v>
      </c>
      <c r="G9404" s="72">
        <v>33097</v>
      </c>
    </row>
    <row r="9405" spans="1:7" ht="14.5" hidden="1">
      <c r="A9405" s="3" t="s">
        <v>9115</v>
      </c>
      <c r="B9405" s="12" t="s">
        <v>2896</v>
      </c>
      <c r="C9405" s="46" t="s">
        <v>9397</v>
      </c>
      <c r="D9405" s="41" t="str">
        <f ca="1">IFERROR(__xludf.DUMMYFUNCTION("IFERROR(ARRAYFORMULA(REGEXEXTRACT(C9405,""^(?:https?:\/\/)?(?:[^@\n]+@)?(?:www\.)?([^:\/\n]+)"")),"""")"),"literallydarling.com")</f>
        <v>literallydarling.com</v>
      </c>
      <c r="E9405" s="26" t="str">
        <f ca="1">IFERROR(__xludf.DUMMYFUNCTION("""COMPUTED_VALUE"""),"Already Exists")</f>
        <v>Already Exists</v>
      </c>
      <c r="F9405" s="72">
        <v>71</v>
      </c>
      <c r="G9405" s="72">
        <v>2115</v>
      </c>
    </row>
    <row r="9406" spans="1:7" ht="14.5" hidden="1">
      <c r="A9406" s="3" t="s">
        <v>9115</v>
      </c>
      <c r="B9406" s="12" t="s">
        <v>2896</v>
      </c>
      <c r="C9406" s="46" t="s">
        <v>9398</v>
      </c>
      <c r="D9406" s="41" t="str">
        <f ca="1">IFERROR(__xludf.DUMMYFUNCTION("IFERROR(ARRAYFORMULA(REGEXEXTRACT(C9406,""^(?:https?:\/\/)?(?:[^@\n]+@)?(?:www\.)?([^:\/\n]+)"")),"""")"),"patioandpizza.com")</f>
        <v>patioandpizza.com</v>
      </c>
      <c r="E9406" s="26" t="str">
        <f ca="1">IFERROR(__xludf.DUMMYFUNCTION("""COMPUTED_VALUE"""),"Already Exists")</f>
        <v>Already Exists</v>
      </c>
      <c r="F9406" s="72">
        <v>38</v>
      </c>
      <c r="G9406" s="72">
        <v>10340</v>
      </c>
    </row>
    <row r="9407" spans="1:7" ht="14.5" hidden="1">
      <c r="A9407" s="3" t="s">
        <v>9115</v>
      </c>
      <c r="B9407" s="12" t="s">
        <v>2896</v>
      </c>
      <c r="C9407" s="46" t="s">
        <v>9399</v>
      </c>
      <c r="D9407" s="41" t="str">
        <f ca="1">IFERROR(__xludf.DUMMYFUNCTION("IFERROR(ARRAYFORMULA(REGEXEXTRACT(C9407,""^(?:https?:\/\/)?(?:[^@\n]+@)?(?:www\.)?([^:\/\n]+)"")),"""")"),"thepinnaclelist.com")</f>
        <v>thepinnaclelist.com</v>
      </c>
      <c r="E9407" s="26" t="str">
        <f ca="1">IFERROR(__xludf.DUMMYFUNCTION("""COMPUTED_VALUE"""),"Already Exists")</f>
        <v>Already Exists</v>
      </c>
      <c r="F9407" s="72">
        <v>57</v>
      </c>
      <c r="G9407" s="72">
        <v>1211</v>
      </c>
    </row>
    <row r="9408" spans="1:7" ht="14.5" hidden="1">
      <c r="A9408" s="3" t="s">
        <v>9115</v>
      </c>
      <c r="B9408" s="12" t="s">
        <v>2896</v>
      </c>
      <c r="C9408" s="46" t="s">
        <v>9400</v>
      </c>
      <c r="D9408" s="41" t="str">
        <f ca="1">IFERROR(__xludf.DUMMYFUNCTION("IFERROR(ARRAYFORMULA(REGEXEXTRACT(C9408,""^(?:https?:\/\/)?(?:[^@\n]+@)?(?:www\.)?([^:\/\n]+)"")),"""")"),"decoratoradvice.com")</f>
        <v>decoratoradvice.com</v>
      </c>
      <c r="E9408" s="26" t="str">
        <f ca="1">IFERROR(__xludf.DUMMYFUNCTION("""COMPUTED_VALUE"""),"Already Exists")</f>
        <v>Already Exists</v>
      </c>
      <c r="F9408" s="72">
        <v>71</v>
      </c>
      <c r="G9408" s="72">
        <v>83352</v>
      </c>
    </row>
    <row r="9409" spans="1:7" ht="14.5" hidden="1">
      <c r="A9409" s="3" t="s">
        <v>9115</v>
      </c>
      <c r="B9409" s="12" t="s">
        <v>2896</v>
      </c>
      <c r="C9409" s="46" t="s">
        <v>9401</v>
      </c>
      <c r="D9409" s="41" t="str">
        <f ca="1">IFERROR(__xludf.DUMMYFUNCTION("IFERROR(ARRAYFORMULA(REGEXEXTRACT(C9409,""^(?:https?:\/\/)?(?:[^@\n]+@)?(?:www\.)?([^:\/\n]+)"")),"""")"),"europeanbusinessmagazine.com")</f>
        <v>europeanbusinessmagazine.com</v>
      </c>
      <c r="E9409" s="26" t="str">
        <f ca="1">IFERROR(__xludf.DUMMYFUNCTION("""COMPUTED_VALUE"""),"Already Exists")</f>
        <v>Already Exists</v>
      </c>
      <c r="F9409" s="72">
        <v>72</v>
      </c>
      <c r="G9409" s="72">
        <v>3190</v>
      </c>
    </row>
    <row r="9410" spans="1:7" ht="14.5">
      <c r="A9410" s="3" t="s">
        <v>9115</v>
      </c>
      <c r="B9410" s="12" t="s">
        <v>2896</v>
      </c>
      <c r="C9410" s="46" t="s">
        <v>9402</v>
      </c>
      <c r="D9410" s="41" t="str">
        <f ca="1">IFERROR(__xludf.DUMMYFUNCTION("IFERROR(ARRAYFORMULA(REGEXEXTRACT(C9410,""^(?:https?:\/\/)?(?:[^@\n]+@)?(?:www\.)?([^:\/\n]+)"")),"""")"),"magazinedreams.org")</f>
        <v>magazinedreams.org</v>
      </c>
      <c r="E9410" s="26" t="str">
        <f ca="1">IFERROR(__xludf.DUMMYFUNCTION("""COMPUTED_VALUE"""),"New")</f>
        <v>New</v>
      </c>
      <c r="F9410" s="72">
        <v>33</v>
      </c>
      <c r="G9410" s="72">
        <v>2657</v>
      </c>
    </row>
    <row r="9411" spans="1:7" ht="14.5">
      <c r="A9411" s="3" t="s">
        <v>9115</v>
      </c>
      <c r="B9411" s="12" t="s">
        <v>2896</v>
      </c>
      <c r="C9411" s="46" t="s">
        <v>9403</v>
      </c>
      <c r="D9411" s="41" t="str">
        <f ca="1">IFERROR(__xludf.DUMMYFUNCTION("IFERROR(ARRAYFORMULA(REGEXEXTRACT(C9411,""^(?:https?:\/\/)?(?:[^@\n]+@)?(?:www\.)?([^:\/\n]+)"")),"""")"),"sheenmagazine.com")</f>
        <v>sheenmagazine.com</v>
      </c>
      <c r="E9411" s="26" t="str">
        <f ca="1">IFERROR(__xludf.DUMMYFUNCTION("""COMPUTED_VALUE"""),"New")</f>
        <v>New</v>
      </c>
      <c r="F9411" s="72">
        <v>68</v>
      </c>
      <c r="G9411" s="72">
        <v>2978</v>
      </c>
    </row>
    <row r="9412" spans="1:7" ht="14.5" hidden="1">
      <c r="A9412" s="3" t="s">
        <v>9115</v>
      </c>
      <c r="B9412" s="12" t="s">
        <v>2896</v>
      </c>
      <c r="C9412" s="46" t="s">
        <v>9404</v>
      </c>
      <c r="D9412" s="41" t="str">
        <f ca="1">IFERROR(__xludf.DUMMYFUNCTION("IFERROR(ARRAYFORMULA(REGEXEXTRACT(C9412,""^(?:https?:\/\/)?(?:[^@\n]+@)?(?:www\.)?([^:\/\n]+)"")),"""")"),"s3da-design.com")</f>
        <v>s3da-design.com</v>
      </c>
      <c r="E9412" s="26" t="str">
        <f ca="1">IFERROR(__xludf.DUMMYFUNCTION("""COMPUTED_VALUE"""),"Already Exists")</f>
        <v>Already Exists</v>
      </c>
      <c r="F9412" s="72">
        <v>39</v>
      </c>
      <c r="G9412" s="72">
        <v>1418</v>
      </c>
    </row>
    <row r="9413" spans="1:7" ht="14.5">
      <c r="A9413" s="3" t="s">
        <v>9115</v>
      </c>
      <c r="B9413" s="12" t="s">
        <v>2896</v>
      </c>
      <c r="C9413" s="46" t="s">
        <v>9405</v>
      </c>
      <c r="D9413" s="41" t="str">
        <f ca="1">IFERROR(__xludf.DUMMYFUNCTION("IFERROR(ARRAYFORMULA(REGEXEXTRACT(C9413,""^(?:https?:\/\/)?(?:[^@\n]+@)?(?:www\.)?([^:\/\n]+)"")),"""")"),"payspacemagazine.com")</f>
        <v>payspacemagazine.com</v>
      </c>
      <c r="E9413" s="26" t="str">
        <f ca="1">IFERROR(__xludf.DUMMYFUNCTION("""COMPUTED_VALUE"""),"New")</f>
        <v>New</v>
      </c>
      <c r="F9413" s="72">
        <v>54</v>
      </c>
      <c r="G9413" s="72">
        <v>2973</v>
      </c>
    </row>
    <row r="9414" spans="1:7" ht="14.5" hidden="1">
      <c r="A9414" s="3" t="s">
        <v>9115</v>
      </c>
      <c r="B9414" s="12" t="s">
        <v>2896</v>
      </c>
      <c r="C9414" s="46" t="s">
        <v>9406</v>
      </c>
      <c r="D9414" s="41" t="str">
        <f ca="1">IFERROR(__xludf.DUMMYFUNCTION("IFERROR(ARRAYFORMULA(REGEXEXTRACT(C9414,""^(?:https?:\/\/)?(?:[^@\n]+@)?(?:www\.)?([^:\/\n]+)"")),"""")"),"soup.io")</f>
        <v>soup.io</v>
      </c>
      <c r="E9414" s="26" t="str">
        <f ca="1">IFERROR(__xludf.DUMMYFUNCTION("""COMPUTED_VALUE"""),"Already Exists")</f>
        <v>Already Exists</v>
      </c>
      <c r="F9414" s="72">
        <v>72</v>
      </c>
      <c r="G9414" s="72">
        <v>1164</v>
      </c>
    </row>
    <row r="9415" spans="1:7" ht="14.5" hidden="1">
      <c r="A9415" s="3" t="s">
        <v>9115</v>
      </c>
      <c r="B9415" s="12" t="s">
        <v>2896</v>
      </c>
      <c r="C9415" s="46" t="s">
        <v>9407</v>
      </c>
      <c r="D9415" s="41" t="str">
        <f ca="1">IFERROR(__xludf.DUMMYFUNCTION("IFERROR(ARRAYFORMULA(REGEXEXTRACT(C9415,""^(?:https?:\/\/)?(?:[^@\n]+@)?(?:www\.)?([^:\/\n]+)"")),"""")"),"tinyhouse.com")</f>
        <v>tinyhouse.com</v>
      </c>
      <c r="E9415" s="26" t="str">
        <f ca="1">IFERROR(__xludf.DUMMYFUNCTION("""COMPUTED_VALUE"""),"Already Exists")</f>
        <v>Already Exists</v>
      </c>
      <c r="F9415" s="72">
        <v>53</v>
      </c>
      <c r="G9415" s="72">
        <v>3945</v>
      </c>
    </row>
    <row r="9416" spans="1:7" ht="14.5">
      <c r="A9416" s="3" t="s">
        <v>9115</v>
      </c>
      <c r="B9416" s="12" t="s">
        <v>2896</v>
      </c>
      <c r="C9416" s="46" t="s">
        <v>9408</v>
      </c>
      <c r="D9416" s="41" t="str">
        <f ca="1">IFERROR(__xludf.DUMMYFUNCTION("IFERROR(ARRAYFORMULA(REGEXEXTRACT(C9416,""^(?:https?:\/\/)?(?:[^@\n]+@)?(?:www\.)?([^:\/\n]+)"")),"""")"),"urbanmatter.com")</f>
        <v>urbanmatter.com</v>
      </c>
      <c r="E9416" s="26" t="str">
        <f ca="1">IFERROR(__xludf.DUMMYFUNCTION("""COMPUTED_VALUE"""),"New")</f>
        <v>New</v>
      </c>
      <c r="F9416" s="72">
        <v>69</v>
      </c>
      <c r="G9416" s="72">
        <v>15095</v>
      </c>
    </row>
    <row r="9417" spans="1:7" ht="14.5" hidden="1">
      <c r="A9417" s="3" t="s">
        <v>9115</v>
      </c>
      <c r="B9417" s="12" t="s">
        <v>2896</v>
      </c>
      <c r="C9417" s="46" t="s">
        <v>9409</v>
      </c>
      <c r="D9417" s="41" t="str">
        <f ca="1">IFERROR(__xludf.DUMMYFUNCTION("IFERROR(ARRAYFORMULA(REGEXEXTRACT(C9417,""^(?:https?:\/\/)?(?:[^@\n]+@)?(?:www\.)?([^:\/\n]+)"")),"""")"),"metapress.com")</f>
        <v>metapress.com</v>
      </c>
      <c r="E9417" s="26" t="str">
        <f ca="1">IFERROR(__xludf.DUMMYFUNCTION("""COMPUTED_VALUE"""),"Already Exists")</f>
        <v>Already Exists</v>
      </c>
      <c r="F9417" s="72">
        <v>80</v>
      </c>
      <c r="G9417" s="72">
        <v>2445</v>
      </c>
    </row>
    <row r="9418" spans="1:7" ht="14.5">
      <c r="A9418" s="3" t="s">
        <v>9115</v>
      </c>
      <c r="B9418" s="12" t="s">
        <v>2896</v>
      </c>
      <c r="C9418" s="46" t="s">
        <v>9410</v>
      </c>
      <c r="D9418" s="41" t="str">
        <f ca="1">IFERROR(__xludf.DUMMYFUNCTION("IFERROR(ARRAYFORMULA(REGEXEXTRACT(C9418,""^(?:https?:\/\/)?(?:[^@\n]+@)?(?:www\.)?([^:\/\n]+)"")),"""")"),"kahawatungu.com")</f>
        <v>kahawatungu.com</v>
      </c>
      <c r="E9418" s="26" t="str">
        <f ca="1">IFERROR(__xludf.DUMMYFUNCTION("""COMPUTED_VALUE"""),"New")</f>
        <v>New</v>
      </c>
      <c r="F9418" s="72">
        <v>49</v>
      </c>
      <c r="G9418" s="72">
        <v>3382</v>
      </c>
    </row>
    <row r="9419" spans="1:7" ht="14.5">
      <c r="A9419" s="3" t="s">
        <v>9115</v>
      </c>
      <c r="B9419" s="12" t="s">
        <v>2896</v>
      </c>
      <c r="C9419" s="46" t="s">
        <v>9411</v>
      </c>
      <c r="D9419" s="41" t="str">
        <f ca="1">IFERROR(__xludf.DUMMYFUNCTION("IFERROR(ARRAYFORMULA(REGEXEXTRACT(C9419,""^(?:https?:\/\/)?(?:[^@\n]+@)?(?:www\.)?([^:\/\n]+)"")),"""")"),"techepeak.com")</f>
        <v>techepeak.com</v>
      </c>
      <c r="E9419" s="26" t="str">
        <f ca="1">IFERROR(__xludf.DUMMYFUNCTION("""COMPUTED_VALUE"""),"New")</f>
        <v>New</v>
      </c>
      <c r="F9419" s="72">
        <v>53</v>
      </c>
      <c r="G9419" s="72">
        <v>7560</v>
      </c>
    </row>
    <row r="9420" spans="1:7" ht="14.5" hidden="1">
      <c r="A9420" s="3" t="s">
        <v>9115</v>
      </c>
      <c r="B9420" s="12" t="s">
        <v>2896</v>
      </c>
      <c r="C9420" s="46" t="s">
        <v>9412</v>
      </c>
      <c r="D9420" s="41" t="str">
        <f ca="1">IFERROR(__xludf.DUMMYFUNCTION("IFERROR(ARRAYFORMULA(REGEXEXTRACT(C9420,""^(?:https?:\/\/)?(?:[^@\n]+@)?(?:www\.)?([^:\/\n]+)"")),"""")"),"bnonews.com")</f>
        <v>bnonews.com</v>
      </c>
      <c r="E9420" s="26" t="str">
        <f ca="1">IFERROR(__xludf.DUMMYFUNCTION("""COMPUTED_VALUE"""),"Already Exists")</f>
        <v>Already Exists</v>
      </c>
      <c r="F9420" s="72">
        <v>70</v>
      </c>
      <c r="G9420" s="72">
        <v>4346</v>
      </c>
    </row>
    <row r="9421" spans="1:7" ht="14.5">
      <c r="A9421" s="3" t="s">
        <v>9115</v>
      </c>
      <c r="B9421" s="12" t="s">
        <v>2896</v>
      </c>
      <c r="C9421" s="46" t="s">
        <v>9413</v>
      </c>
      <c r="D9421" s="41" t="str">
        <f ca="1">IFERROR(__xludf.DUMMYFUNCTION("IFERROR(ARRAYFORMULA(REGEXEXTRACT(C9421,""^(?:https?:\/\/)?(?:[^@\n]+@)?(?:www\.)?([^:\/\n]+)"")),"""")"),"cloudmagazine.co.uk")</f>
        <v>cloudmagazine.co.uk</v>
      </c>
      <c r="E9421" s="26" t="str">
        <f ca="1">IFERROR(__xludf.DUMMYFUNCTION("""COMPUTED_VALUE"""),"New")</f>
        <v>New</v>
      </c>
      <c r="F9421" s="72">
        <v>33</v>
      </c>
      <c r="G9421" s="72">
        <v>56080</v>
      </c>
    </row>
    <row r="9422" spans="1:7" ht="14.5" hidden="1">
      <c r="A9422" s="3" t="s">
        <v>9115</v>
      </c>
      <c r="B9422" s="12" t="s">
        <v>2896</v>
      </c>
      <c r="C9422" s="46" t="s">
        <v>9414</v>
      </c>
      <c r="D9422" s="41" t="str">
        <f ca="1">IFERROR(__xludf.DUMMYFUNCTION("IFERROR(ARRAYFORMULA(REGEXEXTRACT(C9422,""^(?:https?:\/\/)?(?:[^@\n]+@)?(?:www\.)?([^:\/\n]+)"")),"""")"),"freshdesignblog.com")</f>
        <v>freshdesignblog.com</v>
      </c>
      <c r="E9422" s="26" t="str">
        <f ca="1">IFERROR(__xludf.DUMMYFUNCTION("""COMPUTED_VALUE"""),"Already Exists")</f>
        <v>Already Exists</v>
      </c>
      <c r="F9422" s="72">
        <v>56</v>
      </c>
      <c r="G9422" s="72">
        <v>1022</v>
      </c>
    </row>
    <row r="9423" spans="1:7" ht="14.5">
      <c r="A9423" s="3" t="s">
        <v>9115</v>
      </c>
      <c r="B9423" s="12" t="s">
        <v>2896</v>
      </c>
      <c r="C9423" s="46" t="s">
        <v>9415</v>
      </c>
      <c r="D9423" s="41" t="str">
        <f ca="1">IFERROR(__xludf.DUMMYFUNCTION("IFERROR(ARRAYFORMULA(REGEXEXTRACT(C9423,""^(?:https?:\/\/)?(?:[^@\n]+@)?(?:www\.)?([^:\/\n]+)"")),"""")"),"radical.fm")</f>
        <v>radical.fm</v>
      </c>
      <c r="E9423" s="26" t="str">
        <f ca="1">IFERROR(__xludf.DUMMYFUNCTION("""COMPUTED_VALUE"""),"New")</f>
        <v>New</v>
      </c>
      <c r="F9423" s="72">
        <v>56</v>
      </c>
      <c r="G9423" s="72">
        <v>28803</v>
      </c>
    </row>
    <row r="9424" spans="1:7" ht="14.5">
      <c r="A9424" s="3" t="s">
        <v>9115</v>
      </c>
      <c r="B9424" s="12" t="s">
        <v>2896</v>
      </c>
      <c r="C9424" s="46" t="s">
        <v>9416</v>
      </c>
      <c r="D9424" s="41" t="str">
        <f ca="1">IFERROR(__xludf.DUMMYFUNCTION("IFERROR(ARRAYFORMULA(REGEXEXTRACT(C9424,""^(?:https?:\/\/)?(?:[^@\n]+@)?(?:www\.)?([^:\/\n]+)"")),"""")"),"exeleonmagazine.com")</f>
        <v>exeleonmagazine.com</v>
      </c>
      <c r="E9424" s="26" t="str">
        <f ca="1">IFERROR(__xludf.DUMMYFUNCTION("""COMPUTED_VALUE"""),"New")</f>
        <v>New</v>
      </c>
      <c r="F9424" s="72">
        <v>56</v>
      </c>
      <c r="G9424" s="72">
        <v>7479</v>
      </c>
    </row>
    <row r="9425" spans="1:7" ht="14.5" hidden="1">
      <c r="A9425" s="3" t="s">
        <v>9115</v>
      </c>
      <c r="B9425" s="12" t="s">
        <v>2896</v>
      </c>
      <c r="C9425" s="46" t="s">
        <v>9417</v>
      </c>
      <c r="D9425" s="41" t="str">
        <f ca="1">IFERROR(__xludf.DUMMYFUNCTION("IFERROR(ARRAYFORMULA(REGEXEXTRACT(C9425,""^(?:https?:\/\/)?(?:[^@\n]+@)?(?:www\.)?([^:\/\n]+)"")),"""")"),"gharpedia.com")</f>
        <v>gharpedia.com</v>
      </c>
      <c r="E9425" s="26" t="str">
        <f ca="1">IFERROR(__xludf.DUMMYFUNCTION("""COMPUTED_VALUE"""),"Already Exists")</f>
        <v>Already Exists</v>
      </c>
      <c r="F9425" s="72">
        <v>58</v>
      </c>
      <c r="G9425" s="72">
        <v>30444</v>
      </c>
    </row>
    <row r="9426" spans="1:7" ht="14.5" hidden="1">
      <c r="A9426" s="3" t="s">
        <v>9115</v>
      </c>
      <c r="B9426" s="12" t="s">
        <v>2896</v>
      </c>
      <c r="C9426" s="46" t="s">
        <v>9418</v>
      </c>
      <c r="D9426" s="41" t="str">
        <f ca="1">IFERROR(__xludf.DUMMYFUNCTION("IFERROR(ARRAYFORMULA(REGEXEXTRACT(C9426,""^(?:https?:\/\/)?(?:[^@\n]+@)?(?:www\.)?([^:\/\n]+)"")),"""")"),"build-review.com")</f>
        <v>build-review.com</v>
      </c>
      <c r="E9426" s="26" t="str">
        <f ca="1">IFERROR(__xludf.DUMMYFUNCTION("""COMPUTED_VALUE"""),"Already Exists")</f>
        <v>Already Exists</v>
      </c>
      <c r="F9426" s="72">
        <v>74</v>
      </c>
      <c r="G9426" s="72">
        <v>1840</v>
      </c>
    </row>
    <row r="9427" spans="1:7" ht="14.5" hidden="1">
      <c r="A9427" s="3" t="s">
        <v>9115</v>
      </c>
      <c r="B9427" s="12" t="s">
        <v>2896</v>
      </c>
      <c r="C9427" s="46" t="s">
        <v>9419</v>
      </c>
      <c r="D9427" s="41" t="str">
        <f ca="1">IFERROR(__xludf.DUMMYFUNCTION("IFERROR(ARRAYFORMULA(REGEXEXTRACT(C9427,""^(?:https?:\/\/)?(?:[^@\n]+@)?(?:www\.)?([^:\/\n]+)"")),"""")"),"sweetsofties.com")</f>
        <v>sweetsofties.com</v>
      </c>
      <c r="E9427" s="26" t="str">
        <f ca="1">IFERROR(__xludf.DUMMYFUNCTION("""COMPUTED_VALUE"""),"Already Exists")</f>
        <v>Already Exists</v>
      </c>
      <c r="F9427" s="72">
        <v>51</v>
      </c>
      <c r="G9427" s="72">
        <v>15130</v>
      </c>
    </row>
    <row r="9428" spans="1:7" ht="14.5" hidden="1">
      <c r="A9428" s="3" t="s">
        <v>9115</v>
      </c>
      <c r="B9428" s="12" t="s">
        <v>2896</v>
      </c>
      <c r="C9428" s="46" t="s">
        <v>9420</v>
      </c>
      <c r="D9428" s="41" t="str">
        <f ca="1">IFERROR(__xludf.DUMMYFUNCTION("IFERROR(ARRAYFORMULA(REGEXEXTRACT(C9428,""^(?:https?:\/\/)?(?:[^@\n]+@)?(?:www\.)?([^:\/\n]+)"")),"""")"),"miamilivingmagazine.com")</f>
        <v>miamilivingmagazine.com</v>
      </c>
      <c r="E9428" s="26" t="str">
        <f ca="1">IFERROR(__xludf.DUMMYFUNCTION("""COMPUTED_VALUE"""),"Already Exists")</f>
        <v>Already Exists</v>
      </c>
      <c r="F9428" s="72">
        <v>64</v>
      </c>
      <c r="G9428" s="72">
        <v>4727</v>
      </c>
    </row>
    <row r="9429" spans="1:7" ht="14.5" hidden="1">
      <c r="A9429" s="3" t="s">
        <v>9115</v>
      </c>
      <c r="B9429" s="12" t="s">
        <v>2896</v>
      </c>
      <c r="C9429" s="46" t="s">
        <v>9421</v>
      </c>
      <c r="D9429" s="41" t="str">
        <f ca="1">IFERROR(__xludf.DUMMYFUNCTION("IFERROR(ARRAYFORMULA(REGEXEXTRACT(C9429,""^(?:https?:\/\/)?(?:[^@\n]+@)?(?:www\.)?([^:\/\n]+)"")),"""")"),"geeksaroundglobe.com")</f>
        <v>geeksaroundglobe.com</v>
      </c>
      <c r="E9429" s="26" t="str">
        <f ca="1">IFERROR(__xludf.DUMMYFUNCTION("""COMPUTED_VALUE"""),"Already Exists")</f>
        <v>Already Exists</v>
      </c>
      <c r="F9429" s="72">
        <v>62</v>
      </c>
      <c r="G9429" s="72">
        <v>1961</v>
      </c>
    </row>
    <row r="9430" spans="1:7" ht="14.5">
      <c r="A9430" s="3" t="s">
        <v>9115</v>
      </c>
      <c r="B9430" s="12" t="s">
        <v>2896</v>
      </c>
      <c r="C9430" s="46" t="s">
        <v>9422</v>
      </c>
      <c r="D9430" s="41" t="str">
        <f ca="1">IFERROR(__xludf.DUMMYFUNCTION("IFERROR(ARRAYFORMULA(REGEXEXTRACT(C9430,""^(?:https?:\/\/)?(?:[^@\n]+@)?(?:www\.)?([^:\/\n]+)"")),"""")"),"bullfrogspas.com")</f>
        <v>bullfrogspas.com</v>
      </c>
      <c r="E9430" s="26" t="str">
        <f ca="1">IFERROR(__xludf.DUMMYFUNCTION("""COMPUTED_VALUE"""),"New")</f>
        <v>New</v>
      </c>
      <c r="F9430" s="72">
        <v>65</v>
      </c>
      <c r="G9430" s="72">
        <v>47288</v>
      </c>
    </row>
    <row r="9431" spans="1:7" ht="14.5">
      <c r="A9431" s="3" t="s">
        <v>9115</v>
      </c>
      <c r="B9431" s="12" t="s">
        <v>2896</v>
      </c>
      <c r="C9431" s="46" t="s">
        <v>9423</v>
      </c>
      <c r="D9431" s="41" t="str">
        <f ca="1">IFERROR(__xludf.DUMMYFUNCTION("IFERROR(ARRAYFORMULA(REGEXEXTRACT(C9431,""^(?:https?:\/\/)?(?:[^@\n]+@)?(?:www\.)?([^:\/\n]+)"")),"""")"),"ovessia.com")</f>
        <v>ovessia.com</v>
      </c>
      <c r="E9431" s="26" t="str">
        <f ca="1">IFERROR(__xludf.DUMMYFUNCTION("""COMPUTED_VALUE"""),"New")</f>
        <v>New</v>
      </c>
      <c r="F9431" s="72">
        <v>68</v>
      </c>
      <c r="G9431" s="72">
        <v>5128</v>
      </c>
    </row>
    <row r="9432" spans="1:7" ht="14.5">
      <c r="A9432" s="3" t="s">
        <v>9115</v>
      </c>
      <c r="B9432" s="12" t="s">
        <v>2896</v>
      </c>
      <c r="C9432" s="46" t="s">
        <v>9424</v>
      </c>
      <c r="D9432" s="41" t="str">
        <f ca="1">IFERROR(__xludf.DUMMYFUNCTION("IFERROR(ARRAYFORMULA(REGEXEXTRACT(C9432,""^(?:https?:\/\/)?(?:[^@\n]+@)?(?:www\.)?([^:\/\n]+)"")),"""")"),"thegameland.net")</f>
        <v>thegameland.net</v>
      </c>
      <c r="E9432" s="26" t="str">
        <f ca="1">IFERROR(__xludf.DUMMYFUNCTION("""COMPUTED_VALUE"""),"New")</f>
        <v>New</v>
      </c>
      <c r="F9432" s="72">
        <v>61</v>
      </c>
      <c r="G9432" s="72">
        <v>1737</v>
      </c>
    </row>
    <row r="9433" spans="1:7" ht="14.5">
      <c r="A9433" s="3" t="s">
        <v>9115</v>
      </c>
      <c r="B9433" s="17" t="s">
        <v>2905</v>
      </c>
      <c r="C9433" s="46" t="s">
        <v>9425</v>
      </c>
      <c r="D9433" s="41" t="str">
        <f ca="1">IFERROR(__xludf.DUMMYFUNCTION("IFERROR(ARRAYFORMULA(REGEXEXTRACT(C9433,""^(?:https?:\/\/)?(?:[^@\n]+@)?(?:www\.)?([^:\/\n]+)"")),"""")"),"leosdevelopments.com")</f>
        <v>leosdevelopments.com</v>
      </c>
      <c r="E9433" s="26" t="str">
        <f ca="1">IFERROR(__xludf.DUMMYFUNCTION("""COMPUTED_VALUE"""),"New")</f>
        <v>New</v>
      </c>
      <c r="F9433" s="72">
        <v>33</v>
      </c>
      <c r="G9433" s="72">
        <v>2532</v>
      </c>
    </row>
    <row r="9434" spans="1:7" ht="14.5" hidden="1">
      <c r="A9434" s="3" t="s">
        <v>9115</v>
      </c>
      <c r="B9434" s="12" t="s">
        <v>2905</v>
      </c>
      <c r="C9434" s="46" t="s">
        <v>9426</v>
      </c>
      <c r="D9434" s="41" t="str">
        <f ca="1">IFERROR(__xludf.DUMMYFUNCTION("IFERROR(ARRAYFORMULA(REGEXEXTRACT(C9434,""^(?:https?:\/\/)?(?:[^@\n]+@)?(?:www\.)?([^:\/\n]+)"")),"""")"),"fintechzoom.com")</f>
        <v>fintechzoom.com</v>
      </c>
      <c r="E9434" s="26" t="str">
        <f ca="1">IFERROR(__xludf.DUMMYFUNCTION("""COMPUTED_VALUE"""),"Already Exists")</f>
        <v>Already Exists</v>
      </c>
      <c r="F9434" s="72">
        <v>66</v>
      </c>
      <c r="G9434" s="72">
        <v>120496</v>
      </c>
    </row>
    <row r="9435" spans="1:7" ht="14.5">
      <c r="A9435" s="3" t="s">
        <v>9115</v>
      </c>
      <c r="B9435" s="12" t="s">
        <v>2905</v>
      </c>
      <c r="C9435" s="46" t="s">
        <v>9427</v>
      </c>
      <c r="D9435" s="41" t="str">
        <f ca="1">IFERROR(__xludf.DUMMYFUNCTION("IFERROR(ARRAYFORMULA(REGEXEXTRACT(C9435,""^(?:https?:\/\/)?(?:[^@\n]+@)?(?:www\.)?([^:\/\n]+)"")),"""")"),"corum-watches.com")</f>
        <v>corum-watches.com</v>
      </c>
      <c r="E9435" s="26" t="str">
        <f ca="1">IFERROR(__xludf.DUMMYFUNCTION("""COMPUTED_VALUE"""),"New")</f>
        <v>New</v>
      </c>
      <c r="F9435" s="72">
        <v>54</v>
      </c>
      <c r="G9435" s="72">
        <v>15027</v>
      </c>
    </row>
    <row r="9436" spans="1:7" ht="14.5">
      <c r="A9436" s="3" t="s">
        <v>9115</v>
      </c>
      <c r="B9436" s="12" t="s">
        <v>2905</v>
      </c>
      <c r="C9436" s="46" t="s">
        <v>9428</v>
      </c>
      <c r="D9436" s="41" t="str">
        <f ca="1">IFERROR(__xludf.DUMMYFUNCTION("IFERROR(ARRAYFORMULA(REGEXEXTRACT(C9436,""^(?:https?:\/\/)?(?:[^@\n]+@)?(?:www\.)?([^:\/\n]+)"")),"""")"),"wanderlustwine.co.uk")</f>
        <v>wanderlustwine.co.uk</v>
      </c>
      <c r="E9436" s="26" t="str">
        <f ca="1">IFERROR(__xludf.DUMMYFUNCTION("""COMPUTED_VALUE"""),"New")</f>
        <v>New</v>
      </c>
      <c r="F9436" s="72">
        <v>46</v>
      </c>
      <c r="G9436" s="72">
        <v>3470</v>
      </c>
    </row>
    <row r="9437" spans="1:7" ht="14.5">
      <c r="A9437" s="3" t="s">
        <v>9115</v>
      </c>
      <c r="B9437" s="12" t="s">
        <v>2905</v>
      </c>
      <c r="C9437" s="46" t="s">
        <v>9429</v>
      </c>
      <c r="D9437" s="41" t="str">
        <f ca="1">IFERROR(__xludf.DUMMYFUNCTION("IFERROR(ARRAYFORMULA(REGEXEXTRACT(C9437,""^(?:https?:\/\/)?(?:[^@\n]+@)?(?:www\.)?([^:\/\n]+)"")),"""")"),"peanutbutterrunner.com")</f>
        <v>peanutbutterrunner.com</v>
      </c>
      <c r="E9437" s="26" t="str">
        <f ca="1">IFERROR(__xludf.DUMMYFUNCTION("""COMPUTED_VALUE"""),"New")</f>
        <v>New</v>
      </c>
      <c r="F9437" s="72">
        <v>32</v>
      </c>
      <c r="G9437" s="72">
        <v>3311</v>
      </c>
    </row>
    <row r="9438" spans="1:7" ht="14.5">
      <c r="A9438" s="3" t="s">
        <v>9115</v>
      </c>
      <c r="B9438" s="12" t="s">
        <v>2905</v>
      </c>
      <c r="C9438" s="46" t="s">
        <v>9430</v>
      </c>
      <c r="D9438" s="41" t="str">
        <f ca="1">IFERROR(__xludf.DUMMYFUNCTION("IFERROR(ARRAYFORMULA(REGEXEXTRACT(C9438,""^(?:https?:\/\/)?(?:[^@\n]+@)?(?:www\.)?([^:\/\n]+)"")),"""")"),"fip.unj.ac.id")</f>
        <v>fip.unj.ac.id</v>
      </c>
      <c r="E9438" s="26" t="str">
        <f ca="1">IFERROR(__xludf.DUMMYFUNCTION("""COMPUTED_VALUE"""),"New")</f>
        <v>New</v>
      </c>
      <c r="F9438" s="72">
        <v>73</v>
      </c>
      <c r="G9438" s="72">
        <v>168336</v>
      </c>
    </row>
    <row r="9439" spans="1:7" ht="14.5">
      <c r="A9439" s="3" t="s">
        <v>9115</v>
      </c>
      <c r="B9439" s="12" t="s">
        <v>2905</v>
      </c>
      <c r="C9439" s="46" t="s">
        <v>9431</v>
      </c>
      <c r="D9439" s="41" t="str">
        <f ca="1">IFERROR(__xludf.DUMMYFUNCTION("IFERROR(ARRAYFORMULA(REGEXEXTRACT(C9439,""^(?:https?:\/\/)?(?:[^@\n]+@)?(?:www\.)?([^:\/\n]+)"")),"""")"),"grokipedia.com")</f>
        <v>grokipedia.com</v>
      </c>
      <c r="E9439" s="26" t="str">
        <f ca="1">IFERROR(__xludf.DUMMYFUNCTION("""COMPUTED_VALUE"""),"New")</f>
        <v>New</v>
      </c>
      <c r="F9439" s="72">
        <v>75</v>
      </c>
      <c r="G9439" s="72">
        <v>667361</v>
      </c>
    </row>
    <row r="9440" spans="1:7" ht="14.5">
      <c r="A9440" s="3" t="s">
        <v>9115</v>
      </c>
      <c r="B9440" s="12" t="s">
        <v>2905</v>
      </c>
      <c r="C9440" s="46" t="s">
        <v>9432</v>
      </c>
      <c r="D9440" s="41" t="str">
        <f ca="1">IFERROR(__xludf.DUMMYFUNCTION("IFERROR(ARRAYFORMULA(REGEXEXTRACT(C9440,""^(?:https?:\/\/)?(?:[^@\n]+@)?(?:www\.)?([^:\/\n]+)"")),"""")"),"isleblue.co")</f>
        <v>isleblue.co</v>
      </c>
      <c r="E9440" s="26" t="str">
        <f ca="1">IFERROR(__xludf.DUMMYFUNCTION("""COMPUTED_VALUE"""),"New")</f>
        <v>New</v>
      </c>
      <c r="F9440" s="72">
        <v>44</v>
      </c>
      <c r="G9440" s="72">
        <v>29533</v>
      </c>
    </row>
    <row r="9441" spans="1:7" ht="14.5">
      <c r="A9441" s="3" t="s">
        <v>9115</v>
      </c>
      <c r="B9441" s="12" t="s">
        <v>2905</v>
      </c>
      <c r="C9441" s="46" t="s">
        <v>9433</v>
      </c>
      <c r="D9441" s="41" t="str">
        <f ca="1">IFERROR(__xludf.DUMMYFUNCTION("IFERROR(ARRAYFORMULA(REGEXEXTRACT(C9441,""^(?:https?:\/\/)?(?:[^@\n]+@)?(?:www\.)?([^:\/\n]+)"")),"""")"),"thealtairhotel.com")</f>
        <v>thealtairhotel.com</v>
      </c>
      <c r="E9441" s="26" t="str">
        <f ca="1">IFERROR(__xludf.DUMMYFUNCTION("""COMPUTED_VALUE"""),"New")</f>
        <v>New</v>
      </c>
      <c r="F9441" s="72">
        <v>20</v>
      </c>
      <c r="G9441" s="72">
        <v>2338</v>
      </c>
    </row>
    <row r="9442" spans="1:7" ht="14.5">
      <c r="A9442" s="3" t="s">
        <v>9115</v>
      </c>
      <c r="B9442" s="12" t="s">
        <v>2905</v>
      </c>
      <c r="C9442" s="46" t="s">
        <v>9434</v>
      </c>
      <c r="D9442" s="41" t="str">
        <f ca="1">IFERROR(__xludf.DUMMYFUNCTION("IFERROR(ARRAYFORMULA(REGEXEXTRACT(C9442,""^(?:https?:\/\/)?(?:[^@\n]+@)?(?:www\.)?([^:\/\n]+)"")),"""")"),"islandroutes.com")</f>
        <v>islandroutes.com</v>
      </c>
      <c r="E9442" s="26" t="str">
        <f ca="1">IFERROR(__xludf.DUMMYFUNCTION("""COMPUTED_VALUE"""),"New")</f>
        <v>New</v>
      </c>
      <c r="F9442" s="72">
        <v>64</v>
      </c>
      <c r="G9442" s="72">
        <v>7581</v>
      </c>
    </row>
    <row r="9443" spans="1:7" ht="14.5">
      <c r="A9443" s="3" t="s">
        <v>9115</v>
      </c>
      <c r="B9443" s="12" t="s">
        <v>2905</v>
      </c>
      <c r="C9443" s="46" t="s">
        <v>9435</v>
      </c>
      <c r="D9443" s="41" t="str">
        <f ca="1">IFERROR(__xludf.DUMMYFUNCTION("IFERROR(ARRAYFORMULA(REGEXEXTRACT(C9443,""^(?:https?:\/\/)?(?:[^@\n]+@)?(?:www\.)?([^:\/\n]+)"")),"""")"),"pinterest.com")</f>
        <v>pinterest.com</v>
      </c>
      <c r="E9443" s="26" t="str">
        <f ca="1">IFERROR(__xludf.DUMMYFUNCTION("""COMPUTED_VALUE"""),"New")</f>
        <v>New</v>
      </c>
      <c r="F9443" s="72">
        <v>97</v>
      </c>
      <c r="G9443" s="74">
        <v>622000000</v>
      </c>
    </row>
    <row r="9444" spans="1:7" ht="14.5">
      <c r="A9444" s="3" t="s">
        <v>9115</v>
      </c>
      <c r="B9444" s="12" t="s">
        <v>2905</v>
      </c>
      <c r="C9444" s="46" t="s">
        <v>9436</v>
      </c>
      <c r="D9444" s="41" t="str">
        <f ca="1">IFERROR(__xludf.DUMMYFUNCTION("IFERROR(ARRAYFORMULA(REGEXEXTRACT(C9444,""^(?:https?:\/\/)?(?:[^@\n]+@)?(?:www\.)?([^:\/\n]+)"")),"""")"),"iyc.com")</f>
        <v>iyc.com</v>
      </c>
      <c r="E9444" s="26" t="str">
        <f ca="1">IFERROR(__xludf.DUMMYFUNCTION("""COMPUTED_VALUE"""),"New")</f>
        <v>New</v>
      </c>
      <c r="F9444" s="72">
        <v>57</v>
      </c>
      <c r="G9444" s="72">
        <v>126394</v>
      </c>
    </row>
    <row r="9445" spans="1:7" ht="14.5">
      <c r="A9445" s="3" t="s">
        <v>9115</v>
      </c>
      <c r="B9445" s="12" t="s">
        <v>2905</v>
      </c>
      <c r="C9445" s="46" t="s">
        <v>9437</v>
      </c>
      <c r="D9445" s="41" t="str">
        <f ca="1">IFERROR(__xludf.DUMMYFUNCTION("IFERROR(ARRAYFORMULA(REGEXEXTRACT(C9445,""^(?:https?:\/\/)?(?:[^@\n]+@)?(?:www\.)?([^:\/\n]+)"")),"""")"),"kauaiseatours.com")</f>
        <v>kauaiseatours.com</v>
      </c>
      <c r="E9445" s="26" t="str">
        <f ca="1">IFERROR(__xludf.DUMMYFUNCTION("""COMPUTED_VALUE"""),"New")</f>
        <v>New</v>
      </c>
      <c r="F9445" s="72">
        <v>33</v>
      </c>
      <c r="G9445" s="72">
        <v>3894</v>
      </c>
    </row>
    <row r="9446" spans="1:7" ht="14.5">
      <c r="A9446" s="3" t="s">
        <v>9115</v>
      </c>
      <c r="B9446" s="12" t="s">
        <v>2905</v>
      </c>
      <c r="C9446" s="46" t="s">
        <v>9438</v>
      </c>
      <c r="D9446" s="41" t="str">
        <f ca="1">IFERROR(__xludf.DUMMYFUNCTION("IFERROR(ARRAYFORMULA(REGEXEXTRACT(C9446,""^(?:https?:\/\/)?(?:[^@\n]+@)?(?:www\.)?([^:\/\n]+)"")),"""")"),"opalsdownunder.com.au")</f>
        <v>opalsdownunder.com.au</v>
      </c>
      <c r="E9446" s="26" t="str">
        <f ca="1">IFERROR(__xludf.DUMMYFUNCTION("""COMPUTED_VALUE"""),"New")</f>
        <v>New</v>
      </c>
      <c r="F9446" s="72">
        <v>43</v>
      </c>
      <c r="G9446" s="72">
        <v>23162</v>
      </c>
    </row>
    <row r="9447" spans="1:7" ht="14.5">
      <c r="A9447" s="3" t="s">
        <v>9115</v>
      </c>
      <c r="B9447" s="12" t="s">
        <v>2905</v>
      </c>
      <c r="C9447" s="46" t="s">
        <v>9439</v>
      </c>
      <c r="D9447" s="41" t="str">
        <f ca="1">IFERROR(__xludf.DUMMYFUNCTION("IFERROR(ARRAYFORMULA(REGEXEXTRACT(C9447,""^(?:https?:\/\/)?(?:[^@\n]+@)?(?:www\.)?([^:\/\n]+)"")),"""")"),"thedesignagency.ca")</f>
        <v>thedesignagency.ca</v>
      </c>
      <c r="E9447" s="26" t="str">
        <f ca="1">IFERROR(__xludf.DUMMYFUNCTION("""COMPUTED_VALUE"""),"New")</f>
        <v>New</v>
      </c>
      <c r="F9447" s="72">
        <v>49</v>
      </c>
      <c r="G9447" s="72">
        <v>3000</v>
      </c>
    </row>
    <row r="9448" spans="1:7" ht="14.5">
      <c r="A9448" s="3" t="s">
        <v>9115</v>
      </c>
      <c r="B9448" s="12" t="s">
        <v>2905</v>
      </c>
      <c r="C9448" s="46" t="s">
        <v>9440</v>
      </c>
      <c r="D9448" s="41" t="str">
        <f ca="1">IFERROR(__xludf.DUMMYFUNCTION("IFERROR(ARRAYFORMULA(REGEXEXTRACT(C9448,""^(?:https?:\/\/)?(?:[^@\n]+@)?(?:www\.)?([^:\/\n]+)"")),"""")"),"ashadrynoodle.com")</f>
        <v>ashadrynoodle.com</v>
      </c>
      <c r="E9448" s="26" t="str">
        <f ca="1">IFERROR(__xludf.DUMMYFUNCTION("""COMPUTED_VALUE"""),"New")</f>
        <v>New</v>
      </c>
      <c r="F9448" s="72">
        <v>37</v>
      </c>
      <c r="G9448" s="72">
        <v>5720</v>
      </c>
    </row>
    <row r="9449" spans="1:7" ht="14.5">
      <c r="A9449" s="3" t="s">
        <v>9115</v>
      </c>
      <c r="B9449" s="12" t="s">
        <v>2905</v>
      </c>
      <c r="C9449" s="46" t="s">
        <v>9441</v>
      </c>
      <c r="D9449" s="41" t="str">
        <f ca="1">IFERROR(__xludf.DUMMYFUNCTION("IFERROR(ARRAYFORMULA(REGEXEXTRACT(C9449,""^(?:https?:\/\/)?(?:[^@\n]+@)?(?:www\.)?([^:\/\n]+)"")),"""")"),"expertwinestorage.co.uk")</f>
        <v>expertwinestorage.co.uk</v>
      </c>
      <c r="E9449" s="26" t="str">
        <f ca="1">IFERROR(__xludf.DUMMYFUNCTION("""COMPUTED_VALUE"""),"New")</f>
        <v>New</v>
      </c>
      <c r="F9449" s="72">
        <v>20</v>
      </c>
      <c r="G9449" s="72">
        <v>14518</v>
      </c>
    </row>
    <row r="9450" spans="1:7" ht="14.5">
      <c r="A9450" s="3" t="s">
        <v>9115</v>
      </c>
      <c r="B9450" s="12" t="s">
        <v>2905</v>
      </c>
      <c r="C9450" s="46" t="s">
        <v>9442</v>
      </c>
      <c r="D9450" s="41" t="str">
        <f ca="1">IFERROR(__xludf.DUMMYFUNCTION("IFERROR(ARRAYFORMULA(REGEXEXTRACT(C9450,""^(?:https?:\/\/)?(?:[^@\n]+@)?(?:www\.)?([^:\/\n]+)"")),"""")"),"realcozy.co")</f>
        <v>realcozy.co</v>
      </c>
      <c r="E9450" s="26" t="str">
        <f ca="1">IFERROR(__xludf.DUMMYFUNCTION("""COMPUTED_VALUE"""),"New")</f>
        <v>New</v>
      </c>
      <c r="F9450" s="72">
        <v>26</v>
      </c>
      <c r="G9450" s="72">
        <v>6360</v>
      </c>
    </row>
    <row r="9451" spans="1:7" ht="14.5">
      <c r="A9451" s="3" t="s">
        <v>9115</v>
      </c>
      <c r="B9451" s="12" t="s">
        <v>2905</v>
      </c>
      <c r="C9451" s="46" t="s">
        <v>9443</v>
      </c>
      <c r="D9451" s="41" t="str">
        <f ca="1">IFERROR(__xludf.DUMMYFUNCTION("IFERROR(ARRAYFORMULA(REGEXEXTRACT(C9451,""^(?:https?:\/\/)?(?:[^@\n]+@)?(?:www\.)?([^:\/\n]+)"")),"""")"),"santamargheritawines.com")</f>
        <v>santamargheritawines.com</v>
      </c>
      <c r="E9451" s="26" t="str">
        <f ca="1">IFERROR(__xludf.DUMMYFUNCTION("""COMPUTED_VALUE"""),"New")</f>
        <v>New</v>
      </c>
      <c r="F9451" s="72">
        <v>40</v>
      </c>
      <c r="G9451" s="72">
        <v>3868</v>
      </c>
    </row>
    <row r="9452" spans="1:7" ht="14.5">
      <c r="A9452" s="3" t="s">
        <v>9115</v>
      </c>
      <c r="B9452" s="12" t="s">
        <v>2905</v>
      </c>
      <c r="C9452" s="46" t="s">
        <v>9444</v>
      </c>
      <c r="D9452" s="41" t="str">
        <f ca="1">IFERROR(__xludf.DUMMYFUNCTION("IFERROR(ARRAYFORMULA(REGEXEXTRACT(C9452,""^(?:https?:\/\/)?(?:[^@\n]+@)?(?:www\.)?([^:\/\n]+)"")),"""")"),"theestateagency.com")</f>
        <v>theestateagency.com</v>
      </c>
      <c r="E9452" s="26" t="str">
        <f ca="1">IFERROR(__xludf.DUMMYFUNCTION("""COMPUTED_VALUE"""),"New")</f>
        <v>New</v>
      </c>
      <c r="F9452" s="72">
        <v>25</v>
      </c>
      <c r="G9452" s="72">
        <v>1273</v>
      </c>
    </row>
    <row r="9453" spans="1:7" ht="14.5" hidden="1">
      <c r="A9453" s="3" t="s">
        <v>9115</v>
      </c>
      <c r="B9453" s="12" t="s">
        <v>2905</v>
      </c>
      <c r="C9453" s="46" t="s">
        <v>9445</v>
      </c>
      <c r="D9453" s="41" t="str">
        <f ca="1">IFERROR(__xludf.DUMMYFUNCTION("IFERROR(ARRAYFORMULA(REGEXEXTRACT(C9453,""^(?:https?:\/\/)?(?:[^@\n]+@)?(?:www\.)?([^:\/\n]+)"")),"""")"),"livepositively.com")</f>
        <v>livepositively.com</v>
      </c>
      <c r="E9453" s="26" t="str">
        <f ca="1">IFERROR(__xludf.DUMMYFUNCTION("""COMPUTED_VALUE"""),"Already Exists")</f>
        <v>Already Exists</v>
      </c>
      <c r="F9453" s="72">
        <v>72</v>
      </c>
      <c r="G9453" s="72">
        <v>17615</v>
      </c>
    </row>
    <row r="9454" spans="1:7" ht="14.5">
      <c r="A9454" s="3" t="s">
        <v>9115</v>
      </c>
      <c r="B9454" s="12" t="s">
        <v>2905</v>
      </c>
      <c r="C9454" s="46" t="s">
        <v>9446</v>
      </c>
      <c r="D9454" s="41" t="str">
        <f ca="1">IFERROR(__xludf.DUMMYFUNCTION("IFERROR(ARRAYFORMULA(REGEXEXTRACT(C9454,""^(?:https?:\/\/)?(?:[^@\n]+@)?(?:www\.)?([^:\/\n]+)"")),"""")"),"roosevelt.edu")</f>
        <v>roosevelt.edu</v>
      </c>
      <c r="E9454" s="26" t="str">
        <f ca="1">IFERROR(__xludf.DUMMYFUNCTION("""COMPUTED_VALUE"""),"New")</f>
        <v>New</v>
      </c>
      <c r="F9454" s="72">
        <v>70</v>
      </c>
      <c r="G9454" s="72">
        <v>17163</v>
      </c>
    </row>
    <row r="9455" spans="1:7" ht="14.5">
      <c r="A9455" s="3" t="s">
        <v>9115</v>
      </c>
      <c r="B9455" s="12" t="s">
        <v>2905</v>
      </c>
      <c r="C9455" s="46" t="s">
        <v>9447</v>
      </c>
      <c r="D9455" s="41" t="str">
        <f ca="1">IFERROR(__xludf.DUMMYFUNCTION("IFERROR(ARRAYFORMULA(REGEXEXTRACT(C9455,""^(?:https?:\/\/)?(?:[^@\n]+@)?(?:www\.)?([^:\/\n]+)"")),"""")"),"cadillachotelmiamibeach.com")</f>
        <v>cadillachotelmiamibeach.com</v>
      </c>
      <c r="E9455" s="26" t="str">
        <f ca="1">IFERROR(__xludf.DUMMYFUNCTION("""COMPUTED_VALUE"""),"New")</f>
        <v>New</v>
      </c>
      <c r="F9455" s="72">
        <v>32</v>
      </c>
      <c r="G9455" s="72">
        <v>3070</v>
      </c>
    </row>
    <row r="9456" spans="1:7" ht="14.5">
      <c r="A9456" s="3" t="s">
        <v>9115</v>
      </c>
      <c r="B9456" s="12" t="s">
        <v>2905</v>
      </c>
      <c r="C9456" s="46" t="s">
        <v>9448</v>
      </c>
      <c r="D9456" s="41" t="str">
        <f ca="1">IFERROR(__xludf.DUMMYFUNCTION("IFERROR(ARRAYFORMULA(REGEXEXTRACT(C9456,""^(?:https?:\/\/)?(?:[^@\n]+@)?(?:www\.)?([^:\/\n]+)"")),"""")"),"taifatips.com")</f>
        <v>taifatips.com</v>
      </c>
      <c r="E9456" s="26" t="str">
        <f ca="1">IFERROR(__xludf.DUMMYFUNCTION("""COMPUTED_VALUE"""),"New")</f>
        <v>New</v>
      </c>
      <c r="F9456" s="72">
        <v>20</v>
      </c>
      <c r="G9456" s="72">
        <v>16914</v>
      </c>
    </row>
    <row r="9457" spans="1:7" ht="14.5">
      <c r="A9457" s="3" t="s">
        <v>9115</v>
      </c>
      <c r="B9457" s="12" t="s">
        <v>2905</v>
      </c>
      <c r="C9457" s="46" t="s">
        <v>9449</v>
      </c>
      <c r="D9457" s="41" t="str">
        <f ca="1">IFERROR(__xludf.DUMMYFUNCTION("IFERROR(ARRAYFORMULA(REGEXEXTRACT(C9457,""^(?:https?:\/\/)?(?:[^@\n]+@)?(?:www\.)?([^:\/\n]+)"")),"""")"),"setouchi.travel")</f>
        <v>setouchi.travel</v>
      </c>
      <c r="E9457" s="26" t="str">
        <f ca="1">IFERROR(__xludf.DUMMYFUNCTION("""COMPUTED_VALUE"""),"New")</f>
        <v>New</v>
      </c>
      <c r="F9457" s="72">
        <v>53</v>
      </c>
      <c r="G9457" s="72">
        <v>23354</v>
      </c>
    </row>
    <row r="9458" spans="1:7" ht="14.5">
      <c r="A9458" s="3" t="s">
        <v>9115</v>
      </c>
      <c r="B9458" s="12" t="s">
        <v>2905</v>
      </c>
      <c r="C9458" s="46" t="s">
        <v>9450</v>
      </c>
      <c r="D9458" s="41" t="str">
        <f ca="1">IFERROR(__xludf.DUMMYFUNCTION("IFERROR(ARRAYFORMULA(REGEXEXTRACT(C9458,""^(?:https?:\/\/)?(?:[^@\n]+@)?(?:www\.)?([^:\/\n]+)"")),"""")"),"mydearquotes.com")</f>
        <v>mydearquotes.com</v>
      </c>
      <c r="E9458" s="26" t="str">
        <f ca="1">IFERROR(__xludf.DUMMYFUNCTION("""COMPUTED_VALUE"""),"New")</f>
        <v>New</v>
      </c>
      <c r="F9458" s="72">
        <v>73</v>
      </c>
      <c r="G9458" s="72">
        <v>43464</v>
      </c>
    </row>
    <row r="9459" spans="1:7" ht="14.5">
      <c r="A9459" s="3" t="s">
        <v>9115</v>
      </c>
      <c r="B9459" s="12" t="s">
        <v>2905</v>
      </c>
      <c r="C9459" s="46" t="s">
        <v>9451</v>
      </c>
      <c r="D9459" s="41" t="str">
        <f ca="1">IFERROR(__xludf.DUMMYFUNCTION("IFERROR(ARRAYFORMULA(REGEXEXTRACT(C9459,""^(?:https?:\/\/)?(?:[^@\n]+@)?(?:www\.)?([^:\/\n]+)"")),"""")"),"iredellfreenews.com")</f>
        <v>iredellfreenews.com</v>
      </c>
      <c r="E9459" s="26" t="str">
        <f ca="1">IFERROR(__xludf.DUMMYFUNCTION("""COMPUTED_VALUE"""),"New")</f>
        <v>New</v>
      </c>
      <c r="F9459" s="72">
        <v>53</v>
      </c>
      <c r="G9459" s="72">
        <v>10121</v>
      </c>
    </row>
    <row r="9460" spans="1:7" ht="14.5">
      <c r="A9460" s="3" t="s">
        <v>9115</v>
      </c>
      <c r="B9460" s="12" t="s">
        <v>2905</v>
      </c>
      <c r="C9460" s="46" t="s">
        <v>9452</v>
      </c>
      <c r="D9460" s="41" t="str">
        <f ca="1">IFERROR(__xludf.DUMMYFUNCTION("IFERROR(ARRAYFORMULA(REGEXEXTRACT(C9460,""^(?:https?:\/\/)?(?:[^@\n]+@)?(?:www\.)?([^:\/\n]+)"")),"""")"),"netnewsledger.com")</f>
        <v>netnewsledger.com</v>
      </c>
      <c r="E9460" s="26" t="str">
        <f ca="1">IFERROR(__xludf.DUMMYFUNCTION("""COMPUTED_VALUE"""),"New")</f>
        <v>New</v>
      </c>
      <c r="F9460" s="72">
        <v>68</v>
      </c>
      <c r="G9460" s="72">
        <v>4432</v>
      </c>
    </row>
    <row r="9461" spans="1:7" ht="14.5" hidden="1">
      <c r="A9461" s="3" t="s">
        <v>9115</v>
      </c>
      <c r="B9461" s="12" t="s">
        <v>2905</v>
      </c>
      <c r="C9461" s="46" t="s">
        <v>9453</v>
      </c>
      <c r="D9461" s="41" t="str">
        <f ca="1">IFERROR(__xludf.DUMMYFUNCTION("IFERROR(ARRAYFORMULA(REGEXEXTRACT(C9461,""^(?:https?:\/\/)?(?:[^@\n]+@)?(?:www\.)?([^:\/\n]+)"")),"""")"),"1883magazine.com")</f>
        <v>1883magazine.com</v>
      </c>
      <c r="E9461" s="26" t="str">
        <f ca="1">IFERROR(__xludf.DUMMYFUNCTION("""COMPUTED_VALUE"""),"Already Exists")</f>
        <v>Already Exists</v>
      </c>
      <c r="F9461" s="72">
        <v>68</v>
      </c>
      <c r="G9461" s="72">
        <v>12835</v>
      </c>
    </row>
    <row r="9462" spans="1:7" ht="14.5">
      <c r="A9462" s="3" t="s">
        <v>9115</v>
      </c>
      <c r="B9462" s="12" t="s">
        <v>2905</v>
      </c>
      <c r="C9462" s="46" t="s">
        <v>9454</v>
      </c>
      <c r="D9462" s="41" t="str">
        <f ca="1">IFERROR(__xludf.DUMMYFUNCTION("IFERROR(ARRAYFORMULA(REGEXEXTRACT(C9462,""^(?:https?:\/\/)?(?:[^@\n]+@)?(?:www\.)?([^:\/\n]+)"")),"""")"),"unboxme.com")</f>
        <v>unboxme.com</v>
      </c>
      <c r="E9462" s="26" t="str">
        <f ca="1">IFERROR(__xludf.DUMMYFUNCTION("""COMPUTED_VALUE"""),"New")</f>
        <v>New</v>
      </c>
      <c r="F9462" s="72">
        <v>26</v>
      </c>
      <c r="G9462" s="72">
        <v>10296</v>
      </c>
    </row>
    <row r="9463" spans="1:7" ht="14.5" hidden="1">
      <c r="A9463" s="3" t="s">
        <v>9115</v>
      </c>
      <c r="B9463" s="12" t="s">
        <v>2905</v>
      </c>
      <c r="C9463" s="46" t="s">
        <v>9455</v>
      </c>
      <c r="D9463" s="41" t="str">
        <f ca="1">IFERROR(__xludf.DUMMYFUNCTION("IFERROR(ARRAYFORMULA(REGEXEXTRACT(C9463,""^(?:https?:\/\/)?(?:[^@\n]+@)?(?:www\.)?([^:\/\n]+)"")),"""")"),"alittledelightful.com")</f>
        <v>alittledelightful.com</v>
      </c>
      <c r="E9463" s="26" t="str">
        <f ca="1">IFERROR(__xludf.DUMMYFUNCTION("""COMPUTED_VALUE"""),"Already Exists")</f>
        <v>Already Exists</v>
      </c>
      <c r="F9463" s="72">
        <v>65</v>
      </c>
      <c r="G9463" s="72">
        <v>13997</v>
      </c>
    </row>
    <row r="9464" spans="1:7" ht="14.5">
      <c r="A9464" s="3" t="s">
        <v>9115</v>
      </c>
      <c r="B9464" s="12" t="s">
        <v>2905</v>
      </c>
      <c r="C9464" s="46" t="s">
        <v>9456</v>
      </c>
      <c r="D9464" s="41" t="str">
        <f ca="1">IFERROR(__xludf.DUMMYFUNCTION("IFERROR(ARRAYFORMULA(REGEXEXTRACT(C9464,""^(?:https?:\/\/)?(?:[^@\n]+@)?(?:www\.)?([^:\/\n]+)"")),"""")"),"moneyinc.com")</f>
        <v>moneyinc.com</v>
      </c>
      <c r="E9464" s="26" t="str">
        <f ca="1">IFERROR(__xludf.DUMMYFUNCTION("""COMPUTED_VALUE"""),"New")</f>
        <v>New</v>
      </c>
      <c r="F9464" s="72">
        <v>72</v>
      </c>
      <c r="G9464" s="72">
        <v>1944</v>
      </c>
    </row>
    <row r="9465" spans="1:7" ht="14.5">
      <c r="A9465" s="3" t="s">
        <v>9115</v>
      </c>
      <c r="B9465" s="12" t="s">
        <v>2905</v>
      </c>
      <c r="C9465" s="46" t="s">
        <v>9457</v>
      </c>
      <c r="D9465" s="41" t="str">
        <f ca="1">IFERROR(__xludf.DUMMYFUNCTION("IFERROR(ARRAYFORMULA(REGEXEXTRACT(C9465,""^(?:https?:\/\/)?(?:[^@\n]+@)?(?:www\.)?([^:\/\n]+)"")),"""")"),"designmode24.com")</f>
        <v>designmode24.com</v>
      </c>
      <c r="E9465" s="26" t="str">
        <f ca="1">IFERROR(__xludf.DUMMYFUNCTION("""COMPUTED_VALUE"""),"New")</f>
        <v>New</v>
      </c>
      <c r="F9465" s="72">
        <v>60</v>
      </c>
      <c r="G9465" s="72">
        <v>7186</v>
      </c>
    </row>
    <row r="9466" spans="1:7" ht="14.5">
      <c r="A9466" s="3" t="s">
        <v>9115</v>
      </c>
      <c r="B9466" s="12" t="s">
        <v>2905</v>
      </c>
      <c r="C9466" s="46" t="s">
        <v>9458</v>
      </c>
      <c r="D9466" s="41" t="str">
        <f ca="1">IFERROR(__xludf.DUMMYFUNCTION("IFERROR(ARRAYFORMULA(REGEXEXTRACT(C9466,""^(?:https?:\/\/)?(?:[^@\n]+@)?(?:www\.)?([^:\/\n]+)"")),"""")"),"luxurylaunches.com")</f>
        <v>luxurylaunches.com</v>
      </c>
      <c r="E9466" s="26" t="str">
        <f ca="1">IFERROR(__xludf.DUMMYFUNCTION("""COMPUTED_VALUE"""),"New")</f>
        <v>New</v>
      </c>
      <c r="F9466" s="72">
        <v>67</v>
      </c>
      <c r="G9466" s="72">
        <v>22589</v>
      </c>
    </row>
    <row r="9467" spans="1:7" ht="14.5" hidden="1">
      <c r="A9467" s="3" t="s">
        <v>9115</v>
      </c>
      <c r="B9467" s="12" t="s">
        <v>2905</v>
      </c>
      <c r="C9467" s="46" t="s">
        <v>9459</v>
      </c>
      <c r="D9467" s="41" t="str">
        <f ca="1">IFERROR(__xludf.DUMMYFUNCTION("IFERROR(ARRAYFORMULA(REGEXEXTRACT(C9467,""^(?:https?:\/\/)?(?:[^@\n]+@)?(?:www\.)?([^:\/\n]+)"")),"""")"),"e-architect.com")</f>
        <v>e-architect.com</v>
      </c>
      <c r="E9467" s="26" t="str">
        <f ca="1">IFERROR(__xludf.DUMMYFUNCTION("""COMPUTED_VALUE"""),"Already Exists")</f>
        <v>Already Exists</v>
      </c>
      <c r="F9467" s="72">
        <v>73</v>
      </c>
      <c r="G9467" s="72">
        <v>4051</v>
      </c>
    </row>
    <row r="9468" spans="1:7" ht="14.5" hidden="1">
      <c r="A9468" s="3" t="s">
        <v>9115</v>
      </c>
      <c r="B9468" s="12" t="s">
        <v>2905</v>
      </c>
      <c r="C9468" s="46" t="s">
        <v>9460</v>
      </c>
      <c r="D9468" s="41" t="str">
        <f ca="1">IFERROR(__xludf.DUMMYFUNCTION("IFERROR(ARRAYFORMULA(REGEXEXTRACT(C9468,""^(?:https?:\/\/)?(?:[^@\n]+@)?(?:www\.)?([^:\/\n]+)"")),"""")"),"valiantceo.com")</f>
        <v>valiantceo.com</v>
      </c>
      <c r="E9468" s="26" t="str">
        <f ca="1">IFERROR(__xludf.DUMMYFUNCTION("""COMPUTED_VALUE"""),"Already Exists")</f>
        <v>Already Exists</v>
      </c>
      <c r="F9468" s="72">
        <v>69</v>
      </c>
      <c r="G9468" s="72">
        <v>2725</v>
      </c>
    </row>
    <row r="9469" spans="1:7" ht="14.5">
      <c r="A9469" s="3" t="s">
        <v>9115</v>
      </c>
      <c r="B9469" s="12" t="s">
        <v>2905</v>
      </c>
      <c r="C9469" s="46" t="s">
        <v>9461</v>
      </c>
      <c r="D9469" s="41" t="str">
        <f ca="1">IFERROR(__xludf.DUMMYFUNCTION("IFERROR(ARRAYFORMULA(REGEXEXTRACT(C9469,""^(?:https?:\/\/)?(?:[^@\n]+@)?(?:www\.)?([^:\/\n]+)"")),"""")"),"fitinline.com")</f>
        <v>fitinline.com</v>
      </c>
      <c r="E9469" s="26" t="str">
        <f ca="1">IFERROR(__xludf.DUMMYFUNCTION("""COMPUTED_VALUE"""),"New")</f>
        <v>New</v>
      </c>
      <c r="F9469" s="72">
        <v>58</v>
      </c>
      <c r="G9469" s="72">
        <v>101056</v>
      </c>
    </row>
    <row r="9470" spans="1:7" ht="14.5" hidden="1">
      <c r="A9470" s="3" t="s">
        <v>9115</v>
      </c>
      <c r="B9470" s="12" t="s">
        <v>2905</v>
      </c>
      <c r="C9470" s="46" t="s">
        <v>9462</v>
      </c>
      <c r="D9470" s="41" t="str">
        <f ca="1">IFERROR(__xludf.DUMMYFUNCTION("IFERROR(ARRAYFORMULA(REGEXEXTRACT(C9470,""^(?:https?:\/\/)?(?:[^@\n]+@)?(?:www\.)?([^:\/\n]+)"")),"""")"),"myinteriorpalace.com")</f>
        <v>myinteriorpalace.com</v>
      </c>
      <c r="E9470" s="26" t="str">
        <f ca="1">IFERROR(__xludf.DUMMYFUNCTION("""COMPUTED_VALUE"""),"Already Exists")</f>
        <v>Already Exists</v>
      </c>
      <c r="F9470" s="72">
        <v>61</v>
      </c>
      <c r="G9470" s="72">
        <v>1983</v>
      </c>
    </row>
    <row r="9471" spans="1:7" ht="14.5" hidden="1">
      <c r="A9471" s="3" t="s">
        <v>9115</v>
      </c>
      <c r="B9471" s="12" t="s">
        <v>2905</v>
      </c>
      <c r="C9471" s="46" t="s">
        <v>9463</v>
      </c>
      <c r="D9471" s="41" t="str">
        <f ca="1">IFERROR(__xludf.DUMMYFUNCTION("IFERROR(ARRAYFORMULA(REGEXEXTRACT(C9471,""^(?:https?:\/\/)?(?:[^@\n]+@)?(?:www\.)?([^:\/\n]+)"")),"""")"),"talentedladiesclub.com")</f>
        <v>talentedladiesclub.com</v>
      </c>
      <c r="E9471" s="26" t="str">
        <f ca="1">IFERROR(__xludf.DUMMYFUNCTION("""COMPUTED_VALUE"""),"Already Exists")</f>
        <v>Already Exists</v>
      </c>
      <c r="F9471" s="72">
        <v>61</v>
      </c>
      <c r="G9471" s="72">
        <v>1640</v>
      </c>
    </row>
    <row r="9472" spans="1:7" ht="14.5">
      <c r="A9472" s="3" t="s">
        <v>9115</v>
      </c>
      <c r="B9472" s="12" t="s">
        <v>2905</v>
      </c>
      <c r="C9472" s="46" t="s">
        <v>9464</v>
      </c>
      <c r="D9472" s="41" t="str">
        <f ca="1">IFERROR(__xludf.DUMMYFUNCTION("IFERROR(ARRAYFORMULA(REGEXEXTRACT(C9472,""^(?:https?:\/\/)?(?:[^@\n]+@)?(?:www\.)?([^:\/\n]+)"")),"""")"),"lamonts.com.au")</f>
        <v>lamonts.com.au</v>
      </c>
      <c r="E9472" s="26" t="str">
        <f ca="1">IFERROR(__xludf.DUMMYFUNCTION("""COMPUTED_VALUE"""),"New")</f>
        <v>New</v>
      </c>
      <c r="F9472" s="72">
        <v>39</v>
      </c>
      <c r="G9472" s="72">
        <v>1978</v>
      </c>
    </row>
    <row r="9473" spans="1:7" ht="14.5">
      <c r="A9473" s="3" t="s">
        <v>9115</v>
      </c>
      <c r="B9473" s="12" t="s">
        <v>2905</v>
      </c>
      <c r="C9473" s="46" t="s">
        <v>9465</v>
      </c>
      <c r="D9473" s="41" t="str">
        <f ca="1">IFERROR(__xludf.DUMMYFUNCTION("IFERROR(ARRAYFORMULA(REGEXEXTRACT(C9473,""^(?:https?:\/\/)?(?:[^@\n]+@)?(?:www\.)?([^:\/\n]+)"")),"""")"),"accio.com")</f>
        <v>accio.com</v>
      </c>
      <c r="E9473" s="26" t="str">
        <f ca="1">IFERROR(__xludf.DUMMYFUNCTION("""COMPUTED_VALUE"""),"New")</f>
        <v>New</v>
      </c>
      <c r="F9473" s="72">
        <v>74</v>
      </c>
      <c r="G9473" s="72">
        <v>326136</v>
      </c>
    </row>
    <row r="9474" spans="1:7" ht="14.5">
      <c r="A9474" s="3" t="s">
        <v>9115</v>
      </c>
      <c r="B9474" s="12" t="s">
        <v>2905</v>
      </c>
      <c r="C9474" s="46" t="s">
        <v>9466</v>
      </c>
      <c r="D9474" s="41" t="str">
        <f ca="1">IFERROR(__xludf.DUMMYFUNCTION("IFERROR(ARRAYFORMULA(REGEXEXTRACT(C9474,""^(?:https?:\/\/)?(?:[^@\n]+@)?(?:www\.)?([^:\/\n]+)"")),"""")"),"blog.myjordanjourney.com")</f>
        <v>blog.myjordanjourney.com</v>
      </c>
      <c r="E9474" s="26" t="str">
        <f ca="1">IFERROR(__xludf.DUMMYFUNCTION("""COMPUTED_VALUE"""),"New")</f>
        <v>New</v>
      </c>
      <c r="F9474" s="72">
        <v>36</v>
      </c>
      <c r="G9474" s="72">
        <v>2243</v>
      </c>
    </row>
    <row r="9475" spans="1:7" ht="14.5">
      <c r="A9475" s="3" t="s">
        <v>9115</v>
      </c>
      <c r="B9475" s="12" t="s">
        <v>2905</v>
      </c>
      <c r="C9475" s="46" t="s">
        <v>9467</v>
      </c>
      <c r="D9475" s="41" t="str">
        <f ca="1">IFERROR(__xludf.DUMMYFUNCTION("IFERROR(ARRAYFORMULA(REGEXEXTRACT(C9475,""^(?:https?:\/\/)?(?:[^@\n]+@)?(?:www\.)?([^:\/\n]+)"")),"""")"),"dsfantiquejewelry.com")</f>
        <v>dsfantiquejewelry.com</v>
      </c>
      <c r="E9475" s="26" t="str">
        <f ca="1">IFERROR(__xludf.DUMMYFUNCTION("""COMPUTED_VALUE"""),"New")</f>
        <v>New</v>
      </c>
      <c r="F9475" s="72">
        <v>38</v>
      </c>
      <c r="G9475" s="72">
        <v>13941</v>
      </c>
    </row>
    <row r="9476" spans="1:7" ht="14.5">
      <c r="A9476" s="3" t="s">
        <v>9115</v>
      </c>
      <c r="B9476" s="12" t="s">
        <v>2905</v>
      </c>
      <c r="C9476" s="46" t="s">
        <v>9468</v>
      </c>
      <c r="D9476" s="41" t="str">
        <f ca="1">IFERROR(__xludf.DUMMYFUNCTION("IFERROR(ARRAYFORMULA(REGEXEXTRACT(C9476,""^(?:https?:\/\/)?(?:[^@\n]+@)?(?:www\.)?([^:\/\n]+)"")),"""")"),"capitalexotic.com")</f>
        <v>capitalexotic.com</v>
      </c>
      <c r="E9476" s="26" t="str">
        <f ca="1">IFERROR(__xludf.DUMMYFUNCTION("""COMPUTED_VALUE"""),"New")</f>
        <v>New</v>
      </c>
      <c r="F9476" s="72">
        <v>20</v>
      </c>
      <c r="G9476" s="72">
        <v>6399</v>
      </c>
    </row>
    <row r="9477" spans="1:7" ht="14.5">
      <c r="A9477" s="3" t="s">
        <v>9115</v>
      </c>
      <c r="B9477" s="12" t="s">
        <v>2905</v>
      </c>
      <c r="C9477" s="46" t="s">
        <v>9469</v>
      </c>
      <c r="D9477" s="41" t="str">
        <f ca="1">IFERROR(__xludf.DUMMYFUNCTION("IFERROR(ARRAYFORMULA(REGEXEXTRACT(C9477,""^(?:https?:\/\/)?(?:[^@\n]+@)?(?:www\.)?([^:\/\n]+)"")),"""")"),"jalopnik.com")</f>
        <v>jalopnik.com</v>
      </c>
      <c r="E9477" s="26" t="str">
        <f ca="1">IFERROR(__xludf.DUMMYFUNCTION("""COMPUTED_VALUE"""),"New")</f>
        <v>New</v>
      </c>
      <c r="F9477" s="72">
        <v>81</v>
      </c>
      <c r="G9477" s="72">
        <v>395279</v>
      </c>
    </row>
    <row r="9478" spans="1:7" ht="14.5" hidden="1">
      <c r="A9478" s="3" t="s">
        <v>9115</v>
      </c>
      <c r="B9478" s="12" t="s">
        <v>2905</v>
      </c>
      <c r="C9478" s="46" t="s">
        <v>9470</v>
      </c>
      <c r="D9478" s="41" t="str">
        <f ca="1">IFERROR(__xludf.DUMMYFUNCTION("IFERROR(ARRAYFORMULA(REGEXEXTRACT(C9478,""^(?:https?:\/\/)?(?:[^@\n]+@)?(?:www\.)?([^:\/\n]+)"")),"""")"),"livingpristine.com")</f>
        <v>livingpristine.com</v>
      </c>
      <c r="E9478" s="26" t="str">
        <f ca="1">IFERROR(__xludf.DUMMYFUNCTION("""COMPUTED_VALUE"""),"Already Exists")</f>
        <v>Already Exists</v>
      </c>
      <c r="F9478" s="72">
        <v>52</v>
      </c>
      <c r="G9478" s="72">
        <v>8580</v>
      </c>
    </row>
    <row r="9479" spans="1:7" ht="14.5">
      <c r="A9479" s="3" t="s">
        <v>9115</v>
      </c>
      <c r="B9479" s="12" t="s">
        <v>2905</v>
      </c>
      <c r="C9479" s="46" t="s">
        <v>9471</v>
      </c>
      <c r="D9479" s="41" t="str">
        <f ca="1">IFERROR(__xludf.DUMMYFUNCTION("IFERROR(ARRAYFORMULA(REGEXEXTRACT(C9479,""^(?:https?:\/\/)?(?:[^@\n]+@)?(?:www\.)?([^:\/\n]+)"")),"""")"),"dgmnews.com")</f>
        <v>dgmnews.com</v>
      </c>
      <c r="E9479" s="26" t="str">
        <f ca="1">IFERROR(__xludf.DUMMYFUNCTION("""COMPUTED_VALUE"""),"New")</f>
        <v>New</v>
      </c>
      <c r="F9479" s="72">
        <v>60</v>
      </c>
      <c r="G9479" s="72">
        <v>72015</v>
      </c>
    </row>
    <row r="9480" spans="1:7" ht="14.5">
      <c r="A9480" s="3" t="s">
        <v>9115</v>
      </c>
      <c r="B9480" s="12" t="s">
        <v>2905</v>
      </c>
      <c r="C9480" s="46" t="s">
        <v>9472</v>
      </c>
      <c r="D9480" s="41" t="str">
        <f ca="1">IFERROR(__xludf.DUMMYFUNCTION("IFERROR(ARRAYFORMULA(REGEXEXTRACT(C9480,""^(?:https?:\/\/)?(?:[^@\n]+@)?(?:www\.)?([^:\/\n]+)"")),"""")"),"asi-globalpartitions.com")</f>
        <v>asi-globalpartitions.com</v>
      </c>
      <c r="E9480" s="26" t="str">
        <f ca="1">IFERROR(__xludf.DUMMYFUNCTION("""COMPUTED_VALUE"""),"New")</f>
        <v>New</v>
      </c>
      <c r="F9480" s="72">
        <v>46</v>
      </c>
      <c r="G9480" s="72">
        <v>2843</v>
      </c>
    </row>
    <row r="9481" spans="1:7" ht="14.5" hidden="1">
      <c r="A9481" s="3" t="s">
        <v>9115</v>
      </c>
      <c r="B9481" s="12" t="s">
        <v>2905</v>
      </c>
      <c r="C9481" s="46" t="s">
        <v>9473</v>
      </c>
      <c r="D9481" s="41" t="str">
        <f ca="1">IFERROR(__xludf.DUMMYFUNCTION("IFERROR(ARRAYFORMULA(REGEXEXTRACT(C9481,""^(?:https?:\/\/)?(?:[^@\n]+@)?(?:www\.)?([^:\/\n]+)"")),"""")"),"havokjournal.com")</f>
        <v>havokjournal.com</v>
      </c>
      <c r="E9481" s="26" t="str">
        <f ca="1">IFERROR(__xludf.DUMMYFUNCTION("""COMPUTED_VALUE"""),"Already Exists")</f>
        <v>Already Exists</v>
      </c>
      <c r="F9481" s="72">
        <v>50</v>
      </c>
      <c r="G9481" s="72">
        <v>2869</v>
      </c>
    </row>
    <row r="9482" spans="1:7" ht="14.5">
      <c r="A9482" s="3" t="s">
        <v>9115</v>
      </c>
      <c r="B9482" s="12" t="s">
        <v>2905</v>
      </c>
      <c r="C9482" s="46" t="s">
        <v>9474</v>
      </c>
      <c r="D9482" s="41" t="str">
        <f ca="1">IFERROR(__xludf.DUMMYFUNCTION("IFERROR(ARRAYFORMULA(REGEXEXTRACT(C9482,""^(?:https?:\/\/)?(?:[^@\n]+@)?(?:www\.)?([^:\/\n]+)"")),"""")"),"outerreefyachts.com")</f>
        <v>outerreefyachts.com</v>
      </c>
      <c r="E9482" s="26" t="str">
        <f ca="1">IFERROR(__xludf.DUMMYFUNCTION("""COMPUTED_VALUE"""),"New")</f>
        <v>New</v>
      </c>
      <c r="F9482" s="72">
        <v>30</v>
      </c>
      <c r="G9482" s="72">
        <v>1133</v>
      </c>
    </row>
    <row r="9483" spans="1:7" ht="14.5">
      <c r="A9483" s="3" t="s">
        <v>9115</v>
      </c>
      <c r="B9483" s="12" t="s">
        <v>2905</v>
      </c>
      <c r="C9483" s="46" t="s">
        <v>9475</v>
      </c>
      <c r="D9483" s="41" t="str">
        <f ca="1">IFERROR(__xludf.DUMMYFUNCTION("IFERROR(ARRAYFORMULA(REGEXEXTRACT(C9483,""^(?:https?:\/\/)?(?:[^@\n]+@)?(?:www\.)?([^:\/\n]+)"")),"""")"),"fbsp.ftu.edu.vn")</f>
        <v>fbsp.ftu.edu.vn</v>
      </c>
      <c r="E9483" s="26" t="str">
        <f ca="1">IFERROR(__xludf.DUMMYFUNCTION("""COMPUTED_VALUE"""),"New")</f>
        <v>New</v>
      </c>
      <c r="F9483" s="72">
        <v>65</v>
      </c>
      <c r="G9483" s="72">
        <v>42034</v>
      </c>
    </row>
    <row r="9484" spans="1:7" ht="14.5" hidden="1">
      <c r="A9484" s="3" t="s">
        <v>9115</v>
      </c>
      <c r="B9484" s="12" t="s">
        <v>2905</v>
      </c>
      <c r="C9484" s="46" t="s">
        <v>9476</v>
      </c>
      <c r="D9484" s="41" t="str">
        <f ca="1">IFERROR(__xludf.DUMMYFUNCTION("IFERROR(ARRAYFORMULA(REGEXEXTRACT(C9484,""^(?:https?:\/\/)?(?:[^@\n]+@)?(?:www\.)?([^:\/\n]+)"")),"""")"),"thepinnaclelist.com")</f>
        <v>thepinnaclelist.com</v>
      </c>
      <c r="E9484" s="26" t="str">
        <f ca="1">IFERROR(__xludf.DUMMYFUNCTION("""COMPUTED_VALUE"""),"Already Exists")</f>
        <v>Already Exists</v>
      </c>
      <c r="F9484" s="72">
        <v>57</v>
      </c>
      <c r="G9484" s="72">
        <v>1211</v>
      </c>
    </row>
    <row r="9485" spans="1:7" ht="14.5">
      <c r="A9485" s="3" t="s">
        <v>9115</v>
      </c>
      <c r="B9485" s="12" t="s">
        <v>2905</v>
      </c>
      <c r="C9485" s="46" t="s">
        <v>9477</v>
      </c>
      <c r="D9485" s="41" t="str">
        <f ca="1">IFERROR(__xludf.DUMMYFUNCTION("IFERROR(ARRAYFORMULA(REGEXEXTRACT(C9485,""^(?:https?:\/\/)?(?:[^@\n]+@)?(?:www\.)?([^:\/\n]+)"")),"""")"),"goundash.free.fr")</f>
        <v>goundash.free.fr</v>
      </c>
      <c r="E9485" s="26" t="str">
        <f ca="1">IFERROR(__xludf.DUMMYFUNCTION("""COMPUTED_VALUE"""),"New")</f>
        <v>New</v>
      </c>
      <c r="F9485" s="72">
        <v>91</v>
      </c>
      <c r="G9485" s="72">
        <v>11791405</v>
      </c>
    </row>
    <row r="9486" spans="1:7" ht="14.5">
      <c r="A9486" s="3" t="s">
        <v>9115</v>
      </c>
      <c r="B9486" s="12" t="s">
        <v>2905</v>
      </c>
      <c r="C9486" s="46" t="s">
        <v>9478</v>
      </c>
      <c r="D9486" s="41" t="str">
        <f ca="1">IFERROR(__xludf.DUMMYFUNCTION("IFERROR(ARRAYFORMULA(REGEXEXTRACT(C9486,""^(?:https?:\/\/)?(?:[^@\n]+@)?(?:www\.)?([^:\/\n]+)"")),"""")"),"blogger.com")</f>
        <v>blogger.com</v>
      </c>
      <c r="E9486" s="26" t="str">
        <f ca="1">IFERROR(__xludf.DUMMYFUNCTION("""COMPUTED_VALUE"""),"New")</f>
        <v>New</v>
      </c>
      <c r="F9486" s="72">
        <v>94</v>
      </c>
      <c r="G9486" s="72">
        <v>965047</v>
      </c>
    </row>
    <row r="9487" spans="1:7" ht="14.5">
      <c r="A9487" s="3" t="s">
        <v>9115</v>
      </c>
      <c r="B9487" s="12" t="s">
        <v>2905</v>
      </c>
      <c r="C9487" s="46" t="s">
        <v>9479</v>
      </c>
      <c r="D9487" s="41" t="str">
        <f ca="1">IFERROR(__xludf.DUMMYFUNCTION("IFERROR(ARRAYFORMULA(REGEXEXTRACT(C9487,""^(?:https?:\/\/)?(?:[^@\n]+@)?(?:www\.)?([^:\/\n]+)"")),"""")"),"joycerey.com")</f>
        <v>joycerey.com</v>
      </c>
      <c r="E9487" s="26" t="str">
        <f ca="1">IFERROR(__xludf.DUMMYFUNCTION("""COMPUTED_VALUE"""),"New")</f>
        <v>New</v>
      </c>
      <c r="F9487" s="72">
        <v>41</v>
      </c>
      <c r="G9487" s="72">
        <v>3927</v>
      </c>
    </row>
    <row r="9488" spans="1:7" ht="14.5">
      <c r="A9488" s="3" t="s">
        <v>9115</v>
      </c>
      <c r="B9488" s="12" t="s">
        <v>2905</v>
      </c>
      <c r="C9488" s="46" t="s">
        <v>9480</v>
      </c>
      <c r="D9488" s="41" t="str">
        <f ca="1">IFERROR(__xludf.DUMMYFUNCTION("IFERROR(ARRAYFORMULA(REGEXEXTRACT(C9488,""^(?:https?:\/\/)?(?:[^@\n]+@)?(?:www\.)?([^:\/\n]+)"")),"""")"),"forum.gamequitters.com")</f>
        <v>forum.gamequitters.com</v>
      </c>
      <c r="E9488" s="26" t="str">
        <f ca="1">IFERROR(__xludf.DUMMYFUNCTION("""COMPUTED_VALUE"""),"New")</f>
        <v>New</v>
      </c>
      <c r="F9488" s="72">
        <v>71</v>
      </c>
      <c r="G9488" s="72">
        <v>77155</v>
      </c>
    </row>
    <row r="9489" spans="1:7" ht="14.5">
      <c r="A9489" s="3" t="s">
        <v>9115</v>
      </c>
      <c r="B9489" s="12" t="s">
        <v>2905</v>
      </c>
      <c r="C9489" s="46" t="s">
        <v>9481</v>
      </c>
      <c r="D9489" s="41" t="str">
        <f ca="1">IFERROR(__xludf.DUMMYFUNCTION("IFERROR(ARRAYFORMULA(REGEXEXTRACT(C9489,""^(?:https?:\/\/)?(?:[^@\n]+@)?(?:www\.)?([^:\/\n]+)"")),"""")"),"4.bing.com")</f>
        <v>4.bing.com</v>
      </c>
      <c r="E9489" s="26" t="str">
        <f ca="1">IFERROR(__xludf.DUMMYFUNCTION("""COMPUTED_VALUE"""),"New")</f>
        <v>New</v>
      </c>
      <c r="F9489" s="72">
        <v>93</v>
      </c>
      <c r="G9489" s="72">
        <v>14799014</v>
      </c>
    </row>
    <row r="9490" spans="1:7" ht="14.5">
      <c r="A9490" s="3" t="s">
        <v>9115</v>
      </c>
      <c r="B9490" s="12" t="s">
        <v>2905</v>
      </c>
      <c r="C9490" s="46" t="s">
        <v>9482</v>
      </c>
      <c r="D9490" s="41" t="str">
        <f ca="1">IFERROR(__xludf.DUMMYFUNCTION("IFERROR(ARRAYFORMULA(REGEXEXTRACT(C9490,""^(?:https?:\/\/)?(?:[^@\n]+@)?(?:www\.)?([^:\/\n]+)"")),"""")"),"instapaper.com")</f>
        <v>instapaper.com</v>
      </c>
      <c r="E9490" s="26" t="str">
        <f ca="1">IFERROR(__xludf.DUMMYFUNCTION("""COMPUTED_VALUE"""),"New")</f>
        <v>New</v>
      </c>
      <c r="F9490" s="72">
        <v>82</v>
      </c>
      <c r="G9490" s="72">
        <v>11956</v>
      </c>
    </row>
    <row r="9491" spans="1:7" ht="14.5">
      <c r="A9491" s="3" t="s">
        <v>9115</v>
      </c>
      <c r="B9491" s="12" t="s">
        <v>2905</v>
      </c>
      <c r="C9491" s="46" t="s">
        <v>9483</v>
      </c>
      <c r="D9491" s="41" t="str">
        <f ca="1">IFERROR(__xludf.DUMMYFUNCTION("IFERROR(ARRAYFORMULA(REGEXEXTRACT(C9491,""^(?:https?:\/\/)?(?:[^@\n]+@)?(?:www\.)?([^:\/\n]+)"")),"""")"),"linkplacement.com")</f>
        <v>linkplacement.com</v>
      </c>
      <c r="E9491" s="26" t="str">
        <f ca="1">IFERROR(__xludf.DUMMYFUNCTION("""COMPUTED_VALUE"""),"New")</f>
        <v>New</v>
      </c>
      <c r="F9491" s="72">
        <v>25</v>
      </c>
      <c r="G9491" s="72">
        <v>3896</v>
      </c>
    </row>
    <row r="9492" spans="1:7" ht="14.5">
      <c r="A9492" s="3" t="s">
        <v>9115</v>
      </c>
      <c r="B9492" s="12" t="s">
        <v>2905</v>
      </c>
      <c r="C9492" s="46" t="s">
        <v>9484</v>
      </c>
      <c r="D9492" s="41" t="str">
        <f ca="1">IFERROR(__xludf.DUMMYFUNCTION("IFERROR(ARRAYFORMULA(REGEXEXTRACT(C9492,""^(?:https?:\/\/)?(?:[^@\n]+@)?(?:www\.)?([^:\/\n]+)"")),"""")"),"linda-goodman.com")</f>
        <v>linda-goodman.com</v>
      </c>
      <c r="E9492" s="26" t="str">
        <f ca="1">IFERROR(__xludf.DUMMYFUNCTION("""COMPUTED_VALUE"""),"New")</f>
        <v>New</v>
      </c>
      <c r="F9492" s="72">
        <v>27</v>
      </c>
      <c r="G9492" s="72">
        <v>10900</v>
      </c>
    </row>
    <row r="9493" spans="1:7" ht="14.5" hidden="1">
      <c r="A9493" s="3" t="s">
        <v>9115</v>
      </c>
      <c r="B9493" s="12" t="s">
        <v>2905</v>
      </c>
      <c r="C9493" s="46" t="s">
        <v>9485</v>
      </c>
      <c r="D9493" s="41" t="str">
        <f ca="1">IFERROR(__xludf.DUMMYFUNCTION("IFERROR(ARRAYFORMULA(REGEXEXTRACT(C9493,""^(?:https?:\/\/)?(?:[^@\n]+@)?(?:www\.)?([^:\/\n]+)"")),"""")"),"gisuser.com")</f>
        <v>gisuser.com</v>
      </c>
      <c r="E9493" s="26" t="str">
        <f ca="1">IFERROR(__xludf.DUMMYFUNCTION("""COMPUTED_VALUE"""),"Already Exists")</f>
        <v>Already Exists</v>
      </c>
      <c r="F9493" s="72">
        <v>66</v>
      </c>
      <c r="G9493" s="72">
        <v>5209</v>
      </c>
    </row>
    <row r="9494" spans="1:7" ht="14.5" hidden="1">
      <c r="A9494" s="3" t="s">
        <v>9115</v>
      </c>
      <c r="B9494" s="12" t="s">
        <v>2905</v>
      </c>
      <c r="C9494" s="46" t="s">
        <v>9486</v>
      </c>
      <c r="D9494" s="41" t="str">
        <f ca="1">IFERROR(__xludf.DUMMYFUNCTION("IFERROR(ARRAYFORMULA(REGEXEXTRACT(C9494,""^(?:https?:\/\/)?(?:[^@\n]+@)?(?:www\.)?([^:\/\n]+)"")),"""")"),"prophecynewswatch.com")</f>
        <v>prophecynewswatch.com</v>
      </c>
      <c r="E9494" s="26" t="str">
        <f ca="1">IFERROR(__xludf.DUMMYFUNCTION("""COMPUTED_VALUE"""),"Already Exists")</f>
        <v>Already Exists</v>
      </c>
      <c r="F9494" s="72">
        <v>48</v>
      </c>
      <c r="G9494" s="72">
        <v>1733</v>
      </c>
    </row>
    <row r="9495" spans="1:7" ht="14.5">
      <c r="A9495" s="3" t="s">
        <v>9115</v>
      </c>
      <c r="B9495" s="12" t="s">
        <v>2905</v>
      </c>
      <c r="C9495" s="46" t="s">
        <v>9487</v>
      </c>
      <c r="D9495" s="41" t="str">
        <f ca="1">IFERROR(__xludf.DUMMYFUNCTION("IFERROR(ARRAYFORMULA(REGEXEXTRACT(C9495,""^(?:https?:\/\/)?(?:[^@\n]+@)?(?:www\.)?([^:\/\n]+)"")),"""")"),"saddlebrook.com")</f>
        <v>saddlebrook.com</v>
      </c>
      <c r="E9495" s="26" t="str">
        <f ca="1">IFERROR(__xludf.DUMMYFUNCTION("""COMPUTED_VALUE"""),"New")</f>
        <v>New</v>
      </c>
      <c r="F9495" s="72">
        <v>51</v>
      </c>
      <c r="G9495" s="72">
        <v>8828</v>
      </c>
    </row>
    <row r="9496" spans="1:7" ht="14.5">
      <c r="A9496" s="3" t="s">
        <v>9115</v>
      </c>
      <c r="B9496" s="12" t="s">
        <v>2905</v>
      </c>
      <c r="C9496" s="46" t="s">
        <v>9488</v>
      </c>
      <c r="D9496" s="41" t="str">
        <f ca="1">IFERROR(__xludf.DUMMYFUNCTION("IFERROR(ARRAYFORMULA(REGEXEXTRACT(C9496,""^(?:https?:\/\/)?(?:[^@\n]+@)?(?:www\.)?([^:\/\n]+)"")),"""")"),"lotterypost.com")</f>
        <v>lotterypost.com</v>
      </c>
      <c r="E9496" s="26" t="str">
        <f ca="1">IFERROR(__xludf.DUMMYFUNCTION("""COMPUTED_VALUE"""),"New")</f>
        <v>New</v>
      </c>
      <c r="F9496" s="72">
        <v>78</v>
      </c>
      <c r="G9496" s="72">
        <v>2278687</v>
      </c>
    </row>
    <row r="9497" spans="1:7" ht="14.5" hidden="1">
      <c r="A9497" s="3" t="s">
        <v>9115</v>
      </c>
      <c r="B9497" s="12" t="s">
        <v>2905</v>
      </c>
      <c r="C9497" s="46" t="s">
        <v>9489</v>
      </c>
      <c r="D9497" s="41" t="str">
        <f ca="1">IFERROR(__xludf.DUMMYFUNCTION("IFERROR(ARRAYFORMULA(REGEXEXTRACT(C9497,""^(?:https?:\/\/)?(?:[^@\n]+@)?(?:www\.)?([^:\/\n]+)"")),"""")"),"elevatedmagazines.com")</f>
        <v>elevatedmagazines.com</v>
      </c>
      <c r="E9497" s="26" t="str">
        <f ca="1">IFERROR(__xludf.DUMMYFUNCTION("""COMPUTED_VALUE"""),"Already Exists")</f>
        <v>Already Exists</v>
      </c>
      <c r="F9497" s="72">
        <v>52</v>
      </c>
      <c r="G9497" s="72">
        <v>1484</v>
      </c>
    </row>
    <row r="9498" spans="1:7" ht="14.5">
      <c r="A9498" s="3" t="s">
        <v>9115</v>
      </c>
      <c r="B9498" s="12" t="s">
        <v>2905</v>
      </c>
      <c r="C9498" s="46" t="s">
        <v>9490</v>
      </c>
      <c r="D9498" s="41" t="str">
        <f ca="1">IFERROR(__xludf.DUMMYFUNCTION("IFERROR(ARRAYFORMULA(REGEXEXTRACT(C9498,""^(?:https?:\/\/)?(?:[^@\n]+@)?(?:www\.)?([^:\/\n]+)"")),"""")"),"zeoworks.com")</f>
        <v>zeoworks.com</v>
      </c>
      <c r="E9498" s="26" t="str">
        <f ca="1">IFERROR(__xludf.DUMMYFUNCTION("""COMPUTED_VALUE"""),"New")</f>
        <v>New</v>
      </c>
      <c r="F9498" s="72">
        <v>20</v>
      </c>
      <c r="G9498" s="72">
        <v>23177</v>
      </c>
    </row>
    <row r="9499" spans="1:7" ht="14.5">
      <c r="A9499" s="3" t="s">
        <v>9115</v>
      </c>
      <c r="B9499" s="12" t="s">
        <v>2905</v>
      </c>
      <c r="C9499" s="46" t="s">
        <v>9491</v>
      </c>
      <c r="D9499" s="41" t="str">
        <f ca="1">IFERROR(__xludf.DUMMYFUNCTION("IFERROR(ARRAYFORMULA(REGEXEXTRACT(C9499,""^(?:https?:\/\/)?(?:[^@\n]+@)?(?:www\.)?([^:\/\n]+)"")),"""")"),"hauteliving.com")</f>
        <v>hauteliving.com</v>
      </c>
      <c r="E9499" s="26" t="str">
        <f ca="1">IFERROR(__xludf.DUMMYFUNCTION("""COMPUTED_VALUE"""),"New")</f>
        <v>New</v>
      </c>
      <c r="F9499" s="72">
        <v>77</v>
      </c>
      <c r="G9499" s="72">
        <v>16549</v>
      </c>
    </row>
    <row r="9500" spans="1:7" ht="14.5" hidden="1">
      <c r="A9500" s="3" t="s">
        <v>9115</v>
      </c>
      <c r="B9500" s="12" t="s">
        <v>2905</v>
      </c>
      <c r="C9500" s="46" t="s">
        <v>9492</v>
      </c>
      <c r="D9500" s="41" t="str">
        <f ca="1">IFERROR(__xludf.DUMMYFUNCTION("IFERROR(ARRAYFORMULA(REGEXEXTRACT(C9500,""^(?:https?:\/\/)?(?:[^@\n]+@)?(?:www\.)?([^:\/\n]+)"")),"""")"),"wnynewsnow.com")</f>
        <v>wnynewsnow.com</v>
      </c>
      <c r="E9500" s="26" t="str">
        <f ca="1">IFERROR(__xludf.DUMMYFUNCTION("""COMPUTED_VALUE"""),"Already Exists")</f>
        <v>Already Exists</v>
      </c>
      <c r="F9500" s="72">
        <v>42</v>
      </c>
      <c r="G9500" s="72">
        <v>1031</v>
      </c>
    </row>
    <row r="9501" spans="1:7" ht="14.5">
      <c r="A9501" s="3" t="s">
        <v>9115</v>
      </c>
      <c r="B9501" s="12" t="s">
        <v>2905</v>
      </c>
      <c r="C9501" s="46" t="s">
        <v>9493</v>
      </c>
      <c r="D9501" s="41" t="str">
        <f ca="1">IFERROR(__xludf.DUMMYFUNCTION("IFERROR(ARRAYFORMULA(REGEXEXTRACT(C9501,""^(?:https?:\/\/)?(?:[^@\n]+@)?(?:www\.)?([^:\/\n]+)"")),"""")"),"online-casino2019.us.org")</f>
        <v>online-casino2019.us.org</v>
      </c>
      <c r="E9501" s="26" t="str">
        <f ca="1">IFERROR(__xludf.DUMMYFUNCTION("""COMPUTED_VALUE"""),"New")</f>
        <v>New</v>
      </c>
      <c r="F9501" s="72">
        <v>86</v>
      </c>
      <c r="G9501" s="72">
        <v>893259</v>
      </c>
    </row>
    <row r="9502" spans="1:7" ht="14.5">
      <c r="A9502" s="3" t="s">
        <v>9115</v>
      </c>
      <c r="B9502" s="12" t="s">
        <v>2905</v>
      </c>
      <c r="C9502" s="46" t="s">
        <v>9494</v>
      </c>
      <c r="D9502" s="41" t="str">
        <f ca="1">IFERROR(__xludf.DUMMYFUNCTION("IFERROR(ARRAYFORMULA(REGEXEXTRACT(C9502,""^(?:https?:\/\/)?(?:[^@\n]+@)?(?:www\.)?([^:\/\n]+)"")),"""")"),"namayush.gov.in")</f>
        <v>namayush.gov.in</v>
      </c>
      <c r="E9502" s="26" t="str">
        <f ca="1">IFERROR(__xludf.DUMMYFUNCTION("""COMPUTED_VALUE"""),"New")</f>
        <v>New</v>
      </c>
      <c r="F9502" s="72">
        <v>45</v>
      </c>
      <c r="G9502" s="72">
        <v>5593</v>
      </c>
    </row>
    <row r="9503" spans="1:7" ht="14.5" hidden="1">
      <c r="A9503" s="3" t="s">
        <v>9115</v>
      </c>
      <c r="B9503" s="12" t="s">
        <v>2905</v>
      </c>
      <c r="C9503" s="46" t="s">
        <v>9495</v>
      </c>
      <c r="D9503" s="41" t="str">
        <f ca="1">IFERROR(__xludf.DUMMYFUNCTION("IFERROR(ARRAYFORMULA(REGEXEXTRACT(C9503,""^(?:https?:\/\/)?(?:[^@\n]+@)?(?:www\.)?([^:\/\n]+)"")),"""")"),"iuemag.com")</f>
        <v>iuemag.com</v>
      </c>
      <c r="E9503" s="26" t="str">
        <f ca="1">IFERROR(__xludf.DUMMYFUNCTION("""COMPUTED_VALUE"""),"Already Exists")</f>
        <v>Already Exists</v>
      </c>
      <c r="F9503" s="72">
        <v>41</v>
      </c>
      <c r="G9503" s="72">
        <v>1212</v>
      </c>
    </row>
    <row r="9504" spans="1:7" ht="14.5">
      <c r="A9504" s="3" t="s">
        <v>9115</v>
      </c>
      <c r="B9504" s="12" t="s">
        <v>2905</v>
      </c>
      <c r="C9504" s="46" t="s">
        <v>9496</v>
      </c>
      <c r="D9504" s="41" t="str">
        <f ca="1">IFERROR(__xludf.DUMMYFUNCTION("IFERROR(ARRAYFORMULA(REGEXEXTRACT(C9504,""^(?:https?:\/\/)?(?:[^@\n]+@)?(?:www\.)?([^:\/\n]+)"")),"""")"),"olive-wolverine-471793.hostingersite.com")</f>
        <v>olive-wolverine-471793.hostingersite.com</v>
      </c>
      <c r="E9504" s="26" t="str">
        <f ca="1">IFERROR(__xludf.DUMMYFUNCTION("""COMPUTED_VALUE"""),"New")</f>
        <v>New</v>
      </c>
      <c r="F9504" s="72">
        <v>92</v>
      </c>
      <c r="G9504" s="72">
        <v>17814</v>
      </c>
    </row>
    <row r="9505" spans="1:7" ht="14.5">
      <c r="A9505" s="3" t="s">
        <v>9115</v>
      </c>
      <c r="B9505" s="12" t="s">
        <v>2905</v>
      </c>
      <c r="C9505" s="46" t="s">
        <v>9497</v>
      </c>
      <c r="D9505" s="41" t="str">
        <f ca="1">IFERROR(__xludf.DUMMYFUNCTION("IFERROR(ARRAYFORMULA(REGEXEXTRACT(C9505,""^(?:https?:\/\/)?(?:[^@\n]+@)?(?:www\.)?([^:\/\n]+)"")),"""")"),"gracejabbaribio.com")</f>
        <v>gracejabbaribio.com</v>
      </c>
      <c r="E9505" s="26" t="str">
        <f ca="1">IFERROR(__xludf.DUMMYFUNCTION("""COMPUTED_VALUE"""),"New")</f>
        <v>New</v>
      </c>
      <c r="F9505" s="72">
        <v>54</v>
      </c>
      <c r="G9505" s="72">
        <v>4332</v>
      </c>
    </row>
    <row r="9506" spans="1:7" ht="14.5">
      <c r="A9506" s="3" t="s">
        <v>9115</v>
      </c>
      <c r="B9506" s="12" t="s">
        <v>2905</v>
      </c>
      <c r="C9506" s="46" t="s">
        <v>9498</v>
      </c>
      <c r="D9506" s="41" t="str">
        <f ca="1">IFERROR(__xludf.DUMMYFUNCTION("IFERROR(ARRAYFORMULA(REGEXEXTRACT(C9506,""^(?:https?:\/\/)?(?:[^@\n]+@)?(?:www\.)?([^:\/\n]+)"")),"""")"),"thesportsbank.net")</f>
        <v>thesportsbank.net</v>
      </c>
      <c r="E9506" s="26" t="str">
        <f ca="1">IFERROR(__xludf.DUMMYFUNCTION("""COMPUTED_VALUE"""),"New")</f>
        <v>New</v>
      </c>
      <c r="F9506" s="72">
        <v>42</v>
      </c>
      <c r="G9506" s="72">
        <v>82527</v>
      </c>
    </row>
    <row r="9507" spans="1:7" ht="14.5">
      <c r="A9507" s="3" t="s">
        <v>9115</v>
      </c>
      <c r="B9507" s="12" t="s">
        <v>2905</v>
      </c>
      <c r="C9507" s="46" t="s">
        <v>9499</v>
      </c>
      <c r="D9507" s="41" t="str">
        <f ca="1">IFERROR(__xludf.DUMMYFUNCTION("IFERROR(ARRAYFORMULA(REGEXEXTRACT(C9507,""^(?:https?:\/\/)?(?:[^@\n]+@)?(?:www\.)?([^:\/\n]+)"")),"""")"),"bullz-eye.com")</f>
        <v>bullz-eye.com</v>
      </c>
      <c r="E9507" s="26" t="str">
        <f ca="1">IFERROR(__xludf.DUMMYFUNCTION("""COMPUTED_VALUE"""),"New")</f>
        <v>New</v>
      </c>
      <c r="F9507" s="72">
        <v>42</v>
      </c>
      <c r="G9507" s="72">
        <v>3640</v>
      </c>
    </row>
    <row r="9508" spans="1:7" ht="14.5">
      <c r="A9508" s="3" t="s">
        <v>9115</v>
      </c>
      <c r="B9508" s="12" t="s">
        <v>2905</v>
      </c>
      <c r="C9508" s="46" t="s">
        <v>9500</v>
      </c>
      <c r="D9508" s="41" t="str">
        <f ca="1">IFERROR(__xludf.DUMMYFUNCTION("IFERROR(ARRAYFORMULA(REGEXEXTRACT(C9508,""^(?:https?:\/\/)?(?:[^@\n]+@)?(?:www\.)?([^:\/\n]+)"")),"""")"),"amvisualworks.com.dream.website")</f>
        <v>amvisualworks.com.dream.website</v>
      </c>
      <c r="E9508" s="26" t="str">
        <f ca="1">IFERROR(__xludf.DUMMYFUNCTION("""COMPUTED_VALUE"""),"New")</f>
        <v>New</v>
      </c>
      <c r="F9508" s="72">
        <v>77</v>
      </c>
      <c r="G9508" s="72">
        <v>1067</v>
      </c>
    </row>
    <row r="9509" spans="1:7" ht="14.5">
      <c r="A9509" s="3" t="s">
        <v>9115</v>
      </c>
      <c r="B9509" s="12" t="s">
        <v>2905</v>
      </c>
      <c r="C9509" s="46" t="s">
        <v>9501</v>
      </c>
      <c r="D9509" s="41" t="str">
        <f ca="1">IFERROR(__xludf.DUMMYFUNCTION("IFERROR(ARRAYFORMULA(REGEXEXTRACT(C9509,""^(?:https?:\/\/)?(?:[^@\n]+@)?(?:www\.)?([^:\/\n]+)"")),"""")"),"harnessmagazine.com")</f>
        <v>harnessmagazine.com</v>
      </c>
      <c r="E9509" s="26" t="str">
        <f ca="1">IFERROR(__xludf.DUMMYFUNCTION("""COMPUTED_VALUE"""),"New")</f>
        <v>New</v>
      </c>
      <c r="F9509" s="72">
        <v>48</v>
      </c>
      <c r="G9509" s="72">
        <v>2500</v>
      </c>
    </row>
    <row r="9510" spans="1:7" ht="14.5" hidden="1">
      <c r="A9510" s="3" t="s">
        <v>9115</v>
      </c>
      <c r="B9510" s="12" t="s">
        <v>2905</v>
      </c>
      <c r="C9510" s="46" t="s">
        <v>9502</v>
      </c>
      <c r="D9510" s="41" t="str">
        <f ca="1">IFERROR(__xludf.DUMMYFUNCTION("IFERROR(ARRAYFORMULA(REGEXEXTRACT(C9510,""^(?:https?:\/\/)?(?:[^@\n]+@)?(?:www\.)?([^:\/\n]+)"")),"""")"),"terristeffes.com")</f>
        <v>terristeffes.com</v>
      </c>
      <c r="E9510" s="26" t="str">
        <f ca="1">IFERROR(__xludf.DUMMYFUNCTION("""COMPUTED_VALUE"""),"Already Exists")</f>
        <v>Already Exists</v>
      </c>
      <c r="F9510" s="72">
        <v>50</v>
      </c>
      <c r="G9510" s="72">
        <v>1938</v>
      </c>
    </row>
    <row r="9511" spans="1:7" ht="14.5">
      <c r="A9511" s="3" t="s">
        <v>9115</v>
      </c>
      <c r="B9511" s="12" t="s">
        <v>2905</v>
      </c>
      <c r="C9511" s="46" t="s">
        <v>9503</v>
      </c>
      <c r="D9511" s="41" t="str">
        <f ca="1">IFERROR(__xludf.DUMMYFUNCTION("IFERROR(ARRAYFORMULA(REGEXEXTRACT(C9511,""^(?:https?:\/\/)?(?:[^@\n]+@)?(?:www\.)?([^:\/\n]+)"")),"""")"),"mail.kroxam.com")</f>
        <v>mail.kroxam.com</v>
      </c>
      <c r="E9511" s="26" t="str">
        <f ca="1">IFERROR(__xludf.DUMMYFUNCTION("""COMPUTED_VALUE"""),"New")</f>
        <v>New</v>
      </c>
      <c r="F9511" s="72">
        <v>33</v>
      </c>
      <c r="G9511" s="72">
        <v>3037</v>
      </c>
    </row>
    <row r="9512" spans="1:7" ht="14.5">
      <c r="A9512" s="3" t="s">
        <v>9115</v>
      </c>
      <c r="B9512" s="12" t="s">
        <v>2905</v>
      </c>
      <c r="C9512" s="46" t="s">
        <v>9504</v>
      </c>
      <c r="D9512" s="41" t="str">
        <f ca="1">IFERROR(__xludf.DUMMYFUNCTION("IFERROR(ARRAYFORMULA(REGEXEXTRACT(C9512,""^(?:https?:\/\/)?(?:[^@\n]+@)?(?:www\.)?([^:\/\n]+)"")),"""")"),"gf5obk.zombeek.cz")</f>
        <v>gf5obk.zombeek.cz</v>
      </c>
      <c r="E9512" s="26" t="str">
        <f ca="1">IFERROR(__xludf.DUMMYFUNCTION("""COMPUTED_VALUE"""),"New")</f>
        <v>New</v>
      </c>
      <c r="F9512" s="72">
        <v>73</v>
      </c>
      <c r="G9512" s="72">
        <v>2308</v>
      </c>
    </row>
    <row r="9513" spans="1:7" ht="14.5">
      <c r="A9513" s="3" t="s">
        <v>9115</v>
      </c>
      <c r="B9513" s="12" t="s">
        <v>2905</v>
      </c>
      <c r="C9513" s="46" t="s">
        <v>9505</v>
      </c>
      <c r="D9513" s="41" t="str">
        <f ca="1">IFERROR(__xludf.DUMMYFUNCTION("IFERROR(ARRAYFORMULA(REGEXEXTRACT(C9513,""^(?:https?:\/\/)?(?:[^@\n]+@)?(?:www\.)?([^:\/\n]+)"")),"""")"),"nextluxury.com")</f>
        <v>nextluxury.com</v>
      </c>
      <c r="E9513" s="26" t="str">
        <f ca="1">IFERROR(__xludf.DUMMYFUNCTION("""COMPUTED_VALUE"""),"New")</f>
        <v>New</v>
      </c>
      <c r="F9513" s="72">
        <v>64</v>
      </c>
      <c r="G9513" s="72">
        <v>23384</v>
      </c>
    </row>
    <row r="9514" spans="1:7" ht="14.5" hidden="1">
      <c r="A9514" s="3" t="s">
        <v>9115</v>
      </c>
      <c r="B9514" s="12" t="s">
        <v>2905</v>
      </c>
      <c r="C9514" s="46" t="s">
        <v>9506</v>
      </c>
      <c r="D9514" s="41" t="str">
        <f ca="1">IFERROR(__xludf.DUMMYFUNCTION("IFERROR(ARRAYFORMULA(REGEXEXTRACT(C9514,""^(?:https?:\/\/)?(?:[^@\n]+@)?(?:www\.)?([^:\/\n]+)"")),"""")"),"offthemrkt.com")</f>
        <v>offthemrkt.com</v>
      </c>
      <c r="E9514" s="26" t="str">
        <f ca="1">IFERROR(__xludf.DUMMYFUNCTION("""COMPUTED_VALUE"""),"Already Exists")</f>
        <v>Already Exists</v>
      </c>
      <c r="F9514" s="72">
        <v>63</v>
      </c>
      <c r="G9514" s="72">
        <v>1155</v>
      </c>
    </row>
    <row r="9515" spans="1:7" ht="14.5">
      <c r="A9515" s="3" t="s">
        <v>9115</v>
      </c>
      <c r="B9515" s="12" t="s">
        <v>2905</v>
      </c>
      <c r="C9515" s="46" t="s">
        <v>9507</v>
      </c>
      <c r="D9515" s="41" t="str">
        <f ca="1">IFERROR(__xludf.DUMMYFUNCTION("IFERROR(ARRAYFORMULA(REGEXEXTRACT(C9515,""^(?:https?:\/\/)?(?:[^@\n]+@)?(?:www\.)?([^:\/\n]+)"")),"""")"),"ragezone.com")</f>
        <v>ragezone.com</v>
      </c>
      <c r="E9515" s="26" t="str">
        <f ca="1">IFERROR(__xludf.DUMMYFUNCTION("""COMPUTED_VALUE"""),"New")</f>
        <v>New</v>
      </c>
      <c r="F9515" s="72">
        <v>61</v>
      </c>
      <c r="G9515" s="72">
        <v>2520</v>
      </c>
    </row>
    <row r="9516" spans="1:7" ht="14.5" hidden="1">
      <c r="A9516" s="3" t="s">
        <v>9115</v>
      </c>
      <c r="B9516" s="12" t="s">
        <v>2905</v>
      </c>
      <c r="C9516" s="46" t="s">
        <v>9508</v>
      </c>
      <c r="D9516" s="41" t="str">
        <f ca="1">IFERROR(__xludf.DUMMYFUNCTION("IFERROR(ARRAYFORMULA(REGEXEXTRACT(C9516,""^(?:https?:\/\/)?(?:[^@\n]+@)?(?:www\.)?([^:\/\n]+)"")),"""")"),"resident.com")</f>
        <v>resident.com</v>
      </c>
      <c r="E9516" s="26" t="str">
        <f ca="1">IFERROR(__xludf.DUMMYFUNCTION("""COMPUTED_VALUE"""),"Already Exists")</f>
        <v>Already Exists</v>
      </c>
      <c r="F9516" s="72">
        <v>71</v>
      </c>
      <c r="G9516" s="72">
        <v>29372</v>
      </c>
    </row>
    <row r="9517" spans="1:7" ht="14.5">
      <c r="A9517" s="3" t="s">
        <v>9115</v>
      </c>
      <c r="B9517" s="12" t="s">
        <v>2905</v>
      </c>
      <c r="C9517" s="46" t="s">
        <v>9509</v>
      </c>
      <c r="D9517" s="41" t="str">
        <f ca="1">IFERROR(__xludf.DUMMYFUNCTION("IFERROR(ARRAYFORMULA(REGEXEXTRACT(C9517,""^(?:https?:\/\/)?(?:[^@\n]+@)?(?:www\.)?([^:\/\n]+)"")),"""")"),"hoylesfitness.com")</f>
        <v>hoylesfitness.com</v>
      </c>
      <c r="E9517" s="26" t="str">
        <f ca="1">IFERROR(__xludf.DUMMYFUNCTION("""COMPUTED_VALUE"""),"New")</f>
        <v>New</v>
      </c>
      <c r="F9517" s="72">
        <v>20</v>
      </c>
      <c r="G9517" s="72">
        <v>1166</v>
      </c>
    </row>
    <row r="9518" spans="1:7" ht="14.5" hidden="1">
      <c r="A9518" s="3" t="s">
        <v>9115</v>
      </c>
      <c r="B9518" s="12" t="s">
        <v>2905</v>
      </c>
      <c r="C9518" s="46" t="s">
        <v>9510</v>
      </c>
      <c r="D9518" s="41" t="str">
        <f ca="1">IFERROR(__xludf.DUMMYFUNCTION("IFERROR(ARRAYFORMULA(REGEXEXTRACT(C9518,""^(?:https?:\/\/)?(?:[^@\n]+@)?(?:www\.)?([^:\/\n]+)"")),"""")"),"finehomesandliving.com")</f>
        <v>finehomesandliving.com</v>
      </c>
      <c r="E9518" s="26" t="str">
        <f ca="1">IFERROR(__xludf.DUMMYFUNCTION("""COMPUTED_VALUE"""),"Already Exists")</f>
        <v>Already Exists</v>
      </c>
      <c r="F9518" s="72">
        <v>61</v>
      </c>
      <c r="G9518" s="72">
        <v>2338</v>
      </c>
    </row>
    <row r="9519" spans="1:7" ht="14.5">
      <c r="A9519" s="3" t="s">
        <v>9115</v>
      </c>
      <c r="B9519" s="12" t="s">
        <v>2905</v>
      </c>
      <c r="C9519" s="46" t="s">
        <v>9511</v>
      </c>
      <c r="D9519" s="41" t="str">
        <f ca="1">IFERROR(__xludf.DUMMYFUNCTION("IFERROR(ARRAYFORMULA(REGEXEXTRACT(C9519,""^(?:https?:\/\/)?(?:[^@\n]+@)?(?:www\.)?([^:\/\n]+)"")),"""")"),"telegra.ph")</f>
        <v>telegra.ph</v>
      </c>
      <c r="E9519" s="26" t="str">
        <f ca="1">IFERROR(__xludf.DUMMYFUNCTION("""COMPUTED_VALUE"""),"New")</f>
        <v>New</v>
      </c>
      <c r="F9519" s="72">
        <v>88</v>
      </c>
      <c r="G9519" s="72">
        <v>12858</v>
      </c>
    </row>
    <row r="9520" spans="1:7" ht="14.5">
      <c r="A9520" s="3" t="s">
        <v>9115</v>
      </c>
      <c r="B9520" s="12" t="s">
        <v>2905</v>
      </c>
      <c r="C9520" s="46" t="s">
        <v>9512</v>
      </c>
      <c r="D9520" s="41" t="str">
        <f ca="1">IFERROR(__xludf.DUMMYFUNCTION("IFERROR(ARRAYFORMULA(REGEXEXTRACT(C9520,""^(?:https?:\/\/)?(?:[^@\n]+@)?(?:www\.)?([^:\/\n]+)"")),"""")"),"d1cs39pa9zf28u.cloudfront.net")</f>
        <v>d1cs39pa9zf28u.cloudfront.net</v>
      </c>
      <c r="E9520" s="26" t="str">
        <f ca="1">IFERROR(__xludf.DUMMYFUNCTION("""COMPUTED_VALUE"""),"New")</f>
        <v>New</v>
      </c>
      <c r="F9520" s="72">
        <v>94</v>
      </c>
      <c r="G9520" s="72">
        <v>1728182</v>
      </c>
    </row>
    <row r="9521" spans="1:7" ht="14.5">
      <c r="A9521" s="3" t="s">
        <v>9115</v>
      </c>
      <c r="B9521" s="12" t="s">
        <v>2905</v>
      </c>
      <c r="C9521" s="46" t="s">
        <v>9513</v>
      </c>
      <c r="D9521" s="41" t="str">
        <f ca="1">IFERROR(__xludf.DUMMYFUNCTION("IFERROR(ARRAYFORMULA(REGEXEXTRACT(C9521,""^(?:https?:\/\/)?(?:[^@\n]+@)?(?:www\.)?([^:\/\n]+)"")),"""")"),"eselundlandspielhof.de")</f>
        <v>eselundlandspielhof.de</v>
      </c>
      <c r="E9521" s="26" t="str">
        <f ca="1">IFERROR(__xludf.DUMMYFUNCTION("""COMPUTED_VALUE"""),"New")</f>
        <v>New</v>
      </c>
      <c r="F9521" s="72">
        <v>65</v>
      </c>
      <c r="G9521" s="72">
        <v>1430</v>
      </c>
    </row>
    <row r="9522" spans="1:7" ht="14.5">
      <c r="A9522" s="3" t="s">
        <v>9115</v>
      </c>
      <c r="B9522" s="12" t="s">
        <v>2905</v>
      </c>
      <c r="C9522" s="46" t="s">
        <v>9514</v>
      </c>
      <c r="D9522" s="41" t="str">
        <f ca="1">IFERROR(__xludf.DUMMYFUNCTION("IFERROR(ARRAYFORMULA(REGEXEXTRACT(C9522,""^(?:https?:\/\/)?(?:[^@\n]+@)?(?:www\.)?([^:\/\n]+)"")),"""")"),"rapidapi.com")</f>
        <v>rapidapi.com</v>
      </c>
      <c r="E9522" s="26" t="str">
        <f ca="1">IFERROR(__xludf.DUMMYFUNCTION("""COMPUTED_VALUE"""),"New")</f>
        <v>New</v>
      </c>
      <c r="F9522" s="72">
        <v>82</v>
      </c>
      <c r="G9522" s="72">
        <v>105882</v>
      </c>
    </row>
    <row r="9523" spans="1:7" ht="14.5">
      <c r="A9523" s="3" t="s">
        <v>9115</v>
      </c>
      <c r="B9523" s="17" t="s">
        <v>2890</v>
      </c>
      <c r="C9523" s="46" t="s">
        <v>9515</v>
      </c>
      <c r="D9523" s="41" t="str">
        <f ca="1">IFERROR(__xludf.DUMMYFUNCTION("IFERROR(ARRAYFORMULA(REGEXEXTRACT(C9523,""^(?:https?:\/\/)?(?:[^@\n]+@)?(?:www\.)?([^:\/\n]+)"")),"""")"),"sipmagazine.com")</f>
        <v>sipmagazine.com</v>
      </c>
      <c r="E9523" s="26" t="str">
        <f ca="1">IFERROR(__xludf.DUMMYFUNCTION("""COMPUTED_VALUE"""),"New")</f>
        <v>New</v>
      </c>
      <c r="F9523" s="72">
        <v>54</v>
      </c>
      <c r="G9523" s="72">
        <v>2208</v>
      </c>
    </row>
    <row r="9524" spans="1:7" ht="14.5">
      <c r="A9524" s="3" t="s">
        <v>9115</v>
      </c>
      <c r="B9524" s="12" t="s">
        <v>2890</v>
      </c>
      <c r="C9524" s="46" t="s">
        <v>9516</v>
      </c>
      <c r="D9524" s="41" t="str">
        <f ca="1">IFERROR(__xludf.DUMMYFUNCTION("IFERROR(ARRAYFORMULA(REGEXEXTRACT(C9524,""^(?:https?:\/\/)?(?:[^@\n]+@)?(?:www\.)?([^:\/\n]+)"")),"""")"),"wanderlog.com")</f>
        <v>wanderlog.com</v>
      </c>
      <c r="E9524" s="26" t="str">
        <f ca="1">IFERROR(__xludf.DUMMYFUNCTION("""COMPUTED_VALUE"""),"New")</f>
        <v>New</v>
      </c>
      <c r="F9524" s="72">
        <v>76</v>
      </c>
      <c r="G9524" s="72">
        <v>2042677</v>
      </c>
    </row>
    <row r="9525" spans="1:7" ht="14.5" hidden="1">
      <c r="A9525" s="3" t="s">
        <v>9115</v>
      </c>
      <c r="B9525" s="12" t="s">
        <v>2890</v>
      </c>
      <c r="C9525" s="46" t="s">
        <v>9517</v>
      </c>
      <c r="D9525" s="41" t="str">
        <f ca="1">IFERROR(__xludf.DUMMYFUNCTION("IFERROR(ARRAYFORMULA(REGEXEXTRACT(C9525,""^(?:https?:\/\/)?(?:[^@\n]+@)?(?:www\.)?([^:\/\n]+)"")),"""")"),"myinteriorpalace.com")</f>
        <v>myinteriorpalace.com</v>
      </c>
      <c r="E9525" s="26" t="str">
        <f ca="1">IFERROR(__xludf.DUMMYFUNCTION("""COMPUTED_VALUE"""),"Already Exists")</f>
        <v>Already Exists</v>
      </c>
      <c r="F9525" s="72">
        <v>61</v>
      </c>
      <c r="G9525" s="72">
        <v>1983</v>
      </c>
    </row>
    <row r="9526" spans="1:7" ht="14.5">
      <c r="A9526" s="3" t="s">
        <v>9115</v>
      </c>
      <c r="B9526" s="12" t="s">
        <v>2890</v>
      </c>
      <c r="C9526" s="46" t="s">
        <v>9518</v>
      </c>
      <c r="D9526" s="41" t="str">
        <f ca="1">IFERROR(__xludf.DUMMYFUNCTION("IFERROR(ARRAYFORMULA(REGEXEXTRACT(C9526,""^(?:https?:\/\/)?(?:[^@\n]+@)?(?:www\.)?([^:\/\n]+)"")),"""")"),"safespacealliance.com")</f>
        <v>safespacealliance.com</v>
      </c>
      <c r="E9526" s="26" t="str">
        <f ca="1">IFERROR(__xludf.DUMMYFUNCTION("""COMPUTED_VALUE"""),"New")</f>
        <v>New</v>
      </c>
      <c r="F9526" s="72">
        <v>71</v>
      </c>
      <c r="G9526" s="72">
        <v>1706</v>
      </c>
    </row>
    <row r="9527" spans="1:7" ht="14.5" hidden="1">
      <c r="A9527" s="3" t="s">
        <v>9115</v>
      </c>
      <c r="B9527" s="12" t="s">
        <v>2890</v>
      </c>
      <c r="C9527" s="46" t="s">
        <v>9519</v>
      </c>
      <c r="D9527" s="41" t="str">
        <f ca="1">IFERROR(__xludf.DUMMYFUNCTION("IFERROR(ARRAYFORMULA(REGEXEXTRACT(C9527,""^(?:https?:\/\/)?(?:[^@\n]+@)?(?:www\.)?([^:\/\n]+)"")),"""")"),"optimisticmommy.com")</f>
        <v>optimisticmommy.com</v>
      </c>
      <c r="E9527" s="26" t="str">
        <f ca="1">IFERROR(__xludf.DUMMYFUNCTION("""COMPUTED_VALUE"""),"Already Exists")</f>
        <v>Already Exists</v>
      </c>
      <c r="F9527" s="72">
        <v>55</v>
      </c>
      <c r="G9527" s="72">
        <v>18438</v>
      </c>
    </row>
    <row r="9528" spans="1:7" ht="14.5">
      <c r="A9528" s="3" t="s">
        <v>9115</v>
      </c>
      <c r="B9528" s="12" t="s">
        <v>2890</v>
      </c>
      <c r="C9528" s="46" t="s">
        <v>9520</v>
      </c>
      <c r="D9528" s="41" t="str">
        <f ca="1">IFERROR(__xludf.DUMMYFUNCTION("IFERROR(ARRAYFORMULA(REGEXEXTRACT(C9528,""^(?:https?:\/\/)?(?:[^@\n]+@)?(?:www\.)?([^:\/\n]+)"")),"""")"),"longmontleader.com")</f>
        <v>longmontleader.com</v>
      </c>
      <c r="E9528" s="26" t="str">
        <f ca="1">IFERROR(__xludf.DUMMYFUNCTION("""COMPUTED_VALUE"""),"New")</f>
        <v>New</v>
      </c>
      <c r="F9528" s="72">
        <v>58</v>
      </c>
      <c r="G9528" s="72">
        <v>96763</v>
      </c>
    </row>
    <row r="9529" spans="1:7" ht="14.5">
      <c r="A9529" s="3" t="s">
        <v>9115</v>
      </c>
      <c r="B9529" s="17" t="s">
        <v>2893</v>
      </c>
      <c r="C9529" s="46" t="s">
        <v>9521</v>
      </c>
      <c r="D9529" s="41" t="str">
        <f ca="1">IFERROR(__xludf.DUMMYFUNCTION("IFERROR(ARRAYFORMULA(REGEXEXTRACT(C9529,""^(?:https?:\/\/)?(?:[^@\n]+@)?(?:www\.)?([^:\/\n]+)"")),"""")"),"hogfurniture.co")</f>
        <v>hogfurniture.co</v>
      </c>
      <c r="E9529" s="26" t="str">
        <f ca="1">IFERROR(__xludf.DUMMYFUNCTION("""COMPUTED_VALUE"""),"New")</f>
        <v>New</v>
      </c>
      <c r="F9529" s="72">
        <v>27</v>
      </c>
      <c r="G9529" s="72">
        <v>11445</v>
      </c>
    </row>
    <row r="9530" spans="1:7" ht="14.5" hidden="1">
      <c r="A9530" s="3" t="s">
        <v>9115</v>
      </c>
      <c r="B9530" s="12" t="s">
        <v>2893</v>
      </c>
      <c r="C9530" s="46" t="s">
        <v>9522</v>
      </c>
      <c r="D9530" s="41" t="str">
        <f ca="1">IFERROR(__xludf.DUMMYFUNCTION("IFERROR(ARRAYFORMULA(REGEXEXTRACT(C9530,""^(?:https?:\/\/)?(?:[^@\n]+@)?(?:www\.)?([^:\/\n]+)"")),"""")"),"shineyourlightblog.com")</f>
        <v>shineyourlightblog.com</v>
      </c>
      <c r="E9530" s="26" t="str">
        <f ca="1">IFERROR(__xludf.DUMMYFUNCTION("""COMPUTED_VALUE"""),"Already Exists")</f>
        <v>Already Exists</v>
      </c>
      <c r="F9530" s="72">
        <v>42</v>
      </c>
      <c r="G9530" s="72">
        <v>1506</v>
      </c>
    </row>
    <row r="9531" spans="1:7" ht="14.5" hidden="1">
      <c r="A9531" s="3" t="s">
        <v>9115</v>
      </c>
      <c r="B9531" s="12" t="s">
        <v>2893</v>
      </c>
      <c r="C9531" s="46" t="s">
        <v>9523</v>
      </c>
      <c r="D9531" s="41" t="str">
        <f ca="1">IFERROR(__xludf.DUMMYFUNCTION("IFERROR(ARRAYFORMULA(REGEXEXTRACT(C9531,""^(?:https?:\/\/)?(?:[^@\n]+@)?(?:www\.)?([^:\/\n]+)"")),"""")"),"alittledelightful.com")</f>
        <v>alittledelightful.com</v>
      </c>
      <c r="E9531" s="26" t="str">
        <f ca="1">IFERROR(__xludf.DUMMYFUNCTION("""COMPUTED_VALUE"""),"Already Exists")</f>
        <v>Already Exists</v>
      </c>
      <c r="F9531" s="72">
        <v>65</v>
      </c>
      <c r="G9531" s="72">
        <v>13997</v>
      </c>
    </row>
    <row r="9532" spans="1:7" ht="14.5">
      <c r="A9532" s="3" t="s">
        <v>9115</v>
      </c>
      <c r="B9532" s="12" t="s">
        <v>2893</v>
      </c>
      <c r="C9532" s="46" t="s">
        <v>9524</v>
      </c>
      <c r="D9532" s="41" t="str">
        <f ca="1">IFERROR(__xludf.DUMMYFUNCTION("IFERROR(ARRAYFORMULA(REGEXEXTRACT(C9532,""^(?:https?:\/\/)?(?:[^@\n]+@)?(?:www\.)?([^:\/\n]+)"")),"""")"),"expertise.com")</f>
        <v>expertise.com</v>
      </c>
      <c r="E9532" s="26" t="str">
        <f ca="1">IFERROR(__xludf.DUMMYFUNCTION("""COMPUTED_VALUE"""),"New")</f>
        <v>New</v>
      </c>
      <c r="F9532" s="72">
        <v>88</v>
      </c>
      <c r="G9532" s="72">
        <v>5615</v>
      </c>
    </row>
    <row r="9533" spans="1:7" ht="14.5" hidden="1">
      <c r="A9533" s="3" t="s">
        <v>9115</v>
      </c>
      <c r="B9533" s="12" t="s">
        <v>2893</v>
      </c>
      <c r="C9533" s="46" t="s">
        <v>9525</v>
      </c>
      <c r="D9533" s="41" t="str">
        <f ca="1">IFERROR(__xludf.DUMMYFUNCTION("IFERROR(ARRAYFORMULA(REGEXEXTRACT(C9533,""^(?:https?:\/\/)?(?:[^@\n]+@)?(?:www\.)?([^:\/\n]+)"")),"""")"),"opplehouse.com")</f>
        <v>opplehouse.com</v>
      </c>
      <c r="E9533" s="26" t="str">
        <f ca="1">IFERROR(__xludf.DUMMYFUNCTION("""COMPUTED_VALUE"""),"Already Exists")</f>
        <v>Already Exists</v>
      </c>
      <c r="F9533" s="72">
        <v>59</v>
      </c>
      <c r="G9533" s="72">
        <v>2999</v>
      </c>
    </row>
    <row r="9534" spans="1:7" ht="14.5" hidden="1">
      <c r="A9534" s="3" t="s">
        <v>9115</v>
      </c>
      <c r="B9534" s="12" t="s">
        <v>2893</v>
      </c>
      <c r="C9534" s="46" t="s">
        <v>9526</v>
      </c>
      <c r="D9534" s="41" t="str">
        <f ca="1">IFERROR(__xludf.DUMMYFUNCTION("IFERROR(ARRAYFORMULA(REGEXEXTRACT(C9534,""^(?:https?:\/\/)?(?:[^@\n]+@)?(?:www\.)?([^:\/\n]+)"")),"""")"),"resident.com")</f>
        <v>resident.com</v>
      </c>
      <c r="E9534" s="26" t="str">
        <f ca="1">IFERROR(__xludf.DUMMYFUNCTION("""COMPUTED_VALUE"""),"Already Exists")</f>
        <v>Already Exists</v>
      </c>
      <c r="F9534" s="72">
        <v>71</v>
      </c>
      <c r="G9534" s="72">
        <v>29372</v>
      </c>
    </row>
    <row r="9535" spans="1:7" ht="14.5">
      <c r="A9535" s="3" t="s">
        <v>9115</v>
      </c>
      <c r="B9535" s="12" t="s">
        <v>2893</v>
      </c>
      <c r="C9535" s="46" t="s">
        <v>9527</v>
      </c>
      <c r="D9535" s="41" t="str">
        <f ca="1">IFERROR(__xludf.DUMMYFUNCTION("IFERROR(ARRAYFORMULA(REGEXEXTRACT(C9535,""^(?:https?:\/\/)?(?:[^@\n]+@)?(?:www\.)?([^:\/\n]+)"")),"""")"),"raynordoorauthority.com")</f>
        <v>raynordoorauthority.com</v>
      </c>
      <c r="E9535" s="26" t="str">
        <f ca="1">IFERROR(__xludf.DUMMYFUNCTION("""COMPUTED_VALUE"""),"New")</f>
        <v>New</v>
      </c>
      <c r="F9535" s="72">
        <v>20</v>
      </c>
      <c r="G9535" s="72">
        <v>3495</v>
      </c>
    </row>
    <row r="9536" spans="1:7" ht="14.5" hidden="1">
      <c r="A9536" s="3" t="s">
        <v>9115</v>
      </c>
      <c r="B9536" s="12" t="s">
        <v>2893</v>
      </c>
      <c r="C9536" s="46" t="s">
        <v>9528</v>
      </c>
      <c r="D9536" s="41" t="str">
        <f ca="1">IFERROR(__xludf.DUMMYFUNCTION("IFERROR(ARRAYFORMULA(REGEXEXTRACT(C9536,""^(?:https?:\/\/)?(?:[^@\n]+@)?(?:www\.)?([^:\/\n]+)"")),"""")"),"myinteriorpalace.com")</f>
        <v>myinteriorpalace.com</v>
      </c>
      <c r="E9536" s="26" t="str">
        <f ca="1">IFERROR(__xludf.DUMMYFUNCTION("""COMPUTED_VALUE"""),"Already Exists")</f>
        <v>Already Exists</v>
      </c>
      <c r="F9536" s="72">
        <v>61</v>
      </c>
      <c r="G9536" s="72">
        <v>1983</v>
      </c>
    </row>
    <row r="9537" spans="1:7" ht="14.5" hidden="1">
      <c r="A9537" s="3" t="s">
        <v>9115</v>
      </c>
      <c r="B9537" s="12" t="s">
        <v>2893</v>
      </c>
      <c r="C9537" s="46" t="s">
        <v>9529</v>
      </c>
      <c r="D9537" s="41" t="str">
        <f ca="1">IFERROR(__xludf.DUMMYFUNCTION("IFERROR(ARRAYFORMULA(REGEXEXTRACT(C9537,""^(?:https?:\/\/)?(?:[^@\n]+@)?(?:www\.)?([^:\/\n]+)"")),"""")"),"millennialmagazine.com")</f>
        <v>millennialmagazine.com</v>
      </c>
      <c r="E9537" s="26" t="str">
        <f ca="1">IFERROR(__xludf.DUMMYFUNCTION("""COMPUTED_VALUE"""),"Already Exists")</f>
        <v>Already Exists</v>
      </c>
      <c r="F9537" s="72">
        <v>56</v>
      </c>
      <c r="G9537" s="72">
        <v>6909</v>
      </c>
    </row>
    <row r="9538" spans="1:7" ht="14.5">
      <c r="A9538" s="3" t="s">
        <v>9115</v>
      </c>
      <c r="B9538" s="12" t="s">
        <v>2893</v>
      </c>
      <c r="C9538" s="46" t="s">
        <v>9530</v>
      </c>
      <c r="D9538" s="41" t="str">
        <f ca="1">IFERROR(__xludf.DUMMYFUNCTION("IFERROR(ARRAYFORMULA(REGEXEXTRACT(C9538,""^(?:https?:\/\/)?(?:[^@\n]+@)?(?:www\.)?([^:\/\n]+)"")),"""")"),"linearmotiontips.com")</f>
        <v>linearmotiontips.com</v>
      </c>
      <c r="E9538" s="26" t="str">
        <f ca="1">IFERROR(__xludf.DUMMYFUNCTION("""COMPUTED_VALUE"""),"New")</f>
        <v>New</v>
      </c>
      <c r="F9538" s="72">
        <v>58</v>
      </c>
      <c r="G9538" s="72">
        <v>4343</v>
      </c>
    </row>
    <row r="9539" spans="1:7" ht="14.5">
      <c r="A9539" s="3" t="s">
        <v>9115</v>
      </c>
      <c r="B9539" s="12" t="s">
        <v>2893</v>
      </c>
      <c r="C9539" s="46" t="s">
        <v>9531</v>
      </c>
      <c r="D9539" s="41" t="str">
        <f ca="1">IFERROR(__xludf.DUMMYFUNCTION("IFERROR(ARRAYFORMULA(REGEXEXTRACT(C9539,""^(?:https?:\/\/)?(?:[^@\n]+@)?(?:www\.)?([^:\/\n]+)"")),"""")"),"reviews.birdeye.com")</f>
        <v>reviews.birdeye.com</v>
      </c>
      <c r="E9539" s="26" t="str">
        <f ca="1">IFERROR(__xludf.DUMMYFUNCTION("""COMPUTED_VALUE"""),"New")</f>
        <v>New</v>
      </c>
      <c r="F9539" s="72">
        <v>85</v>
      </c>
      <c r="G9539" s="72">
        <v>407641</v>
      </c>
    </row>
    <row r="9540" spans="1:7" ht="14.5">
      <c r="A9540" s="3" t="s">
        <v>9115</v>
      </c>
      <c r="B9540" s="12" t="s">
        <v>2893</v>
      </c>
      <c r="C9540" s="46" t="s">
        <v>9532</v>
      </c>
      <c r="D9540" s="41" t="str">
        <f ca="1">IFERROR(__xludf.DUMMYFUNCTION("IFERROR(ARRAYFORMULA(REGEXEXTRACT(C9540,""^(?:https?:\/\/)?(?:[^@\n]+@)?(?:www\.)?([^:\/\n]+)"")),"""")"),"blog.housesitmatch.com")</f>
        <v>blog.housesitmatch.com</v>
      </c>
      <c r="E9540" s="26" t="str">
        <f ca="1">IFERROR(__xludf.DUMMYFUNCTION("""COMPUTED_VALUE"""),"New")</f>
        <v>New</v>
      </c>
      <c r="F9540" s="72">
        <v>42</v>
      </c>
      <c r="G9540" s="72">
        <v>2303</v>
      </c>
    </row>
    <row r="9541" spans="1:7" ht="14.5">
      <c r="A9541" s="3" t="s">
        <v>9115</v>
      </c>
      <c r="B9541" s="12" t="s">
        <v>2893</v>
      </c>
      <c r="C9541" s="46" t="s">
        <v>9533</v>
      </c>
      <c r="D9541" s="41" t="str">
        <f ca="1">IFERROR(__xludf.DUMMYFUNCTION("IFERROR(ARRAYFORMULA(REGEXEXTRACT(C9541,""^(?:https?:\/\/)?(?:[^@\n]+@)?(?:www\.)?([^:\/\n]+)"")),"""")"),"rismedia.com")</f>
        <v>rismedia.com</v>
      </c>
      <c r="E9541" s="26" t="str">
        <f ca="1">IFERROR(__xludf.DUMMYFUNCTION("""COMPUTED_VALUE"""),"New")</f>
        <v>New</v>
      </c>
      <c r="F9541" s="72">
        <v>78</v>
      </c>
      <c r="G9541" s="72">
        <v>7344</v>
      </c>
    </row>
    <row r="9542" spans="1:7" ht="14.5">
      <c r="A9542" s="3" t="s">
        <v>9115</v>
      </c>
      <c r="B9542" s="12" t="s">
        <v>2893</v>
      </c>
      <c r="C9542" s="46" t="s">
        <v>9534</v>
      </c>
      <c r="D9542" s="41" t="str">
        <f ca="1">IFERROR(__xludf.DUMMYFUNCTION("IFERROR(ARRAYFORMULA(REGEXEXTRACT(C9542,""^(?:https?:\/\/)?(?:[^@\n]+@)?(?:www\.)?([^:\/\n]+)"")),"""")"),"directory.yext.com")</f>
        <v>directory.yext.com</v>
      </c>
      <c r="E9542" s="26" t="str">
        <f ca="1">IFERROR(__xludf.DUMMYFUNCTION("""COMPUTED_VALUE"""),"New")</f>
        <v>New</v>
      </c>
      <c r="F9542" s="72">
        <v>81</v>
      </c>
      <c r="G9542" s="72">
        <v>43194</v>
      </c>
    </row>
    <row r="9543" spans="1:7" ht="14.5" hidden="1">
      <c r="A9543" s="3" t="s">
        <v>9115</v>
      </c>
      <c r="B9543" s="12" t="s">
        <v>2893</v>
      </c>
      <c r="C9543" s="46" t="s">
        <v>9535</v>
      </c>
      <c r="D9543" s="41" t="str">
        <f ca="1">IFERROR(__xludf.DUMMYFUNCTION("IFERROR(ARRAYFORMULA(REGEXEXTRACT(C9543,""^(?:https?:\/\/)?(?:[^@\n]+@)?(?:www\.)?([^:\/\n]+)"")),"""")"),"michiganmamanews.com")</f>
        <v>michiganmamanews.com</v>
      </c>
      <c r="E9543" s="26" t="str">
        <f ca="1">IFERROR(__xludf.DUMMYFUNCTION("""COMPUTED_VALUE"""),"Already Exists")</f>
        <v>Already Exists</v>
      </c>
      <c r="F9543" s="72">
        <v>62</v>
      </c>
      <c r="G9543" s="72">
        <v>1484</v>
      </c>
    </row>
    <row r="9544" spans="1:7" ht="14.5" hidden="1">
      <c r="A9544" s="3" t="s">
        <v>9115</v>
      </c>
      <c r="B9544" s="12" t="s">
        <v>2893</v>
      </c>
      <c r="C9544" s="46" t="s">
        <v>9536</v>
      </c>
      <c r="D9544" s="41" t="str">
        <f ca="1">IFERROR(__xludf.DUMMYFUNCTION("IFERROR(ARRAYFORMULA(REGEXEXTRACT(C9544,""^(?:https?:\/\/)?(?:[^@\n]+@)?(?:www\.)?([^:\/\n]+)"")),"""")"),"enthrallinggumption.com")</f>
        <v>enthrallinggumption.com</v>
      </c>
      <c r="E9544" s="26" t="str">
        <f ca="1">IFERROR(__xludf.DUMMYFUNCTION("""COMPUTED_VALUE"""),"Already Exists")</f>
        <v>Already Exists</v>
      </c>
      <c r="F9544" s="72">
        <v>54</v>
      </c>
      <c r="G9544" s="72">
        <v>10556</v>
      </c>
    </row>
    <row r="9545" spans="1:7" ht="14.5">
      <c r="A9545" s="3" t="s">
        <v>9115</v>
      </c>
      <c r="B9545" s="12" t="s">
        <v>2893</v>
      </c>
      <c r="C9545" s="46" t="s">
        <v>9537</v>
      </c>
      <c r="D9545" s="41" t="str">
        <f ca="1">IFERROR(__xludf.DUMMYFUNCTION("IFERROR(ARRAYFORMULA(REGEXEXTRACT(C9545,""^(?:https?:\/\/)?(?:[^@\n]+@)?(?:www\.)?([^:\/\n]+)"")),"""")"),"network.procore.com")</f>
        <v>network.procore.com</v>
      </c>
      <c r="E9545" s="26" t="str">
        <f ca="1">IFERROR(__xludf.DUMMYFUNCTION("""COMPUTED_VALUE"""),"New")</f>
        <v>New</v>
      </c>
      <c r="F9545" s="72">
        <v>82</v>
      </c>
      <c r="G9545" s="72">
        <v>1168143</v>
      </c>
    </row>
    <row r="9546" spans="1:7" ht="14.5">
      <c r="A9546" s="3" t="s">
        <v>9115</v>
      </c>
      <c r="B9546" s="12" t="s">
        <v>2893</v>
      </c>
      <c r="C9546" s="46" t="s">
        <v>9538</v>
      </c>
      <c r="D9546" s="41" t="str">
        <f ca="1">IFERROR(__xludf.DUMMYFUNCTION("IFERROR(ARRAYFORMULA(REGEXEXTRACT(C9546,""^(?:https?:\/\/)?(?:[^@\n]+@)?(?:www\.)?([^:\/\n]+)"")),"""")"),"musicthinktank.squarespace.com")</f>
        <v>musicthinktank.squarespace.com</v>
      </c>
      <c r="E9546" s="26" t="str">
        <f ca="1">IFERROR(__xludf.DUMMYFUNCTION("""COMPUTED_VALUE"""),"New")</f>
        <v>New</v>
      </c>
      <c r="F9546" s="72">
        <v>95</v>
      </c>
      <c r="G9546" s="72">
        <v>3933720</v>
      </c>
    </row>
    <row r="9547" spans="1:7" ht="14.5" hidden="1">
      <c r="A9547" s="3" t="s">
        <v>9115</v>
      </c>
      <c r="B9547" s="12" t="s">
        <v>2893</v>
      </c>
      <c r="C9547" s="46" t="s">
        <v>9539</v>
      </c>
      <c r="D9547" s="41" t="str">
        <f ca="1">IFERROR(__xludf.DUMMYFUNCTION("IFERROR(ARRAYFORMULA(REGEXEXTRACT(C9547,""^(?:https?:\/\/)?(?:[^@\n]+@)?(?:www\.)?([^:\/\n]+)"")),"""")"),"cience.com")</f>
        <v>cience.com</v>
      </c>
      <c r="E9547" s="26" t="str">
        <f ca="1">IFERROR(__xludf.DUMMYFUNCTION("""COMPUTED_VALUE"""),"Already Exists")</f>
        <v>Already Exists</v>
      </c>
      <c r="F9547" s="72">
        <v>74</v>
      </c>
      <c r="G9547" s="72">
        <v>3333</v>
      </c>
    </row>
    <row r="9548" spans="1:7" ht="14.5">
      <c r="A9548" s="3" t="s">
        <v>9115</v>
      </c>
      <c r="B9548" s="12" t="s">
        <v>2893</v>
      </c>
      <c r="C9548" s="46" t="s">
        <v>9540</v>
      </c>
      <c r="D9548" s="41" t="str">
        <f ca="1">IFERROR(__xludf.DUMMYFUNCTION("IFERROR(ARRAYFORMULA(REGEXEXTRACT(C9548,""^(?:https?:\/\/)?(?:[^@\n]+@)?(?:www\.)?([^:\/\n]+)"")),"""")"),"gayrealestate.com")</f>
        <v>gayrealestate.com</v>
      </c>
      <c r="E9548" s="26" t="str">
        <f ca="1">IFERROR(__xludf.DUMMYFUNCTION("""COMPUTED_VALUE"""),"New")</f>
        <v>New</v>
      </c>
      <c r="F9548" s="72">
        <v>34</v>
      </c>
      <c r="G9548" s="72">
        <v>2099</v>
      </c>
    </row>
    <row r="9549" spans="1:7" ht="14.5">
      <c r="A9549" s="3" t="s">
        <v>9115</v>
      </c>
      <c r="B9549" s="12" t="s">
        <v>2893</v>
      </c>
      <c r="C9549" s="46" t="s">
        <v>9541</v>
      </c>
      <c r="D9549" s="41" t="str">
        <f ca="1">IFERROR(__xludf.DUMMYFUNCTION("IFERROR(ARRAYFORMULA(REGEXEXTRACT(C9549,""^(?:https?:\/\/)?(?:[^@\n]+@)?(?:www\.)?([^:\/\n]+)"")),"""")"),"wilmettechamber.chambermaster.com")</f>
        <v>wilmettechamber.chambermaster.com</v>
      </c>
      <c r="E9549" s="26" t="str">
        <f ca="1">IFERROR(__xludf.DUMMYFUNCTION("""COMPUTED_VALUE"""),"New")</f>
        <v>New</v>
      </c>
      <c r="F9549" s="72">
        <v>78</v>
      </c>
      <c r="G9549" s="72">
        <v>63574</v>
      </c>
    </row>
    <row r="9550" spans="1:7" ht="14.5">
      <c r="A9550" s="3" t="s">
        <v>9115</v>
      </c>
      <c r="B9550" s="12" t="s">
        <v>2893</v>
      </c>
      <c r="C9550" s="46" t="s">
        <v>9542</v>
      </c>
      <c r="D9550" s="41" t="str">
        <f ca="1">IFERROR(__xludf.DUMMYFUNCTION("IFERROR(ARRAYFORMULA(REGEXEXTRACT(C9550,""^(?:https?:\/\/)?(?:[^@\n]+@)?(?:www\.)?([^:\/\n]+)"")),"""")"),"appledoor.com")</f>
        <v>appledoor.com</v>
      </c>
      <c r="E9550" s="26" t="str">
        <f ca="1">IFERROR(__xludf.DUMMYFUNCTION("""COMPUTED_VALUE"""),"New")</f>
        <v>New</v>
      </c>
      <c r="F9550" s="72">
        <v>21</v>
      </c>
      <c r="G9550" s="72">
        <v>1317</v>
      </c>
    </row>
    <row r="9551" spans="1:7" ht="14.5">
      <c r="A9551" s="3" t="s">
        <v>9115</v>
      </c>
      <c r="B9551" s="12" t="s">
        <v>2893</v>
      </c>
      <c r="C9551" s="46" t="s">
        <v>9543</v>
      </c>
      <c r="D9551" s="41" t="str">
        <f ca="1">IFERROR(__xludf.DUMMYFUNCTION("IFERROR(ARRAYFORMULA(REGEXEXTRACT(C9551,""^(?:https?:\/\/)?(?:[^@\n]+@)?(?:www\.)?([^:\/\n]+)"")),"""")"),"business.inyoregister.com")</f>
        <v>business.inyoregister.com</v>
      </c>
      <c r="E9551" s="26" t="str">
        <f ca="1">IFERROR(__xludf.DUMMYFUNCTION("""COMPUTED_VALUE"""),"New")</f>
        <v>New</v>
      </c>
      <c r="F9551" s="72">
        <v>50</v>
      </c>
      <c r="G9551" s="72">
        <v>1076</v>
      </c>
    </row>
    <row r="9552" spans="1:7" ht="14.5">
      <c r="A9552" s="3" t="s">
        <v>9115</v>
      </c>
      <c r="B9552" s="17" t="s">
        <v>2904</v>
      </c>
      <c r="C9552" s="46" t="s">
        <v>9544</v>
      </c>
      <c r="D9552" s="41" t="str">
        <f ca="1">IFERROR(__xludf.DUMMYFUNCTION("IFERROR(ARRAYFORMULA(REGEXEXTRACT(C9552,""^(?:https?:\/\/)?(?:[^@\n]+@)?(?:www\.)?([^:\/\n]+)"")),"""")"),"business.hwcoc.org")</f>
        <v>business.hwcoc.org</v>
      </c>
      <c r="E9552" s="26" t="str">
        <f ca="1">IFERROR(__xludf.DUMMYFUNCTION("""COMPUTED_VALUE"""),"New")</f>
        <v>New</v>
      </c>
      <c r="F9552" s="72">
        <v>37</v>
      </c>
      <c r="G9552" s="72">
        <v>1197</v>
      </c>
    </row>
    <row r="9553" spans="1:7" ht="14.5">
      <c r="A9553" s="3" t="s">
        <v>9115</v>
      </c>
      <c r="B9553" s="12" t="s">
        <v>2904</v>
      </c>
      <c r="C9553" s="46" t="s">
        <v>9545</v>
      </c>
      <c r="D9553" s="41" t="str">
        <f ca="1">IFERROR(__xludf.DUMMYFUNCTION("IFERROR(ARRAYFORMULA(REGEXEXTRACT(C9553,""^(?:https?:\/\/)?(?:[^@\n]+@)?(?:www\.)?([^:\/\n]+)"")),"""")"),"pr.washingtoncitypaper.com")</f>
        <v>pr.washingtoncitypaper.com</v>
      </c>
      <c r="E9553" s="26" t="str">
        <f ca="1">IFERROR(__xludf.DUMMYFUNCTION("""COMPUTED_VALUE"""),"New")</f>
        <v>New</v>
      </c>
      <c r="F9553" s="72">
        <v>79</v>
      </c>
      <c r="G9553" s="72">
        <v>147829</v>
      </c>
    </row>
    <row r="9554" spans="1:7" ht="14.5" hidden="1">
      <c r="A9554" s="3" t="s">
        <v>9115</v>
      </c>
      <c r="B9554" s="12" t="s">
        <v>2904</v>
      </c>
      <c r="C9554" s="46" t="s">
        <v>9546</v>
      </c>
      <c r="D9554" s="41" t="str">
        <f ca="1">IFERROR(__xludf.DUMMYFUNCTION("IFERROR(ARRAYFORMULA(REGEXEXTRACT(C9554,""^(?:https?:\/\/)?(?:[^@\n]+@)?(?:www\.)?([^:\/\n]+)"")),"""")"),"jackcooper.com")</f>
        <v>jackcooper.com</v>
      </c>
      <c r="E9554" s="26" t="str">
        <f ca="1">IFERROR(__xludf.DUMMYFUNCTION("""COMPUTED_VALUE"""),"Already Exists")</f>
        <v>Already Exists</v>
      </c>
      <c r="F9554" s="72">
        <v>63</v>
      </c>
      <c r="G9554" s="72">
        <v>58200</v>
      </c>
    </row>
    <row r="9555" spans="1:7" ht="14.5" hidden="1">
      <c r="A9555" s="3" t="s">
        <v>9115</v>
      </c>
      <c r="B9555" s="12" t="s">
        <v>2904</v>
      </c>
      <c r="C9555" s="46" t="s">
        <v>9547</v>
      </c>
      <c r="D9555" s="41" t="str">
        <f ca="1">IFERROR(__xludf.DUMMYFUNCTION("IFERROR(ARRAYFORMULA(REGEXEXTRACT(C9555,""^(?:https?:\/\/)?(?:[^@\n]+@)?(?:www\.)?([^:\/\n]+)"")),"""")"),"the-gingerbread-house.co.uk")</f>
        <v>the-gingerbread-house.co.uk</v>
      </c>
      <c r="E9555" s="26" t="str">
        <f ca="1">IFERROR(__xludf.DUMMYFUNCTION("""COMPUTED_VALUE"""),"Already Exists")</f>
        <v>Already Exists</v>
      </c>
      <c r="F9555" s="72">
        <v>47</v>
      </c>
      <c r="G9555" s="72">
        <v>2280</v>
      </c>
    </row>
    <row r="9556" spans="1:7" ht="14.5">
      <c r="A9556" s="3" t="s">
        <v>9115</v>
      </c>
      <c r="B9556" s="12" t="s">
        <v>2904</v>
      </c>
      <c r="C9556" s="46" t="s">
        <v>9548</v>
      </c>
      <c r="D9556" s="41" t="str">
        <f ca="1">IFERROR(__xludf.DUMMYFUNCTION("IFERROR(ARRAYFORMULA(REGEXEXTRACT(C9556,""^(?:https?:\/\/)?(?:[^@\n]+@)?(?:www\.)?([^:\/\n]+)"")),"""")"),"nikkisplate.com")</f>
        <v>nikkisplate.com</v>
      </c>
      <c r="E9556" s="26" t="str">
        <f ca="1">IFERROR(__xludf.DUMMYFUNCTION("""COMPUTED_VALUE"""),"New")</f>
        <v>New</v>
      </c>
      <c r="F9556" s="72">
        <v>34</v>
      </c>
      <c r="G9556" s="72">
        <v>8063</v>
      </c>
    </row>
    <row r="9557" spans="1:7" ht="14.5" hidden="1">
      <c r="A9557" s="3" t="s">
        <v>9115</v>
      </c>
      <c r="B9557" s="12" t="s">
        <v>2904</v>
      </c>
      <c r="C9557" s="46" t="s">
        <v>9549</v>
      </c>
      <c r="D9557" s="41" t="str">
        <f ca="1">IFERROR(__xludf.DUMMYFUNCTION("IFERROR(ARRAYFORMULA(REGEXEXTRACT(C9557,""^(?:https?:\/\/)?(?:[^@\n]+@)?(?:www\.)?([^:\/\n]+)"")),"""")"),"whipperberry.com")</f>
        <v>whipperberry.com</v>
      </c>
      <c r="E9557" s="26" t="str">
        <f ca="1">IFERROR(__xludf.DUMMYFUNCTION("""COMPUTED_VALUE"""),"Already Exists")</f>
        <v>Already Exists</v>
      </c>
      <c r="F9557" s="72">
        <v>53</v>
      </c>
      <c r="G9557" s="72">
        <v>1832</v>
      </c>
    </row>
    <row r="9558" spans="1:7" ht="14.5" hidden="1">
      <c r="A9558" s="3" t="s">
        <v>9115</v>
      </c>
      <c r="B9558" s="12" t="s">
        <v>2904</v>
      </c>
      <c r="C9558" s="46" t="s">
        <v>9550</v>
      </c>
      <c r="D9558" s="41" t="str">
        <f ca="1">IFERROR(__xludf.DUMMYFUNCTION("IFERROR(ARRAYFORMULA(REGEXEXTRACT(C9558,""^(?:https?:\/\/)?(?:[^@\n]+@)?(?:www\.)?([^:\/\n]+)"")),"""")"),"blog.bay-bee.co.uk")</f>
        <v>blog.bay-bee.co.uk</v>
      </c>
      <c r="E9558" s="26" t="str">
        <f ca="1">IFERROR(__xludf.DUMMYFUNCTION("""COMPUTED_VALUE"""),"Already Exists")</f>
        <v>Already Exists</v>
      </c>
      <c r="F9558" s="72">
        <v>34</v>
      </c>
      <c r="G9558" s="72">
        <v>1573</v>
      </c>
    </row>
    <row r="9559" spans="1:7" ht="14.5" hidden="1">
      <c r="A9559" s="3" t="s">
        <v>9115</v>
      </c>
      <c r="B9559" s="12" t="s">
        <v>2904</v>
      </c>
      <c r="C9559" s="46" t="s">
        <v>9551</v>
      </c>
      <c r="D9559" s="41" t="str">
        <f ca="1">IFERROR(__xludf.DUMMYFUNCTION("IFERROR(ARRAYFORMULA(REGEXEXTRACT(C9559,""^(?:https?:\/\/)?(?:[^@\n]+@)?(?:www\.)?([^:\/\n]+)"")),"""")"),"gigwise.com")</f>
        <v>gigwise.com</v>
      </c>
      <c r="E9559" s="26" t="str">
        <f ca="1">IFERROR(__xludf.DUMMYFUNCTION("""COMPUTED_VALUE"""),"Already Exists")</f>
        <v>Already Exists</v>
      </c>
      <c r="F9559" s="72">
        <v>68</v>
      </c>
      <c r="G9559" s="72">
        <v>161955</v>
      </c>
    </row>
    <row r="9560" spans="1:7" ht="14.5" hidden="1">
      <c r="A9560" s="3" t="s">
        <v>9115</v>
      </c>
      <c r="B9560" s="12" t="s">
        <v>2904</v>
      </c>
      <c r="C9560" s="46" t="s">
        <v>9552</v>
      </c>
      <c r="D9560" s="41" t="str">
        <f ca="1">IFERROR(__xludf.DUMMYFUNCTION("IFERROR(ARRAYFORMULA(REGEXEXTRACT(C9560,""^(?:https?:\/\/)?(?:[^@\n]+@)?(?:www\.)?([^:\/\n]+)"")),"""")"),"wemadethislife.com")</f>
        <v>wemadethislife.com</v>
      </c>
      <c r="E9560" s="26" t="str">
        <f ca="1">IFERROR(__xludf.DUMMYFUNCTION("""COMPUTED_VALUE"""),"Already Exists")</f>
        <v>Already Exists</v>
      </c>
      <c r="F9560" s="72">
        <v>36</v>
      </c>
      <c r="G9560" s="72">
        <v>2214</v>
      </c>
    </row>
    <row r="9561" spans="1:7" ht="14.5" hidden="1">
      <c r="A9561" s="3" t="s">
        <v>9115</v>
      </c>
      <c r="B9561" s="12" t="s">
        <v>2904</v>
      </c>
      <c r="C9561" s="46" t="s">
        <v>9553</v>
      </c>
      <c r="D9561" s="41" t="str">
        <f ca="1">IFERROR(__xludf.DUMMYFUNCTION("IFERROR(ARRAYFORMULA(REGEXEXTRACT(C9561,""^(?:https?:\/\/)?(?:[^@\n]+@)?(?:www\.)?([^:\/\n]+)"")),"""")"),"quirkohub.com")</f>
        <v>quirkohub.com</v>
      </c>
      <c r="E9561" s="26" t="str">
        <f ca="1">IFERROR(__xludf.DUMMYFUNCTION("""COMPUTED_VALUE"""),"Already Exists")</f>
        <v>Already Exists</v>
      </c>
      <c r="F9561" s="72">
        <v>36</v>
      </c>
      <c r="G9561" s="72">
        <v>1544</v>
      </c>
    </row>
    <row r="9562" spans="1:7" ht="14.5">
      <c r="A9562" s="3" t="s">
        <v>9115</v>
      </c>
      <c r="B9562" s="12" t="s">
        <v>2904</v>
      </c>
      <c r="C9562" s="46" t="s">
        <v>9554</v>
      </c>
      <c r="D9562" s="41" t="str">
        <f ca="1">IFERROR(__xludf.DUMMYFUNCTION("IFERROR(ARRAYFORMULA(REGEXEXTRACT(C9562,""^(?:https?:\/\/)?(?:[^@\n]+@)?(?:www\.)?([^:\/\n]+)"")),"""")"),"interworldradio.net")</f>
        <v>interworldradio.net</v>
      </c>
      <c r="E9562" s="26" t="str">
        <f ca="1">IFERROR(__xludf.DUMMYFUNCTION("""COMPUTED_VALUE"""),"New")</f>
        <v>New</v>
      </c>
      <c r="F9562" s="72">
        <v>61</v>
      </c>
      <c r="G9562" s="72">
        <v>10089</v>
      </c>
    </row>
    <row r="9563" spans="1:7" ht="14.5">
      <c r="A9563" s="3" t="s">
        <v>9115</v>
      </c>
      <c r="B9563" s="12" t="s">
        <v>2904</v>
      </c>
      <c r="C9563" s="46" t="s">
        <v>9555</v>
      </c>
      <c r="D9563" s="41" t="str">
        <f ca="1">IFERROR(__xludf.DUMMYFUNCTION("IFERROR(ARRAYFORMULA(REGEXEXTRACT(C9563,""^(?:https?:\/\/)?(?:[^@\n]+@)?(?:www\.)?([^:\/\n]+)"")),"""")"),"nerdymamma.com")</f>
        <v>nerdymamma.com</v>
      </c>
      <c r="E9563" s="26" t="str">
        <f ca="1">IFERROR(__xludf.DUMMYFUNCTION("""COMPUTED_VALUE"""),"New")</f>
        <v>New</v>
      </c>
      <c r="F9563" s="72">
        <v>45</v>
      </c>
      <c r="G9563" s="72">
        <v>5447</v>
      </c>
    </row>
    <row r="9564" spans="1:7" ht="14.5" hidden="1">
      <c r="A9564" s="3" t="s">
        <v>9115</v>
      </c>
      <c r="B9564" s="12" t="s">
        <v>2904</v>
      </c>
      <c r="C9564" s="46" t="s">
        <v>9556</v>
      </c>
      <c r="D9564" s="41" t="str">
        <f ca="1">IFERROR(__xludf.DUMMYFUNCTION("IFERROR(ARRAYFORMULA(REGEXEXTRACT(C9564,""^(?:https?:\/\/)?(?:[^@\n]+@)?(?:www\.)?([^:\/\n]+)"")),"""")"),"pushyourdesign.com")</f>
        <v>pushyourdesign.com</v>
      </c>
      <c r="E9564" s="26" t="str">
        <f ca="1">IFERROR(__xludf.DUMMYFUNCTION("""COMPUTED_VALUE"""),"Already Exists")</f>
        <v>Already Exists</v>
      </c>
      <c r="F9564" s="72">
        <v>54</v>
      </c>
      <c r="G9564" s="72">
        <v>5676</v>
      </c>
    </row>
    <row r="9565" spans="1:7" ht="14.5" hidden="1">
      <c r="A9565" s="3" t="s">
        <v>9115</v>
      </c>
      <c r="B9565" s="12" t="s">
        <v>2904</v>
      </c>
      <c r="C9565" s="46" t="s">
        <v>9557</v>
      </c>
      <c r="D9565" s="41" t="str">
        <f ca="1">IFERROR(__xludf.DUMMYFUNCTION("IFERROR(ARRAYFORMULA(REGEXEXTRACT(C9565,""^(?:https?:\/\/)?(?:[^@\n]+@)?(?:www\.)?([^:\/\n]+)"")),"""")"),"snoozye.com")</f>
        <v>snoozye.com</v>
      </c>
      <c r="E9565" s="26" t="str">
        <f ca="1">IFERROR(__xludf.DUMMYFUNCTION("""COMPUTED_VALUE"""),"Already Exists")</f>
        <v>Already Exists</v>
      </c>
      <c r="F9565" s="72">
        <v>44</v>
      </c>
      <c r="G9565" s="72">
        <v>1143</v>
      </c>
    </row>
    <row r="9566" spans="1:7" ht="14.5" hidden="1">
      <c r="A9566" s="3" t="s">
        <v>9115</v>
      </c>
      <c r="B9566" s="12" t="s">
        <v>2904</v>
      </c>
      <c r="C9566" s="46" t="s">
        <v>9558</v>
      </c>
      <c r="D9566" s="41" t="str">
        <f ca="1">IFERROR(__xludf.DUMMYFUNCTION("IFERROR(ARRAYFORMULA(REGEXEXTRACT(C9566,""^(?:https?:\/\/)?(?:[^@\n]+@)?(?:www\.)?([^:\/\n]+)"")),"""")"),"thestay-at-home-momsurvivalguide.com")</f>
        <v>thestay-at-home-momsurvivalguide.com</v>
      </c>
      <c r="E9566" s="26" t="str">
        <f ca="1">IFERROR(__xludf.DUMMYFUNCTION("""COMPUTED_VALUE"""),"Already Exists")</f>
        <v>Already Exists</v>
      </c>
      <c r="F9566" s="72">
        <v>40</v>
      </c>
      <c r="G9566" s="72">
        <v>4775</v>
      </c>
    </row>
    <row r="9567" spans="1:7" ht="14.5">
      <c r="A9567" s="3" t="s">
        <v>9115</v>
      </c>
      <c r="B9567" s="12" t="s">
        <v>2904</v>
      </c>
      <c r="C9567" s="46" t="s">
        <v>9559</v>
      </c>
      <c r="D9567" s="41" t="str">
        <f ca="1">IFERROR(__xludf.DUMMYFUNCTION("IFERROR(ARRAYFORMULA(REGEXEXTRACT(C9567,""^(?:https?:\/\/)?(?:[^@\n]+@)?(?:www\.)?([^:\/\n]+)"")),"""")"),"woodlandsonline.com")</f>
        <v>woodlandsonline.com</v>
      </c>
      <c r="E9567" s="26" t="str">
        <f ca="1">IFERROR(__xludf.DUMMYFUNCTION("""COMPUTED_VALUE"""),"New")</f>
        <v>New</v>
      </c>
      <c r="F9567" s="72">
        <v>62</v>
      </c>
      <c r="G9567" s="72">
        <v>28129</v>
      </c>
    </row>
    <row r="9568" spans="1:7" ht="14.5" hidden="1">
      <c r="A9568" s="3" t="s">
        <v>9115</v>
      </c>
      <c r="B9568" s="12" t="s">
        <v>2904</v>
      </c>
      <c r="C9568" s="46" t="s">
        <v>9560</v>
      </c>
      <c r="D9568" s="41" t="str">
        <f ca="1">IFERROR(__xludf.DUMMYFUNCTION("IFERROR(ARRAYFORMULA(REGEXEXTRACT(C9568,""^(?:https?:\/\/)?(?:[^@\n]+@)?(?:www\.)?([^:\/\n]+)"")),"""")"),"thepaintedhinge.com")</f>
        <v>thepaintedhinge.com</v>
      </c>
      <c r="E9568" s="26" t="str">
        <f ca="1">IFERROR(__xludf.DUMMYFUNCTION("""COMPUTED_VALUE"""),"Already Exists")</f>
        <v>Already Exists</v>
      </c>
      <c r="F9568" s="72">
        <v>58</v>
      </c>
      <c r="G9568" s="72">
        <v>17004</v>
      </c>
    </row>
    <row r="9569" spans="1:7" ht="14.5" hidden="1">
      <c r="A9569" s="3" t="s">
        <v>9115</v>
      </c>
      <c r="B9569" s="12" t="s">
        <v>2904</v>
      </c>
      <c r="C9569" s="46" t="s">
        <v>9561</v>
      </c>
      <c r="D9569" s="41" t="str">
        <f ca="1">IFERROR(__xludf.DUMMYFUNCTION("IFERROR(ARRAYFORMULA(REGEXEXTRACT(C9569,""^(?:https?:\/\/)?(?:[^@\n]+@)?(?:www\.)?([^:\/\n]+)"")),"""")"),"seasonsincolour.com")</f>
        <v>seasonsincolour.com</v>
      </c>
      <c r="E9569" s="26" t="str">
        <f ca="1">IFERROR(__xludf.DUMMYFUNCTION("""COMPUTED_VALUE"""),"Already Exists")</f>
        <v>Already Exists</v>
      </c>
      <c r="F9569" s="72">
        <v>54</v>
      </c>
      <c r="G9569" s="72">
        <v>1463</v>
      </c>
    </row>
    <row r="9570" spans="1:7" ht="14.5">
      <c r="A9570" s="3" t="s">
        <v>9115</v>
      </c>
      <c r="B9570" s="12" t="s">
        <v>2904</v>
      </c>
      <c r="C9570" s="46" t="s">
        <v>9562</v>
      </c>
      <c r="D9570" s="41" t="str">
        <f ca="1">IFERROR(__xludf.DUMMYFUNCTION("IFERROR(ARRAYFORMULA(REGEXEXTRACT(C9570,""^(?:https?:\/\/)?(?:[^@\n]+@)?(?:www\.)?([^:\/\n]+)"")),"""")"),"treeleftbigshop.com")</f>
        <v>treeleftbigshop.com</v>
      </c>
      <c r="E9570" s="26" t="str">
        <f ca="1">IFERROR(__xludf.DUMMYFUNCTION("""COMPUTED_VALUE"""),"New")</f>
        <v>New</v>
      </c>
      <c r="F9570" s="72">
        <v>52</v>
      </c>
      <c r="G9570" s="72">
        <v>1983</v>
      </c>
    </row>
    <row r="9571" spans="1:7" ht="14.5" hidden="1">
      <c r="A9571" s="3" t="s">
        <v>9115</v>
      </c>
      <c r="B9571" s="12" t="s">
        <v>2904</v>
      </c>
      <c r="C9571" s="46" t="s">
        <v>9563</v>
      </c>
      <c r="D9571" s="41" t="str">
        <f ca="1">IFERROR(__xludf.DUMMYFUNCTION("IFERROR(ARRAYFORMULA(REGEXEXTRACT(C9571,""^(?:https?:\/\/)?(?:[^@\n]+@)?(?:www\.)?([^:\/\n]+)"")),"""")"),"randylemmon.com")</f>
        <v>randylemmon.com</v>
      </c>
      <c r="E9571" s="26" t="str">
        <f ca="1">IFERROR(__xludf.DUMMYFUNCTION("""COMPUTED_VALUE"""),"Already Exists")</f>
        <v>Already Exists</v>
      </c>
      <c r="F9571" s="72">
        <v>56</v>
      </c>
      <c r="G9571" s="72">
        <v>2269</v>
      </c>
    </row>
    <row r="9572" spans="1:7" ht="14.5" hidden="1">
      <c r="A9572" s="3" t="s">
        <v>9115</v>
      </c>
      <c r="B9572" s="12" t="s">
        <v>2904</v>
      </c>
      <c r="C9572" s="46" t="s">
        <v>9564</v>
      </c>
      <c r="D9572" s="41" t="str">
        <f ca="1">IFERROR(__xludf.DUMMYFUNCTION("IFERROR(ARRAYFORMULA(REGEXEXTRACT(C9572,""^(?:https?:\/\/)?(?:[^@\n]+@)?(?:www\.)?([^:\/\n]+)"")),"""")"),"enthrallinggumption.com")</f>
        <v>enthrallinggumption.com</v>
      </c>
      <c r="E9572" s="26" t="str">
        <f ca="1">IFERROR(__xludf.DUMMYFUNCTION("""COMPUTED_VALUE"""),"Already Exists")</f>
        <v>Already Exists</v>
      </c>
      <c r="F9572" s="72">
        <v>54</v>
      </c>
      <c r="G9572" s="72">
        <v>10556</v>
      </c>
    </row>
    <row r="9573" spans="1:7" ht="14.5" hidden="1">
      <c r="A9573" s="3" t="s">
        <v>9115</v>
      </c>
      <c r="B9573" s="12" t="s">
        <v>2904</v>
      </c>
      <c r="C9573" s="46" t="s">
        <v>9565</v>
      </c>
      <c r="D9573" s="41" t="str">
        <f ca="1">IFERROR(__xludf.DUMMYFUNCTION("IFERROR(ARRAYFORMULA(REGEXEXTRACT(C9573,""^(?:https?:\/\/)?(?:[^@\n]+@)?(?:www\.)?([^:\/\n]+)"")),"""")"),"opplehouse.com")</f>
        <v>opplehouse.com</v>
      </c>
      <c r="E9573" s="26" t="str">
        <f ca="1">IFERROR(__xludf.DUMMYFUNCTION("""COMPUTED_VALUE"""),"Already Exists")</f>
        <v>Already Exists</v>
      </c>
      <c r="F9573" s="72">
        <v>59</v>
      </c>
      <c r="G9573" s="72">
        <v>2999</v>
      </c>
    </row>
    <row r="9574" spans="1:7" ht="14.5" hidden="1">
      <c r="A9574" s="3" t="s">
        <v>9115</v>
      </c>
      <c r="B9574" s="12" t="s">
        <v>2904</v>
      </c>
      <c r="C9574" s="46" t="s">
        <v>9566</v>
      </c>
      <c r="D9574" s="41" t="str">
        <f ca="1">IFERROR(__xludf.DUMMYFUNCTION("IFERROR(ARRAYFORMULA(REGEXEXTRACT(C9574,""^(?:https?:\/\/)?(?:[^@\n]+@)?(?:www\.)?([^:\/\n]+)"")),"""")"),"amazingarchitecture.com")</f>
        <v>amazingarchitecture.com</v>
      </c>
      <c r="E9574" s="26" t="str">
        <f ca="1">IFERROR(__xludf.DUMMYFUNCTION("""COMPUTED_VALUE"""),"Already Exists")</f>
        <v>Already Exists</v>
      </c>
      <c r="F9574" s="72">
        <v>71</v>
      </c>
      <c r="G9574" s="72">
        <v>4167</v>
      </c>
    </row>
    <row r="9575" spans="1:7" ht="14.5" hidden="1">
      <c r="A9575" s="3" t="s">
        <v>9115</v>
      </c>
      <c r="B9575" s="12" t="s">
        <v>2904</v>
      </c>
      <c r="C9575" s="46" t="s">
        <v>9567</v>
      </c>
      <c r="D9575" s="41" t="str">
        <f ca="1">IFERROR(__xludf.DUMMYFUNCTION("IFERROR(ARRAYFORMULA(REGEXEXTRACT(C9575,""^(?:https?:\/\/)?(?:[^@\n]+@)?(?:www\.)?([^:\/\n]+)"")),"""")"),"melaniejadedesign.com")</f>
        <v>melaniejadedesign.com</v>
      </c>
      <c r="E9575" s="26" t="str">
        <f ca="1">IFERROR(__xludf.DUMMYFUNCTION("""COMPUTED_VALUE"""),"Already Exists")</f>
        <v>Already Exists</v>
      </c>
      <c r="F9575" s="72">
        <v>40</v>
      </c>
      <c r="G9575" s="72">
        <v>2672</v>
      </c>
    </row>
    <row r="9576" spans="1:7" ht="14.5" hidden="1">
      <c r="A9576" s="3" t="s">
        <v>9115</v>
      </c>
      <c r="B9576" s="12" t="s">
        <v>2904</v>
      </c>
      <c r="C9576" s="46" t="s">
        <v>9568</v>
      </c>
      <c r="D9576" s="41" t="str">
        <f ca="1">IFERROR(__xludf.DUMMYFUNCTION("IFERROR(ARRAYFORMULA(REGEXEXTRACT(C9576,""^(?:https?:\/\/)?(?:[^@\n]+@)?(?:www\.)?([^:\/\n]+)"")),"""")"),"ahouseinthehills.com")</f>
        <v>ahouseinthehills.com</v>
      </c>
      <c r="E9576" s="26" t="str">
        <f ca="1">IFERROR(__xludf.DUMMYFUNCTION("""COMPUTED_VALUE"""),"Already Exists")</f>
        <v>Already Exists</v>
      </c>
      <c r="F9576" s="72">
        <v>58</v>
      </c>
      <c r="G9576" s="72">
        <v>2861</v>
      </c>
    </row>
    <row r="9577" spans="1:7" ht="14.5">
      <c r="A9577" s="3" t="s">
        <v>9115</v>
      </c>
      <c r="B9577" s="12" t="s">
        <v>2904</v>
      </c>
      <c r="C9577" s="46" t="s">
        <v>9569</v>
      </c>
      <c r="D9577" s="41" t="str">
        <f ca="1">IFERROR(__xludf.DUMMYFUNCTION("IFERROR(ARRAYFORMULA(REGEXEXTRACT(C9577,""^(?:https?:\/\/)?(?:[^@\n]+@)?(?:www\.)?([^:\/\n]+)"")),"""")"),"hookedhome.com")</f>
        <v>hookedhome.com</v>
      </c>
      <c r="E9577" s="26" t="str">
        <f ca="1">IFERROR(__xludf.DUMMYFUNCTION("""COMPUTED_VALUE"""),"New")</f>
        <v>New</v>
      </c>
      <c r="F9577" s="72">
        <v>44</v>
      </c>
      <c r="G9577" s="72">
        <v>4010</v>
      </c>
    </row>
    <row r="9578" spans="1:7" ht="14.5" hidden="1">
      <c r="A9578" s="3" t="s">
        <v>9115</v>
      </c>
      <c r="B9578" s="12" t="s">
        <v>2904</v>
      </c>
      <c r="C9578" s="46" t="s">
        <v>9570</v>
      </c>
      <c r="D9578" s="41" t="str">
        <f ca="1">IFERROR(__xludf.DUMMYFUNCTION("IFERROR(ARRAYFORMULA(REGEXEXTRACT(C9578,""^(?:https?:\/\/)?(?:[^@\n]+@)?(?:www\.)?([^:\/\n]+)"")),"""")"),"terristeffes.com")</f>
        <v>terristeffes.com</v>
      </c>
      <c r="E9578" s="26" t="str">
        <f ca="1">IFERROR(__xludf.DUMMYFUNCTION("""COMPUTED_VALUE"""),"Already Exists")</f>
        <v>Already Exists</v>
      </c>
      <c r="F9578" s="72">
        <v>50</v>
      </c>
      <c r="G9578" s="72">
        <v>1938</v>
      </c>
    </row>
    <row r="9579" spans="1:7" ht="14.5" hidden="1">
      <c r="A9579" s="3" t="s">
        <v>9115</v>
      </c>
      <c r="B9579" s="12" t="s">
        <v>2904</v>
      </c>
      <c r="C9579" s="46" t="s">
        <v>9571</v>
      </c>
      <c r="D9579" s="41" t="str">
        <f ca="1">IFERROR(__xludf.DUMMYFUNCTION("IFERROR(ARRAYFORMULA(REGEXEXTRACT(C9579,""^(?:https?:\/\/)?(?:[^@\n]+@)?(?:www\.)?([^:\/\n]+)"")),"""")"),"intheplayroom.co.uk")</f>
        <v>intheplayroom.co.uk</v>
      </c>
      <c r="E9579" s="26" t="str">
        <f ca="1">IFERROR(__xludf.DUMMYFUNCTION("""COMPUTED_VALUE"""),"Already Exists")</f>
        <v>Already Exists</v>
      </c>
      <c r="F9579" s="72">
        <v>60</v>
      </c>
      <c r="G9579" s="72">
        <v>5790</v>
      </c>
    </row>
    <row r="9580" spans="1:7" ht="14.5">
      <c r="A9580" s="3" t="s">
        <v>9115</v>
      </c>
      <c r="B9580" s="12" t="s">
        <v>2904</v>
      </c>
      <c r="C9580" s="46" t="s">
        <v>9572</v>
      </c>
      <c r="D9580" s="41" t="str">
        <f ca="1">IFERROR(__xludf.DUMMYFUNCTION("IFERROR(ARRAYFORMULA(REGEXEXTRACT(C9580,""^(?:https?:\/\/)?(?:[^@\n]+@)?(?:www\.)?([^:\/\n]+)"")),"""")"),"thedesigninspiration.com")</f>
        <v>thedesigninspiration.com</v>
      </c>
      <c r="E9580" s="26" t="str">
        <f ca="1">IFERROR(__xludf.DUMMYFUNCTION("""COMPUTED_VALUE"""),"New")</f>
        <v>New</v>
      </c>
      <c r="F9580" s="72">
        <v>59</v>
      </c>
      <c r="G9580" s="72">
        <v>2752</v>
      </c>
    </row>
    <row r="9581" spans="1:7" ht="14.5">
      <c r="A9581" s="3" t="s">
        <v>9115</v>
      </c>
      <c r="B9581" s="12" t="s">
        <v>2904</v>
      </c>
      <c r="C9581" s="46" t="s">
        <v>9573</v>
      </c>
      <c r="D9581" s="41" t="str">
        <f ca="1">IFERROR(__xludf.DUMMYFUNCTION("IFERROR(ARRAYFORMULA(REGEXEXTRACT(C9581,""^(?:https?:\/\/)?(?:[^@\n]+@)?(?:www\.)?([^:\/\n]+)"")),"""")"),"joyfullytreasured.com")</f>
        <v>joyfullytreasured.com</v>
      </c>
      <c r="E9581" s="26" t="str">
        <f ca="1">IFERROR(__xludf.DUMMYFUNCTION("""COMPUTED_VALUE"""),"New")</f>
        <v>New</v>
      </c>
      <c r="F9581" s="72">
        <v>25</v>
      </c>
      <c r="G9581" s="72">
        <v>5549</v>
      </c>
    </row>
    <row r="9582" spans="1:7" ht="14.5" hidden="1">
      <c r="A9582" s="3" t="s">
        <v>9115</v>
      </c>
      <c r="B9582" s="12" t="s">
        <v>2904</v>
      </c>
      <c r="C9582" s="46" t="s">
        <v>9574</v>
      </c>
      <c r="D9582" s="41" t="str">
        <f ca="1">IFERROR(__xludf.DUMMYFUNCTION("IFERROR(ARRAYFORMULA(REGEXEXTRACT(C9582,""^(?:https?:\/\/)?(?:[^@\n]+@)?(?:www\.)?([^:\/\n]+)"")),"""")"),"goodnever.com")</f>
        <v>goodnever.com</v>
      </c>
      <c r="E9582" s="26" t="str">
        <f ca="1">IFERROR(__xludf.DUMMYFUNCTION("""COMPUTED_VALUE"""),"Already Exists")</f>
        <v>Already Exists</v>
      </c>
      <c r="F9582" s="72">
        <v>54</v>
      </c>
      <c r="G9582" s="72">
        <v>3819</v>
      </c>
    </row>
    <row r="9583" spans="1:7" ht="14.5" hidden="1">
      <c r="A9583" s="3" t="s">
        <v>9115</v>
      </c>
      <c r="B9583" s="12" t="s">
        <v>2904</v>
      </c>
      <c r="C9583" s="46" t="s">
        <v>9575</v>
      </c>
      <c r="D9583" s="41" t="str">
        <f ca="1">IFERROR(__xludf.DUMMYFUNCTION("IFERROR(ARRAYFORMULA(REGEXEXTRACT(C9583,""^(?:https?:\/\/)?(?:[^@\n]+@)?(?:www\.)?([^:\/\n]+)"")),"""")"),"shineyourlightblog.com")</f>
        <v>shineyourlightblog.com</v>
      </c>
      <c r="E9583" s="26" t="str">
        <f ca="1">IFERROR(__xludf.DUMMYFUNCTION("""COMPUTED_VALUE"""),"Already Exists")</f>
        <v>Already Exists</v>
      </c>
      <c r="F9583" s="72">
        <v>42</v>
      </c>
      <c r="G9583" s="72">
        <v>1506</v>
      </c>
    </row>
    <row r="9584" spans="1:7" ht="14.5" hidden="1">
      <c r="A9584" s="3" t="s">
        <v>9115</v>
      </c>
      <c r="B9584" s="12" t="s">
        <v>2904</v>
      </c>
      <c r="C9584" s="46" t="s">
        <v>9576</v>
      </c>
      <c r="D9584" s="41" t="str">
        <f ca="1">IFERROR(__xludf.DUMMYFUNCTION("IFERROR(ARRAYFORMULA(REGEXEXTRACT(C9584,""^(?:https?:\/\/)?(?:[^@\n]+@)?(?:www\.)?([^:\/\n]+)"")),"""")"),"housesitmatch.com")</f>
        <v>housesitmatch.com</v>
      </c>
      <c r="E9584" s="26" t="str">
        <f ca="1">IFERROR(__xludf.DUMMYFUNCTION("""COMPUTED_VALUE"""),"Already Exists")</f>
        <v>Already Exists</v>
      </c>
      <c r="F9584" s="72">
        <v>42</v>
      </c>
      <c r="G9584" s="72">
        <v>2303</v>
      </c>
    </row>
    <row r="9585" spans="1:7" ht="14.5" hidden="1">
      <c r="A9585" s="3" t="s">
        <v>9115</v>
      </c>
      <c r="B9585" s="12" t="s">
        <v>2904</v>
      </c>
      <c r="C9585" s="46" t="s">
        <v>9577</v>
      </c>
      <c r="D9585" s="41" t="str">
        <f ca="1">IFERROR(__xludf.DUMMYFUNCTION("IFERROR(ARRAYFORMULA(REGEXEXTRACT(C9585,""^(?:https?:\/\/)?(?:[^@\n]+@)?(?:www\.)?([^:\/\n]+)"")),"""")"),"tamaracamerablog.com")</f>
        <v>tamaracamerablog.com</v>
      </c>
      <c r="E9585" s="26" t="str">
        <f ca="1">IFERROR(__xludf.DUMMYFUNCTION("""COMPUTED_VALUE"""),"Already Exists")</f>
        <v>Already Exists</v>
      </c>
      <c r="F9585" s="72">
        <v>58</v>
      </c>
      <c r="G9585" s="72">
        <v>17944</v>
      </c>
    </row>
    <row r="9586" spans="1:7" ht="14.5" hidden="1">
      <c r="A9586" s="3" t="s">
        <v>9115</v>
      </c>
      <c r="B9586" s="12" t="s">
        <v>2904</v>
      </c>
      <c r="C9586" s="46" t="s">
        <v>9578</v>
      </c>
      <c r="D9586" s="41" t="str">
        <f ca="1">IFERROR(__xludf.DUMMYFUNCTION("IFERROR(ARRAYFORMULA(REGEXEXTRACT(C9586,""^(?:https?:\/\/)?(?:[^@\n]+@)?(?:www\.)?([^:\/\n]+)"")),"""")"),"omnihomeideas.com")</f>
        <v>omnihomeideas.com</v>
      </c>
      <c r="E9586" s="26" t="str">
        <f ca="1">IFERROR(__xludf.DUMMYFUNCTION("""COMPUTED_VALUE"""),"Already Exists")</f>
        <v>Already Exists</v>
      </c>
      <c r="F9586" s="72">
        <v>38</v>
      </c>
      <c r="G9586" s="72">
        <v>1862</v>
      </c>
    </row>
    <row r="9587" spans="1:7" ht="14.5" hidden="1">
      <c r="A9587" s="3" t="s">
        <v>9115</v>
      </c>
      <c r="B9587" s="12" t="s">
        <v>2904</v>
      </c>
      <c r="C9587" s="46" t="s">
        <v>9579</v>
      </c>
      <c r="D9587" s="41" t="str">
        <f ca="1">IFERROR(__xludf.DUMMYFUNCTION("IFERROR(ARRAYFORMULA(REGEXEXTRACT(C9587,""^(?:https?:\/\/)?(?:[^@\n]+@)?(?:www\.)?([^:\/\n]+)"")),"""")"),"mystayathomeadventures.com")</f>
        <v>mystayathomeadventures.com</v>
      </c>
      <c r="E9587" s="26" t="str">
        <f ca="1">IFERROR(__xludf.DUMMYFUNCTION("""COMPUTED_VALUE"""),"Already Exists")</f>
        <v>Already Exists</v>
      </c>
      <c r="F9587" s="72">
        <v>40</v>
      </c>
      <c r="G9587" s="72">
        <v>1839</v>
      </c>
    </row>
    <row r="9588" spans="1:7" ht="14.5" hidden="1">
      <c r="A9588" s="3" t="s">
        <v>9115</v>
      </c>
      <c r="B9588" s="12" t="s">
        <v>2904</v>
      </c>
      <c r="C9588" s="46" t="s">
        <v>9580</v>
      </c>
      <c r="D9588" s="41" t="str">
        <f ca="1">IFERROR(__xludf.DUMMYFUNCTION("IFERROR(ARRAYFORMULA(REGEXEXTRACT(C9588,""^(?:https?:\/\/)?(?:[^@\n]+@)?(?:www\.)?([^:\/\n]+)"")),"""")"),"myinteriorpalace.com")</f>
        <v>myinteriorpalace.com</v>
      </c>
      <c r="E9588" s="26" t="str">
        <f ca="1">IFERROR(__xludf.DUMMYFUNCTION("""COMPUTED_VALUE"""),"Already Exists")</f>
        <v>Already Exists</v>
      </c>
      <c r="F9588" s="72">
        <v>61</v>
      </c>
      <c r="G9588" s="72">
        <v>1983</v>
      </c>
    </row>
    <row r="9589" spans="1:7" ht="14.5">
      <c r="A9589" s="3" t="s">
        <v>9115</v>
      </c>
      <c r="B9589" s="12" t="s">
        <v>2904</v>
      </c>
      <c r="C9589" s="46" t="s">
        <v>9581</v>
      </c>
      <c r="D9589" s="41" t="str">
        <f ca="1">IFERROR(__xludf.DUMMYFUNCTION("IFERROR(ARRAYFORMULA(REGEXEXTRACT(C9589,""^(?:https?:\/\/)?(?:[^@\n]+@)?(?:www\.)?([^:\/\n]+)"")),"""")"),"globenewswire.com")</f>
        <v>globenewswire.com</v>
      </c>
      <c r="E9589" s="26" t="str">
        <f ca="1">IFERROR(__xludf.DUMMYFUNCTION("""COMPUTED_VALUE"""),"New")</f>
        <v>New</v>
      </c>
      <c r="F9589" s="72">
        <v>91</v>
      </c>
      <c r="G9589" s="72">
        <v>302390</v>
      </c>
    </row>
    <row r="9590" spans="1:7" ht="14.5" hidden="1">
      <c r="A9590" s="3" t="s">
        <v>9115</v>
      </c>
      <c r="B9590" s="12" t="s">
        <v>2904</v>
      </c>
      <c r="C9590" s="46" t="s">
        <v>9582</v>
      </c>
      <c r="D9590" s="41" t="str">
        <f ca="1">IFERROR(__xludf.DUMMYFUNCTION("IFERROR(ARRAYFORMULA(REGEXEXTRACT(C9590,""^(?:https?:\/\/)?(?:[^@\n]+@)?(?:www\.)?([^:\/\n]+)"")),"""")"),"tinyhouse.com")</f>
        <v>tinyhouse.com</v>
      </c>
      <c r="E9590" s="26" t="str">
        <f ca="1">IFERROR(__xludf.DUMMYFUNCTION("""COMPUTED_VALUE"""),"Already Exists")</f>
        <v>Already Exists</v>
      </c>
      <c r="F9590" s="72">
        <v>53</v>
      </c>
      <c r="G9590" s="72">
        <v>3945</v>
      </c>
    </row>
    <row r="9591" spans="1:7" ht="14.5">
      <c r="A9591" s="3" t="s">
        <v>9115</v>
      </c>
      <c r="B9591" s="12" t="s">
        <v>2904</v>
      </c>
      <c r="C9591" s="46" t="s">
        <v>9583</v>
      </c>
      <c r="D9591" s="41" t="str">
        <f ca="1">IFERROR(__xludf.DUMMYFUNCTION("IFERROR(ARRAYFORMULA(REGEXEXTRACT(C9591,""^(?:https?:\/\/)?(?:[^@\n]+@)?(?:www\.)?([^:\/\n]+)"")),"""")"),"bigboxratio.com")</f>
        <v>bigboxratio.com</v>
      </c>
      <c r="E9591" s="26" t="str">
        <f ca="1">IFERROR(__xludf.DUMMYFUNCTION("""COMPUTED_VALUE"""),"New")</f>
        <v>New</v>
      </c>
      <c r="F9591" s="72">
        <v>67</v>
      </c>
      <c r="G9591" s="72">
        <v>20734</v>
      </c>
    </row>
    <row r="9592" spans="1:7" ht="14.5" hidden="1">
      <c r="A9592" s="3" t="s">
        <v>9115</v>
      </c>
      <c r="B9592" s="12" t="s">
        <v>2904</v>
      </c>
      <c r="C9592" s="46" t="s">
        <v>9584</v>
      </c>
      <c r="D9592" s="41" t="str">
        <f ca="1">IFERROR(__xludf.DUMMYFUNCTION("IFERROR(ARRAYFORMULA(REGEXEXTRACT(C9592,""^(?:https?:\/\/)?(?:[^@\n]+@)?(?:www\.)?([^:\/\n]+)"")),"""")"),"alittledelightful.com")</f>
        <v>alittledelightful.com</v>
      </c>
      <c r="E9592" s="26" t="str">
        <f ca="1">IFERROR(__xludf.DUMMYFUNCTION("""COMPUTED_VALUE"""),"Already Exists")</f>
        <v>Already Exists</v>
      </c>
      <c r="F9592" s="72">
        <v>65</v>
      </c>
      <c r="G9592" s="72">
        <v>13997</v>
      </c>
    </row>
    <row r="9593" spans="1:7" ht="14.5" hidden="1">
      <c r="A9593" s="3" t="s">
        <v>9115</v>
      </c>
      <c r="B9593" s="12" t="s">
        <v>2904</v>
      </c>
      <c r="C9593" s="46" t="s">
        <v>9585</v>
      </c>
      <c r="D9593" s="41" t="str">
        <f ca="1">IFERROR(__xludf.DUMMYFUNCTION("IFERROR(ARRAYFORMULA(REGEXEXTRACT(C9593,""^(?:https?:\/\/)?(?:[^@\n]+@)?(?:www\.)?([^:\/\n]+)"")),"""")"),"freshdesignblog.com")</f>
        <v>freshdesignblog.com</v>
      </c>
      <c r="E9593" s="26" t="str">
        <f ca="1">IFERROR(__xludf.DUMMYFUNCTION("""COMPUTED_VALUE"""),"Already Exists")</f>
        <v>Already Exists</v>
      </c>
      <c r="F9593" s="72">
        <v>56</v>
      </c>
      <c r="G9593" s="72">
        <v>1022</v>
      </c>
    </row>
    <row r="9594" spans="1:7" ht="14.5">
      <c r="A9594" s="3" t="s">
        <v>9115</v>
      </c>
      <c r="B9594" s="12" t="s">
        <v>2904</v>
      </c>
      <c r="C9594" s="46" t="s">
        <v>9586</v>
      </c>
      <c r="D9594" s="41" t="str">
        <f ca="1">IFERROR(__xludf.DUMMYFUNCTION("IFERROR(ARRAYFORMULA(REGEXEXTRACT(C9594,""^(?:https?:\/\/)?(?:[^@\n]+@)?(?:www\.)?([^:\/\n]+)"")),"""")"),"tangyhouse.com")</f>
        <v>tangyhouse.com</v>
      </c>
      <c r="E9594" s="26" t="str">
        <f ca="1">IFERROR(__xludf.DUMMYFUNCTION("""COMPUTED_VALUE"""),"New")</f>
        <v>New</v>
      </c>
      <c r="F9594" s="72">
        <v>43</v>
      </c>
      <c r="G9594" s="72">
        <v>1634</v>
      </c>
    </row>
    <row r="9595" spans="1:7" ht="14.5" hidden="1">
      <c r="A9595" s="3" t="s">
        <v>9115</v>
      </c>
      <c r="B9595" s="12" t="s">
        <v>2904</v>
      </c>
      <c r="C9595" s="46" t="s">
        <v>9587</v>
      </c>
      <c r="D9595" s="41" t="str">
        <f ca="1">IFERROR(__xludf.DUMMYFUNCTION("IFERROR(ARRAYFORMULA(REGEXEXTRACT(C9595,""^(?:https?:\/\/)?(?:[^@\n]+@)?(?:www\.)?([^:\/\n]+)"")),"""")"),"daltxrealestate.com")</f>
        <v>daltxrealestate.com</v>
      </c>
      <c r="E9595" s="26" t="str">
        <f ca="1">IFERROR(__xludf.DUMMYFUNCTION("""COMPUTED_VALUE"""),"Already Exists")</f>
        <v>Already Exists</v>
      </c>
      <c r="F9595" s="72">
        <v>45</v>
      </c>
      <c r="G9595" s="72">
        <v>1244</v>
      </c>
    </row>
    <row r="9596" spans="1:7" ht="14.5" hidden="1">
      <c r="A9596" s="3" t="s">
        <v>9115</v>
      </c>
      <c r="B9596" s="12" t="s">
        <v>2904</v>
      </c>
      <c r="C9596" s="46" t="s">
        <v>9588</v>
      </c>
      <c r="D9596" s="41" t="str">
        <f ca="1">IFERROR(__xludf.DUMMYFUNCTION("IFERROR(ARRAYFORMULA(REGEXEXTRACT(C9596,""^(?:https?:\/\/)?(?:[^@\n]+@)?(?:www\.)?([^:\/\n]+)"")),"""")"),"gloryofthesnow.com")</f>
        <v>gloryofthesnow.com</v>
      </c>
      <c r="E9596" s="26" t="str">
        <f ca="1">IFERROR(__xludf.DUMMYFUNCTION("""COMPUTED_VALUE"""),"Already Exists")</f>
        <v>Already Exists</v>
      </c>
      <c r="F9596" s="72">
        <v>71</v>
      </c>
      <c r="G9596" s="72">
        <v>2759</v>
      </c>
    </row>
    <row r="9597" spans="1:7" ht="14.5" hidden="1">
      <c r="A9597" s="3" t="s">
        <v>9115</v>
      </c>
      <c r="B9597" s="12" t="s">
        <v>2904</v>
      </c>
      <c r="C9597" s="46" t="s">
        <v>9589</v>
      </c>
      <c r="D9597" s="41" t="str">
        <f ca="1">IFERROR(__xludf.DUMMYFUNCTION("IFERROR(ARRAYFORMULA(REGEXEXTRACT(C9597,""^(?:https?:\/\/)?(?:[^@\n]+@)?(?:www\.)?([^:\/\n]+)"")),"""")"),"kdarchitects.net")</f>
        <v>kdarchitects.net</v>
      </c>
      <c r="E9597" s="26" t="str">
        <f ca="1">IFERROR(__xludf.DUMMYFUNCTION("""COMPUTED_VALUE"""),"Already Exists")</f>
        <v>Already Exists</v>
      </c>
      <c r="F9597" s="72">
        <v>68</v>
      </c>
      <c r="G9597" s="72">
        <v>42642</v>
      </c>
    </row>
    <row r="9598" spans="1:7" ht="14.5">
      <c r="A9598" s="3" t="s">
        <v>9115</v>
      </c>
      <c r="B9598" s="12" t="s">
        <v>2904</v>
      </c>
      <c r="C9598" s="46" t="s">
        <v>9590</v>
      </c>
      <c r="D9598" s="41" t="str">
        <f ca="1">IFERROR(__xludf.DUMMYFUNCTION("IFERROR(ARRAYFORMULA(REGEXEXTRACT(C9598,""^(?:https?:\/\/)?(?:[^@\n]+@)?(?:www\.)?([^:\/\n]+)"")),"""")"),"unifiedhomeremodeling.com")</f>
        <v>unifiedhomeremodeling.com</v>
      </c>
      <c r="E9598" s="26" t="str">
        <f ca="1">IFERROR(__xludf.DUMMYFUNCTION("""COMPUTED_VALUE"""),"New")</f>
        <v>New</v>
      </c>
      <c r="F9598" s="72">
        <v>29</v>
      </c>
      <c r="G9598" s="72">
        <v>1004</v>
      </c>
    </row>
    <row r="9599" spans="1:7" ht="14.5" hidden="1">
      <c r="A9599" s="3" t="s">
        <v>9115</v>
      </c>
      <c r="B9599" s="12" t="s">
        <v>2904</v>
      </c>
      <c r="C9599" s="46" t="s">
        <v>9591</v>
      </c>
      <c r="D9599" s="41" t="str">
        <f ca="1">IFERROR(__xludf.DUMMYFUNCTION("IFERROR(ARRAYFORMULA(REGEXEXTRACT(C9599,""^(?:https?:\/\/)?(?:[^@\n]+@)?(?:www\.)?([^:\/\n]+)"")),"""")"),"1883magazine.com")</f>
        <v>1883magazine.com</v>
      </c>
      <c r="E9599" s="26" t="str">
        <f ca="1">IFERROR(__xludf.DUMMYFUNCTION("""COMPUTED_VALUE"""),"Already Exists")</f>
        <v>Already Exists</v>
      </c>
      <c r="F9599" s="72">
        <v>68</v>
      </c>
      <c r="G9599" s="72">
        <v>12835</v>
      </c>
    </row>
    <row r="9600" spans="1:7" ht="14.5" hidden="1">
      <c r="A9600" s="3" t="s">
        <v>9115</v>
      </c>
      <c r="B9600" s="12" t="s">
        <v>2904</v>
      </c>
      <c r="C9600" s="46" t="s">
        <v>9592</v>
      </c>
      <c r="D9600" s="41" t="str">
        <f ca="1">IFERROR(__xludf.DUMMYFUNCTION("IFERROR(ARRAYFORMULA(REGEXEXTRACT(C9600,""^(?:https?:\/\/)?(?:[^@\n]+@)?(?:www\.)?([^:\/\n]+)"")),"""")"),"justsimplymom.com")</f>
        <v>justsimplymom.com</v>
      </c>
      <c r="E9600" s="26" t="str">
        <f ca="1">IFERROR(__xludf.DUMMYFUNCTION("""COMPUTED_VALUE"""),"Already Exists")</f>
        <v>Already Exists</v>
      </c>
      <c r="F9600" s="72">
        <v>36</v>
      </c>
      <c r="G9600" s="72">
        <v>1356</v>
      </c>
    </row>
    <row r="9601" spans="1:7" ht="14.5">
      <c r="A9601" s="3" t="s">
        <v>9115</v>
      </c>
      <c r="B9601" s="12" t="s">
        <v>2904</v>
      </c>
      <c r="C9601" s="46" t="s">
        <v>9593</v>
      </c>
      <c r="D9601" s="41" t="str">
        <f ca="1">IFERROR(__xludf.DUMMYFUNCTION("IFERROR(ARRAYFORMULA(REGEXEXTRACT(C9601,""^(?:https?:\/\/)?(?:[^@\n]+@)?(?:www\.)?([^:\/\n]+)"")),"""")"),"yeahlifestyle.com")</f>
        <v>yeahlifestyle.com</v>
      </c>
      <c r="E9601" s="26" t="str">
        <f ca="1">IFERROR(__xludf.DUMMYFUNCTION("""COMPUTED_VALUE"""),"New")</f>
        <v>New</v>
      </c>
      <c r="F9601" s="72">
        <v>47</v>
      </c>
      <c r="G9601" s="72">
        <v>6171</v>
      </c>
    </row>
    <row r="9602" spans="1:7" ht="14.5" hidden="1">
      <c r="A9602" s="3" t="s">
        <v>9115</v>
      </c>
      <c r="B9602" s="12" t="s">
        <v>2904</v>
      </c>
      <c r="C9602" s="46" t="s">
        <v>9594</v>
      </c>
      <c r="D9602" s="41" t="str">
        <f ca="1">IFERROR(__xludf.DUMMYFUNCTION("IFERROR(ARRAYFORMULA(REGEXEXTRACT(C9602,""^(?:https?:\/\/)?(?:[^@\n]+@)?(?:www\.)?([^:\/\n]+)"")),"""")"),"activepropertycare.com")</f>
        <v>activepropertycare.com</v>
      </c>
      <c r="E9602" s="26" t="str">
        <f ca="1">IFERROR(__xludf.DUMMYFUNCTION("""COMPUTED_VALUE"""),"Already Exists")</f>
        <v>Already Exists</v>
      </c>
      <c r="F9602" s="72">
        <v>61</v>
      </c>
      <c r="G9602" s="72">
        <v>27979</v>
      </c>
    </row>
    <row r="9603" spans="1:7" ht="14.5" hidden="1">
      <c r="A9603" s="3" t="s">
        <v>9115</v>
      </c>
      <c r="B9603" s="12" t="s">
        <v>2904</v>
      </c>
      <c r="C9603" s="46" t="s">
        <v>9595</v>
      </c>
      <c r="D9603" s="41" t="str">
        <f ca="1">IFERROR(__xludf.DUMMYFUNCTION("IFERROR(ARRAYFORMULA(REGEXEXTRACT(C9603,""^(?:https?:\/\/)?(?:[^@\n]+@)?(?:www\.)?([^:\/\n]+)"")),"""")"),"sweetsofties.com")</f>
        <v>sweetsofties.com</v>
      </c>
      <c r="E9603" s="26" t="str">
        <f ca="1">IFERROR(__xludf.DUMMYFUNCTION("""COMPUTED_VALUE"""),"Already Exists")</f>
        <v>Already Exists</v>
      </c>
      <c r="F9603" s="72">
        <v>51</v>
      </c>
      <c r="G9603" s="72">
        <v>15130</v>
      </c>
    </row>
    <row r="9604" spans="1:7" ht="14.5" hidden="1">
      <c r="A9604" s="3" t="s">
        <v>9115</v>
      </c>
      <c r="B9604" s="12" t="s">
        <v>2904</v>
      </c>
      <c r="C9604" s="46" t="s">
        <v>9596</v>
      </c>
      <c r="D9604" s="41" t="str">
        <f ca="1">IFERROR(__xludf.DUMMYFUNCTION("IFERROR(ARRAYFORMULA(REGEXEXTRACT(C9604,""^(?:https?:\/\/)?(?:[^@\n]+@)?(?:www\.)?([^:\/\n]+)"")),"""")"),"thepinnaclelist.com")</f>
        <v>thepinnaclelist.com</v>
      </c>
      <c r="E9604" s="26" t="str">
        <f ca="1">IFERROR(__xludf.DUMMYFUNCTION("""COMPUTED_VALUE"""),"Already Exists")</f>
        <v>Already Exists</v>
      </c>
      <c r="F9604" s="72">
        <v>57</v>
      </c>
      <c r="G9604" s="72">
        <v>1211</v>
      </c>
    </row>
    <row r="9605" spans="1:7" ht="14.5" hidden="1">
      <c r="A9605" s="3" t="s">
        <v>9115</v>
      </c>
      <c r="B9605" s="12" t="s">
        <v>2904</v>
      </c>
      <c r="C9605" s="46" t="s">
        <v>9597</v>
      </c>
      <c r="D9605" s="41" t="str">
        <f ca="1">IFERROR(__xludf.DUMMYFUNCTION("IFERROR(ARRAYFORMULA(REGEXEXTRACT(C9605,""^(?:https?:\/\/)?(?:[^@\n]+@)?(?:www\.)?([^:\/\n]+)"")),"""")"),"sparklesandstretchmarks.com")</f>
        <v>sparklesandstretchmarks.com</v>
      </c>
      <c r="E9605" s="26" t="str">
        <f ca="1">IFERROR(__xludf.DUMMYFUNCTION("""COMPUTED_VALUE"""),"Already Exists")</f>
        <v>Already Exists</v>
      </c>
      <c r="F9605" s="72">
        <v>36</v>
      </c>
      <c r="G9605" s="72">
        <v>2363</v>
      </c>
    </row>
    <row r="9606" spans="1:7" ht="14.5" hidden="1">
      <c r="A9606" s="3" t="s">
        <v>9115</v>
      </c>
      <c r="B9606" s="12" t="s">
        <v>2904</v>
      </c>
      <c r="C9606" s="46" t="s">
        <v>9598</v>
      </c>
      <c r="D9606" s="41" t="str">
        <f ca="1">IFERROR(__xludf.DUMMYFUNCTION("IFERROR(ARRAYFORMULA(REGEXEXTRACT(C9606,""^(?:https?:\/\/)?(?:[^@\n]+@)?(?:www\.)?([^:\/\n]+)"")),"""")"),"geekmamas.com")</f>
        <v>geekmamas.com</v>
      </c>
      <c r="E9606" s="26" t="str">
        <f ca="1">IFERROR(__xludf.DUMMYFUNCTION("""COMPUTED_VALUE"""),"Already Exists")</f>
        <v>Already Exists</v>
      </c>
      <c r="F9606" s="72">
        <v>31</v>
      </c>
      <c r="G9606" s="72">
        <v>8726</v>
      </c>
    </row>
    <row r="9607" spans="1:7" ht="14.5">
      <c r="A9607" s="3" t="s">
        <v>9115</v>
      </c>
      <c r="B9607" s="12" t="s">
        <v>2904</v>
      </c>
      <c r="C9607" s="46" t="s">
        <v>9599</v>
      </c>
      <c r="D9607" s="41" t="str">
        <f ca="1">IFERROR(__xludf.DUMMYFUNCTION("IFERROR(ARRAYFORMULA(REGEXEXTRACT(C9607,""^(?:https?:\/\/)?(?:[^@\n]+@)?(?:www\.)?([^:\/\n]+)"")),"""")"),"sunnysweetdays.com")</f>
        <v>sunnysweetdays.com</v>
      </c>
      <c r="E9607" s="26" t="str">
        <f ca="1">IFERROR(__xludf.DUMMYFUNCTION("""COMPUTED_VALUE"""),"New")</f>
        <v>New</v>
      </c>
      <c r="F9607" s="72">
        <v>50</v>
      </c>
      <c r="G9607" s="72">
        <v>2011</v>
      </c>
    </row>
    <row r="9608" spans="1:7" ht="14.5" hidden="1">
      <c r="A9608" s="3" t="s">
        <v>9115</v>
      </c>
      <c r="B9608" s="12" t="s">
        <v>2904</v>
      </c>
      <c r="C9608" s="46" t="s">
        <v>9600</v>
      </c>
      <c r="D9608" s="41" t="str">
        <f ca="1">IFERROR(__xludf.DUMMYFUNCTION("IFERROR(ARRAYFORMULA(REGEXEXTRACT(C9608,""^(?:https?:\/\/)?(?:[^@\n]+@)?(?:www\.)?([^:\/\n]+)"")),"""")"),"livingpristine.com")</f>
        <v>livingpristine.com</v>
      </c>
      <c r="E9608" s="26" t="str">
        <f ca="1">IFERROR(__xludf.DUMMYFUNCTION("""COMPUTED_VALUE"""),"Already Exists")</f>
        <v>Already Exists</v>
      </c>
      <c r="F9608" s="72">
        <v>52</v>
      </c>
      <c r="G9608" s="72">
        <v>8580</v>
      </c>
    </row>
    <row r="9609" spans="1:7" ht="14.5" hidden="1">
      <c r="A9609" s="3" t="s">
        <v>9115</v>
      </c>
      <c r="B9609" s="12" t="s">
        <v>2904</v>
      </c>
      <c r="C9609" s="46" t="s">
        <v>9601</v>
      </c>
      <c r="D9609" s="41" t="str">
        <f ca="1">IFERROR(__xludf.DUMMYFUNCTION("IFERROR(ARRAYFORMULA(REGEXEXTRACT(C9609,""^(?:https?:\/\/)?(?:[^@\n]+@)?(?:www\.)?([^:\/\n]+)"")),"""")"),"offthemrkt.com")</f>
        <v>offthemrkt.com</v>
      </c>
      <c r="E9609" s="26" t="str">
        <f ca="1">IFERROR(__xludf.DUMMYFUNCTION("""COMPUTED_VALUE"""),"Already Exists")</f>
        <v>Already Exists</v>
      </c>
      <c r="F9609" s="72">
        <v>63</v>
      </c>
      <c r="G9609" s="72">
        <v>1155</v>
      </c>
    </row>
    <row r="9610" spans="1:7" ht="14.5" hidden="1">
      <c r="A9610" s="3" t="s">
        <v>9115</v>
      </c>
      <c r="B9610" s="12" t="s">
        <v>2904</v>
      </c>
      <c r="C9610" s="46" t="s">
        <v>9602</v>
      </c>
      <c r="D9610" s="41" t="str">
        <f ca="1">IFERROR(__xludf.DUMMYFUNCTION("IFERROR(ARRAYFORMULA(REGEXEXTRACT(C9610,""^(?:https?:\/\/)?(?:[^@\n]+@)?(?:www\.)?([^:\/\n]+)"")),"""")"),"conservamome.com")</f>
        <v>conservamome.com</v>
      </c>
      <c r="E9610" s="26" t="str">
        <f ca="1">IFERROR(__xludf.DUMMYFUNCTION("""COMPUTED_VALUE"""),"Already Exists")</f>
        <v>Already Exists</v>
      </c>
      <c r="F9610" s="72">
        <v>45</v>
      </c>
      <c r="G9610" s="72">
        <v>38293</v>
      </c>
    </row>
    <row r="9611" spans="1:7" ht="14.5">
      <c r="A9611" s="3" t="s">
        <v>9115</v>
      </c>
      <c r="B9611" s="12" t="s">
        <v>2904</v>
      </c>
      <c r="C9611" s="46" t="s">
        <v>9603</v>
      </c>
      <c r="D9611" s="41" t="str">
        <f ca="1">IFERROR(__xludf.DUMMYFUNCTION("IFERROR(ARRAYFORMULA(REGEXEXTRACT(C9611,""^(?:https?:\/\/)?(?:[^@\n]+@)?(?:www\.)?([^:\/\n]+)"")),"""")"),"lakeconroe.com")</f>
        <v>lakeconroe.com</v>
      </c>
      <c r="E9611" s="26" t="str">
        <f ca="1">IFERROR(__xludf.DUMMYFUNCTION("""COMPUTED_VALUE"""),"New")</f>
        <v>New</v>
      </c>
      <c r="F9611" s="72">
        <v>37</v>
      </c>
      <c r="G9611" s="72">
        <v>1391</v>
      </c>
    </row>
    <row r="9612" spans="1:7" ht="14.5">
      <c r="A9612" s="3" t="s">
        <v>9115</v>
      </c>
      <c r="B9612" s="12" t="s">
        <v>2904</v>
      </c>
      <c r="C9612" s="46" t="s">
        <v>9604</v>
      </c>
      <c r="D9612" s="41" t="str">
        <f ca="1">IFERROR(__xludf.DUMMYFUNCTION("IFERROR(ARRAYFORMULA(REGEXEXTRACT(C9612,""^(?:https?:\/\/)?(?:[^@\n]+@)?(?:www\.)?([^:\/\n]+)"")),"""")"),"enduro.horazdovice.cz")</f>
        <v>enduro.horazdovice.cz</v>
      </c>
      <c r="E9612" s="26" t="str">
        <f ca="1">IFERROR(__xludf.DUMMYFUNCTION("""COMPUTED_VALUE"""),"New")</f>
        <v>New</v>
      </c>
      <c r="F9612" s="72">
        <v>44</v>
      </c>
      <c r="G9612" s="72">
        <v>4611</v>
      </c>
    </row>
    <row r="9613" spans="1:7" ht="14.5">
      <c r="A9613" s="3" t="s">
        <v>9115</v>
      </c>
      <c r="B9613" s="12" t="s">
        <v>2904</v>
      </c>
      <c r="C9613" s="46" t="s">
        <v>9605</v>
      </c>
      <c r="D9613" s="41" t="str">
        <f ca="1">IFERROR(__xludf.DUMMYFUNCTION("IFERROR(ARRAYFORMULA(REGEXEXTRACT(C9613,""^(?:https?:\/\/)?(?:[^@\n]+@)?(?:www\.)?([^:\/\n]+)"")),"""")"),"pearland.com")</f>
        <v>pearland.com</v>
      </c>
      <c r="E9613" s="26" t="str">
        <f ca="1">IFERROR(__xludf.DUMMYFUNCTION("""COMPUTED_VALUE"""),"New")</f>
        <v>New</v>
      </c>
      <c r="F9613" s="72">
        <v>21</v>
      </c>
      <c r="G9613" s="72">
        <v>6367</v>
      </c>
    </row>
    <row r="9614" spans="1:7" ht="14.5">
      <c r="A9614" s="3" t="s">
        <v>9115</v>
      </c>
      <c r="B9614" s="12" t="s">
        <v>2904</v>
      </c>
      <c r="C9614" s="46" t="s">
        <v>9606</v>
      </c>
      <c r="D9614" s="41" t="str">
        <f ca="1">IFERROR(__xludf.DUMMYFUNCTION("IFERROR(ARRAYFORMULA(REGEXEXTRACT(C9614,""^(?:https?:\/\/)?(?:[^@\n]+@)?(?:www\.)?([^:\/\n]+)"")),"""")"),"secure2.websrvcs.com")</f>
        <v>secure2.websrvcs.com</v>
      </c>
      <c r="E9614" s="26" t="str">
        <f ca="1">IFERROR(__xludf.DUMMYFUNCTION("""COMPUTED_VALUE"""),"New")</f>
        <v>New</v>
      </c>
      <c r="F9614" s="72">
        <v>69</v>
      </c>
      <c r="G9614" s="72">
        <v>26296</v>
      </c>
    </row>
    <row r="9615" spans="1:7" ht="14.5" hidden="1">
      <c r="A9615" s="3" t="s">
        <v>9115</v>
      </c>
      <c r="B9615" s="12" t="s">
        <v>2904</v>
      </c>
      <c r="C9615" s="46" t="s">
        <v>9607</v>
      </c>
      <c r="D9615" s="41" t="str">
        <f ca="1">IFERROR(__xludf.DUMMYFUNCTION("IFERROR(ARRAYFORMULA(REGEXEXTRACT(C9615,""^(?:https?:\/\/)?(?:[^@\n]+@)?(?:www\.)?([^:\/\n]+)"")),"""")"),"elevatedmagazines.com")</f>
        <v>elevatedmagazines.com</v>
      </c>
      <c r="E9615" s="26" t="str">
        <f ca="1">IFERROR(__xludf.DUMMYFUNCTION("""COMPUTED_VALUE"""),"Already Exists")</f>
        <v>Already Exists</v>
      </c>
      <c r="F9615" s="72">
        <v>52</v>
      </c>
      <c r="G9615" s="72">
        <v>1484</v>
      </c>
    </row>
    <row r="9616" spans="1:7" ht="14.5" hidden="1">
      <c r="A9616" s="3" t="s">
        <v>9115</v>
      </c>
      <c r="B9616" s="12" t="s">
        <v>2904</v>
      </c>
      <c r="C9616" s="46" t="s">
        <v>9608</v>
      </c>
      <c r="D9616" s="41" t="str">
        <f ca="1">IFERROR(__xludf.DUMMYFUNCTION("IFERROR(ARRAYFORMULA(REGEXEXTRACT(C9616,""^(?:https?:\/\/)?(?:[^@\n]+@)?(?:www\.)?([^:\/\n]+)"")),"""")"),"pinuphouses.com")</f>
        <v>pinuphouses.com</v>
      </c>
      <c r="E9616" s="26" t="str">
        <f ca="1">IFERROR(__xludf.DUMMYFUNCTION("""COMPUTED_VALUE"""),"Already Exists")</f>
        <v>Already Exists</v>
      </c>
      <c r="F9616" s="72">
        <v>35</v>
      </c>
      <c r="G9616" s="72">
        <v>26380</v>
      </c>
    </row>
    <row r="9617" spans="1:7" ht="14.5" hidden="1">
      <c r="A9617" s="3" t="s">
        <v>9115</v>
      </c>
      <c r="B9617" s="12" t="s">
        <v>2904</v>
      </c>
      <c r="C9617" s="46" t="s">
        <v>9609</v>
      </c>
      <c r="D9617" s="41" t="str">
        <f ca="1">IFERROR(__xludf.DUMMYFUNCTION("IFERROR(ARRAYFORMULA(REGEXEXTRACT(C9617,""^(?:https?:\/\/)?(?:[^@\n]+@)?(?:www\.)?([^:\/\n]+)"")),"""")"),"literallydarling.com")</f>
        <v>literallydarling.com</v>
      </c>
      <c r="E9617" s="26" t="str">
        <f ca="1">IFERROR(__xludf.DUMMYFUNCTION("""COMPUTED_VALUE"""),"Already Exists")</f>
        <v>Already Exists</v>
      </c>
      <c r="F9617" s="72">
        <v>71</v>
      </c>
      <c r="G9617" s="72">
        <v>2115</v>
      </c>
    </row>
    <row r="9618" spans="1:7" ht="14.5" hidden="1">
      <c r="A9618" s="3" t="s">
        <v>9115</v>
      </c>
      <c r="B9618" s="12" t="s">
        <v>2904</v>
      </c>
      <c r="C9618" s="46" t="s">
        <v>9610</v>
      </c>
      <c r="D9618" s="41" t="str">
        <f ca="1">IFERROR(__xludf.DUMMYFUNCTION("IFERROR(ARRAYFORMULA(REGEXEXTRACT(C9618,""^(?:https?:\/\/)?(?:[^@\n]+@)?(?:www\.)?([^:\/\n]+)"")),"""")"),"solutionhow.com")</f>
        <v>solutionhow.com</v>
      </c>
      <c r="E9618" s="26" t="str">
        <f ca="1">IFERROR(__xludf.DUMMYFUNCTION("""COMPUTED_VALUE"""),"Already Exists")</f>
        <v>Already Exists</v>
      </c>
      <c r="F9618" s="72">
        <v>42</v>
      </c>
      <c r="G9618" s="72">
        <v>9638</v>
      </c>
    </row>
    <row r="9619" spans="1:7" ht="14.5">
      <c r="A9619" s="3" t="s">
        <v>9115</v>
      </c>
      <c r="B9619" s="12" t="s">
        <v>2904</v>
      </c>
      <c r="C9619" s="46" t="s">
        <v>9611</v>
      </c>
      <c r="D9619" s="41" t="str">
        <f ca="1">IFERROR(__xludf.DUMMYFUNCTION("IFERROR(ARRAYFORMULA(REGEXEXTRACT(C9619,""^(?:https?:\/\/)?(?:[^@\n]+@)?(?:www\.)?([^:\/\n]+)"")),"""")"),"knockoffdecor.com")</f>
        <v>knockoffdecor.com</v>
      </c>
      <c r="E9619" s="26" t="str">
        <f ca="1">IFERROR(__xludf.DUMMYFUNCTION("""COMPUTED_VALUE"""),"New")</f>
        <v>New</v>
      </c>
      <c r="F9619" s="72">
        <v>41</v>
      </c>
      <c r="G9619" s="72">
        <v>2472</v>
      </c>
    </row>
    <row r="9620" spans="1:7" ht="14.5" hidden="1">
      <c r="A9620" s="3" t="s">
        <v>9115</v>
      </c>
      <c r="B9620" s="12" t="s">
        <v>2904</v>
      </c>
      <c r="C9620" s="46" t="s">
        <v>9612</v>
      </c>
      <c r="D9620" s="41" t="str">
        <f ca="1">IFERROR(__xludf.DUMMYFUNCTION("IFERROR(ARRAYFORMULA(REGEXEXTRACT(C9620,""^(?:https?:\/\/)?(?:[^@\n]+@)?(?:www\.)?([^:\/\n]+)"")),"""")"),"mossandfog.com")</f>
        <v>mossandfog.com</v>
      </c>
      <c r="E9620" s="26" t="str">
        <f ca="1">IFERROR(__xludf.DUMMYFUNCTION("""COMPUTED_VALUE"""),"Already Exists")</f>
        <v>Already Exists</v>
      </c>
      <c r="F9620" s="72">
        <v>48</v>
      </c>
      <c r="G9620" s="72">
        <v>1501</v>
      </c>
    </row>
    <row r="9621" spans="1:7" ht="14.5" hidden="1">
      <c r="A9621" s="3" t="s">
        <v>9115</v>
      </c>
      <c r="B9621" s="12" t="s">
        <v>2904</v>
      </c>
      <c r="C9621" s="46" t="s">
        <v>9613</v>
      </c>
      <c r="D9621" s="41" t="str">
        <f ca="1">IFERROR(__xludf.DUMMYFUNCTION("IFERROR(ARRAYFORMULA(REGEXEXTRACT(C9621,""^(?:https?:\/\/)?(?:[^@\n]+@)?(?:www\.)?([^:\/\n]+)"")),"""")"),"farmhousekitchenandbath.com")</f>
        <v>farmhousekitchenandbath.com</v>
      </c>
      <c r="E9621" s="26" t="str">
        <f ca="1">IFERROR(__xludf.DUMMYFUNCTION("""COMPUTED_VALUE"""),"Already Exists")</f>
        <v>Already Exists</v>
      </c>
      <c r="F9621" s="72">
        <v>35</v>
      </c>
      <c r="G9621" s="72">
        <v>1792</v>
      </c>
    </row>
    <row r="9622" spans="1:7" ht="14.5">
      <c r="A9622" s="3" t="s">
        <v>9115</v>
      </c>
      <c r="B9622" s="12" t="s">
        <v>2904</v>
      </c>
      <c r="C9622" s="46" t="s">
        <v>9614</v>
      </c>
      <c r="D9622" s="41" t="str">
        <f ca="1">IFERROR(__xludf.DUMMYFUNCTION("IFERROR(ARRAYFORMULA(REGEXEXTRACT(C9622,""^(?:https?:\/\/)?(?:[^@\n]+@)?(?:www\.)?([^:\/\n]+)"")),"""")"),"offcourse.co")</f>
        <v>offcourse.co</v>
      </c>
      <c r="E9622" s="26" t="str">
        <f ca="1">IFERROR(__xludf.DUMMYFUNCTION("""COMPUTED_VALUE"""),"New")</f>
        <v>New</v>
      </c>
      <c r="F9622" s="72">
        <v>53</v>
      </c>
      <c r="G9622" s="72">
        <v>3178</v>
      </c>
    </row>
    <row r="9623" spans="1:7" ht="14.5">
      <c r="A9623" s="3" t="s">
        <v>9115</v>
      </c>
      <c r="B9623" s="12" t="s">
        <v>2904</v>
      </c>
      <c r="C9623" s="46" t="s">
        <v>9615</v>
      </c>
      <c r="D9623" s="41" t="str">
        <f ca="1">IFERROR(__xludf.DUMMYFUNCTION("IFERROR(ARRAYFORMULA(REGEXEXTRACT(C9623,""^(?:https?:\/\/)?(?:[^@\n]+@)?(?:www\.)?([^:\/\n]+)"")),"""")"),"provenexpert.com")</f>
        <v>provenexpert.com</v>
      </c>
      <c r="E9623" s="26" t="str">
        <f ca="1">IFERROR(__xludf.DUMMYFUNCTION("""COMPUTED_VALUE"""),"New")</f>
        <v>New</v>
      </c>
      <c r="F9623" s="72">
        <v>91</v>
      </c>
      <c r="G9623" s="72">
        <v>85283</v>
      </c>
    </row>
    <row r="9624" spans="1:7" ht="14.5">
      <c r="A9624" s="3" t="s">
        <v>9115</v>
      </c>
      <c r="B9624" s="12" t="s">
        <v>2904</v>
      </c>
      <c r="C9624" s="46" t="s">
        <v>9616</v>
      </c>
      <c r="D9624" s="41" t="str">
        <f ca="1">IFERROR(__xludf.DUMMYFUNCTION("IFERROR(ARRAYFORMULA(REGEXEXTRACT(C9624,""^(?:https?:\/\/)?(?:[^@\n]+@)?(?:www\.)?([^:\/\n]+)"")),"""")"),"homecomfortexperts.co.uk")</f>
        <v>homecomfortexperts.co.uk</v>
      </c>
      <c r="E9624" s="26" t="str">
        <f ca="1">IFERROR(__xludf.DUMMYFUNCTION("""COMPUTED_VALUE"""),"New")</f>
        <v>New</v>
      </c>
      <c r="F9624" s="72">
        <v>33</v>
      </c>
      <c r="G9624" s="72">
        <v>6357</v>
      </c>
    </row>
    <row r="9625" spans="1:7" ht="14.5">
      <c r="A9625" s="3" t="s">
        <v>9115</v>
      </c>
      <c r="B9625" s="12" t="s">
        <v>2904</v>
      </c>
      <c r="C9625" s="46" t="s">
        <v>9617</v>
      </c>
      <c r="D9625" s="41" t="str">
        <f ca="1">IFERROR(__xludf.DUMMYFUNCTION("IFERROR(ARRAYFORMULA(REGEXEXTRACT(C9625,""^(?:https?:\/\/)?(?:[^@\n]+@)?(?:www\.)?([^:\/\n]+)"")),"""")"),"delightfullynotedblog.com")</f>
        <v>delightfullynotedblog.com</v>
      </c>
      <c r="E9625" s="26" t="str">
        <f ca="1">IFERROR(__xludf.DUMMYFUNCTION("""COMPUTED_VALUE"""),"New")</f>
        <v>New</v>
      </c>
      <c r="F9625" s="72">
        <v>31</v>
      </c>
      <c r="G9625" s="72">
        <v>3616</v>
      </c>
    </row>
    <row r="9626" spans="1:7" ht="14.5" hidden="1">
      <c r="A9626" s="3" t="s">
        <v>9115</v>
      </c>
      <c r="B9626" s="12" t="s">
        <v>2904</v>
      </c>
      <c r="C9626" s="46" t="s">
        <v>9618</v>
      </c>
      <c r="D9626" s="41" t="str">
        <f ca="1">IFERROR(__xludf.DUMMYFUNCTION("IFERROR(ARRAYFORMULA(REGEXEXTRACT(C9626,""^(?:https?:\/\/)?(?:[^@\n]+@)?(?:www\.)?([^:\/\n]+)"")),"""")"),"mklibrary.com")</f>
        <v>mklibrary.com</v>
      </c>
      <c r="E9626" s="26" t="str">
        <f ca="1">IFERROR(__xludf.DUMMYFUNCTION("""COMPUTED_VALUE"""),"Already Exists")</f>
        <v>Already Exists</v>
      </c>
      <c r="F9626" s="72">
        <v>42</v>
      </c>
      <c r="G9626" s="72">
        <v>1728</v>
      </c>
    </row>
    <row r="9627" spans="1:7" ht="14.5">
      <c r="A9627" s="3" t="s">
        <v>9115</v>
      </c>
      <c r="B9627" s="12" t="s">
        <v>2904</v>
      </c>
      <c r="C9627" s="46" t="s">
        <v>9619</v>
      </c>
      <c r="D9627" s="41" t="str">
        <f ca="1">IFERROR(__xludf.DUMMYFUNCTION("IFERROR(ARRAYFORMULA(REGEXEXTRACT(C9627,""^(?:https?:\/\/)?(?:[^@\n]+@)?(?:www\.)?([^:\/\n]+)"")),"""")"),"news.gcu.edu.pk")</f>
        <v>news.gcu.edu.pk</v>
      </c>
      <c r="E9627" s="26" t="str">
        <f ca="1">IFERROR(__xludf.DUMMYFUNCTION("""COMPUTED_VALUE"""),"New")</f>
        <v>New</v>
      </c>
      <c r="F9627" s="72">
        <v>51</v>
      </c>
      <c r="G9627" s="72">
        <v>29707</v>
      </c>
    </row>
    <row r="9628" spans="1:7" ht="14.5" hidden="1">
      <c r="A9628" s="3" t="s">
        <v>9115</v>
      </c>
      <c r="B9628" s="12" t="s">
        <v>2904</v>
      </c>
      <c r="C9628" s="46" t="s">
        <v>9620</v>
      </c>
      <c r="D9628" s="41" t="str">
        <f ca="1">IFERROR(__xludf.DUMMYFUNCTION("IFERROR(ARRAYFORMULA(REGEXEXTRACT(C9628,""^(?:https?:\/\/)?(?:[^@\n]+@)?(?:www\.)?([^:\/\n]+)"")),"""")"),"thehometrotters.com")</f>
        <v>thehometrotters.com</v>
      </c>
      <c r="E9628" s="26" t="str">
        <f ca="1">IFERROR(__xludf.DUMMYFUNCTION("""COMPUTED_VALUE"""),"Already Exists")</f>
        <v>Already Exists</v>
      </c>
      <c r="F9628" s="72">
        <v>71</v>
      </c>
      <c r="G9628" s="72">
        <v>20810</v>
      </c>
    </row>
    <row r="9629" spans="1:7" ht="14.5">
      <c r="A9629" s="3" t="s">
        <v>9115</v>
      </c>
      <c r="B9629" s="12" t="s">
        <v>2904</v>
      </c>
      <c r="C9629" s="46" t="s">
        <v>9621</v>
      </c>
      <c r="D9629" s="41" t="str">
        <f ca="1">IFERROR(__xludf.DUMMYFUNCTION("IFERROR(ARRAYFORMULA(REGEXEXTRACT(C9629,""^(?:https?:\/\/)?(?:[^@\n]+@)?(?:www\.)?([^:\/\n]+)"")),"""")"),"geebo.com")</f>
        <v>geebo.com</v>
      </c>
      <c r="E9629" s="26" t="str">
        <f ca="1">IFERROR(__xludf.DUMMYFUNCTION("""COMPUTED_VALUE"""),"New")</f>
        <v>New</v>
      </c>
      <c r="F9629" s="72">
        <v>54</v>
      </c>
      <c r="G9629" s="72">
        <v>8998</v>
      </c>
    </row>
    <row r="9630" spans="1:7" ht="14.5" hidden="1">
      <c r="A9630" s="3" t="s">
        <v>9115</v>
      </c>
      <c r="B9630" s="12" t="s">
        <v>2904</v>
      </c>
      <c r="C9630" s="46" t="s">
        <v>9622</v>
      </c>
      <c r="D9630" s="41" t="str">
        <f ca="1">IFERROR(__xludf.DUMMYFUNCTION("IFERROR(ARRAYFORMULA(REGEXEXTRACT(C9630,""^(?:https?:\/\/)?(?:[^@\n]+@)?(?:www\.)?([^:\/\n]+)"")),"""")"),"kevinfrancisdesign.com")</f>
        <v>kevinfrancisdesign.com</v>
      </c>
      <c r="E9630" s="26" t="str">
        <f ca="1">IFERROR(__xludf.DUMMYFUNCTION("""COMPUTED_VALUE"""),"Already Exists")</f>
        <v>Already Exists</v>
      </c>
      <c r="F9630" s="72">
        <v>51</v>
      </c>
      <c r="G9630" s="72">
        <v>1528</v>
      </c>
    </row>
    <row r="9631" spans="1:7" ht="14.5" hidden="1">
      <c r="A9631" s="3" t="s">
        <v>9115</v>
      </c>
      <c r="B9631" s="12" t="s">
        <v>2904</v>
      </c>
      <c r="C9631" s="46" t="s">
        <v>9623</v>
      </c>
      <c r="D9631" s="41" t="str">
        <f ca="1">IFERROR(__xludf.DUMMYFUNCTION("IFERROR(ARRAYFORMULA(REGEXEXTRACT(C9631,""^(?:https?:\/\/)?(?:[^@\n]+@)?(?:www\.)?([^:\/\n]+)"")),"""")"),"flyarchitecture.net")</f>
        <v>flyarchitecture.net</v>
      </c>
      <c r="E9631" s="26" t="str">
        <f ca="1">IFERROR(__xludf.DUMMYFUNCTION("""COMPUTED_VALUE"""),"Already Exists")</f>
        <v>Already Exists</v>
      </c>
      <c r="F9631" s="72">
        <v>51</v>
      </c>
      <c r="G9631" s="72">
        <v>1637</v>
      </c>
    </row>
    <row r="9632" spans="1:7" ht="14.5" hidden="1">
      <c r="A9632" s="3" t="s">
        <v>9115</v>
      </c>
      <c r="B9632" s="12" t="s">
        <v>2904</v>
      </c>
      <c r="C9632" s="46" t="s">
        <v>9624</v>
      </c>
      <c r="D9632" s="41" t="str">
        <f ca="1">IFERROR(__xludf.DUMMYFUNCTION("IFERROR(ARRAYFORMULA(REGEXEXTRACT(C9632,""^(?:https?:\/\/)?(?:[^@\n]+@)?(?:www\.)?([^:\/\n]+)"")),"""")"),"yourhomify.com")</f>
        <v>yourhomify.com</v>
      </c>
      <c r="E9632" s="26" t="str">
        <f ca="1">IFERROR(__xludf.DUMMYFUNCTION("""COMPUTED_VALUE"""),"Already Exists")</f>
        <v>Already Exists</v>
      </c>
      <c r="F9632" s="72">
        <v>44</v>
      </c>
      <c r="G9632" s="72">
        <v>1728</v>
      </c>
    </row>
    <row r="9633" spans="1:7" ht="14.5" hidden="1">
      <c r="A9633" s="3" t="s">
        <v>9115</v>
      </c>
      <c r="B9633" s="12" t="s">
        <v>2904</v>
      </c>
      <c r="C9633" s="46" t="s">
        <v>9625</v>
      </c>
      <c r="D9633" s="41" t="str">
        <f ca="1">IFERROR(__xludf.DUMMYFUNCTION("IFERROR(ARRAYFORMULA(REGEXEXTRACT(C9633,""^(?:https?:\/\/)?(?:[^@\n]+@)?(?:www\.)?([^:\/\n]+)"")),"""")"),"sipthestyle.com")</f>
        <v>sipthestyle.com</v>
      </c>
      <c r="E9633" s="26" t="str">
        <f ca="1">IFERROR(__xludf.DUMMYFUNCTION("""COMPUTED_VALUE"""),"Already Exists")</f>
        <v>Already Exists</v>
      </c>
      <c r="F9633" s="72">
        <v>49</v>
      </c>
      <c r="G9633" s="72">
        <v>3457</v>
      </c>
    </row>
    <row r="9634" spans="1:7" ht="14.5">
      <c r="A9634" s="3" t="s">
        <v>9115</v>
      </c>
      <c r="B9634" s="12" t="s">
        <v>2904</v>
      </c>
      <c r="C9634" s="46" t="s">
        <v>9626</v>
      </c>
      <c r="D9634" s="41" t="str">
        <f ca="1">IFERROR(__xludf.DUMMYFUNCTION("IFERROR(ARRAYFORMULA(REGEXEXTRACT(C9634,""^(?:https?:\/\/)?(?:[^@\n]+@)?(?:www\.)?([^:\/\n]+)"")),"""")"),"reviews.birdeye.com")</f>
        <v>reviews.birdeye.com</v>
      </c>
      <c r="E9634" s="26" t="str">
        <f ca="1">IFERROR(__xludf.DUMMYFUNCTION("""COMPUTED_VALUE"""),"New")</f>
        <v>New</v>
      </c>
      <c r="F9634" s="72">
        <v>85</v>
      </c>
      <c r="G9634" s="72">
        <v>407641</v>
      </c>
    </row>
    <row r="9635" spans="1:7" ht="14.5" hidden="1">
      <c r="A9635" s="3" t="s">
        <v>9115</v>
      </c>
      <c r="B9635" s="12" t="s">
        <v>2904</v>
      </c>
      <c r="C9635" s="46" t="s">
        <v>9627</v>
      </c>
      <c r="D9635" s="41" t="str">
        <f ca="1">IFERROR(__xludf.DUMMYFUNCTION("IFERROR(ARRAYFORMULA(REGEXEXTRACT(C9635,""^(?:https?:\/\/)?(?:[^@\n]+@)?(?:www\.)?([^:\/\n]+)"")),"""")"),"theinspirationedit.com")</f>
        <v>theinspirationedit.com</v>
      </c>
      <c r="E9635" s="26" t="str">
        <f ca="1">IFERROR(__xludf.DUMMYFUNCTION("""COMPUTED_VALUE"""),"Already Exists")</f>
        <v>Already Exists</v>
      </c>
      <c r="F9635" s="72">
        <v>56</v>
      </c>
      <c r="G9635" s="72">
        <v>11429</v>
      </c>
    </row>
    <row r="9636" spans="1:7" ht="14.5">
      <c r="A9636" s="3" t="s">
        <v>9115</v>
      </c>
      <c r="B9636" s="12" t="s">
        <v>2904</v>
      </c>
      <c r="C9636" s="46" t="s">
        <v>9628</v>
      </c>
      <c r="D9636" s="41" t="str">
        <f ca="1">IFERROR(__xludf.DUMMYFUNCTION("IFERROR(ARRAYFORMULA(REGEXEXTRACT(C9636,""^(?:https?:\/\/)?(?:[^@\n]+@)?(?:www\.)?([^:\/\n]+)"")),"""")"),"aamstg1.wpenginepowered.com")</f>
        <v>aamstg1.wpenginepowered.com</v>
      </c>
      <c r="E9636" s="26" t="str">
        <f ca="1">IFERROR(__xludf.DUMMYFUNCTION("""COMPUTED_VALUE"""),"New")</f>
        <v>New</v>
      </c>
      <c r="F9636" s="72">
        <v>91</v>
      </c>
      <c r="G9636" s="72">
        <v>37233</v>
      </c>
    </row>
    <row r="9637" spans="1:7" ht="14.5" hidden="1">
      <c r="A9637" s="3" t="s">
        <v>9115</v>
      </c>
      <c r="B9637" s="12" t="s">
        <v>2904</v>
      </c>
      <c r="C9637" s="46" t="s">
        <v>9629</v>
      </c>
      <c r="D9637" s="41" t="str">
        <f ca="1">IFERROR(__xludf.DUMMYFUNCTION("IFERROR(ARRAYFORMULA(REGEXEXTRACT(C9637,""^(?:https?:\/\/)?(?:[^@\n]+@)?(?:www\.)?([^:\/\n]+)"")),"""")"),"citychicliving.com")</f>
        <v>citychicliving.com</v>
      </c>
      <c r="E9637" s="26" t="str">
        <f ca="1">IFERROR(__xludf.DUMMYFUNCTION("""COMPUTED_VALUE"""),"Already Exists")</f>
        <v>Already Exists</v>
      </c>
      <c r="F9637" s="72">
        <v>27</v>
      </c>
      <c r="G9637" s="72">
        <v>2001</v>
      </c>
    </row>
    <row r="9638" spans="1:7" ht="14.5">
      <c r="A9638" s="3" t="s">
        <v>9115</v>
      </c>
      <c r="B9638" s="12" t="s">
        <v>2904</v>
      </c>
      <c r="C9638" s="46" t="s">
        <v>9630</v>
      </c>
      <c r="D9638" s="41" t="str">
        <f ca="1">IFERROR(__xludf.DUMMYFUNCTION("IFERROR(ARRAYFORMULA(REGEXEXTRACT(C9638,""^(?:https?:\/\/)?(?:[^@\n]+@)?(?:www\.)?([^:\/\n]+)"")),"""")"),"galvestonchamber.chambermaster.com")</f>
        <v>galvestonchamber.chambermaster.com</v>
      </c>
      <c r="E9638" s="26" t="str">
        <f ca="1">IFERROR(__xludf.DUMMYFUNCTION("""COMPUTED_VALUE"""),"New")</f>
        <v>New</v>
      </c>
      <c r="F9638" s="72">
        <v>78</v>
      </c>
      <c r="G9638" s="72">
        <v>63574</v>
      </c>
    </row>
    <row r="9639" spans="1:7" ht="14.5">
      <c r="A9639" s="3" t="s">
        <v>9115</v>
      </c>
      <c r="B9639" s="12" t="s">
        <v>2904</v>
      </c>
      <c r="C9639" s="46" t="s">
        <v>9631</v>
      </c>
      <c r="D9639" s="41" t="str">
        <f ca="1">IFERROR(__xludf.DUMMYFUNCTION("IFERROR(ARRAYFORMULA(REGEXEXTRACT(C9639,""^(?:https?:\/\/)?(?:[^@\n]+@)?(?:www\.)?([^:\/\n]+)"")),"""")"),"trustedhousepainter.com")</f>
        <v>trustedhousepainter.com</v>
      </c>
      <c r="E9639" s="26" t="str">
        <f ca="1">IFERROR(__xludf.DUMMYFUNCTION("""COMPUTED_VALUE"""),"New")</f>
        <v>New</v>
      </c>
      <c r="F9639" s="72">
        <v>33</v>
      </c>
      <c r="G9639" s="72">
        <v>7686</v>
      </c>
    </row>
    <row r="9640" spans="1:7" ht="14.5" hidden="1">
      <c r="A9640" s="3" t="s">
        <v>9115</v>
      </c>
      <c r="B9640" s="12" t="s">
        <v>2904</v>
      </c>
      <c r="C9640" s="46" t="s">
        <v>9632</v>
      </c>
      <c r="D9640" s="41" t="str">
        <f ca="1">IFERROR(__xludf.DUMMYFUNCTION("IFERROR(ARRAYFORMULA(REGEXEXTRACT(C9640,""^(?:https?:\/\/)?(?:[^@\n]+@)?(?:www\.)?([^:\/\n]+)"")),"""")"),"designrelated.com")</f>
        <v>designrelated.com</v>
      </c>
      <c r="E9640" s="26" t="str">
        <f ca="1">IFERROR(__xludf.DUMMYFUNCTION("""COMPUTED_VALUE"""),"Already Exists")</f>
        <v>Already Exists</v>
      </c>
      <c r="F9640" s="72">
        <v>38</v>
      </c>
      <c r="G9640" s="72">
        <v>1649</v>
      </c>
    </row>
    <row r="9641" spans="1:7" ht="14.5">
      <c r="A9641" s="3" t="s">
        <v>9115</v>
      </c>
      <c r="B9641" s="12" t="s">
        <v>2904</v>
      </c>
      <c r="C9641" s="46" t="s">
        <v>9633</v>
      </c>
      <c r="D9641" s="41" t="str">
        <f ca="1">IFERROR(__xludf.DUMMYFUNCTION("IFERROR(ARRAYFORMULA(REGEXEXTRACT(C9641,""^(?:https?:\/\/)?(?:[^@\n]+@)?(?:www\.)?([^:\/\n]+)"")),"""")"),"bloglovin.com")</f>
        <v>bloglovin.com</v>
      </c>
      <c r="E9641" s="26" t="str">
        <f ca="1">IFERROR(__xludf.DUMMYFUNCTION("""COMPUTED_VALUE"""),"New")</f>
        <v>New</v>
      </c>
      <c r="F9641" s="72">
        <v>86</v>
      </c>
      <c r="G9641" s="72">
        <v>1971</v>
      </c>
    </row>
    <row r="9642" spans="1:7" ht="14.5" hidden="1">
      <c r="A9642" s="3" t="s">
        <v>9115</v>
      </c>
      <c r="B9642" s="12" t="s">
        <v>2904</v>
      </c>
      <c r="C9642" s="46" t="s">
        <v>9634</v>
      </c>
      <c r="D9642" s="41" t="str">
        <f ca="1">IFERROR(__xludf.DUMMYFUNCTION("IFERROR(ARRAYFORMULA(REGEXEXTRACT(C9642,""^(?:https?:\/\/)?(?:[^@\n]+@)?(?:www\.)?([^:\/\n]+)"")),"""")"),"lookwhatmomfound.org")</f>
        <v>lookwhatmomfound.org</v>
      </c>
      <c r="E9642" s="26" t="str">
        <f ca="1">IFERROR(__xludf.DUMMYFUNCTION("""COMPUTED_VALUE"""),"Already Exists")</f>
        <v>Already Exists</v>
      </c>
      <c r="F9642" s="72">
        <v>34</v>
      </c>
      <c r="G9642" s="72">
        <v>1872</v>
      </c>
    </row>
    <row r="9643" spans="1:7" ht="14.5" hidden="1">
      <c r="A9643" s="3" t="s">
        <v>9115</v>
      </c>
      <c r="B9643" s="12" t="s">
        <v>2904</v>
      </c>
      <c r="C9643" s="46" t="s">
        <v>9635</v>
      </c>
      <c r="D9643" s="41" t="str">
        <f ca="1">IFERROR(__xludf.DUMMYFUNCTION("IFERROR(ARRAYFORMULA(REGEXEXTRACT(C9643,""^(?:https?:\/\/)?(?:[^@\n]+@)?(?:www\.)?([^:\/\n]+)"")),"""")"),"clichemag.com")</f>
        <v>clichemag.com</v>
      </c>
      <c r="E9643" s="26" t="str">
        <f ca="1">IFERROR(__xludf.DUMMYFUNCTION("""COMPUTED_VALUE"""),"Already Exists")</f>
        <v>Already Exists</v>
      </c>
      <c r="F9643" s="72">
        <v>52</v>
      </c>
      <c r="G9643" s="72">
        <v>1104</v>
      </c>
    </row>
    <row r="9644" spans="1:7" ht="14.5" hidden="1">
      <c r="A9644" s="3" t="s">
        <v>9115</v>
      </c>
      <c r="B9644" s="12" t="s">
        <v>2904</v>
      </c>
      <c r="C9644" s="46" t="s">
        <v>9636</v>
      </c>
      <c r="D9644" s="41" t="str">
        <f ca="1">IFERROR(__xludf.DUMMYFUNCTION("IFERROR(ARRAYFORMULA(REGEXEXTRACT(C9644,""^(?:https?:\/\/)?(?:[^@\n]+@)?(?:www\.)?([^:\/\n]+)"")),"""")"),"thecharmingbenchcompany.com")</f>
        <v>thecharmingbenchcompany.com</v>
      </c>
      <c r="E9644" s="26" t="str">
        <f ca="1">IFERROR(__xludf.DUMMYFUNCTION("""COMPUTED_VALUE"""),"Already Exists")</f>
        <v>Already Exists</v>
      </c>
      <c r="F9644" s="72">
        <v>47</v>
      </c>
      <c r="G9644" s="72">
        <v>7627</v>
      </c>
    </row>
    <row r="9645" spans="1:7" ht="14.5" hidden="1">
      <c r="A9645" s="3" t="s">
        <v>9115</v>
      </c>
      <c r="B9645" s="12" t="s">
        <v>2904</v>
      </c>
      <c r="C9645" s="46" t="s">
        <v>9637</v>
      </c>
      <c r="D9645" s="41" t="str">
        <f ca="1">IFERROR(__xludf.DUMMYFUNCTION("IFERROR(ARRAYFORMULA(REGEXEXTRACT(C9645,""^(?:https?:\/\/)?(?:[^@\n]+@)?(?:www\.)?([^:\/\n]+)"")),"""")"),"houstonsuburb.com")</f>
        <v>houstonsuburb.com</v>
      </c>
      <c r="E9645" s="26" t="str">
        <f ca="1">IFERROR(__xludf.DUMMYFUNCTION("""COMPUTED_VALUE"""),"Already Exists")</f>
        <v>Already Exists</v>
      </c>
      <c r="F9645" s="72">
        <v>27</v>
      </c>
      <c r="G9645" s="72">
        <v>2899</v>
      </c>
    </row>
    <row r="9646" spans="1:7" ht="14.5">
      <c r="A9646" s="3" t="s">
        <v>9115</v>
      </c>
      <c r="B9646" s="12" t="s">
        <v>2904</v>
      </c>
      <c r="C9646" s="46" t="s">
        <v>9638</v>
      </c>
      <c r="D9646" s="41" t="str">
        <f ca="1">IFERROR(__xludf.DUMMYFUNCTION("IFERROR(ARRAYFORMULA(REGEXEXTRACT(C9646,""^(?:https?:\/\/)?(?:[^@\n]+@)?(?:www\.)?([^:\/\n]+)"")),"""")"),"successfulblackparenting.com")</f>
        <v>successfulblackparenting.com</v>
      </c>
      <c r="E9646" s="26" t="str">
        <f ca="1">IFERROR(__xludf.DUMMYFUNCTION("""COMPUTED_VALUE"""),"New")</f>
        <v>New</v>
      </c>
      <c r="F9646" s="72">
        <v>40</v>
      </c>
      <c r="G9646" s="72">
        <v>4815</v>
      </c>
    </row>
    <row r="9647" spans="1:7" ht="14.5">
      <c r="A9647" s="3" t="s">
        <v>9115</v>
      </c>
      <c r="B9647" s="12" t="s">
        <v>2904</v>
      </c>
      <c r="C9647" s="46" t="s">
        <v>9639</v>
      </c>
      <c r="D9647" s="41" t="str">
        <f ca="1">IFERROR(__xludf.DUMMYFUNCTION("IFERROR(ARRAYFORMULA(REGEXEXTRACT(C9647,""^(?:https?:\/\/)?(?:[^@\n]+@)?(?:www\.)?([^:\/\n]+)"")),"""")"),"whatutalkingboutfamily.com")</f>
        <v>whatutalkingboutfamily.com</v>
      </c>
      <c r="E9647" s="26" t="str">
        <f ca="1">IFERROR(__xludf.DUMMYFUNCTION("""COMPUTED_VALUE"""),"New")</f>
        <v>New</v>
      </c>
      <c r="F9647" s="72">
        <v>65</v>
      </c>
      <c r="G9647" s="72">
        <v>1922</v>
      </c>
    </row>
    <row r="9648" spans="1:7" ht="14.5">
      <c r="A9648" s="3" t="s">
        <v>9115</v>
      </c>
      <c r="B9648" s="12" t="s">
        <v>2904</v>
      </c>
      <c r="C9648" s="46" t="s">
        <v>9640</v>
      </c>
      <c r="D9648" s="41" t="str">
        <f ca="1">IFERROR(__xludf.DUMMYFUNCTION("IFERROR(ARRAYFORMULA(REGEXEXTRACT(C9648,""^(?:https?:\/\/)?(?:[^@\n]+@)?(?:www\.)?([^:\/\n]+)"")),"""")"),"espaciodca.fedace.org")</f>
        <v>espaciodca.fedace.org</v>
      </c>
      <c r="E9648" s="26" t="str">
        <f ca="1">IFERROR(__xludf.DUMMYFUNCTION("""COMPUTED_VALUE"""),"New")</f>
        <v>New</v>
      </c>
      <c r="F9648" s="72">
        <v>53</v>
      </c>
      <c r="G9648" s="72">
        <v>1819</v>
      </c>
    </row>
    <row r="9649" spans="1:7" ht="14.5" hidden="1">
      <c r="A9649" s="3" t="s">
        <v>9115</v>
      </c>
      <c r="B9649" s="12" t="s">
        <v>2904</v>
      </c>
      <c r="C9649" s="46" t="s">
        <v>9641</v>
      </c>
      <c r="D9649" s="41" t="str">
        <f ca="1">IFERROR(__xludf.DUMMYFUNCTION("IFERROR(ARRAYFORMULA(REGEXEXTRACT(C9649,""^(?:https?:\/\/)?(?:[^@\n]+@)?(?:www\.)?([^:\/\n]+)"")),"""")"),"houseofcoco.net")</f>
        <v>houseofcoco.net</v>
      </c>
      <c r="E9649" s="26" t="str">
        <f ca="1">IFERROR(__xludf.DUMMYFUNCTION("""COMPUTED_VALUE"""),"Already Exists")</f>
        <v>Already Exists</v>
      </c>
      <c r="F9649" s="72">
        <v>63</v>
      </c>
      <c r="G9649" s="72">
        <v>1959</v>
      </c>
    </row>
    <row r="9650" spans="1:7" ht="14.5">
      <c r="A9650" s="3" t="s">
        <v>9115</v>
      </c>
      <c r="B9650" s="12" t="s">
        <v>2904</v>
      </c>
      <c r="C9650" s="46" t="s">
        <v>9642</v>
      </c>
      <c r="D9650" s="41" t="str">
        <f ca="1">IFERROR(__xludf.DUMMYFUNCTION("IFERROR(ARRAYFORMULA(REGEXEXTRACT(C9650,""^(?:https?:\/\/)?(?:[^@\n]+@)?(?:www\.)?([^:\/\n]+)"")),"""")"),"forum.orangepi.org")</f>
        <v>forum.orangepi.org</v>
      </c>
      <c r="E9650" s="26" t="str">
        <f ca="1">IFERROR(__xludf.DUMMYFUNCTION("""COMPUTED_VALUE"""),"New")</f>
        <v>New</v>
      </c>
      <c r="F9650" s="72">
        <v>71</v>
      </c>
      <c r="G9650" s="72">
        <v>35969</v>
      </c>
    </row>
    <row r="9651" spans="1:7" ht="14.5">
      <c r="A9651" s="3" t="s">
        <v>9115</v>
      </c>
      <c r="B9651" s="12" t="s">
        <v>2904</v>
      </c>
      <c r="C9651" s="46" t="s">
        <v>9643</v>
      </c>
      <c r="D9651" s="41" t="str">
        <f ca="1">IFERROR(__xludf.DUMMYFUNCTION("IFERROR(ARRAYFORMULA(REGEXEXTRACT(C9651,""^(?:https?:\/\/)?(?:[^@\n]+@)?(?:www\.)?([^:\/\n]+)"")),"""")"),"homesteadsupplier.com")</f>
        <v>homesteadsupplier.com</v>
      </c>
      <c r="E9651" s="26" t="str">
        <f ca="1">IFERROR(__xludf.DUMMYFUNCTION("""COMPUTED_VALUE"""),"New")</f>
        <v>New</v>
      </c>
      <c r="F9651" s="72">
        <v>41</v>
      </c>
      <c r="G9651" s="72">
        <v>29956</v>
      </c>
    </row>
    <row r="9652" spans="1:7" ht="14.5" hidden="1">
      <c r="A9652" s="3" t="s">
        <v>9115</v>
      </c>
      <c r="B9652" s="12" t="s">
        <v>2904</v>
      </c>
      <c r="C9652" s="46" t="s">
        <v>9644</v>
      </c>
      <c r="D9652" s="41" t="str">
        <f ca="1">IFERROR(__xludf.DUMMYFUNCTION("IFERROR(ARRAYFORMULA(REGEXEXTRACT(C9652,""^(?:https?:\/\/)?(?:[^@\n]+@)?(?:www\.)?([^:\/\n]+)"")),"""")"),"homelovr.com")</f>
        <v>homelovr.com</v>
      </c>
      <c r="E9652" s="26" t="str">
        <f ca="1">IFERROR(__xludf.DUMMYFUNCTION("""COMPUTED_VALUE"""),"Already Exists")</f>
        <v>Already Exists</v>
      </c>
      <c r="F9652" s="72">
        <v>34</v>
      </c>
      <c r="G9652" s="72">
        <v>7716</v>
      </c>
    </row>
    <row r="9653" spans="1:7" ht="14.5" hidden="1">
      <c r="A9653" s="3" t="s">
        <v>9115</v>
      </c>
      <c r="B9653" s="12" t="s">
        <v>2904</v>
      </c>
      <c r="C9653" s="46" t="s">
        <v>9645</v>
      </c>
      <c r="D9653" s="41" t="str">
        <f ca="1">IFERROR(__xludf.DUMMYFUNCTION("IFERROR(ARRAYFORMULA(REGEXEXTRACT(C9653,""^(?:https?:\/\/)?(?:[^@\n]+@)?(?:www\.)?([^:\/\n]+)"")),"""")"),"rentalrealestate.com")</f>
        <v>rentalrealestate.com</v>
      </c>
      <c r="E9653" s="26" t="str">
        <f ca="1">IFERROR(__xludf.DUMMYFUNCTION("""COMPUTED_VALUE"""),"Already Exists")</f>
        <v>Already Exists</v>
      </c>
      <c r="F9653" s="72">
        <v>36</v>
      </c>
      <c r="G9653" s="72">
        <v>2348</v>
      </c>
    </row>
    <row r="9654" spans="1:7" ht="14.5">
      <c r="A9654" s="3" t="s">
        <v>9115</v>
      </c>
      <c r="B9654" s="12" t="s">
        <v>2904</v>
      </c>
      <c r="C9654" s="46" t="s">
        <v>9646</v>
      </c>
      <c r="D9654" s="41" t="str">
        <f ca="1">IFERROR(__xludf.DUMMYFUNCTION("IFERROR(ARRAYFORMULA(REGEXEXTRACT(C9654,""^(?:https?:\/\/)?(?:[^@\n]+@)?(?:www\.)?([^:\/\n]+)"")),"""")"),"erienewsnow.com")</f>
        <v>erienewsnow.com</v>
      </c>
      <c r="E9654" s="26" t="str">
        <f ca="1">IFERROR(__xludf.DUMMYFUNCTION("""COMPUTED_VALUE"""),"New")</f>
        <v>New</v>
      </c>
      <c r="F9654" s="72">
        <v>72</v>
      </c>
      <c r="G9654" s="72">
        <v>62748</v>
      </c>
    </row>
    <row r="9655" spans="1:7" ht="14.5">
      <c r="A9655" s="3" t="s">
        <v>9115</v>
      </c>
      <c r="B9655" s="12" t="s">
        <v>2904</v>
      </c>
      <c r="C9655" s="46" t="s">
        <v>9647</v>
      </c>
      <c r="D9655" s="41" t="str">
        <f ca="1">IFERROR(__xludf.DUMMYFUNCTION("IFERROR(ARRAYFORMULA(REGEXEXTRACT(C9655,""^(?:https?:\/\/)?(?:[^@\n]+@)?(?:www\.)?([^:\/\n]+)"")),"""")"),"sociallifemagazine.com")</f>
        <v>sociallifemagazine.com</v>
      </c>
      <c r="E9655" s="26" t="str">
        <f ca="1">IFERROR(__xludf.DUMMYFUNCTION("""COMPUTED_VALUE"""),"New")</f>
        <v>New</v>
      </c>
      <c r="F9655" s="72">
        <v>49</v>
      </c>
      <c r="G9655" s="72">
        <v>146134</v>
      </c>
    </row>
    <row r="9656" spans="1:7" ht="14.5">
      <c r="A9656" s="3" t="s">
        <v>9115</v>
      </c>
      <c r="B9656" s="12" t="s">
        <v>2904</v>
      </c>
      <c r="C9656" s="46" t="s">
        <v>9648</v>
      </c>
      <c r="D9656" s="41" t="str">
        <f ca="1">IFERROR(__xludf.DUMMYFUNCTION("IFERROR(ARRAYFORMULA(REGEXEXTRACT(C9656,""^(?:https?:\/\/)?(?:[^@\n]+@)?(?:www\.)?([^:\/\n]+)"")),"""")"),"panhandle.newschannelnebraska.com")</f>
        <v>panhandle.newschannelnebraska.com</v>
      </c>
      <c r="E9656" s="26" t="str">
        <f ca="1">IFERROR(__xludf.DUMMYFUNCTION("""COMPUTED_VALUE"""),"New")</f>
        <v>New</v>
      </c>
      <c r="F9656" s="72">
        <v>76</v>
      </c>
      <c r="G9656" s="72">
        <v>10808</v>
      </c>
    </row>
    <row r="9657" spans="1:7" ht="14.5" hidden="1">
      <c r="A9657" s="3" t="s">
        <v>9115</v>
      </c>
      <c r="B9657" s="12" t="s">
        <v>2904</v>
      </c>
      <c r="C9657" s="46" t="s">
        <v>9649</v>
      </c>
      <c r="D9657" s="41" t="str">
        <f ca="1">IFERROR(__xludf.DUMMYFUNCTION("IFERROR(ARRAYFORMULA(REGEXEXTRACT(C9657,""^(?:https?:\/\/)?(?:[^@\n]+@)?(?:www\.)?([^:\/\n]+)"")),"""")"),"burlapandblue.com")</f>
        <v>burlapandblue.com</v>
      </c>
      <c r="E9657" s="26" t="str">
        <f ca="1">IFERROR(__xludf.DUMMYFUNCTION("""COMPUTED_VALUE"""),"Already Exists")</f>
        <v>Already Exists</v>
      </c>
      <c r="F9657" s="72">
        <v>51</v>
      </c>
      <c r="G9657" s="72">
        <v>3171</v>
      </c>
    </row>
    <row r="9658" spans="1:7" ht="14.5">
      <c r="A9658" s="3" t="s">
        <v>9115</v>
      </c>
      <c r="B9658" s="17" t="s">
        <v>2902</v>
      </c>
      <c r="C9658" s="46" t="s">
        <v>9650</v>
      </c>
      <c r="D9658" s="41" t="str">
        <f ca="1">IFERROR(__xludf.DUMMYFUNCTION("IFERROR(ARRAYFORMULA(REGEXEXTRACT(C9658,""^(?:https?:\/\/)?(?:[^@\n]+@)?(?:www\.)?([^:\/\n]+)"")),"""")"),"buy.nsw.gov.au")</f>
        <v>buy.nsw.gov.au</v>
      </c>
      <c r="E9658" s="26" t="str">
        <f ca="1">IFERROR(__xludf.DUMMYFUNCTION("""COMPUTED_VALUE"""),"New")</f>
        <v>New</v>
      </c>
      <c r="F9658" s="72">
        <v>92</v>
      </c>
      <c r="G9658" s="72">
        <v>9295547</v>
      </c>
    </row>
    <row r="9659" spans="1:7" ht="14.5">
      <c r="A9659" s="3" t="s">
        <v>9115</v>
      </c>
      <c r="B9659" s="12" t="s">
        <v>2902</v>
      </c>
      <c r="C9659" s="46" t="s">
        <v>9651</v>
      </c>
      <c r="D9659" s="41" t="str">
        <f ca="1">IFERROR(__xludf.DUMMYFUNCTION("IFERROR(ARRAYFORMULA(REGEXEXTRACT(C9659,""^(?:https?:\/\/)?(?:[^@\n]+@)?(?:www\.)?([^:\/\n]+)"")),"""")"),"thecleanplumber-sydney.homeone.com.au")</f>
        <v>thecleanplumber-sydney.homeone.com.au</v>
      </c>
      <c r="E9659" s="26" t="str">
        <f ca="1">IFERROR(__xludf.DUMMYFUNCTION("""COMPUTED_VALUE"""),"New")</f>
        <v>New</v>
      </c>
      <c r="F9659" s="72">
        <v>38</v>
      </c>
      <c r="G9659" s="72">
        <v>12188</v>
      </c>
    </row>
    <row r="9660" spans="1:7" ht="14.5">
      <c r="A9660" s="3" t="s">
        <v>9115</v>
      </c>
      <c r="B9660" s="12" t="s">
        <v>2902</v>
      </c>
      <c r="C9660" s="46" t="s">
        <v>9652</v>
      </c>
      <c r="D9660" s="41" t="str">
        <f ca="1">IFERROR(__xludf.DUMMYFUNCTION("IFERROR(ARRAYFORMULA(REGEXEXTRACT(C9660,""^(?:https?:\/\/)?(?:[^@\n]+@)?(?:www\.)?([^:\/\n]+)"")),"""")"),"yellowpages.com.au")</f>
        <v>yellowpages.com.au</v>
      </c>
      <c r="E9660" s="26" t="str">
        <f ca="1">IFERROR(__xludf.DUMMYFUNCTION("""COMPUTED_VALUE"""),"New")</f>
        <v>New</v>
      </c>
      <c r="F9660" s="72">
        <v>83</v>
      </c>
      <c r="G9660" s="72">
        <v>837898</v>
      </c>
    </row>
    <row r="9661" spans="1:7" ht="14.5" hidden="1">
      <c r="A9661" s="3" t="s">
        <v>9115</v>
      </c>
      <c r="B9661" s="12" t="s">
        <v>2902</v>
      </c>
      <c r="C9661" s="46" t="s">
        <v>9653</v>
      </c>
      <c r="D9661" s="41" t="str">
        <f ca="1">IFERROR(__xludf.DUMMYFUNCTION("IFERROR(ARRAYFORMULA(REGEXEXTRACT(C9661,""^(?:https?:\/\/)?(?:[^@\n]+@)?(?:www\.)?([^:\/\n]+)"")),"""")"),"captainbobcat.com")</f>
        <v>captainbobcat.com</v>
      </c>
      <c r="E9661" s="26" t="str">
        <f ca="1">IFERROR(__xludf.DUMMYFUNCTION("""COMPUTED_VALUE"""),"Already Exists")</f>
        <v>Already Exists</v>
      </c>
      <c r="F9661" s="72">
        <v>30</v>
      </c>
      <c r="G9661" s="72">
        <v>3383</v>
      </c>
    </row>
    <row r="9662" spans="1:7" ht="14.5">
      <c r="A9662" s="3" t="s">
        <v>9115</v>
      </c>
      <c r="B9662" s="12" t="s">
        <v>2902</v>
      </c>
      <c r="C9662" s="46" t="s">
        <v>9654</v>
      </c>
      <c r="D9662" s="41" t="str">
        <f ca="1">IFERROR(__xludf.DUMMYFUNCTION("IFERROR(ARRAYFORMULA(REGEXEXTRACT(C9662,""^(?:https?:\/\/)?(?:[^@\n]+@)?(?:www\.)?([^:\/\n]+)"")),"""")"),"2amagazine.com")</f>
        <v>2amagazine.com</v>
      </c>
      <c r="E9662" s="26" t="str">
        <f ca="1">IFERROR(__xludf.DUMMYFUNCTION("""COMPUTED_VALUE"""),"New")</f>
        <v>New</v>
      </c>
      <c r="F9662" s="72">
        <v>51</v>
      </c>
      <c r="G9662" s="72">
        <v>1867</v>
      </c>
    </row>
    <row r="9663" spans="1:7" ht="14.5">
      <c r="A9663" s="3" t="s">
        <v>9115</v>
      </c>
      <c r="B9663" s="12" t="s">
        <v>2902</v>
      </c>
      <c r="C9663" s="46" t="s">
        <v>9655</v>
      </c>
      <c r="D9663" s="41" t="str">
        <f ca="1">IFERROR(__xludf.DUMMYFUNCTION("IFERROR(ARRAYFORMULA(REGEXEXTRACT(C9663,""^(?:https?:\/\/)?(?:[^@\n]+@)?(?:www\.)?([^:\/\n]+)"")),"""")"),"grokipedia.com")</f>
        <v>grokipedia.com</v>
      </c>
      <c r="E9663" s="26" t="str">
        <f ca="1">IFERROR(__xludf.DUMMYFUNCTION("""COMPUTED_VALUE"""),"New")</f>
        <v>New</v>
      </c>
      <c r="F9663" s="72">
        <v>75</v>
      </c>
      <c r="G9663" s="72">
        <v>667361</v>
      </c>
    </row>
    <row r="9664" spans="1:7" ht="14.5">
      <c r="A9664" s="3" t="s">
        <v>9115</v>
      </c>
      <c r="B9664" s="12" t="s">
        <v>2902</v>
      </c>
      <c r="C9664" s="46" t="s">
        <v>9656</v>
      </c>
      <c r="D9664" s="41" t="str">
        <f ca="1">IFERROR(__xludf.DUMMYFUNCTION("IFERROR(ARRAYFORMULA(REGEXEXTRACT(C9664,""^(?:https?:\/\/)?(?:[^@\n]+@)?(?:www\.)?([^:\/\n]+)"")),"""")"),"threebestrated.com.au")</f>
        <v>threebestrated.com.au</v>
      </c>
      <c r="E9664" s="26" t="str">
        <f ca="1">IFERROR(__xludf.DUMMYFUNCTION("""COMPUTED_VALUE"""),"New")</f>
        <v>New</v>
      </c>
      <c r="F9664" s="72">
        <v>70</v>
      </c>
      <c r="G9664" s="72">
        <v>2852</v>
      </c>
    </row>
    <row r="9665" spans="1:7" ht="14.5" hidden="1">
      <c r="A9665" s="3" t="s">
        <v>9115</v>
      </c>
      <c r="B9665" s="12" t="s">
        <v>2902</v>
      </c>
      <c r="C9665" s="46" t="s">
        <v>9657</v>
      </c>
      <c r="D9665" s="41" t="str">
        <f ca="1">IFERROR(__xludf.DUMMYFUNCTION("IFERROR(ARRAYFORMULA(REGEXEXTRACT(C9665,""^(?:https?:\/\/)?(?:[^@\n]+@)?(?:www\.)?([^:\/\n]+)"")),"""")"),"mothersalwaysright.com")</f>
        <v>mothersalwaysright.com</v>
      </c>
      <c r="E9665" s="26" t="str">
        <f ca="1">IFERROR(__xludf.DUMMYFUNCTION("""COMPUTED_VALUE"""),"Already Exists")</f>
        <v>Already Exists</v>
      </c>
      <c r="F9665" s="72">
        <v>62</v>
      </c>
      <c r="G9665" s="72">
        <v>9727</v>
      </c>
    </row>
    <row r="9666" spans="1:7" ht="14.5" hidden="1">
      <c r="A9666" s="3" t="s">
        <v>9115</v>
      </c>
      <c r="B9666" s="12" t="s">
        <v>2902</v>
      </c>
      <c r="C9666" s="46" t="s">
        <v>9658</v>
      </c>
      <c r="D9666" s="41" t="str">
        <f ca="1">IFERROR(__xludf.DUMMYFUNCTION("IFERROR(ARRAYFORMULA(REGEXEXTRACT(C9666,""^(?:https?:\/\/)?(?:[^@\n]+@)?(?:www\.)?([^:\/\n]+)"")),"""")"),"mklibrary.com")</f>
        <v>mklibrary.com</v>
      </c>
      <c r="E9666" s="26" t="str">
        <f ca="1">IFERROR(__xludf.DUMMYFUNCTION("""COMPUTED_VALUE"""),"Already Exists")</f>
        <v>Already Exists</v>
      </c>
      <c r="F9666" s="72">
        <v>42</v>
      </c>
      <c r="G9666" s="72">
        <v>1728</v>
      </c>
    </row>
    <row r="9667" spans="1:7" ht="14.5" hidden="1">
      <c r="A9667" s="3" t="s">
        <v>9115</v>
      </c>
      <c r="B9667" s="12" t="s">
        <v>2902</v>
      </c>
      <c r="C9667" s="46" t="s">
        <v>9659</v>
      </c>
      <c r="D9667" s="41" t="str">
        <f ca="1">IFERROR(__xludf.DUMMYFUNCTION("IFERROR(ARRAYFORMULA(REGEXEXTRACT(C9667,""^(?:https?:\/\/)?(?:[^@\n]+@)?(?:www\.)?([^:\/\n]+)"")),"""")"),"we-heart.com")</f>
        <v>we-heart.com</v>
      </c>
      <c r="E9667" s="26" t="str">
        <f ca="1">IFERROR(__xludf.DUMMYFUNCTION("""COMPUTED_VALUE"""),"Already Exists")</f>
        <v>Already Exists</v>
      </c>
      <c r="F9667" s="72">
        <v>71</v>
      </c>
      <c r="G9667" s="72">
        <v>2269</v>
      </c>
    </row>
    <row r="9668" spans="1:7" ht="14.5" hidden="1">
      <c r="A9668" s="3" t="s">
        <v>9115</v>
      </c>
      <c r="B9668" s="12" t="s">
        <v>2902</v>
      </c>
      <c r="C9668" s="46" t="s">
        <v>9660</v>
      </c>
      <c r="D9668" s="41" t="str">
        <f ca="1">IFERROR(__xludf.DUMMYFUNCTION("IFERROR(ARRAYFORMULA(REGEXEXTRACT(C9668,""^(?:https?:\/\/)?(?:[^@\n]+@)?(?:www\.)?([^:\/\n]+)"")),"""")"),"opplehouse.com")</f>
        <v>opplehouse.com</v>
      </c>
      <c r="E9668" s="26" t="str">
        <f ca="1">IFERROR(__xludf.DUMMYFUNCTION("""COMPUTED_VALUE"""),"Already Exists")</f>
        <v>Already Exists</v>
      </c>
      <c r="F9668" s="72">
        <v>59</v>
      </c>
      <c r="G9668" s="72">
        <v>2999</v>
      </c>
    </row>
    <row r="9669" spans="1:7" ht="14.5">
      <c r="A9669" s="3" t="s">
        <v>9115</v>
      </c>
      <c r="B9669" s="12" t="s">
        <v>2902</v>
      </c>
      <c r="C9669" s="46" t="s">
        <v>9661</v>
      </c>
      <c r="D9669" s="41" t="str">
        <f ca="1">IFERROR(__xludf.DUMMYFUNCTION("IFERROR(ARRAYFORMULA(REGEXEXTRACT(C9669,""^(?:https?:\/\/)?(?:[^@\n]+@)?(?:www\.)?([^:\/\n]+)"")),"""")"),"oneflare.com.au")</f>
        <v>oneflare.com.au</v>
      </c>
      <c r="E9669" s="26" t="str">
        <f ca="1">IFERROR(__xludf.DUMMYFUNCTION("""COMPUTED_VALUE"""),"New")</f>
        <v>New</v>
      </c>
      <c r="F9669" s="72">
        <v>74</v>
      </c>
      <c r="G9669" s="72">
        <v>49179</v>
      </c>
    </row>
    <row r="9670" spans="1:7" ht="14.5" hidden="1">
      <c r="A9670" s="3" t="s">
        <v>9115</v>
      </c>
      <c r="B9670" s="12" t="s">
        <v>2902</v>
      </c>
      <c r="C9670" s="46" t="s">
        <v>9662</v>
      </c>
      <c r="D9670" s="41" t="str">
        <f ca="1">IFERROR(__xludf.DUMMYFUNCTION("IFERROR(ARRAYFORMULA(REGEXEXTRACT(C9670,""^(?:https?:\/\/)?(?:[^@\n]+@)?(?:www\.)?([^:\/\n]+)"")),"""")"),"ahouseinthehills.com")</f>
        <v>ahouseinthehills.com</v>
      </c>
      <c r="E9670" s="26" t="str">
        <f ca="1">IFERROR(__xludf.DUMMYFUNCTION("""COMPUTED_VALUE"""),"Already Exists")</f>
        <v>Already Exists</v>
      </c>
      <c r="F9670" s="72">
        <v>58</v>
      </c>
      <c r="G9670" s="72">
        <v>2861</v>
      </c>
    </row>
    <row r="9671" spans="1:7" ht="14.5" hidden="1">
      <c r="A9671" s="3" t="s">
        <v>9115</v>
      </c>
      <c r="B9671" s="12" t="s">
        <v>2902</v>
      </c>
      <c r="C9671" s="46" t="s">
        <v>9663</v>
      </c>
      <c r="D9671" s="41" t="str">
        <f ca="1">IFERROR(__xludf.DUMMYFUNCTION("IFERROR(ARRAYFORMULA(REGEXEXTRACT(C9671,""^(?:https?:\/\/)?(?:[^@\n]+@)?(?:www\.)?([^:\/\n]+)"")),"""")"),"johnnyholland.org")</f>
        <v>johnnyholland.org</v>
      </c>
      <c r="E9671" s="26" t="str">
        <f ca="1">IFERROR(__xludf.DUMMYFUNCTION("""COMPUTED_VALUE"""),"Already Exists")</f>
        <v>Already Exists</v>
      </c>
      <c r="F9671" s="72">
        <v>52</v>
      </c>
      <c r="G9671" s="72">
        <v>1617</v>
      </c>
    </row>
    <row r="9672" spans="1:7" ht="14.5">
      <c r="A9672" s="3" t="s">
        <v>9115</v>
      </c>
      <c r="B9672" s="12" t="s">
        <v>2902</v>
      </c>
      <c r="C9672" s="46" t="s">
        <v>9664</v>
      </c>
      <c r="D9672" s="41" t="str">
        <f ca="1">IFERROR(__xludf.DUMMYFUNCTION("IFERROR(ARRAYFORMULA(REGEXEXTRACT(C9672,""^(?:https?:\/\/)?(?:[^@\n]+@)?(?:www\.)?([^:\/\n]+)"")),"""")"),"wsbsport.com")</f>
        <v>wsbsport.com</v>
      </c>
      <c r="E9672" s="26" t="str">
        <f ca="1">IFERROR(__xludf.DUMMYFUNCTION("""COMPUTED_VALUE"""),"New")</f>
        <v>New</v>
      </c>
      <c r="F9672" s="72">
        <v>23</v>
      </c>
      <c r="G9672" s="72">
        <v>2208</v>
      </c>
    </row>
    <row r="9673" spans="1:7" ht="14.5" hidden="1">
      <c r="A9673" s="3" t="s">
        <v>9115</v>
      </c>
      <c r="B9673" s="12" t="s">
        <v>2902</v>
      </c>
      <c r="C9673" s="46" t="s">
        <v>9665</v>
      </c>
      <c r="D9673" s="41" t="str">
        <f ca="1">IFERROR(__xludf.DUMMYFUNCTION("IFERROR(ARRAYFORMULA(REGEXEXTRACT(C9673,""^(?:https?:\/\/)?(?:[^@\n]+@)?(?:www\.)?([^:\/\n]+)"")),"""")"),"soup.io")</f>
        <v>soup.io</v>
      </c>
      <c r="E9673" s="26" t="str">
        <f ca="1">IFERROR(__xludf.DUMMYFUNCTION("""COMPUTED_VALUE"""),"Already Exists")</f>
        <v>Already Exists</v>
      </c>
      <c r="F9673" s="72">
        <v>72</v>
      </c>
      <c r="G9673" s="72">
        <v>1164</v>
      </c>
    </row>
    <row r="9674" spans="1:7" ht="14.5" hidden="1">
      <c r="A9674" s="3" t="s">
        <v>9115</v>
      </c>
      <c r="B9674" s="12" t="s">
        <v>2902</v>
      </c>
      <c r="C9674" s="46" t="s">
        <v>9666</v>
      </c>
      <c r="D9674" s="41" t="str">
        <f ca="1">IFERROR(__xludf.DUMMYFUNCTION("IFERROR(ARRAYFORMULA(REGEXEXTRACT(C9674,""^(?:https?:\/\/)?(?:[^@\n]+@)?(?:www\.)?([^:\/\n]+)"")),"""")"),"alittledelightful.com")</f>
        <v>alittledelightful.com</v>
      </c>
      <c r="E9674" s="26" t="str">
        <f ca="1">IFERROR(__xludf.DUMMYFUNCTION("""COMPUTED_VALUE"""),"Already Exists")</f>
        <v>Already Exists</v>
      </c>
      <c r="F9674" s="72">
        <v>65</v>
      </c>
      <c r="G9674" s="72">
        <v>13997</v>
      </c>
    </row>
    <row r="9675" spans="1:7" ht="14.5">
      <c r="A9675" s="3" t="s">
        <v>9115</v>
      </c>
      <c r="B9675" s="12" t="s">
        <v>2902</v>
      </c>
      <c r="C9675" s="46" t="s">
        <v>9667</v>
      </c>
      <c r="D9675" s="41" t="str">
        <f ca="1">IFERROR(__xludf.DUMMYFUNCTION("IFERROR(ARRAYFORMULA(REGEXEXTRACT(C9675,""^(?:https?:\/\/)?(?:[^@\n]+@)?(?:www\.)?([^:\/\n]+)"")),"""")"),"mywaterfilter.com.au")</f>
        <v>mywaterfilter.com.au</v>
      </c>
      <c r="E9675" s="26" t="str">
        <f ca="1">IFERROR(__xludf.DUMMYFUNCTION("""COMPUTED_VALUE"""),"New")</f>
        <v>New</v>
      </c>
      <c r="F9675" s="72">
        <v>37</v>
      </c>
      <c r="G9675" s="72">
        <v>7372</v>
      </c>
    </row>
    <row r="9676" spans="1:7" ht="14.5" hidden="1">
      <c r="A9676" s="3" t="s">
        <v>9115</v>
      </c>
      <c r="B9676" s="12" t="s">
        <v>2902</v>
      </c>
      <c r="C9676" s="46" t="s">
        <v>9668</v>
      </c>
      <c r="D9676" s="41" t="str">
        <f ca="1">IFERROR(__xludf.DUMMYFUNCTION("IFERROR(ARRAYFORMULA(REGEXEXTRACT(C9676,""^(?:https?:\/\/)?(?:[^@\n]+@)?(?:www\.)?([^:\/\n]+)"")),"""")"),"spiritedpuddlejumper.com")</f>
        <v>spiritedpuddlejumper.com</v>
      </c>
      <c r="E9676" s="26" t="str">
        <f ca="1">IFERROR(__xludf.DUMMYFUNCTION("""COMPUTED_VALUE"""),"Already Exists")</f>
        <v>Already Exists</v>
      </c>
      <c r="F9676" s="72">
        <v>31</v>
      </c>
      <c r="G9676" s="72">
        <v>5215</v>
      </c>
    </row>
    <row r="9677" spans="1:7" ht="14.5" hidden="1">
      <c r="A9677" s="3" t="s">
        <v>9115</v>
      </c>
      <c r="B9677" s="12" t="s">
        <v>2902</v>
      </c>
      <c r="C9677" s="46" t="s">
        <v>9669</v>
      </c>
      <c r="D9677" s="41" t="str">
        <f ca="1">IFERROR(__xludf.DUMMYFUNCTION("IFERROR(ARRAYFORMULA(REGEXEXTRACT(C9677,""^(?:https?:\/\/)?(?:[^@\n]+@)?(?:www\.)?([^:\/\n]+)"")),"""")"),"lorddecor.com")</f>
        <v>lorddecor.com</v>
      </c>
      <c r="E9677" s="26" t="str">
        <f ca="1">IFERROR(__xludf.DUMMYFUNCTION("""COMPUTED_VALUE"""),"Already Exists")</f>
        <v>Already Exists</v>
      </c>
      <c r="F9677" s="72">
        <v>59</v>
      </c>
      <c r="G9677" s="72">
        <v>1732</v>
      </c>
    </row>
    <row r="9678" spans="1:7" ht="14.5" hidden="1">
      <c r="A9678" s="3" t="s">
        <v>9115</v>
      </c>
      <c r="B9678" s="12" t="s">
        <v>2902</v>
      </c>
      <c r="C9678" s="46" t="s">
        <v>9670</v>
      </c>
      <c r="D9678" s="41" t="str">
        <f ca="1">IFERROR(__xludf.DUMMYFUNCTION("IFERROR(ARRAYFORMULA(REGEXEXTRACT(C9678,""^(?:https?:\/\/)?(?:[^@\n]+@)?(?:www\.)?([^:\/\n]+)"")),"""")"),"greenrecord.co.uk")</f>
        <v>greenrecord.co.uk</v>
      </c>
      <c r="E9678" s="26" t="str">
        <f ca="1">IFERROR(__xludf.DUMMYFUNCTION("""COMPUTED_VALUE"""),"Already Exists")</f>
        <v>Already Exists</v>
      </c>
      <c r="F9678" s="72">
        <v>73</v>
      </c>
      <c r="G9678" s="72">
        <v>6247</v>
      </c>
    </row>
    <row r="9679" spans="1:7" ht="14.5">
      <c r="A9679" s="3" t="s">
        <v>9115</v>
      </c>
      <c r="B9679" s="12" t="s">
        <v>2902</v>
      </c>
      <c r="C9679" s="46" t="s">
        <v>9671</v>
      </c>
      <c r="D9679" s="41" t="str">
        <f ca="1">IFERROR(__xludf.DUMMYFUNCTION("IFERROR(ARRAYFORMULA(REGEXEXTRACT(C9679,""^(?:https?:\/\/)?(?:[^@\n]+@)?(?:www\.)?([^:\/\n]+)"")),"""")"),"tangyhouse.com")</f>
        <v>tangyhouse.com</v>
      </c>
      <c r="E9679" s="26" t="str">
        <f ca="1">IFERROR(__xludf.DUMMYFUNCTION("""COMPUTED_VALUE"""),"New")</f>
        <v>New</v>
      </c>
      <c r="F9679" s="72">
        <v>43</v>
      </c>
      <c r="G9679" s="72">
        <v>1634</v>
      </c>
    </row>
    <row r="9680" spans="1:7" ht="14.5" hidden="1">
      <c r="A9680" s="3" t="s">
        <v>9115</v>
      </c>
      <c r="B9680" s="12" t="s">
        <v>2902</v>
      </c>
      <c r="C9680" s="46" t="s">
        <v>9672</v>
      </c>
      <c r="D9680" s="41" t="str">
        <f ca="1">IFERROR(__xludf.DUMMYFUNCTION("IFERROR(ARRAYFORMULA(REGEXEXTRACT(C9680,""^(?:https?:\/\/)?(?:[^@\n]+@)?(?:www\.)?([^:\/\n]+)"")),"""")"),"myinteriorpalace.com")</f>
        <v>myinteriorpalace.com</v>
      </c>
      <c r="E9680" s="26" t="str">
        <f ca="1">IFERROR(__xludf.DUMMYFUNCTION("""COMPUTED_VALUE"""),"Already Exists")</f>
        <v>Already Exists</v>
      </c>
      <c r="F9680" s="72">
        <v>61</v>
      </c>
      <c r="G9680" s="72">
        <v>1983</v>
      </c>
    </row>
    <row r="9681" spans="1:7" ht="14.5" hidden="1">
      <c r="A9681" s="3" t="s">
        <v>9115</v>
      </c>
      <c r="B9681" s="12" t="s">
        <v>2902</v>
      </c>
      <c r="C9681" s="46" t="s">
        <v>9673</v>
      </c>
      <c r="D9681" s="41" t="str">
        <f ca="1">IFERROR(__xludf.DUMMYFUNCTION("IFERROR(ARRAYFORMULA(REGEXEXTRACT(C9681,""^(?:https?:\/\/)?(?:[^@\n]+@)?(?:www\.)?([^:\/\n]+)"")),"""")"),"soho.com.au")</f>
        <v>soho.com.au</v>
      </c>
      <c r="E9681" s="26" t="str">
        <f ca="1">IFERROR(__xludf.DUMMYFUNCTION("""COMPUTED_VALUE"""),"Already Exists")</f>
        <v>Already Exists</v>
      </c>
      <c r="F9681" s="72">
        <v>51</v>
      </c>
      <c r="G9681" s="72">
        <v>4397</v>
      </c>
    </row>
    <row r="9682" spans="1:7" ht="14.5" hidden="1">
      <c r="A9682" s="3" t="s">
        <v>9115</v>
      </c>
      <c r="B9682" s="12" t="s">
        <v>2902</v>
      </c>
      <c r="C9682" s="46" t="s">
        <v>9674</v>
      </c>
      <c r="D9682" s="41" t="str">
        <f ca="1">IFERROR(__xludf.DUMMYFUNCTION("IFERROR(ARRAYFORMULA(REGEXEXTRACT(C9682,""^(?:https?:\/\/)?(?:[^@\n]+@)?(?:www\.)?([^:\/\n]+)"")),"""")"),"ccr-mag.com")</f>
        <v>ccr-mag.com</v>
      </c>
      <c r="E9682" s="26" t="str">
        <f ca="1">IFERROR(__xludf.DUMMYFUNCTION("""COMPUTED_VALUE"""),"Already Exists")</f>
        <v>Already Exists</v>
      </c>
      <c r="F9682" s="72">
        <v>64</v>
      </c>
      <c r="G9682" s="72">
        <v>2653</v>
      </c>
    </row>
    <row r="9683" spans="1:7" ht="14.5" hidden="1">
      <c r="A9683" s="3" t="s">
        <v>9115</v>
      </c>
      <c r="B9683" s="12" t="s">
        <v>2902</v>
      </c>
      <c r="C9683" s="46" t="s">
        <v>9675</v>
      </c>
      <c r="D9683" s="41" t="str">
        <f ca="1">IFERROR(__xludf.DUMMYFUNCTION("IFERROR(ARRAYFORMULA(REGEXEXTRACT(C9683,""^(?:https?:\/\/)?(?:[^@\n]+@)?(?:www\.)?([^:\/\n]+)"")),"""")"),"shedblog.com.au")</f>
        <v>shedblog.com.au</v>
      </c>
      <c r="E9683" s="26" t="str">
        <f ca="1">IFERROR(__xludf.DUMMYFUNCTION("""COMPUTED_VALUE"""),"Already Exists")</f>
        <v>Already Exists</v>
      </c>
      <c r="F9683" s="72">
        <v>35</v>
      </c>
      <c r="G9683" s="72">
        <v>3014</v>
      </c>
    </row>
    <row r="9684" spans="1:7" ht="14.5">
      <c r="A9684" s="3" t="s">
        <v>9115</v>
      </c>
      <c r="B9684" s="12" t="s">
        <v>2902</v>
      </c>
      <c r="C9684" s="46" t="s">
        <v>9676</v>
      </c>
      <c r="D9684" s="41" t="str">
        <f ca="1">IFERROR(__xludf.DUMMYFUNCTION("IFERROR(ARRAYFORMULA(REGEXEXTRACT(C9684,""^(?:https?:\/\/)?(?:[^@\n]+@)?(?:www\.)?([^:\/\n]+)"")),"""")"),"siit.co")</f>
        <v>siit.co</v>
      </c>
      <c r="E9684" s="26" t="str">
        <f ca="1">IFERROR(__xludf.DUMMYFUNCTION("""COMPUTED_VALUE"""),"New")</f>
        <v>New</v>
      </c>
      <c r="F9684" s="72">
        <v>66</v>
      </c>
      <c r="G9684" s="72">
        <v>35732</v>
      </c>
    </row>
    <row r="9685" spans="1:7" ht="14.5">
      <c r="A9685" s="3" t="s">
        <v>9115</v>
      </c>
      <c r="B9685" s="12" t="s">
        <v>2902</v>
      </c>
      <c r="C9685" s="46" t="s">
        <v>9677</v>
      </c>
      <c r="D9685" s="41" t="str">
        <f ca="1">IFERROR(__xludf.DUMMYFUNCTION("IFERROR(ARRAYFORMULA(REGEXEXTRACT(C9685,""^(?:https?:\/\/)?(?:[^@\n]+@)?(?:www\.)?([^:\/\n]+)"")),"""")"),"t2conline.com")</f>
        <v>t2conline.com</v>
      </c>
      <c r="E9685" s="26" t="str">
        <f ca="1">IFERROR(__xludf.DUMMYFUNCTION("""COMPUTED_VALUE"""),"New")</f>
        <v>New</v>
      </c>
      <c r="F9685" s="72">
        <v>72</v>
      </c>
      <c r="G9685" s="72">
        <v>3016</v>
      </c>
    </row>
    <row r="9686" spans="1:7" ht="14.5" hidden="1">
      <c r="A9686" s="3" t="s">
        <v>9115</v>
      </c>
      <c r="B9686" s="12" t="s">
        <v>2902</v>
      </c>
      <c r="C9686" s="46" t="s">
        <v>9678</v>
      </c>
      <c r="D9686" s="41" t="str">
        <f ca="1">IFERROR(__xludf.DUMMYFUNCTION("IFERROR(ARRAYFORMULA(REGEXEXTRACT(C9686,""^(?:https?:\/\/)?(?:[^@\n]+@)?(?:www\.)?([^:\/\n]+)"")),"""")"),"livingpristine.com")</f>
        <v>livingpristine.com</v>
      </c>
      <c r="E9686" s="26" t="str">
        <f ca="1">IFERROR(__xludf.DUMMYFUNCTION("""COMPUTED_VALUE"""),"Already Exists")</f>
        <v>Already Exists</v>
      </c>
      <c r="F9686" s="72">
        <v>52</v>
      </c>
      <c r="G9686" s="72">
        <v>8580</v>
      </c>
    </row>
    <row r="9687" spans="1:7" ht="14.5">
      <c r="A9687" s="3" t="s">
        <v>9115</v>
      </c>
      <c r="B9687" s="12" t="s">
        <v>2902</v>
      </c>
      <c r="C9687" s="46" t="s">
        <v>9679</v>
      </c>
      <c r="D9687" s="41" t="str">
        <f ca="1">IFERROR(__xludf.DUMMYFUNCTION("IFERROR(ARRAYFORMULA(REGEXEXTRACT(C9687,""^(?:https?:\/\/)?(?:[^@\n]+@)?(?:www\.)?([^:\/\n]+)"")),"""")"),"customhomesonline.com.au")</f>
        <v>customhomesonline.com.au</v>
      </c>
      <c r="E9687" s="26" t="str">
        <f ca="1">IFERROR(__xludf.DUMMYFUNCTION("""COMPUTED_VALUE"""),"New")</f>
        <v>New</v>
      </c>
      <c r="F9687" s="72">
        <v>45</v>
      </c>
      <c r="G9687" s="72">
        <v>1222</v>
      </c>
    </row>
    <row r="9688" spans="1:7" ht="14.5">
      <c r="A9688" s="3" t="s">
        <v>9115</v>
      </c>
      <c r="B9688" s="12" t="s">
        <v>2902</v>
      </c>
      <c r="C9688" s="46" t="s">
        <v>9680</v>
      </c>
      <c r="D9688" s="41" t="str">
        <f ca="1">IFERROR(__xludf.DUMMYFUNCTION("IFERROR(ARRAYFORMULA(REGEXEXTRACT(C9688,""^(?:https?:\/\/)?(?:[^@\n]+@)?(?:www\.)?([^:\/\n]+)"")),"""")"),"truelocal.com.au")</f>
        <v>truelocal.com.au</v>
      </c>
      <c r="E9688" s="26" t="str">
        <f ca="1">IFERROR(__xludf.DUMMYFUNCTION("""COMPUTED_VALUE"""),"New")</f>
        <v>New</v>
      </c>
      <c r="F9688" s="72">
        <v>79</v>
      </c>
      <c r="G9688" s="72">
        <v>28739</v>
      </c>
    </row>
    <row r="9689" spans="1:7" ht="14.5">
      <c r="A9689" s="3" t="s">
        <v>9115</v>
      </c>
      <c r="B9689" s="12" t="s">
        <v>2902</v>
      </c>
      <c r="C9689" s="46" t="s">
        <v>9681</v>
      </c>
      <c r="D9689" s="41" t="str">
        <f ca="1">IFERROR(__xludf.DUMMYFUNCTION("IFERROR(ARRAYFORMULA(REGEXEXTRACT(C9689,""^(?:https?:\/\/)?(?:[^@\n]+@)?(?:www\.)?([^:\/\n]+)"")),"""")"),"top4.com.au")</f>
        <v>top4.com.au</v>
      </c>
      <c r="E9689" s="26" t="str">
        <f ca="1">IFERROR(__xludf.DUMMYFUNCTION("""COMPUTED_VALUE"""),"New")</f>
        <v>New</v>
      </c>
      <c r="F9689" s="72">
        <v>47</v>
      </c>
      <c r="G9689" s="72">
        <v>4303</v>
      </c>
    </row>
    <row r="9690" spans="1:7" ht="14.5">
      <c r="A9690" s="3" t="s">
        <v>9115</v>
      </c>
      <c r="B9690" s="12" t="s">
        <v>2902</v>
      </c>
      <c r="C9690" s="46" t="s">
        <v>9682</v>
      </c>
      <c r="D9690" s="41" t="str">
        <f ca="1">IFERROR(__xludf.DUMMYFUNCTION("IFERROR(ARRAYFORMULA(REGEXEXTRACT(C9690,""^(?:https?:\/\/)?(?:[^@\n]+@)?(?:www\.)?([^:\/\n]+)"")),"""")"),"4.bing.com")</f>
        <v>4.bing.com</v>
      </c>
      <c r="E9690" s="26" t="str">
        <f ca="1">IFERROR(__xludf.DUMMYFUNCTION("""COMPUTED_VALUE"""),"New")</f>
        <v>New</v>
      </c>
      <c r="F9690" s="72">
        <v>93</v>
      </c>
      <c r="G9690" s="72">
        <v>14799014</v>
      </c>
    </row>
    <row r="9691" spans="1:7" ht="14.5" hidden="1">
      <c r="A9691" s="3" t="s">
        <v>9115</v>
      </c>
      <c r="B9691" s="12" t="s">
        <v>2902</v>
      </c>
      <c r="C9691" s="46" t="s">
        <v>9683</v>
      </c>
      <c r="D9691" s="41" t="str">
        <f ca="1">IFERROR(__xludf.DUMMYFUNCTION("IFERROR(ARRAYFORMULA(REGEXEXTRACT(C9691,""^(?:https?:\/\/)?(?:[^@\n]+@)?(?:www\.)?([^:\/\n]+)"")),"""")"),"mytunbridgewells.com")</f>
        <v>mytunbridgewells.com</v>
      </c>
      <c r="E9691" s="26" t="str">
        <f ca="1">IFERROR(__xludf.DUMMYFUNCTION("""COMPUTED_VALUE"""),"Already Exists")</f>
        <v>Already Exists</v>
      </c>
      <c r="F9691" s="72">
        <v>37</v>
      </c>
      <c r="G9691" s="72">
        <v>4649</v>
      </c>
    </row>
    <row r="9692" spans="1:7" ht="14.5">
      <c r="A9692" s="3" t="s">
        <v>9115</v>
      </c>
      <c r="B9692" s="12" t="s">
        <v>2902</v>
      </c>
      <c r="C9692" s="46" t="s">
        <v>9684</v>
      </c>
      <c r="D9692" s="41" t="str">
        <f ca="1">IFERROR(__xludf.DUMMYFUNCTION("IFERROR(ARRAYFORMULA(REGEXEXTRACT(C9692,""^(?:https?:\/\/)?(?:[^@\n]+@)?(?:www\.)?([^:\/\n]+)"")),"""")"),"bloglovin.com")</f>
        <v>bloglovin.com</v>
      </c>
      <c r="E9692" s="26" t="str">
        <f ca="1">IFERROR(__xludf.DUMMYFUNCTION("""COMPUTED_VALUE"""),"New")</f>
        <v>New</v>
      </c>
      <c r="F9692" s="72">
        <v>86</v>
      </c>
      <c r="G9692" s="72">
        <v>1971</v>
      </c>
    </row>
    <row r="9693" spans="1:7" ht="14.5" hidden="1">
      <c r="A9693" s="3" t="s">
        <v>9115</v>
      </c>
      <c r="B9693" s="12" t="s">
        <v>2902</v>
      </c>
      <c r="C9693" s="46" t="s">
        <v>9685</v>
      </c>
      <c r="D9693" s="41" t="str">
        <f ca="1">IFERROR(__xludf.DUMMYFUNCTION("IFERROR(ARRAYFORMULA(REGEXEXTRACT(C9693,""^(?:https?:\/\/)?(?:[^@\n]+@)?(?:www\.)?([^:\/\n]+)"")),"""")"),"bitrebels.com")</f>
        <v>bitrebels.com</v>
      </c>
      <c r="E9693" s="26" t="str">
        <f ca="1">IFERROR(__xludf.DUMMYFUNCTION("""COMPUTED_VALUE"""),"Already Exists")</f>
        <v>Already Exists</v>
      </c>
      <c r="F9693" s="72">
        <v>70</v>
      </c>
      <c r="G9693" s="72">
        <v>1101</v>
      </c>
    </row>
    <row r="9694" spans="1:7" ht="14.5" hidden="1">
      <c r="A9694" s="3" t="s">
        <v>9115</v>
      </c>
      <c r="B9694" s="12" t="s">
        <v>2902</v>
      </c>
      <c r="C9694" s="46" t="s">
        <v>9686</v>
      </c>
      <c r="D9694" s="41" t="str">
        <f ca="1">IFERROR(__xludf.DUMMYFUNCTION("IFERROR(ARRAYFORMULA(REGEXEXTRACT(C9694,""^(?:https?:\/\/)?(?:[^@\n]+@)?(?:www\.)?([^:\/\n]+)"")),"""")"),"pick-kart.com")</f>
        <v>pick-kart.com</v>
      </c>
      <c r="E9694" s="26" t="str">
        <f ca="1">IFERROR(__xludf.DUMMYFUNCTION("""COMPUTED_VALUE"""),"Already Exists")</f>
        <v>Already Exists</v>
      </c>
      <c r="F9694" s="72">
        <v>33</v>
      </c>
      <c r="G9694" s="72">
        <v>25891</v>
      </c>
    </row>
    <row r="9695" spans="1:7" ht="14.5">
      <c r="A9695" s="3" t="s">
        <v>9115</v>
      </c>
      <c r="B9695" s="12" t="s">
        <v>2902</v>
      </c>
      <c r="C9695" s="46" t="s">
        <v>9687</v>
      </c>
      <c r="D9695" s="41" t="str">
        <f ca="1">IFERROR(__xludf.DUMMYFUNCTION("IFERROR(ARRAYFORMULA(REGEXEXTRACT(C9695,""^(?:https?:\/\/)?(?:[^@\n]+@)?(?:www\.)?([^:\/\n]+)"")),"""")"),"subdomainfinder.c99.nl")</f>
        <v>subdomainfinder.c99.nl</v>
      </c>
      <c r="E9695" s="26" t="str">
        <f ca="1">IFERROR(__xludf.DUMMYFUNCTION("""COMPUTED_VALUE"""),"New")</f>
        <v>New</v>
      </c>
      <c r="F9695" s="72">
        <v>48</v>
      </c>
      <c r="G9695" s="72">
        <v>37074</v>
      </c>
    </row>
    <row r="9696" spans="1:7" ht="14.5" hidden="1">
      <c r="A9696" s="3" t="s">
        <v>9115</v>
      </c>
      <c r="B9696" s="12" t="s">
        <v>2902</v>
      </c>
      <c r="C9696" s="46" t="s">
        <v>9688</v>
      </c>
      <c r="D9696" s="41" t="str">
        <f ca="1">IFERROR(__xludf.DUMMYFUNCTION("IFERROR(ARRAYFORMULA(REGEXEXTRACT(C9696,""^(?:https?:\/\/)?(?:[^@\n]+@)?(?:www\.)?([^:\/\n]+)"")),"""")"),"articlesfactory.com")</f>
        <v>articlesfactory.com</v>
      </c>
      <c r="E9696" s="26" t="str">
        <f ca="1">IFERROR(__xludf.DUMMYFUNCTION("""COMPUTED_VALUE"""),"Already Exists")</f>
        <v>Already Exists</v>
      </c>
      <c r="F9696" s="72">
        <v>73</v>
      </c>
      <c r="G9696" s="72">
        <v>2353</v>
      </c>
    </row>
    <row r="9697" spans="1:7" ht="14.5" hidden="1">
      <c r="A9697" s="3" t="s">
        <v>9115</v>
      </c>
      <c r="B9697" s="12" t="s">
        <v>2902</v>
      </c>
      <c r="C9697" s="46" t="s">
        <v>9689</v>
      </c>
      <c r="D9697" s="41" t="str">
        <f ca="1">IFERROR(__xludf.DUMMYFUNCTION("IFERROR(ARRAYFORMULA(REGEXEXTRACT(C9697,""^(?:https?:\/\/)?(?:[^@\n]+@)?(?:www\.)?([^:\/\n]+)"")),"""")"),"thehometrotters.com")</f>
        <v>thehometrotters.com</v>
      </c>
      <c r="E9697" s="26" t="str">
        <f ca="1">IFERROR(__xludf.DUMMYFUNCTION("""COMPUTED_VALUE"""),"Already Exists")</f>
        <v>Already Exists</v>
      </c>
      <c r="F9697" s="72">
        <v>71</v>
      </c>
      <c r="G9697" s="72">
        <v>20810</v>
      </c>
    </row>
    <row r="9698" spans="1:7" ht="14.5">
      <c r="A9698" s="3" t="s">
        <v>9115</v>
      </c>
      <c r="B9698" s="12" t="s">
        <v>2902</v>
      </c>
      <c r="C9698" s="46" t="s">
        <v>9690</v>
      </c>
      <c r="D9698" s="41" t="str">
        <f ca="1">IFERROR(__xludf.DUMMYFUNCTION("IFERROR(ARRAYFORMULA(REGEXEXTRACT(C9698,""^(?:https?:\/\/)?(?:[^@\n]+@)?(?:www\.)?([^:\/\n]+)"")),"""")"),"hometriangle.com")</f>
        <v>hometriangle.com</v>
      </c>
      <c r="E9698" s="26" t="str">
        <f ca="1">IFERROR(__xludf.DUMMYFUNCTION("""COMPUTED_VALUE"""),"New")</f>
        <v>New</v>
      </c>
      <c r="F9698" s="72">
        <v>47</v>
      </c>
      <c r="G9698" s="72">
        <v>105309</v>
      </c>
    </row>
    <row r="9699" spans="1:7" ht="14.5">
      <c r="A9699" s="3" t="s">
        <v>9115</v>
      </c>
      <c r="B9699" s="12" t="s">
        <v>2902</v>
      </c>
      <c r="C9699" s="46" t="s">
        <v>9691</v>
      </c>
      <c r="D9699" s="41" t="str">
        <f ca="1">IFERROR(__xludf.DUMMYFUNCTION("IFERROR(ARRAYFORMULA(REGEXEXTRACT(C9699,""^(?:https?:\/\/)?(?:[^@\n]+@)?(?:www\.)?([^:\/\n]+)"")),"""")"),"directory.coldlytics.com")</f>
        <v>directory.coldlytics.com</v>
      </c>
      <c r="E9699" s="26" t="str">
        <f ca="1">IFERROR(__xludf.DUMMYFUNCTION("""COMPUTED_VALUE"""),"New")</f>
        <v>New</v>
      </c>
      <c r="F9699" s="72">
        <v>31</v>
      </c>
      <c r="G9699" s="72">
        <v>4674</v>
      </c>
    </row>
    <row r="9700" spans="1:7" ht="14.5">
      <c r="A9700" s="3" t="s">
        <v>9115</v>
      </c>
      <c r="B9700" s="12" t="s">
        <v>2902</v>
      </c>
      <c r="C9700" s="46" t="s">
        <v>9692</v>
      </c>
      <c r="D9700" s="41" t="str">
        <f ca="1">IFERROR(__xludf.DUMMYFUNCTION("IFERROR(ARRAYFORMULA(REGEXEXTRACT(C9700,""^(?:https?:\/\/)?(?:[^@\n]+@)?(?:www\.)?([^:\/\n]+)"")),"""")"),"fastbase.com")</f>
        <v>fastbase.com</v>
      </c>
      <c r="E9700" s="26" t="str">
        <f ca="1">IFERROR(__xludf.DUMMYFUNCTION("""COMPUTED_VALUE"""),"New")</f>
        <v>New</v>
      </c>
      <c r="F9700" s="72">
        <v>46</v>
      </c>
      <c r="G9700" s="72">
        <v>1186</v>
      </c>
    </row>
    <row r="9701" spans="1:7" ht="14.5" hidden="1">
      <c r="A9701" s="3" t="s">
        <v>9115</v>
      </c>
      <c r="B9701" s="12" t="s">
        <v>2902</v>
      </c>
      <c r="C9701" s="46" t="s">
        <v>9693</v>
      </c>
      <c r="D9701" s="41" t="str">
        <f ca="1">IFERROR(__xludf.DUMMYFUNCTION("IFERROR(ARRAYFORMULA(REGEXEXTRACT(C9701,""^(?:https?:\/\/)?(?:[^@\n]+@)?(?:www\.)?([^:\/\n]+)"")),"""")"),"urbansplatter.com")</f>
        <v>urbansplatter.com</v>
      </c>
      <c r="E9701" s="26" t="str">
        <f ca="1">IFERROR(__xludf.DUMMYFUNCTION("""COMPUTED_VALUE"""),"Already Exists")</f>
        <v>Already Exists</v>
      </c>
      <c r="F9701" s="72">
        <v>64</v>
      </c>
      <c r="G9701" s="72">
        <v>24225</v>
      </c>
    </row>
    <row r="9702" spans="1:7" ht="14.5">
      <c r="A9702" s="3" t="s">
        <v>9115</v>
      </c>
      <c r="B9702" s="12" t="s">
        <v>2902</v>
      </c>
      <c r="C9702" s="46" t="s">
        <v>9694</v>
      </c>
      <c r="D9702" s="41" t="str">
        <f ca="1">IFERROR(__xludf.DUMMYFUNCTION("IFERROR(ARRAYFORMULA(REGEXEXTRACT(C9702,""^(?:https?:\/\/)?(?:[^@\n]+@)?(?:www\.)?([^:\/\n]+)"")),"""")"),"kulfiy.com")</f>
        <v>kulfiy.com</v>
      </c>
      <c r="E9702" s="26" t="str">
        <f ca="1">IFERROR(__xludf.DUMMYFUNCTION("""COMPUTED_VALUE"""),"New")</f>
        <v>New</v>
      </c>
      <c r="F9702" s="72">
        <v>60</v>
      </c>
      <c r="G9702" s="72">
        <v>45848</v>
      </c>
    </row>
    <row r="9703" spans="1:7" ht="14.5">
      <c r="A9703" s="3" t="s">
        <v>9115</v>
      </c>
      <c r="B9703" s="17" t="s">
        <v>2891</v>
      </c>
      <c r="C9703" s="46" t="s">
        <v>9695</v>
      </c>
      <c r="D9703" s="41" t="str">
        <f ca="1">IFERROR(__xludf.DUMMYFUNCTION("IFERROR(ARRAYFORMULA(REGEXEXTRACT(C9703,""^(?:https?:\/\/)?(?:[^@\n]+@)?(?:www\.)?([^:\/\n]+)"")),"""")"),"blog.be.live")</f>
        <v>blog.be.live</v>
      </c>
      <c r="E9703" s="26" t="str">
        <f ca="1">IFERROR(__xludf.DUMMYFUNCTION("""COMPUTED_VALUE"""),"New")</f>
        <v>New</v>
      </c>
      <c r="F9703" s="72">
        <v>67</v>
      </c>
      <c r="G9703" s="72">
        <v>6281</v>
      </c>
    </row>
    <row r="9704" spans="1:7" ht="14.5">
      <c r="A9704" s="3" t="s">
        <v>9115</v>
      </c>
      <c r="B9704" s="12" t="s">
        <v>2891</v>
      </c>
      <c r="C9704" s="46" t="s">
        <v>9696</v>
      </c>
      <c r="D9704" s="41" t="str">
        <f ca="1">IFERROR(__xludf.DUMMYFUNCTION("IFERROR(ARRAYFORMULA(REGEXEXTRACT(C9704,""^(?:https?:\/\/)?(?:[^@\n]+@)?(?:www\.)?([^:\/\n]+)"")),"""")"),"bigoxprinting.com")</f>
        <v>bigoxprinting.com</v>
      </c>
      <c r="E9704" s="26" t="str">
        <f ca="1">IFERROR(__xludf.DUMMYFUNCTION("""COMPUTED_VALUE"""),"New")</f>
        <v>New</v>
      </c>
      <c r="F9704" s="72">
        <v>33</v>
      </c>
      <c r="G9704" s="72">
        <v>2073</v>
      </c>
    </row>
    <row r="9705" spans="1:7" ht="14.5">
      <c r="A9705" s="3" t="s">
        <v>9115</v>
      </c>
      <c r="B9705" s="12" t="s">
        <v>2891</v>
      </c>
      <c r="C9705" s="46" t="s">
        <v>9697</v>
      </c>
      <c r="D9705" s="41" t="str">
        <f ca="1">IFERROR(__xludf.DUMMYFUNCTION("IFERROR(ARRAYFORMULA(REGEXEXTRACT(C9705,""^(?:https?:\/\/)?(?:[^@\n]+@)?(?:www\.)?([^:\/\n]+)"")),"""")"),"rent.com")</f>
        <v>rent.com</v>
      </c>
      <c r="E9705" s="26" t="str">
        <f ca="1">IFERROR(__xludf.DUMMYFUNCTION("""COMPUTED_VALUE"""),"New")</f>
        <v>New</v>
      </c>
      <c r="F9705" s="72">
        <v>80</v>
      </c>
      <c r="G9705" s="72">
        <v>935117</v>
      </c>
    </row>
    <row r="9706" spans="1:7" ht="14.5">
      <c r="A9706" s="3" t="s">
        <v>9115</v>
      </c>
      <c r="B9706" s="12" t="s">
        <v>2891</v>
      </c>
      <c r="C9706" s="46" t="s">
        <v>9698</v>
      </c>
      <c r="D9706" s="41" t="str">
        <f ca="1">IFERROR(__xludf.DUMMYFUNCTION("IFERROR(ARRAYFORMULA(REGEXEXTRACT(C9706,""^(?:https?:\/\/)?(?:[^@\n]+@)?(?:www\.)?([^:\/\n]+)"")),"""")"),"decorious.com")</f>
        <v>decorious.com</v>
      </c>
      <c r="E9706" s="26" t="str">
        <f ca="1">IFERROR(__xludf.DUMMYFUNCTION("""COMPUTED_VALUE"""),"New")</f>
        <v>New</v>
      </c>
      <c r="F9706" s="72">
        <v>20</v>
      </c>
      <c r="G9706" s="72">
        <v>4012</v>
      </c>
    </row>
    <row r="9707" spans="1:7" ht="14.5">
      <c r="A9707" s="3" t="s">
        <v>9115</v>
      </c>
      <c r="B9707" s="12" t="s">
        <v>2891</v>
      </c>
      <c r="C9707" s="46" t="s">
        <v>9699</v>
      </c>
      <c r="D9707" s="41" t="str">
        <f ca="1">IFERROR(__xludf.DUMMYFUNCTION("IFERROR(ARRAYFORMULA(REGEXEXTRACT(C9707,""^(?:https?:\/\/)?(?:[^@\n]+@)?(?:www\.)?([^:\/\n]+)"")),"""")"),"thortful.com")</f>
        <v>thortful.com</v>
      </c>
      <c r="E9707" s="26" t="str">
        <f ca="1">IFERROR(__xludf.DUMMYFUNCTION("""COMPUTED_VALUE"""),"New")</f>
        <v>New</v>
      </c>
      <c r="F9707" s="72">
        <v>70</v>
      </c>
      <c r="G9707" s="72">
        <v>640888</v>
      </c>
    </row>
    <row r="9708" spans="1:7" ht="14.5">
      <c r="A9708" s="3" t="s">
        <v>9115</v>
      </c>
      <c r="B9708" s="12" t="s">
        <v>2891</v>
      </c>
      <c r="C9708" s="46" t="s">
        <v>9700</v>
      </c>
      <c r="D9708" s="41" t="str">
        <f ca="1">IFERROR(__xludf.DUMMYFUNCTION("IFERROR(ARRAYFORMULA(REGEXEXTRACT(C9708,""^(?:https?:\/\/)?(?:[^@\n]+@)?(?:www\.)?([^:\/\n]+)"")),"""")"),"decoist.com")</f>
        <v>decoist.com</v>
      </c>
      <c r="E9708" s="26" t="str">
        <f ca="1">IFERROR(__xludf.DUMMYFUNCTION("""COMPUTED_VALUE"""),"New")</f>
        <v>New</v>
      </c>
      <c r="F9708" s="72">
        <v>73</v>
      </c>
      <c r="G9708" s="72">
        <v>4080</v>
      </c>
    </row>
    <row r="9709" spans="1:7" ht="14.5">
      <c r="A9709" s="3" t="s">
        <v>9115</v>
      </c>
      <c r="B9709" s="12" t="s">
        <v>2891</v>
      </c>
      <c r="C9709" s="46" t="s">
        <v>9701</v>
      </c>
      <c r="D9709" s="41" t="str">
        <f ca="1">IFERROR(__xludf.DUMMYFUNCTION("IFERROR(ARRAYFORMULA(REGEXEXTRACT(C9709,""^(?:https?:\/\/)?(?:[^@\n]+@)?(?:www\.)?([^:\/\n]+)"")),"""")"),"lazzoni.com")</f>
        <v>lazzoni.com</v>
      </c>
      <c r="E9709" s="26" t="str">
        <f ca="1">IFERROR(__xludf.DUMMYFUNCTION("""COMPUTED_VALUE"""),"New")</f>
        <v>New</v>
      </c>
      <c r="F9709" s="72">
        <v>47</v>
      </c>
      <c r="G9709" s="72">
        <v>20060</v>
      </c>
    </row>
    <row r="9710" spans="1:7" ht="14.5">
      <c r="A9710" s="3" t="s">
        <v>9115</v>
      </c>
      <c r="B9710" s="12" t="s">
        <v>2891</v>
      </c>
      <c r="C9710" s="46" t="s">
        <v>9702</v>
      </c>
      <c r="D9710" s="41" t="str">
        <f ca="1">IFERROR(__xludf.DUMMYFUNCTION("IFERROR(ARRAYFORMULA(REGEXEXTRACT(C9710,""^(?:https?:\/\/)?(?:[^@\n]+@)?(?:www\.)?([^:\/\n]+)"")),"""")"),"georgestreetphoto.com")</f>
        <v>georgestreetphoto.com</v>
      </c>
      <c r="E9710" s="26" t="str">
        <f ca="1">IFERROR(__xludf.DUMMYFUNCTION("""COMPUTED_VALUE"""),"New")</f>
        <v>New</v>
      </c>
      <c r="F9710" s="72">
        <v>53</v>
      </c>
      <c r="G9710" s="72">
        <v>8519</v>
      </c>
    </row>
    <row r="9711" spans="1:7" ht="14.5">
      <c r="A9711" s="3" t="s">
        <v>9115</v>
      </c>
      <c r="B9711" s="12" t="s">
        <v>2891</v>
      </c>
      <c r="C9711" s="46" t="s">
        <v>9703</v>
      </c>
      <c r="D9711" s="41" t="str">
        <f ca="1">IFERROR(__xludf.DUMMYFUNCTION("IFERROR(ARRAYFORMULA(REGEXEXTRACT(C9711,""^(?:https?:\/\/)?(?:[^@\n]+@)?(?:www\.)?([^:\/\n]+)"")),"""")"),"ctolighting.co.uk")</f>
        <v>ctolighting.co.uk</v>
      </c>
      <c r="E9711" s="26" t="str">
        <f ca="1">IFERROR(__xludf.DUMMYFUNCTION("""COMPUTED_VALUE"""),"New")</f>
        <v>New</v>
      </c>
      <c r="F9711" s="72">
        <v>50</v>
      </c>
      <c r="G9711" s="72">
        <v>2375</v>
      </c>
    </row>
    <row r="9712" spans="1:7" ht="14.5">
      <c r="A9712" s="3" t="s">
        <v>9115</v>
      </c>
      <c r="B9712" s="12" t="s">
        <v>2891</v>
      </c>
      <c r="C9712" s="46" t="s">
        <v>9704</v>
      </c>
      <c r="D9712" s="41" t="str">
        <f ca="1">IFERROR(__xludf.DUMMYFUNCTION("IFERROR(ARRAYFORMULA(REGEXEXTRACT(C9712,""^(?:https?:\/\/)?(?:[^@\n]+@)?(?:www\.)?([^:\/\n]+)"")),"""")"),"webinopoly.com")</f>
        <v>webinopoly.com</v>
      </c>
      <c r="E9712" s="26" t="str">
        <f ca="1">IFERROR(__xludf.DUMMYFUNCTION("""COMPUTED_VALUE"""),"New")</f>
        <v>New</v>
      </c>
      <c r="F9712" s="72">
        <v>52</v>
      </c>
      <c r="G9712" s="72">
        <v>2920</v>
      </c>
    </row>
    <row r="9713" spans="1:7" ht="14.5">
      <c r="A9713" s="3" t="s">
        <v>9115</v>
      </c>
      <c r="B9713" s="12" t="s">
        <v>2891</v>
      </c>
      <c r="C9713" s="46" t="s">
        <v>9705</v>
      </c>
      <c r="D9713" s="41" t="str">
        <f ca="1">IFERROR(__xludf.DUMMYFUNCTION("IFERROR(ARRAYFORMULA(REGEXEXTRACT(C9713,""^(?:https?:\/\/)?(?:[^@\n]+@)?(?:www\.)?([^:\/\n]+)"")),"""")"),"thegoodwebguide.co.uk")</f>
        <v>thegoodwebguide.co.uk</v>
      </c>
      <c r="E9713" s="26" t="str">
        <f ca="1">IFERROR(__xludf.DUMMYFUNCTION("""COMPUTED_VALUE"""),"New")</f>
        <v>New</v>
      </c>
      <c r="F9713" s="72">
        <v>52</v>
      </c>
      <c r="G9713" s="72">
        <v>11143</v>
      </c>
    </row>
    <row r="9714" spans="1:7" ht="14.5">
      <c r="A9714" s="3" t="s">
        <v>9115</v>
      </c>
      <c r="B9714" s="12" t="s">
        <v>2891</v>
      </c>
      <c r="C9714" s="46" t="s">
        <v>9706</v>
      </c>
      <c r="D9714" s="41" t="str">
        <f ca="1">IFERROR(__xludf.DUMMYFUNCTION("IFERROR(ARRAYFORMULA(REGEXEXTRACT(C9714,""^(?:https?:\/\/)?(?:[^@\n]+@)?(?:www\.)?([^:\/\n]+)"")),"""")"),"lofficielusa.com")</f>
        <v>lofficielusa.com</v>
      </c>
      <c r="E9714" s="26" t="str">
        <f ca="1">IFERROR(__xludf.DUMMYFUNCTION("""COMPUTED_VALUE"""),"New")</f>
        <v>New</v>
      </c>
      <c r="F9714" s="72">
        <v>75</v>
      </c>
      <c r="G9714" s="72">
        <v>210951</v>
      </c>
    </row>
    <row r="9715" spans="1:7" ht="14.5">
      <c r="A9715" s="3" t="s">
        <v>9115</v>
      </c>
      <c r="B9715" s="12" t="s">
        <v>2891</v>
      </c>
      <c r="C9715" s="46" t="s">
        <v>9707</v>
      </c>
      <c r="D9715" s="41" t="str">
        <f ca="1">IFERROR(__xludf.DUMMYFUNCTION("IFERROR(ARRAYFORMULA(REGEXEXTRACT(C9715,""^(?:https?:\/\/)?(?:[^@\n]+@)?(?:www\.)?([^:\/\n]+)"")),"""")"),"sokahome.com")</f>
        <v>sokahome.com</v>
      </c>
      <c r="E9715" s="26" t="str">
        <f ca="1">IFERROR(__xludf.DUMMYFUNCTION("""COMPUTED_VALUE"""),"New")</f>
        <v>New</v>
      </c>
      <c r="F9715" s="72">
        <v>34</v>
      </c>
      <c r="G9715" s="72">
        <v>5347</v>
      </c>
    </row>
    <row r="9716" spans="1:7" ht="14.5">
      <c r="A9716" s="3" t="s">
        <v>9115</v>
      </c>
      <c r="B9716" s="12" t="s">
        <v>2891</v>
      </c>
      <c r="C9716" s="46" t="s">
        <v>9708</v>
      </c>
      <c r="D9716" s="41" t="str">
        <f ca="1">IFERROR(__xludf.DUMMYFUNCTION("IFERROR(ARRAYFORMULA(REGEXEXTRACT(C9716,""^(?:https?:\/\/)?(?:[^@\n]+@)?(?:www\.)?([^:\/\n]+)"")),"""")"),"steellightingco.com")</f>
        <v>steellightingco.com</v>
      </c>
      <c r="E9716" s="26" t="str">
        <f ca="1">IFERROR(__xludf.DUMMYFUNCTION("""COMPUTED_VALUE"""),"New")</f>
        <v>New</v>
      </c>
      <c r="F9716" s="72">
        <v>67</v>
      </c>
      <c r="G9716" s="72">
        <v>17198</v>
      </c>
    </row>
    <row r="9717" spans="1:7" ht="14.5">
      <c r="A9717" s="3" t="s">
        <v>9115</v>
      </c>
      <c r="B9717" s="12" t="s">
        <v>2891</v>
      </c>
      <c r="C9717" s="46" t="s">
        <v>9709</v>
      </c>
      <c r="D9717" s="41" t="str">
        <f ca="1">IFERROR(__xludf.DUMMYFUNCTION("IFERROR(ARRAYFORMULA(REGEXEXTRACT(C9717,""^(?:https?:\/\/)?(?:[^@\n]+@)?(?:www\.)?([^:\/\n]+)"")),"""")"),"blog.society6.com")</f>
        <v>blog.society6.com</v>
      </c>
      <c r="E9717" s="26" t="str">
        <f ca="1">IFERROR(__xludf.DUMMYFUNCTION("""COMPUTED_VALUE"""),"New")</f>
        <v>New</v>
      </c>
      <c r="F9717" s="72">
        <v>88</v>
      </c>
      <c r="G9717" s="72">
        <v>276741</v>
      </c>
    </row>
    <row r="9718" spans="1:7" ht="14.5">
      <c r="A9718" s="3" t="s">
        <v>9115</v>
      </c>
      <c r="B9718" s="12" t="s">
        <v>2891</v>
      </c>
      <c r="C9718" s="46" t="s">
        <v>9710</v>
      </c>
      <c r="D9718" s="41" t="str">
        <f ca="1">IFERROR(__xludf.DUMMYFUNCTION("IFERROR(ARRAYFORMULA(REGEXEXTRACT(C9718,""^(?:https?:\/\/)?(?:[^@\n]+@)?(?:www\.)?([^:\/\n]+)"")),"""")"),"thegentlemansjournal.com")</f>
        <v>thegentlemansjournal.com</v>
      </c>
      <c r="E9718" s="26" t="str">
        <f ca="1">IFERROR(__xludf.DUMMYFUNCTION("""COMPUTED_VALUE"""),"New")</f>
        <v>New</v>
      </c>
      <c r="F9718" s="72">
        <v>72</v>
      </c>
      <c r="G9718" s="72">
        <v>83230</v>
      </c>
    </row>
    <row r="9719" spans="1:7" ht="14.5">
      <c r="A9719" s="3" t="s">
        <v>9115</v>
      </c>
      <c r="B9719" s="12" t="s">
        <v>2891</v>
      </c>
      <c r="C9719" s="46" t="s">
        <v>9711</v>
      </c>
      <c r="D9719" s="41" t="str">
        <f ca="1">IFERROR(__xludf.DUMMYFUNCTION("IFERROR(ARRAYFORMULA(REGEXEXTRACT(C9719,""^(?:https?:\/\/)?(?:[^@\n]+@)?(?:www\.)?([^:\/\n]+)"")),"""")"),"elledecoration.co.uk")</f>
        <v>elledecoration.co.uk</v>
      </c>
      <c r="E9719" s="26" t="str">
        <f ca="1">IFERROR(__xludf.DUMMYFUNCTION("""COMPUTED_VALUE"""),"New")</f>
        <v>New</v>
      </c>
      <c r="F9719" s="72">
        <v>72</v>
      </c>
      <c r="G9719" s="72">
        <v>15512</v>
      </c>
    </row>
    <row r="9720" spans="1:7" ht="14.5">
      <c r="A9720" s="3" t="s">
        <v>9115</v>
      </c>
      <c r="B9720" s="12" t="s">
        <v>2891</v>
      </c>
      <c r="C9720" s="46" t="s">
        <v>9712</v>
      </c>
      <c r="D9720" s="41" t="str">
        <f ca="1">IFERROR(__xludf.DUMMYFUNCTION("IFERROR(ARRAYFORMULA(REGEXEXTRACT(C9720,""^(?:https?:\/\/)?(?:[^@\n]+@)?(?:www\.)?([^:\/\n]+)"")),"""")"),"hollywoodmirrors.co.uk")</f>
        <v>hollywoodmirrors.co.uk</v>
      </c>
      <c r="E9720" s="26" t="str">
        <f ca="1">IFERROR(__xludf.DUMMYFUNCTION("""COMPUTED_VALUE"""),"New")</f>
        <v>New</v>
      </c>
      <c r="F9720" s="72">
        <v>50</v>
      </c>
      <c r="G9720" s="72">
        <v>30126</v>
      </c>
    </row>
    <row r="9721" spans="1:7" ht="14.5" hidden="1">
      <c r="A9721" s="3" t="s">
        <v>9115</v>
      </c>
      <c r="B9721" s="12" t="s">
        <v>2891</v>
      </c>
      <c r="C9721" s="46" t="s">
        <v>9713</v>
      </c>
      <c r="D9721" s="41" t="str">
        <f ca="1">IFERROR(__xludf.DUMMYFUNCTION("IFERROR(ARRAYFORMULA(REGEXEXTRACT(C9721,""^(?:https?:\/\/)?(?:[^@\n]+@)?(?:www\.)?([^:\/\n]+)"")),"""")"),"re-thinkingthefuture.com")</f>
        <v>re-thinkingthefuture.com</v>
      </c>
      <c r="E9721" s="26" t="str">
        <f ca="1">IFERROR(__xludf.DUMMYFUNCTION("""COMPUTED_VALUE"""),"Already Exists")</f>
        <v>Already Exists</v>
      </c>
      <c r="F9721" s="72">
        <v>75</v>
      </c>
      <c r="G9721" s="72">
        <v>145313</v>
      </c>
    </row>
    <row r="9722" spans="1:7" ht="14.5">
      <c r="A9722" s="3" t="s">
        <v>9115</v>
      </c>
      <c r="B9722" s="12" t="s">
        <v>2891</v>
      </c>
      <c r="C9722" s="46" t="s">
        <v>9714</v>
      </c>
      <c r="D9722" s="41" t="str">
        <f ca="1">IFERROR(__xludf.DUMMYFUNCTION("IFERROR(ARRAYFORMULA(REGEXEXTRACT(C9722,""^(?:https?:\/\/)?(?:[^@\n]+@)?(?:www\.)?([^:\/\n]+)"")),"""")"),"luxxu.net")</f>
        <v>luxxu.net</v>
      </c>
      <c r="E9722" s="26" t="str">
        <f ca="1">IFERROR(__xludf.DUMMYFUNCTION("""COMPUTED_VALUE"""),"New")</f>
        <v>New</v>
      </c>
      <c r="F9722" s="72">
        <v>51</v>
      </c>
      <c r="G9722" s="72">
        <v>1623</v>
      </c>
    </row>
    <row r="9723" spans="1:7" ht="14.5">
      <c r="A9723" s="3" t="s">
        <v>9115</v>
      </c>
      <c r="B9723" s="12" t="s">
        <v>2891</v>
      </c>
      <c r="C9723" s="46" t="s">
        <v>9715</v>
      </c>
      <c r="D9723" s="41" t="str">
        <f ca="1">IFERROR(__xludf.DUMMYFUNCTION("IFERROR(ARRAYFORMULA(REGEXEXTRACT(C9723,""^(?:https?:\/\/)?(?:[^@\n]+@)?(?:www\.)?([^:\/\n]+)"")),"""")"),"giftex.in")</f>
        <v>giftex.in</v>
      </c>
      <c r="E9723" s="26" t="str">
        <f ca="1">IFERROR(__xludf.DUMMYFUNCTION("""COMPUTED_VALUE"""),"New")</f>
        <v>New</v>
      </c>
      <c r="F9723" s="72">
        <v>28</v>
      </c>
      <c r="G9723" s="72">
        <v>1123</v>
      </c>
    </row>
    <row r="9724" spans="1:7" ht="14.5">
      <c r="A9724" s="3" t="s">
        <v>9115</v>
      </c>
      <c r="B9724" s="12" t="s">
        <v>2891</v>
      </c>
      <c r="C9724" s="46" t="s">
        <v>9716</v>
      </c>
      <c r="D9724" s="41" t="str">
        <f ca="1">IFERROR(__xludf.DUMMYFUNCTION("IFERROR(ARRAYFORMULA(REGEXEXTRACT(C9724,""^(?:https?:\/\/)?(?:[^@\n]+@)?(?:www\.)?([^:\/\n]+)"")),"""")"),"blog.canadianloghomes.com")</f>
        <v>blog.canadianloghomes.com</v>
      </c>
      <c r="E9724" s="26" t="str">
        <f ca="1">IFERROR(__xludf.DUMMYFUNCTION("""COMPUTED_VALUE"""),"New")</f>
        <v>New</v>
      </c>
      <c r="F9724" s="72">
        <v>48</v>
      </c>
      <c r="G9724" s="72">
        <v>1600</v>
      </c>
    </row>
    <row r="9725" spans="1:7" ht="14.5" hidden="1">
      <c r="A9725" s="3" t="s">
        <v>9115</v>
      </c>
      <c r="B9725" s="12" t="s">
        <v>2891</v>
      </c>
      <c r="C9725" s="46" t="s">
        <v>9717</v>
      </c>
      <c r="D9725" s="41" t="str">
        <f ca="1">IFERROR(__xludf.DUMMYFUNCTION("IFERROR(ARRAYFORMULA(REGEXEXTRACT(C9725,""^(?:https?:\/\/)?(?:[^@\n]+@)?(?:www\.)?([^:\/\n]+)"")),"""")"),"seasonsincolour.com")</f>
        <v>seasonsincolour.com</v>
      </c>
      <c r="E9725" s="26" t="str">
        <f ca="1">IFERROR(__xludf.DUMMYFUNCTION("""COMPUTED_VALUE"""),"Already Exists")</f>
        <v>Already Exists</v>
      </c>
      <c r="F9725" s="72">
        <v>54</v>
      </c>
      <c r="G9725" s="72">
        <v>1463</v>
      </c>
    </row>
    <row r="9726" spans="1:7" ht="14.5">
      <c r="A9726" s="3" t="s">
        <v>9115</v>
      </c>
      <c r="B9726" s="12" t="s">
        <v>2891</v>
      </c>
      <c r="C9726" s="46" t="s">
        <v>9718</v>
      </c>
      <c r="D9726" s="41" t="str">
        <f ca="1">IFERROR(__xludf.DUMMYFUNCTION("IFERROR(ARRAYFORMULA(REGEXEXTRACT(C9726,""^(?:https?:\/\/)?(?:[^@\n]+@)?(?:www\.)?([^:\/\n]+)"")),"""")"),"whytile.com")</f>
        <v>whytile.com</v>
      </c>
      <c r="E9726" s="26" t="str">
        <f ca="1">IFERROR(__xludf.DUMMYFUNCTION("""COMPUTED_VALUE"""),"New")</f>
        <v>New</v>
      </c>
      <c r="F9726" s="72">
        <v>60</v>
      </c>
      <c r="G9726" s="72">
        <v>13286</v>
      </c>
    </row>
    <row r="9727" spans="1:7" ht="14.5">
      <c r="A9727" s="3" t="s">
        <v>9115</v>
      </c>
      <c r="B9727" s="12" t="s">
        <v>2891</v>
      </c>
      <c r="C9727" s="46" t="s">
        <v>9719</v>
      </c>
      <c r="D9727" s="41" t="str">
        <f ca="1">IFERROR(__xludf.DUMMYFUNCTION("IFERROR(ARRAYFORMULA(REGEXEXTRACT(C9727,""^(?:https?:\/\/)?(?:[^@\n]+@)?(?:www\.)?([^:\/\n]+)"")),"""")"),"pourmore.com")</f>
        <v>pourmore.com</v>
      </c>
      <c r="E9727" s="26" t="str">
        <f ca="1">IFERROR(__xludf.DUMMYFUNCTION("""COMPUTED_VALUE"""),"New")</f>
        <v>New</v>
      </c>
      <c r="F9727" s="72">
        <v>27</v>
      </c>
      <c r="G9727" s="72">
        <v>1713</v>
      </c>
    </row>
    <row r="9728" spans="1:7" ht="14.5">
      <c r="A9728" s="3" t="s">
        <v>9115</v>
      </c>
      <c r="B9728" s="12" t="s">
        <v>2891</v>
      </c>
      <c r="C9728" s="46" t="s">
        <v>9720</v>
      </c>
      <c r="D9728" s="41" t="str">
        <f ca="1">IFERROR(__xludf.DUMMYFUNCTION("IFERROR(ARRAYFORMULA(REGEXEXTRACT(C9728,""^(?:https?:\/\/)?(?:[^@\n]+@)?(?:www\.)?([^:\/\n]+)"")),"""")"),"vincentvanduysen.com")</f>
        <v>vincentvanduysen.com</v>
      </c>
      <c r="E9728" s="26" t="str">
        <f ca="1">IFERROR(__xludf.DUMMYFUNCTION("""COMPUTED_VALUE"""),"New")</f>
        <v>New</v>
      </c>
      <c r="F9728" s="72">
        <v>54</v>
      </c>
      <c r="G9728" s="72">
        <v>6435</v>
      </c>
    </row>
    <row r="9729" spans="1:7" ht="14.5">
      <c r="A9729" s="3" t="s">
        <v>9115</v>
      </c>
      <c r="B9729" s="12" t="s">
        <v>2891</v>
      </c>
      <c r="C9729" s="46" t="s">
        <v>9721</v>
      </c>
      <c r="D9729" s="41" t="str">
        <f ca="1">IFERROR(__xludf.DUMMYFUNCTION("IFERROR(ARRAYFORMULA(REGEXEXTRACT(C9729,""^(?:https?:\/\/)?(?:[^@\n]+@)?(?:www\.)?([^:\/\n]+)"")),"""")"),"blog.comfort-works.com")</f>
        <v>blog.comfort-works.com</v>
      </c>
      <c r="E9729" s="26" t="str">
        <f ca="1">IFERROR(__xludf.DUMMYFUNCTION("""COMPUTED_VALUE"""),"New")</f>
        <v>New</v>
      </c>
      <c r="F9729" s="72">
        <v>43</v>
      </c>
      <c r="G9729" s="72">
        <v>42291</v>
      </c>
    </row>
    <row r="9730" spans="1:7" ht="14.5">
      <c r="A9730" s="3" t="s">
        <v>9115</v>
      </c>
      <c r="B9730" s="12" t="s">
        <v>2891</v>
      </c>
      <c r="C9730" s="46" t="s">
        <v>9722</v>
      </c>
      <c r="D9730" s="41" t="str">
        <f ca="1">IFERROR(__xludf.DUMMYFUNCTION("IFERROR(ARRAYFORMULA(REGEXEXTRACT(C9730,""^(?:https?:\/\/)?(?:[^@\n]+@)?(?:www\.)?([^:\/\n]+)"")),"""")"),"countryandtownhouse.com")</f>
        <v>countryandtownhouse.com</v>
      </c>
      <c r="E9730" s="26" t="str">
        <f ca="1">IFERROR(__xludf.DUMMYFUNCTION("""COMPUTED_VALUE"""),"New")</f>
        <v>New</v>
      </c>
      <c r="F9730" s="72">
        <v>75</v>
      </c>
      <c r="G9730" s="72">
        <v>95892</v>
      </c>
    </row>
    <row r="9731" spans="1:7" ht="14.5">
      <c r="A9731" s="3" t="s">
        <v>9115</v>
      </c>
      <c r="B9731" s="12" t="s">
        <v>2891</v>
      </c>
      <c r="C9731" s="46" t="s">
        <v>9723</v>
      </c>
      <c r="D9731" s="41" t="str">
        <f ca="1">IFERROR(__xludf.DUMMYFUNCTION("IFERROR(ARRAYFORMULA(REGEXEXTRACT(C9731,""^(?:https?:\/\/)?(?:[^@\n]+@)?(?:www\.)?([^:\/\n]+)"")),"""")"),"jancisrobinson.com")</f>
        <v>jancisrobinson.com</v>
      </c>
      <c r="E9731" s="26" t="str">
        <f ca="1">IFERROR(__xludf.DUMMYFUNCTION("""COMPUTED_VALUE"""),"New")</f>
        <v>New</v>
      </c>
      <c r="F9731" s="72">
        <v>75</v>
      </c>
      <c r="G9731" s="72">
        <v>31709</v>
      </c>
    </row>
    <row r="9732" spans="1:7" ht="14.5">
      <c r="A9732" s="3" t="s">
        <v>9115</v>
      </c>
      <c r="B9732" s="12" t="s">
        <v>2891</v>
      </c>
      <c r="C9732" s="46" t="s">
        <v>9724</v>
      </c>
      <c r="D9732" s="41" t="str">
        <f ca="1">IFERROR(__xludf.DUMMYFUNCTION("IFERROR(ARRAYFORMULA(REGEXEXTRACT(C9732,""^(?:https?:\/\/)?(?:[^@\n]+@)?(?:www\.)?([^:\/\n]+)"")),"""")"),"kovifabrics.com")</f>
        <v>kovifabrics.com</v>
      </c>
      <c r="E9732" s="26" t="str">
        <f ca="1">IFERROR(__xludf.DUMMYFUNCTION("""COMPUTED_VALUE"""),"New")</f>
        <v>New</v>
      </c>
      <c r="F9732" s="72">
        <v>36</v>
      </c>
      <c r="G9732" s="72">
        <v>21400</v>
      </c>
    </row>
    <row r="9733" spans="1:7" ht="14.5">
      <c r="A9733" s="3" t="s">
        <v>9115</v>
      </c>
      <c r="B9733" s="12" t="s">
        <v>2891</v>
      </c>
      <c r="C9733" s="46" t="s">
        <v>9725</v>
      </c>
      <c r="D9733" s="41" t="str">
        <f ca="1">IFERROR(__xludf.DUMMYFUNCTION("IFERROR(ARRAYFORMULA(REGEXEXTRACT(C9733,""^(?:https?:\/\/)?(?:[^@\n]+@)?(?:www\.)?([^:\/\n]+)"")),"""")"),"bostonbrandmedia.com")</f>
        <v>bostonbrandmedia.com</v>
      </c>
      <c r="E9733" s="26" t="str">
        <f ca="1">IFERROR(__xludf.DUMMYFUNCTION("""COMPUTED_VALUE"""),"New")</f>
        <v>New</v>
      </c>
      <c r="F9733" s="72">
        <v>41</v>
      </c>
      <c r="G9733" s="72">
        <v>2671</v>
      </c>
    </row>
    <row r="9734" spans="1:7" ht="14.5">
      <c r="A9734" s="3" t="s">
        <v>9115</v>
      </c>
      <c r="B9734" s="12" t="s">
        <v>2891</v>
      </c>
      <c r="C9734" s="46" t="s">
        <v>9726</v>
      </c>
      <c r="D9734" s="41" t="str">
        <f ca="1">IFERROR(__xludf.DUMMYFUNCTION("IFERROR(ARRAYFORMULA(REGEXEXTRACT(C9734,""^(?:https?:\/\/)?(?:[^@\n]+@)?(?:www\.)?([^:\/\n]+)"")),"""")"),"remodelista.com")</f>
        <v>remodelista.com</v>
      </c>
      <c r="E9734" s="26" t="str">
        <f ca="1">IFERROR(__xludf.DUMMYFUNCTION("""COMPUTED_VALUE"""),"New")</f>
        <v>New</v>
      </c>
      <c r="F9734" s="72">
        <v>76</v>
      </c>
      <c r="G9734" s="72">
        <v>32051</v>
      </c>
    </row>
    <row r="9735" spans="1:7" ht="14.5">
      <c r="A9735" s="3" t="s">
        <v>9115</v>
      </c>
      <c r="B9735" s="12" t="s">
        <v>2891</v>
      </c>
      <c r="C9735" s="46" t="s">
        <v>9727</v>
      </c>
      <c r="D9735" s="41" t="str">
        <f ca="1">IFERROR(__xludf.DUMMYFUNCTION("IFERROR(ARRAYFORMULA(REGEXEXTRACT(C9735,""^(?:https?:\/\/)?(?:[^@\n]+@)?(?:www\.)?([^:\/\n]+)"")),"""")"),"buildingandinteriors.com")</f>
        <v>buildingandinteriors.com</v>
      </c>
      <c r="E9735" s="26" t="str">
        <f ca="1">IFERROR(__xludf.DUMMYFUNCTION("""COMPUTED_VALUE"""),"New")</f>
        <v>New</v>
      </c>
      <c r="F9735" s="72">
        <v>37</v>
      </c>
      <c r="G9735" s="72">
        <v>31296</v>
      </c>
    </row>
    <row r="9736" spans="1:7" ht="14.5" hidden="1">
      <c r="A9736" s="3" t="s">
        <v>9115</v>
      </c>
      <c r="B9736" s="12" t="s">
        <v>2891</v>
      </c>
      <c r="C9736" s="46" t="s">
        <v>9728</v>
      </c>
      <c r="D9736" s="41" t="str">
        <f ca="1">IFERROR(__xludf.DUMMYFUNCTION("IFERROR(ARRAYFORMULA(REGEXEXTRACT(C9736,""^(?:https?:\/\/)?(?:[^@\n]+@)?(?:www\.)?([^:\/\n]+)"")),"""")"),"hisforhomeblog.com")</f>
        <v>hisforhomeblog.com</v>
      </c>
      <c r="E9736" s="26" t="str">
        <f ca="1">IFERROR(__xludf.DUMMYFUNCTION("""COMPUTED_VALUE"""),"Already Exists")</f>
        <v>Already Exists</v>
      </c>
      <c r="F9736" s="72">
        <v>32</v>
      </c>
      <c r="G9736" s="72">
        <v>1079</v>
      </c>
    </row>
    <row r="9737" spans="1:7" ht="14.5">
      <c r="A9737" s="3" t="s">
        <v>9115</v>
      </c>
      <c r="B9737" s="12" t="s">
        <v>2891</v>
      </c>
      <c r="C9737" s="46" t="s">
        <v>9729</v>
      </c>
      <c r="D9737" s="41" t="str">
        <f ca="1">IFERROR(__xludf.DUMMYFUNCTION("IFERROR(ARRAYFORMULA(REGEXEXTRACT(C9737,""^(?:https?:\/\/)?(?:[^@\n]+@)?(?:www\.)?([^:\/\n]+)"")),"""")"),"familydaysout.com")</f>
        <v>familydaysout.com</v>
      </c>
      <c r="E9737" s="26" t="str">
        <f ca="1">IFERROR(__xludf.DUMMYFUNCTION("""COMPUTED_VALUE"""),"New")</f>
        <v>New</v>
      </c>
      <c r="F9737" s="72">
        <v>53</v>
      </c>
      <c r="G9737" s="72">
        <v>1558</v>
      </c>
    </row>
    <row r="9738" spans="1:7" ht="14.5">
      <c r="A9738" s="3" t="s">
        <v>9115</v>
      </c>
      <c r="B9738" s="12" t="s">
        <v>2891</v>
      </c>
      <c r="C9738" s="46" t="s">
        <v>9730</v>
      </c>
      <c r="D9738" s="41" t="str">
        <f ca="1">IFERROR(__xludf.DUMMYFUNCTION("IFERROR(ARRAYFORMULA(REGEXEXTRACT(C9738,""^(?:https?:\/\/)?(?:[^@\n]+@)?(?:www\.)?([^:\/\n]+)"")),"""")"),"kellyhoppeninteriors.com")</f>
        <v>kellyhoppeninteriors.com</v>
      </c>
      <c r="E9738" s="26" t="str">
        <f ca="1">IFERROR(__xludf.DUMMYFUNCTION("""COMPUTED_VALUE"""),"New")</f>
        <v>New</v>
      </c>
      <c r="F9738" s="72">
        <v>49</v>
      </c>
      <c r="G9738" s="72">
        <v>3361</v>
      </c>
    </row>
    <row r="9739" spans="1:7" ht="14.5">
      <c r="A9739" s="3" t="s">
        <v>9115</v>
      </c>
      <c r="B9739" s="12" t="s">
        <v>2891</v>
      </c>
      <c r="C9739" s="46" t="s">
        <v>9731</v>
      </c>
      <c r="D9739" s="41" t="str">
        <f ca="1">IFERROR(__xludf.DUMMYFUNCTION("IFERROR(ARRAYFORMULA(REGEXEXTRACT(C9739,""^(?:https?:\/\/)?(?:[^@\n]+@)?(?:www\.)?([^:\/\n]+)"")),"""")"),"housedigest.com")</f>
        <v>housedigest.com</v>
      </c>
      <c r="E9739" s="26" t="str">
        <f ca="1">IFERROR(__xludf.DUMMYFUNCTION("""COMPUTED_VALUE"""),"New")</f>
        <v>New</v>
      </c>
      <c r="F9739" s="72">
        <v>74</v>
      </c>
      <c r="G9739" s="72">
        <v>73148</v>
      </c>
    </row>
    <row r="9740" spans="1:7" ht="14.5" hidden="1">
      <c r="A9740" s="3" t="s">
        <v>9115</v>
      </c>
      <c r="B9740" s="12" t="s">
        <v>2891</v>
      </c>
      <c r="C9740" s="46" t="s">
        <v>9732</v>
      </c>
      <c r="D9740" s="41" t="str">
        <f ca="1">IFERROR(__xludf.DUMMYFUNCTION("IFERROR(ARRAYFORMULA(REGEXEXTRACT(C9740,""^(?:https?:\/\/)?(?:[^@\n]+@)?(?:www\.)?([^:\/\n]+)"")),"""")"),"lorddecor.com")</f>
        <v>lorddecor.com</v>
      </c>
      <c r="E9740" s="26" t="str">
        <f ca="1">IFERROR(__xludf.DUMMYFUNCTION("""COMPUTED_VALUE"""),"Already Exists")</f>
        <v>Already Exists</v>
      </c>
      <c r="F9740" s="72">
        <v>59</v>
      </c>
      <c r="G9740" s="72">
        <v>1732</v>
      </c>
    </row>
    <row r="9741" spans="1:7" ht="14.5" hidden="1">
      <c r="A9741" s="3" t="s">
        <v>9115</v>
      </c>
      <c r="B9741" s="12" t="s">
        <v>2891</v>
      </c>
      <c r="C9741" s="46" t="s">
        <v>9733</v>
      </c>
      <c r="D9741" s="41" t="str">
        <f ca="1">IFERROR(__xludf.DUMMYFUNCTION("IFERROR(ARRAYFORMULA(REGEXEXTRACT(C9741,""^(?:https?:\/\/)?(?:[^@\n]+@)?(?:www\.)?([^:\/\n]+)"")),"""")"),"poshpennies.com")</f>
        <v>poshpennies.com</v>
      </c>
      <c r="E9741" s="26" t="str">
        <f ca="1">IFERROR(__xludf.DUMMYFUNCTION("""COMPUTED_VALUE"""),"Already Exists")</f>
        <v>Already Exists</v>
      </c>
      <c r="F9741" s="72">
        <v>45</v>
      </c>
      <c r="G9741" s="72">
        <v>1020</v>
      </c>
    </row>
    <row r="9742" spans="1:7" ht="14.5" hidden="1">
      <c r="A9742" s="3" t="s">
        <v>9115</v>
      </c>
      <c r="B9742" s="12" t="s">
        <v>2891</v>
      </c>
      <c r="C9742" s="46" t="s">
        <v>9734</v>
      </c>
      <c r="D9742" s="41" t="str">
        <f ca="1">IFERROR(__xludf.DUMMYFUNCTION("IFERROR(ARRAYFORMULA(REGEXEXTRACT(C9742,""^(?:https?:\/\/)?(?:[^@\n]+@)?(?:www\.)?([^:\/\n]+)"")),"""")"),"ahouseinthehills.com")</f>
        <v>ahouseinthehills.com</v>
      </c>
      <c r="E9742" s="26" t="str">
        <f ca="1">IFERROR(__xludf.DUMMYFUNCTION("""COMPUTED_VALUE"""),"Already Exists")</f>
        <v>Already Exists</v>
      </c>
      <c r="F9742" s="72">
        <v>58</v>
      </c>
      <c r="G9742" s="72">
        <v>2861</v>
      </c>
    </row>
    <row r="9743" spans="1:7" ht="14.5">
      <c r="A9743" s="3" t="s">
        <v>9115</v>
      </c>
      <c r="B9743" s="12" t="s">
        <v>2891</v>
      </c>
      <c r="C9743" s="46" t="s">
        <v>9735</v>
      </c>
      <c r="D9743" s="41" t="str">
        <f ca="1">IFERROR(__xludf.DUMMYFUNCTION("IFERROR(ARRAYFORMULA(REGEXEXTRACT(C9743,""^(?:https?:\/\/)?(?:[^@\n]+@)?(?:www\.)?([^:\/\n]+)"")),"""")"),"thimpress.com")</f>
        <v>thimpress.com</v>
      </c>
      <c r="E9743" s="26" t="str">
        <f ca="1">IFERROR(__xludf.DUMMYFUNCTION("""COMPUTED_VALUE"""),"New")</f>
        <v>New</v>
      </c>
      <c r="F9743" s="72">
        <v>88</v>
      </c>
      <c r="G9743" s="72">
        <v>3904</v>
      </c>
    </row>
    <row r="9744" spans="1:7" ht="14.5">
      <c r="A9744" s="3" t="s">
        <v>9115</v>
      </c>
      <c r="B9744" s="12" t="s">
        <v>2891</v>
      </c>
      <c r="C9744" s="46" t="s">
        <v>9736</v>
      </c>
      <c r="D9744" s="41" t="str">
        <f ca="1">IFERROR(__xludf.DUMMYFUNCTION("IFERROR(ARRAYFORMULA(REGEXEXTRACT(C9744,""^(?:https?:\/\/)?(?:[^@\n]+@)?(?:www\.)?([^:\/\n]+)"")),"""")"),"welshdesignstudio.com")</f>
        <v>welshdesignstudio.com</v>
      </c>
      <c r="E9744" s="26" t="str">
        <f ca="1">IFERROR(__xludf.DUMMYFUNCTION("""COMPUTED_VALUE"""),"New")</f>
        <v>New</v>
      </c>
      <c r="F9744" s="72">
        <v>33</v>
      </c>
      <c r="G9744" s="72">
        <v>2018</v>
      </c>
    </row>
    <row r="9745" spans="1:7" ht="14.5">
      <c r="A9745" s="3" t="s">
        <v>9115</v>
      </c>
      <c r="B9745" s="12" t="s">
        <v>2891</v>
      </c>
      <c r="C9745" s="46" t="s">
        <v>9737</v>
      </c>
      <c r="D9745" s="41" t="str">
        <f ca="1">IFERROR(__xludf.DUMMYFUNCTION("IFERROR(ARRAYFORMULA(REGEXEXTRACT(C9745,""^(?:https?:\/\/)?(?:[^@\n]+@)?(?:www\.)?([^:\/\n]+)"")),"""")"),"grokipedia.com")</f>
        <v>grokipedia.com</v>
      </c>
      <c r="E9745" s="26" t="str">
        <f ca="1">IFERROR(__xludf.DUMMYFUNCTION("""COMPUTED_VALUE"""),"New")</f>
        <v>New</v>
      </c>
      <c r="F9745" s="72">
        <v>75</v>
      </c>
      <c r="G9745" s="72">
        <v>667361</v>
      </c>
    </row>
    <row r="9746" spans="1:7" ht="14.5">
      <c r="A9746" s="3" t="s">
        <v>9115</v>
      </c>
      <c r="B9746" s="12" t="s">
        <v>2891</v>
      </c>
      <c r="C9746" s="46" t="s">
        <v>9738</v>
      </c>
      <c r="D9746" s="41" t="str">
        <f ca="1">IFERROR(__xludf.DUMMYFUNCTION("IFERROR(ARRAYFORMULA(REGEXEXTRACT(C9746,""^(?:https?:\/\/)?(?:[^@\n]+@)?(?:www\.)?([^:\/\n]+)"")),"""")"),"brightside.me")</f>
        <v>brightside.me</v>
      </c>
      <c r="E9746" s="26" t="str">
        <f ca="1">IFERROR(__xludf.DUMMYFUNCTION("""COMPUTED_VALUE"""),"New")</f>
        <v>New</v>
      </c>
      <c r="F9746" s="72">
        <v>75</v>
      </c>
      <c r="G9746" s="72">
        <v>65742</v>
      </c>
    </row>
    <row r="9747" spans="1:7" ht="14.5">
      <c r="A9747" s="3" t="s">
        <v>9115</v>
      </c>
      <c r="B9747" s="12" t="s">
        <v>2891</v>
      </c>
      <c r="C9747" s="46" t="s">
        <v>9739</v>
      </c>
      <c r="D9747" s="41" t="str">
        <f ca="1">IFERROR(__xludf.DUMMYFUNCTION("IFERROR(ARRAYFORMULA(REGEXEXTRACT(C9747,""^(?:https?:\/\/)?(?:[^@\n]+@)?(?:www\.)?([^:\/\n]+)"")),"""")"),"sunsgoods.com")</f>
        <v>sunsgoods.com</v>
      </c>
      <c r="E9747" s="26" t="str">
        <f ca="1">IFERROR(__xludf.DUMMYFUNCTION("""COMPUTED_VALUE"""),"New")</f>
        <v>New</v>
      </c>
      <c r="F9747" s="72">
        <v>55</v>
      </c>
      <c r="G9747" s="72">
        <v>3696</v>
      </c>
    </row>
    <row r="9748" spans="1:7" ht="14.5">
      <c r="A9748" s="3" t="s">
        <v>9115</v>
      </c>
      <c r="B9748" s="12" t="s">
        <v>2891</v>
      </c>
      <c r="C9748" s="46" t="s">
        <v>9740</v>
      </c>
      <c r="D9748" s="41" t="str">
        <f ca="1">IFERROR(__xludf.DUMMYFUNCTION("IFERROR(ARRAYFORMULA(REGEXEXTRACT(C9748,""^(?:https?:\/\/)?(?:[^@\n]+@)?(?:www\.)?([^:\/\n]+)"")),"""")"),"homestratosphere.com")</f>
        <v>homestratosphere.com</v>
      </c>
      <c r="E9748" s="26" t="str">
        <f ca="1">IFERROR(__xludf.DUMMYFUNCTION("""COMPUTED_VALUE"""),"New")</f>
        <v>New</v>
      </c>
      <c r="F9748" s="72">
        <v>73</v>
      </c>
      <c r="G9748" s="72">
        <v>12509</v>
      </c>
    </row>
    <row r="9749" spans="1:7" ht="14.5">
      <c r="A9749" s="3" t="s">
        <v>9115</v>
      </c>
      <c r="B9749" s="12" t="s">
        <v>2891</v>
      </c>
      <c r="C9749" s="46" t="s">
        <v>9741</v>
      </c>
      <c r="D9749" s="41" t="str">
        <f ca="1">IFERROR(__xludf.DUMMYFUNCTION("IFERROR(ARRAYFORMULA(REGEXEXTRACT(C9749,""^(?:https?:\/\/)?(?:[^@\n]+@)?(?:www\.)?([^:\/\n]+)"")),"""")"),"homesandantiques.com")</f>
        <v>homesandantiques.com</v>
      </c>
      <c r="E9749" s="26" t="str">
        <f ca="1">IFERROR(__xludf.DUMMYFUNCTION("""COMPUTED_VALUE"""),"New")</f>
        <v>New</v>
      </c>
      <c r="F9749" s="72">
        <v>57</v>
      </c>
      <c r="G9749" s="72">
        <v>12009</v>
      </c>
    </row>
    <row r="9750" spans="1:7" ht="14.5">
      <c r="A9750" s="3" t="s">
        <v>9115</v>
      </c>
      <c r="B9750" s="12" t="s">
        <v>2891</v>
      </c>
      <c r="C9750" s="46" t="s">
        <v>9742</v>
      </c>
      <c r="D9750" s="41" t="str">
        <f ca="1">IFERROR(__xludf.DUMMYFUNCTION("IFERROR(ARRAYFORMULA(REGEXEXTRACT(C9750,""^(?:https?:\/\/)?(?:[^@\n]+@)?(?:www\.)?([^:\/\n]+)"")),"""")"),"theglossarymagazine.com")</f>
        <v>theglossarymagazine.com</v>
      </c>
      <c r="E9750" s="26" t="str">
        <f ca="1">IFERROR(__xludf.DUMMYFUNCTION("""COMPUTED_VALUE"""),"New")</f>
        <v>New</v>
      </c>
      <c r="F9750" s="72">
        <v>53</v>
      </c>
      <c r="G9750" s="72">
        <v>19907</v>
      </c>
    </row>
    <row r="9751" spans="1:7" ht="14.5">
      <c r="A9751" s="3" t="s">
        <v>9115</v>
      </c>
      <c r="B9751" s="12" t="s">
        <v>2891</v>
      </c>
      <c r="C9751" s="46" t="s">
        <v>9743</v>
      </c>
      <c r="D9751" s="41" t="str">
        <f ca="1">IFERROR(__xludf.DUMMYFUNCTION("IFERROR(ARRAYFORMULA(REGEXEXTRACT(C9751,""^(?:https?:\/\/)?(?:[^@\n]+@)?(?:www\.)?([^:\/\n]+)"")),"""")"),"milanostyle.com")</f>
        <v>milanostyle.com</v>
      </c>
      <c r="E9751" s="26" t="str">
        <f ca="1">IFERROR(__xludf.DUMMYFUNCTION("""COMPUTED_VALUE"""),"New")</f>
        <v>New</v>
      </c>
      <c r="F9751" s="72">
        <v>28</v>
      </c>
      <c r="G9751" s="72">
        <v>1269</v>
      </c>
    </row>
    <row r="9752" spans="1:7" ht="14.5">
      <c r="A9752" s="3" t="s">
        <v>9115</v>
      </c>
      <c r="B9752" s="12" t="s">
        <v>2891</v>
      </c>
      <c r="C9752" s="46" t="s">
        <v>9744</v>
      </c>
      <c r="D9752" s="41" t="str">
        <f ca="1">IFERROR(__xludf.DUMMYFUNCTION("IFERROR(ARRAYFORMULA(REGEXEXTRACT(C9752,""^(?:https?:\/\/)?(?:[^@\n]+@)?(?:www\.)?([^:\/\n]+)"")),"""")"),"iwaymagazine.com")</f>
        <v>iwaymagazine.com</v>
      </c>
      <c r="E9752" s="26" t="str">
        <f ca="1">IFERROR(__xludf.DUMMYFUNCTION("""COMPUTED_VALUE"""),"New")</f>
        <v>New</v>
      </c>
      <c r="F9752" s="72">
        <v>72</v>
      </c>
      <c r="G9752" s="72">
        <v>5557</v>
      </c>
    </row>
    <row r="9753" spans="1:7" ht="14.5">
      <c r="A9753" s="3" t="s">
        <v>9115</v>
      </c>
      <c r="B9753" s="12" t="s">
        <v>2891</v>
      </c>
      <c r="C9753" s="46" t="s">
        <v>9745</v>
      </c>
      <c r="D9753" s="41" t="str">
        <f ca="1">IFERROR(__xludf.DUMMYFUNCTION("IFERROR(ARRAYFORMULA(REGEXEXTRACT(C9753,""^(?:https?:\/\/)?(?:[^@\n]+@)?(?:www\.)?([^:\/\n]+)"")),"""")"),"standard.co.uk")</f>
        <v>standard.co.uk</v>
      </c>
      <c r="E9753" s="26" t="str">
        <f ca="1">IFERROR(__xludf.DUMMYFUNCTION("""COMPUTED_VALUE"""),"New")</f>
        <v>New</v>
      </c>
      <c r="F9753" s="72">
        <v>89</v>
      </c>
      <c r="G9753" s="72">
        <v>2413074</v>
      </c>
    </row>
    <row r="9754" spans="1:7" ht="14.5">
      <c r="A9754" s="3" t="s">
        <v>9115</v>
      </c>
      <c r="B9754" s="12" t="s">
        <v>2891</v>
      </c>
      <c r="C9754" s="46" t="s">
        <v>9746</v>
      </c>
      <c r="D9754" s="41" t="str">
        <f ca="1">IFERROR(__xludf.DUMMYFUNCTION("IFERROR(ARRAYFORMULA(REGEXEXTRACT(C9754,""^(?:https?:\/\/)?(?:[^@\n]+@)?(?:www\.)?([^:\/\n]+)"")),"""")"),"bodaq.com")</f>
        <v>bodaq.com</v>
      </c>
      <c r="E9754" s="26" t="str">
        <f ca="1">IFERROR(__xludf.DUMMYFUNCTION("""COMPUTED_VALUE"""),"New")</f>
        <v>New</v>
      </c>
      <c r="F9754" s="72">
        <v>46</v>
      </c>
      <c r="G9754" s="72">
        <v>1788</v>
      </c>
    </row>
    <row r="9755" spans="1:7" ht="14.5">
      <c r="A9755" s="3" t="s">
        <v>9115</v>
      </c>
      <c r="B9755" s="12" t="s">
        <v>2891</v>
      </c>
      <c r="C9755" s="46" t="s">
        <v>9747</v>
      </c>
      <c r="D9755" s="41" t="str">
        <f ca="1">IFERROR(__xludf.DUMMYFUNCTION("IFERROR(ARRAYFORMULA(REGEXEXTRACT(C9755,""^(?:https?:\/\/)?(?:[^@\n]+@)?(?:www\.)?([^:\/\n]+)"")),"""")"),"huzzle.com")</f>
        <v>huzzle.com</v>
      </c>
      <c r="E9755" s="26" t="str">
        <f ca="1">IFERROR(__xludf.DUMMYFUNCTION("""COMPUTED_VALUE"""),"New")</f>
        <v>New</v>
      </c>
      <c r="F9755" s="72">
        <v>35</v>
      </c>
      <c r="G9755" s="72">
        <v>1600</v>
      </c>
    </row>
    <row r="9756" spans="1:7" ht="14.5" hidden="1">
      <c r="A9756" s="3" t="s">
        <v>9115</v>
      </c>
      <c r="B9756" s="12" t="s">
        <v>2891</v>
      </c>
      <c r="C9756" s="46" t="s">
        <v>9748</v>
      </c>
      <c r="D9756" s="41" t="str">
        <f ca="1">IFERROR(__xludf.DUMMYFUNCTION("IFERROR(ARRAYFORMULA(REGEXEXTRACT(C9756,""^(?:https?:\/\/)?(?:[^@\n]+@)?(?:www\.)?([^:\/\n]+)"")),"""")"),"inspiredhomes.uk.com")</f>
        <v>inspiredhomes.uk.com</v>
      </c>
      <c r="E9756" s="26" t="str">
        <f ca="1">IFERROR(__xludf.DUMMYFUNCTION("""COMPUTED_VALUE"""),"Already Exists")</f>
        <v>Already Exists</v>
      </c>
      <c r="F9756" s="72">
        <v>92</v>
      </c>
      <c r="G9756" s="72">
        <v>18551938</v>
      </c>
    </row>
    <row r="9757" spans="1:7" ht="14.5">
      <c r="A9757" s="3" t="s">
        <v>9115</v>
      </c>
      <c r="B9757" s="12" t="s">
        <v>2891</v>
      </c>
      <c r="C9757" s="46" t="s">
        <v>9749</v>
      </c>
      <c r="D9757" s="41" t="str">
        <f ca="1">IFERROR(__xludf.DUMMYFUNCTION("IFERROR(ARRAYFORMULA(REGEXEXTRACT(C9757,""^(?:https?:\/\/)?(?:[^@\n]+@)?(?:www\.)?([^:\/\n]+)"")),"""")"),"payweeklyflooring.co.uk")</f>
        <v>payweeklyflooring.co.uk</v>
      </c>
      <c r="E9757" s="26" t="str">
        <f ca="1">IFERROR(__xludf.DUMMYFUNCTION("""COMPUTED_VALUE"""),"New")</f>
        <v>New</v>
      </c>
      <c r="F9757" s="72">
        <v>20</v>
      </c>
      <c r="G9757" s="72">
        <v>11646</v>
      </c>
    </row>
    <row r="9758" spans="1:7" ht="14.5">
      <c r="A9758" s="3" t="s">
        <v>9115</v>
      </c>
      <c r="B9758" s="12" t="s">
        <v>2891</v>
      </c>
      <c r="C9758" s="46" t="s">
        <v>9750</v>
      </c>
      <c r="D9758" s="41" t="str">
        <f ca="1">IFERROR(__xludf.DUMMYFUNCTION("IFERROR(ARRAYFORMULA(REGEXEXTRACT(C9758,""^(?:https?:\/\/)?(?:[^@\n]+@)?(?:www\.)?([^:\/\n]+)"")),"""")"),"livada-casino.com")</f>
        <v>livada-casino.com</v>
      </c>
      <c r="E9758" s="26" t="str">
        <f ca="1">IFERROR(__xludf.DUMMYFUNCTION("""COMPUTED_VALUE"""),"New")</f>
        <v>New</v>
      </c>
      <c r="F9758" s="72">
        <v>55</v>
      </c>
      <c r="G9758" s="72">
        <v>1494</v>
      </c>
    </row>
    <row r="9759" spans="1:7" ht="14.5" hidden="1">
      <c r="A9759" s="3" t="s">
        <v>9115</v>
      </c>
      <c r="B9759" s="12" t="s">
        <v>2891</v>
      </c>
      <c r="C9759" s="46" t="s">
        <v>9751</v>
      </c>
      <c r="D9759" s="41" t="str">
        <f ca="1">IFERROR(__xludf.DUMMYFUNCTION("IFERROR(ARRAYFORMULA(REGEXEXTRACT(C9759,""^(?:https?:\/\/)?(?:[^@\n]+@)?(?:www\.)?([^:\/\n]+)"")),"""")"),"lovechicliving.co.uk")</f>
        <v>lovechicliving.co.uk</v>
      </c>
      <c r="E9759" s="26" t="str">
        <f ca="1">IFERROR(__xludf.DUMMYFUNCTION("""COMPUTED_VALUE"""),"Already Exists")</f>
        <v>Already Exists</v>
      </c>
      <c r="F9759" s="72">
        <v>46</v>
      </c>
      <c r="G9759" s="72">
        <v>17895</v>
      </c>
    </row>
    <row r="9760" spans="1:7" ht="14.5">
      <c r="A9760" s="3" t="s">
        <v>9115</v>
      </c>
      <c r="B9760" s="12" t="s">
        <v>2891</v>
      </c>
      <c r="C9760" s="46" t="s">
        <v>9752</v>
      </c>
      <c r="D9760" s="41" t="str">
        <f ca="1">IFERROR(__xludf.DUMMYFUNCTION("IFERROR(ARRAYFORMULA(REGEXEXTRACT(C9760,""^(?:https?:\/\/)?(?:[^@\n]+@)?(?:www\.)?([^:\/\n]+)"")),"""")"),"robertr268.sg-host.com")</f>
        <v>robertr268.sg-host.com</v>
      </c>
      <c r="E9760" s="26" t="str">
        <f ca="1">IFERROR(__xludf.DUMMYFUNCTION("""COMPUTED_VALUE"""),"New")</f>
        <v>New</v>
      </c>
      <c r="F9760" s="72">
        <v>91</v>
      </c>
      <c r="G9760" s="72">
        <v>12494</v>
      </c>
    </row>
    <row r="9761" spans="1:7" ht="14.5">
      <c r="A9761" s="3" t="s">
        <v>9115</v>
      </c>
      <c r="B9761" s="12" t="s">
        <v>2891</v>
      </c>
      <c r="C9761" s="46" t="s">
        <v>9753</v>
      </c>
      <c r="D9761" s="41" t="str">
        <f ca="1">IFERROR(__xludf.DUMMYFUNCTION("IFERROR(ARRAYFORMULA(REGEXEXTRACT(C9761,""^(?:https?:\/\/)?(?:[^@\n]+@)?(?:www\.)?([^:\/\n]+)"")),"""")"),"crowdcube.eu")</f>
        <v>crowdcube.eu</v>
      </c>
      <c r="E9761" s="26" t="str">
        <f ca="1">IFERROR(__xludf.DUMMYFUNCTION("""COMPUTED_VALUE"""),"New")</f>
        <v>New</v>
      </c>
      <c r="F9761" s="72">
        <v>49</v>
      </c>
      <c r="G9761" s="72">
        <v>2034</v>
      </c>
    </row>
    <row r="9762" spans="1:7" ht="14.5">
      <c r="A9762" s="3" t="s">
        <v>9115</v>
      </c>
      <c r="B9762" s="12" t="s">
        <v>2891</v>
      </c>
      <c r="C9762" s="46" t="s">
        <v>9754</v>
      </c>
      <c r="D9762" s="41" t="str">
        <f ca="1">IFERROR(__xludf.DUMMYFUNCTION("IFERROR(ARRAYFORMULA(REGEXEXTRACT(C9762,""^(?:https?:\/\/)?(?:[^@\n]+@)?(?:www\.)?([^:\/\n]+)"")),"""")"),"theorg.com")</f>
        <v>theorg.com</v>
      </c>
      <c r="E9762" s="26" t="str">
        <f ca="1">IFERROR(__xludf.DUMMYFUNCTION("""COMPUTED_VALUE"""),"New")</f>
        <v>New</v>
      </c>
      <c r="F9762" s="72">
        <v>75</v>
      </c>
      <c r="G9762" s="72">
        <v>92631</v>
      </c>
    </row>
    <row r="9763" spans="1:7" ht="14.5">
      <c r="A9763" s="3" t="s">
        <v>9115</v>
      </c>
      <c r="B9763" s="12" t="s">
        <v>2891</v>
      </c>
      <c r="C9763" s="46" t="s">
        <v>9755</v>
      </c>
      <c r="D9763" s="41" t="str">
        <f ca="1">IFERROR(__xludf.DUMMYFUNCTION("IFERROR(ARRAYFORMULA(REGEXEXTRACT(C9763,""^(?:https?:\/\/)?(?:[^@\n]+@)?(?:www\.)?([^:\/\n]+)"")),"""")"),"dontdiewondering.com")</f>
        <v>dontdiewondering.com</v>
      </c>
      <c r="E9763" s="26" t="str">
        <f ca="1">IFERROR(__xludf.DUMMYFUNCTION("""COMPUTED_VALUE"""),"New")</f>
        <v>New</v>
      </c>
      <c r="F9763" s="72">
        <v>39</v>
      </c>
      <c r="G9763" s="72">
        <v>5484</v>
      </c>
    </row>
    <row r="9764" spans="1:7" ht="14.5">
      <c r="A9764" s="3" t="s">
        <v>9115</v>
      </c>
      <c r="B9764" s="12" t="s">
        <v>2891</v>
      </c>
      <c r="C9764" s="46" t="s">
        <v>9756</v>
      </c>
      <c r="D9764" s="41" t="str">
        <f ca="1">IFERROR(__xludf.DUMMYFUNCTION("IFERROR(ARRAYFORMULA(REGEXEXTRACT(C9764,""^(?:https?:\/\/)?(?:[^@\n]+@)?(?:www\.)?([^:\/\n]+)"")),"""")"),"praytellagency.com")</f>
        <v>praytellagency.com</v>
      </c>
      <c r="E9764" s="26" t="str">
        <f ca="1">IFERROR(__xludf.DUMMYFUNCTION("""COMPUTED_VALUE"""),"New")</f>
        <v>New</v>
      </c>
      <c r="F9764" s="72">
        <v>39</v>
      </c>
      <c r="G9764" s="72">
        <v>1972</v>
      </c>
    </row>
    <row r="9765" spans="1:7" ht="14.5">
      <c r="A9765" s="3" t="s">
        <v>9115</v>
      </c>
      <c r="B9765" s="12" t="s">
        <v>2891</v>
      </c>
      <c r="C9765" s="46" t="s">
        <v>9757</v>
      </c>
      <c r="D9765" s="41" t="str">
        <f ca="1">IFERROR(__xludf.DUMMYFUNCTION("IFERROR(ARRAYFORMULA(REGEXEXTRACT(C9765,""^(?:https?:\/\/)?(?:[^@\n]+@)?(?:www\.)?([^:\/\n]+)"")),"""")"),"forbesafrica.com")</f>
        <v>forbesafrica.com</v>
      </c>
      <c r="E9765" s="26" t="str">
        <f ca="1">IFERROR(__xludf.DUMMYFUNCTION("""COMPUTED_VALUE"""),"New")</f>
        <v>New</v>
      </c>
      <c r="F9765" s="72">
        <v>72</v>
      </c>
      <c r="G9765" s="72">
        <v>10894</v>
      </c>
    </row>
    <row r="9766" spans="1:7" ht="14.5">
      <c r="A9766" s="3" t="s">
        <v>9115</v>
      </c>
      <c r="B9766" s="12" t="s">
        <v>2891</v>
      </c>
      <c r="C9766" s="46" t="s">
        <v>9758</v>
      </c>
      <c r="D9766" s="41" t="str">
        <f ca="1">IFERROR(__xludf.DUMMYFUNCTION("IFERROR(ARRAYFORMULA(REGEXEXTRACT(C9766,""^(?:https?:\/\/)?(?:[^@\n]+@)?(?:www\.)?([^:\/\n]+)"")),"""")"),"nelsonkb.com")</f>
        <v>nelsonkb.com</v>
      </c>
      <c r="E9766" s="26" t="str">
        <f ca="1">IFERROR(__xludf.DUMMYFUNCTION("""COMPUTED_VALUE"""),"New")</f>
        <v>New</v>
      </c>
      <c r="F9766" s="72">
        <v>38</v>
      </c>
      <c r="G9766" s="72">
        <v>3085</v>
      </c>
    </row>
    <row r="9767" spans="1:7" ht="14.5">
      <c r="A9767" s="3" t="s">
        <v>9115</v>
      </c>
      <c r="B9767" s="12" t="s">
        <v>2891</v>
      </c>
      <c r="C9767" s="46" t="s">
        <v>9759</v>
      </c>
      <c r="D9767" s="41" t="str">
        <f ca="1">IFERROR(__xludf.DUMMYFUNCTION("IFERROR(ARRAYFORMULA(REGEXEXTRACT(C9767,""^(?:https?:\/\/)?(?:[^@\n]+@)?(?:www\.)?([^:\/\n]+)"")),"""")"),"accio.com")</f>
        <v>accio.com</v>
      </c>
      <c r="E9767" s="26" t="str">
        <f ca="1">IFERROR(__xludf.DUMMYFUNCTION("""COMPUTED_VALUE"""),"New")</f>
        <v>New</v>
      </c>
      <c r="F9767" s="72">
        <v>74</v>
      </c>
      <c r="G9767" s="72">
        <v>326136</v>
      </c>
    </row>
    <row r="9768" spans="1:7" ht="14.5">
      <c r="A9768" s="3" t="s">
        <v>9115</v>
      </c>
      <c r="B9768" s="12" t="s">
        <v>2891</v>
      </c>
      <c r="C9768" s="46" t="s">
        <v>9760</v>
      </c>
      <c r="D9768" s="41" t="str">
        <f ca="1">IFERROR(__xludf.DUMMYFUNCTION("IFERROR(ARRAYFORMULA(REGEXEXTRACT(C9768,""^(?:https?:\/\/)?(?:[^@\n]+@)?(?:www\.)?([^:\/\n]+)"")),"""")"),"simshilditch.com")</f>
        <v>simshilditch.com</v>
      </c>
      <c r="E9768" s="26" t="str">
        <f ca="1">IFERROR(__xludf.DUMMYFUNCTION("""COMPUTED_VALUE"""),"New")</f>
        <v>New</v>
      </c>
      <c r="F9768" s="72">
        <v>41</v>
      </c>
      <c r="G9768" s="72">
        <v>1690</v>
      </c>
    </row>
    <row r="9769" spans="1:7" ht="14.5">
      <c r="A9769" s="3" t="s">
        <v>9115</v>
      </c>
      <c r="B9769" s="12" t="s">
        <v>2891</v>
      </c>
      <c r="C9769" s="46" t="s">
        <v>9761</v>
      </c>
      <c r="D9769" s="41" t="str">
        <f ca="1">IFERROR(__xludf.DUMMYFUNCTION("IFERROR(ARRAYFORMULA(REGEXEXTRACT(C9769,""^(?:https?:\/\/)?(?:[^@\n]+@)?(?:www\.)?([^:\/\n]+)"")),"""")"),"melanielissackinteriors.com")</f>
        <v>melanielissackinteriors.com</v>
      </c>
      <c r="E9769" s="26" t="str">
        <f ca="1">IFERROR(__xludf.DUMMYFUNCTION("""COMPUTED_VALUE"""),"New")</f>
        <v>New</v>
      </c>
      <c r="F9769" s="72">
        <v>68</v>
      </c>
      <c r="G9769" s="72">
        <v>4955</v>
      </c>
    </row>
    <row r="9770" spans="1:7" ht="14.5">
      <c r="A9770" s="3" t="s">
        <v>9115</v>
      </c>
      <c r="B9770" s="12" t="s">
        <v>2891</v>
      </c>
      <c r="C9770" s="46" t="s">
        <v>9762</v>
      </c>
      <c r="D9770" s="41" t="str">
        <f ca="1">IFERROR(__xludf.DUMMYFUNCTION("IFERROR(ARRAYFORMULA(REGEXEXTRACT(C9770,""^(?:https?:\/\/)?(?:[^@\n]+@)?(?:www\.)?([^:\/\n]+)"")),"""")"),"crowdcube.com")</f>
        <v>crowdcube.com</v>
      </c>
      <c r="E9770" s="26" t="str">
        <f ca="1">IFERROR(__xludf.DUMMYFUNCTION("""COMPUTED_VALUE"""),"New")</f>
        <v>New</v>
      </c>
      <c r="F9770" s="72">
        <v>75</v>
      </c>
      <c r="G9770" s="72">
        <v>15729</v>
      </c>
    </row>
    <row r="9771" spans="1:7" ht="14.5" hidden="1">
      <c r="A9771" s="3" t="s">
        <v>9115</v>
      </c>
      <c r="B9771" s="12" t="s">
        <v>2891</v>
      </c>
      <c r="C9771" s="46" t="s">
        <v>9763</v>
      </c>
      <c r="D9771" s="41" t="str">
        <f ca="1">IFERROR(__xludf.DUMMYFUNCTION("IFERROR(ARRAYFORMULA(REGEXEXTRACT(C9771,""^(?:https?:\/\/)?(?:[^@\n]+@)?(?:www\.)?([^:\/\n]+)"")),"""")"),"sleek-chic.co.uk")</f>
        <v>sleek-chic.co.uk</v>
      </c>
      <c r="E9771" s="26" t="str">
        <f ca="1">IFERROR(__xludf.DUMMYFUNCTION("""COMPUTED_VALUE"""),"Already Exists")</f>
        <v>Already Exists</v>
      </c>
      <c r="F9771" s="72">
        <v>37</v>
      </c>
      <c r="G9771" s="72">
        <v>2682</v>
      </c>
    </row>
    <row r="9772" spans="1:7" ht="14.5">
      <c r="A9772" s="3" t="s">
        <v>9115</v>
      </c>
      <c r="B9772" s="12" t="s">
        <v>2891</v>
      </c>
      <c r="C9772" s="46" t="s">
        <v>9764</v>
      </c>
      <c r="D9772" s="41" t="str">
        <f ca="1">IFERROR(__xludf.DUMMYFUNCTION("IFERROR(ARRAYFORMULA(REGEXEXTRACT(C9772,""^(?:https?:\/\/)?(?:[^@\n]+@)?(?:www\.)?([^:\/\n]+)"")),"""")"),"richardbrendon.com")</f>
        <v>richardbrendon.com</v>
      </c>
      <c r="E9772" s="26" t="str">
        <f ca="1">IFERROR(__xludf.DUMMYFUNCTION("""COMPUTED_VALUE"""),"New")</f>
        <v>New</v>
      </c>
      <c r="F9772" s="72">
        <v>40</v>
      </c>
      <c r="G9772" s="72">
        <v>1886</v>
      </c>
    </row>
    <row r="9773" spans="1:7" ht="14.5">
      <c r="A9773" s="3" t="s">
        <v>9115</v>
      </c>
      <c r="B9773" s="12" t="s">
        <v>2891</v>
      </c>
      <c r="C9773" s="46" t="s">
        <v>9765</v>
      </c>
      <c r="D9773" s="41" t="str">
        <f ca="1">IFERROR(__xludf.DUMMYFUNCTION("IFERROR(ARRAYFORMULA(REGEXEXTRACT(C9773,""^(?:https?:\/\/)?(?:[^@\n]+@)?(?:www\.)?([^:\/\n]+)"")),"""")"),"jdelite.decoratingden.com")</f>
        <v>jdelite.decoratingden.com</v>
      </c>
      <c r="E9773" s="26" t="str">
        <f ca="1">IFERROR(__xludf.DUMMYFUNCTION("""COMPUTED_VALUE"""),"New")</f>
        <v>New</v>
      </c>
      <c r="F9773" s="72">
        <v>61</v>
      </c>
      <c r="G9773" s="72">
        <v>11736</v>
      </c>
    </row>
    <row r="9774" spans="1:7" ht="14.5">
      <c r="A9774" s="3" t="s">
        <v>9115</v>
      </c>
      <c r="B9774" s="12" t="s">
        <v>2891</v>
      </c>
      <c r="C9774" s="46" t="s">
        <v>9766</v>
      </c>
      <c r="D9774" s="41" t="str">
        <f ca="1">IFERROR(__xludf.DUMMYFUNCTION("IFERROR(ARRAYFORMULA(REGEXEXTRACT(C9774,""^(?:https?:\/\/)?(?:[^@\n]+@)?(?:www\.)?([^:\/\n]+)"")),"""")"),"craft.co")</f>
        <v>craft.co</v>
      </c>
      <c r="E9774" s="26" t="str">
        <f ca="1">IFERROR(__xludf.DUMMYFUNCTION("""COMPUTED_VALUE"""),"New")</f>
        <v>New</v>
      </c>
      <c r="F9774" s="72">
        <v>72</v>
      </c>
      <c r="G9774" s="72">
        <v>29277</v>
      </c>
    </row>
    <row r="9775" spans="1:7" ht="14.5">
      <c r="A9775" s="3" t="s">
        <v>9115</v>
      </c>
      <c r="B9775" s="12" t="s">
        <v>2891</v>
      </c>
      <c r="C9775" s="46" t="s">
        <v>9767</v>
      </c>
      <c r="D9775" s="41" t="str">
        <f ca="1">IFERROR(__xludf.DUMMYFUNCTION("IFERROR(ARRAYFORMULA(REGEXEXTRACT(C9775,""^(?:https?:\/\/)?(?:[^@\n]+@)?(?:www\.)?([^:\/\n]+)"")),"""")"),"bathroomcity.co.uk")</f>
        <v>bathroomcity.co.uk</v>
      </c>
      <c r="E9775" s="26" t="str">
        <f ca="1">IFERROR(__xludf.DUMMYFUNCTION("""COMPUTED_VALUE"""),"New")</f>
        <v>New</v>
      </c>
      <c r="F9775" s="72">
        <v>35</v>
      </c>
      <c r="G9775" s="72">
        <v>125091</v>
      </c>
    </row>
    <row r="9776" spans="1:7" ht="14.5">
      <c r="A9776" s="3" t="s">
        <v>9115</v>
      </c>
      <c r="B9776" s="12" t="s">
        <v>2891</v>
      </c>
      <c r="C9776" s="46" t="s">
        <v>9768</v>
      </c>
      <c r="D9776" s="41" t="str">
        <f ca="1">IFERROR(__xludf.DUMMYFUNCTION("IFERROR(ARRAYFORMULA(REGEXEXTRACT(C9776,""^(?:https?:\/\/)?(?:[^@\n]+@)?(?:www\.)?([^:\/\n]+)"")),"""")"),"punchlist.com")</f>
        <v>punchlist.com</v>
      </c>
      <c r="E9776" s="26" t="str">
        <f ca="1">IFERROR(__xludf.DUMMYFUNCTION("""COMPUTED_VALUE"""),"New")</f>
        <v>New</v>
      </c>
      <c r="F9776" s="72">
        <v>34</v>
      </c>
      <c r="G9776" s="72">
        <v>4314</v>
      </c>
    </row>
    <row r="9777" spans="1:7" ht="14.5" hidden="1">
      <c r="A9777" s="3" t="s">
        <v>9115</v>
      </c>
      <c r="B9777" s="12" t="s">
        <v>2891</v>
      </c>
      <c r="C9777" s="46" t="s">
        <v>9769</v>
      </c>
      <c r="D9777" s="41" t="str">
        <f ca="1">IFERROR(__xludf.DUMMYFUNCTION("IFERROR(ARRAYFORMULA(REGEXEXTRACT(C9777,""^(?:https?:\/\/)?(?:[^@\n]+@)?(?:www\.)?([^:\/\n]+)"")),"""")"),"tamaracamerablog.com")</f>
        <v>tamaracamerablog.com</v>
      </c>
      <c r="E9777" s="26" t="str">
        <f ca="1">IFERROR(__xludf.DUMMYFUNCTION("""COMPUTED_VALUE"""),"Already Exists")</f>
        <v>Already Exists</v>
      </c>
      <c r="F9777" s="72">
        <v>58</v>
      </c>
      <c r="G9777" s="72">
        <v>17944</v>
      </c>
    </row>
    <row r="9778" spans="1:7" ht="14.5" hidden="1">
      <c r="A9778" s="3" t="s">
        <v>9115</v>
      </c>
      <c r="B9778" s="12" t="s">
        <v>2891</v>
      </c>
      <c r="C9778" s="46" t="s">
        <v>9770</v>
      </c>
      <c r="D9778" s="41" t="str">
        <f ca="1">IFERROR(__xludf.DUMMYFUNCTION("IFERROR(ARRAYFORMULA(REGEXEXTRACT(C9778,""^(?:https?:\/\/)?(?:[^@\n]+@)?(?:www\.)?([^:\/\n]+)"")),"""")"),"talesofbelle.com")</f>
        <v>talesofbelle.com</v>
      </c>
      <c r="E9778" s="26" t="str">
        <f ca="1">IFERROR(__xludf.DUMMYFUNCTION("""COMPUTED_VALUE"""),"Already Exists")</f>
        <v>Already Exists</v>
      </c>
      <c r="F9778" s="72">
        <v>25</v>
      </c>
      <c r="G9778" s="72">
        <v>2495</v>
      </c>
    </row>
    <row r="9779" spans="1:7" ht="14.5">
      <c r="A9779" s="3" t="s">
        <v>9115</v>
      </c>
      <c r="B9779" s="12" t="s">
        <v>2891</v>
      </c>
      <c r="C9779" s="46" t="s">
        <v>9771</v>
      </c>
      <c r="D9779" s="41" t="str">
        <f ca="1">IFERROR(__xludf.DUMMYFUNCTION("IFERROR(ARRAYFORMULA(REGEXEXTRACT(C9779,""^(?:https?:\/\/)?(?:[^@\n]+@)?(?:www\.)?([^:\/\n]+)"")),"""")"),"mybespokeroom.com")</f>
        <v>mybespokeroom.com</v>
      </c>
      <c r="E9779" s="26" t="str">
        <f ca="1">IFERROR(__xludf.DUMMYFUNCTION("""COMPUTED_VALUE"""),"New")</f>
        <v>New</v>
      </c>
      <c r="F9779" s="72">
        <v>45</v>
      </c>
      <c r="G9779" s="72">
        <v>6923</v>
      </c>
    </row>
    <row r="9780" spans="1:7" ht="14.5" hidden="1">
      <c r="A9780" s="3" t="s">
        <v>9115</v>
      </c>
      <c r="B9780" s="12" t="s">
        <v>2891</v>
      </c>
      <c r="C9780" s="46" t="s">
        <v>9772</v>
      </c>
      <c r="D9780" s="41" t="str">
        <f ca="1">IFERROR(__xludf.DUMMYFUNCTION("IFERROR(ARRAYFORMULA(REGEXEXTRACT(C9780,""^(?:https?:\/\/)?(?:[^@\n]+@)?(?:www\.)?([^:\/\n]+)"")),"""")"),"greatbuildz.com")</f>
        <v>greatbuildz.com</v>
      </c>
      <c r="E9780" s="26" t="str">
        <f ca="1">IFERROR(__xludf.DUMMYFUNCTION("""COMPUTED_VALUE"""),"Already Exists")</f>
        <v>Already Exists</v>
      </c>
      <c r="F9780" s="72">
        <v>46</v>
      </c>
      <c r="G9780" s="72">
        <v>2849</v>
      </c>
    </row>
    <row r="9781" spans="1:7" ht="14.5">
      <c r="A9781" s="3" t="s">
        <v>9115</v>
      </c>
      <c r="B9781" s="12" t="s">
        <v>2891</v>
      </c>
      <c r="C9781" s="46" t="s">
        <v>9773</v>
      </c>
      <c r="D9781" s="41" t="str">
        <f ca="1">IFERROR(__xludf.DUMMYFUNCTION("IFERROR(ARRAYFORMULA(REGEXEXTRACT(C9781,""^(?:https?:\/\/)?(?:[^@\n]+@)?(?:www\.)?([^:\/\n]+)"")),"""")"),"interiordesign.net")</f>
        <v>interiordesign.net</v>
      </c>
      <c r="E9781" s="26" t="str">
        <f ca="1">IFERROR(__xludf.DUMMYFUNCTION("""COMPUTED_VALUE"""),"New")</f>
        <v>New</v>
      </c>
      <c r="F9781" s="72">
        <v>80</v>
      </c>
      <c r="G9781" s="72">
        <v>77026</v>
      </c>
    </row>
    <row r="9782" spans="1:7" ht="14.5">
      <c r="A9782" s="3" t="s">
        <v>9115</v>
      </c>
      <c r="B9782" s="12" t="s">
        <v>2891</v>
      </c>
      <c r="C9782" s="46" t="s">
        <v>9774</v>
      </c>
      <c r="D9782" s="41" t="str">
        <f ca="1">IFERROR(__xludf.DUMMYFUNCTION("IFERROR(ARRAYFORMULA(REGEXEXTRACT(C9782,""^(?:https?:\/\/)?(?:[^@\n]+@)?(?:www\.)?([^:\/\n]+)"")),"""")"),"harpersbazaar.com")</f>
        <v>harpersbazaar.com</v>
      </c>
      <c r="E9782" s="26" t="str">
        <f ca="1">IFERROR(__xludf.DUMMYFUNCTION("""COMPUTED_VALUE"""),"New")</f>
        <v>New</v>
      </c>
      <c r="F9782" s="72">
        <v>89</v>
      </c>
      <c r="G9782" s="72">
        <v>2378611</v>
      </c>
    </row>
    <row r="9783" spans="1:7" ht="14.5" hidden="1">
      <c r="A9783" s="3" t="s">
        <v>9115</v>
      </c>
      <c r="B9783" s="12" t="s">
        <v>2891</v>
      </c>
      <c r="C9783" s="46" t="s">
        <v>9775</v>
      </c>
      <c r="D9783" s="41" t="str">
        <f ca="1">IFERROR(__xludf.DUMMYFUNCTION("IFERROR(ARRAYFORMULA(REGEXEXTRACT(C9783,""^(?:https?:\/\/)?(?:[^@\n]+@)?(?:www\.)?([^:\/\n]+)"")),"""")"),"myinteriorpalace.com")</f>
        <v>myinteriorpalace.com</v>
      </c>
      <c r="E9783" s="26" t="str">
        <f ca="1">IFERROR(__xludf.DUMMYFUNCTION("""COMPUTED_VALUE"""),"Already Exists")</f>
        <v>Already Exists</v>
      </c>
      <c r="F9783" s="72">
        <v>61</v>
      </c>
      <c r="G9783" s="72">
        <v>1983</v>
      </c>
    </row>
    <row r="9784" spans="1:7" ht="14.5" hidden="1">
      <c r="A9784" s="3" t="s">
        <v>9115</v>
      </c>
      <c r="B9784" s="12" t="s">
        <v>2891</v>
      </c>
      <c r="C9784" s="46" t="s">
        <v>9776</v>
      </c>
      <c r="D9784" s="41" t="str">
        <f ca="1">IFERROR(__xludf.DUMMYFUNCTION("IFERROR(ARRAYFORMULA(REGEXEXTRACT(C9784,""^(?:https?:\/\/)?(?:[^@\n]+@)?(?:www\.)?([^:\/\n]+)"")),"""")"),"lookwhatmomfound.org")</f>
        <v>lookwhatmomfound.org</v>
      </c>
      <c r="E9784" s="26" t="str">
        <f ca="1">IFERROR(__xludf.DUMMYFUNCTION("""COMPUTED_VALUE"""),"Already Exists")</f>
        <v>Already Exists</v>
      </c>
      <c r="F9784" s="72">
        <v>34</v>
      </c>
      <c r="G9784" s="72">
        <v>1872</v>
      </c>
    </row>
    <row r="9785" spans="1:7" ht="14.5">
      <c r="A9785" s="3" t="s">
        <v>9115</v>
      </c>
      <c r="B9785" s="12" t="s">
        <v>2891</v>
      </c>
      <c r="C9785" s="46" t="s">
        <v>9777</v>
      </c>
      <c r="D9785" s="41" t="str">
        <f ca="1">IFERROR(__xludf.DUMMYFUNCTION("IFERROR(ARRAYFORMULA(REGEXEXTRACT(C9785,""^(?:https?:\/\/)?(?:[^@\n]+@)?(?:www\.)?([^:\/\n]+)"")),"""")"),"bidnamic.com")</f>
        <v>bidnamic.com</v>
      </c>
      <c r="E9785" s="26" t="str">
        <f ca="1">IFERROR(__xludf.DUMMYFUNCTION("""COMPUTED_VALUE"""),"New")</f>
        <v>New</v>
      </c>
      <c r="F9785" s="72">
        <v>67</v>
      </c>
      <c r="G9785" s="72">
        <v>8165</v>
      </c>
    </row>
    <row r="9786" spans="1:7" ht="14.5" hidden="1">
      <c r="A9786" s="3" t="s">
        <v>9115</v>
      </c>
      <c r="B9786" s="12" t="s">
        <v>2891</v>
      </c>
      <c r="C9786" s="46" t="s">
        <v>9778</v>
      </c>
      <c r="D9786" s="41" t="str">
        <f ca="1">IFERROR(__xludf.DUMMYFUNCTION("IFERROR(ARRAYFORMULA(REGEXEXTRACT(C9786,""^(?:https?:\/\/)?(?:[^@\n]+@)?(?:www\.)?([^:\/\n]+)"")),"""")"),"we-heart.com")</f>
        <v>we-heart.com</v>
      </c>
      <c r="E9786" s="26" t="str">
        <f ca="1">IFERROR(__xludf.DUMMYFUNCTION("""COMPUTED_VALUE"""),"Already Exists")</f>
        <v>Already Exists</v>
      </c>
      <c r="F9786" s="72">
        <v>71</v>
      </c>
      <c r="G9786" s="72">
        <v>2269</v>
      </c>
    </row>
    <row r="9787" spans="1:7" ht="14.5">
      <c r="A9787" s="3" t="s">
        <v>9115</v>
      </c>
      <c r="B9787" s="12" t="s">
        <v>2891</v>
      </c>
      <c r="C9787" s="46" t="s">
        <v>9779</v>
      </c>
      <c r="D9787" s="41" t="str">
        <f ca="1">IFERROR(__xludf.DUMMYFUNCTION("IFERROR(ARRAYFORMULA(REGEXEXTRACT(C9787,""^(?:https?:\/\/)?(?:[^@\n]+@)?(?:www\.)?([^:\/\n]+)"")),"""")"),"kitchensbedroomsandbathrooms.com")</f>
        <v>kitchensbedroomsandbathrooms.com</v>
      </c>
      <c r="E9787" s="26" t="str">
        <f ca="1">IFERROR(__xludf.DUMMYFUNCTION("""COMPUTED_VALUE"""),"New")</f>
        <v>New</v>
      </c>
      <c r="F9787" s="72">
        <v>51</v>
      </c>
      <c r="G9787" s="72">
        <v>2557</v>
      </c>
    </row>
    <row r="9788" spans="1:7" ht="14.5">
      <c r="A9788" s="3" t="s">
        <v>9115</v>
      </c>
      <c r="B9788" s="12" t="s">
        <v>2891</v>
      </c>
      <c r="C9788" s="46" t="s">
        <v>9780</v>
      </c>
      <c r="D9788" s="41" t="str">
        <f ca="1">IFERROR(__xludf.DUMMYFUNCTION("IFERROR(ARRAYFORMULA(REGEXEXTRACT(C9788,""^(?:https?:\/\/)?(?:[^@\n]+@)?(?:www\.)?([^:\/\n]+)"")),"""")"),"apartmenttherapy.com")</f>
        <v>apartmenttherapy.com</v>
      </c>
      <c r="E9788" s="26" t="str">
        <f ca="1">IFERROR(__xludf.DUMMYFUNCTION("""COMPUTED_VALUE"""),"New")</f>
        <v>New</v>
      </c>
      <c r="F9788" s="72">
        <v>86</v>
      </c>
      <c r="G9788" s="72">
        <v>1026939</v>
      </c>
    </row>
    <row r="9789" spans="1:7" ht="14.5" hidden="1">
      <c r="A9789" s="3" t="s">
        <v>9115</v>
      </c>
      <c r="B9789" s="12" t="s">
        <v>2891</v>
      </c>
      <c r="C9789" s="46" t="s">
        <v>9781</v>
      </c>
      <c r="D9789" s="41" t="str">
        <f ca="1">IFERROR(__xludf.DUMMYFUNCTION("IFERROR(ARRAYFORMULA(REGEXEXTRACT(C9789,""^(?:https?:\/\/)?(?:[^@\n]+@)?(?:www\.)?([^:\/\n]+)"")),"""")"),"urbanturnip.org")</f>
        <v>urbanturnip.org</v>
      </c>
      <c r="E9789" s="26" t="str">
        <f ca="1">IFERROR(__xludf.DUMMYFUNCTION("""COMPUTED_VALUE"""),"Already Exists")</f>
        <v>Already Exists</v>
      </c>
      <c r="F9789" s="72">
        <v>27</v>
      </c>
      <c r="G9789" s="72">
        <v>1471</v>
      </c>
    </row>
    <row r="9790" spans="1:7" ht="14.5" hidden="1">
      <c r="A9790" s="3" t="s">
        <v>9115</v>
      </c>
      <c r="B9790" s="12" t="s">
        <v>2891</v>
      </c>
      <c r="C9790" s="46" t="s">
        <v>9782</v>
      </c>
      <c r="D9790" s="41" t="str">
        <f ca="1">IFERROR(__xludf.DUMMYFUNCTION("IFERROR(ARRAYFORMULA(REGEXEXTRACT(C9790,""^(?:https?:\/\/)?(?:[^@\n]+@)?(?:www\.)?([^:\/\n]+)"")),"""")"),"emmareed.net")</f>
        <v>emmareed.net</v>
      </c>
      <c r="E9790" s="26" t="str">
        <f ca="1">IFERROR(__xludf.DUMMYFUNCTION("""COMPUTED_VALUE"""),"Already Exists")</f>
        <v>Already Exists</v>
      </c>
      <c r="F9790" s="72">
        <v>40</v>
      </c>
      <c r="G9790" s="72">
        <v>10636</v>
      </c>
    </row>
    <row r="9791" spans="1:7" ht="14.5">
      <c r="A9791" s="3" t="s">
        <v>9115</v>
      </c>
      <c r="B9791" s="12" t="s">
        <v>2891</v>
      </c>
      <c r="C9791" s="46" t="s">
        <v>9783</v>
      </c>
      <c r="D9791" s="41" t="str">
        <f ca="1">IFERROR(__xludf.DUMMYFUNCTION("IFERROR(ARRAYFORMULA(REGEXEXTRACT(C9791,""^(?:https?:\/\/)?(?:[^@\n]+@)?(?:www\.)?([^:\/\n]+)"")),"""")"),"rizz.design")</f>
        <v>rizz.design</v>
      </c>
      <c r="E9791" s="26" t="str">
        <f ca="1">IFERROR(__xludf.DUMMYFUNCTION("""COMPUTED_VALUE"""),"New")</f>
        <v>New</v>
      </c>
      <c r="F9791" s="72">
        <v>37</v>
      </c>
      <c r="G9791" s="72">
        <v>1730</v>
      </c>
    </row>
    <row r="9792" spans="1:7" ht="14.5">
      <c r="A9792" s="3" t="s">
        <v>9115</v>
      </c>
      <c r="B9792" s="12" t="s">
        <v>2891</v>
      </c>
      <c r="C9792" s="46" t="s">
        <v>9784</v>
      </c>
      <c r="D9792" s="41" t="str">
        <f ca="1">IFERROR(__xludf.DUMMYFUNCTION("IFERROR(ARRAYFORMULA(REGEXEXTRACT(C9792,""^(?:https?:\/\/)?(?:[^@\n]+@)?(?:www\.)?([^:\/\n]+)"")),"""")"),"aplusd")</f>
        <v>aplusd</v>
      </c>
      <c r="E9792" s="26" t="str">
        <f ca="1">IFERROR(__xludf.DUMMYFUNCTION("""COMPUTED_VALUE"""),"New")</f>
        <v>New</v>
      </c>
      <c r="F9792" s="72">
        <v>64</v>
      </c>
      <c r="G9792" s="72">
        <v>6216</v>
      </c>
    </row>
    <row r="9793" spans="1:7" ht="14.5">
      <c r="A9793" s="3" t="s">
        <v>9115</v>
      </c>
      <c r="B9793" s="12" t="s">
        <v>2891</v>
      </c>
      <c r="C9793" s="46" t="s">
        <v>9785</v>
      </c>
      <c r="D9793" s="41" t="str">
        <f ca="1">IFERROR(__xludf.DUMMYFUNCTION("IFERROR(ARRAYFORMULA(REGEXEXTRACT(C9793,""^(?:https?:\/\/)?(?:[^@\n]+@)?(?:www\.)?([^:\/\n]+)"")),"""")"),"remer.com.au")</f>
        <v>remer.com.au</v>
      </c>
      <c r="E9793" s="26" t="str">
        <f ca="1">IFERROR(__xludf.DUMMYFUNCTION("""COMPUTED_VALUE"""),"New")</f>
        <v>New</v>
      </c>
      <c r="F9793" s="72">
        <v>30</v>
      </c>
      <c r="G9793" s="72">
        <v>1621</v>
      </c>
    </row>
    <row r="9794" spans="1:7" ht="14.5">
      <c r="A9794" s="3" t="s">
        <v>9115</v>
      </c>
      <c r="B9794" s="12" t="s">
        <v>2891</v>
      </c>
      <c r="C9794" s="46" t="s">
        <v>9786</v>
      </c>
      <c r="D9794" s="41" t="str">
        <f ca="1">IFERROR(__xludf.DUMMYFUNCTION("IFERROR(ARRAYFORMULA(REGEXEXTRACT(C9794,""^(?:https?:\/\/)?(?:[^@\n]+@)?(?:www\.)?([^:\/\n]+)"")),"""")"),"amh.com")</f>
        <v>amh.com</v>
      </c>
      <c r="E9794" s="26" t="str">
        <f ca="1">IFERROR(__xludf.DUMMYFUNCTION("""COMPUTED_VALUE"""),"New")</f>
        <v>New</v>
      </c>
      <c r="F9794" s="72">
        <v>60</v>
      </c>
      <c r="G9794" s="72">
        <v>44749</v>
      </c>
    </row>
    <row r="9795" spans="1:7" ht="14.5">
      <c r="A9795" s="3" t="s">
        <v>9115</v>
      </c>
      <c r="B9795" s="12" t="s">
        <v>2891</v>
      </c>
      <c r="C9795" s="46" t="s">
        <v>9787</v>
      </c>
      <c r="D9795" s="41" t="str">
        <f ca="1">IFERROR(__xludf.DUMMYFUNCTION("IFERROR(ARRAYFORMULA(REGEXEXTRACT(C9795,""^(?:https?:\/\/)?(?:[^@\n]+@)?(?:www\.)?([^:\/\n]+)"")),"""")"),"dailymail.co.uk")</f>
        <v>dailymail.co.uk</v>
      </c>
      <c r="E9795" s="26" t="str">
        <f ca="1">IFERROR(__xludf.DUMMYFUNCTION("""COMPUTED_VALUE"""),"New")</f>
        <v>New</v>
      </c>
      <c r="F9795" s="72">
        <v>91</v>
      </c>
      <c r="G9795" s="72">
        <v>18076956</v>
      </c>
    </row>
    <row r="9796" spans="1:7" ht="14.5">
      <c r="A9796" s="3" t="s">
        <v>9115</v>
      </c>
      <c r="B9796" s="12" t="s">
        <v>2891</v>
      </c>
      <c r="C9796" s="46" t="s">
        <v>9788</v>
      </c>
      <c r="D9796" s="41" t="str">
        <f ca="1">IFERROR(__xludf.DUMMYFUNCTION("IFERROR(ARRAYFORMULA(REGEXEXTRACT(C9796,""^(?:https?:\/\/)?(?:[^@\n]+@)?(?:www\.)?([^:\/\n]+)"")),"""")"),"hookedhome.com")</f>
        <v>hookedhome.com</v>
      </c>
      <c r="E9796" s="26" t="str">
        <f ca="1">IFERROR(__xludf.DUMMYFUNCTION("""COMPUTED_VALUE"""),"New")</f>
        <v>New</v>
      </c>
      <c r="F9796" s="72">
        <v>44</v>
      </c>
      <c r="G9796" s="72">
        <v>4010</v>
      </c>
    </row>
    <row r="9797" spans="1:7" ht="14.5">
      <c r="A9797" s="3" t="s">
        <v>9115</v>
      </c>
      <c r="B9797" s="12" t="s">
        <v>2891</v>
      </c>
      <c r="C9797" s="46" t="s">
        <v>9789</v>
      </c>
      <c r="D9797" s="41" t="str">
        <f ca="1">IFERROR(__xludf.DUMMYFUNCTION("IFERROR(ARRAYFORMULA(REGEXEXTRACT(C9797,""^(?:https?:\/\/)?(?:[^@\n]+@)?(?:www\.)?([^:\/\n]+)"")),"""")"),"luxurylaunches.com")</f>
        <v>luxurylaunches.com</v>
      </c>
      <c r="E9797" s="26" t="str">
        <f ca="1">IFERROR(__xludf.DUMMYFUNCTION("""COMPUTED_VALUE"""),"New")</f>
        <v>New</v>
      </c>
      <c r="F9797" s="72">
        <v>67</v>
      </c>
      <c r="G9797" s="72">
        <v>22589</v>
      </c>
    </row>
    <row r="9798" spans="1:7" ht="14.5">
      <c r="A9798" s="3" t="s">
        <v>9115</v>
      </c>
      <c r="B9798" s="12" t="s">
        <v>2891</v>
      </c>
      <c r="C9798" s="46" t="s">
        <v>9790</v>
      </c>
      <c r="D9798" s="41" t="str">
        <f ca="1">IFERROR(__xludf.DUMMYFUNCTION("IFERROR(ARRAYFORMULA(REGEXEXTRACT(C9798,""^(?:https?:\/\/)?(?:[^@\n]+@)?(?:www\.)?([^:\/\n]+)"")),"""")"),"chaseamie.com")</f>
        <v>chaseamie.com</v>
      </c>
      <c r="E9798" s="26" t="str">
        <f ca="1">IFERROR(__xludf.DUMMYFUNCTION("""COMPUTED_VALUE"""),"New")</f>
        <v>New</v>
      </c>
      <c r="F9798" s="72">
        <v>28</v>
      </c>
      <c r="G9798" s="72">
        <v>3093</v>
      </c>
    </row>
    <row r="9799" spans="1:7" ht="14.5">
      <c r="A9799" s="3" t="s">
        <v>9115</v>
      </c>
      <c r="B9799" s="12" t="s">
        <v>2891</v>
      </c>
      <c r="C9799" s="46" t="s">
        <v>9791</v>
      </c>
      <c r="D9799" s="41" t="str">
        <f ca="1">IFERROR(__xludf.DUMMYFUNCTION("IFERROR(ARRAYFORMULA(REGEXEXTRACT(C9799,""^(?:https?:\/\/)?(?:[^@\n]+@)?(?:www\.)?([^:\/\n]+)"")),"""")"),"khushmag.com")</f>
        <v>khushmag.com</v>
      </c>
      <c r="E9799" s="26" t="str">
        <f ca="1">IFERROR(__xludf.DUMMYFUNCTION("""COMPUTED_VALUE"""),"New")</f>
        <v>New</v>
      </c>
      <c r="F9799" s="72">
        <v>31</v>
      </c>
      <c r="G9799" s="72">
        <v>5254</v>
      </c>
    </row>
    <row r="9800" spans="1:7" ht="14.5">
      <c r="A9800" s="3" t="s">
        <v>9115</v>
      </c>
      <c r="B9800" s="12" t="s">
        <v>2891</v>
      </c>
      <c r="C9800" s="46" t="s">
        <v>9792</v>
      </c>
      <c r="D9800" s="41" t="str">
        <f ca="1">IFERROR(__xludf.DUMMYFUNCTION("IFERROR(ARRAYFORMULA(REGEXEXTRACT(C9800,""^(?:https?:\/\/)?(?:[^@\n]+@)?(?:www\.)?([^:\/\n]+)"")),"""")"),"ecofurnituredesign.com")</f>
        <v>ecofurnituredesign.com</v>
      </c>
      <c r="E9800" s="26" t="str">
        <f ca="1">IFERROR(__xludf.DUMMYFUNCTION("""COMPUTED_VALUE"""),"New")</f>
        <v>New</v>
      </c>
      <c r="F9800" s="72">
        <v>34</v>
      </c>
      <c r="G9800" s="72">
        <v>3069</v>
      </c>
    </row>
    <row r="9801" spans="1:7" ht="14.5">
      <c r="A9801" s="3" t="s">
        <v>9115</v>
      </c>
      <c r="B9801" s="12" t="s">
        <v>2891</v>
      </c>
      <c r="C9801" s="46" t="s">
        <v>9793</v>
      </c>
      <c r="D9801" s="41" t="str">
        <f ca="1">IFERROR(__xludf.DUMMYFUNCTION("IFERROR(ARRAYFORMULA(REGEXEXTRACT(C9801,""^(?:https?:\/\/)?(?:[^@\n]+@)?(?:www\.)?([^:\/\n]+)"")),"""")"),"squaremile.com")</f>
        <v>squaremile.com</v>
      </c>
      <c r="E9801" s="26" t="str">
        <f ca="1">IFERROR(__xludf.DUMMYFUNCTION("""COMPUTED_VALUE"""),"New")</f>
        <v>New</v>
      </c>
      <c r="F9801" s="72">
        <v>65</v>
      </c>
      <c r="G9801" s="72">
        <v>20007</v>
      </c>
    </row>
    <row r="9802" spans="1:7" ht="14.5">
      <c r="A9802" s="3" t="s">
        <v>9115</v>
      </c>
      <c r="B9802" s="12" t="s">
        <v>2891</v>
      </c>
      <c r="C9802" s="46" t="s">
        <v>9794</v>
      </c>
      <c r="D9802" s="41" t="str">
        <f ca="1">IFERROR(__xludf.DUMMYFUNCTION("IFERROR(ARRAYFORMULA(REGEXEXTRACT(C9802,""^(?:https?:\/\/)?(?:[^@\n]+@)?(?:www\.)?([^:\/\n]+)"")),"""")"),"decormatters.com")</f>
        <v>decormatters.com</v>
      </c>
      <c r="E9802" s="26" t="str">
        <f ca="1">IFERROR(__xludf.DUMMYFUNCTION("""COMPUTED_VALUE"""),"New")</f>
        <v>New</v>
      </c>
      <c r="F9802" s="72">
        <v>55</v>
      </c>
      <c r="G9802" s="72">
        <v>3899</v>
      </c>
    </row>
    <row r="9803" spans="1:7" ht="14.5">
      <c r="A9803" s="3" t="s">
        <v>9115</v>
      </c>
      <c r="B9803" s="12" t="s">
        <v>2891</v>
      </c>
      <c r="C9803" s="46" t="s">
        <v>9795</v>
      </c>
      <c r="D9803" s="41" t="str">
        <f ca="1">IFERROR(__xludf.DUMMYFUNCTION("IFERROR(ARRAYFORMULA(REGEXEXTRACT(C9803,""^(?:https?:\/\/)?(?:[^@\n]+@)?(?:www\.)?([^:\/\n]+)"")),"""")"),"wellbeingmagazine.com")</f>
        <v>wellbeingmagazine.com</v>
      </c>
      <c r="E9803" s="26" t="str">
        <f ca="1">IFERROR(__xludf.DUMMYFUNCTION("""COMPUTED_VALUE"""),"New")</f>
        <v>New</v>
      </c>
      <c r="F9803" s="72">
        <v>59</v>
      </c>
      <c r="G9803" s="72">
        <v>1591</v>
      </c>
    </row>
    <row r="9804" spans="1:7" ht="14.5">
      <c r="A9804" s="3" t="s">
        <v>9115</v>
      </c>
      <c r="B9804" s="12" t="s">
        <v>2891</v>
      </c>
      <c r="C9804" s="46" t="s">
        <v>9796</v>
      </c>
      <c r="D9804" s="41" t="str">
        <f ca="1">IFERROR(__xludf.DUMMYFUNCTION("IFERROR(ARRAYFORMULA(REGEXEXTRACT(C9804,""^(?:https?:\/\/)?(?:[^@\n]+@)?(?:www\.)?([^:\/\n]+)"")),"""")"),"yankodesign.com")</f>
        <v>yankodesign.com</v>
      </c>
      <c r="E9804" s="26" t="str">
        <f ca="1">IFERROR(__xludf.DUMMYFUNCTION("""COMPUTED_VALUE"""),"New")</f>
        <v>New</v>
      </c>
      <c r="F9804" s="72">
        <v>78</v>
      </c>
      <c r="G9804" s="72">
        <v>16319</v>
      </c>
    </row>
    <row r="9805" spans="1:7" ht="14.5">
      <c r="A9805" s="3" t="s">
        <v>9115</v>
      </c>
      <c r="B9805" s="12" t="s">
        <v>2891</v>
      </c>
      <c r="C9805" s="46" t="s">
        <v>9797</v>
      </c>
      <c r="D9805" s="41" t="str">
        <f ca="1">IFERROR(__xludf.DUMMYFUNCTION("IFERROR(ARRAYFORMULA(REGEXEXTRACT(C9805,""^(?:https?:\/\/)?(?:[^@\n]+@)?(?:www\.)?([^:\/\n]+)"")),"""")"),"cheviotproducts.com")</f>
        <v>cheviotproducts.com</v>
      </c>
      <c r="E9805" s="26" t="str">
        <f ca="1">IFERROR(__xludf.DUMMYFUNCTION("""COMPUTED_VALUE"""),"New")</f>
        <v>New</v>
      </c>
      <c r="F9805" s="72">
        <v>37</v>
      </c>
      <c r="G9805" s="72">
        <v>1635</v>
      </c>
    </row>
    <row r="9806" spans="1:7" ht="14.5">
      <c r="A9806" s="3" t="s">
        <v>9115</v>
      </c>
      <c r="B9806" s="12" t="s">
        <v>2891</v>
      </c>
      <c r="C9806" s="46" t="s">
        <v>9798</v>
      </c>
      <c r="D9806" s="41" t="str">
        <f ca="1">IFERROR(__xludf.DUMMYFUNCTION("IFERROR(ARRAYFORMULA(REGEXEXTRACT(C9806,""^(?:https?:\/\/)?(?:[^@\n]+@)?(?:www\.)?([^:\/\n]+)"")),"""")"),"beta.hommes.studio")</f>
        <v>beta.hommes.studio</v>
      </c>
      <c r="E9806" s="26" t="str">
        <f ca="1">IFERROR(__xludf.DUMMYFUNCTION("""COMPUTED_VALUE"""),"New")</f>
        <v>New</v>
      </c>
      <c r="F9806" s="72">
        <v>50</v>
      </c>
      <c r="G9806" s="72">
        <v>25137</v>
      </c>
    </row>
    <row r="9807" spans="1:7" ht="14.5">
      <c r="A9807" s="3" t="s">
        <v>9115</v>
      </c>
      <c r="B9807" s="12" t="s">
        <v>2891</v>
      </c>
      <c r="C9807" s="46" t="s">
        <v>9799</v>
      </c>
      <c r="D9807" s="41" t="str">
        <f ca="1">IFERROR(__xludf.DUMMYFUNCTION("IFERROR(ARRAYFORMULA(REGEXEXTRACT(C9807,""^(?:https?:\/\/)?(?:[^@\n]+@)?(?:www\.)?([^:\/\n]+)"")),"""")"),"handypro.com")</f>
        <v>handypro.com</v>
      </c>
      <c r="E9807" s="26" t="str">
        <f ca="1">IFERROR(__xludf.DUMMYFUNCTION("""COMPUTED_VALUE"""),"New")</f>
        <v>New</v>
      </c>
      <c r="F9807" s="72">
        <v>28</v>
      </c>
      <c r="G9807" s="72">
        <v>8941</v>
      </c>
    </row>
    <row r="9808" spans="1:7" ht="14.5">
      <c r="A9808" s="3" t="s">
        <v>9115</v>
      </c>
      <c r="B9808" s="12" t="s">
        <v>2891</v>
      </c>
      <c r="C9808" s="46" t="s">
        <v>9800</v>
      </c>
      <c r="D9808" s="41" t="str">
        <f ca="1">IFERROR(__xludf.DUMMYFUNCTION("IFERROR(ARRAYFORMULA(REGEXEXTRACT(C9808,""^(?:https?:\/\/)?(?:[^@\n]+@)?(?:www\.)?([^:\/\n]+)"")),"""")"),"fusionfurnitureinc.com")</f>
        <v>fusionfurnitureinc.com</v>
      </c>
      <c r="E9808" s="26" t="str">
        <f ca="1">IFERROR(__xludf.DUMMYFUNCTION("""COMPUTED_VALUE"""),"New")</f>
        <v>New</v>
      </c>
      <c r="F9808" s="72">
        <v>32</v>
      </c>
      <c r="G9808" s="72">
        <v>1787</v>
      </c>
    </row>
    <row r="9809" spans="1:7" ht="14.5">
      <c r="A9809" s="3" t="s">
        <v>9115</v>
      </c>
      <c r="B9809" s="12" t="s">
        <v>2891</v>
      </c>
      <c r="C9809" s="46" t="s">
        <v>9801</v>
      </c>
      <c r="D9809" s="41" t="str">
        <f ca="1">IFERROR(__xludf.DUMMYFUNCTION("IFERROR(ARRAYFORMULA(REGEXEXTRACT(C9809,""^(?:https?:\/\/)?(?:[^@\n]+@)?(?:www\.)?([^:\/\n]+)"")),"""")"),"furniturenews.net")</f>
        <v>furniturenews.net</v>
      </c>
      <c r="E9809" s="26" t="str">
        <f ca="1">IFERROR(__xludf.DUMMYFUNCTION("""COMPUTED_VALUE"""),"New")</f>
        <v>New</v>
      </c>
      <c r="F9809" s="72">
        <v>51</v>
      </c>
      <c r="G9809" s="72">
        <v>1670</v>
      </c>
    </row>
    <row r="9810" spans="1:7" ht="14.5" hidden="1">
      <c r="A9810" s="3" t="s">
        <v>9115</v>
      </c>
      <c r="B9810" s="12" t="s">
        <v>2891</v>
      </c>
      <c r="C9810" s="46" t="s">
        <v>9802</v>
      </c>
      <c r="D9810" s="41" t="str">
        <f ca="1">IFERROR(__xludf.DUMMYFUNCTION("IFERROR(ARRAYFORMULA(REGEXEXTRACT(C9810,""^(?:https?:\/\/)?(?:[^@\n]+@)?(?:www\.)?([^:\/\n]+)"")),"""")"),"lovehappensmag.com")</f>
        <v>lovehappensmag.com</v>
      </c>
      <c r="E9810" s="26" t="str">
        <f ca="1">IFERROR(__xludf.DUMMYFUNCTION("""COMPUTED_VALUE"""),"Already Exists")</f>
        <v>Already Exists</v>
      </c>
      <c r="F9810" s="72">
        <v>58</v>
      </c>
      <c r="G9810" s="72">
        <v>4286</v>
      </c>
    </row>
    <row r="9811" spans="1:7" ht="14.5">
      <c r="A9811" s="3" t="s">
        <v>9115</v>
      </c>
      <c r="B9811" s="12" t="s">
        <v>2891</v>
      </c>
      <c r="C9811" s="46" t="s">
        <v>9803</v>
      </c>
      <c r="D9811" s="41" t="str">
        <f ca="1">IFERROR(__xludf.DUMMYFUNCTION("IFERROR(ARRAYFORMULA(REGEXEXTRACT(C9811,""^(?:https?:\/\/)?(?:[^@\n]+@)?(?:www\.)?([^:\/\n]+)"")),"""")"),"uk.ezilon.com")</f>
        <v>uk.ezilon.com</v>
      </c>
      <c r="E9811" s="26" t="str">
        <f ca="1">IFERROR(__xludf.DUMMYFUNCTION("""COMPUTED_VALUE"""),"New")</f>
        <v>New</v>
      </c>
      <c r="F9811" s="72">
        <v>55</v>
      </c>
      <c r="G9811" s="72">
        <v>72329</v>
      </c>
    </row>
    <row r="9812" spans="1:7" ht="14.5">
      <c r="A9812" s="3" t="s">
        <v>9115</v>
      </c>
      <c r="B9812" s="12" t="s">
        <v>2891</v>
      </c>
      <c r="C9812" s="46" t="s">
        <v>9804</v>
      </c>
      <c r="D9812" s="41" t="str">
        <f ca="1">IFERROR(__xludf.DUMMYFUNCTION("IFERROR(ARRAYFORMULA(REGEXEXTRACT(C9812,""^(?:https?:\/\/)?(?:[^@\n]+@)?(?:www\.)?([^:\/\n]+)"")),"""")"),"managementtoday.co.uk")</f>
        <v>managementtoday.co.uk</v>
      </c>
      <c r="E9812" s="26" t="str">
        <f ca="1">IFERROR(__xludf.DUMMYFUNCTION("""COMPUTED_VALUE"""),"New")</f>
        <v>New</v>
      </c>
      <c r="F9812" s="72">
        <v>74</v>
      </c>
      <c r="G9812" s="72">
        <v>1299</v>
      </c>
    </row>
    <row r="9813" spans="1:7" ht="14.5" hidden="1">
      <c r="A9813" s="3" t="s">
        <v>9115</v>
      </c>
      <c r="B9813" s="12" t="s">
        <v>2891</v>
      </c>
      <c r="C9813" s="46" t="s">
        <v>9805</v>
      </c>
      <c r="D9813" s="41" t="str">
        <f ca="1">IFERROR(__xludf.DUMMYFUNCTION("IFERROR(ARRAYFORMULA(REGEXEXTRACT(C9813,""^(?:https?:\/\/)?(?:[^@\n]+@)?(?:www\.)?([^:\/\n]+)"")),"""")"),"padmagazine.co.uk")</f>
        <v>padmagazine.co.uk</v>
      </c>
      <c r="E9813" s="26" t="str">
        <f ca="1">IFERROR(__xludf.DUMMYFUNCTION("""COMPUTED_VALUE"""),"Already Exists")</f>
        <v>Already Exists</v>
      </c>
      <c r="F9813" s="72">
        <v>32</v>
      </c>
      <c r="G9813" s="72">
        <v>2025</v>
      </c>
    </row>
    <row r="9814" spans="1:7" ht="14.5">
      <c r="A9814" s="3" t="s">
        <v>9115</v>
      </c>
      <c r="B9814" s="12" t="s">
        <v>2891</v>
      </c>
      <c r="C9814" s="46" t="s">
        <v>9806</v>
      </c>
      <c r="D9814" s="41" t="str">
        <f ca="1">IFERROR(__xludf.DUMMYFUNCTION("IFERROR(ARRAYFORMULA(REGEXEXTRACT(C9814,""^(?:https?:\/\/)?(?:[^@\n]+@)?(?:www\.)?([^:\/\n]+)"")),"""")"),"goodhomesmagazine.com")</f>
        <v>goodhomesmagazine.com</v>
      </c>
      <c r="E9814" s="26" t="str">
        <f ca="1">IFERROR(__xludf.DUMMYFUNCTION("""COMPUTED_VALUE"""),"New")</f>
        <v>New</v>
      </c>
      <c r="F9814" s="72">
        <v>59</v>
      </c>
      <c r="G9814" s="72">
        <v>9422</v>
      </c>
    </row>
    <row r="9815" spans="1:7" ht="14.5">
      <c r="A9815" s="3" t="s">
        <v>9115</v>
      </c>
      <c r="B9815" s="12" t="s">
        <v>2891</v>
      </c>
      <c r="C9815" s="46" t="s">
        <v>9807</v>
      </c>
      <c r="D9815" s="41" t="str">
        <f ca="1">IFERROR(__xludf.DUMMYFUNCTION("IFERROR(ARRAYFORMULA(REGEXEXTRACT(C9815,""^(?:https?:\/\/)?(?:[^@\n]+@)?(?:www\.)?([^:\/\n]+)"")),"""")"),"sejasa.com")</f>
        <v>sejasa.com</v>
      </c>
      <c r="E9815" s="26" t="str">
        <f ca="1">IFERROR(__xludf.DUMMYFUNCTION("""COMPUTED_VALUE"""),"New")</f>
        <v>New</v>
      </c>
      <c r="F9815" s="72">
        <v>47</v>
      </c>
      <c r="G9815" s="72">
        <v>81286</v>
      </c>
    </row>
    <row r="9816" spans="1:7" ht="14.5" hidden="1">
      <c r="A9816" s="3" t="s">
        <v>9115</v>
      </c>
      <c r="B9816" s="12" t="s">
        <v>2891</v>
      </c>
      <c r="C9816" s="46" t="s">
        <v>9808</v>
      </c>
      <c r="D9816" s="41" t="str">
        <f ca="1">IFERROR(__xludf.DUMMYFUNCTION("IFERROR(ARRAYFORMULA(REGEXEXTRACT(C9816,""^(?:https?:\/\/)?(?:[^@\n]+@)?(?:www\.)?([^:\/\n]+)"")),"""")"),"hnmagazine.co.uk")</f>
        <v>hnmagazine.co.uk</v>
      </c>
      <c r="E9816" s="26" t="str">
        <f ca="1">IFERROR(__xludf.DUMMYFUNCTION("""COMPUTED_VALUE"""),"Already Exists")</f>
        <v>Already Exists</v>
      </c>
      <c r="F9816" s="72">
        <v>44</v>
      </c>
      <c r="G9816" s="72">
        <v>1007</v>
      </c>
    </row>
    <row r="9817" spans="1:7" ht="14.5">
      <c r="A9817" s="3" t="s">
        <v>9115</v>
      </c>
      <c r="B9817" s="12" t="s">
        <v>2891</v>
      </c>
      <c r="C9817" s="46" t="s">
        <v>9809</v>
      </c>
      <c r="D9817" s="41" t="str">
        <f ca="1">IFERROR(__xludf.DUMMYFUNCTION("IFERROR(ARRAYFORMULA(REGEXEXTRACT(C9817,""^(?:https?:\/\/)?(?:[^@\n]+@)?(?:www\.)?([^:\/\n]+)"")),"""")"),"brittany.com.ph")</f>
        <v>brittany.com.ph</v>
      </c>
      <c r="E9817" s="26" t="str">
        <f ca="1">IFERROR(__xludf.DUMMYFUNCTION("""COMPUTED_VALUE"""),"New")</f>
        <v>New</v>
      </c>
      <c r="F9817" s="72">
        <v>44</v>
      </c>
      <c r="G9817" s="72">
        <v>4729</v>
      </c>
    </row>
    <row r="9818" spans="1:7" ht="14.5">
      <c r="A9818" s="3" t="s">
        <v>9115</v>
      </c>
      <c r="B9818" s="12" t="s">
        <v>2891</v>
      </c>
      <c r="C9818" s="46" t="s">
        <v>9810</v>
      </c>
      <c r="D9818" s="41" t="str">
        <f ca="1">IFERROR(__xludf.DUMMYFUNCTION("IFERROR(ARRAYFORMULA(REGEXEXTRACT(C9818,""^(?:https?:\/\/)?(?:[^@\n]+@)?(?:www\.)?([^:\/\n]+)"")),"""")"),"camella.com.ph")</f>
        <v>camella.com.ph</v>
      </c>
      <c r="E9818" s="26" t="str">
        <f ca="1">IFERROR(__xludf.DUMMYFUNCTION("""COMPUTED_VALUE"""),"New")</f>
        <v>New</v>
      </c>
      <c r="F9818" s="72">
        <v>43</v>
      </c>
      <c r="G9818" s="72">
        <v>13092</v>
      </c>
    </row>
    <row r="9819" spans="1:7" ht="14.5">
      <c r="A9819" s="3" t="s">
        <v>9115</v>
      </c>
      <c r="B9819" s="12" t="s">
        <v>2891</v>
      </c>
      <c r="C9819" s="46" t="s">
        <v>9811</v>
      </c>
      <c r="D9819" s="41" t="str">
        <f ca="1">IFERROR(__xludf.DUMMYFUNCTION("IFERROR(ARRAYFORMULA(REGEXEXTRACT(C9819,""^(?:https?:\/\/)?(?:[^@\n]+@)?(?:www\.)?([^:\/\n]+)"")),"""")"),"magazinehorse.com")</f>
        <v>magazinehorse.com</v>
      </c>
      <c r="E9819" s="26" t="str">
        <f ca="1">IFERROR(__xludf.DUMMYFUNCTION("""COMPUTED_VALUE"""),"New")</f>
        <v>New</v>
      </c>
      <c r="F9819" s="72">
        <v>34</v>
      </c>
      <c r="G9819" s="72">
        <v>1801</v>
      </c>
    </row>
    <row r="9820" spans="1:7" ht="14.5" hidden="1">
      <c r="A9820" s="3" t="s">
        <v>9115</v>
      </c>
      <c r="B9820" s="12" t="s">
        <v>2891</v>
      </c>
      <c r="C9820" s="46" t="s">
        <v>9812</v>
      </c>
      <c r="D9820" s="41" t="str">
        <f ca="1">IFERROR(__xludf.DUMMYFUNCTION("IFERROR(ARRAYFORMULA(REGEXEXTRACT(C9820,""^(?:https?:\/\/)?(?:[^@\n]+@)?(?:www\.)?([^:\/\n]+)"")),"""")"),"freshdesignblog.com")</f>
        <v>freshdesignblog.com</v>
      </c>
      <c r="E9820" s="26" t="str">
        <f ca="1">IFERROR(__xludf.DUMMYFUNCTION("""COMPUTED_VALUE"""),"Already Exists")</f>
        <v>Already Exists</v>
      </c>
      <c r="F9820" s="72">
        <v>56</v>
      </c>
      <c r="G9820" s="72">
        <v>1022</v>
      </c>
    </row>
    <row r="9821" spans="1:7" ht="14.5" hidden="1">
      <c r="A9821" s="3" t="s">
        <v>9115</v>
      </c>
      <c r="B9821" s="12" t="s">
        <v>2891</v>
      </c>
      <c r="C9821" s="46" t="s">
        <v>9813</v>
      </c>
      <c r="D9821" s="41" t="str">
        <f ca="1">IFERROR(__xludf.DUMMYFUNCTION("IFERROR(ARRAYFORMULA(REGEXEXTRACT(C9821,""^(?:https?:\/\/)?(?:[^@\n]+@)?(?:www\.)?([^:\/\n]+)"")),"""")"),"offthemrkt.com")</f>
        <v>offthemrkt.com</v>
      </c>
      <c r="E9821" s="26" t="str">
        <f ca="1">IFERROR(__xludf.DUMMYFUNCTION("""COMPUTED_VALUE"""),"Already Exists")</f>
        <v>Already Exists</v>
      </c>
      <c r="F9821" s="72">
        <v>63</v>
      </c>
      <c r="G9821" s="72">
        <v>1155</v>
      </c>
    </row>
    <row r="9822" spans="1:7" ht="14.5">
      <c r="A9822" s="3" t="s">
        <v>9115</v>
      </c>
      <c r="B9822" s="12" t="s">
        <v>2891</v>
      </c>
      <c r="C9822" s="46" t="s">
        <v>9814</v>
      </c>
      <c r="D9822" s="41" t="str">
        <f ca="1">IFERROR(__xludf.DUMMYFUNCTION("IFERROR(ARRAYFORMULA(REGEXEXTRACT(C9822,""^(?:https?:\/\/)?(?:[^@\n]+@)?(?:www\.)?([^:\/\n]+)"")),"""")"),"domusnova.com")</f>
        <v>domusnova.com</v>
      </c>
      <c r="E9822" s="26" t="str">
        <f ca="1">IFERROR(__xludf.DUMMYFUNCTION("""COMPUTED_VALUE"""),"New")</f>
        <v>New</v>
      </c>
      <c r="F9822" s="72">
        <v>47</v>
      </c>
      <c r="G9822" s="72">
        <v>6262</v>
      </c>
    </row>
    <row r="9823" spans="1:7" ht="14.5">
      <c r="A9823" s="3" t="s">
        <v>9115</v>
      </c>
      <c r="B9823" s="12" t="s">
        <v>2891</v>
      </c>
      <c r="C9823" s="46" t="s">
        <v>9815</v>
      </c>
      <c r="D9823" s="41" t="str">
        <f ca="1">IFERROR(__xludf.DUMMYFUNCTION("IFERROR(ARRAYFORMULA(REGEXEXTRACT(C9823,""^(?:https?:\/\/)?(?:[^@\n]+@)?(?:www\.)?([^:\/\n]+)"")),"""")"),"humphreymunson.co.uk")</f>
        <v>humphreymunson.co.uk</v>
      </c>
      <c r="E9823" s="26" t="str">
        <f ca="1">IFERROR(__xludf.DUMMYFUNCTION("""COMPUTED_VALUE"""),"New")</f>
        <v>New</v>
      </c>
      <c r="F9823" s="72">
        <v>41</v>
      </c>
      <c r="G9823" s="72">
        <v>1301</v>
      </c>
    </row>
    <row r="9824" spans="1:7" ht="14.5" hidden="1">
      <c r="A9824" s="3" t="s">
        <v>9115</v>
      </c>
      <c r="B9824" s="12" t="s">
        <v>2891</v>
      </c>
      <c r="C9824" s="46" t="s">
        <v>9816</v>
      </c>
      <c r="D9824" s="41" t="str">
        <f ca="1">IFERROR(__xludf.DUMMYFUNCTION("IFERROR(ARRAYFORMULA(REGEXEXTRACT(C9824,""^(?:https?:\/\/)?(?:[^@\n]+@)?(?:www\.)?([^:\/\n]+)"")),"""")"),"mossandfog.com")</f>
        <v>mossandfog.com</v>
      </c>
      <c r="E9824" s="26" t="str">
        <f ca="1">IFERROR(__xludf.DUMMYFUNCTION("""COMPUTED_VALUE"""),"Already Exists")</f>
        <v>Already Exists</v>
      </c>
      <c r="F9824" s="72">
        <v>48</v>
      </c>
      <c r="G9824" s="72">
        <v>1501</v>
      </c>
    </row>
    <row r="9825" spans="1:7" ht="14.5">
      <c r="A9825" s="3" t="s">
        <v>9115</v>
      </c>
      <c r="B9825" s="12" t="s">
        <v>2891</v>
      </c>
      <c r="C9825" s="46" t="s">
        <v>9817</v>
      </c>
      <c r="D9825" s="41" t="str">
        <f ca="1">IFERROR(__xludf.DUMMYFUNCTION("IFERROR(ARRAYFORMULA(REGEXEXTRACT(C9825,""^(?:https?:\/\/)?(?:[^@\n]+@)?(?:www\.)?([^:\/\n]+)"")),"""")"),"ft.com")</f>
        <v>ft.com</v>
      </c>
      <c r="E9825" s="26" t="str">
        <f ca="1">IFERROR(__xludf.DUMMYFUNCTION("""COMPUTED_VALUE"""),"New")</f>
        <v>New</v>
      </c>
      <c r="F9825" s="72">
        <v>92</v>
      </c>
      <c r="G9825" s="72">
        <v>3472587</v>
      </c>
    </row>
    <row r="9826" spans="1:7" ht="14.5">
      <c r="A9826" s="3" t="s">
        <v>9115</v>
      </c>
      <c r="B9826" s="12" t="s">
        <v>2891</v>
      </c>
      <c r="C9826" s="46" t="s">
        <v>9818</v>
      </c>
      <c r="D9826" s="41" t="str">
        <f ca="1">IFERROR(__xludf.DUMMYFUNCTION("IFERROR(ARRAYFORMULA(REGEXEXTRACT(C9826,""^(?:https?:\/\/)?(?:[^@\n]+@)?(?:www\.)?([^:\/\n]+)"")),"""")"),"onlinemoneyadvisor.co.uk")</f>
        <v>onlinemoneyadvisor.co.uk</v>
      </c>
      <c r="E9826" s="26" t="str">
        <f ca="1">IFERROR(__xludf.DUMMYFUNCTION("""COMPUTED_VALUE"""),"New")</f>
        <v>New</v>
      </c>
      <c r="F9826" s="72">
        <v>32</v>
      </c>
      <c r="G9826" s="72">
        <v>9768</v>
      </c>
    </row>
    <row r="9827" spans="1:7" ht="14.5">
      <c r="A9827" s="3" t="s">
        <v>9115</v>
      </c>
      <c r="B9827" s="12" t="s">
        <v>2891</v>
      </c>
      <c r="C9827" s="46" t="s">
        <v>9819</v>
      </c>
      <c r="D9827" s="41" t="str">
        <f ca="1">IFERROR(__xludf.DUMMYFUNCTION("IFERROR(ARRAYFORMULA(REGEXEXTRACT(C9827,""^(?:https?:\/\/)?(?:[^@\n]+@)?(?:www\.)?([^:\/\n]+)"")),"""")"),"bocadolobo.com")</f>
        <v>bocadolobo.com</v>
      </c>
      <c r="E9827" s="26" t="str">
        <f ca="1">IFERROR(__xludf.DUMMYFUNCTION("""COMPUTED_VALUE"""),"New")</f>
        <v>New</v>
      </c>
      <c r="F9827" s="72">
        <v>60</v>
      </c>
      <c r="G9827" s="72">
        <v>17473</v>
      </c>
    </row>
    <row r="9828" spans="1:7" ht="14.5">
      <c r="A9828" s="3" t="s">
        <v>9115</v>
      </c>
      <c r="B9828" s="12" t="s">
        <v>2891</v>
      </c>
      <c r="C9828" s="46" t="s">
        <v>9820</v>
      </c>
      <c r="D9828" s="41" t="str">
        <f ca="1">IFERROR(__xludf.DUMMYFUNCTION("IFERROR(ARRAYFORMULA(REGEXEXTRACT(C9828,""^(?:https?:\/\/)?(?:[^@\n]+@)?(?:www\.)?([^:\/\n]+)"")),"""")"),"edwardmartin.com")</f>
        <v>edwardmartin.com</v>
      </c>
      <c r="E9828" s="26" t="str">
        <f ca="1">IFERROR(__xludf.DUMMYFUNCTION("""COMPUTED_VALUE"""),"New")</f>
        <v>New</v>
      </c>
      <c r="F9828" s="72">
        <v>40</v>
      </c>
      <c r="G9828" s="72">
        <v>60568</v>
      </c>
    </row>
    <row r="9829" spans="1:7" ht="14.5">
      <c r="A9829" s="3" t="s">
        <v>9115</v>
      </c>
      <c r="B9829" s="12" t="s">
        <v>2891</v>
      </c>
      <c r="C9829" s="46" t="s">
        <v>9821</v>
      </c>
      <c r="D9829" s="41" t="str">
        <f ca="1">IFERROR(__xludf.DUMMYFUNCTION("IFERROR(ARRAYFORMULA(REGEXEXTRACT(C9829,""^(?:https?:\/\/)?(?:[^@\n]+@)?(?:www\.)?([^:\/\n]+)"")),"""")"),"caravansonnet.com")</f>
        <v>caravansonnet.com</v>
      </c>
      <c r="E9829" s="26" t="str">
        <f ca="1">IFERROR(__xludf.DUMMYFUNCTION("""COMPUTED_VALUE"""),"New")</f>
        <v>New</v>
      </c>
      <c r="F9829" s="72">
        <v>36</v>
      </c>
      <c r="G9829" s="72">
        <v>4627</v>
      </c>
    </row>
    <row r="9830" spans="1:7" ht="14.5">
      <c r="A9830" s="3" t="s">
        <v>9115</v>
      </c>
      <c r="B9830" s="12" t="s">
        <v>2891</v>
      </c>
      <c r="C9830" s="46" t="s">
        <v>9822</v>
      </c>
      <c r="D9830" s="41" t="str">
        <f ca="1">IFERROR(__xludf.DUMMYFUNCTION("IFERROR(ARRAYFORMULA(REGEXEXTRACT(C9830,""^(?:https?:\/\/)?(?:[^@\n]+@)?(?:www\.)?([^:\/\n]+)"")),"""")"),"ecowhides.com")</f>
        <v>ecowhides.com</v>
      </c>
      <c r="E9830" s="26" t="str">
        <f ca="1">IFERROR(__xludf.DUMMYFUNCTION("""COMPUTED_VALUE"""),"New")</f>
        <v>New</v>
      </c>
      <c r="F9830" s="72">
        <v>32</v>
      </c>
      <c r="G9830" s="72">
        <v>8291</v>
      </c>
    </row>
    <row r="9831" spans="1:7" ht="14.5" hidden="1">
      <c r="A9831" s="3" t="s">
        <v>9115</v>
      </c>
      <c r="B9831" s="12" t="s">
        <v>2891</v>
      </c>
      <c r="C9831" s="46" t="s">
        <v>9823</v>
      </c>
      <c r="D9831" s="41" t="str">
        <f ca="1">IFERROR(__xludf.DUMMYFUNCTION("IFERROR(ARRAYFORMULA(REGEXEXTRACT(C9831,""^(?:https?:\/\/)?(?:[^@\n]+@)?(?:www\.)?([^:\/\n]+)"")),"""")"),"terristeffes.com")</f>
        <v>terristeffes.com</v>
      </c>
      <c r="E9831" s="26" t="str">
        <f ca="1">IFERROR(__xludf.DUMMYFUNCTION("""COMPUTED_VALUE"""),"Already Exists")</f>
        <v>Already Exists</v>
      </c>
      <c r="F9831" s="72">
        <v>50</v>
      </c>
      <c r="G9831" s="72">
        <v>1938</v>
      </c>
    </row>
    <row r="9832" spans="1:7" ht="14.5" hidden="1">
      <c r="A9832" s="3" t="s">
        <v>9115</v>
      </c>
      <c r="B9832" s="12" t="s">
        <v>2891</v>
      </c>
      <c r="C9832" s="46" t="s">
        <v>9824</v>
      </c>
      <c r="D9832" s="41" t="str">
        <f ca="1">IFERROR(__xludf.DUMMYFUNCTION("IFERROR(ARRAYFORMULA(REGEXEXTRACT(C9832,""^(?:https?:\/\/)?(?:[^@\n]+@)?(?:www\.)?([^:\/\n]+)"")),"""")"),"designscene.net")</f>
        <v>designscene.net</v>
      </c>
      <c r="E9832" s="26" t="str">
        <f ca="1">IFERROR(__xludf.DUMMYFUNCTION("""COMPUTED_VALUE"""),"Already Exists")</f>
        <v>Already Exists</v>
      </c>
      <c r="F9832" s="72">
        <v>70</v>
      </c>
      <c r="G9832" s="72">
        <v>2635</v>
      </c>
    </row>
    <row r="9833" spans="1:7" ht="14.5">
      <c r="A9833" s="3" t="s">
        <v>9115</v>
      </c>
      <c r="B9833" s="12" t="s">
        <v>2891</v>
      </c>
      <c r="C9833" s="46" t="s">
        <v>9825</v>
      </c>
      <c r="D9833" s="41" t="str">
        <f ca="1">IFERROR(__xludf.DUMMYFUNCTION("IFERROR(ARRAYFORMULA(REGEXEXTRACT(C9833,""^(?:https?:\/\/)?(?:[^@\n]+@)?(?:www\.)?([^:\/\n]+)"")),"""")"),"hammonds-uk.com")</f>
        <v>hammonds-uk.com</v>
      </c>
      <c r="E9833" s="26" t="str">
        <f ca="1">IFERROR(__xludf.DUMMYFUNCTION("""COMPUTED_VALUE"""),"New")</f>
        <v>New</v>
      </c>
      <c r="F9833" s="72">
        <v>55</v>
      </c>
      <c r="G9833" s="72">
        <v>44813</v>
      </c>
    </row>
    <row r="9834" spans="1:7" ht="14.5">
      <c r="A9834" s="3" t="s">
        <v>9115</v>
      </c>
      <c r="B9834" s="12" t="s">
        <v>2891</v>
      </c>
      <c r="C9834" s="46" t="s">
        <v>9826</v>
      </c>
      <c r="D9834" s="41" t="str">
        <f ca="1">IFERROR(__xludf.DUMMYFUNCTION("IFERROR(ARRAYFORMULA(REGEXEXTRACT(C9834,""^(?:https?:\/\/)?(?:[^@\n]+@)?(?:www\.)?([^:\/\n]+)"")),"""")"),"novaofcalifornia.com")</f>
        <v>novaofcalifornia.com</v>
      </c>
      <c r="E9834" s="26" t="str">
        <f ca="1">IFERROR(__xludf.DUMMYFUNCTION("""COMPUTED_VALUE"""),"New")</f>
        <v>New</v>
      </c>
      <c r="F9834" s="72">
        <v>38</v>
      </c>
      <c r="G9834" s="72">
        <v>3508</v>
      </c>
    </row>
    <row r="9835" spans="1:7" ht="14.5">
      <c r="A9835" s="3" t="s">
        <v>9115</v>
      </c>
      <c r="B9835" s="12" t="s">
        <v>2891</v>
      </c>
      <c r="C9835" s="46" t="s">
        <v>9827</v>
      </c>
      <c r="D9835" s="41" t="str">
        <f ca="1">IFERROR(__xludf.DUMMYFUNCTION("IFERROR(ARRAYFORMULA(REGEXEXTRACT(C9835,""^(?:https?:\/\/)?(?:[^@\n]+@)?(?:www\.)?([^:\/\n]+)"")),"""")"),"westlondonliving.co.uk")</f>
        <v>westlondonliving.co.uk</v>
      </c>
      <c r="E9835" s="26" t="str">
        <f ca="1">IFERROR(__xludf.DUMMYFUNCTION("""COMPUTED_VALUE"""),"New")</f>
        <v>New</v>
      </c>
      <c r="F9835" s="72">
        <v>43</v>
      </c>
      <c r="G9835" s="72">
        <v>2862</v>
      </c>
    </row>
    <row r="9836" spans="1:7" ht="14.5">
      <c r="A9836" s="3" t="s">
        <v>9115</v>
      </c>
      <c r="B9836" s="12" t="s">
        <v>2891</v>
      </c>
      <c r="C9836" s="46" t="s">
        <v>9828</v>
      </c>
      <c r="D9836" s="41" t="str">
        <f ca="1">IFERROR(__xludf.DUMMYFUNCTION("IFERROR(ARRAYFORMULA(REGEXEXTRACT(C9836,""^(?:https?:\/\/)?(?:[^@\n]+@)?(?:www\.)?([^:\/\n]+)"")),"""")"),"cbinsights.com")</f>
        <v>cbinsights.com</v>
      </c>
      <c r="E9836" s="26" t="str">
        <f ca="1">IFERROR(__xludf.DUMMYFUNCTION("""COMPUTED_VALUE"""),"New")</f>
        <v>New</v>
      </c>
      <c r="F9836" s="72">
        <v>86</v>
      </c>
      <c r="G9836" s="72">
        <v>103489</v>
      </c>
    </row>
    <row r="9837" spans="1:7" ht="14.5">
      <c r="A9837" s="3" t="s">
        <v>9115</v>
      </c>
      <c r="B9837" s="12" t="s">
        <v>2891</v>
      </c>
      <c r="C9837" s="46" t="s">
        <v>9829</v>
      </c>
      <c r="D9837" s="41" t="str">
        <f ca="1">IFERROR(__xludf.DUMMYFUNCTION("IFERROR(ARRAYFORMULA(REGEXEXTRACT(C9837,""^(?:https?:\/\/)?(?:[^@\n]+@)?(?:www\.)?([^:\/\n]+)"")),"""")"),"katharinepooley.com")</f>
        <v>katharinepooley.com</v>
      </c>
      <c r="E9837" s="26" t="str">
        <f ca="1">IFERROR(__xludf.DUMMYFUNCTION("""COMPUTED_VALUE"""),"New")</f>
        <v>New</v>
      </c>
      <c r="F9837" s="72">
        <v>49</v>
      </c>
      <c r="G9837" s="72">
        <v>3120</v>
      </c>
    </row>
    <row r="9838" spans="1:7" ht="14.5">
      <c r="A9838" s="3" t="s">
        <v>9115</v>
      </c>
      <c r="B9838" s="12" t="s">
        <v>2891</v>
      </c>
      <c r="C9838" s="46" t="s">
        <v>9830</v>
      </c>
      <c r="D9838" s="41" t="str">
        <f ca="1">IFERROR(__xludf.DUMMYFUNCTION("IFERROR(ARRAYFORMULA(REGEXEXTRACT(C9838,""^(?:https?:\/\/)?(?:[^@\n]+@)?(?:www\.)?([^:\/\n]+)"")),"""")"),"designedbywoulfe.com")</f>
        <v>designedbywoulfe.com</v>
      </c>
      <c r="E9838" s="26" t="str">
        <f ca="1">IFERROR(__xludf.DUMMYFUNCTION("""COMPUTED_VALUE"""),"New")</f>
        <v>New</v>
      </c>
      <c r="F9838" s="72">
        <v>45</v>
      </c>
      <c r="G9838" s="72">
        <v>1089</v>
      </c>
    </row>
    <row r="9839" spans="1:7" ht="14.5" hidden="1">
      <c r="A9839" s="3" t="s">
        <v>9115</v>
      </c>
      <c r="B9839" s="12" t="s">
        <v>2891</v>
      </c>
      <c r="C9839" s="46" t="s">
        <v>9831</v>
      </c>
      <c r="D9839" s="41" t="str">
        <f ca="1">IFERROR(__xludf.DUMMYFUNCTION("IFERROR(ARRAYFORMULA(REGEXEXTRACT(C9839,""^(?:https?:\/\/)?(?:[^@\n]+@)?(?:www\.)?([^:\/\n]+)"")),"""")"),"missljbeauty.com")</f>
        <v>missljbeauty.com</v>
      </c>
      <c r="E9839" s="26" t="str">
        <f ca="1">IFERROR(__xludf.DUMMYFUNCTION("""COMPUTED_VALUE"""),"Already Exists")</f>
        <v>Already Exists</v>
      </c>
      <c r="F9839" s="72">
        <v>31</v>
      </c>
      <c r="G9839" s="72">
        <v>24695</v>
      </c>
    </row>
    <row r="9840" spans="1:7" ht="14.5">
      <c r="A9840" s="3" t="s">
        <v>9115</v>
      </c>
      <c r="B9840" s="12" t="s">
        <v>2891</v>
      </c>
      <c r="C9840" s="46" t="s">
        <v>9832</v>
      </c>
      <c r="D9840" s="41" t="str">
        <f ca="1">IFERROR(__xludf.DUMMYFUNCTION("IFERROR(ARRAYFORMULA(REGEXEXTRACT(C9840,""^(?:https?:\/\/)?(?:[^@\n]+@)?(?:www\.)?([^:\/\n]+)"")),"""")"),"designconnected.com")</f>
        <v>designconnected.com</v>
      </c>
      <c r="E9840" s="26" t="str">
        <f ca="1">IFERROR(__xludf.DUMMYFUNCTION("""COMPUTED_VALUE"""),"New")</f>
        <v>New</v>
      </c>
      <c r="F9840" s="72">
        <v>50</v>
      </c>
      <c r="G9840" s="72">
        <v>4919</v>
      </c>
    </row>
    <row r="9841" spans="1:7" ht="14.5">
      <c r="A9841" s="3" t="s">
        <v>9115</v>
      </c>
      <c r="B9841" s="12" t="s">
        <v>2891</v>
      </c>
      <c r="C9841" s="46" t="s">
        <v>9833</v>
      </c>
      <c r="D9841" s="41" t="str">
        <f ca="1">IFERROR(__xludf.DUMMYFUNCTION("IFERROR(ARRAYFORMULA(REGEXEXTRACT(C9841,""^(?:https?:\/\/)?(?:[^@\n]+@)?(?:www\.)?([^:\/\n]+)"")),"""")"),"lovenoughty.com")</f>
        <v>lovenoughty.com</v>
      </c>
      <c r="E9841" s="26" t="str">
        <f ca="1">IFERROR(__xludf.DUMMYFUNCTION("""COMPUTED_VALUE"""),"New")</f>
        <v>New</v>
      </c>
      <c r="F9841" s="72">
        <v>25</v>
      </c>
      <c r="G9841" s="72">
        <v>1748</v>
      </c>
    </row>
    <row r="9842" spans="1:7" ht="14.5">
      <c r="A9842" s="3" t="s">
        <v>9115</v>
      </c>
      <c r="B9842" s="12" t="s">
        <v>2891</v>
      </c>
      <c r="C9842" s="46" t="s">
        <v>9834</v>
      </c>
      <c r="D9842" s="41" t="str">
        <f ca="1">IFERROR(__xludf.DUMMYFUNCTION("IFERROR(ARRAYFORMULA(REGEXEXTRACT(C9842,""^(?:https?:\/\/)?(?:[^@\n]+@)?(?:www\.)?([^:\/\n]+)"")),"""")"),"telegraph.co.uk")</f>
        <v>telegraph.co.uk</v>
      </c>
      <c r="E9842" s="26" t="str">
        <f ca="1">IFERROR(__xludf.DUMMYFUNCTION("""COMPUTED_VALUE"""),"New")</f>
        <v>New</v>
      </c>
      <c r="F9842" s="72">
        <v>91</v>
      </c>
      <c r="G9842" s="72">
        <v>5090660</v>
      </c>
    </row>
    <row r="9843" spans="1:7" ht="14.5">
      <c r="A9843" s="3" t="s">
        <v>9115</v>
      </c>
      <c r="B9843" s="12" t="s">
        <v>2891</v>
      </c>
      <c r="C9843" s="46" t="s">
        <v>9835</v>
      </c>
      <c r="D9843" s="41" t="str">
        <f ca="1">IFERROR(__xludf.DUMMYFUNCTION("IFERROR(ARRAYFORMULA(REGEXEXTRACT(C9843,""^(?:https?:\/\/)?(?:[^@\n]+@)?(?:www\.)?([^:\/\n]+)"")),"""")"),"topvoucherscode.co.uk")</f>
        <v>topvoucherscode.co.uk</v>
      </c>
      <c r="E9843" s="26" t="str">
        <f ca="1">IFERROR(__xludf.DUMMYFUNCTION("""COMPUTED_VALUE"""),"New")</f>
        <v>New</v>
      </c>
      <c r="F9843" s="72">
        <v>43</v>
      </c>
      <c r="G9843" s="72">
        <v>12682</v>
      </c>
    </row>
    <row r="9844" spans="1:7" ht="14.5" hidden="1">
      <c r="A9844" s="3" t="s">
        <v>9115</v>
      </c>
      <c r="B9844" s="12" t="s">
        <v>2891</v>
      </c>
      <c r="C9844" s="46" t="s">
        <v>9836</v>
      </c>
      <c r="D9844" s="41" t="str">
        <f ca="1">IFERROR(__xludf.DUMMYFUNCTION("IFERROR(ARRAYFORMULA(REGEXEXTRACT(C9844,""^(?:https?:\/\/)?(?:[^@\n]+@)?(?:www\.)?([^:\/\n]+)"")),"""")"),"thepinnaclelist.com")</f>
        <v>thepinnaclelist.com</v>
      </c>
      <c r="E9844" s="26" t="str">
        <f ca="1">IFERROR(__xludf.DUMMYFUNCTION("""COMPUTED_VALUE"""),"Already Exists")</f>
        <v>Already Exists</v>
      </c>
      <c r="F9844" s="72">
        <v>57</v>
      </c>
      <c r="G9844" s="72">
        <v>1211</v>
      </c>
    </row>
    <row r="9845" spans="1:7" ht="14.5">
      <c r="A9845" s="3" t="s">
        <v>9115</v>
      </c>
      <c r="B9845" s="12" t="s">
        <v>2891</v>
      </c>
      <c r="C9845" s="46" t="s">
        <v>9837</v>
      </c>
      <c r="D9845" s="41" t="str">
        <f ca="1">IFERROR(__xludf.DUMMYFUNCTION("IFERROR(ARRAYFORMULA(REGEXEXTRACT(C9845,""^(?:https?:\/\/)?(?:[^@\n]+@)?(?:www\.)?([^:\/\n]+)"")),"""")"),"shesweatsdiamonds.com")</f>
        <v>shesweatsdiamonds.com</v>
      </c>
      <c r="E9845" s="26" t="str">
        <f ca="1">IFERROR(__xludf.DUMMYFUNCTION("""COMPUTED_VALUE"""),"New")</f>
        <v>New</v>
      </c>
      <c r="F9845" s="72">
        <v>31</v>
      </c>
      <c r="G9845" s="72">
        <v>1109</v>
      </c>
    </row>
    <row r="9846" spans="1:7" ht="14.5" hidden="1">
      <c r="A9846" s="3" t="s">
        <v>9115</v>
      </c>
      <c r="B9846" s="12" t="s">
        <v>2891</v>
      </c>
      <c r="C9846" s="46" t="s">
        <v>9838</v>
      </c>
      <c r="D9846" s="41" t="str">
        <f ca="1">IFERROR(__xludf.DUMMYFUNCTION("IFERROR(ARRAYFORMULA(REGEXEXTRACT(C9846,""^(?:https?:\/\/)?(?:[^@\n]+@)?(?:www\.)?([^:\/\n]+)"")),"""")"),"tinyhouse.com")</f>
        <v>tinyhouse.com</v>
      </c>
      <c r="E9846" s="26" t="str">
        <f ca="1">IFERROR(__xludf.DUMMYFUNCTION("""COMPUTED_VALUE"""),"Already Exists")</f>
        <v>Already Exists</v>
      </c>
      <c r="F9846" s="72">
        <v>53</v>
      </c>
      <c r="G9846" s="72">
        <v>3945</v>
      </c>
    </row>
    <row r="9847" spans="1:7" ht="14.5">
      <c r="A9847" s="3" t="s">
        <v>9115</v>
      </c>
      <c r="B9847" s="12" t="s">
        <v>2891</v>
      </c>
      <c r="C9847" s="46" t="s">
        <v>9839</v>
      </c>
      <c r="D9847" s="41" t="str">
        <f ca="1">IFERROR(__xludf.DUMMYFUNCTION("IFERROR(ARRAYFORMULA(REGEXEXTRACT(C9847,""^(?:https?:\/\/)?(?:[^@\n]+@)?(?:www\.)?([^:\/\n]+)"")),"""")"),"thecodest.co")</f>
        <v>thecodest.co</v>
      </c>
      <c r="E9847" s="26" t="str">
        <f ca="1">IFERROR(__xludf.DUMMYFUNCTION("""COMPUTED_VALUE"""),"New")</f>
        <v>New</v>
      </c>
      <c r="F9847" s="72">
        <v>36</v>
      </c>
      <c r="G9847" s="72">
        <v>3264</v>
      </c>
    </row>
    <row r="9848" spans="1:7" ht="14.5" hidden="1">
      <c r="A9848" s="3" t="s">
        <v>9115</v>
      </c>
      <c r="B9848" s="12" t="s">
        <v>2891</v>
      </c>
      <c r="C9848" s="46" t="s">
        <v>9840</v>
      </c>
      <c r="D9848" s="41" t="str">
        <f ca="1">IFERROR(__xludf.DUMMYFUNCTION("IFERROR(ARRAYFORMULA(REGEXEXTRACT(C9848,""^(?:https?:\/\/)?(?:[^@\n]+@)?(?:www\.)?([^:\/\n]+)"")),"""")"),"calbizjournal.com")</f>
        <v>calbizjournal.com</v>
      </c>
      <c r="E9848" s="26" t="str">
        <f ca="1">IFERROR(__xludf.DUMMYFUNCTION("""COMPUTED_VALUE"""),"Already Exists")</f>
        <v>Already Exists</v>
      </c>
      <c r="F9848" s="72">
        <v>71</v>
      </c>
      <c r="G9848" s="72">
        <v>1012</v>
      </c>
    </row>
    <row r="9849" spans="1:7" ht="14.5">
      <c r="A9849" s="3" t="s">
        <v>9115</v>
      </c>
      <c r="B9849" s="12" t="s">
        <v>2891</v>
      </c>
      <c r="C9849" s="46" t="s">
        <v>9841</v>
      </c>
      <c r="D9849" s="41" t="str">
        <f ca="1">IFERROR(__xludf.DUMMYFUNCTION("IFERROR(ARRAYFORMULA(REGEXEXTRACT(C9849,""^(?:https?:\/\/)?(?:[^@\n]+@)?(?:www\.)?([^:\/\n]+)"")),"""")"),"brabbu.com")</f>
        <v>brabbu.com</v>
      </c>
      <c r="E9849" s="26" t="str">
        <f ca="1">IFERROR(__xludf.DUMMYFUNCTION("""COMPUTED_VALUE"""),"New")</f>
        <v>New</v>
      </c>
      <c r="F9849" s="72">
        <v>55</v>
      </c>
      <c r="G9849" s="72">
        <v>1165</v>
      </c>
    </row>
    <row r="9850" spans="1:7" ht="14.5">
      <c r="A9850" s="3" t="s">
        <v>9115</v>
      </c>
      <c r="B9850" s="12" t="s">
        <v>2891</v>
      </c>
      <c r="C9850" s="46" t="s">
        <v>9842</v>
      </c>
      <c r="D9850" s="41" t="str">
        <f ca="1">IFERROR(__xludf.DUMMYFUNCTION("IFERROR(ARRAYFORMULA(REGEXEXTRACT(C9850,""^(?:https?:\/\/)?(?:[^@\n]+@)?(?:www\.)?([^:\/\n]+)"")),"""")"),"www-ft-com.ezproxy.brunel.ac.uk")</f>
        <v>www-ft-com.ezproxy.brunel.ac.uk</v>
      </c>
      <c r="E9850" s="26" t="str">
        <f ca="1">IFERROR(__xludf.DUMMYFUNCTION("""COMPUTED_VALUE"""),"New")</f>
        <v>New</v>
      </c>
      <c r="F9850" s="72">
        <v>79</v>
      </c>
      <c r="G9850" s="72">
        <v>69849</v>
      </c>
    </row>
    <row r="9851" spans="1:7" ht="14.5">
      <c r="A9851" s="3" t="s">
        <v>9115</v>
      </c>
      <c r="B9851" s="12" t="s">
        <v>2891</v>
      </c>
      <c r="C9851" s="46" t="s">
        <v>9843</v>
      </c>
      <c r="D9851" s="41" t="str">
        <f ca="1">IFERROR(__xludf.DUMMYFUNCTION("IFERROR(ARRAYFORMULA(REGEXEXTRACT(C9851,""^(?:https?:\/\/)?(?:[^@\n]+@)?(?:www\.)?([^:\/\n]+)"")),"""")"),"oracleoftime.com")</f>
        <v>oracleoftime.com</v>
      </c>
      <c r="E9851" s="26" t="str">
        <f ca="1">IFERROR(__xludf.DUMMYFUNCTION("""COMPUTED_VALUE"""),"New")</f>
        <v>New</v>
      </c>
      <c r="F9851" s="72">
        <v>61</v>
      </c>
      <c r="G9851" s="72">
        <v>20373</v>
      </c>
    </row>
    <row r="9852" spans="1:7" ht="14.5">
      <c r="A9852" s="3" t="s">
        <v>9115</v>
      </c>
      <c r="B9852" s="12" t="s">
        <v>2891</v>
      </c>
      <c r="C9852" s="46" t="s">
        <v>9844</v>
      </c>
      <c r="D9852" s="41" t="str">
        <f ca="1">IFERROR(__xludf.DUMMYFUNCTION("IFERROR(ARRAYFORMULA(REGEXEXTRACT(C9852,""^(?:https?:\/\/)?(?:[^@\n]+@)?(?:www\.)?([^:\/\n]+)"")),"""")"),"pepalondon.com")</f>
        <v>pepalondon.com</v>
      </c>
      <c r="E9852" s="26" t="str">
        <f ca="1">IFERROR(__xludf.DUMMYFUNCTION("""COMPUTED_VALUE"""),"New")</f>
        <v>New</v>
      </c>
      <c r="F9852" s="72">
        <v>38</v>
      </c>
      <c r="G9852" s="72">
        <v>18499</v>
      </c>
    </row>
    <row r="9853" spans="1:7" ht="14.5">
      <c r="A9853" s="3" t="s">
        <v>9115</v>
      </c>
      <c r="B9853" s="12" t="s">
        <v>2891</v>
      </c>
      <c r="C9853" s="46" t="s">
        <v>9845</v>
      </c>
      <c r="D9853" s="41" t="str">
        <f ca="1">IFERROR(__xludf.DUMMYFUNCTION("IFERROR(ARRAYFORMULA(REGEXEXTRACT(C9853,""^(?:https?:\/\/)?(?:[^@\n]+@)?(?:www\.)?([^:\/\n]+)"")),"""")"),"podchaser.com")</f>
        <v>podchaser.com</v>
      </c>
      <c r="E9853" s="26" t="str">
        <f ca="1">IFERROR(__xludf.DUMMYFUNCTION("""COMPUTED_VALUE"""),"New")</f>
        <v>New</v>
      </c>
      <c r="F9853" s="72">
        <v>85</v>
      </c>
      <c r="G9853" s="72">
        <v>172110</v>
      </c>
    </row>
    <row r="9854" spans="1:7" ht="14.5">
      <c r="A9854" s="3" t="s">
        <v>9115</v>
      </c>
      <c r="B9854" s="12" t="s">
        <v>2891</v>
      </c>
      <c r="C9854" s="46" t="s">
        <v>9846</v>
      </c>
      <c r="D9854" s="41" t="str">
        <f ca="1">IFERROR(__xludf.DUMMYFUNCTION("IFERROR(ARRAYFORMULA(REGEXEXTRACT(C9854,""^(?:https?:\/\/)?(?:[^@\n]+@)?(?:www\.)?([^:\/\n]+)"")),"""")"),"subdomainfinder.c99.nl")</f>
        <v>subdomainfinder.c99.nl</v>
      </c>
      <c r="E9854" s="26" t="str">
        <f ca="1">IFERROR(__xludf.DUMMYFUNCTION("""COMPUTED_VALUE"""),"New")</f>
        <v>New</v>
      </c>
      <c r="F9854" s="72">
        <v>48</v>
      </c>
      <c r="G9854" s="72">
        <v>37074</v>
      </c>
    </row>
    <row r="9855" spans="1:7" ht="14.5">
      <c r="A9855" s="3" t="s">
        <v>9115</v>
      </c>
      <c r="B9855" s="12" t="s">
        <v>2891</v>
      </c>
      <c r="C9855" s="46" t="s">
        <v>9847</v>
      </c>
      <c r="D9855" s="41" t="str">
        <f ca="1">IFERROR(__xludf.DUMMYFUNCTION("IFERROR(ARRAYFORMULA(REGEXEXTRACT(C9855,""^(?:https?:\/\/)?(?:[^@\n]+@)?(?:www\.)?([^:\/\n]+)"")),"""")"),"covetedition.com")</f>
        <v>covetedition.com</v>
      </c>
      <c r="E9855" s="26" t="str">
        <f ca="1">IFERROR(__xludf.DUMMYFUNCTION("""COMPUTED_VALUE"""),"New")</f>
        <v>New</v>
      </c>
      <c r="F9855" s="72">
        <v>48</v>
      </c>
      <c r="G9855" s="72">
        <v>1002</v>
      </c>
    </row>
    <row r="9856" spans="1:7" ht="14.5">
      <c r="A9856" s="3" t="s">
        <v>9115</v>
      </c>
      <c r="B9856" s="12" t="s">
        <v>2891</v>
      </c>
      <c r="C9856" s="46" t="s">
        <v>9848</v>
      </c>
      <c r="D9856" s="41" t="str">
        <f ca="1">IFERROR(__xludf.DUMMYFUNCTION("IFERROR(ARRAYFORMULA(REGEXEXTRACT(C9856,""^(?:https?:\/\/)?(?:[^@\n]+@)?(?:www\.)?([^:\/\n]+)"")),"""")"),"signatureluxurytravel.com.au")</f>
        <v>signatureluxurytravel.com.au</v>
      </c>
      <c r="E9856" s="26" t="str">
        <f ca="1">IFERROR(__xludf.DUMMYFUNCTION("""COMPUTED_VALUE"""),"New")</f>
        <v>New</v>
      </c>
      <c r="F9856" s="72">
        <v>54</v>
      </c>
      <c r="G9856" s="72">
        <v>23181</v>
      </c>
    </row>
    <row r="9857" spans="1:7" ht="14.5">
      <c r="A9857" s="3" t="s">
        <v>9115</v>
      </c>
      <c r="B9857" s="12" t="s">
        <v>2891</v>
      </c>
      <c r="C9857" s="46" t="s">
        <v>9849</v>
      </c>
      <c r="D9857" s="41" t="str">
        <f ca="1">IFERROR(__xludf.DUMMYFUNCTION("IFERROR(ARRAYFORMULA(REGEXEXTRACT(C9857,""^(?:https?:\/\/)?(?:[^@\n]+@)?(?:www\.)?([^:\/\n]+)"")),"""")"),"luxurysociety.com")</f>
        <v>luxurysociety.com</v>
      </c>
      <c r="E9857" s="26" t="str">
        <f ca="1">IFERROR(__xludf.DUMMYFUNCTION("""COMPUTED_VALUE"""),"New")</f>
        <v>New</v>
      </c>
      <c r="F9857" s="72">
        <v>61</v>
      </c>
      <c r="G9857" s="72">
        <v>1303</v>
      </c>
    </row>
    <row r="9858" spans="1:7" ht="14.5">
      <c r="A9858" s="3" t="s">
        <v>9115</v>
      </c>
      <c r="B9858" s="12" t="s">
        <v>2891</v>
      </c>
      <c r="C9858" s="46" t="s">
        <v>9850</v>
      </c>
      <c r="D9858" s="41" t="str">
        <f ca="1">IFERROR(__xludf.DUMMYFUNCTION("IFERROR(ARRAYFORMULA(REGEXEXTRACT(C9858,""^(?:https?:\/\/)?(?:[^@\n]+@)?(?:www\.)?([^:\/\n]+)"")),"""")"),"elitebusinessmagazine.co.uk")</f>
        <v>elitebusinessmagazine.co.uk</v>
      </c>
      <c r="E9858" s="26" t="str">
        <f ca="1">IFERROR(__xludf.DUMMYFUNCTION("""COMPUTED_VALUE"""),"New")</f>
        <v>New</v>
      </c>
      <c r="F9858" s="72">
        <v>66</v>
      </c>
      <c r="G9858" s="72">
        <v>2339</v>
      </c>
    </row>
    <row r="9859" spans="1:7" ht="14.5">
      <c r="A9859" s="3" t="s">
        <v>9115</v>
      </c>
      <c r="B9859" s="12" t="s">
        <v>2891</v>
      </c>
      <c r="C9859" s="46" t="s">
        <v>9851</v>
      </c>
      <c r="D9859" s="41" t="str">
        <f ca="1">IFERROR(__xludf.DUMMYFUNCTION("IFERROR(ARRAYFORMULA(REGEXEXTRACT(C9859,""^(?:https?:\/\/)?(?:[^@\n]+@)?(?:www\.)?([^:\/\n]+)"")),"""")"),"trustprofile.com")</f>
        <v>trustprofile.com</v>
      </c>
      <c r="E9859" s="26" t="str">
        <f ca="1">IFERROR(__xludf.DUMMYFUNCTION("""COMPUTED_VALUE"""),"New")</f>
        <v>New</v>
      </c>
      <c r="F9859" s="72">
        <v>73</v>
      </c>
      <c r="G9859" s="72">
        <v>35281</v>
      </c>
    </row>
    <row r="9860" spans="1:7" ht="14.5">
      <c r="A9860" s="3" t="s">
        <v>9115</v>
      </c>
      <c r="B9860" s="12" t="s">
        <v>2891</v>
      </c>
      <c r="C9860" s="46" t="s">
        <v>9852</v>
      </c>
      <c r="D9860" s="41" t="str">
        <f ca="1">IFERROR(__xludf.DUMMYFUNCTION("IFERROR(ARRAYFORMULA(REGEXEXTRACT(C9860,""^(?:https?:\/\/)?(?:[^@\n]+@)?(?:www\.)?([^:\/\n]+)"")),"""")"),"edgeobeyond.com")</f>
        <v>edgeobeyond.com</v>
      </c>
      <c r="E9860" s="26" t="str">
        <f ca="1">IFERROR(__xludf.DUMMYFUNCTION("""COMPUTED_VALUE"""),"New")</f>
        <v>New</v>
      </c>
      <c r="F9860" s="72">
        <v>29</v>
      </c>
      <c r="G9860" s="72">
        <v>5300</v>
      </c>
    </row>
    <row r="9861" spans="1:7" ht="14.5">
      <c r="A9861" s="3" t="s">
        <v>9115</v>
      </c>
      <c r="B9861" s="12" t="s">
        <v>2891</v>
      </c>
      <c r="C9861" s="46" t="s">
        <v>9853</v>
      </c>
      <c r="D9861" s="41" t="str">
        <f ca="1">IFERROR(__xludf.DUMMYFUNCTION("IFERROR(ARRAYFORMULA(REGEXEXTRACT(C9861,""^(?:https?:\/\/)?(?:[^@\n]+@)?(?:www\.)?([^:\/\n]+)"")),"""")"),"llmrefs.com")</f>
        <v>llmrefs.com</v>
      </c>
      <c r="E9861" s="26" t="str">
        <f ca="1">IFERROR(__xludf.DUMMYFUNCTION("""COMPUTED_VALUE"""),"New")</f>
        <v>New</v>
      </c>
      <c r="F9861" s="72">
        <v>53</v>
      </c>
      <c r="G9861" s="72">
        <v>7713</v>
      </c>
    </row>
    <row r="9862" spans="1:7" ht="14.5">
      <c r="A9862" s="3" t="s">
        <v>9115</v>
      </c>
      <c r="B9862" s="12" t="s">
        <v>2891</v>
      </c>
      <c r="C9862" s="46" t="s">
        <v>9854</v>
      </c>
      <c r="D9862" s="41" t="str">
        <f ca="1">IFERROR(__xludf.DUMMYFUNCTION("IFERROR(ARRAYFORMULA(REGEXEXTRACT(C9862,""^(?:https?:\/\/)?(?:[^@\n]+@)?(?:www\.)?([^:\/\n]+)"")),"""")"),"sbid.org")</f>
        <v>sbid.org</v>
      </c>
      <c r="E9862" s="26" t="str">
        <f ca="1">IFERROR(__xludf.DUMMYFUNCTION("""COMPUTED_VALUE"""),"New")</f>
        <v>New</v>
      </c>
      <c r="F9862" s="72">
        <v>70</v>
      </c>
      <c r="G9862" s="72">
        <v>2187</v>
      </c>
    </row>
    <row r="9863" spans="1:7" ht="14.5">
      <c r="A9863" s="3" t="s">
        <v>9115</v>
      </c>
      <c r="B9863" s="12" t="s">
        <v>2891</v>
      </c>
      <c r="C9863" s="46" t="s">
        <v>9855</v>
      </c>
      <c r="D9863" s="41" t="str">
        <f ca="1">IFERROR(__xludf.DUMMYFUNCTION("IFERROR(ARRAYFORMULA(REGEXEXTRACT(C9863,""^(?:https?:\/\/)?(?:[^@\n]+@)?(?:www\.)?([^:\/\n]+)"")),"""")"),"easternaccents.com")</f>
        <v>easternaccents.com</v>
      </c>
      <c r="E9863" s="26" t="str">
        <f ca="1">IFERROR(__xludf.DUMMYFUNCTION("""COMPUTED_VALUE"""),"New")</f>
        <v>New</v>
      </c>
      <c r="F9863" s="72">
        <v>54</v>
      </c>
      <c r="G9863" s="72">
        <v>16622</v>
      </c>
    </row>
    <row r="9864" spans="1:7" ht="14.5">
      <c r="A9864" s="3" t="s">
        <v>9115</v>
      </c>
      <c r="B9864" s="12" t="s">
        <v>2891</v>
      </c>
      <c r="C9864" s="46" t="s">
        <v>9856</v>
      </c>
      <c r="D9864" s="41" t="str">
        <f ca="1">IFERROR(__xludf.DUMMYFUNCTION("IFERROR(ARRAYFORMULA(REGEXEXTRACT(C9864,""^(?:https?:\/\/)?(?:[^@\n]+@)?(?:www\.)?([^:\/\n]+)"")),"""")"),"gartec.com")</f>
        <v>gartec.com</v>
      </c>
      <c r="E9864" s="26" t="str">
        <f ca="1">IFERROR(__xludf.DUMMYFUNCTION("""COMPUTED_VALUE"""),"New")</f>
        <v>New</v>
      </c>
      <c r="F9864" s="72">
        <v>30</v>
      </c>
      <c r="G9864" s="72">
        <v>5746</v>
      </c>
    </row>
    <row r="9865" spans="1:7" ht="14.5">
      <c r="A9865" s="3" t="s">
        <v>9115</v>
      </c>
      <c r="B9865" s="12" t="s">
        <v>2891</v>
      </c>
      <c r="C9865" s="46" t="s">
        <v>9857</v>
      </c>
      <c r="D9865" s="41" t="str">
        <f ca="1">IFERROR(__xludf.DUMMYFUNCTION("IFERROR(ARRAYFORMULA(REGEXEXTRACT(C9865,""^(?:https?:\/\/)?(?:[^@\n]+@)?(?:www\.)?([^:\/\n]+)"")),"""")"),"wingedboots.co.uk")</f>
        <v>wingedboots.co.uk</v>
      </c>
      <c r="E9865" s="26" t="str">
        <f ca="1">IFERROR(__xludf.DUMMYFUNCTION("""COMPUTED_VALUE"""),"New")</f>
        <v>New</v>
      </c>
      <c r="F9865" s="72">
        <v>32</v>
      </c>
      <c r="G9865" s="72">
        <v>3706</v>
      </c>
    </row>
    <row r="9866" spans="1:7" ht="14.5">
      <c r="A9866" s="3" t="s">
        <v>9115</v>
      </c>
      <c r="B9866" s="12" t="s">
        <v>2891</v>
      </c>
      <c r="C9866" s="46" t="s">
        <v>9858</v>
      </c>
      <c r="D9866" s="41" t="str">
        <f ca="1">IFERROR(__xludf.DUMMYFUNCTION("IFERROR(ARRAYFORMULA(REGEXEXTRACT(C9866,""^(?:https?:\/\/)?(?:[^@\n]+@)?(?:www\.)?([^:\/\n]+)"")),"""")"),"diginest.macmillaneducation.in")</f>
        <v>diginest.macmillaneducation.in</v>
      </c>
      <c r="E9866" s="26" t="str">
        <f ca="1">IFERROR(__xludf.DUMMYFUNCTION("""COMPUTED_VALUE"""),"New")</f>
        <v>New</v>
      </c>
      <c r="F9866" s="72">
        <v>49</v>
      </c>
      <c r="G9866" s="72">
        <v>11661</v>
      </c>
    </row>
    <row r="9867" spans="1:7" ht="14.5" hidden="1">
      <c r="A9867" s="3" t="s">
        <v>9115</v>
      </c>
      <c r="B9867" s="12" t="s">
        <v>2891</v>
      </c>
      <c r="C9867" s="46" t="s">
        <v>9859</v>
      </c>
      <c r="D9867" s="41" t="str">
        <f ca="1">IFERROR(__xludf.DUMMYFUNCTION("IFERROR(ARRAYFORMULA(REGEXEXTRACT(C9867,""^(?:https?:\/\/)?(?:[^@\n]+@)?(?:www\.)?([^:\/\n]+)"")),"""")"),"techktimes.co.uk")</f>
        <v>techktimes.co.uk</v>
      </c>
      <c r="E9867" s="26" t="str">
        <f ca="1">IFERROR(__xludf.DUMMYFUNCTION("""COMPUTED_VALUE"""),"Already Exists")</f>
        <v>Already Exists</v>
      </c>
      <c r="F9867" s="72">
        <v>50</v>
      </c>
      <c r="G9867" s="72">
        <v>31233</v>
      </c>
    </row>
    <row r="9868" spans="1:7" ht="14.5">
      <c r="A9868" s="3" t="s">
        <v>9115</v>
      </c>
      <c r="B9868" s="12" t="s">
        <v>2891</v>
      </c>
      <c r="C9868" s="46" t="s">
        <v>9860</v>
      </c>
      <c r="D9868" s="41" t="str">
        <f ca="1">IFERROR(__xludf.DUMMYFUNCTION("IFERROR(ARRAYFORMULA(REGEXEXTRACT(C9868,""^(?:https?:\/\/)?(?:[^@\n]+@)?(?:www\.)?([^:\/\n]+)"")),"""")"),"sockgeeks.co.uk")</f>
        <v>sockgeeks.co.uk</v>
      </c>
      <c r="E9868" s="26" t="str">
        <f ca="1">IFERROR(__xludf.DUMMYFUNCTION("""COMPUTED_VALUE"""),"New")</f>
        <v>New</v>
      </c>
      <c r="F9868" s="72">
        <v>29</v>
      </c>
      <c r="G9868" s="72">
        <v>4694</v>
      </c>
    </row>
    <row r="9869" spans="1:7" ht="14.5">
      <c r="A9869" s="3" t="s">
        <v>9115</v>
      </c>
      <c r="B9869" s="12" t="s">
        <v>2891</v>
      </c>
      <c r="C9869" s="46" t="s">
        <v>9861</v>
      </c>
      <c r="D9869" s="41" t="str">
        <f ca="1">IFERROR(__xludf.DUMMYFUNCTION("IFERROR(ARRAYFORMULA(REGEXEXTRACT(C9869,""^(?:https?:\/\/)?(?:[^@\n]+@)?(?:www\.)?([^:\/\n]+)"")),"""")"),"archipro.com.au")</f>
        <v>archipro.com.au</v>
      </c>
      <c r="E9869" s="26" t="str">
        <f ca="1">IFERROR(__xludf.DUMMYFUNCTION("""COMPUTED_VALUE"""),"New")</f>
        <v>New</v>
      </c>
      <c r="F9869" s="72">
        <v>67</v>
      </c>
      <c r="G9869" s="72">
        <v>41322</v>
      </c>
    </row>
    <row r="9870" spans="1:7" ht="14.5">
      <c r="A9870" s="3" t="s">
        <v>9115</v>
      </c>
      <c r="B9870" s="12" t="s">
        <v>2891</v>
      </c>
      <c r="C9870" s="46" t="s">
        <v>9862</v>
      </c>
      <c r="D9870" s="41" t="str">
        <f ca="1">IFERROR(__xludf.DUMMYFUNCTION("IFERROR(ARRAYFORMULA(REGEXEXTRACT(C9870,""^(?:https?:\/\/)?(?:[^@\n]+@)?(?:www\.)?([^:\/\n]+)"")),"""")"),"luxe-magazine.co.uk")</f>
        <v>luxe-magazine.co.uk</v>
      </c>
      <c r="E9870" s="26" t="str">
        <f ca="1">IFERROR(__xludf.DUMMYFUNCTION("""COMPUTED_VALUE"""),"New")</f>
        <v>New</v>
      </c>
      <c r="F9870" s="72">
        <v>43</v>
      </c>
      <c r="G9870" s="72">
        <v>3051</v>
      </c>
    </row>
    <row r="9871" spans="1:7" ht="14.5">
      <c r="A9871" s="3" t="s">
        <v>9115</v>
      </c>
      <c r="B9871" s="12" t="s">
        <v>2891</v>
      </c>
      <c r="C9871" s="46" t="s">
        <v>9863</v>
      </c>
      <c r="D9871" s="41" t="str">
        <f ca="1">IFERROR(__xludf.DUMMYFUNCTION("IFERROR(ARRAYFORMULA(REGEXEXTRACT(C9871,""^(?:https?:\/\/)?(?:[^@\n]+@)?(?:www\.)?([^:\/\n]+)"")),"""")"),"highperformr.ai")</f>
        <v>highperformr.ai</v>
      </c>
      <c r="E9871" s="26" t="str">
        <f ca="1">IFERROR(__xludf.DUMMYFUNCTION("""COMPUTED_VALUE"""),"New")</f>
        <v>New</v>
      </c>
      <c r="F9871" s="72">
        <v>57</v>
      </c>
      <c r="G9871" s="72">
        <v>29322</v>
      </c>
    </row>
    <row r="9872" spans="1:7" ht="14.5">
      <c r="A9872" s="3" t="s">
        <v>9115</v>
      </c>
      <c r="B9872" s="12" t="s">
        <v>2891</v>
      </c>
      <c r="C9872" s="46" t="s">
        <v>9864</v>
      </c>
      <c r="D9872" s="41" t="str">
        <f ca="1">IFERROR(__xludf.DUMMYFUNCTION("IFERROR(ARRAYFORMULA(REGEXEXTRACT(C9872,""^(?:https?:\/\/)?(?:[^@\n]+@)?(?:www\.)?([^:\/\n]+)"")),"""")"),"thesportshouse.net")</f>
        <v>thesportshouse.net</v>
      </c>
      <c r="E9872" s="26" t="str">
        <f ca="1">IFERROR(__xludf.DUMMYFUNCTION("""COMPUTED_VALUE"""),"New")</f>
        <v>New</v>
      </c>
      <c r="F9872" s="72">
        <v>53</v>
      </c>
      <c r="G9872" s="72">
        <v>1417</v>
      </c>
    </row>
    <row r="9873" spans="1:7" ht="14.5">
      <c r="A9873" s="3" t="s">
        <v>9115</v>
      </c>
      <c r="B9873" s="12" t="s">
        <v>2891</v>
      </c>
      <c r="C9873" s="46" t="s">
        <v>9865</v>
      </c>
      <c r="D9873" s="41" t="str">
        <f ca="1">IFERROR(__xludf.DUMMYFUNCTION("IFERROR(ARRAYFORMULA(REGEXEXTRACT(C9873,""^(?:https?:\/\/)?(?:[^@\n]+@)?(?:www\.)?([^:\/\n]+)"")),"""")"),"findmassleads.com")</f>
        <v>findmassleads.com</v>
      </c>
      <c r="E9873" s="26" t="str">
        <f ca="1">IFERROR(__xludf.DUMMYFUNCTION("""COMPUTED_VALUE"""),"New")</f>
        <v>New</v>
      </c>
      <c r="F9873" s="72">
        <v>33</v>
      </c>
      <c r="G9873" s="72">
        <v>7354</v>
      </c>
    </row>
    <row r="9874" spans="1:7" ht="14.5" hidden="1">
      <c r="A9874" s="3" t="s">
        <v>9115</v>
      </c>
      <c r="B9874" s="12" t="s">
        <v>2891</v>
      </c>
      <c r="C9874" s="46" t="s">
        <v>9866</v>
      </c>
      <c r="D9874" s="41" t="str">
        <f ca="1">IFERROR(__xludf.DUMMYFUNCTION("IFERROR(ARRAYFORMULA(REGEXEXTRACT(C9874,""^(?:https?:\/\/)?(?:[^@\n]+@)?(?:www\.)?([^:\/\n]+)"")),"""")"),"resident.com")</f>
        <v>resident.com</v>
      </c>
      <c r="E9874" s="26" t="str">
        <f ca="1">IFERROR(__xludf.DUMMYFUNCTION("""COMPUTED_VALUE"""),"Already Exists")</f>
        <v>Already Exists</v>
      </c>
      <c r="F9874" s="72">
        <v>71</v>
      </c>
      <c r="G9874" s="72">
        <v>29372</v>
      </c>
    </row>
    <row r="9875" spans="1:7" ht="14.5">
      <c r="A9875" s="3" t="s">
        <v>9115</v>
      </c>
      <c r="B9875" s="12" t="s">
        <v>2891</v>
      </c>
      <c r="C9875" s="46" t="s">
        <v>9867</v>
      </c>
      <c r="D9875" s="41" t="str">
        <f ca="1">IFERROR(__xludf.DUMMYFUNCTION("IFERROR(ARRAYFORMULA(REGEXEXTRACT(C9875,""^(?:https?:\/\/)?(?:[^@\n]+@)?(?:www\.)?([^:\/\n]+)"")),"""")"),"wihardja.com.sg")</f>
        <v>wihardja.com.sg</v>
      </c>
      <c r="E9875" s="26" t="str">
        <f ca="1">IFERROR(__xludf.DUMMYFUNCTION("""COMPUTED_VALUE"""),"New")</f>
        <v>New</v>
      </c>
      <c r="F9875" s="72">
        <v>35</v>
      </c>
      <c r="G9875" s="72">
        <v>7229</v>
      </c>
    </row>
    <row r="9876" spans="1:7" ht="14.5">
      <c r="A9876" s="3" t="s">
        <v>9115</v>
      </c>
      <c r="B9876" s="12" t="s">
        <v>2891</v>
      </c>
      <c r="C9876" s="46" t="s">
        <v>9868</v>
      </c>
      <c r="D9876" s="41" t="str">
        <f ca="1">IFERROR(__xludf.DUMMYFUNCTION("IFERROR(ARRAYFORMULA(REGEXEXTRACT(C9876,""^(?:https?:\/\/)?(?:[^@\n]+@)?(?:www\.)?([^:\/\n]+)"")),"""")"),"ktvz.com")</f>
        <v>ktvz.com</v>
      </c>
      <c r="E9876" s="26" t="str">
        <f ca="1">IFERROR(__xludf.DUMMYFUNCTION("""COMPUTED_VALUE"""),"New")</f>
        <v>New</v>
      </c>
      <c r="F9876" s="72">
        <v>74</v>
      </c>
      <c r="G9876" s="72">
        <v>39013</v>
      </c>
    </row>
    <row r="9877" spans="1:7" ht="14.5">
      <c r="A9877" s="3" t="s">
        <v>9115</v>
      </c>
      <c r="B9877" s="12" t="s">
        <v>2891</v>
      </c>
      <c r="C9877" s="46" t="s">
        <v>9869</v>
      </c>
      <c r="D9877" s="41" t="str">
        <f ca="1">IFERROR(__xludf.DUMMYFUNCTION("IFERROR(ARRAYFORMULA(REGEXEXTRACT(C9877,""^(?:https?:\/\/)?(?:[^@\n]+@)?(?:www\.)?([^:\/\n]+)"")),"""")"),"id-medical.com")</f>
        <v>id-medical.com</v>
      </c>
      <c r="E9877" s="26" t="str">
        <f ca="1">IFERROR(__xludf.DUMMYFUNCTION("""COMPUTED_VALUE"""),"New")</f>
        <v>New</v>
      </c>
      <c r="F9877" s="72">
        <v>38</v>
      </c>
      <c r="G9877" s="72">
        <v>3185</v>
      </c>
    </row>
    <row r="9878" spans="1:7" ht="14.5">
      <c r="A9878" s="3" t="s">
        <v>9115</v>
      </c>
      <c r="B9878" s="12" t="s">
        <v>2891</v>
      </c>
      <c r="C9878" s="46" t="s">
        <v>9870</v>
      </c>
      <c r="D9878" s="41" t="str">
        <f ca="1">IFERROR(__xludf.DUMMYFUNCTION("IFERROR(ARRAYFORMULA(REGEXEXTRACT(C9878,""^(?:https?:\/\/)?(?:[^@\n]+@)?(?:www\.)?([^:\/\n]+)"")),"""")"),"luxuryartcanvas.com")</f>
        <v>luxuryartcanvas.com</v>
      </c>
      <c r="E9878" s="26" t="str">
        <f ca="1">IFERROR(__xludf.DUMMYFUNCTION("""COMPUTED_VALUE"""),"New")</f>
        <v>New</v>
      </c>
      <c r="F9878" s="72">
        <v>53</v>
      </c>
      <c r="G9878" s="72">
        <v>1237</v>
      </c>
    </row>
    <row r="9879" spans="1:7" ht="14.5">
      <c r="A9879" s="3" t="s">
        <v>9115</v>
      </c>
      <c r="B9879" s="12" t="s">
        <v>2891</v>
      </c>
      <c r="C9879" s="46" t="s">
        <v>9871</v>
      </c>
      <c r="D9879" s="41" t="str">
        <f ca="1">IFERROR(__xludf.DUMMYFUNCTION("IFERROR(ARRAYFORMULA(REGEXEXTRACT(C9879,""^(?:https?:\/\/)?(?:[^@\n]+@)?(?:www\.)?([^:\/\n]+)"")),"""")"),"eloquence.com")</f>
        <v>eloquence.com</v>
      </c>
      <c r="E9879" s="26" t="str">
        <f ca="1">IFERROR(__xludf.DUMMYFUNCTION("""COMPUTED_VALUE"""),"New")</f>
        <v>New</v>
      </c>
      <c r="F9879" s="72">
        <v>34</v>
      </c>
      <c r="G9879" s="72">
        <v>2004</v>
      </c>
    </row>
    <row r="9880" spans="1:7" ht="14.5">
      <c r="A9880" s="3" t="s">
        <v>9115</v>
      </c>
      <c r="B9880" s="12" t="s">
        <v>2891</v>
      </c>
      <c r="C9880" s="46" t="s">
        <v>9872</v>
      </c>
      <c r="D9880" s="41" t="str">
        <f ca="1">IFERROR(__xludf.DUMMYFUNCTION("IFERROR(ARRAYFORMULA(REGEXEXTRACT(C9880,""^(?:https?:\/\/)?(?:[^@\n]+@)?(?:www\.)?([^:\/\n]+)"")),"""")"),"app.assembo.ai")</f>
        <v>app.assembo.ai</v>
      </c>
      <c r="E9880" s="26" t="str">
        <f ca="1">IFERROR(__xludf.DUMMYFUNCTION("""COMPUTED_VALUE"""),"New")</f>
        <v>New</v>
      </c>
      <c r="F9880" s="72">
        <v>27</v>
      </c>
      <c r="G9880" s="72">
        <v>3986</v>
      </c>
    </row>
    <row r="9881" spans="1:7" ht="14.5">
      <c r="A9881" s="3" t="s">
        <v>9115</v>
      </c>
      <c r="B9881" s="12" t="s">
        <v>2891</v>
      </c>
      <c r="C9881" s="46" t="s">
        <v>9873</v>
      </c>
      <c r="D9881" s="41" t="str">
        <f ca="1">IFERROR(__xludf.DUMMYFUNCTION("IFERROR(ARRAYFORMULA(REGEXEXTRACT(C9881,""^(?:https?:\/\/)?(?:[^@\n]+@)?(?:www\.)?([^:\/\n]+)"")),"""")"),"us.aabcollection.com")</f>
        <v>us.aabcollection.com</v>
      </c>
      <c r="E9881" s="26" t="str">
        <f ca="1">IFERROR(__xludf.DUMMYFUNCTION("""COMPUTED_VALUE"""),"New")</f>
        <v>New</v>
      </c>
      <c r="F9881" s="72">
        <v>33</v>
      </c>
      <c r="G9881" s="72">
        <v>42070</v>
      </c>
    </row>
    <row r="9882" spans="1:7" ht="14.5">
      <c r="A9882" s="3" t="s">
        <v>9115</v>
      </c>
      <c r="B9882" s="12" t="s">
        <v>2891</v>
      </c>
      <c r="C9882" s="46" t="s">
        <v>9874</v>
      </c>
      <c r="D9882" s="41" t="str">
        <f ca="1">IFERROR(__xludf.DUMMYFUNCTION("IFERROR(ARRAYFORMULA(REGEXEXTRACT(C9882,""^(?:https?:\/\/)?(?:[^@\n]+@)?(?:www\.)?([^:\/\n]+)"")),"""")"),"thetaste.ie")</f>
        <v>thetaste.ie</v>
      </c>
      <c r="E9882" s="26" t="str">
        <f ca="1">IFERROR(__xludf.DUMMYFUNCTION("""COMPUTED_VALUE"""),"New")</f>
        <v>New</v>
      </c>
      <c r="F9882" s="72">
        <v>56</v>
      </c>
      <c r="G9882" s="72">
        <v>8091</v>
      </c>
    </row>
    <row r="9883" spans="1:7" ht="14.5">
      <c r="A9883" s="3" t="s">
        <v>9115</v>
      </c>
      <c r="B9883" s="12" t="s">
        <v>2891</v>
      </c>
      <c r="C9883" s="46" t="s">
        <v>9875</v>
      </c>
      <c r="D9883" s="41" t="str">
        <f ca="1">IFERROR(__xludf.DUMMYFUNCTION("IFERROR(ARRAYFORMULA(REGEXEXTRACT(C9883,""^(?:https?:\/\/)?(?:[^@\n]+@)?(?:www\.)?([^:\/\n]+)"")),"""")"),"alice-buckgy9126.firebaseapp.com")</f>
        <v>alice-buckgy9126.firebaseapp.com</v>
      </c>
      <c r="E9883" s="26" t="str">
        <f ca="1">IFERROR(__xludf.DUMMYFUNCTION("""COMPUTED_VALUE"""),"New")</f>
        <v>New</v>
      </c>
      <c r="F9883" s="72">
        <v>87</v>
      </c>
      <c r="G9883" s="72">
        <v>68985</v>
      </c>
    </row>
    <row r="9884" spans="1:7" ht="14.5" hidden="1">
      <c r="A9884" s="3" t="s">
        <v>9115</v>
      </c>
      <c r="B9884" s="12" t="s">
        <v>2891</v>
      </c>
      <c r="C9884" s="46" t="s">
        <v>9876</v>
      </c>
      <c r="D9884" s="41" t="str">
        <f ca="1">IFERROR(__xludf.DUMMYFUNCTION("IFERROR(ARRAYFORMULA(REGEXEXTRACT(C9884,""^(?:https?:\/\/)?(?:[^@\n]+@)?(?:www\.)?([^:\/\n]+)"")),"""")"),"luxurylifestyle.com")</f>
        <v>luxurylifestyle.com</v>
      </c>
      <c r="E9884" s="26" t="str">
        <f ca="1">IFERROR(__xludf.DUMMYFUNCTION("""COMPUTED_VALUE"""),"Already Exists")</f>
        <v>Already Exists</v>
      </c>
      <c r="F9884" s="72">
        <v>44</v>
      </c>
      <c r="G9884" s="72">
        <v>2025</v>
      </c>
    </row>
    <row r="9885" spans="1:7" ht="14.5">
      <c r="A9885" s="3" t="s">
        <v>9115</v>
      </c>
      <c r="B9885" s="12" t="s">
        <v>2891</v>
      </c>
      <c r="C9885" s="46" t="s">
        <v>9877</v>
      </c>
      <c r="D9885" s="41" t="str">
        <f ca="1">IFERROR(__xludf.DUMMYFUNCTION("IFERROR(ARRAYFORMULA(REGEXEXTRACT(C9885,""^(?:https?:\/\/)?(?:[^@\n]+@)?(?:www\.)?([^:\/\n]+)"")),"""")"),"podgorze.babinski.pl")</f>
        <v>podgorze.babinski.pl</v>
      </c>
      <c r="E9885" s="26" t="str">
        <f ca="1">IFERROR(__xludf.DUMMYFUNCTION("""COMPUTED_VALUE"""),"New")</f>
        <v>New</v>
      </c>
      <c r="F9885" s="72">
        <v>41</v>
      </c>
      <c r="G9885" s="72">
        <v>2539</v>
      </c>
    </row>
    <row r="9886" spans="1:7" ht="14.5" hidden="1">
      <c r="A9886" s="3" t="s">
        <v>9115</v>
      </c>
      <c r="B9886" s="12" t="s">
        <v>2891</v>
      </c>
      <c r="C9886" s="46" t="s">
        <v>9878</v>
      </c>
      <c r="D9886" s="41" t="str">
        <f ca="1">IFERROR(__xludf.DUMMYFUNCTION("IFERROR(ARRAYFORMULA(REGEXEXTRACT(C9886,""^(?:https?:\/\/)?(?:[^@\n]+@)?(?:www\.)?([^:\/\n]+)"")),"""")"),"londonlovesbusiness.com")</f>
        <v>londonlovesbusiness.com</v>
      </c>
      <c r="E9886" s="26" t="str">
        <f ca="1">IFERROR(__xludf.DUMMYFUNCTION("""COMPUTED_VALUE"""),"Already Exists")</f>
        <v>Already Exists</v>
      </c>
      <c r="F9886" s="72">
        <v>71</v>
      </c>
      <c r="G9886" s="72">
        <v>9318</v>
      </c>
    </row>
    <row r="9887" spans="1:7" ht="14.5">
      <c r="A9887" s="3" t="s">
        <v>9115</v>
      </c>
      <c r="B9887" s="12" t="s">
        <v>2891</v>
      </c>
      <c r="C9887" s="46" t="s">
        <v>9879</v>
      </c>
      <c r="D9887" s="41" t="str">
        <f ca="1">IFERROR(__xludf.DUMMYFUNCTION("IFERROR(ARRAYFORMULA(REGEXEXTRACT(C9887,""^(?:https?:\/\/)?(?:[^@\n]+@)?(?:www\.)?([^:\/\n]+)"")),"""")"),"dealdrop.com")</f>
        <v>dealdrop.com</v>
      </c>
      <c r="E9887" s="26" t="str">
        <f ca="1">IFERROR(__xludf.DUMMYFUNCTION("""COMPUTED_VALUE"""),"New")</f>
        <v>New</v>
      </c>
      <c r="F9887" s="72">
        <v>60</v>
      </c>
      <c r="G9887" s="72">
        <v>21177</v>
      </c>
    </row>
    <row r="9888" spans="1:7" ht="14.5">
      <c r="A9888" s="3" t="s">
        <v>9115</v>
      </c>
      <c r="B9888" s="12" t="s">
        <v>2891</v>
      </c>
      <c r="C9888" s="46" t="s">
        <v>9880</v>
      </c>
      <c r="D9888" s="41" t="str">
        <f ca="1">IFERROR(__xludf.DUMMYFUNCTION("IFERROR(ARRAYFORMULA(REGEXEXTRACT(C9888,""^(?:https?:\/\/)?(?:[^@\n]+@)?(?:www\.)?([^:\/\n]+)"")),"""")"),"localnews8.com")</f>
        <v>localnews8.com</v>
      </c>
      <c r="E9888" s="26" t="str">
        <f ca="1">IFERROR(__xludf.DUMMYFUNCTION("""COMPUTED_VALUE"""),"New")</f>
        <v>New</v>
      </c>
      <c r="F9888" s="72">
        <v>71</v>
      </c>
      <c r="G9888" s="72">
        <v>36408</v>
      </c>
    </row>
    <row r="9889" spans="1:7" ht="14.5">
      <c r="A9889" s="3" t="s">
        <v>9115</v>
      </c>
      <c r="B9889" s="12" t="s">
        <v>2891</v>
      </c>
      <c r="C9889" s="46" t="s">
        <v>9881</v>
      </c>
      <c r="D9889" s="41" t="str">
        <f ca="1">IFERROR(__xludf.DUMMYFUNCTION("IFERROR(ARRAYFORMULA(REGEXEXTRACT(C9889,""^(?:https?:\/\/)?(?:[^@\n]+@)?(?:www\.)?([^:\/\n]+)"")),"""")"),"stylist.co.uk")</f>
        <v>stylist.co.uk</v>
      </c>
      <c r="E9889" s="26" t="str">
        <f ca="1">IFERROR(__xludf.DUMMYFUNCTION("""COMPUTED_VALUE"""),"New")</f>
        <v>New</v>
      </c>
      <c r="F9889" s="72">
        <v>81</v>
      </c>
      <c r="G9889" s="72">
        <v>162140</v>
      </c>
    </row>
    <row r="9890" spans="1:7" ht="14.5">
      <c r="A9890" s="3" t="s">
        <v>9115</v>
      </c>
      <c r="B9890" s="12" t="s">
        <v>2891</v>
      </c>
      <c r="C9890" s="46" t="s">
        <v>9882</v>
      </c>
      <c r="D9890" s="41" t="str">
        <f ca="1">IFERROR(__xludf.DUMMYFUNCTION("IFERROR(ARRAYFORMULA(REGEXEXTRACT(C9890,""^(?:https?:\/\/)?(?:[^@\n]+@)?(?:www\.)?([^:\/\n]+)"")),"""")"),"pressgazette.co.uk")</f>
        <v>pressgazette.co.uk</v>
      </c>
      <c r="E9890" s="26" t="str">
        <f ca="1">IFERROR(__xludf.DUMMYFUNCTION("""COMPUTED_VALUE"""),"New")</f>
        <v>New</v>
      </c>
      <c r="F9890" s="72">
        <v>79</v>
      </c>
      <c r="G9890" s="72">
        <v>17949</v>
      </c>
    </row>
    <row r="9891" spans="1:7" ht="14.5" hidden="1">
      <c r="A9891" s="3" t="s">
        <v>9115</v>
      </c>
      <c r="B9891" s="12" t="s">
        <v>2891</v>
      </c>
      <c r="C9891" s="46" t="s">
        <v>9883</v>
      </c>
      <c r="D9891" s="41" t="str">
        <f ca="1">IFERROR(__xludf.DUMMYFUNCTION("IFERROR(ARRAYFORMULA(REGEXEXTRACT(C9891,""^(?:https?:\/\/)?(?:[^@\n]+@)?(?:www\.)?([^:\/\n]+)"")),"""")"),"captainbobcat.com")</f>
        <v>captainbobcat.com</v>
      </c>
      <c r="E9891" s="26" t="str">
        <f ca="1">IFERROR(__xludf.DUMMYFUNCTION("""COMPUTED_VALUE"""),"Already Exists")</f>
        <v>Already Exists</v>
      </c>
      <c r="F9891" s="72">
        <v>30</v>
      </c>
      <c r="G9891" s="72">
        <v>3383</v>
      </c>
    </row>
    <row r="9892" spans="1:7" ht="14.5">
      <c r="A9892" s="3" t="s">
        <v>9115</v>
      </c>
      <c r="B9892" s="12" t="s">
        <v>2891</v>
      </c>
      <c r="C9892" s="46" t="s">
        <v>9884</v>
      </c>
      <c r="D9892" s="41" t="str">
        <f ca="1">IFERROR(__xludf.DUMMYFUNCTION("IFERROR(ARRAYFORMULA(REGEXEXTRACT(C9892,""^(?:https?:\/\/)?(?:[^@\n]+@)?(?:www\.)?([^:\/\n]+)"")),"""")"),"sena-homefurniture.co.uk")</f>
        <v>sena-homefurniture.co.uk</v>
      </c>
      <c r="E9892" s="26" t="str">
        <f ca="1">IFERROR(__xludf.DUMMYFUNCTION("""COMPUTED_VALUE"""),"New")</f>
        <v>New</v>
      </c>
      <c r="F9892" s="72">
        <v>27</v>
      </c>
      <c r="G9892" s="72">
        <v>23428</v>
      </c>
    </row>
    <row r="9893" spans="1:7" ht="14.5" hidden="1">
      <c r="A9893" s="3" t="s">
        <v>9115</v>
      </c>
      <c r="B9893" s="12" t="s">
        <v>2891</v>
      </c>
      <c r="C9893" s="46" t="s">
        <v>9885</v>
      </c>
      <c r="D9893" s="41" t="str">
        <f ca="1">IFERROR(__xludf.DUMMYFUNCTION("IFERROR(ARRAYFORMULA(REGEXEXTRACT(C9893,""^(?:https?:\/\/)?(?:[^@\n]+@)?(?:www\.)?([^:\/\n]+)"")),"""")"),"programminginsider.com")</f>
        <v>programminginsider.com</v>
      </c>
      <c r="E9893" s="26" t="str">
        <f ca="1">IFERROR(__xludf.DUMMYFUNCTION("""COMPUTED_VALUE"""),"Already Exists")</f>
        <v>Already Exists</v>
      </c>
      <c r="F9893" s="72">
        <v>70</v>
      </c>
      <c r="G9893" s="72">
        <v>7861</v>
      </c>
    </row>
    <row r="9894" spans="1:7" ht="14.5">
      <c r="A9894" s="3" t="s">
        <v>9115</v>
      </c>
      <c r="B9894" s="12" t="s">
        <v>2891</v>
      </c>
      <c r="C9894" s="46" t="s">
        <v>9886</v>
      </c>
      <c r="D9894" s="41" t="str">
        <f ca="1">IFERROR(__xludf.DUMMYFUNCTION("IFERROR(ARRAYFORMULA(REGEXEXTRACT(C9894,""^(?:https?:\/\/)?(?:[^@\n]+@)?(?:www\.)?([^:\/\n]+)"")),"""")"),"fabricmagazine.co.uk")</f>
        <v>fabricmagazine.co.uk</v>
      </c>
      <c r="E9894" s="26" t="str">
        <f ca="1">IFERROR(__xludf.DUMMYFUNCTION("""COMPUTED_VALUE"""),"New")</f>
        <v>New</v>
      </c>
      <c r="F9894" s="72">
        <v>46</v>
      </c>
      <c r="G9894" s="72">
        <v>6203</v>
      </c>
    </row>
    <row r="9895" spans="1:7" ht="14.5">
      <c r="A9895" s="3" t="s">
        <v>9115</v>
      </c>
      <c r="B9895" s="12" t="s">
        <v>2891</v>
      </c>
      <c r="C9895" s="46" t="s">
        <v>9887</v>
      </c>
      <c r="D9895" s="41" t="str">
        <f ca="1">IFERROR(__xludf.DUMMYFUNCTION("IFERROR(ARRAYFORMULA(REGEXEXTRACT(C9895,""^(?:https?:\/\/)?(?:[^@\n]+@)?(?:www\.)?([^:\/\n]+)"")),"""")"),"fashionisks.com")</f>
        <v>fashionisks.com</v>
      </c>
      <c r="E9895" s="26" t="str">
        <f ca="1">IFERROR(__xludf.DUMMYFUNCTION("""COMPUTED_VALUE"""),"New")</f>
        <v>New</v>
      </c>
      <c r="F9895" s="72">
        <v>54</v>
      </c>
      <c r="G9895" s="72">
        <v>8987</v>
      </c>
    </row>
    <row r="9896" spans="1:7" ht="14.5">
      <c r="A9896" s="3" t="s">
        <v>9115</v>
      </c>
      <c r="B9896" s="12" t="s">
        <v>2891</v>
      </c>
      <c r="C9896" s="46" t="s">
        <v>9888</v>
      </c>
      <c r="D9896" s="41" t="str">
        <f ca="1">IFERROR(__xludf.DUMMYFUNCTION("IFERROR(ARRAYFORMULA(REGEXEXTRACT(C9896,""^(?:https?:\/\/)?(?:[^@\n]+@)?(?:www\.)?([^:\/\n]+)"")),"""")"),"clodura.ai")</f>
        <v>clodura.ai</v>
      </c>
      <c r="E9896" s="26" t="str">
        <f ca="1">IFERROR(__xludf.DUMMYFUNCTION("""COMPUTED_VALUE"""),"New")</f>
        <v>New</v>
      </c>
      <c r="F9896" s="72">
        <v>65</v>
      </c>
      <c r="G9896" s="72">
        <v>2824</v>
      </c>
    </row>
    <row r="9897" spans="1:7" ht="14.5">
      <c r="A9897" s="3" t="s">
        <v>9115</v>
      </c>
      <c r="B9897" s="12" t="s">
        <v>2891</v>
      </c>
      <c r="C9897" s="46" t="s">
        <v>9889</v>
      </c>
      <c r="D9897" s="41" t="str">
        <f ca="1">IFERROR(__xludf.DUMMYFUNCTION("IFERROR(ARRAYFORMULA(REGEXEXTRACT(C9897,""^(?:https?:\/\/)?(?:[^@\n]+@)?(?:www\.)?([^:\/\n]+)"")),"""")"),"www-ft-com.library.ez.neoma-bs.fr")</f>
        <v>www-ft-com.library.ez.neoma-bs.fr</v>
      </c>
      <c r="E9897" s="26" t="str">
        <f ca="1">IFERROR(__xludf.DUMMYFUNCTION("""COMPUTED_VALUE"""),"New")</f>
        <v>New</v>
      </c>
      <c r="F9897" s="72">
        <v>65</v>
      </c>
      <c r="G9897" s="72">
        <v>22846</v>
      </c>
    </row>
    <row r="9898" spans="1:7" ht="14.5" hidden="1">
      <c r="A9898" s="3" t="s">
        <v>9115</v>
      </c>
      <c r="B9898" s="12" t="s">
        <v>2891</v>
      </c>
      <c r="C9898" s="46" t="s">
        <v>9890</v>
      </c>
      <c r="D9898" s="41" t="str">
        <f ca="1">IFERROR(__xludf.DUMMYFUNCTION("IFERROR(ARRAYFORMULA(REGEXEXTRACT(C9898,""^(?:https?:\/\/)?(?:[^@\n]+@)?(?:www\.)?([^:\/\n]+)"")),"""")"),"neufutur.com")</f>
        <v>neufutur.com</v>
      </c>
      <c r="E9898" s="26" t="str">
        <f ca="1">IFERROR(__xludf.DUMMYFUNCTION("""COMPUTED_VALUE"""),"Already Exists")</f>
        <v>Already Exists</v>
      </c>
      <c r="F9898" s="72">
        <v>54</v>
      </c>
      <c r="G9898" s="72">
        <v>4542</v>
      </c>
    </row>
    <row r="9899" spans="1:7" ht="14.5">
      <c r="A9899" s="3" t="s">
        <v>9115</v>
      </c>
      <c r="B9899" s="12" t="s">
        <v>2891</v>
      </c>
      <c r="C9899" s="46" t="s">
        <v>9891</v>
      </c>
      <c r="D9899" s="41" t="str">
        <f ca="1">IFERROR(__xludf.DUMMYFUNCTION("IFERROR(ARRAYFORMULA(REGEXEXTRACT(C9899,""^(?:https?:\/\/)?(?:[^@\n]+@)?(?:www\.)?([^:\/\n]+)"")),"""")"),"isprava.com")</f>
        <v>isprava.com</v>
      </c>
      <c r="E9899" s="26" t="str">
        <f ca="1">IFERROR(__xludf.DUMMYFUNCTION("""COMPUTED_VALUE"""),"New")</f>
        <v>New</v>
      </c>
      <c r="F9899" s="72">
        <v>26</v>
      </c>
      <c r="G9899" s="72">
        <v>4214</v>
      </c>
    </row>
    <row r="9900" spans="1:7" ht="14.5">
      <c r="A9900" s="3" t="s">
        <v>9115</v>
      </c>
      <c r="B9900" s="12" t="s">
        <v>2891</v>
      </c>
      <c r="C9900" s="46" t="s">
        <v>9892</v>
      </c>
      <c r="D9900" s="41" t="str">
        <f ca="1">IFERROR(__xludf.DUMMYFUNCTION("IFERROR(ARRAYFORMULA(REGEXEXTRACT(C9900,""^(?:https?:\/\/)?(?:[^@\n]+@)?(?:www\.)?([^:\/\n]+)"")),"""")"),"javaobjects.net")</f>
        <v>javaobjects.net</v>
      </c>
      <c r="E9900" s="26" t="str">
        <f ca="1">IFERROR(__xludf.DUMMYFUNCTION("""COMPUTED_VALUE"""),"New")</f>
        <v>New</v>
      </c>
      <c r="F9900" s="72">
        <v>55</v>
      </c>
      <c r="G9900" s="72">
        <v>1782</v>
      </c>
    </row>
    <row r="9901" spans="1:7" ht="14.5">
      <c r="A9901" s="3" t="s">
        <v>9115</v>
      </c>
      <c r="B9901" s="12" t="s">
        <v>2891</v>
      </c>
      <c r="C9901" s="46" t="s">
        <v>9893</v>
      </c>
      <c r="D9901" s="41" t="str">
        <f ca="1">IFERROR(__xludf.DUMMYFUNCTION("IFERROR(ARRAYFORMULA(REGEXEXTRACT(C9901,""^(?:https?:\/\/)?(?:[^@\n]+@)?(?:www\.)?([^:\/\n]+)"")),"""")"),"covethouse.eu")</f>
        <v>covethouse.eu</v>
      </c>
      <c r="E9901" s="26" t="str">
        <f ca="1">IFERROR(__xludf.DUMMYFUNCTION("""COMPUTED_VALUE"""),"New")</f>
        <v>New</v>
      </c>
      <c r="F9901" s="72">
        <v>49</v>
      </c>
      <c r="G9901" s="72">
        <v>1598</v>
      </c>
    </row>
    <row r="9902" spans="1:7" ht="14.5">
      <c r="A9902" s="3" t="s">
        <v>9115</v>
      </c>
      <c r="B9902" s="12" t="s">
        <v>2891</v>
      </c>
      <c r="C9902" s="46" t="s">
        <v>9894</v>
      </c>
      <c r="D9902" s="41" t="str">
        <f ca="1">IFERROR(__xludf.DUMMYFUNCTION("IFERROR(ARRAYFORMULA(REGEXEXTRACT(C9902,""^(?:https?:\/\/)?(?:[^@\n]+@)?(?:www\.)?([^:\/\n]+)"")),"""")"),"www-ft-com.ezproxy.depaul.edu")</f>
        <v>www-ft-com.ezproxy.depaul.edu</v>
      </c>
      <c r="E9902" s="26" t="str">
        <f ca="1">IFERROR(__xludf.DUMMYFUNCTION("""COMPUTED_VALUE"""),"New")</f>
        <v>New</v>
      </c>
      <c r="F9902" s="72">
        <v>81</v>
      </c>
      <c r="G9902" s="72">
        <v>124385</v>
      </c>
    </row>
    <row r="9903" spans="1:7" ht="14.5">
      <c r="A9903" s="3" t="s">
        <v>9115</v>
      </c>
      <c r="B9903" s="12" t="s">
        <v>2891</v>
      </c>
      <c r="C9903" s="46" t="s">
        <v>9895</v>
      </c>
      <c r="D9903" s="41" t="str">
        <f ca="1">IFERROR(__xludf.DUMMYFUNCTION("IFERROR(ARRAYFORMULA(REGEXEXTRACT(C9903,""^(?:https?:\/\/)?(?:[^@\n]+@)?(?:www\.)?([^:\/\n]+)"")),"""")"),"pinterest.de")</f>
        <v>pinterest.de</v>
      </c>
      <c r="E9903" s="26" t="str">
        <f ca="1">IFERROR(__xludf.DUMMYFUNCTION("""COMPUTED_VALUE"""),"New")</f>
        <v>New</v>
      </c>
      <c r="F9903" s="72">
        <v>65</v>
      </c>
      <c r="G9903" s="72">
        <v>71433</v>
      </c>
    </row>
    <row r="9904" spans="1:7" ht="14.5">
      <c r="A9904" s="3" t="s">
        <v>9115</v>
      </c>
      <c r="B9904" s="12" t="s">
        <v>2891</v>
      </c>
      <c r="C9904" s="46" t="s">
        <v>9896</v>
      </c>
      <c r="D9904" s="41" t="str">
        <f ca="1">IFERROR(__xludf.DUMMYFUNCTION("IFERROR(ARRAYFORMULA(REGEXEXTRACT(C9904,""^(?:https?:\/\/)?(?:[^@\n]+@)?(?:www\.)?([^:\/\n]+)"")),"""")"),"plushandoak.gorgias.help")</f>
        <v>plushandoak.gorgias.help</v>
      </c>
      <c r="E9904" s="26" t="str">
        <f ca="1">IFERROR(__xludf.DUMMYFUNCTION("""COMPUTED_VALUE"""),"New")</f>
        <v>New</v>
      </c>
      <c r="F9904" s="72">
        <v>85</v>
      </c>
      <c r="G9904" s="72">
        <v>56522</v>
      </c>
    </row>
    <row r="9905" spans="1:7" ht="14.5" hidden="1">
      <c r="A9905" s="3" t="s">
        <v>9115</v>
      </c>
      <c r="B9905" s="12" t="s">
        <v>2891</v>
      </c>
      <c r="C9905" s="46" t="s">
        <v>9897</v>
      </c>
      <c r="D9905" s="41" t="str">
        <f ca="1">IFERROR(__xludf.DUMMYFUNCTION("IFERROR(ARRAYFORMULA(REGEXEXTRACT(C9905,""^(?:https?:\/\/)?(?:[^@\n]+@)?(?:www\.)?([^:\/\n]+)"")),"""")"),"europeanbusinessreview.com")</f>
        <v>europeanbusinessreview.com</v>
      </c>
      <c r="E9905" s="26" t="str">
        <f ca="1">IFERROR(__xludf.DUMMYFUNCTION("""COMPUTED_VALUE"""),"Already Exists")</f>
        <v>Already Exists</v>
      </c>
      <c r="F9905" s="72">
        <v>76</v>
      </c>
      <c r="G9905" s="72">
        <v>7365</v>
      </c>
    </row>
    <row r="9906" spans="1:7" ht="14.5">
      <c r="A9906" s="3" t="s">
        <v>9115</v>
      </c>
      <c r="B9906" s="12" t="s">
        <v>2891</v>
      </c>
      <c r="C9906" s="46" t="s">
        <v>9898</v>
      </c>
      <c r="D9906" s="41" t="str">
        <f ca="1">IFERROR(__xludf.DUMMYFUNCTION("IFERROR(ARRAYFORMULA(REGEXEXTRACT(C9906,""^(?:https?:\/\/)?(?:[^@\n]+@)?(?:www\.)?([^:\/\n]+)"")),"""")"),"katykear.myportfolio.com")</f>
        <v>katykear.myportfolio.com</v>
      </c>
      <c r="E9906" s="26" t="str">
        <f ca="1">IFERROR(__xludf.DUMMYFUNCTION("""COMPUTED_VALUE"""),"New")</f>
        <v>New</v>
      </c>
      <c r="F9906" s="72">
        <v>91</v>
      </c>
      <c r="G9906" s="72">
        <v>44682</v>
      </c>
    </row>
    <row r="9907" spans="1:7" ht="14.5">
      <c r="A9907" s="3" t="s">
        <v>9115</v>
      </c>
      <c r="B9907" s="12" t="s">
        <v>2891</v>
      </c>
      <c r="C9907" s="46" t="s">
        <v>9899</v>
      </c>
      <c r="D9907" s="41" t="str">
        <f ca="1">IFERROR(__xludf.DUMMYFUNCTION("IFERROR(ARRAYFORMULA(REGEXEXTRACT(C9907,""^(?:https?:\/\/)?(?:[^@\n]+@)?(?:www\.)?([^:\/\n]+)"")),"""")"),"choq.com")</f>
        <v>choq.com</v>
      </c>
      <c r="E9907" s="26" t="str">
        <f ca="1">IFERROR(__xludf.DUMMYFUNCTION("""COMPUTED_VALUE"""),"New")</f>
        <v>New</v>
      </c>
      <c r="F9907" s="72">
        <v>29</v>
      </c>
      <c r="G9907" s="72">
        <v>5411</v>
      </c>
    </row>
    <row r="9908" spans="1:7" ht="14.5">
      <c r="A9908" s="3" t="s">
        <v>9115</v>
      </c>
      <c r="B9908" s="12" t="s">
        <v>2891</v>
      </c>
      <c r="C9908" s="46" t="s">
        <v>9900</v>
      </c>
      <c r="D9908" s="41" t="str">
        <f ca="1">IFERROR(__xludf.DUMMYFUNCTION("IFERROR(ARRAYFORMULA(REGEXEXTRACT(C9908,""^(?:https?:\/\/)?(?:[^@\n]+@)?(?:www\.)?([^:\/\n]+)"")),"""")"),"thenationalnews.com")</f>
        <v>thenationalnews.com</v>
      </c>
      <c r="E9908" s="26" t="str">
        <f ca="1">IFERROR(__xludf.DUMMYFUNCTION("""COMPUTED_VALUE"""),"New")</f>
        <v>New</v>
      </c>
      <c r="F9908" s="72">
        <v>85</v>
      </c>
      <c r="G9908" s="72">
        <v>343749</v>
      </c>
    </row>
    <row r="9909" spans="1:7" ht="14.5">
      <c r="A9909" s="3" t="s">
        <v>9115</v>
      </c>
      <c r="B9909" s="12" t="s">
        <v>2891</v>
      </c>
      <c r="C9909" s="46" t="s">
        <v>9901</v>
      </c>
      <c r="D9909" s="41" t="str">
        <f ca="1">IFERROR(__xludf.DUMMYFUNCTION("IFERROR(ARRAYFORMULA(REGEXEXTRACT(C9909,""^(?:https?:\/\/)?(?:[^@\n]+@)?(?:www\.)?([^:\/\n]+)"")),"""")"),"kvia.com")</f>
        <v>kvia.com</v>
      </c>
      <c r="E9909" s="26" t="str">
        <f ca="1">IFERROR(__xludf.DUMMYFUNCTION("""COMPUTED_VALUE"""),"New")</f>
        <v>New</v>
      </c>
      <c r="F9909" s="72">
        <v>71</v>
      </c>
      <c r="G9909" s="72">
        <v>34551</v>
      </c>
    </row>
    <row r="9910" spans="1:7" ht="14.5">
      <c r="A9910" s="3" t="s">
        <v>9115</v>
      </c>
      <c r="B9910" s="12" t="s">
        <v>2891</v>
      </c>
      <c r="C9910" s="46" t="s">
        <v>9902</v>
      </c>
      <c r="D9910" s="41" t="str">
        <f ca="1">IFERROR(__xludf.DUMMYFUNCTION("IFERROR(ARRAYFORMULA(REGEXEXTRACT(C9910,""^(?:https?:\/\/)?(?:[^@\n]+@)?(?:www\.)?([^:\/\n]+)"")),"""")"),"emirateswoman.com")</f>
        <v>emirateswoman.com</v>
      </c>
      <c r="E9910" s="26" t="str">
        <f ca="1">IFERROR(__xludf.DUMMYFUNCTION("""COMPUTED_VALUE"""),"New")</f>
        <v>New</v>
      </c>
      <c r="F9910" s="72">
        <v>69</v>
      </c>
      <c r="G9910" s="72">
        <v>5630</v>
      </c>
    </row>
    <row r="9911" spans="1:7" ht="14.5">
      <c r="A9911" s="3" t="s">
        <v>9115</v>
      </c>
      <c r="B9911" s="12" t="s">
        <v>2891</v>
      </c>
      <c r="C9911" s="46" t="s">
        <v>9903</v>
      </c>
      <c r="D9911" s="41" t="str">
        <f ca="1">IFERROR(__xludf.DUMMYFUNCTION("IFERROR(ARRAYFORMULA(REGEXEXTRACT(C9911,""^(?:https?:\/\/)?(?:[^@\n]+@)?(?:www\.)?([^:\/\n]+)"")),"""")"),"luxuryhomemarketing.com")</f>
        <v>luxuryhomemarketing.com</v>
      </c>
      <c r="E9911" s="26" t="str">
        <f ca="1">IFERROR(__xludf.DUMMYFUNCTION("""COMPUTED_VALUE"""),"New")</f>
        <v>New</v>
      </c>
      <c r="F9911" s="72">
        <v>70</v>
      </c>
      <c r="G9911" s="72">
        <v>1744</v>
      </c>
    </row>
    <row r="9912" spans="1:7" ht="14.5">
      <c r="A9912" s="3" t="s">
        <v>9115</v>
      </c>
      <c r="B9912" s="12" t="s">
        <v>2891</v>
      </c>
      <c r="C9912" s="46" t="s">
        <v>9904</v>
      </c>
      <c r="D9912" s="41" t="str">
        <f ca="1">IFERROR(__xludf.DUMMYFUNCTION("IFERROR(ARRAYFORMULA(REGEXEXTRACT(C9912,""^(?:https?:\/\/)?(?:[^@\n]+@)?(?:www\.)?([^:\/\n]+)"")),"""")"),"thetimes.com")</f>
        <v>thetimes.com</v>
      </c>
      <c r="E9912" s="26" t="str">
        <f ca="1">IFERROR(__xludf.DUMMYFUNCTION("""COMPUTED_VALUE"""),"New")</f>
        <v>New</v>
      </c>
      <c r="F9912" s="72">
        <v>91</v>
      </c>
      <c r="G9912" s="72">
        <v>2119873</v>
      </c>
    </row>
    <row r="9913" spans="1:7" ht="14.5">
      <c r="A9913" s="3" t="s">
        <v>9115</v>
      </c>
      <c r="B9913" s="12" t="s">
        <v>2891</v>
      </c>
      <c r="C9913" s="46" t="s">
        <v>9905</v>
      </c>
      <c r="D9913" s="41" t="str">
        <f ca="1">IFERROR(__xludf.DUMMYFUNCTION("IFERROR(ARRAYFORMULA(REGEXEXTRACT(C9913,""^(?:https?:\/\/)?(?:[^@\n]+@)?(?:www\.)?([^:\/\n]+)"")),"""")"),"rumahhq.com")</f>
        <v>rumahhq.com</v>
      </c>
      <c r="E9913" s="26" t="str">
        <f ca="1">IFERROR(__xludf.DUMMYFUNCTION("""COMPUTED_VALUE"""),"New")</f>
        <v>New</v>
      </c>
      <c r="F9913" s="72">
        <v>66</v>
      </c>
      <c r="G9913" s="72">
        <v>2198</v>
      </c>
    </row>
    <row r="9914" spans="1:7" ht="14.5">
      <c r="A9914" s="3" t="s">
        <v>9115</v>
      </c>
      <c r="B9914" s="12" t="s">
        <v>2891</v>
      </c>
      <c r="C9914" s="46" t="s">
        <v>9906</v>
      </c>
      <c r="D9914" s="41" t="str">
        <f ca="1">IFERROR(__xludf.DUMMYFUNCTION("IFERROR(ARRAYFORMULA(REGEXEXTRACT(C9914,""^(?:https?:\/\/)?(?:[^@\n]+@)?(?:www\.)?([^:\/\n]+)"")),"""")"),"thesun.co.uk")</f>
        <v>thesun.co.uk</v>
      </c>
      <c r="E9914" s="26" t="str">
        <f ca="1">IFERROR(__xludf.DUMMYFUNCTION("""COMPUTED_VALUE"""),"New")</f>
        <v>New</v>
      </c>
      <c r="F9914" s="72">
        <v>89</v>
      </c>
      <c r="G9914" s="72">
        <v>11643839</v>
      </c>
    </row>
    <row r="9915" spans="1:7" ht="14.5" hidden="1">
      <c r="A9915" s="3" t="s">
        <v>9115</v>
      </c>
      <c r="B9915" s="12" t="s">
        <v>2891</v>
      </c>
      <c r="C9915" s="46" t="s">
        <v>9907</v>
      </c>
      <c r="D9915" s="41" t="str">
        <f ca="1">IFERROR(__xludf.DUMMYFUNCTION("IFERROR(ARRAYFORMULA(REGEXEXTRACT(C9915,""^(?:https?:\/\/)?(?:[^@\n]+@)?(?:www\.)?([^:\/\n]+)"")),"""")"),"welshmum.co.uk")</f>
        <v>welshmum.co.uk</v>
      </c>
      <c r="E9915" s="26" t="str">
        <f ca="1">IFERROR(__xludf.DUMMYFUNCTION("""COMPUTED_VALUE"""),"Already Exists")</f>
        <v>Already Exists</v>
      </c>
      <c r="F9915" s="72">
        <v>26</v>
      </c>
      <c r="G9915" s="72">
        <v>1472</v>
      </c>
    </row>
    <row r="9916" spans="1:7" ht="14.5">
      <c r="A9916" s="3" t="s">
        <v>9115</v>
      </c>
      <c r="B9916" s="12" t="s">
        <v>2891</v>
      </c>
      <c r="C9916" s="46" t="s">
        <v>9908</v>
      </c>
      <c r="D9916" s="41" t="str">
        <f ca="1">IFERROR(__xludf.DUMMYFUNCTION("IFERROR(ARRAYFORMULA(REGEXEXTRACT(C9916,""^(?:https?:\/\/)?(?:[^@\n]+@)?(?:www\.)?([^:\/\n]+)"")),"""")"),"nappyvalleynet.com")</f>
        <v>nappyvalleynet.com</v>
      </c>
      <c r="E9916" s="26" t="str">
        <f ca="1">IFERROR(__xludf.DUMMYFUNCTION("""COMPUTED_VALUE"""),"New")</f>
        <v>New</v>
      </c>
      <c r="F9916" s="72">
        <v>39</v>
      </c>
      <c r="G9916" s="72">
        <v>7100</v>
      </c>
    </row>
    <row r="9917" spans="1:7" ht="14.5">
      <c r="A9917" s="3" t="s">
        <v>9115</v>
      </c>
      <c r="B9917" s="12" t="s">
        <v>2891</v>
      </c>
      <c r="C9917" s="46" t="s">
        <v>9909</v>
      </c>
      <c r="D9917" s="41" t="str">
        <f ca="1">IFERROR(__xludf.DUMMYFUNCTION("IFERROR(ARRAYFORMULA(REGEXEXTRACT(C9917,""^(?:https?:\/\/)?(?:[^@\n]+@)?(?:www\.)?([^:\/\n]+)"")),"""")"),"thejewelleryeditor.com")</f>
        <v>thejewelleryeditor.com</v>
      </c>
      <c r="E9917" s="26" t="str">
        <f ca="1">IFERROR(__xludf.DUMMYFUNCTION("""COMPUTED_VALUE"""),"New")</f>
        <v>New</v>
      </c>
      <c r="F9917" s="72">
        <v>62</v>
      </c>
      <c r="G9917" s="72">
        <v>7993</v>
      </c>
    </row>
    <row r="9918" spans="1:7" ht="14.5" hidden="1">
      <c r="A9918" s="3" t="s">
        <v>9115</v>
      </c>
      <c r="B9918" s="12" t="s">
        <v>2891</v>
      </c>
      <c r="C9918" s="46" t="s">
        <v>9910</v>
      </c>
      <c r="D9918" s="41" t="str">
        <f ca="1">IFERROR(__xludf.DUMMYFUNCTION("IFERROR(ARRAYFORMULA(REGEXEXTRACT(C9918,""^(?:https?:\/\/)?(?:[^@\n]+@)?(?:www\.)?([^:\/\n]+)"")),"""")"),"rachelbustin.com")</f>
        <v>rachelbustin.com</v>
      </c>
      <c r="E9918" s="26" t="str">
        <f ca="1">IFERROR(__xludf.DUMMYFUNCTION("""COMPUTED_VALUE"""),"Already Exists")</f>
        <v>Already Exists</v>
      </c>
      <c r="F9918" s="72">
        <v>30</v>
      </c>
      <c r="G9918" s="72">
        <v>9170</v>
      </c>
    </row>
    <row r="9919" spans="1:7" ht="14.5">
      <c r="A9919" s="3" t="s">
        <v>9115</v>
      </c>
      <c r="B9919" s="12" t="s">
        <v>2891</v>
      </c>
      <c r="C9919" s="46" t="s">
        <v>9911</v>
      </c>
      <c r="D9919" s="41" t="str">
        <f ca="1">IFERROR(__xludf.DUMMYFUNCTION("IFERROR(ARRAYFORMULA(REGEXEXTRACT(C9919,""^(?:https?:\/\/)?(?:[^@\n]+@)?(?:www\.)?([^:\/\n]+)"")),"""")"),"pinkysirondoors.com")</f>
        <v>pinkysirondoors.com</v>
      </c>
      <c r="E9919" s="26" t="str">
        <f ca="1">IFERROR(__xludf.DUMMYFUNCTION("""COMPUTED_VALUE"""),"New")</f>
        <v>New</v>
      </c>
      <c r="F9919" s="72">
        <v>44</v>
      </c>
      <c r="G9919" s="72">
        <v>12417</v>
      </c>
    </row>
    <row r="9920" spans="1:7" ht="14.5">
      <c r="A9920" s="3" t="s">
        <v>9115</v>
      </c>
      <c r="B9920" s="12" t="s">
        <v>2891</v>
      </c>
      <c r="C9920" s="46" t="s">
        <v>9912</v>
      </c>
      <c r="D9920" s="41" t="str">
        <f ca="1">IFERROR(__xludf.DUMMYFUNCTION("IFERROR(ARRAYFORMULA(REGEXEXTRACT(C9920,""^(?:https?:\/\/)?(?:[^@\n]+@)?(?:www\.)?([^:\/\n]+)"")),"""")"),"4.bing.com")</f>
        <v>4.bing.com</v>
      </c>
      <c r="E9920" s="26" t="str">
        <f ca="1">IFERROR(__xludf.DUMMYFUNCTION("""COMPUTED_VALUE"""),"New")</f>
        <v>New</v>
      </c>
      <c r="F9920" s="72">
        <v>93</v>
      </c>
      <c r="G9920" s="72">
        <v>14799014</v>
      </c>
    </row>
    <row r="9921" spans="1:7" ht="14.5" hidden="1">
      <c r="A9921" s="3" t="s">
        <v>9115</v>
      </c>
      <c r="B9921" s="12" t="s">
        <v>2891</v>
      </c>
      <c r="C9921" s="46" t="s">
        <v>9913</v>
      </c>
      <c r="D9921" s="41" t="str">
        <f ca="1">IFERROR(__xludf.DUMMYFUNCTION("IFERROR(ARRAYFORMULA(REGEXEXTRACT(C9921,""^(?:https?:\/\/)?(?:[^@\n]+@)?(?:www\.)?([^:\/\n]+)"")),"""")"),"grandmashousediy.com")</f>
        <v>grandmashousediy.com</v>
      </c>
      <c r="E9921" s="26" t="str">
        <f ca="1">IFERROR(__xludf.DUMMYFUNCTION("""COMPUTED_VALUE"""),"Already Exists")</f>
        <v>Already Exists</v>
      </c>
      <c r="F9921" s="72">
        <v>42</v>
      </c>
      <c r="G9921" s="72">
        <v>1343</v>
      </c>
    </row>
    <row r="9922" spans="1:7" ht="14.5">
      <c r="A9922" s="3" t="s">
        <v>9115</v>
      </c>
      <c r="B9922" s="12" t="s">
        <v>2891</v>
      </c>
      <c r="C9922" s="46" t="s">
        <v>9914</v>
      </c>
      <c r="D9922" s="41" t="str">
        <f ca="1">IFERROR(__xludf.DUMMYFUNCTION("IFERROR(ARRAYFORMULA(REGEXEXTRACT(C9922,""^(?:https?:\/\/)?(?:[^@\n]+@)?(?:www\.)?([^:\/\n]+)"")),"""")"),"sanssoucie.com")</f>
        <v>sanssoucie.com</v>
      </c>
      <c r="E9922" s="26" t="str">
        <f ca="1">IFERROR(__xludf.DUMMYFUNCTION("""COMPUTED_VALUE"""),"New")</f>
        <v>New</v>
      </c>
      <c r="F9922" s="72">
        <v>28</v>
      </c>
      <c r="G9922" s="72">
        <v>18308</v>
      </c>
    </row>
    <row r="9923" spans="1:7" ht="14.5">
      <c r="A9923" s="3" t="s">
        <v>9115</v>
      </c>
      <c r="B9923" s="12" t="s">
        <v>2891</v>
      </c>
      <c r="C9923" s="46" t="s">
        <v>9915</v>
      </c>
      <c r="D9923" s="41" t="str">
        <f ca="1">IFERROR(__xludf.DUMMYFUNCTION("IFERROR(ARRAYFORMULA(REGEXEXTRACT(C9923,""^(?:https?:\/\/)?(?:[^@\n]+@)?(?:www\.)?([^:\/\n]+)"")),"""")"),"corporatevision-news.com")</f>
        <v>corporatevision-news.com</v>
      </c>
      <c r="E9923" s="26" t="str">
        <f ca="1">IFERROR(__xludf.DUMMYFUNCTION("""COMPUTED_VALUE"""),"New")</f>
        <v>New</v>
      </c>
      <c r="F9923" s="72">
        <v>75</v>
      </c>
      <c r="G9923" s="72">
        <v>1960</v>
      </c>
    </row>
    <row r="9924" spans="1:7" ht="14.5">
      <c r="A9924" s="3" t="s">
        <v>9115</v>
      </c>
      <c r="B9924" s="12" t="s">
        <v>2891</v>
      </c>
      <c r="C9924" s="46" t="s">
        <v>9916</v>
      </c>
      <c r="D9924" s="41" t="str">
        <f ca="1">IFERROR(__xludf.DUMMYFUNCTION("IFERROR(ARRAYFORMULA(REGEXEXTRACT(C9924,""^(?:https?:\/\/)?(?:[^@\n]+@)?(?:www\.)?([^:\/\n]+)"")),"""")"),"threadsmonthly.com")</f>
        <v>threadsmonthly.com</v>
      </c>
      <c r="E9924" s="26" t="str">
        <f ca="1">IFERROR(__xludf.DUMMYFUNCTION("""COMPUTED_VALUE"""),"New")</f>
        <v>New</v>
      </c>
      <c r="F9924" s="72">
        <v>43</v>
      </c>
      <c r="G9924" s="72">
        <v>30026</v>
      </c>
    </row>
    <row r="9925" spans="1:7" ht="14.5" hidden="1">
      <c r="A9925" s="3" t="s">
        <v>9115</v>
      </c>
      <c r="B9925" s="12" t="s">
        <v>2891</v>
      </c>
      <c r="C9925" s="46" t="s">
        <v>9917</v>
      </c>
      <c r="D9925" s="41" t="str">
        <f ca="1">IFERROR(__xludf.DUMMYFUNCTION("IFERROR(ARRAYFORMULA(REGEXEXTRACT(C9925,""^(?:https?:\/\/)?(?:[^@\n]+@)?(?:www\.)?([^:\/\n]+)"")),"""")"),"build-review.com")</f>
        <v>build-review.com</v>
      </c>
      <c r="E9925" s="26" t="str">
        <f ca="1">IFERROR(__xludf.DUMMYFUNCTION("""COMPUTED_VALUE"""),"Already Exists")</f>
        <v>Already Exists</v>
      </c>
      <c r="F9925" s="72">
        <v>74</v>
      </c>
      <c r="G9925" s="72">
        <v>1840</v>
      </c>
    </row>
    <row r="9926" spans="1:7" ht="14.5">
      <c r="A9926" s="3" t="s">
        <v>9115</v>
      </c>
      <c r="B9926" s="12" t="s">
        <v>2891</v>
      </c>
      <c r="C9926" s="46" t="s">
        <v>9918</v>
      </c>
      <c r="D9926" s="41" t="str">
        <f ca="1">IFERROR(__xludf.DUMMYFUNCTION("IFERROR(ARRAYFORMULA(REGEXEXTRACT(C9926,""^(?:https?:\/\/)?(?:[^@\n]+@)?(?:www\.)?([^:\/\n]+)"")),"""")"),"se.lovenoughty.co.uk")</f>
        <v>se.lovenoughty.co.uk</v>
      </c>
      <c r="E9926" s="26" t="str">
        <f ca="1">IFERROR(__xludf.DUMMYFUNCTION("""COMPUTED_VALUE"""),"New")</f>
        <v>New</v>
      </c>
      <c r="F9926" s="72">
        <v>34</v>
      </c>
      <c r="G9926" s="72">
        <v>10925</v>
      </c>
    </row>
    <row r="9927" spans="1:7" ht="14.5">
      <c r="A9927" s="3" t="s">
        <v>9115</v>
      </c>
      <c r="B9927" s="12" t="s">
        <v>2891</v>
      </c>
      <c r="C9927" s="46" t="s">
        <v>9919</v>
      </c>
      <c r="D9927" s="41" t="str">
        <f ca="1">IFERROR(__xludf.DUMMYFUNCTION("IFERROR(ARRAYFORMULA(REGEXEXTRACT(C9927,""^(?:https?:\/\/)?(?:[^@\n]+@)?(?:www\.)?([^:\/\n]+)"")),"""")"),"finnavenue.com")</f>
        <v>finnavenue.com</v>
      </c>
      <c r="E9927" s="26" t="str">
        <f ca="1">IFERROR(__xludf.DUMMYFUNCTION("""COMPUTED_VALUE"""),"New")</f>
        <v>New</v>
      </c>
      <c r="F9927" s="72">
        <v>34</v>
      </c>
      <c r="G9927" s="72">
        <v>1507</v>
      </c>
    </row>
    <row r="9928" spans="1:7" ht="14.5">
      <c r="A9928" s="3" t="s">
        <v>9115</v>
      </c>
      <c r="B9928" s="12" t="s">
        <v>2891</v>
      </c>
      <c r="C9928" s="46" t="s">
        <v>9920</v>
      </c>
      <c r="D9928" s="41" t="str">
        <f ca="1">IFERROR(__xludf.DUMMYFUNCTION("IFERROR(ARRAYFORMULA(REGEXEXTRACT(C9928,""^(?:https?:\/\/)?(?:[^@\n]+@)?(?:www\.)?([^:\/\n]+)"")),"""")"),"dailynewshungary.com")</f>
        <v>dailynewshungary.com</v>
      </c>
      <c r="E9928" s="26" t="str">
        <f ca="1">IFERROR(__xludf.DUMMYFUNCTION("""COMPUTED_VALUE"""),"New")</f>
        <v>New</v>
      </c>
      <c r="F9928" s="72">
        <v>71</v>
      </c>
      <c r="G9928" s="72">
        <v>8526</v>
      </c>
    </row>
    <row r="9929" spans="1:7" ht="14.5">
      <c r="A9929" s="3" t="s">
        <v>9115</v>
      </c>
      <c r="B9929" s="12" t="s">
        <v>2891</v>
      </c>
      <c r="C9929" s="46" t="s">
        <v>9921</v>
      </c>
      <c r="D9929" s="41" t="str">
        <f ca="1">IFERROR(__xludf.DUMMYFUNCTION("IFERROR(ARRAYFORMULA(REGEXEXTRACT(C9929,""^(?:https?:\/\/)?(?:[^@\n]+@)?(?:www\.)?([^:\/\n]+)"")),"""")"),"the-sun.com")</f>
        <v>the-sun.com</v>
      </c>
      <c r="E9929" s="26" t="str">
        <f ca="1">IFERROR(__xludf.DUMMYFUNCTION("""COMPUTED_VALUE"""),"New")</f>
        <v>New</v>
      </c>
      <c r="F9929" s="72">
        <v>82</v>
      </c>
      <c r="G9929" s="72">
        <v>2680362</v>
      </c>
    </row>
    <row r="9930" spans="1:7" ht="14.5" hidden="1">
      <c r="A9930" s="3" t="s">
        <v>9115</v>
      </c>
      <c r="B9930" s="12" t="s">
        <v>2891</v>
      </c>
      <c r="C9930" s="46" t="s">
        <v>9922</v>
      </c>
      <c r="D9930" s="41" t="str">
        <f ca="1">IFERROR(__xludf.DUMMYFUNCTION("IFERROR(ARRAYFORMULA(REGEXEXTRACT(C9930,""^(?:https?:\/\/)?(?:[^@\n]+@)?(?:www\.)?([^:\/\n]+)"")),"""")"),"monkeyandmouse.co.uk")</f>
        <v>monkeyandmouse.co.uk</v>
      </c>
      <c r="E9930" s="26" t="str">
        <f ca="1">IFERROR(__xludf.DUMMYFUNCTION("""COMPUTED_VALUE"""),"Already Exists")</f>
        <v>Already Exists</v>
      </c>
      <c r="F9930" s="72">
        <v>34</v>
      </c>
      <c r="G9930" s="72">
        <v>2563</v>
      </c>
    </row>
    <row r="9931" spans="1:7" ht="14.5">
      <c r="A9931" s="3" t="s">
        <v>9115</v>
      </c>
      <c r="B9931" s="12" t="s">
        <v>2891</v>
      </c>
      <c r="C9931" s="46" t="s">
        <v>9923</v>
      </c>
      <c r="D9931" s="41" t="str">
        <f ca="1">IFERROR(__xludf.DUMMYFUNCTION("IFERROR(ARRAYFORMULA(REGEXEXTRACT(C9931,""^(?:https?:\/\/)?(?:[^@\n]+@)?(?:www\.)?([^:\/\n]+)"")),"""")"),"buzzfeed.com")</f>
        <v>buzzfeed.com</v>
      </c>
      <c r="E9931" s="26" t="str">
        <f ca="1">IFERROR(__xludf.DUMMYFUNCTION("""COMPUTED_VALUE"""),"New")</f>
        <v>New</v>
      </c>
      <c r="F9931" s="72">
        <v>91</v>
      </c>
      <c r="G9931" s="72">
        <v>7426204</v>
      </c>
    </row>
    <row r="9932" spans="1:7" ht="14.5">
      <c r="A9932" s="3" t="s">
        <v>9115</v>
      </c>
      <c r="B9932" s="12" t="s">
        <v>2891</v>
      </c>
      <c r="C9932" s="46" t="s">
        <v>9924</v>
      </c>
      <c r="D9932" s="41" t="str">
        <f ca="1">IFERROR(__xludf.DUMMYFUNCTION("IFERROR(ARRAYFORMULA(REGEXEXTRACT(C9932,""^(?:https?:\/\/)?(?:[^@\n]+@)?(?:www\.)?([^:\/\n]+)"")),"""")"),"aplusd")</f>
        <v>aplusd</v>
      </c>
      <c r="E9932" s="26" t="str">
        <f ca="1">IFERROR(__xludf.DUMMYFUNCTION("""COMPUTED_VALUE"""),"New")</f>
        <v>New</v>
      </c>
      <c r="F9932" s="72">
        <v>71</v>
      </c>
      <c r="G9932" s="72">
        <v>50467</v>
      </c>
    </row>
    <row r="9933" spans="1:7" ht="14.5">
      <c r="A9933" s="3" t="s">
        <v>9115</v>
      </c>
      <c r="B9933" s="12" t="s">
        <v>2891</v>
      </c>
      <c r="C9933" s="46" t="s">
        <v>9925</v>
      </c>
      <c r="D9933" s="41" t="str">
        <f ca="1">IFERROR(__xludf.DUMMYFUNCTION("IFERROR(ARRAYFORMULA(REGEXEXTRACT(C9933,""^(?:https?:\/\/)?(?:[^@\n]+@)?(?:www\.)?([^:\/\n]+)"")),"""")"),"pressreleases.responsesource.com")</f>
        <v>pressreleases.responsesource.com</v>
      </c>
      <c r="E9933" s="26" t="str">
        <f ca="1">IFERROR(__xludf.DUMMYFUNCTION("""COMPUTED_VALUE"""),"New")</f>
        <v>New</v>
      </c>
      <c r="F9933" s="72">
        <v>72</v>
      </c>
      <c r="G9933" s="72">
        <v>2633</v>
      </c>
    </row>
    <row r="9934" spans="1:7" ht="14.5" hidden="1">
      <c r="A9934" s="3" t="s">
        <v>9115</v>
      </c>
      <c r="B9934" s="12" t="s">
        <v>2891</v>
      </c>
      <c r="C9934" s="46" t="s">
        <v>9926</v>
      </c>
      <c r="D9934" s="41" t="str">
        <f ca="1">IFERROR(__xludf.DUMMYFUNCTION("IFERROR(ARRAYFORMULA(REGEXEXTRACT(C9934,""^(?:https?:\/\/)?(?:[^@\n]+@)?(?:www\.)?([^:\/\n]+)"")),"""")"),"urbansplatter.com")</f>
        <v>urbansplatter.com</v>
      </c>
      <c r="E9934" s="26" t="str">
        <f ca="1">IFERROR(__xludf.DUMMYFUNCTION("""COMPUTED_VALUE"""),"Already Exists")</f>
        <v>Already Exists</v>
      </c>
      <c r="F9934" s="72">
        <v>64</v>
      </c>
      <c r="G9934" s="72">
        <v>24225</v>
      </c>
    </row>
    <row r="9935" spans="1:7" ht="14.5">
      <c r="A9935" s="3" t="s">
        <v>9115</v>
      </c>
      <c r="B9935" s="12" t="s">
        <v>2891</v>
      </c>
      <c r="C9935" s="46" t="s">
        <v>9927</v>
      </c>
      <c r="D9935" s="41" t="str">
        <f ca="1">IFERROR(__xludf.DUMMYFUNCTION("IFERROR(ARRAYFORMULA(REGEXEXTRACT(C9935,""^(?:https?:\/\/)?(?:[^@\n]+@)?(?:www\.)?([^:\/\n]+)"")),"""")"),"content.yudu.com")</f>
        <v>content.yudu.com</v>
      </c>
      <c r="E9935" s="26" t="str">
        <f ca="1">IFERROR(__xludf.DUMMYFUNCTION("""COMPUTED_VALUE"""),"New")</f>
        <v>New</v>
      </c>
      <c r="F9935" s="72">
        <v>82</v>
      </c>
      <c r="G9935" s="72">
        <v>1260</v>
      </c>
    </row>
    <row r="9936" spans="1:7" ht="14.5">
      <c r="A9936" s="3" t="s">
        <v>9115</v>
      </c>
      <c r="B9936" s="12" t="s">
        <v>2891</v>
      </c>
      <c r="C9936" s="46" t="s">
        <v>9928</v>
      </c>
      <c r="D9936" s="41" t="str">
        <f ca="1">IFERROR(__xludf.DUMMYFUNCTION("IFERROR(ARRAYFORMULA(REGEXEXTRACT(C9936,""^(?:https?:\/\/)?(?:[^@\n]+@)?(?:www\.)?([^:\/\n]+)"")),"""")"),"thesun.ie")</f>
        <v>thesun.ie</v>
      </c>
      <c r="E9936" s="26" t="str">
        <f ca="1">IFERROR(__xludf.DUMMYFUNCTION("""COMPUTED_VALUE"""),"New")</f>
        <v>New</v>
      </c>
      <c r="F9936" s="72">
        <v>77</v>
      </c>
      <c r="G9936" s="72">
        <v>832276</v>
      </c>
    </row>
    <row r="9937" spans="1:7" ht="14.5">
      <c r="A9937" s="3" t="s">
        <v>9115</v>
      </c>
      <c r="B9937" s="12" t="s">
        <v>2891</v>
      </c>
      <c r="C9937" s="46" t="s">
        <v>9929</v>
      </c>
      <c r="D9937" s="41" t="str">
        <f ca="1">IFERROR(__xludf.DUMMYFUNCTION("IFERROR(ARRAYFORMULA(REGEXEXTRACT(C9937,""^(?:https?:\/\/)?(?:[^@\n]+@)?(?:www\.)?([^:\/\n]+)"")),"""")"),"cms-http-proxy.stacker.com")</f>
        <v>cms-http-proxy.stacker.com</v>
      </c>
      <c r="E9937" s="26" t="str">
        <f ca="1">IFERROR(__xludf.DUMMYFUNCTION("""COMPUTED_VALUE"""),"New")</f>
        <v>New</v>
      </c>
      <c r="F9937" s="72">
        <v>77</v>
      </c>
      <c r="G9937" s="72">
        <v>51047</v>
      </c>
    </row>
    <row r="9938" spans="1:7" ht="14.5">
      <c r="A9938" s="3" t="s">
        <v>9115</v>
      </c>
      <c r="B9938" s="12" t="s">
        <v>2891</v>
      </c>
      <c r="C9938" s="46" t="s">
        <v>9930</v>
      </c>
      <c r="D9938" s="41" t="str">
        <f ca="1">IFERROR(__xludf.DUMMYFUNCTION("IFERROR(ARRAYFORMULA(REGEXEXTRACT(C9938,""^(?:https?:\/\/)?(?:[^@\n]+@)?(?:www\.)?([^:\/\n]+)"")),"""")"),"3dbrute.com")</f>
        <v>3dbrute.com</v>
      </c>
      <c r="E9938" s="26" t="str">
        <f ca="1">IFERROR(__xludf.DUMMYFUNCTION("""COMPUTED_VALUE"""),"New")</f>
        <v>New</v>
      </c>
      <c r="F9938" s="72">
        <v>35</v>
      </c>
      <c r="G9938" s="72">
        <v>14877</v>
      </c>
    </row>
    <row r="9939" spans="1:7" ht="14.5" hidden="1">
      <c r="A9939" s="3" t="s">
        <v>9115</v>
      </c>
      <c r="B9939" s="12" t="s">
        <v>2891</v>
      </c>
      <c r="C9939" s="46" t="s">
        <v>9931</v>
      </c>
      <c r="D9939" s="41" t="str">
        <f ca="1">IFERROR(__xludf.DUMMYFUNCTION("IFERROR(ARRAYFORMULA(REGEXEXTRACT(C9939,""^(?:https?:\/\/)?(?:[^@\n]+@)?(?:www\.)?([^:\/\n]+)"")),"""")"),"inkl.com")</f>
        <v>inkl.com</v>
      </c>
      <c r="E9939" s="26" t="str">
        <f ca="1">IFERROR(__xludf.DUMMYFUNCTION("""COMPUTED_VALUE"""),"Already Exists")</f>
        <v>Already Exists</v>
      </c>
      <c r="F9939" s="72">
        <v>71</v>
      </c>
      <c r="G9939" s="72">
        <v>76869</v>
      </c>
    </row>
    <row r="9940" spans="1:7" ht="14.5">
      <c r="A9940" s="3" t="s">
        <v>9115</v>
      </c>
      <c r="B9940" s="12" t="s">
        <v>2891</v>
      </c>
      <c r="C9940" s="46" t="s">
        <v>9932</v>
      </c>
      <c r="D9940" s="41" t="str">
        <f ca="1">IFERROR(__xludf.DUMMYFUNCTION("IFERROR(ARRAYFORMULA(REGEXEXTRACT(C9940,""^(?:https?:\/\/)?(?:[^@\n]+@)?(?:www\.)?([^:\/\n]+)"")),"""")"),"ireland-live.ie")</f>
        <v>ireland-live.ie</v>
      </c>
      <c r="E9940" s="26" t="str">
        <f ca="1">IFERROR(__xludf.DUMMYFUNCTION("""COMPUTED_VALUE"""),"New")</f>
        <v>New</v>
      </c>
      <c r="F9940" s="72">
        <v>53</v>
      </c>
      <c r="G9940" s="72">
        <v>20102</v>
      </c>
    </row>
    <row r="9941" spans="1:7" ht="14.5">
      <c r="A9941" s="3" t="s">
        <v>9115</v>
      </c>
      <c r="B9941" s="12" t="s">
        <v>2891</v>
      </c>
      <c r="C9941" s="46" t="s">
        <v>9933</v>
      </c>
      <c r="D9941" s="41" t="str">
        <f ca="1">IFERROR(__xludf.DUMMYFUNCTION("IFERROR(ARRAYFORMULA(REGEXEXTRACT(C9941,""^(?:https?:\/\/)?(?:[^@\n]+@)?(?:www\.)?([^:\/\n]+)"")),"""")"),"bloggang.com")</f>
        <v>bloggang.com</v>
      </c>
      <c r="E9941" s="26" t="str">
        <f ca="1">IFERROR(__xludf.DUMMYFUNCTION("""COMPUTED_VALUE"""),"New")</f>
        <v>New</v>
      </c>
      <c r="F9941" s="72">
        <v>69</v>
      </c>
      <c r="G9941" s="72">
        <v>78191</v>
      </c>
    </row>
    <row r="9942" spans="1:7" ht="14.5">
      <c r="A9942" s="3" t="s">
        <v>9115</v>
      </c>
      <c r="B9942" s="12" t="s">
        <v>2891</v>
      </c>
      <c r="C9942" s="46" t="s">
        <v>9934</v>
      </c>
      <c r="D9942" s="41" t="str">
        <f ca="1">IFERROR(__xludf.DUMMYFUNCTION("IFERROR(ARRAYFORMULA(REGEXEXTRACT(C9942,""^(?:https?:\/\/)?(?:[^@\n]+@)?(?:www\.)?([^:\/\n]+)"")),"""")"),"bloglovin.com")</f>
        <v>bloglovin.com</v>
      </c>
      <c r="E9942" s="26" t="str">
        <f ca="1">IFERROR(__xludf.DUMMYFUNCTION("""COMPUTED_VALUE"""),"New")</f>
        <v>New</v>
      </c>
      <c r="F9942" s="72">
        <v>86</v>
      </c>
      <c r="G9942" s="72">
        <v>1971</v>
      </c>
    </row>
    <row r="9943" spans="1:7" ht="14.5">
      <c r="A9943" s="3" t="s">
        <v>9115</v>
      </c>
      <c r="B9943" s="12" t="s">
        <v>2891</v>
      </c>
      <c r="C9943" s="46" t="s">
        <v>9935</v>
      </c>
      <c r="D9943" s="41" t="str">
        <f ca="1">IFERROR(__xludf.DUMMYFUNCTION("IFERROR(ARRAYFORMULA(REGEXEXTRACT(C9943,""^(?:https?:\/\/)?(?:[^@\n]+@)?(?:www\.)?([^:\/\n]+)"")),"""")"),"flexoffers.com")</f>
        <v>flexoffers.com</v>
      </c>
      <c r="E9943" s="26" t="str">
        <f ca="1">IFERROR(__xludf.DUMMYFUNCTION("""COMPUTED_VALUE"""),"New")</f>
        <v>New</v>
      </c>
      <c r="F9943" s="72">
        <v>72</v>
      </c>
      <c r="G9943" s="72">
        <v>23412</v>
      </c>
    </row>
    <row r="9944" spans="1:7" ht="14.5">
      <c r="A9944" s="3" t="s">
        <v>9115</v>
      </c>
      <c r="B9944" s="17" t="s">
        <v>2897</v>
      </c>
      <c r="C9944" s="46" t="s">
        <v>9936</v>
      </c>
      <c r="D9944" s="41" t="str">
        <f ca="1">IFERROR(__xludf.DUMMYFUNCTION("IFERROR(ARRAYFORMULA(REGEXEXTRACT(C9944,""^(?:https?:\/\/)?(?:[^@\n]+@)?(?:www\.)?([^:\/\n]+)"")),"""")"),"theceo.in")</f>
        <v>theceo.in</v>
      </c>
      <c r="E9944" s="26" t="str">
        <f ca="1">IFERROR(__xludf.DUMMYFUNCTION("""COMPUTED_VALUE"""),"New")</f>
        <v>New</v>
      </c>
      <c r="F9944" s="72">
        <v>64</v>
      </c>
      <c r="G9944" s="72">
        <v>9810</v>
      </c>
    </row>
    <row r="9945" spans="1:7" ht="14.5">
      <c r="A9945" s="3" t="s">
        <v>9115</v>
      </c>
      <c r="B9945" s="12" t="s">
        <v>2897</v>
      </c>
      <c r="C9945" s="46" t="s">
        <v>9937</v>
      </c>
      <c r="D9945" s="41" t="str">
        <f ca="1">IFERROR(__xludf.DUMMYFUNCTION("IFERROR(ARRAYFORMULA(REGEXEXTRACT(C9945,""^(?:https?:\/\/)?(?:[^@\n]+@)?(?:www\.)?([^:\/\n]+)"")),"""")"),"wattlecourt.com.au")</f>
        <v>wattlecourt.com.au</v>
      </c>
      <c r="E9945" s="26" t="str">
        <f ca="1">IFERROR(__xludf.DUMMYFUNCTION("""COMPUTED_VALUE"""),"New")</f>
        <v>New</v>
      </c>
      <c r="F9945" s="72">
        <v>29</v>
      </c>
      <c r="G9945" s="72">
        <v>2008</v>
      </c>
    </row>
    <row r="9946" spans="1:7" ht="14.5" hidden="1">
      <c r="A9946" s="3" t="s">
        <v>9115</v>
      </c>
      <c r="B9946" s="12" t="s">
        <v>2897</v>
      </c>
      <c r="C9946" s="46" t="s">
        <v>9938</v>
      </c>
      <c r="D9946" s="41" t="str">
        <f ca="1">IFERROR(__xludf.DUMMYFUNCTION("IFERROR(ARRAYFORMULA(REGEXEXTRACT(C9946,""^(?:https?:\/\/)?(?:[^@\n]+@)?(?:www\.)?([^:\/\n]+)"")),"""")"),"archeyes.com")</f>
        <v>archeyes.com</v>
      </c>
      <c r="E9946" s="26" t="str">
        <f ca="1">IFERROR(__xludf.DUMMYFUNCTION("""COMPUTED_VALUE"""),"Already Exists")</f>
        <v>Already Exists</v>
      </c>
      <c r="F9946" s="72">
        <v>56</v>
      </c>
      <c r="G9946" s="72">
        <v>11505</v>
      </c>
    </row>
    <row r="9947" spans="1:7" ht="14.5">
      <c r="A9947" s="3" t="s">
        <v>9115</v>
      </c>
      <c r="B9947" s="12" t="s">
        <v>2897</v>
      </c>
      <c r="C9947" s="46" t="s">
        <v>9939</v>
      </c>
      <c r="D9947" s="41" t="str">
        <f ca="1">IFERROR(__xludf.DUMMYFUNCTION("IFERROR(ARRAYFORMULA(REGEXEXTRACT(C9947,""^(?:https?:\/\/)?(?:[^@\n]+@)?(?:www\.)?([^:\/\n]+)"")),"""")"),"clennettsmitre10.com.au")</f>
        <v>clennettsmitre10.com.au</v>
      </c>
      <c r="E9947" s="26" t="str">
        <f ca="1">IFERROR(__xludf.DUMMYFUNCTION("""COMPUTED_VALUE"""),"New")</f>
        <v>New</v>
      </c>
      <c r="F9947" s="72">
        <v>30</v>
      </c>
      <c r="G9947" s="72">
        <v>4278</v>
      </c>
    </row>
    <row r="9948" spans="1:7" ht="14.5" hidden="1">
      <c r="A9948" s="3" t="s">
        <v>9115</v>
      </c>
      <c r="B9948" s="12" t="s">
        <v>2897</v>
      </c>
      <c r="C9948" s="46" t="s">
        <v>9940</v>
      </c>
      <c r="D9948" s="41" t="str">
        <f ca="1">IFERROR(__xludf.DUMMYFUNCTION("IFERROR(ARRAYFORMULA(REGEXEXTRACT(C9948,""^(?:https?:\/\/)?(?:[^@\n]+@)?(?:www\.)?([^:\/\n]+)"")),"""")"),"bbntimes.com")</f>
        <v>bbntimes.com</v>
      </c>
      <c r="E9948" s="26" t="str">
        <f ca="1">IFERROR(__xludf.DUMMYFUNCTION("""COMPUTED_VALUE"""),"Already Exists")</f>
        <v>Already Exists</v>
      </c>
      <c r="F9948" s="72">
        <v>72</v>
      </c>
      <c r="G9948" s="72">
        <v>151127</v>
      </c>
    </row>
    <row r="9949" spans="1:7" ht="14.5">
      <c r="A9949" s="3" t="s">
        <v>9115</v>
      </c>
      <c r="B9949" s="12" t="s">
        <v>2897</v>
      </c>
      <c r="C9949" s="46" t="s">
        <v>9941</v>
      </c>
      <c r="D9949" s="41" t="str">
        <f ca="1">IFERROR(__xludf.DUMMYFUNCTION("IFERROR(ARRAYFORMULA(REGEXEXTRACT(C9949,""^(?:https?:\/\/)?(?:[^@\n]+@)?(?:www\.)?([^:\/\n]+)"")),"""")"),"greenmagazine.com.au")</f>
        <v>greenmagazine.com.au</v>
      </c>
      <c r="E9949" s="26" t="str">
        <f ca="1">IFERROR(__xludf.DUMMYFUNCTION("""COMPUTED_VALUE"""),"New")</f>
        <v>New</v>
      </c>
      <c r="F9949" s="72">
        <v>63</v>
      </c>
      <c r="G9949" s="72">
        <v>1569</v>
      </c>
    </row>
    <row r="9950" spans="1:7" ht="14.5">
      <c r="A9950" s="3" t="s">
        <v>9115</v>
      </c>
      <c r="B9950" s="12" t="s">
        <v>2897</v>
      </c>
      <c r="C9950" s="46" t="s">
        <v>9942</v>
      </c>
      <c r="D9950" s="41" t="str">
        <f ca="1">IFERROR(__xludf.DUMMYFUNCTION("IFERROR(ARRAYFORMULA(REGEXEXTRACT(C9950,""^(?:https?:\/\/)?(?:[^@\n]+@)?(?:www\.)?([^:\/\n]+)"")),"""")"),"architectureanddesign.com.au")</f>
        <v>architectureanddesign.com.au</v>
      </c>
      <c r="E9950" s="26" t="str">
        <f ca="1">IFERROR(__xludf.DUMMYFUNCTION("""COMPUTED_VALUE"""),"New")</f>
        <v>New</v>
      </c>
      <c r="F9950" s="72">
        <v>74</v>
      </c>
      <c r="G9950" s="72">
        <v>16145</v>
      </c>
    </row>
    <row r="9951" spans="1:7" ht="14.5">
      <c r="A9951" s="3" t="s">
        <v>9115</v>
      </c>
      <c r="B9951" s="12" t="s">
        <v>2897</v>
      </c>
      <c r="C9951" s="46" t="s">
        <v>9943</v>
      </c>
      <c r="D9951" s="41" t="str">
        <f ca="1">IFERROR(__xludf.DUMMYFUNCTION("IFERROR(ARRAYFORMULA(REGEXEXTRACT(C9951,""^(?:https?:\/\/)?(?:[^@\n]+@)?(?:www\.)?([^:\/\n]+)"")),"""")"),"kmew.co.jp")</f>
        <v>kmew.co.jp</v>
      </c>
      <c r="E9951" s="26" t="str">
        <f ca="1">IFERROR(__xludf.DUMMYFUNCTION("""COMPUTED_VALUE"""),"New")</f>
        <v>New</v>
      </c>
      <c r="F9951" s="72">
        <v>76</v>
      </c>
      <c r="G9951" s="72">
        <v>34602</v>
      </c>
    </row>
    <row r="9952" spans="1:7" ht="14.5" hidden="1">
      <c r="A9952" s="3" t="s">
        <v>9115</v>
      </c>
      <c r="B9952" s="12" t="s">
        <v>2897</v>
      </c>
      <c r="C9952" s="46" t="s">
        <v>9944</v>
      </c>
      <c r="D9952" s="41" t="str">
        <f ca="1">IFERROR(__xludf.DUMMYFUNCTION("IFERROR(ARRAYFORMULA(REGEXEXTRACT(C9952,""^(?:https?:\/\/)?(?:[^@\n]+@)?(?:www\.)?([^:\/\n]+)"")),"""")"),"amazingarchitecture.com")</f>
        <v>amazingarchitecture.com</v>
      </c>
      <c r="E9952" s="26" t="str">
        <f ca="1">IFERROR(__xludf.DUMMYFUNCTION("""COMPUTED_VALUE"""),"Already Exists")</f>
        <v>Already Exists</v>
      </c>
      <c r="F9952" s="72">
        <v>71</v>
      </c>
      <c r="G9952" s="72">
        <v>4167</v>
      </c>
    </row>
    <row r="9953" spans="1:7" ht="14.5">
      <c r="A9953" s="3" t="s">
        <v>9115</v>
      </c>
      <c r="B9953" s="12" t="s">
        <v>2897</v>
      </c>
      <c r="C9953" s="46" t="s">
        <v>9945</v>
      </c>
      <c r="D9953" s="41" t="str">
        <f ca="1">IFERROR(__xludf.DUMMYFUNCTION("IFERROR(ARRAYFORMULA(REGEXEXTRACT(C9953,""^(?:https?:\/\/)?(?:[^@\n]+@)?(?:www\.)?([^:\/\n]+)"")),"""")"),"whitepages.com.au")</f>
        <v>whitepages.com.au</v>
      </c>
      <c r="E9953" s="26" t="str">
        <f ca="1">IFERROR(__xludf.DUMMYFUNCTION("""COMPUTED_VALUE"""),"New")</f>
        <v>New</v>
      </c>
      <c r="F9953" s="72">
        <v>71</v>
      </c>
      <c r="G9953" s="72">
        <v>341220</v>
      </c>
    </row>
    <row r="9954" spans="1:7" ht="14.5">
      <c r="A9954" s="3" t="s">
        <v>9115</v>
      </c>
      <c r="B9954" s="12" t="s">
        <v>2897</v>
      </c>
      <c r="C9954" s="46" t="s">
        <v>9946</v>
      </c>
      <c r="D9954" s="41" t="str">
        <f ca="1">IFERROR(__xludf.DUMMYFUNCTION("IFERROR(ARRAYFORMULA(REGEXEXTRACT(C9954,""^(?:https?:\/\/)?(?:[^@\n]+@)?(?:www\.)?([^:\/\n]+)"")),"""")"),"citychangers.org")</f>
        <v>citychangers.org</v>
      </c>
      <c r="E9954" s="26" t="str">
        <f ca="1">IFERROR(__xludf.DUMMYFUNCTION("""COMPUTED_VALUE"""),"New")</f>
        <v>New</v>
      </c>
      <c r="F9954" s="72">
        <v>54</v>
      </c>
      <c r="G9954" s="72">
        <v>1126</v>
      </c>
    </row>
    <row r="9955" spans="1:7" ht="14.5">
      <c r="A9955" s="3" t="s">
        <v>9115</v>
      </c>
      <c r="B9955" s="12" t="s">
        <v>2897</v>
      </c>
      <c r="C9955" s="46" t="s">
        <v>9947</v>
      </c>
      <c r="D9955" s="41" t="str">
        <f ca="1">IFERROR(__xludf.DUMMYFUNCTION("IFERROR(ARRAYFORMULA(REGEXEXTRACT(C9955,""^(?:https?:\/\/)?(?:[^@\n]+@)?(?:www\.)?([^:\/\n]+)"")),"""")"),"grokipedia.com")</f>
        <v>grokipedia.com</v>
      </c>
      <c r="E9955" s="26" t="str">
        <f ca="1">IFERROR(__xludf.DUMMYFUNCTION("""COMPUTED_VALUE"""),"New")</f>
        <v>New</v>
      </c>
      <c r="F9955" s="72">
        <v>75</v>
      </c>
      <c r="G9955" s="72">
        <v>667361</v>
      </c>
    </row>
    <row r="9956" spans="1:7" ht="14.5" hidden="1">
      <c r="A9956" s="3" t="s">
        <v>9115</v>
      </c>
      <c r="B9956" s="12" t="s">
        <v>2897</v>
      </c>
      <c r="C9956" s="46" t="s">
        <v>9948</v>
      </c>
      <c r="D9956" s="41" t="str">
        <f ca="1">IFERROR(__xludf.DUMMYFUNCTION("IFERROR(ARRAYFORMULA(REGEXEXTRACT(C9956,""^(?:https?:\/\/)?(?:[^@\n]+@)?(?:www\.)?([^:\/\n]+)"")),"""")"),"greenbuildingcanada.ca")</f>
        <v>greenbuildingcanada.ca</v>
      </c>
      <c r="E9956" s="26" t="str">
        <f ca="1">IFERROR(__xludf.DUMMYFUNCTION("""COMPUTED_VALUE"""),"Already Exists")</f>
        <v>Already Exists</v>
      </c>
      <c r="F9956" s="72">
        <v>54</v>
      </c>
      <c r="G9956" s="72">
        <v>5271</v>
      </c>
    </row>
    <row r="9957" spans="1:7" ht="14.5" hidden="1">
      <c r="A9957" s="3" t="s">
        <v>9115</v>
      </c>
      <c r="B9957" s="12" t="s">
        <v>2897</v>
      </c>
      <c r="C9957" s="46" t="s">
        <v>9949</v>
      </c>
      <c r="D9957" s="41" t="str">
        <f ca="1">IFERROR(__xludf.DUMMYFUNCTION("IFERROR(ARRAYFORMULA(REGEXEXTRACT(C9957,""^(?:https?:\/\/)?(?:[^@\n]+@)?(?:www\.)?([^:\/\n]+)"")),"""")"),"lorddecor.com")</f>
        <v>lorddecor.com</v>
      </c>
      <c r="E9957" s="26" t="str">
        <f ca="1">IFERROR(__xludf.DUMMYFUNCTION("""COMPUTED_VALUE"""),"Already Exists")</f>
        <v>Already Exists</v>
      </c>
      <c r="F9957" s="72">
        <v>59</v>
      </c>
      <c r="G9957" s="72">
        <v>1732</v>
      </c>
    </row>
    <row r="9958" spans="1:7" ht="14.5" hidden="1">
      <c r="A9958" s="3" t="s">
        <v>9115</v>
      </c>
      <c r="B9958" s="12" t="s">
        <v>2897</v>
      </c>
      <c r="C9958" s="46" t="s">
        <v>9950</v>
      </c>
      <c r="D9958" s="41" t="str">
        <f ca="1">IFERROR(__xludf.DUMMYFUNCTION("IFERROR(ARRAYFORMULA(REGEXEXTRACT(C9958,""^(?:https?:\/\/)?(?:[^@\n]+@)?(?:www\.)?([^:\/\n]+)"")),"""")"),"impactwealth.org")</f>
        <v>impactwealth.org</v>
      </c>
      <c r="E9958" s="26" t="str">
        <f ca="1">IFERROR(__xludf.DUMMYFUNCTION("""COMPUTED_VALUE"""),"Already Exists")</f>
        <v>Already Exists</v>
      </c>
      <c r="F9958" s="72">
        <v>75</v>
      </c>
      <c r="G9958" s="72">
        <v>34802</v>
      </c>
    </row>
    <row r="9959" spans="1:7" ht="14.5" hidden="1">
      <c r="A9959" s="3" t="s">
        <v>9115</v>
      </c>
      <c r="B9959" s="12" t="s">
        <v>2897</v>
      </c>
      <c r="C9959" s="46" t="s">
        <v>9951</v>
      </c>
      <c r="D9959" s="41" t="str">
        <f ca="1">IFERROR(__xludf.DUMMYFUNCTION("IFERROR(ARRAYFORMULA(REGEXEXTRACT(C9959,""^(?:https?:\/\/)?(?:[^@\n]+@)?(?:www\.)?([^:\/\n]+)"")),"""")"),"opplehouse.com")</f>
        <v>opplehouse.com</v>
      </c>
      <c r="E9959" s="26" t="str">
        <f ca="1">IFERROR(__xludf.DUMMYFUNCTION("""COMPUTED_VALUE"""),"Already Exists")</f>
        <v>Already Exists</v>
      </c>
      <c r="F9959" s="72">
        <v>59</v>
      </c>
      <c r="G9959" s="72">
        <v>2999</v>
      </c>
    </row>
    <row r="9960" spans="1:7" ht="14.5">
      <c r="A9960" s="3" t="s">
        <v>9115</v>
      </c>
      <c r="B9960" s="12" t="s">
        <v>2897</v>
      </c>
      <c r="C9960" s="46" t="s">
        <v>9952</v>
      </c>
      <c r="D9960" s="41" t="str">
        <f ca="1">IFERROR(__xludf.DUMMYFUNCTION("IFERROR(ARRAYFORMULA(REGEXEXTRACT(C9960,""^(?:https?:\/\/)?(?:[^@\n]+@)?(?:www\.)?([^:\/\n]+)"")),"""")"),"customhomesonline.com.au")</f>
        <v>customhomesonline.com.au</v>
      </c>
      <c r="E9960" s="26" t="str">
        <f ca="1">IFERROR(__xludf.DUMMYFUNCTION("""COMPUTED_VALUE"""),"New")</f>
        <v>New</v>
      </c>
      <c r="F9960" s="72">
        <v>45</v>
      </c>
      <c r="G9960" s="72">
        <v>1222</v>
      </c>
    </row>
    <row r="9961" spans="1:7" ht="14.5">
      <c r="A9961" s="3" t="s">
        <v>9115</v>
      </c>
      <c r="B9961" s="12" t="s">
        <v>2897</v>
      </c>
      <c r="C9961" s="46" t="s">
        <v>9953</v>
      </c>
      <c r="D9961" s="41" t="str">
        <f ca="1">IFERROR(__xludf.DUMMYFUNCTION("IFERROR(ARRAYFORMULA(REGEXEXTRACT(C9961,""^(?:https?:\/\/)?(?:[^@\n]+@)?(?:www\.)?([^:\/\n]+)"")),"""")"),"parametric-architecture.com")</f>
        <v>parametric-architecture.com</v>
      </c>
      <c r="E9961" s="26" t="str">
        <f ca="1">IFERROR(__xludf.DUMMYFUNCTION("""COMPUTED_VALUE"""),"New")</f>
        <v>New</v>
      </c>
      <c r="F9961" s="72">
        <v>70</v>
      </c>
      <c r="G9961" s="72">
        <v>38904</v>
      </c>
    </row>
    <row r="9962" spans="1:7" ht="14.5">
      <c r="A9962" s="3" t="s">
        <v>9115</v>
      </c>
      <c r="B9962" s="12" t="s">
        <v>2897</v>
      </c>
      <c r="C9962" s="46" t="s">
        <v>9954</v>
      </c>
      <c r="D9962" s="41" t="str">
        <f ca="1">IFERROR(__xludf.DUMMYFUNCTION("IFERROR(ARRAYFORMULA(REGEXEXTRACT(C9962,""^(?:https?:\/\/)?(?:[^@\n]+@)?(?:www\.)?([^:\/\n]+)"")),"""")"),"oneflare.com.au")</f>
        <v>oneflare.com.au</v>
      </c>
      <c r="E9962" s="26" t="str">
        <f ca="1">IFERROR(__xludf.DUMMYFUNCTION("""COMPUTED_VALUE"""),"New")</f>
        <v>New</v>
      </c>
      <c r="F9962" s="72">
        <v>74</v>
      </c>
      <c r="G9962" s="72">
        <v>49179</v>
      </c>
    </row>
    <row r="9963" spans="1:7" ht="14.5">
      <c r="A9963" s="3" t="s">
        <v>9115</v>
      </c>
      <c r="B9963" s="12" t="s">
        <v>2897</v>
      </c>
      <c r="C9963" s="46" t="s">
        <v>9955</v>
      </c>
      <c r="D9963" s="41" t="str">
        <f ca="1">IFERROR(__xludf.DUMMYFUNCTION("IFERROR(ARRAYFORMULA(REGEXEXTRACT(C9963,""^(?:https?:\/\/)?(?:[^@\n]+@)?(?:www\.)?([^:\/\n]+)"")),"""")"),"greenspanbuildings.com.au")</f>
        <v>greenspanbuildings.com.au</v>
      </c>
      <c r="E9963" s="26" t="str">
        <f ca="1">IFERROR(__xludf.DUMMYFUNCTION("""COMPUTED_VALUE"""),"New")</f>
        <v>New</v>
      </c>
      <c r="F9963" s="72">
        <v>37</v>
      </c>
      <c r="G9963" s="72">
        <v>4735</v>
      </c>
    </row>
    <row r="9964" spans="1:7" ht="14.5">
      <c r="A9964" s="3" t="s">
        <v>9115</v>
      </c>
      <c r="B9964" s="12" t="s">
        <v>2897</v>
      </c>
      <c r="C9964" s="46" t="s">
        <v>9956</v>
      </c>
      <c r="D9964" s="41" t="str">
        <f ca="1">IFERROR(__xludf.DUMMYFUNCTION("IFERROR(ARRAYFORMULA(REGEXEXTRACT(C9964,""^(?:https?:\/\/)?(?:[^@\n]+@)?(?:www\.)?([^:\/\n]+)"")),"""")"),"lektowoodfuels.co.uk")</f>
        <v>lektowoodfuels.co.uk</v>
      </c>
      <c r="E9964" s="26" t="str">
        <f ca="1">IFERROR(__xludf.DUMMYFUNCTION("""COMPUTED_VALUE"""),"New")</f>
        <v>New</v>
      </c>
      <c r="F9964" s="72">
        <v>48</v>
      </c>
      <c r="G9964" s="72">
        <v>7000</v>
      </c>
    </row>
    <row r="9965" spans="1:7" ht="14.5">
      <c r="A9965" s="3" t="s">
        <v>9115</v>
      </c>
      <c r="B9965" s="12" t="s">
        <v>2897</v>
      </c>
      <c r="C9965" s="46" t="s">
        <v>9957</v>
      </c>
      <c r="D9965" s="41" t="str">
        <f ca="1">IFERROR(__xludf.DUMMYFUNCTION("IFERROR(ARRAYFORMULA(REGEXEXTRACT(C9965,""^(?:https?:\/\/)?(?:[^@\n]+@)?(?:www\.)?([^:\/\n]+)"")),"""")"),"hidrive.com.au")</f>
        <v>hidrive.com.au</v>
      </c>
      <c r="E9965" s="26" t="str">
        <f ca="1">IFERROR(__xludf.DUMMYFUNCTION("""COMPUTED_VALUE"""),"New")</f>
        <v>New</v>
      </c>
      <c r="F9965" s="72">
        <v>25</v>
      </c>
      <c r="G9965" s="72">
        <v>1227</v>
      </c>
    </row>
    <row r="9966" spans="1:7" ht="14.5">
      <c r="A9966" s="3" t="s">
        <v>9115</v>
      </c>
      <c r="B9966" s="12" t="s">
        <v>2897</v>
      </c>
      <c r="C9966" s="46" t="s">
        <v>9958</v>
      </c>
      <c r="D9966" s="41" t="str">
        <f ca="1">IFERROR(__xludf.DUMMYFUNCTION("IFERROR(ARRAYFORMULA(REGEXEXTRACT(C9966,""^(?:https?:\/\/)?(?:[^@\n]+@)?(?:www\.)?([^:\/\n]+)"")),"""")"),"housedigest.com")</f>
        <v>housedigest.com</v>
      </c>
      <c r="E9966" s="26" t="str">
        <f ca="1">IFERROR(__xludf.DUMMYFUNCTION("""COMPUTED_VALUE"""),"New")</f>
        <v>New</v>
      </c>
      <c r="F9966" s="72">
        <v>74</v>
      </c>
      <c r="G9966" s="72">
        <v>73148</v>
      </c>
    </row>
    <row r="9967" spans="1:7" ht="14.5">
      <c r="A9967" s="3" t="s">
        <v>9115</v>
      </c>
      <c r="B9967" s="12" t="s">
        <v>2897</v>
      </c>
      <c r="C9967" s="46" t="s">
        <v>9959</v>
      </c>
      <c r="D9967" s="41" t="str">
        <f ca="1">IFERROR(__xludf.DUMMYFUNCTION("IFERROR(ARRAYFORMULA(REGEXEXTRACT(C9967,""^(?:https?:\/\/)?(?:[^@\n]+@)?(?:www\.)?([^:\/\n]+)"")),"""")"),"nhs.trade")</f>
        <v>nhs.trade</v>
      </c>
      <c r="E9967" s="26" t="str">
        <f ca="1">IFERROR(__xludf.DUMMYFUNCTION("""COMPUTED_VALUE"""),"New")</f>
        <v>New</v>
      </c>
      <c r="F9967" s="72">
        <v>31</v>
      </c>
      <c r="G9967" s="72">
        <v>5369</v>
      </c>
    </row>
    <row r="9968" spans="1:7" ht="14.5">
      <c r="A9968" s="3" t="s">
        <v>9115</v>
      </c>
      <c r="B9968" s="12" t="s">
        <v>2897</v>
      </c>
      <c r="C9968" s="46" t="s">
        <v>9960</v>
      </c>
      <c r="D9968" s="41" t="str">
        <f ca="1">IFERROR(__xludf.DUMMYFUNCTION("IFERROR(ARRAYFORMULA(REGEXEXTRACT(C9968,""^(?:https?:\/\/)?(?:[^@\n]+@)?(?:www\.)?([^:\/\n]+)"")),"""")"),"perryhomes.com.au")</f>
        <v>perryhomes.com.au</v>
      </c>
      <c r="E9968" s="26" t="str">
        <f ca="1">IFERROR(__xludf.DUMMYFUNCTION("""COMPUTED_VALUE"""),"New")</f>
        <v>New</v>
      </c>
      <c r="F9968" s="72">
        <v>27</v>
      </c>
      <c r="G9968" s="72">
        <v>2250</v>
      </c>
    </row>
    <row r="9969" spans="1:7" ht="14.5">
      <c r="A9969" s="3" t="s">
        <v>9115</v>
      </c>
      <c r="B9969" s="12" t="s">
        <v>2897</v>
      </c>
      <c r="C9969" s="46" t="s">
        <v>9961</v>
      </c>
      <c r="D9969" s="41" t="str">
        <f ca="1">IFERROR(__xludf.DUMMYFUNCTION("IFERROR(ARRAYFORMULA(REGEXEXTRACT(C9969,""^(?:https?:\/\/)?(?:[^@\n]+@)?(?:www\.)?([^:\/\n]+)"")),"""")"),"blog.westbuilt.com.au")</f>
        <v>blog.westbuilt.com.au</v>
      </c>
      <c r="E9969" s="26" t="str">
        <f ca="1">IFERROR(__xludf.DUMMYFUNCTION("""COMPUTED_VALUE"""),"New")</f>
        <v>New</v>
      </c>
      <c r="F9969" s="72">
        <v>24</v>
      </c>
      <c r="G9969" s="72">
        <v>5177</v>
      </c>
    </row>
    <row r="9970" spans="1:7" ht="14.5">
      <c r="A9970" s="3" t="s">
        <v>9115</v>
      </c>
      <c r="B9970" s="12" t="s">
        <v>2897</v>
      </c>
      <c r="C9970" s="46" t="s">
        <v>9962</v>
      </c>
      <c r="D9970" s="41" t="str">
        <f ca="1">IFERROR(__xludf.DUMMYFUNCTION("IFERROR(ARRAYFORMULA(REGEXEXTRACT(C9970,""^(?:https?:\/\/)?(?:[^@\n]+@)?(?:www\.)?([^:\/\n]+)"")),"""")"),"growjo.com")</f>
        <v>growjo.com</v>
      </c>
      <c r="E9970" s="26" t="str">
        <f ca="1">IFERROR(__xludf.DUMMYFUNCTION("""COMPUTED_VALUE"""),"New")</f>
        <v>New</v>
      </c>
      <c r="F9970" s="72">
        <v>64</v>
      </c>
      <c r="G9970" s="72">
        <v>30796</v>
      </c>
    </row>
    <row r="9971" spans="1:7" ht="14.5" hidden="1">
      <c r="A9971" s="3" t="s">
        <v>9115</v>
      </c>
      <c r="B9971" s="12" t="s">
        <v>2897</v>
      </c>
      <c r="C9971" s="46" t="s">
        <v>9963</v>
      </c>
      <c r="D9971" s="41" t="str">
        <f ca="1">IFERROR(__xludf.DUMMYFUNCTION("IFERROR(ARRAYFORMULA(REGEXEXTRACT(C9971,""^(?:https?:\/\/)?(?:[^@\n]+@)?(?:www\.)?([^:\/\n]+)"")),"""")"),"ahouseinthehills.com")</f>
        <v>ahouseinthehills.com</v>
      </c>
      <c r="E9971" s="26" t="str">
        <f ca="1">IFERROR(__xludf.DUMMYFUNCTION("""COMPUTED_VALUE"""),"Already Exists")</f>
        <v>Already Exists</v>
      </c>
      <c r="F9971" s="72">
        <v>58</v>
      </c>
      <c r="G9971" s="72">
        <v>2861</v>
      </c>
    </row>
    <row r="9972" spans="1:7" ht="14.5" hidden="1">
      <c r="A9972" s="3" t="s">
        <v>9115</v>
      </c>
      <c r="B9972" s="12" t="s">
        <v>2897</v>
      </c>
      <c r="C9972" s="46" t="s">
        <v>9964</v>
      </c>
      <c r="D9972" s="41" t="str">
        <f ca="1">IFERROR(__xludf.DUMMYFUNCTION("IFERROR(ARRAYFORMULA(REGEXEXTRACT(C9972,""^(?:https?:\/\/)?(?:[^@\n]+@)?(?:www\.)?([^:\/\n]+)"")),"""")"),"homeworlddesign.com")</f>
        <v>homeworlddesign.com</v>
      </c>
      <c r="E9972" s="26" t="str">
        <f ca="1">IFERROR(__xludf.DUMMYFUNCTION("""COMPUTED_VALUE"""),"Already Exists")</f>
        <v>Already Exists</v>
      </c>
      <c r="F9972" s="72">
        <v>60</v>
      </c>
      <c r="G9972" s="72">
        <v>1286</v>
      </c>
    </row>
    <row r="9973" spans="1:7" ht="14.5">
      <c r="A9973" s="3" t="s">
        <v>9115</v>
      </c>
      <c r="B9973" s="12" t="s">
        <v>2897</v>
      </c>
      <c r="C9973" s="46" t="s">
        <v>9965</v>
      </c>
      <c r="D9973" s="41" t="str">
        <f ca="1">IFERROR(__xludf.DUMMYFUNCTION("IFERROR(ARRAYFORMULA(REGEXEXTRACT(C9973,""^(?:https?:\/\/)?(?:[^@\n]+@)?(?:www\.)?([^:\/\n]+)"")),"""")"),"urbanmatter.com")</f>
        <v>urbanmatter.com</v>
      </c>
      <c r="E9973" s="26" t="str">
        <f ca="1">IFERROR(__xludf.DUMMYFUNCTION("""COMPUTED_VALUE"""),"New")</f>
        <v>New</v>
      </c>
      <c r="F9973" s="72">
        <v>69</v>
      </c>
      <c r="G9973" s="72">
        <v>15095</v>
      </c>
    </row>
    <row r="9974" spans="1:7" ht="14.5" hidden="1">
      <c r="A9974" s="3" t="s">
        <v>9115</v>
      </c>
      <c r="B9974" s="12" t="s">
        <v>2897</v>
      </c>
      <c r="C9974" s="46" t="s">
        <v>9966</v>
      </c>
      <c r="D9974" s="41" t="str">
        <f ca="1">IFERROR(__xludf.DUMMYFUNCTION("IFERROR(ARRAYFORMULA(REGEXEXTRACT(C9974,""^(?:https?:\/\/)?(?:[^@\n]+@)?(?:www\.)?([^:\/\n]+)"")),"""")"),"myinteriorpalace.com")</f>
        <v>myinteriorpalace.com</v>
      </c>
      <c r="E9974" s="26" t="str">
        <f ca="1">IFERROR(__xludf.DUMMYFUNCTION("""COMPUTED_VALUE"""),"Already Exists")</f>
        <v>Already Exists</v>
      </c>
      <c r="F9974" s="72">
        <v>61</v>
      </c>
      <c r="G9974" s="72">
        <v>1983</v>
      </c>
    </row>
    <row r="9975" spans="1:7" ht="14.5">
      <c r="A9975" s="3" t="s">
        <v>9115</v>
      </c>
      <c r="B9975" s="12" t="s">
        <v>2897</v>
      </c>
      <c r="C9975" s="46" t="s">
        <v>9967</v>
      </c>
      <c r="D9975" s="41" t="str">
        <f ca="1">IFERROR(__xludf.DUMMYFUNCTION("IFERROR(ARRAYFORMULA(REGEXEXTRACT(C9975,""^(?:https?:\/\/)?(?:[^@\n]+@)?(?:www\.)?([^:\/\n]+)"")),"""")"),"archidiaries.com")</f>
        <v>archidiaries.com</v>
      </c>
      <c r="E9975" s="26" t="str">
        <f ca="1">IFERROR(__xludf.DUMMYFUNCTION("""COMPUTED_VALUE"""),"New")</f>
        <v>New</v>
      </c>
      <c r="F9975" s="72">
        <v>48</v>
      </c>
      <c r="G9975" s="72">
        <v>2633</v>
      </c>
    </row>
    <row r="9976" spans="1:7" ht="14.5">
      <c r="A9976" s="3" t="s">
        <v>9115</v>
      </c>
      <c r="B9976" s="12" t="s">
        <v>2897</v>
      </c>
      <c r="C9976" s="46" t="s">
        <v>9968</v>
      </c>
      <c r="D9976" s="41" t="str">
        <f ca="1">IFERROR(__xludf.DUMMYFUNCTION("IFERROR(ARRAYFORMULA(REGEXEXTRACT(C9976,""^(?:https?:\/\/)?(?:[^@\n]+@)?(?:www\.)?([^:\/\n]+)"")),"""")"),"archipro.com.au")</f>
        <v>archipro.com.au</v>
      </c>
      <c r="E9976" s="26" t="str">
        <f ca="1">IFERROR(__xludf.DUMMYFUNCTION("""COMPUTED_VALUE"""),"New")</f>
        <v>New</v>
      </c>
      <c r="F9976" s="72">
        <v>67</v>
      </c>
      <c r="G9976" s="72">
        <v>41322</v>
      </c>
    </row>
    <row r="9977" spans="1:7" ht="14.5" hidden="1">
      <c r="A9977" s="3" t="s">
        <v>9115</v>
      </c>
      <c r="B9977" s="12" t="s">
        <v>2897</v>
      </c>
      <c r="C9977" s="46" t="s">
        <v>9969</v>
      </c>
      <c r="D9977" s="41" t="str">
        <f ca="1">IFERROR(__xludf.DUMMYFUNCTION("IFERROR(ARRAYFORMULA(REGEXEXTRACT(C9977,""^(?:https?:\/\/)?(?:[^@\n]+@)?(?:www\.)?([^:\/\n]+)"")),"""")"),"thearchitectsdiary.com")</f>
        <v>thearchitectsdiary.com</v>
      </c>
      <c r="E9977" s="26" t="str">
        <f ca="1">IFERROR(__xludf.DUMMYFUNCTION("""COMPUTED_VALUE"""),"Already Exists")</f>
        <v>Already Exists</v>
      </c>
      <c r="F9977" s="72">
        <v>68</v>
      </c>
      <c r="G9977" s="72">
        <v>36414</v>
      </c>
    </row>
    <row r="9978" spans="1:7" ht="14.5" hidden="1">
      <c r="A9978" s="3" t="s">
        <v>9115</v>
      </c>
      <c r="B9978" s="12" t="s">
        <v>2897</v>
      </c>
      <c r="C9978" s="46" t="s">
        <v>9970</v>
      </c>
      <c r="D9978" s="41" t="str">
        <f ca="1">IFERROR(__xludf.DUMMYFUNCTION("IFERROR(ARRAYFORMULA(REGEXEXTRACT(C9978,""^(?:https?:\/\/)?(?:[^@\n]+@)?(?:www\.)?([^:\/\n]+)"")),"""")"),"e-architect.com")</f>
        <v>e-architect.com</v>
      </c>
      <c r="E9978" s="26" t="str">
        <f ca="1">IFERROR(__xludf.DUMMYFUNCTION("""COMPUTED_VALUE"""),"Already Exists")</f>
        <v>Already Exists</v>
      </c>
      <c r="F9978" s="72">
        <v>73</v>
      </c>
      <c r="G9978" s="72">
        <v>4051</v>
      </c>
    </row>
    <row r="9979" spans="1:7" ht="14.5" hidden="1">
      <c r="A9979" s="3" t="s">
        <v>9115</v>
      </c>
      <c r="B9979" s="12" t="s">
        <v>2897</v>
      </c>
      <c r="C9979" s="46" t="s">
        <v>9971</v>
      </c>
      <c r="D9979" s="41" t="str">
        <f ca="1">IFERROR(__xludf.DUMMYFUNCTION("IFERROR(ARRAYFORMULA(REGEXEXTRACT(C9979,""^(?:https?:\/\/)?(?:[^@\n]+@)?(?:www\.)?([^:\/\n]+)"")),"""")"),"thehowtohome.com")</f>
        <v>thehowtohome.com</v>
      </c>
      <c r="E9979" s="26" t="str">
        <f ca="1">IFERROR(__xludf.DUMMYFUNCTION("""COMPUTED_VALUE"""),"Already Exists")</f>
        <v>Already Exists</v>
      </c>
      <c r="F9979" s="72">
        <v>50</v>
      </c>
      <c r="G9979" s="72">
        <v>8541</v>
      </c>
    </row>
    <row r="9980" spans="1:7" ht="14.5">
      <c r="A9980" s="3" t="s">
        <v>9115</v>
      </c>
      <c r="B9980" s="12" t="s">
        <v>2897</v>
      </c>
      <c r="C9980" s="46" t="s">
        <v>9972</v>
      </c>
      <c r="D9980" s="41" t="str">
        <f ca="1">IFERROR(__xludf.DUMMYFUNCTION("IFERROR(ARRAYFORMULA(REGEXEXTRACT(C9980,""^(?:https?:\/\/)?(?:[^@\n]+@)?(?:www\.)?([^:\/\n]+)"")),"""")"),"brisbane-australia.com")</f>
        <v>brisbane-australia.com</v>
      </c>
      <c r="E9980" s="26" t="str">
        <f ca="1">IFERROR(__xludf.DUMMYFUNCTION("""COMPUTED_VALUE"""),"New")</f>
        <v>New</v>
      </c>
      <c r="F9980" s="72">
        <v>38</v>
      </c>
      <c r="G9980" s="72">
        <v>1179</v>
      </c>
    </row>
    <row r="9981" spans="1:7" ht="14.5">
      <c r="A9981" s="3" t="s">
        <v>9115</v>
      </c>
      <c r="B9981" s="12" t="s">
        <v>2897</v>
      </c>
      <c r="C9981" s="46" t="s">
        <v>9973</v>
      </c>
      <c r="D9981" s="41" t="str">
        <f ca="1">IFERROR(__xludf.DUMMYFUNCTION("IFERROR(ARRAYFORMULA(REGEXEXTRACT(C9981,""^(?:https?:\/\/)?(?:[^@\n]+@)?(?:www\.)?([^:\/\n]+)"")),"""")"),"arkular.com")</f>
        <v>arkular.com</v>
      </c>
      <c r="E9981" s="26" t="str">
        <f ca="1">IFERROR(__xludf.DUMMYFUNCTION("""COMPUTED_VALUE"""),"New")</f>
        <v>New</v>
      </c>
      <c r="F9981" s="72">
        <v>30</v>
      </c>
      <c r="G9981" s="72">
        <v>2310</v>
      </c>
    </row>
    <row r="9982" spans="1:7" ht="14.5" hidden="1">
      <c r="A9982" s="3" t="s">
        <v>9115</v>
      </c>
      <c r="B9982" s="12" t="s">
        <v>2897</v>
      </c>
      <c r="C9982" s="46" t="s">
        <v>9974</v>
      </c>
      <c r="D9982" s="41" t="str">
        <f ca="1">IFERROR(__xludf.DUMMYFUNCTION("IFERROR(ARRAYFORMULA(REGEXEXTRACT(C9982,""^(?:https?:\/\/)?(?:[^@\n]+@)?(?:www\.)?([^:\/\n]+)"")),"""")"),"alittledelightful.com")</f>
        <v>alittledelightful.com</v>
      </c>
      <c r="E9982" s="26" t="str">
        <f ca="1">IFERROR(__xludf.DUMMYFUNCTION("""COMPUTED_VALUE"""),"Already Exists")</f>
        <v>Already Exists</v>
      </c>
      <c r="F9982" s="72">
        <v>65</v>
      </c>
      <c r="G9982" s="72">
        <v>13997</v>
      </c>
    </row>
    <row r="9983" spans="1:7" ht="14.5">
      <c r="A9983" s="3" t="s">
        <v>9115</v>
      </c>
      <c r="B9983" s="12" t="s">
        <v>2897</v>
      </c>
      <c r="C9983" s="46" t="s">
        <v>9975</v>
      </c>
      <c r="D9983" s="41" t="str">
        <f ca="1">IFERROR(__xludf.DUMMYFUNCTION("IFERROR(ARRAYFORMULA(REGEXEXTRACT(C9983,""^(?:https?:\/\/)?(?:[^@\n]+@)?(?:www\.)?([^:\/\n]+)"")),"""")"),"theceoviews.com")</f>
        <v>theceoviews.com</v>
      </c>
      <c r="E9983" s="26" t="str">
        <f ca="1">IFERROR(__xludf.DUMMYFUNCTION("""COMPUTED_VALUE"""),"New")</f>
        <v>New</v>
      </c>
      <c r="F9983" s="72">
        <v>59</v>
      </c>
      <c r="G9983" s="72">
        <v>4978</v>
      </c>
    </row>
    <row r="9984" spans="1:7" ht="14.5">
      <c r="A9984" s="3" t="s">
        <v>9115</v>
      </c>
      <c r="B9984" s="12" t="s">
        <v>2897</v>
      </c>
      <c r="C9984" s="46" t="s">
        <v>9976</v>
      </c>
      <c r="D9984" s="41" t="str">
        <f ca="1">IFERROR(__xludf.DUMMYFUNCTION("IFERROR(ARRAYFORMULA(REGEXEXTRACT(C9984,""^(?:https?:\/\/)?(?:[^@\n]+@)?(?:www\.)?([^:\/\n]+)"")),"""")"),"kiraandkira.com.au")</f>
        <v>kiraandkira.com.au</v>
      </c>
      <c r="E9984" s="26" t="str">
        <f ca="1">IFERROR(__xludf.DUMMYFUNCTION("""COMPUTED_VALUE"""),"New")</f>
        <v>New</v>
      </c>
      <c r="F9984" s="72">
        <v>40</v>
      </c>
      <c r="G9984" s="72">
        <v>1303</v>
      </c>
    </row>
    <row r="9985" spans="1:7" ht="14.5">
      <c r="A9985" s="3" t="s">
        <v>9115</v>
      </c>
      <c r="B9985" s="12" t="s">
        <v>2897</v>
      </c>
      <c r="C9985" s="46" t="s">
        <v>9977</v>
      </c>
      <c r="D9985" s="41" t="str">
        <f ca="1">IFERROR(__xludf.DUMMYFUNCTION("IFERROR(ARRAYFORMULA(REGEXEXTRACT(C9985,""^(?:https?:\/\/)?(?:[^@\n]+@)?(?:www\.)?([^:\/\n]+)"")),"""")"),"woodsolutions.com.au")</f>
        <v>woodsolutions.com.au</v>
      </c>
      <c r="E9985" s="26" t="str">
        <f ca="1">IFERROR(__xludf.DUMMYFUNCTION("""COMPUTED_VALUE"""),"New")</f>
        <v>New</v>
      </c>
      <c r="F9985" s="72">
        <v>63</v>
      </c>
      <c r="G9985" s="72">
        <v>16651</v>
      </c>
    </row>
    <row r="9986" spans="1:7" ht="14.5" hidden="1">
      <c r="A9986" s="3" t="s">
        <v>9115</v>
      </c>
      <c r="B9986" s="12" t="s">
        <v>2897</v>
      </c>
      <c r="C9986" s="46" t="s">
        <v>9978</v>
      </c>
      <c r="D9986" s="41" t="str">
        <f ca="1">IFERROR(__xludf.DUMMYFUNCTION("IFERROR(ARRAYFORMULA(REGEXEXTRACT(C9986,""^(?:https?:\/\/)?(?:[^@\n]+@)?(?:www\.)?([^:\/\n]+)"")),"""")"),"designscene.net")</f>
        <v>designscene.net</v>
      </c>
      <c r="E9986" s="26" t="str">
        <f ca="1">IFERROR(__xludf.DUMMYFUNCTION("""COMPUTED_VALUE"""),"Already Exists")</f>
        <v>Already Exists</v>
      </c>
      <c r="F9986" s="72">
        <v>70</v>
      </c>
      <c r="G9986" s="72">
        <v>2635</v>
      </c>
    </row>
    <row r="9987" spans="1:7" ht="14.5">
      <c r="A9987" s="3" t="s">
        <v>9115</v>
      </c>
      <c r="B9987" s="12" t="s">
        <v>2897</v>
      </c>
      <c r="C9987" s="46" t="s">
        <v>9979</v>
      </c>
      <c r="D9987" s="41" t="str">
        <f ca="1">IFERROR(__xludf.DUMMYFUNCTION("IFERROR(ARRAYFORMULA(REGEXEXTRACT(C9987,""^(?:https?:\/\/)?(?:[^@\n]+@)?(?:www\.)?([^:\/\n]+)"")),"""")"),"enfield.gov.uk")</f>
        <v>enfield.gov.uk</v>
      </c>
      <c r="E9987" s="26" t="str">
        <f ca="1">IFERROR(__xludf.DUMMYFUNCTION("""COMPUTED_VALUE"""),"New")</f>
        <v>New</v>
      </c>
      <c r="F9987" s="72">
        <v>71</v>
      </c>
      <c r="G9987" s="72">
        <v>32171</v>
      </c>
    </row>
    <row r="9988" spans="1:7" ht="14.5" hidden="1">
      <c r="A9988" s="3" t="s">
        <v>9115</v>
      </c>
      <c r="B9988" s="12" t="s">
        <v>2897</v>
      </c>
      <c r="C9988" s="46" t="s">
        <v>9980</v>
      </c>
      <c r="D9988" s="41" t="str">
        <f ca="1">IFERROR(__xludf.DUMMYFUNCTION("IFERROR(ARRAYFORMULA(REGEXEXTRACT(C9988,""^(?:https?:\/\/)?(?:[^@\n]+@)?(?:www\.)?([^:\/\n]+)"")),"""")"),"thepinnaclelist.com")</f>
        <v>thepinnaclelist.com</v>
      </c>
      <c r="E9988" s="26" t="str">
        <f ca="1">IFERROR(__xludf.DUMMYFUNCTION("""COMPUTED_VALUE"""),"Already Exists")</f>
        <v>Already Exists</v>
      </c>
      <c r="F9988" s="72">
        <v>57</v>
      </c>
      <c r="G9988" s="72">
        <v>1211</v>
      </c>
    </row>
    <row r="9989" spans="1:7" ht="14.5">
      <c r="A9989" s="3" t="s">
        <v>9115</v>
      </c>
      <c r="B9989" s="12" t="s">
        <v>2897</v>
      </c>
      <c r="C9989" s="46" t="s">
        <v>9981</v>
      </c>
      <c r="D9989" s="41" t="str">
        <f ca="1">IFERROR(__xludf.DUMMYFUNCTION("IFERROR(ARRAYFORMULA(REGEXEXTRACT(C9989,""^(?:https?:\/\/)?(?:[^@\n]+@)?(?:www\.)?([^:\/\n]+)"")),"""")"),"yellowpages.com.au")</f>
        <v>yellowpages.com.au</v>
      </c>
      <c r="E9989" s="26" t="str">
        <f ca="1">IFERROR(__xludf.DUMMYFUNCTION("""COMPUTED_VALUE"""),"New")</f>
        <v>New</v>
      </c>
      <c r="F9989" s="72">
        <v>83</v>
      </c>
      <c r="G9989" s="72">
        <v>837898</v>
      </c>
    </row>
    <row r="9990" spans="1:7" ht="14.5">
      <c r="A9990" s="3" t="s">
        <v>9115</v>
      </c>
      <c r="B9990" s="12" t="s">
        <v>2897</v>
      </c>
      <c r="C9990" s="46" t="s">
        <v>9982</v>
      </c>
      <c r="D9990" s="41" t="str">
        <f ca="1">IFERROR(__xludf.DUMMYFUNCTION("IFERROR(ARRAYFORMULA(REGEXEXTRACT(C9990,""^(?:https?:\/\/)?(?:[^@\n]+@)?(?:www\.)?([^:\/\n]+)"")),"""")"),"hia.com.au")</f>
        <v>hia.com.au</v>
      </c>
      <c r="E9990" s="26" t="str">
        <f ca="1">IFERROR(__xludf.DUMMYFUNCTION("""COMPUTED_VALUE"""),"New")</f>
        <v>New</v>
      </c>
      <c r="F9990" s="72">
        <v>79</v>
      </c>
      <c r="G9990" s="72">
        <v>33530</v>
      </c>
    </row>
    <row r="9991" spans="1:7" ht="14.5">
      <c r="A9991" s="3" t="s">
        <v>9115</v>
      </c>
      <c r="B9991" s="12" t="s">
        <v>2897</v>
      </c>
      <c r="C9991" s="46" t="s">
        <v>9983</v>
      </c>
      <c r="D9991" s="41" t="str">
        <f ca="1">IFERROR(__xludf.DUMMYFUNCTION("IFERROR(ARRAYFORMULA(REGEXEXTRACT(C9991,""^(?:https?:\/\/)?(?:[^@\n]+@)?(?:www\.)?([^:\/\n]+)"")),"""")"),"lismorecitynews.com.au")</f>
        <v>lismorecitynews.com.au</v>
      </c>
      <c r="E9991" s="26" t="str">
        <f ca="1">IFERROR(__xludf.DUMMYFUNCTION("""COMPUTED_VALUE"""),"New")</f>
        <v>New</v>
      </c>
      <c r="F9991" s="72">
        <v>41</v>
      </c>
      <c r="G9991" s="72">
        <v>1705</v>
      </c>
    </row>
    <row r="9992" spans="1:7" ht="14.5" hidden="1">
      <c r="A9992" s="3" t="s">
        <v>9115</v>
      </c>
      <c r="B9992" s="12" t="s">
        <v>2897</v>
      </c>
      <c r="C9992" s="46" t="s">
        <v>9984</v>
      </c>
      <c r="D9992" s="41" t="str">
        <f ca="1">IFERROR(__xludf.DUMMYFUNCTION("IFERROR(ARRAYFORMULA(REGEXEXTRACT(C9992,""^(?:https?:\/\/)?(?:[^@\n]+@)?(?:www\.)?([^:\/\n]+)"")),"""")"),"build-review.com")</f>
        <v>build-review.com</v>
      </c>
      <c r="E9992" s="26" t="str">
        <f ca="1">IFERROR(__xludf.DUMMYFUNCTION("""COMPUTED_VALUE"""),"Already Exists")</f>
        <v>Already Exists</v>
      </c>
      <c r="F9992" s="72">
        <v>74</v>
      </c>
      <c r="G9992" s="72">
        <v>1840</v>
      </c>
    </row>
    <row r="9993" spans="1:7" ht="14.5" hidden="1">
      <c r="A9993" s="3" t="s">
        <v>9115</v>
      </c>
      <c r="B9993" s="12" t="s">
        <v>2897</v>
      </c>
      <c r="C9993" s="46" t="s">
        <v>9985</v>
      </c>
      <c r="D9993" s="41" t="str">
        <f ca="1">IFERROR(__xludf.DUMMYFUNCTION("IFERROR(ARRAYFORMULA(REGEXEXTRACT(C9993,""^(?:https?:\/\/)?(?:[^@\n]+@)?(?:www\.)?([^:\/\n]+)"")),"""")"),"urbansplatter.com")</f>
        <v>urbansplatter.com</v>
      </c>
      <c r="E9993" s="26" t="str">
        <f ca="1">IFERROR(__xludf.DUMMYFUNCTION("""COMPUTED_VALUE"""),"Already Exists")</f>
        <v>Already Exists</v>
      </c>
      <c r="F9993" s="72">
        <v>64</v>
      </c>
      <c r="G9993" s="72">
        <v>24225</v>
      </c>
    </row>
    <row r="9994" spans="1:7" ht="14.5">
      <c r="A9994" s="3" t="s">
        <v>9115</v>
      </c>
      <c r="B9994" s="12" t="s">
        <v>2897</v>
      </c>
      <c r="C9994" s="46" t="s">
        <v>9986</v>
      </c>
      <c r="D9994" s="41" t="str">
        <f ca="1">IFERROR(__xludf.DUMMYFUNCTION("IFERROR(ARRAYFORMULA(REGEXEXTRACT(C9994,""^(?:https?:\/\/)?(?:[^@\n]+@)?(?:www\.)?([^:\/\n]+)"")),"""")"),"lbe.clients.squiz.net")</f>
        <v>lbe.clients.squiz.net</v>
      </c>
      <c r="E9994" s="26" t="str">
        <f ca="1">IFERROR(__xludf.DUMMYFUNCTION("""COMPUTED_VALUE"""),"New")</f>
        <v>New</v>
      </c>
      <c r="F9994" s="72">
        <v>71</v>
      </c>
      <c r="G9994" s="72">
        <v>4670</v>
      </c>
    </row>
    <row r="9995" spans="1:7" ht="14.5">
      <c r="A9995" s="3" t="s">
        <v>9115</v>
      </c>
      <c r="B9995" s="12" t="s">
        <v>2897</v>
      </c>
      <c r="C9995" s="46" t="s">
        <v>9987</v>
      </c>
      <c r="D9995" s="41" t="str">
        <f ca="1">IFERROR(__xludf.DUMMYFUNCTION("IFERROR(ARRAYFORMULA(REGEXEXTRACT(C9995,""^(?:https?:\/\/)?(?:[^@\n]+@)?(?:www\.)?([^:\/\n]+)"")),"""")"),"4.bing.com")</f>
        <v>4.bing.com</v>
      </c>
      <c r="E9995" s="26" t="str">
        <f ca="1">IFERROR(__xludf.DUMMYFUNCTION("""COMPUTED_VALUE"""),"New")</f>
        <v>New</v>
      </c>
      <c r="F9995" s="72">
        <v>93</v>
      </c>
      <c r="G9995" s="72">
        <v>14799014</v>
      </c>
    </row>
    <row r="9996" spans="1:7" ht="14.5">
      <c r="A9996" s="3" t="s">
        <v>9115</v>
      </c>
      <c r="B9996" s="12" t="s">
        <v>2897</v>
      </c>
      <c r="C9996" s="46" t="s">
        <v>9988</v>
      </c>
      <c r="D9996" s="41" t="str">
        <f ca="1">IFERROR(__xludf.DUMMYFUNCTION("IFERROR(ARRAYFORMULA(REGEXEXTRACT(C9996,""^(?:https?:\/\/)?(?:[^@\n]+@)?(?:www\.)?([^:\/\n]+)"")),"""")"),"cbinsights.com")</f>
        <v>cbinsights.com</v>
      </c>
      <c r="E9996" s="26" t="str">
        <f ca="1">IFERROR(__xludf.DUMMYFUNCTION("""COMPUTED_VALUE"""),"New")</f>
        <v>New</v>
      </c>
      <c r="F9996" s="72">
        <v>86</v>
      </c>
      <c r="G9996" s="72">
        <v>103489</v>
      </c>
    </row>
    <row r="9997" spans="1:7" ht="14.5">
      <c r="A9997" s="3" t="s">
        <v>9115</v>
      </c>
      <c r="B9997" s="12" t="s">
        <v>2897</v>
      </c>
      <c r="C9997" s="46" t="s">
        <v>9989</v>
      </c>
      <c r="D9997" s="41" t="str">
        <f ca="1">IFERROR(__xludf.DUMMYFUNCTION("IFERROR(ARRAYFORMULA(REGEXEXTRACT(C9997,""^(?:https?:\/\/)?(?:[^@\n]+@)?(?:www\.)?([^:\/\n]+)"")),"""")"),"old.ecochoice.co.uk")</f>
        <v>old.ecochoice.co.uk</v>
      </c>
      <c r="E9997" s="26" t="str">
        <f ca="1">IFERROR(__xludf.DUMMYFUNCTION("""COMPUTED_VALUE"""),"New")</f>
        <v>New</v>
      </c>
      <c r="F9997" s="72">
        <v>29</v>
      </c>
      <c r="G9997" s="72">
        <v>1025</v>
      </c>
    </row>
    <row r="9998" spans="1:7" ht="14.5">
      <c r="A9998" s="3" t="s">
        <v>9115</v>
      </c>
      <c r="B9998" s="12" t="s">
        <v>2897</v>
      </c>
      <c r="C9998" s="46" t="s">
        <v>9990</v>
      </c>
      <c r="D9998" s="41" t="str">
        <f ca="1">IFERROR(__xludf.DUMMYFUNCTION("IFERROR(ARRAYFORMULA(REGEXEXTRACT(C9998,""^(?:https?:\/\/)?(?:[^@\n]+@)?(?:www\.)?([^:\/\n]+)"")),"""")"),"tasmaniantimber.com.au")</f>
        <v>tasmaniantimber.com.au</v>
      </c>
      <c r="E9998" s="26" t="str">
        <f ca="1">IFERROR(__xludf.DUMMYFUNCTION("""COMPUTED_VALUE"""),"New")</f>
        <v>New</v>
      </c>
      <c r="F9998" s="72">
        <v>32</v>
      </c>
      <c r="G9998" s="72">
        <v>1012</v>
      </c>
    </row>
    <row r="9999" spans="1:7" ht="14.5" hidden="1">
      <c r="A9999" s="3" t="s">
        <v>9115</v>
      </c>
      <c r="B9999" s="12" t="s">
        <v>2897</v>
      </c>
      <c r="C9999" s="46" t="s">
        <v>9991</v>
      </c>
      <c r="D9999" s="41" t="str">
        <f ca="1">IFERROR(__xludf.DUMMYFUNCTION("IFERROR(ARRAYFORMULA(REGEXEXTRACT(C9999,""^(?:https?:\/\/)?(?:[^@\n]+@)?(?:www\.)?([^:\/\n]+)"")),"""")"),"londondaily.news")</f>
        <v>londondaily.news</v>
      </c>
      <c r="E9999" s="26" t="str">
        <f ca="1">IFERROR(__xludf.DUMMYFUNCTION("""COMPUTED_VALUE"""),"Already Exists")</f>
        <v>Already Exists</v>
      </c>
      <c r="F9999" s="72">
        <v>73</v>
      </c>
      <c r="G9999" s="72">
        <v>3867</v>
      </c>
    </row>
    <row r="10000" spans="1:7" ht="14.5">
      <c r="A10000" s="3" t="s">
        <v>9115</v>
      </c>
      <c r="B10000" s="12" t="s">
        <v>2897</v>
      </c>
      <c r="C10000" s="46" t="s">
        <v>9992</v>
      </c>
      <c r="D10000" s="41" t="str">
        <f ca="1">IFERROR(__xludf.DUMMYFUNCTION("IFERROR(ARRAYFORMULA(REGEXEXTRACT(C10000,""^(?:https?:\/\/)?(?:[^@\n]+@)?(?:www\.)?([^:\/\n]+)"")),"""")"),"hometriangle.com")</f>
        <v>hometriangle.com</v>
      </c>
      <c r="E10000" s="26" t="str">
        <f ca="1">IFERROR(__xludf.DUMMYFUNCTION("""COMPUTED_VALUE"""),"New")</f>
        <v>New</v>
      </c>
      <c r="F10000" s="72">
        <v>47</v>
      </c>
      <c r="G10000" s="72">
        <v>105309</v>
      </c>
    </row>
    <row r="10001" spans="1:7" ht="14.5">
      <c r="A10001" s="3" t="s">
        <v>9115</v>
      </c>
      <c r="B10001" s="12" t="s">
        <v>2897</v>
      </c>
      <c r="C10001" s="46" t="s">
        <v>9993</v>
      </c>
      <c r="D10001" s="41" t="str">
        <f ca="1">IFERROR(__xludf.DUMMYFUNCTION("IFERROR(ARRAYFORMULA(REGEXEXTRACT(C10001,""^(?:https?:\/\/)?(?:[^@\n]+@)?(?:www\.)?([^:\/\n]+)"")),"""")"),"arounddeal.com")</f>
        <v>arounddeal.com</v>
      </c>
      <c r="E10001" s="26" t="str">
        <f ca="1">IFERROR(__xludf.DUMMYFUNCTION("""COMPUTED_VALUE"""),"New")</f>
        <v>New</v>
      </c>
      <c r="F10001" s="72">
        <v>48</v>
      </c>
      <c r="G10001" s="72">
        <v>1076</v>
      </c>
    </row>
    <row r="10002" spans="1:7" ht="14.5">
      <c r="A10002" s="3" t="s">
        <v>9115</v>
      </c>
      <c r="B10002" s="12" t="s">
        <v>2897</v>
      </c>
      <c r="C10002" s="46" t="s">
        <v>9994</v>
      </c>
      <c r="D10002" s="41" t="str">
        <f ca="1">IFERROR(__xludf.DUMMYFUNCTION("IFERROR(ARRAYFORMULA(REGEXEXTRACT(C10002,""^(?:https?:\/\/)?(?:[^@\n]+@)?(?:www\.)?([^:\/\n]+)"")),"""")"),"nationaldirectory.com.au")</f>
        <v>nationaldirectory.com.au</v>
      </c>
      <c r="E10002" s="26" t="str">
        <f ca="1">IFERROR(__xludf.DUMMYFUNCTION("""COMPUTED_VALUE"""),"New")</f>
        <v>New</v>
      </c>
      <c r="F10002" s="72">
        <v>46</v>
      </c>
      <c r="G10002" s="72">
        <v>1763</v>
      </c>
    </row>
    <row r="10003" spans="1:7" ht="14.5">
      <c r="A10003" s="3" t="s">
        <v>9115</v>
      </c>
      <c r="B10003" s="12" t="s">
        <v>2897</v>
      </c>
      <c r="C10003" s="46" t="s">
        <v>9995</v>
      </c>
      <c r="D10003" s="41" t="str">
        <f ca="1">IFERROR(__xludf.DUMMYFUNCTION("IFERROR(ARRAYFORMULA(REGEXEXTRACT(C10003,""^(?:https?:\/\/)?(?:[^@\n]+@)?(?:www\.)?([^:\/\n]+)"")),"""")"),"indesignlive.com")</f>
        <v>indesignlive.com</v>
      </c>
      <c r="E10003" s="26" t="str">
        <f ca="1">IFERROR(__xludf.DUMMYFUNCTION("""COMPUTED_VALUE"""),"New")</f>
        <v>New</v>
      </c>
      <c r="F10003" s="72">
        <v>71</v>
      </c>
      <c r="G10003" s="72">
        <v>5828</v>
      </c>
    </row>
    <row r="10004" spans="1:7" ht="14.5">
      <c r="A10004" s="3" t="s">
        <v>9115</v>
      </c>
      <c r="B10004" s="12" t="s">
        <v>2897</v>
      </c>
      <c r="C10004" s="46" t="s">
        <v>9996</v>
      </c>
      <c r="D10004" s="41" t="str">
        <f ca="1">IFERROR(__xludf.DUMMYFUNCTION("IFERROR(ARRAYFORMULA(REGEXEXTRACT(C10004,""^(?:https?:\/\/)?(?:[^@\n]+@)?(?:www\.)?([^:\/\n]+)"")),"""")"),"observervoice.com")</f>
        <v>observervoice.com</v>
      </c>
      <c r="E10004" s="26" t="str">
        <f ca="1">IFERROR(__xludf.DUMMYFUNCTION("""COMPUTED_VALUE"""),"New")</f>
        <v>New</v>
      </c>
      <c r="F10004" s="72">
        <v>49</v>
      </c>
      <c r="G10004" s="72">
        <v>32207</v>
      </c>
    </row>
    <row r="10005" spans="1:7" ht="14.5" hidden="1">
      <c r="A10005" s="3" t="s">
        <v>9115</v>
      </c>
      <c r="B10005" s="12" t="s">
        <v>2897</v>
      </c>
      <c r="C10005" s="46" t="s">
        <v>9997</v>
      </c>
      <c r="D10005" s="41" t="str">
        <f ca="1">IFERROR(__xludf.DUMMYFUNCTION("IFERROR(ARRAYFORMULA(REGEXEXTRACT(C10005,""^(?:https?:\/\/)?(?:[^@\n]+@)?(?:www\.)?([^:\/\n]+)"")),"""")"),"s3da-design.com")</f>
        <v>s3da-design.com</v>
      </c>
      <c r="E10005" s="26" t="str">
        <f ca="1">IFERROR(__xludf.DUMMYFUNCTION("""COMPUTED_VALUE"""),"Already Exists")</f>
        <v>Already Exists</v>
      </c>
      <c r="F10005" s="72">
        <v>39</v>
      </c>
      <c r="G10005" s="72">
        <v>1418</v>
      </c>
    </row>
    <row r="10006" spans="1:7" ht="14.5">
      <c r="A10006" s="3" t="s">
        <v>9115</v>
      </c>
      <c r="B10006" s="12" t="s">
        <v>2897</v>
      </c>
      <c r="C10006" s="46" t="s">
        <v>9998</v>
      </c>
      <c r="D10006" s="41" t="str">
        <f ca="1">IFERROR(__xludf.DUMMYFUNCTION("IFERROR(ARRAYFORMULA(REGEXEXTRACT(C10006,""^(?:https?:\/\/)?(?:[^@\n]+@)?(?:www\.)?([^:\/\n]+)"")),"""")"),"theindustryleaders.org")</f>
        <v>theindustryleaders.org</v>
      </c>
      <c r="E10006" s="26" t="str">
        <f ca="1">IFERROR(__xludf.DUMMYFUNCTION("""COMPUTED_VALUE"""),"New")</f>
        <v>New</v>
      </c>
      <c r="F10006" s="72">
        <v>51</v>
      </c>
      <c r="G10006" s="72">
        <v>1595</v>
      </c>
    </row>
    <row r="10007" spans="1:7" ht="14.5">
      <c r="A10007" s="3" t="s">
        <v>9115</v>
      </c>
      <c r="B10007" s="12" t="s">
        <v>2897</v>
      </c>
      <c r="C10007" s="46" t="s">
        <v>9999</v>
      </c>
      <c r="D10007" s="41" t="str">
        <f ca="1">IFERROR(__xludf.DUMMYFUNCTION("IFERROR(ARRAYFORMULA(REGEXEXTRACT(C10007,""^(?:https?:\/\/)?(?:[^@\n]+@)?(?:www\.)?([^:\/\n]+)"")),"""")"),"fastbase.com")</f>
        <v>fastbase.com</v>
      </c>
      <c r="E10007" s="26" t="str">
        <f ca="1">IFERROR(__xludf.DUMMYFUNCTION("""COMPUTED_VALUE"""),"New")</f>
        <v>New</v>
      </c>
      <c r="F10007" s="72">
        <v>46</v>
      </c>
      <c r="G10007" s="72">
        <v>1186</v>
      </c>
    </row>
    <row r="10008" spans="1:7" ht="14.5" hidden="1">
      <c r="A10008" s="3" t="s">
        <v>9115</v>
      </c>
      <c r="B10008" s="12" t="s">
        <v>2897</v>
      </c>
      <c r="C10008" s="46" t="s">
        <v>10000</v>
      </c>
      <c r="D10008" s="41" t="str">
        <f ca="1">IFERROR(__xludf.DUMMYFUNCTION("IFERROR(ARRAYFORMULA(REGEXEXTRACT(C10008,""^(?:https?:\/\/)?(?:[^@\n]+@)?(?:www\.)?([^:\/\n]+)"")),"""")"),"re-thinkingthefuture.com")</f>
        <v>re-thinkingthefuture.com</v>
      </c>
      <c r="E10008" s="26" t="str">
        <f ca="1">IFERROR(__xludf.DUMMYFUNCTION("""COMPUTED_VALUE"""),"Already Exists")</f>
        <v>Already Exists</v>
      </c>
      <c r="F10008" s="72">
        <v>75</v>
      </c>
      <c r="G10008" s="72">
        <v>145313</v>
      </c>
    </row>
    <row r="10009" spans="1:7" ht="14.5">
      <c r="A10009" s="3" t="s">
        <v>9115</v>
      </c>
      <c r="B10009" s="12" t="s">
        <v>2897</v>
      </c>
      <c r="C10009" s="46" t="s">
        <v>10001</v>
      </c>
      <c r="D10009" s="41" t="str">
        <f ca="1">IFERROR(__xludf.DUMMYFUNCTION("IFERROR(ARRAYFORMULA(REGEXEXTRACT(C10009,""^(?:https?:\/\/)?(?:[^@\n]+@)?(?:www\.)?([^:\/\n]+)"")),"""")"),"buzzsprout.com")</f>
        <v>buzzsprout.com</v>
      </c>
      <c r="E10009" s="26" t="str">
        <f ca="1">IFERROR(__xludf.DUMMYFUNCTION("""COMPUTED_VALUE"""),"New")</f>
        <v>New</v>
      </c>
      <c r="F10009" s="72">
        <v>91</v>
      </c>
      <c r="G10009" s="72">
        <v>241008</v>
      </c>
    </row>
    <row r="10010" spans="1:7" ht="14.5">
      <c r="A10010" s="3" t="s">
        <v>9115</v>
      </c>
      <c r="B10010" s="17" t="s">
        <v>2894</v>
      </c>
      <c r="C10010" s="46" t="s">
        <v>10002</v>
      </c>
      <c r="D10010" s="41" t="str">
        <f ca="1">IFERROR(__xludf.DUMMYFUNCTION("IFERROR(ARRAYFORMULA(REGEXEXTRACT(C10010,""^(?:https?:\/\/)?(?:[^@\n]+@)?(?:www\.)?([^:\/\n]+)"")),"""")"),"imei.info")</f>
        <v>imei.info</v>
      </c>
      <c r="E10010" s="26" t="str">
        <f ca="1">IFERROR(__xludf.DUMMYFUNCTION("""COMPUTED_VALUE"""),"New")</f>
        <v>New</v>
      </c>
      <c r="F10010" s="72">
        <v>73</v>
      </c>
      <c r="G10010" s="72">
        <v>1584814</v>
      </c>
    </row>
    <row r="10011" spans="1:7" ht="14.5" hidden="1">
      <c r="A10011" s="3" t="s">
        <v>9115</v>
      </c>
      <c r="B10011" s="12" t="s">
        <v>2894</v>
      </c>
      <c r="C10011" s="46" t="s">
        <v>10003</v>
      </c>
      <c r="D10011" s="41" t="str">
        <f ca="1">IFERROR(__xludf.DUMMYFUNCTION("IFERROR(ARRAYFORMULA(REGEXEXTRACT(C10011,""^(?:https?:\/\/)?(?:[^@\n]+@)?(?:www\.)?([^:\/\n]+)"")),"""")"),"northpennnow.com")</f>
        <v>northpennnow.com</v>
      </c>
      <c r="E10011" s="26" t="str">
        <f ca="1">IFERROR(__xludf.DUMMYFUNCTION("""COMPUTED_VALUE"""),"Already Exists")</f>
        <v>Already Exists</v>
      </c>
      <c r="F10011" s="72">
        <v>64</v>
      </c>
      <c r="G10011" s="72">
        <v>14583</v>
      </c>
    </row>
    <row r="10012" spans="1:7" ht="14.5">
      <c r="A10012" s="3" t="s">
        <v>9115</v>
      </c>
      <c r="B10012" s="12" t="s">
        <v>2894</v>
      </c>
      <c r="C10012" s="46" t="s">
        <v>10004</v>
      </c>
      <c r="D10012" s="41" t="str">
        <f ca="1">IFERROR(__xludf.DUMMYFUNCTION("IFERROR(ARRAYFORMULA(REGEXEXTRACT(C10012,""^(?:https?:\/\/)?(?:[^@\n]+@)?(?:www\.)?([^:\/\n]+)"")),"""")"),"bloglovin.com")</f>
        <v>bloglovin.com</v>
      </c>
      <c r="E10012" s="26" t="str">
        <f ca="1">IFERROR(__xludf.DUMMYFUNCTION("""COMPUTED_VALUE"""),"New")</f>
        <v>New</v>
      </c>
      <c r="F10012" s="72">
        <v>86</v>
      </c>
      <c r="G10012" s="72">
        <v>1971</v>
      </c>
    </row>
    <row r="10013" spans="1:7" ht="14.5" hidden="1">
      <c r="A10013" s="3" t="s">
        <v>9115</v>
      </c>
      <c r="B10013" s="12" t="s">
        <v>2894</v>
      </c>
      <c r="C10013" s="46" t="s">
        <v>10005</v>
      </c>
      <c r="D10013" s="41" t="str">
        <f ca="1">IFERROR(__xludf.DUMMYFUNCTION("IFERROR(ARRAYFORMULA(REGEXEXTRACT(C10013,""^(?:https?:\/\/)?(?:[^@\n]+@)?(?:www\.)?([^:\/\n]+)"")),"""")"),"londondaily.news")</f>
        <v>londondaily.news</v>
      </c>
      <c r="E10013" s="26" t="str">
        <f ca="1">IFERROR(__xludf.DUMMYFUNCTION("""COMPUTED_VALUE"""),"Already Exists")</f>
        <v>Already Exists</v>
      </c>
      <c r="F10013" s="72">
        <v>73</v>
      </c>
      <c r="G10013" s="72">
        <v>3867</v>
      </c>
    </row>
    <row r="10014" spans="1:7" ht="14.5">
      <c r="A10014" s="3" t="s">
        <v>9115</v>
      </c>
      <c r="B10014" s="12" t="s">
        <v>2894</v>
      </c>
      <c r="C10014" s="46" t="s">
        <v>10006</v>
      </c>
      <c r="D10014" s="41" t="str">
        <f ca="1">IFERROR(__xludf.DUMMYFUNCTION("IFERROR(ARRAYFORMULA(REGEXEXTRACT(C10014,""^(?:https?:\/\/)?(?:[^@\n]+@)?(?:www\.)?([^:\/\n]+)"")),"""")"),"business.starkvilledailynews.com")</f>
        <v>business.starkvilledailynews.com</v>
      </c>
      <c r="E10014" s="26" t="str">
        <f ca="1">IFERROR(__xludf.DUMMYFUNCTION("""COMPUTED_VALUE"""),"New")</f>
        <v>New</v>
      </c>
      <c r="F10014" s="72">
        <v>62</v>
      </c>
      <c r="G10014" s="72">
        <v>1294</v>
      </c>
    </row>
    <row r="10015" spans="1:7" ht="14.5">
      <c r="A10015" s="3" t="s">
        <v>9115</v>
      </c>
      <c r="B10015" s="12" t="s">
        <v>2894</v>
      </c>
      <c r="C10015" s="46" t="s">
        <v>10007</v>
      </c>
      <c r="D10015" s="41" t="str">
        <f ca="1">IFERROR(__xludf.DUMMYFUNCTION("IFERROR(ARRAYFORMULA(REGEXEXTRACT(C10015,""^(?:https?:\/\/)?(?:[^@\n]+@)?(?:www\.)?([^:\/\n]+)"")),"""")"),"directory.coldlytics.com")</f>
        <v>directory.coldlytics.com</v>
      </c>
      <c r="E10015" s="26" t="str">
        <f ca="1">IFERROR(__xludf.DUMMYFUNCTION("""COMPUTED_VALUE"""),"New")</f>
        <v>New</v>
      </c>
      <c r="F10015" s="72">
        <v>31</v>
      </c>
      <c r="G10015" s="72">
        <v>4674</v>
      </c>
    </row>
    <row r="10016" spans="1:7" ht="14.5">
      <c r="A10016" s="3" t="s">
        <v>9115</v>
      </c>
      <c r="B10016" s="12" t="s">
        <v>2894</v>
      </c>
      <c r="C10016" s="46" t="s">
        <v>10008</v>
      </c>
      <c r="D10016" s="41" t="str">
        <f ca="1">IFERROR(__xludf.DUMMYFUNCTION("IFERROR(ARRAYFORMULA(REGEXEXTRACT(C10016,""^(?:https?:\/\/)?(?:[^@\n]+@)?(?:www\.)?([^:\/\n]+)"")),"""")"),"index.businessinsurance.com")</f>
        <v>index.businessinsurance.com</v>
      </c>
      <c r="E10016" s="26" t="str">
        <f ca="1">IFERROR(__xludf.DUMMYFUNCTION("""COMPUTED_VALUE"""),"New")</f>
        <v>New</v>
      </c>
      <c r="F10016" s="72">
        <v>76</v>
      </c>
      <c r="G10016" s="72">
        <v>15302</v>
      </c>
    </row>
    <row r="10017" spans="1:7" ht="14.5" hidden="1">
      <c r="A10017" s="3" t="s">
        <v>9115</v>
      </c>
      <c r="B10017" s="12" t="s">
        <v>2894</v>
      </c>
      <c r="C10017" s="46" t="s">
        <v>10009</v>
      </c>
      <c r="D10017" s="41" t="str">
        <f ca="1">IFERROR(__xludf.DUMMYFUNCTION("IFERROR(ARRAYFORMULA(REGEXEXTRACT(C10017,""^(?:https?:\/\/)?(?:[^@\n]+@)?(?:www\.)?([^:\/\n]+)"")),"""")"),"enthrallinggumption.com")</f>
        <v>enthrallinggumption.com</v>
      </c>
      <c r="E10017" s="26" t="str">
        <f ca="1">IFERROR(__xludf.DUMMYFUNCTION("""COMPUTED_VALUE"""),"Already Exists")</f>
        <v>Already Exists</v>
      </c>
      <c r="F10017" s="72">
        <v>54</v>
      </c>
      <c r="G10017" s="72">
        <v>10556</v>
      </c>
    </row>
    <row r="10018" spans="1:7" ht="14.5">
      <c r="A10018" s="3" t="s">
        <v>9115</v>
      </c>
      <c r="B10018" s="12" t="s">
        <v>2894</v>
      </c>
      <c r="C10018" s="46" t="s">
        <v>10010</v>
      </c>
      <c r="D10018" s="41" t="str">
        <f ca="1">IFERROR(__xludf.DUMMYFUNCTION("IFERROR(ARRAYFORMULA(REGEXEXTRACT(C10018,""^(?:https?:\/\/)?(?:[^@\n]+@)?(?:www\.)?([^:\/\n]+)"")),"""")"),"reviews.birdeye.com")</f>
        <v>reviews.birdeye.com</v>
      </c>
      <c r="E10018" s="26" t="str">
        <f ca="1">IFERROR(__xludf.DUMMYFUNCTION("""COMPUTED_VALUE"""),"New")</f>
        <v>New</v>
      </c>
      <c r="F10018" s="72">
        <v>85</v>
      </c>
      <c r="G10018" s="72">
        <v>407641</v>
      </c>
    </row>
    <row r="10019" spans="1:7" ht="14.5" hidden="1">
      <c r="A10019" s="3" t="s">
        <v>9115</v>
      </c>
      <c r="B10019" s="12" t="s">
        <v>2894</v>
      </c>
      <c r="C10019" s="46" t="s">
        <v>10011</v>
      </c>
      <c r="D10019" s="41" t="str">
        <f ca="1">IFERROR(__xludf.DUMMYFUNCTION("IFERROR(ARRAYFORMULA(REGEXEXTRACT(C10019,""^(?:https?:\/\/)?(?:[^@\n]+@)?(?:www\.)?([^:\/\n]+)"")),"""")"),"breakingac.com")</f>
        <v>breakingac.com</v>
      </c>
      <c r="E10019" s="26" t="str">
        <f ca="1">IFERROR(__xludf.DUMMYFUNCTION("""COMPUTED_VALUE"""),"Already Exists")</f>
        <v>Already Exists</v>
      </c>
      <c r="F10019" s="72">
        <v>54</v>
      </c>
      <c r="G10019" s="72">
        <v>23013</v>
      </c>
    </row>
    <row r="10020" spans="1:7" ht="14.5">
      <c r="A10020" s="3" t="s">
        <v>9115</v>
      </c>
      <c r="B10020" s="12" t="s">
        <v>2894</v>
      </c>
      <c r="C10020" s="46" t="s">
        <v>10012</v>
      </c>
      <c r="D10020" s="41" t="str">
        <f ca="1">IFERROR(__xludf.DUMMYFUNCTION("IFERROR(ARRAYFORMULA(REGEXEXTRACT(C10020,""^(?:https?:\/\/)?(?:[^@\n]+@)?(?:www\.)?([^:\/\n]+)"")),"""")"),"remodelingkc.memberzone.com")</f>
        <v>remodelingkc.memberzone.com</v>
      </c>
      <c r="E10020" s="26" t="str">
        <f ca="1">IFERROR(__xludf.DUMMYFUNCTION("""COMPUTED_VALUE"""),"New")</f>
        <v>New</v>
      </c>
      <c r="F10020" s="72">
        <v>61</v>
      </c>
      <c r="G10020" s="72">
        <v>4641</v>
      </c>
    </row>
    <row r="10021" spans="1:7" ht="14.5">
      <c r="A10021" s="3" t="s">
        <v>9115</v>
      </c>
      <c r="B10021" s="12" t="s">
        <v>2894</v>
      </c>
      <c r="C10021" s="46" t="s">
        <v>10013</v>
      </c>
      <c r="D10021" s="41" t="str">
        <f ca="1">IFERROR(__xludf.DUMMYFUNCTION("IFERROR(ARRAYFORMULA(REGEXEXTRACT(C10021,""^(?:https?:\/\/)?(?:[^@\n]+@)?(?:www\.)?([^:\/\n]+)"")),"""")"),"nerdbot.com")</f>
        <v>nerdbot.com</v>
      </c>
      <c r="E10021" s="26" t="str">
        <f ca="1">IFERROR(__xludf.DUMMYFUNCTION("""COMPUTED_VALUE"""),"New")</f>
        <v>New</v>
      </c>
      <c r="F10021" s="72">
        <v>67</v>
      </c>
      <c r="G10021" s="72">
        <v>37758</v>
      </c>
    </row>
    <row r="10022" spans="1:7" ht="14.5">
      <c r="A10022" s="3" t="s">
        <v>9115</v>
      </c>
      <c r="B10022" s="12" t="s">
        <v>2894</v>
      </c>
      <c r="C10022" s="46" t="s">
        <v>10014</v>
      </c>
      <c r="D10022" s="41" t="str">
        <f ca="1">IFERROR(__xludf.DUMMYFUNCTION("IFERROR(ARRAYFORMULA(REGEXEXTRACT(C10022,""^(?:https?:\/\/)?(?:[^@\n]+@)?(?:www\.)?([^:\/\n]+)"")),"""")"),"markets.chroniclejournal.com")</f>
        <v>markets.chroniclejournal.com</v>
      </c>
      <c r="E10022" s="26" t="str">
        <f ca="1">IFERROR(__xludf.DUMMYFUNCTION("""COMPUTED_VALUE"""),"New")</f>
        <v>New</v>
      </c>
      <c r="F10022" s="72">
        <v>72</v>
      </c>
      <c r="G10022" s="72">
        <v>40977</v>
      </c>
    </row>
    <row r="10023" spans="1:7" ht="14.5">
      <c r="A10023" s="3" t="s">
        <v>9115</v>
      </c>
      <c r="B10023" s="12" t="s">
        <v>2894</v>
      </c>
      <c r="C10023" s="46" t="s">
        <v>10015</v>
      </c>
      <c r="D10023" s="41" t="str">
        <f ca="1">IFERROR(__xludf.DUMMYFUNCTION("IFERROR(ARRAYFORMULA(REGEXEXTRACT(C10023,""^(?:https?:\/\/)?(?:[^@\n]+@)?(?:www\.)?([^:\/\n]+)"")),"""")"),"blog.housesitmatch.com")</f>
        <v>blog.housesitmatch.com</v>
      </c>
      <c r="E10023" s="26" t="str">
        <f ca="1">IFERROR(__xludf.DUMMYFUNCTION("""COMPUTED_VALUE"""),"New")</f>
        <v>New</v>
      </c>
      <c r="F10023" s="72">
        <v>42</v>
      </c>
      <c r="G10023" s="72">
        <v>2303</v>
      </c>
    </row>
    <row r="10024" spans="1:7" ht="14.5">
      <c r="A10024" s="3" t="s">
        <v>9115</v>
      </c>
      <c r="B10024" s="12" t="s">
        <v>2894</v>
      </c>
      <c r="C10024" s="46" t="s">
        <v>10016</v>
      </c>
      <c r="D10024" s="41" t="str">
        <f ca="1">IFERROR(__xludf.DUMMYFUNCTION("IFERROR(ARRAYFORMULA(REGEXEXTRACT(C10024,""^(?:https?:\/\/)?(?:[^@\n]+@)?(?:www\.)?([^:\/\n]+)"")),"""")"),"network.procore.com")</f>
        <v>network.procore.com</v>
      </c>
      <c r="E10024" s="26" t="str">
        <f ca="1">IFERROR(__xludf.DUMMYFUNCTION("""COMPUTED_VALUE"""),"New")</f>
        <v>New</v>
      </c>
      <c r="F10024" s="72">
        <v>82</v>
      </c>
      <c r="G10024" s="72">
        <v>1168143</v>
      </c>
    </row>
    <row r="10025" spans="1:7" ht="14.5">
      <c r="A10025" s="3" t="s">
        <v>9115</v>
      </c>
      <c r="B10025" s="12" t="s">
        <v>2894</v>
      </c>
      <c r="C10025" s="46" t="s">
        <v>10017</v>
      </c>
      <c r="D10025" s="41" t="str">
        <f ca="1">IFERROR(__xludf.DUMMYFUNCTION("IFERROR(ARRAYFORMULA(REGEXEXTRACT(C10025,""^(?:https?:\/\/)?(?:[^@\n]+@)?(?:www\.)?([^:\/\n]+)"")),"""")"),"money.mymotherlode.com")</f>
        <v>money.mymotherlode.com</v>
      </c>
      <c r="E10025" s="26" t="str">
        <f ca="1">IFERROR(__xludf.DUMMYFUNCTION("""COMPUTED_VALUE"""),"New")</f>
        <v>New</v>
      </c>
      <c r="F10025" s="72">
        <v>68</v>
      </c>
      <c r="G10025" s="72">
        <v>21774</v>
      </c>
    </row>
    <row r="10026" spans="1:7" ht="14.5">
      <c r="A10026" s="3" t="s">
        <v>9115</v>
      </c>
      <c r="B10026" s="12" t="s">
        <v>2894</v>
      </c>
      <c r="C10026" s="46" t="s">
        <v>10018</v>
      </c>
      <c r="D10026" s="41" t="str">
        <f ca="1">IFERROR(__xludf.DUMMYFUNCTION("IFERROR(ARRAYFORMULA(REGEXEXTRACT(C10026,""^(?:https?:\/\/)?(?:[^@\n]+@)?(?:www\.)?([^:\/\n]+)"")),"""")"),"stocks.observer-reporter.com")</f>
        <v>stocks.observer-reporter.com</v>
      </c>
      <c r="E10026" s="26" t="str">
        <f ca="1">IFERROR(__xludf.DUMMYFUNCTION("""COMPUTED_VALUE"""),"New")</f>
        <v>New</v>
      </c>
      <c r="F10026" s="72">
        <v>72</v>
      </c>
      <c r="G10026" s="72">
        <v>14613</v>
      </c>
    </row>
    <row r="10027" spans="1:7" ht="14.5">
      <c r="A10027" s="3" t="s">
        <v>9115</v>
      </c>
      <c r="B10027" s="17" t="s">
        <v>2895</v>
      </c>
      <c r="C10027" s="46" t="s">
        <v>10019</v>
      </c>
      <c r="D10027" s="41" t="str">
        <f ca="1">IFERROR(__xludf.DUMMYFUNCTION("IFERROR(ARRAYFORMULA(REGEXEXTRACT(C10027,""^(?:https?:\/\/)?(?:[^@\n]+@)?(?:www\.)?([^:\/\n]+)"")),"""")"),"4specs.com")</f>
        <v>4specs.com</v>
      </c>
      <c r="E10027" s="26" t="str">
        <f ca="1">IFERROR(__xludf.DUMMYFUNCTION("""COMPUTED_VALUE"""),"New")</f>
        <v>New</v>
      </c>
      <c r="F10027" s="72">
        <v>46</v>
      </c>
      <c r="G10027" s="72">
        <v>4218</v>
      </c>
    </row>
    <row r="10028" spans="1:7" ht="14.5" hidden="1">
      <c r="A10028" s="3" t="s">
        <v>9115</v>
      </c>
      <c r="B10028" s="12" t="s">
        <v>2895</v>
      </c>
      <c r="C10028" s="46" t="s">
        <v>10020</v>
      </c>
      <c r="D10028" s="41" t="str">
        <f ca="1">IFERROR(__xludf.DUMMYFUNCTION("IFERROR(ARRAYFORMULA(REGEXEXTRACT(C10028,""^(?:https?:\/\/)?(?:[^@\n]+@)?(?:www\.)?([^:\/\n]+)"")),"""")"),"londondaily.news")</f>
        <v>londondaily.news</v>
      </c>
      <c r="E10028" s="26" t="str">
        <f ca="1">IFERROR(__xludf.DUMMYFUNCTION("""COMPUTED_VALUE"""),"Already Exists")</f>
        <v>Already Exists</v>
      </c>
      <c r="F10028" s="72">
        <v>73</v>
      </c>
      <c r="G10028" s="72">
        <v>3867</v>
      </c>
    </row>
    <row r="10029" spans="1:7" ht="14.5">
      <c r="A10029" s="3" t="s">
        <v>9115</v>
      </c>
      <c r="B10029" s="12" t="s">
        <v>2895</v>
      </c>
      <c r="C10029" s="46" t="s">
        <v>10021</v>
      </c>
      <c r="D10029" s="41" t="str">
        <f ca="1">IFERROR(__xludf.DUMMYFUNCTION("IFERROR(ARRAYFORMULA(REGEXEXTRACT(C10029,""^(?:https?:\/\/)?(?:[^@\n]+@)?(?:www\.)?([^:\/\n]+)"")),"""")"),"threebestrated.ca")</f>
        <v>threebestrated.ca</v>
      </c>
      <c r="E10029" s="26" t="str">
        <f ca="1">IFERROR(__xludf.DUMMYFUNCTION("""COMPUTED_VALUE"""),"New")</f>
        <v>New</v>
      </c>
      <c r="F10029" s="72">
        <v>78</v>
      </c>
      <c r="G10029" s="72">
        <v>5266</v>
      </c>
    </row>
    <row r="10030" spans="1:7" ht="14.5" hidden="1">
      <c r="A10030" s="3" t="s">
        <v>9115</v>
      </c>
      <c r="B10030" s="12" t="s">
        <v>2895</v>
      </c>
      <c r="C10030" s="46" t="s">
        <v>10022</v>
      </c>
      <c r="D10030" s="41" t="str">
        <f ca="1">IFERROR(__xludf.DUMMYFUNCTION("IFERROR(ARRAYFORMULA(REGEXEXTRACT(C10030,""^(?:https?:\/\/)?(?:[^@\n]+@)?(?:www\.)?([^:\/\n]+)"")),"""")"),"shineyourlightblog.com")</f>
        <v>shineyourlightblog.com</v>
      </c>
      <c r="E10030" s="26" t="str">
        <f ca="1">IFERROR(__xludf.DUMMYFUNCTION("""COMPUTED_VALUE"""),"Already Exists")</f>
        <v>Already Exists</v>
      </c>
      <c r="F10030" s="72">
        <v>42</v>
      </c>
      <c r="G10030" s="72">
        <v>1506</v>
      </c>
    </row>
    <row r="10031" spans="1:7" ht="14.5" hidden="1">
      <c r="A10031" s="3" t="s">
        <v>9115</v>
      </c>
      <c r="B10031" s="12" t="s">
        <v>2895</v>
      </c>
      <c r="C10031" s="46" t="s">
        <v>10023</v>
      </c>
      <c r="D10031" s="41" t="str">
        <f ca="1">IFERROR(__xludf.DUMMYFUNCTION("IFERROR(ARRAYFORMULA(REGEXEXTRACT(C10031,""^(?:https?:\/\/)?(?:[^@\n]+@)?(?:www\.)?([^:\/\n]+)"")),"""")"),"alittledelightful.com")</f>
        <v>alittledelightful.com</v>
      </c>
      <c r="E10031" s="26" t="str">
        <f ca="1">IFERROR(__xludf.DUMMYFUNCTION("""COMPUTED_VALUE"""),"Already Exists")</f>
        <v>Already Exists</v>
      </c>
      <c r="F10031" s="72">
        <v>65</v>
      </c>
      <c r="G10031" s="72">
        <v>13997</v>
      </c>
    </row>
    <row r="10032" spans="1:7" ht="14.5">
      <c r="A10032" s="3" t="s">
        <v>9115</v>
      </c>
      <c r="B10032" s="12" t="s">
        <v>2895</v>
      </c>
      <c r="C10032" s="46" t="s">
        <v>10024</v>
      </c>
      <c r="D10032" s="41" t="str">
        <f ca="1">IFERROR(__xludf.DUMMYFUNCTION("IFERROR(ARRAYFORMULA(REGEXEXTRACT(C10032,""^(?:https?:\/\/)?(?:[^@\n]+@)?(?:www\.)?([^:\/\n]+)"")),"""")"),"thetraveler.org")</f>
        <v>thetraveler.org</v>
      </c>
      <c r="E10032" s="26" t="str">
        <f ca="1">IFERROR(__xludf.DUMMYFUNCTION("""COMPUTED_VALUE"""),"New")</f>
        <v>New</v>
      </c>
      <c r="F10032" s="72">
        <v>42</v>
      </c>
      <c r="G10032" s="72">
        <v>130060</v>
      </c>
    </row>
    <row r="10033" spans="1:7" ht="14.5">
      <c r="A10033" s="3" t="s">
        <v>9115</v>
      </c>
      <c r="B10033" s="12" t="s">
        <v>2895</v>
      </c>
      <c r="C10033" s="46" t="s">
        <v>10025</v>
      </c>
      <c r="D10033" s="41" t="str">
        <f ca="1">IFERROR(__xludf.DUMMYFUNCTION("IFERROR(ARRAYFORMULA(REGEXEXTRACT(C10033,""^(?:https?:\/\/)?(?:[^@\n]+@)?(?:www\.)?([^:\/\n]+)"")),"""")"),"accio.com")</f>
        <v>accio.com</v>
      </c>
      <c r="E10033" s="26" t="str">
        <f ca="1">IFERROR(__xludf.DUMMYFUNCTION("""COMPUTED_VALUE"""),"New")</f>
        <v>New</v>
      </c>
      <c r="F10033" s="72">
        <v>74</v>
      </c>
      <c r="G10033" s="72">
        <v>326136</v>
      </c>
    </row>
    <row r="10034" spans="1:7" ht="14.5">
      <c r="A10034" s="3" t="s">
        <v>9115</v>
      </c>
      <c r="B10034" s="12" t="s">
        <v>2895</v>
      </c>
      <c r="C10034" s="46" t="s">
        <v>10026</v>
      </c>
      <c r="D10034" s="41" t="str">
        <f ca="1">IFERROR(__xludf.DUMMYFUNCTION("IFERROR(ARRAYFORMULA(REGEXEXTRACT(C10034,""^(?:https?:\/\/)?(?:[^@\n]+@)?(?:www\.)?([^:\/\n]+)"")),"""")"),"grokipedia.com")</f>
        <v>grokipedia.com</v>
      </c>
      <c r="E10034" s="26" t="str">
        <f ca="1">IFERROR(__xludf.DUMMYFUNCTION("""COMPUTED_VALUE"""),"New")</f>
        <v>New</v>
      </c>
      <c r="F10034" s="72">
        <v>75</v>
      </c>
      <c r="G10034" s="72">
        <v>667361</v>
      </c>
    </row>
    <row r="10035" spans="1:7" ht="14.5" hidden="1">
      <c r="A10035" s="3" t="s">
        <v>9115</v>
      </c>
      <c r="B10035" s="12" t="s">
        <v>2895</v>
      </c>
      <c r="C10035" s="46" t="s">
        <v>10027</v>
      </c>
      <c r="D10035" s="41" t="str">
        <f ca="1">IFERROR(__xludf.DUMMYFUNCTION("IFERROR(ARRAYFORMULA(REGEXEXTRACT(C10035,""^(?:https?:\/\/)?(?:[^@\n]+@)?(?:www\.)?([^:\/\n]+)"")),"""")"),"resident.com")</f>
        <v>resident.com</v>
      </c>
      <c r="E10035" s="26" t="str">
        <f ca="1">IFERROR(__xludf.DUMMYFUNCTION("""COMPUTED_VALUE"""),"Already Exists")</f>
        <v>Already Exists</v>
      </c>
      <c r="F10035" s="72">
        <v>71</v>
      </c>
      <c r="G10035" s="72">
        <v>29372</v>
      </c>
    </row>
    <row r="10036" spans="1:7" ht="14.5">
      <c r="A10036" s="3" t="s">
        <v>9115</v>
      </c>
      <c r="B10036" s="12" t="s">
        <v>2895</v>
      </c>
      <c r="C10036" s="46" t="s">
        <v>10028</v>
      </c>
      <c r="D10036" s="41" t="str">
        <f ca="1">IFERROR(__xludf.DUMMYFUNCTION("IFERROR(ARRAYFORMULA(REGEXEXTRACT(C10036,""^(?:https?:\/\/)?(?:[^@\n]+@)?(?:www\.)?([^:\/\n]+)"")),"""")"),"neighbourhoodguide.com")</f>
        <v>neighbourhoodguide.com</v>
      </c>
      <c r="E10036" s="26" t="str">
        <f ca="1">IFERROR(__xludf.DUMMYFUNCTION("""COMPUTED_VALUE"""),"New")</f>
        <v>New</v>
      </c>
      <c r="F10036" s="72">
        <v>51</v>
      </c>
      <c r="G10036" s="72">
        <v>2647</v>
      </c>
    </row>
    <row r="10037" spans="1:7" ht="14.5">
      <c r="A10037" s="3" t="s">
        <v>9115</v>
      </c>
      <c r="B10037" s="12" t="s">
        <v>2895</v>
      </c>
      <c r="C10037" s="46" t="s">
        <v>10029</v>
      </c>
      <c r="D10037" s="41" t="str">
        <f ca="1">IFERROR(__xludf.DUMMYFUNCTION("IFERROR(ARRAYFORMULA(REGEXEXTRACT(C10037,""^(?:https?:\/\/)?(?:[^@\n]+@)?(?:www\.)?([^:\/\n]+)"")),"""")"),"nerdbot.com")</f>
        <v>nerdbot.com</v>
      </c>
      <c r="E10037" s="26" t="str">
        <f ca="1">IFERROR(__xludf.DUMMYFUNCTION("""COMPUTED_VALUE"""),"New")</f>
        <v>New</v>
      </c>
      <c r="F10037" s="72">
        <v>67</v>
      </c>
      <c r="G10037" s="72">
        <v>37758</v>
      </c>
    </row>
    <row r="10038" spans="1:7" ht="14.5">
      <c r="A10038" s="3" t="s">
        <v>9115</v>
      </c>
      <c r="B10038" s="12" t="s">
        <v>2895</v>
      </c>
      <c r="C10038" s="46" t="s">
        <v>10030</v>
      </c>
      <c r="D10038" s="41" t="str">
        <f ca="1">IFERROR(__xludf.DUMMYFUNCTION("IFERROR(ARRAYFORMULA(REGEXEXTRACT(C10038,""^(?:https?:\/\/)?(?:[^@\n]+@)?(?:www\.)?([^:\/\n]+)"")),"""")"),"netnewsledger.com")</f>
        <v>netnewsledger.com</v>
      </c>
      <c r="E10038" s="26" t="str">
        <f ca="1">IFERROR(__xludf.DUMMYFUNCTION("""COMPUTED_VALUE"""),"New")</f>
        <v>New</v>
      </c>
      <c r="F10038" s="72">
        <v>68</v>
      </c>
      <c r="G10038" s="72">
        <v>4432</v>
      </c>
    </row>
    <row r="10039" spans="1:7" ht="14.5">
      <c r="A10039" s="3" t="s">
        <v>9115</v>
      </c>
      <c r="B10039" s="12" t="s">
        <v>2895</v>
      </c>
      <c r="C10039" s="46" t="s">
        <v>10031</v>
      </c>
      <c r="D10039" s="41" t="str">
        <f ca="1">IFERROR(__xludf.DUMMYFUNCTION("IFERROR(ARRAYFORMULA(REGEXEXTRACT(C10039,""^(?:https?:\/\/)?(?:[^@\n]+@)?(?:www\.)?([^:\/\n]+)"")),"""")"),"theorg.com")</f>
        <v>theorg.com</v>
      </c>
      <c r="E10039" s="26" t="str">
        <f ca="1">IFERROR(__xludf.DUMMYFUNCTION("""COMPUTED_VALUE"""),"New")</f>
        <v>New</v>
      </c>
      <c r="F10039" s="72">
        <v>75</v>
      </c>
      <c r="G10039" s="72">
        <v>92631</v>
      </c>
    </row>
    <row r="10040" spans="1:7" ht="14.5">
      <c r="A10040" s="3" t="s">
        <v>9115</v>
      </c>
      <c r="B10040" s="12" t="s">
        <v>2895</v>
      </c>
      <c r="C10040" s="46" t="s">
        <v>10032</v>
      </c>
      <c r="D10040" s="41" t="str">
        <f ca="1">IFERROR(__xludf.DUMMYFUNCTION("IFERROR(ARRAYFORMULA(REGEXEXTRACT(C10040,""^(?:https?:\/\/)?(?:[^@\n]+@)?(?:www\.)?([^:\/\n]+)"")),"""")"),"career.msstate.edu")</f>
        <v>career.msstate.edu</v>
      </c>
      <c r="E10040" s="26" t="str">
        <f ca="1">IFERROR(__xludf.DUMMYFUNCTION("""COMPUTED_VALUE"""),"New")</f>
        <v>New</v>
      </c>
      <c r="F10040" s="72">
        <v>82</v>
      </c>
      <c r="G10040" s="72">
        <v>283146</v>
      </c>
    </row>
    <row r="10041" spans="1:7" ht="14.5" hidden="1">
      <c r="A10041" s="3" t="s">
        <v>9115</v>
      </c>
      <c r="B10041" s="12" t="s">
        <v>2895</v>
      </c>
      <c r="C10041" s="46" t="s">
        <v>10033</v>
      </c>
      <c r="D10041" s="41" t="str">
        <f ca="1">IFERROR(__xludf.DUMMYFUNCTION("IFERROR(ARRAYFORMULA(REGEXEXTRACT(C10041,""^(?:https?:\/\/)?(?:[^@\n]+@)?(?:www\.)?([^:\/\n]+)"")),"""")"),"sweetsofties.com")</f>
        <v>sweetsofties.com</v>
      </c>
      <c r="E10041" s="26" t="str">
        <f ca="1">IFERROR(__xludf.DUMMYFUNCTION("""COMPUTED_VALUE"""),"Already Exists")</f>
        <v>Already Exists</v>
      </c>
      <c r="F10041" s="72">
        <v>51</v>
      </c>
      <c r="G10041" s="72">
        <v>15130</v>
      </c>
    </row>
    <row r="10042" spans="1:7" ht="14.5" hidden="1">
      <c r="A10042" s="3" t="s">
        <v>9115</v>
      </c>
      <c r="B10042" s="12" t="s">
        <v>2895</v>
      </c>
      <c r="C10042" s="46" t="s">
        <v>10034</v>
      </c>
      <c r="D10042" s="41" t="str">
        <f ca="1">IFERROR(__xludf.DUMMYFUNCTION("IFERROR(ARRAYFORMULA(REGEXEXTRACT(C10042,""^(?:https?:\/\/)?(?:[^@\n]+@)?(?:www\.)?([^:\/\n]+)"")),"""")"),"greenrecord.co.uk")</f>
        <v>greenrecord.co.uk</v>
      </c>
      <c r="E10042" s="26" t="str">
        <f ca="1">IFERROR(__xludf.DUMMYFUNCTION("""COMPUTED_VALUE"""),"Already Exists")</f>
        <v>Already Exists</v>
      </c>
      <c r="F10042" s="72">
        <v>73</v>
      </c>
      <c r="G10042" s="72">
        <v>6247</v>
      </c>
    </row>
    <row r="10043" spans="1:7" ht="14.5">
      <c r="A10043" s="3" t="s">
        <v>9115</v>
      </c>
      <c r="B10043" s="12" t="s">
        <v>2895</v>
      </c>
      <c r="C10043" s="46" t="s">
        <v>10035</v>
      </c>
      <c r="D10043" s="41" t="str">
        <f ca="1">IFERROR(__xludf.DUMMYFUNCTION("IFERROR(ARRAYFORMULA(REGEXEXTRACT(C10043,""^(?:https?:\/\/)?(?:[^@\n]+@)?(?:www\.)?([^:\/\n]+)"")),"""")"),"careerconnect.uog.edu")</f>
        <v>careerconnect.uog.edu</v>
      </c>
      <c r="E10043" s="26" t="str">
        <f ca="1">IFERROR(__xludf.DUMMYFUNCTION("""COMPUTED_VALUE"""),"New")</f>
        <v>New</v>
      </c>
      <c r="F10043" s="72">
        <v>69</v>
      </c>
      <c r="G10043" s="72">
        <v>2856</v>
      </c>
    </row>
    <row r="10044" spans="1:7" ht="14.5" hidden="1">
      <c r="A10044" s="3" t="s">
        <v>9115</v>
      </c>
      <c r="B10044" s="12" t="s">
        <v>2895</v>
      </c>
      <c r="C10044" s="46" t="s">
        <v>10036</v>
      </c>
      <c r="D10044" s="41" t="str">
        <f ca="1">IFERROR(__xludf.DUMMYFUNCTION("IFERROR(ARRAYFORMULA(REGEXEXTRACT(C10044,""^(?:https?:\/\/)?(?:[^@\n]+@)?(?:www\.)?([^:\/\n]+)"")),"""")"),"ahouseinthehills.com")</f>
        <v>ahouseinthehills.com</v>
      </c>
      <c r="E10044" s="26" t="str">
        <f ca="1">IFERROR(__xludf.DUMMYFUNCTION("""COMPUTED_VALUE"""),"Already Exists")</f>
        <v>Already Exists</v>
      </c>
      <c r="F10044" s="72">
        <v>58</v>
      </c>
      <c r="G10044" s="72">
        <v>2861</v>
      </c>
    </row>
    <row r="10045" spans="1:7" ht="14.5">
      <c r="A10045" s="3" t="s">
        <v>9115</v>
      </c>
      <c r="B10045" s="12" t="s">
        <v>2895</v>
      </c>
      <c r="C10045" s="46" t="s">
        <v>10037</v>
      </c>
      <c r="D10045" s="41" t="str">
        <f ca="1">IFERROR(__xludf.DUMMYFUNCTION("IFERROR(ARRAYFORMULA(REGEXEXTRACT(C10045,""^(?:https?:\/\/)?(?:[^@\n]+@)?(?:www\.)?([^:\/\n]+)"")),"""")"),"collegerecruiter.com")</f>
        <v>collegerecruiter.com</v>
      </c>
      <c r="E10045" s="26" t="str">
        <f ca="1">IFERROR(__xludf.DUMMYFUNCTION("""COMPUTED_VALUE"""),"New")</f>
        <v>New</v>
      </c>
      <c r="F10045" s="72">
        <v>68</v>
      </c>
      <c r="G10045" s="72">
        <v>2945</v>
      </c>
    </row>
    <row r="10046" spans="1:7" ht="14.5" hidden="1">
      <c r="A10046" s="3" t="s">
        <v>9115</v>
      </c>
      <c r="B10046" s="12" t="s">
        <v>2895</v>
      </c>
      <c r="C10046" s="46" t="s">
        <v>10038</v>
      </c>
      <c r="D10046" s="41" t="str">
        <f ca="1">IFERROR(__xludf.DUMMYFUNCTION("IFERROR(ARRAYFORMULA(REGEXEXTRACT(C10046,""^(?:https?:\/\/)?(?:[^@\n]+@)?(?:www\.)?([^:\/\n]+)"")),"""")"),"thearchitectsdiary.com")</f>
        <v>thearchitectsdiary.com</v>
      </c>
      <c r="E10046" s="26" t="str">
        <f ca="1">IFERROR(__xludf.DUMMYFUNCTION("""COMPUTED_VALUE"""),"Already Exists")</f>
        <v>Already Exists</v>
      </c>
      <c r="F10046" s="72">
        <v>68</v>
      </c>
      <c r="G10046" s="72">
        <v>36414</v>
      </c>
    </row>
    <row r="10047" spans="1:7" ht="14.5" hidden="1">
      <c r="A10047" s="3" t="s">
        <v>9115</v>
      </c>
      <c r="B10047" s="12" t="s">
        <v>2895</v>
      </c>
      <c r="C10047" s="46" t="s">
        <v>10039</v>
      </c>
      <c r="D10047" s="41" t="str">
        <f ca="1">IFERROR(__xludf.DUMMYFUNCTION("IFERROR(ARRAYFORMULA(REGEXEXTRACT(C10047,""^(?:https?:\/\/)?(?:[^@\n]+@)?(?:www\.)?([^:\/\n]+)"")),"""")"),"opplehouse.com")</f>
        <v>opplehouse.com</v>
      </c>
      <c r="E10047" s="26" t="str">
        <f ca="1">IFERROR(__xludf.DUMMYFUNCTION("""COMPUTED_VALUE"""),"Already Exists")</f>
        <v>Already Exists</v>
      </c>
      <c r="F10047" s="72">
        <v>59</v>
      </c>
      <c r="G10047" s="72">
        <v>2999</v>
      </c>
    </row>
    <row r="10048" spans="1:7" ht="14.5" hidden="1">
      <c r="A10048" s="3" t="s">
        <v>9115</v>
      </c>
      <c r="B10048" s="12" t="s">
        <v>2895</v>
      </c>
      <c r="C10048" s="46" t="s">
        <v>10040</v>
      </c>
      <c r="D10048" s="41" t="str">
        <f ca="1">IFERROR(__xludf.DUMMYFUNCTION("IFERROR(ARRAYFORMULA(REGEXEXTRACT(C10048,""^(?:https?:\/\/)?(?:[^@\n]+@)?(?:www\.)?([^:\/\n]+)"")),"""")"),"myinteriorpalace.com")</f>
        <v>myinteriorpalace.com</v>
      </c>
      <c r="E10048" s="26" t="str">
        <f ca="1">IFERROR(__xludf.DUMMYFUNCTION("""COMPUTED_VALUE"""),"Already Exists")</f>
        <v>Already Exists</v>
      </c>
      <c r="F10048" s="72">
        <v>61</v>
      </c>
      <c r="G10048" s="72">
        <v>1983</v>
      </c>
    </row>
    <row r="10049" spans="1:7" ht="14.5">
      <c r="A10049" s="3" t="s">
        <v>9115</v>
      </c>
      <c r="B10049" s="12" t="s">
        <v>2895</v>
      </c>
      <c r="C10049" s="46" t="s">
        <v>10041</v>
      </c>
      <c r="D10049" s="41" t="str">
        <f ca="1">IFERROR(__xludf.DUMMYFUNCTION("IFERROR(ARRAYFORMULA(REGEXEXTRACT(C10049,""^(?:https?:\/\/)?(?:[^@\n]+@)?(?:www\.)?([^:\/\n]+)"")),"""")"),"career.uml.edu")</f>
        <v>career.uml.edu</v>
      </c>
      <c r="E10049" s="26" t="str">
        <f ca="1">IFERROR(__xludf.DUMMYFUNCTION("""COMPUTED_VALUE"""),"New")</f>
        <v>New</v>
      </c>
      <c r="F10049" s="72">
        <v>79</v>
      </c>
      <c r="G10049" s="72">
        <v>102505</v>
      </c>
    </row>
    <row r="10050" spans="1:7" ht="14.5">
      <c r="A10050" s="3" t="s">
        <v>9115</v>
      </c>
      <c r="B10050" s="12" t="s">
        <v>2895</v>
      </c>
      <c r="C10050" s="46" t="s">
        <v>10042</v>
      </c>
      <c r="D10050" s="41" t="str">
        <f ca="1">IFERROR(__xludf.DUMMYFUNCTION("IFERROR(ARRAYFORMULA(REGEXEXTRACT(C10050,""^(?:https?:\/\/)?(?:[^@\n]+@)?(?:www\.)?([^:\/\n]+)"")),"""")"),"artdaily.cc")</f>
        <v>artdaily.cc</v>
      </c>
      <c r="E10050" s="26" t="str">
        <f ca="1">IFERROR(__xludf.DUMMYFUNCTION("""COMPUTED_VALUE"""),"New")</f>
        <v>New</v>
      </c>
      <c r="F10050" s="72">
        <v>73</v>
      </c>
      <c r="G10050" s="72">
        <v>1724</v>
      </c>
    </row>
    <row r="10051" spans="1:7" ht="14.5">
      <c r="A10051" s="3" t="s">
        <v>9115</v>
      </c>
      <c r="B10051" s="12" t="s">
        <v>2895</v>
      </c>
      <c r="C10051" s="46" t="s">
        <v>10043</v>
      </c>
      <c r="D10051" s="41" t="str">
        <f ca="1">IFERROR(__xludf.DUMMYFUNCTION("IFERROR(ARRAYFORMULA(REGEXEXTRACT(C10051,""^(?:https?:\/\/)?(?:[^@\n]+@)?(?:www\.)?([^:\/\n]+)"")),"""")"),"azbigmedia.com")</f>
        <v>azbigmedia.com</v>
      </c>
      <c r="E10051" s="26" t="str">
        <f ca="1">IFERROR(__xludf.DUMMYFUNCTION("""COMPUTED_VALUE"""),"New")</f>
        <v>New</v>
      </c>
      <c r="F10051" s="72">
        <v>77</v>
      </c>
      <c r="G10051" s="72">
        <v>10201</v>
      </c>
    </row>
    <row r="10052" spans="1:7" ht="14.5">
      <c r="A10052" s="3" t="s">
        <v>9115</v>
      </c>
      <c r="B10052" s="12" t="s">
        <v>2895</v>
      </c>
      <c r="C10052" s="46" t="s">
        <v>10044</v>
      </c>
      <c r="D10052" s="41" t="str">
        <f ca="1">IFERROR(__xludf.DUMMYFUNCTION("IFERROR(ARRAYFORMULA(REGEXEXTRACT(C10052,""^(?:https?:\/\/)?(?:[^@\n]+@)?(?:www\.)?([^:\/\n]+)"")),"""")"),"sweets.construction.com")</f>
        <v>sweets.construction.com</v>
      </c>
      <c r="E10052" s="26" t="str">
        <f ca="1">IFERROR(__xludf.DUMMYFUNCTION("""COMPUTED_VALUE"""),"New")</f>
        <v>New</v>
      </c>
      <c r="F10052" s="72">
        <v>78</v>
      </c>
      <c r="G10052" s="72">
        <v>39693</v>
      </c>
    </row>
    <row r="10053" spans="1:7" ht="14.5">
      <c r="A10053" s="3" t="s">
        <v>9115</v>
      </c>
      <c r="B10053" s="12" t="s">
        <v>2895</v>
      </c>
      <c r="C10053" s="46" t="s">
        <v>10045</v>
      </c>
      <c r="D10053" s="41" t="str">
        <f ca="1">IFERROR(__xludf.DUMMYFUNCTION("IFERROR(ARRAYFORMULA(REGEXEXTRACT(C10053,""^(?:https?:\/\/)?(?:[^@\n]+@)?(?:www\.)?([^:\/\n]+)"")),"""")"),"careers.uw.edu")</f>
        <v>careers.uw.edu</v>
      </c>
      <c r="E10053" s="26" t="str">
        <f ca="1">IFERROR(__xludf.DUMMYFUNCTION("""COMPUTED_VALUE"""),"New")</f>
        <v>New</v>
      </c>
      <c r="F10053" s="72">
        <v>88</v>
      </c>
      <c r="G10053" s="72">
        <v>1018116</v>
      </c>
    </row>
    <row r="10054" spans="1:7" ht="14.5" hidden="1">
      <c r="A10054" s="3" t="s">
        <v>9115</v>
      </c>
      <c r="B10054" s="12" t="s">
        <v>2895</v>
      </c>
      <c r="C10054" s="46" t="s">
        <v>10046</v>
      </c>
      <c r="D10054" s="41" t="str">
        <f ca="1">IFERROR(__xludf.DUMMYFUNCTION("IFERROR(ARRAYFORMULA(REGEXEXTRACT(C10054,""^(?:https?:\/\/)?(?:[^@\n]+@)?(?:www\.)?([^:\/\n]+)"")),"""")"),"thepinnaclelist.com")</f>
        <v>thepinnaclelist.com</v>
      </c>
      <c r="E10054" s="26" t="str">
        <f ca="1">IFERROR(__xludf.DUMMYFUNCTION("""COMPUTED_VALUE"""),"Already Exists")</f>
        <v>Already Exists</v>
      </c>
      <c r="F10054" s="72">
        <v>57</v>
      </c>
      <c r="G10054" s="72">
        <v>1211</v>
      </c>
    </row>
    <row r="10055" spans="1:7" ht="14.5">
      <c r="A10055" s="3" t="s">
        <v>9115</v>
      </c>
      <c r="B10055" s="12" t="s">
        <v>2895</v>
      </c>
      <c r="C10055" s="46" t="s">
        <v>10047</v>
      </c>
      <c r="D10055" s="41" t="str">
        <f ca="1">IFERROR(__xludf.DUMMYFUNCTION("IFERROR(ARRAYFORMULA(REGEXEXTRACT(C10055,""^(?:https?:\/\/)?(?:[^@\n]+@)?(?:www\.)?([^:\/\n]+)"")),"""")"),"realtyexecutives.com")</f>
        <v>realtyexecutives.com</v>
      </c>
      <c r="E10055" s="26" t="str">
        <f ca="1">IFERROR(__xludf.DUMMYFUNCTION("""COMPUTED_VALUE"""),"New")</f>
        <v>New</v>
      </c>
      <c r="F10055" s="72">
        <v>69</v>
      </c>
      <c r="G10055" s="72">
        <v>3352</v>
      </c>
    </row>
    <row r="10056" spans="1:7" ht="14.5" hidden="1">
      <c r="A10056" s="3" t="s">
        <v>9115</v>
      </c>
      <c r="B10056" s="12" t="s">
        <v>2895</v>
      </c>
      <c r="C10056" s="46" t="s">
        <v>10048</v>
      </c>
      <c r="D10056" s="41" t="str">
        <f ca="1">IFERROR(__xludf.DUMMYFUNCTION("IFERROR(ARRAYFORMULA(REGEXEXTRACT(C10056,""^(?:https?:\/\/)?(?:[^@\n]+@)?(?:www\.)?([^:\/\n]+)"")),"""")"),"northpennnow.com")</f>
        <v>northpennnow.com</v>
      </c>
      <c r="E10056" s="26" t="str">
        <f ca="1">IFERROR(__xludf.DUMMYFUNCTION("""COMPUTED_VALUE"""),"Already Exists")</f>
        <v>Already Exists</v>
      </c>
      <c r="F10056" s="72">
        <v>64</v>
      </c>
      <c r="G10056" s="72">
        <v>14583</v>
      </c>
    </row>
    <row r="10057" spans="1:7" ht="14.5" hidden="1">
      <c r="A10057" s="3" t="s">
        <v>9115</v>
      </c>
      <c r="B10057" s="12" t="s">
        <v>2895</v>
      </c>
      <c r="C10057" s="46" t="s">
        <v>10049</v>
      </c>
      <c r="D10057" s="41" t="str">
        <f ca="1">IFERROR(__xludf.DUMMYFUNCTION("IFERROR(ARRAYFORMULA(REGEXEXTRACT(C10057,""^(?:https?:\/\/)?(?:[^@\n]+@)?(?:www\.)?([^:\/\n]+)"")),"""")"),"re-thinkingthefuture.com")</f>
        <v>re-thinkingthefuture.com</v>
      </c>
      <c r="E10057" s="26" t="str">
        <f ca="1">IFERROR(__xludf.DUMMYFUNCTION("""COMPUTED_VALUE"""),"Already Exists")</f>
        <v>Already Exists</v>
      </c>
      <c r="F10057" s="72">
        <v>75</v>
      </c>
      <c r="G10057" s="72">
        <v>145313</v>
      </c>
    </row>
    <row r="10058" spans="1:7" ht="14.5">
      <c r="A10058" s="3" t="s">
        <v>9115</v>
      </c>
      <c r="B10058" s="12" t="s">
        <v>2895</v>
      </c>
      <c r="C10058" s="46" t="s">
        <v>10050</v>
      </c>
      <c r="D10058" s="41" t="str">
        <f ca="1">IFERROR(__xludf.DUMMYFUNCTION("IFERROR(ARRAYFORMULA(REGEXEXTRACT(C10058,""^(?:https?:\/\/)?(?:[^@\n]+@)?(?:www\.)?([^:\/\n]+)"")),"""")"),"artdaily.com")</f>
        <v>artdaily.com</v>
      </c>
      <c r="E10058" s="26" t="str">
        <f ca="1">IFERROR(__xludf.DUMMYFUNCTION("""COMPUTED_VALUE"""),"New")</f>
        <v>New</v>
      </c>
      <c r="F10058" s="72">
        <v>76</v>
      </c>
      <c r="G10058" s="72">
        <v>2761</v>
      </c>
    </row>
    <row r="10059" spans="1:7" ht="14.5">
      <c r="A10059" s="3" t="s">
        <v>9115</v>
      </c>
      <c r="B10059" s="12" t="s">
        <v>2895</v>
      </c>
      <c r="C10059" s="46" t="s">
        <v>10051</v>
      </c>
      <c r="D10059" s="41" t="str">
        <f ca="1">IFERROR(__xludf.DUMMYFUNCTION("IFERROR(ARRAYFORMULA(REGEXEXTRACT(C10059,""^(?:https?:\/\/)?(?:[^@\n]+@)?(?:www\.)?([^:\/\n]+)"")),"""")"),"bloglovin.com")</f>
        <v>bloglovin.com</v>
      </c>
      <c r="E10059" s="26" t="str">
        <f ca="1">IFERROR(__xludf.DUMMYFUNCTION("""COMPUTED_VALUE"""),"New")</f>
        <v>New</v>
      </c>
      <c r="F10059" s="72">
        <v>86</v>
      </c>
      <c r="G10059" s="72">
        <v>1971</v>
      </c>
    </row>
    <row r="10060" spans="1:7" ht="14.5">
      <c r="A10060" s="3" t="s">
        <v>9115</v>
      </c>
      <c r="B10060" s="12" t="s">
        <v>2895</v>
      </c>
      <c r="C10060" s="46" t="s">
        <v>10052</v>
      </c>
      <c r="D10060" s="41" t="str">
        <f ca="1">IFERROR(__xludf.DUMMYFUNCTION("IFERROR(ARRAYFORMULA(REGEXEXTRACT(C10060,""^(?:https?:\/\/)?(?:[^@\n]+@)?(?:www\.)?([^:\/\n]+)"")),"""")"),"ces.pugetsound.edu")</f>
        <v>ces.pugetsound.edu</v>
      </c>
      <c r="E10060" s="26" t="str">
        <f ca="1">IFERROR(__xludf.DUMMYFUNCTION("""COMPUTED_VALUE"""),"New")</f>
        <v>New</v>
      </c>
      <c r="F10060" s="72">
        <v>72</v>
      </c>
      <c r="G10060" s="72">
        <v>56764</v>
      </c>
    </row>
    <row r="10061" spans="1:7" ht="14.5">
      <c r="A10061" s="3" t="s">
        <v>9115</v>
      </c>
      <c r="B10061" s="12" t="s">
        <v>2895</v>
      </c>
      <c r="C10061" s="46" t="s">
        <v>10053</v>
      </c>
      <c r="D10061" s="41" t="str">
        <f ca="1">IFERROR(__xludf.DUMMYFUNCTION("IFERROR(ARRAYFORMULA(REGEXEXTRACT(C10061,""^(?:https?:\/\/)?(?:[^@\n]+@)?(?:www\.)?([^:\/\n]+)"")),"""")"),"careerservices.fgcu.edu")</f>
        <v>careerservices.fgcu.edu</v>
      </c>
      <c r="E10061" s="26" t="str">
        <f ca="1">IFERROR(__xludf.DUMMYFUNCTION("""COMPUTED_VALUE"""),"New")</f>
        <v>New</v>
      </c>
      <c r="F10061" s="72">
        <v>74</v>
      </c>
      <c r="G10061" s="72">
        <v>86893</v>
      </c>
    </row>
    <row r="10062" spans="1:7" ht="14.5">
      <c r="A10062" s="3" t="s">
        <v>9115</v>
      </c>
      <c r="B10062" s="12" t="s">
        <v>2895</v>
      </c>
      <c r="C10062" s="46" t="s">
        <v>10054</v>
      </c>
      <c r="D10062" s="41" t="str">
        <f ca="1">IFERROR(__xludf.DUMMYFUNCTION("IFERROR(ARRAYFORMULA(REGEXEXTRACT(C10062,""^(?:https?:\/\/)?(?:[^@\n]+@)?(?:www\.)?([^:\/\n]+)"")),"""")"),"scecareer.nau.edu")</f>
        <v>scecareer.nau.edu</v>
      </c>
      <c r="E10062" s="26" t="str">
        <f ca="1">IFERROR(__xludf.DUMMYFUNCTION("""COMPUTED_VALUE"""),"New")</f>
        <v>New</v>
      </c>
      <c r="F10062" s="72">
        <v>81</v>
      </c>
      <c r="G10062" s="72">
        <v>184565</v>
      </c>
    </row>
    <row r="10063" spans="1:7" ht="14.5" hidden="1">
      <c r="A10063" s="3" t="s">
        <v>9115</v>
      </c>
      <c r="B10063" s="12" t="s">
        <v>2895</v>
      </c>
      <c r="C10063" s="46" t="s">
        <v>10055</v>
      </c>
      <c r="D10063" s="41" t="str">
        <f ca="1">IFERROR(__xludf.DUMMYFUNCTION("IFERROR(ARRAYFORMULA(REGEXEXTRACT(C10063,""^(?:https?:\/\/)?(?:[^@\n]+@)?(?:www\.)?([^:\/\n]+)"")),"""")"),"s3da-design.com")</f>
        <v>s3da-design.com</v>
      </c>
      <c r="E10063" s="26" t="str">
        <f ca="1">IFERROR(__xludf.DUMMYFUNCTION("""COMPUTED_VALUE"""),"Already Exists")</f>
        <v>Already Exists</v>
      </c>
      <c r="F10063" s="72">
        <v>39</v>
      </c>
      <c r="G10063" s="72">
        <v>1418</v>
      </c>
    </row>
    <row r="10064" spans="1:7" ht="14.5">
      <c r="A10064" s="3" t="s">
        <v>9115</v>
      </c>
      <c r="B10064" s="12" t="s">
        <v>2895</v>
      </c>
      <c r="C10064" s="46" t="s">
        <v>10056</v>
      </c>
      <c r="D10064" s="41" t="str">
        <f ca="1">IFERROR(__xludf.DUMMYFUNCTION("IFERROR(ARRAYFORMULA(REGEXEXTRACT(C10064,""^(?:https?:\/\/)?(?:[^@\n]+@)?(?:www\.)?([^:\/\n]+)"")),"""")"),"career.mercer.edu")</f>
        <v>career.mercer.edu</v>
      </c>
      <c r="E10064" s="26" t="str">
        <f ca="1">IFERROR(__xludf.DUMMYFUNCTION("""COMPUTED_VALUE"""),"New")</f>
        <v>New</v>
      </c>
      <c r="F10064" s="72">
        <v>74</v>
      </c>
      <c r="G10064" s="72">
        <v>69697</v>
      </c>
    </row>
    <row r="10065" spans="1:7" ht="14.5" hidden="1">
      <c r="A10065" s="3" t="s">
        <v>9115</v>
      </c>
      <c r="B10065" s="12" t="s">
        <v>2895</v>
      </c>
      <c r="C10065" s="46" t="s">
        <v>10057</v>
      </c>
      <c r="D10065" s="41" t="str">
        <f ca="1">IFERROR(__xludf.DUMMYFUNCTION("IFERROR(ARRAYFORMULA(REGEXEXTRACT(C10065,""^(?:https?:\/\/)?(?:[^@\n]+@)?(?:www\.)?([^:\/\n]+)"")),"""")"),"elevatedmagazines.com")</f>
        <v>elevatedmagazines.com</v>
      </c>
      <c r="E10065" s="26" t="str">
        <f ca="1">IFERROR(__xludf.DUMMYFUNCTION("""COMPUTED_VALUE"""),"Already Exists")</f>
        <v>Already Exists</v>
      </c>
      <c r="F10065" s="72">
        <v>52</v>
      </c>
      <c r="G10065" s="72">
        <v>1484</v>
      </c>
    </row>
    <row r="10066" spans="1:7" ht="14.5">
      <c r="A10066" s="3" t="s">
        <v>9115</v>
      </c>
      <c r="B10066" s="12" t="s">
        <v>2895</v>
      </c>
      <c r="C10066" s="46" t="s">
        <v>10058</v>
      </c>
      <c r="D10066" s="41" t="str">
        <f ca="1">IFERROR(__xludf.DUMMYFUNCTION("IFERROR(ARRAYFORMULA(REGEXEXTRACT(C10066,""^(?:https?:\/\/)?(?:[^@\n]+@)?(?:www\.)?([^:\/\n]+)"")),"""")"),"careerlaunchpad.arcadia.edu")</f>
        <v>careerlaunchpad.arcadia.edu</v>
      </c>
      <c r="E10066" s="26" t="str">
        <f ca="1">IFERROR(__xludf.DUMMYFUNCTION("""COMPUTED_VALUE"""),"New")</f>
        <v>New</v>
      </c>
      <c r="F10066" s="72">
        <v>71</v>
      </c>
      <c r="G10066" s="72">
        <v>39432</v>
      </c>
    </row>
    <row r="10067" spans="1:7" ht="14.5">
      <c r="A10067" s="3" t="s">
        <v>9115</v>
      </c>
      <c r="B10067" s="12" t="s">
        <v>2895</v>
      </c>
      <c r="C10067" s="46" t="s">
        <v>10059</v>
      </c>
      <c r="D10067" s="41" t="str">
        <f ca="1">IFERROR(__xludf.DUMMYFUNCTION("IFERROR(ARRAYFORMULA(REGEXEXTRACT(C10067,""^(?:https?:\/\/)?(?:[^@\n]+@)?(?:www\.)?([^:\/\n]+)"")),"""")"),"cdo.pomona.edu")</f>
        <v>cdo.pomona.edu</v>
      </c>
      <c r="E10067" s="26" t="str">
        <f ca="1">IFERROR(__xludf.DUMMYFUNCTION("""COMPUTED_VALUE"""),"New")</f>
        <v>New</v>
      </c>
      <c r="F10067" s="72">
        <v>75</v>
      </c>
      <c r="G10067" s="72">
        <v>34047</v>
      </c>
    </row>
    <row r="10068" spans="1:7" ht="14.5">
      <c r="A10068" s="3" t="s">
        <v>9115</v>
      </c>
      <c r="B10068" s="12" t="s">
        <v>2895</v>
      </c>
      <c r="C10068" s="46" t="s">
        <v>10060</v>
      </c>
      <c r="D10068" s="41" t="str">
        <f ca="1">IFERROR(__xludf.DUMMYFUNCTION("IFERROR(ARRAYFORMULA(REGEXEXTRACT(C10068,""^(?:https?:\/\/)?(?:[^@\n]+@)?(?:www\.)?([^:\/\n]+)"")),"""")"),"careerlaunch.unlv.edu")</f>
        <v>careerlaunch.unlv.edu</v>
      </c>
      <c r="E10068" s="26" t="str">
        <f ca="1">IFERROR(__xludf.DUMMYFUNCTION("""COMPUTED_VALUE"""),"New")</f>
        <v>New</v>
      </c>
      <c r="F10068" s="72">
        <v>82</v>
      </c>
      <c r="G10068" s="72">
        <v>164618</v>
      </c>
    </row>
    <row r="10069" spans="1:7" ht="14.5">
      <c r="A10069" s="3" t="s">
        <v>9115</v>
      </c>
      <c r="B10069" s="12" t="s">
        <v>2895</v>
      </c>
      <c r="C10069" s="46" t="s">
        <v>10061</v>
      </c>
      <c r="D10069" s="41" t="str">
        <f ca="1">IFERROR(__xludf.DUMMYFUNCTION("IFERROR(ARRAYFORMULA(REGEXEXTRACT(C10069,""^(?:https?:\/\/)?(?:[^@\n]+@)?(?:www\.)?([^:\/\n]+)"")),"""")"),"apsense.com")</f>
        <v>apsense.com</v>
      </c>
      <c r="E10069" s="26" t="str">
        <f ca="1">IFERROR(__xludf.DUMMYFUNCTION("""COMPUTED_VALUE"""),"New")</f>
        <v>New</v>
      </c>
      <c r="F10069" s="72">
        <v>73</v>
      </c>
      <c r="G10069" s="72">
        <v>6241</v>
      </c>
    </row>
    <row r="10070" spans="1:7" ht="14.5">
      <c r="A10070" s="3" t="s">
        <v>9115</v>
      </c>
      <c r="B10070" s="12" t="s">
        <v>2895</v>
      </c>
      <c r="C10070" s="46" t="s">
        <v>10062</v>
      </c>
      <c r="D10070" s="41" t="str">
        <f ca="1">IFERROR(__xludf.DUMMYFUNCTION("IFERROR(ARRAYFORMULA(REGEXEXTRACT(C10070,""^(?:https?:\/\/)?(?:[^@\n]+@)?(?:www\.)?([^:\/\n]+)"")),"""")"),"creativedoor.com")</f>
        <v>creativedoor.com</v>
      </c>
      <c r="E10070" s="26" t="str">
        <f ca="1">IFERROR(__xludf.DUMMYFUNCTION("""COMPUTED_VALUE"""),"New")</f>
        <v>New</v>
      </c>
      <c r="F10070" s="72">
        <v>48</v>
      </c>
      <c r="G10070" s="72">
        <v>7438</v>
      </c>
    </row>
    <row r="10071" spans="1:7" ht="14.5">
      <c r="A10071" s="3" t="s">
        <v>9115</v>
      </c>
      <c r="B10071" s="12" t="s">
        <v>2895</v>
      </c>
      <c r="C10071" s="46" t="s">
        <v>10063</v>
      </c>
      <c r="D10071" s="41" t="str">
        <f ca="1">IFERROR(__xludf.DUMMYFUNCTION("IFERROR(ARRAYFORMULA(REGEXEXTRACT(C10071,""^(?:https?:\/\/)?(?:[^@\n]+@)?(?:www\.)?([^:\/\n]+)"")),"""")"),"provenexpert.com")</f>
        <v>provenexpert.com</v>
      </c>
      <c r="E10071" s="26" t="str">
        <f ca="1">IFERROR(__xludf.DUMMYFUNCTION("""COMPUTED_VALUE"""),"New")</f>
        <v>New</v>
      </c>
      <c r="F10071" s="72">
        <v>91</v>
      </c>
      <c r="G10071" s="72">
        <v>85283</v>
      </c>
    </row>
    <row r="10072" spans="1:7" ht="14.5">
      <c r="A10072" s="3" t="s">
        <v>9115</v>
      </c>
      <c r="B10072" s="12" t="s">
        <v>2895</v>
      </c>
      <c r="C10072" s="46" t="s">
        <v>10064</v>
      </c>
      <c r="D10072" s="41" t="str">
        <f ca="1">IFERROR(__xludf.DUMMYFUNCTION("IFERROR(ARRAYFORMULA(REGEXEXTRACT(C10072,""^(?:https?:\/\/)?(?:[^@\n]+@)?(?:www\.)?([^:\/\n]+)"")),"""")"),"careerservices.smumn.edu")</f>
        <v>careerservices.smumn.edu</v>
      </c>
      <c r="E10072" s="26" t="str">
        <f ca="1">IFERROR(__xludf.DUMMYFUNCTION("""COMPUTED_VALUE"""),"New")</f>
        <v>New</v>
      </c>
      <c r="F10072" s="72">
        <v>67</v>
      </c>
      <c r="G10072" s="72">
        <v>28874</v>
      </c>
    </row>
    <row r="10073" spans="1:7" ht="14.5">
      <c r="A10073" s="3" t="s">
        <v>9115</v>
      </c>
      <c r="B10073" s="12" t="s">
        <v>2895</v>
      </c>
      <c r="C10073" s="46" t="s">
        <v>10065</v>
      </c>
      <c r="D10073" s="41" t="str">
        <f ca="1">IFERROR(__xludf.DUMMYFUNCTION("IFERROR(ARRAYFORMULA(REGEXEXTRACT(C10073,""^(?:https?:\/\/)?(?:[^@\n]+@)?(?:www\.)?([^:\/\n]+)"")),"""")"),"up.codes")</f>
        <v>up.codes</v>
      </c>
      <c r="E10073" s="26" t="str">
        <f ca="1">IFERROR(__xludf.DUMMYFUNCTION("""COMPUTED_VALUE"""),"New")</f>
        <v>New</v>
      </c>
      <c r="F10073" s="72">
        <v>74</v>
      </c>
      <c r="G10073" s="72">
        <v>148645</v>
      </c>
    </row>
    <row r="10074" spans="1:7" ht="14.5">
      <c r="A10074" s="3" t="s">
        <v>9115</v>
      </c>
      <c r="B10074" s="12" t="s">
        <v>2895</v>
      </c>
      <c r="C10074" s="46" t="s">
        <v>10066</v>
      </c>
      <c r="D10074" s="41" t="str">
        <f ca="1">IFERROR(__xludf.DUMMYFUNCTION("IFERROR(ARRAYFORMULA(REGEXEXTRACT(C10074,""^(?:https?:\/\/)?(?:[^@\n]+@)?(?:www\.)?([^:\/\n]+)"")),"""")"),"importyeti.com")</f>
        <v>importyeti.com</v>
      </c>
      <c r="E10074" s="26" t="str">
        <f ca="1">IFERROR(__xludf.DUMMYFUNCTION("""COMPUTED_VALUE"""),"New")</f>
        <v>New</v>
      </c>
      <c r="F10074" s="72">
        <v>51</v>
      </c>
      <c r="G10074" s="72">
        <v>37955</v>
      </c>
    </row>
    <row r="10075" spans="1:7" ht="14.5">
      <c r="A10075" s="3" t="s">
        <v>9115</v>
      </c>
      <c r="B10075" s="12" t="s">
        <v>2895</v>
      </c>
      <c r="C10075" s="46" t="s">
        <v>10067</v>
      </c>
      <c r="D10075" s="41" t="str">
        <f ca="1">IFERROR(__xludf.DUMMYFUNCTION("IFERROR(ARRAYFORMULA(REGEXEXTRACT(C10075,""^(?:https?:\/\/)?(?:[^@\n]+@)?(?:www\.)?([^:\/\n]+)"")),"""")"),"careers.sdstate.edu")</f>
        <v>careers.sdstate.edu</v>
      </c>
      <c r="E10075" s="26" t="str">
        <f ca="1">IFERROR(__xludf.DUMMYFUNCTION("""COMPUTED_VALUE"""),"New")</f>
        <v>New</v>
      </c>
      <c r="F10075" s="72">
        <v>78</v>
      </c>
      <c r="G10075" s="72">
        <v>114708</v>
      </c>
    </row>
    <row r="10076" spans="1:7" ht="14.5">
      <c r="A10076" s="3" t="s">
        <v>9115</v>
      </c>
      <c r="B10076" s="12" t="s">
        <v>2895</v>
      </c>
      <c r="C10076" s="46" t="s">
        <v>10068</v>
      </c>
      <c r="D10076" s="41" t="str">
        <f ca="1">IFERROR(__xludf.DUMMYFUNCTION("IFERROR(ARRAYFORMULA(REGEXEXTRACT(C10076,""^(?:https?:\/\/)?(?:[^@\n]+@)?(?:www\.)?([^:\/\n]+)"")),"""")"),"blog.housesitmatch.com")</f>
        <v>blog.housesitmatch.com</v>
      </c>
      <c r="E10076" s="26" t="str">
        <f ca="1">IFERROR(__xludf.DUMMYFUNCTION("""COMPUTED_VALUE"""),"New")</f>
        <v>New</v>
      </c>
      <c r="F10076" s="72">
        <v>42</v>
      </c>
      <c r="G10076" s="72">
        <v>2303</v>
      </c>
    </row>
    <row r="10077" spans="1:7" ht="14.5">
      <c r="A10077" s="3" t="s">
        <v>9115</v>
      </c>
      <c r="B10077" s="12" t="s">
        <v>2895</v>
      </c>
      <c r="C10077" s="46" t="s">
        <v>10069</v>
      </c>
      <c r="D10077" s="41" t="str">
        <f ca="1">IFERROR(__xludf.DUMMYFUNCTION("IFERROR(ARRAYFORMULA(REGEXEXTRACT(C10077,""^(?:https?:\/\/)?(?:[^@\n]+@)?(?:www\.)?([^:\/\n]+)"")),"""")"),"career.alma.edu")</f>
        <v>career.alma.edu</v>
      </c>
      <c r="E10077" s="26" t="str">
        <f ca="1">IFERROR(__xludf.DUMMYFUNCTION("""COMPUTED_VALUE"""),"New")</f>
        <v>New</v>
      </c>
      <c r="F10077" s="72">
        <v>63</v>
      </c>
      <c r="G10077" s="72">
        <v>3142</v>
      </c>
    </row>
    <row r="10078" spans="1:7" ht="14.5" hidden="1">
      <c r="A10078" s="3" t="s">
        <v>9115</v>
      </c>
      <c r="B10078" s="12" t="s">
        <v>2895</v>
      </c>
      <c r="C10078" s="46" t="s">
        <v>10070</v>
      </c>
      <c r="D10078" s="41" t="str">
        <f ca="1">IFERROR(__xludf.DUMMYFUNCTION("IFERROR(ARRAYFORMULA(REGEXEXTRACT(C10078,""^(?:https?:\/\/)?(?:[^@\n]+@)?(?:www\.)?([^:\/\n]+)"")),"""")"),"tamaracamerablog.com")</f>
        <v>tamaracamerablog.com</v>
      </c>
      <c r="E10078" s="26" t="str">
        <f ca="1">IFERROR(__xludf.DUMMYFUNCTION("""COMPUTED_VALUE"""),"Already Exists")</f>
        <v>Already Exists</v>
      </c>
      <c r="F10078" s="72">
        <v>58</v>
      </c>
      <c r="G10078" s="72">
        <v>17944</v>
      </c>
    </row>
    <row r="10079" spans="1:7" ht="14.5" hidden="1">
      <c r="A10079" s="3" t="s">
        <v>9115</v>
      </c>
      <c r="B10079" s="12" t="s">
        <v>2895</v>
      </c>
      <c r="C10079" s="46" t="s">
        <v>10071</v>
      </c>
      <c r="D10079" s="41" t="str">
        <f ca="1">IFERROR(__xludf.DUMMYFUNCTION("IFERROR(ARRAYFORMULA(REGEXEXTRACT(C10079,""^(?:https?:\/\/)?(?:[^@\n]+@)?(?:www\.)?([^:\/\n]+)"")),"""")"),"flexhouse.org")</f>
        <v>flexhouse.org</v>
      </c>
      <c r="E10079" s="26" t="str">
        <f ca="1">IFERROR(__xludf.DUMMYFUNCTION("""COMPUTED_VALUE"""),"Already Exists")</f>
        <v>Already Exists</v>
      </c>
      <c r="F10079" s="72">
        <v>38</v>
      </c>
      <c r="G10079" s="72">
        <v>7520</v>
      </c>
    </row>
    <row r="10080" spans="1:7" ht="14.5">
      <c r="A10080" s="3" t="s">
        <v>9115</v>
      </c>
      <c r="B10080" s="12" t="s">
        <v>2895</v>
      </c>
      <c r="C10080" s="46" t="s">
        <v>10072</v>
      </c>
      <c r="D10080" s="41" t="str">
        <f ca="1">IFERROR(__xludf.DUMMYFUNCTION("IFERROR(ARRAYFORMULA(REGEXEXTRACT(C10080,""^(?:https?:\/\/)?(?:[^@\n]+@)?(?:www\.)?([^:\/\n]+)"")),"""")"),"can.ezilon.com")</f>
        <v>can.ezilon.com</v>
      </c>
      <c r="E10080" s="26" t="str">
        <f ca="1">IFERROR(__xludf.DUMMYFUNCTION("""COMPUTED_VALUE"""),"New")</f>
        <v>New</v>
      </c>
      <c r="F10080" s="72">
        <v>55</v>
      </c>
      <c r="G10080" s="72">
        <v>72329</v>
      </c>
    </row>
    <row r="10081" spans="1:7" ht="14.5" hidden="1">
      <c r="A10081" s="3" t="s">
        <v>9115</v>
      </c>
      <c r="B10081" s="12" t="s">
        <v>2895</v>
      </c>
      <c r="C10081" s="46" t="s">
        <v>10073</v>
      </c>
      <c r="D10081" s="41" t="str">
        <f ca="1">IFERROR(__xludf.DUMMYFUNCTION("IFERROR(ARRAYFORMULA(REGEXEXTRACT(C10081,""^(?:https?:\/\/)?(?:[^@\n]+@)?(?:www\.)?([^:\/\n]+)"")),"""")"),"breakingac.com")</f>
        <v>breakingac.com</v>
      </c>
      <c r="E10081" s="26" t="str">
        <f ca="1">IFERROR(__xludf.DUMMYFUNCTION("""COMPUTED_VALUE"""),"Already Exists")</f>
        <v>Already Exists</v>
      </c>
      <c r="F10081" s="72">
        <v>54</v>
      </c>
      <c r="G10081" s="72">
        <v>23013</v>
      </c>
    </row>
    <row r="10082" spans="1:7" ht="14.5" hidden="1">
      <c r="A10082" s="3" t="s">
        <v>9115</v>
      </c>
      <c r="B10082" s="12" t="s">
        <v>2895</v>
      </c>
      <c r="C10082" s="46" t="s">
        <v>10074</v>
      </c>
      <c r="D10082" s="41" t="str">
        <f ca="1">IFERROR(__xludf.DUMMYFUNCTION("IFERROR(ARRAYFORMULA(REGEXEXTRACT(C10082,""^(?:https?:\/\/)?(?:[^@\n]+@)?(?:www\.)?([^:\/\n]+)"")),"""")"),"enthrallinggumption.com")</f>
        <v>enthrallinggumption.com</v>
      </c>
      <c r="E10082" s="26" t="str">
        <f ca="1">IFERROR(__xludf.DUMMYFUNCTION("""COMPUTED_VALUE"""),"Already Exists")</f>
        <v>Already Exists</v>
      </c>
      <c r="F10082" s="72">
        <v>54</v>
      </c>
      <c r="G10082" s="72">
        <v>10556</v>
      </c>
    </row>
    <row r="10083" spans="1:7" ht="14.5">
      <c r="A10083" s="3" t="s">
        <v>9115</v>
      </c>
      <c r="B10083" s="12" t="s">
        <v>2895</v>
      </c>
      <c r="C10083" s="46" t="s">
        <v>10075</v>
      </c>
      <c r="D10083" s="41" t="str">
        <f ca="1">IFERROR(__xludf.DUMMYFUNCTION("IFERROR(ARRAYFORMULA(REGEXEXTRACT(C10083,""^(?:https?:\/\/)?(?:[^@\n]+@)?(?:www\.)?([^:\/\n]+)"")),"""")"),"technewstop.org")</f>
        <v>technewstop.org</v>
      </c>
      <c r="E10083" s="26" t="str">
        <f ca="1">IFERROR(__xludf.DUMMYFUNCTION("""COMPUTED_VALUE"""),"New")</f>
        <v>New</v>
      </c>
      <c r="F10083" s="72">
        <v>30</v>
      </c>
      <c r="G10083" s="72">
        <v>26853</v>
      </c>
    </row>
    <row r="10084" spans="1:7" ht="14.5">
      <c r="A10084" s="3" t="s">
        <v>9115</v>
      </c>
      <c r="B10084" s="12" t="s">
        <v>2895</v>
      </c>
      <c r="C10084" s="46" t="s">
        <v>10076</v>
      </c>
      <c r="D10084" s="41" t="str">
        <f ca="1">IFERROR(__xludf.DUMMYFUNCTION("IFERROR(ARRAYFORMULA(REGEXEXTRACT(C10084,""^(?:https?:\/\/)?(?:[^@\n]+@)?(?:www\.)?([^:\/\n]+)"")),"""")"),"career.online.ou.edu")</f>
        <v>career.online.ou.edu</v>
      </c>
      <c r="E10084" s="26" t="str">
        <f ca="1">IFERROR(__xludf.DUMMYFUNCTION("""COMPUTED_VALUE"""),"New")</f>
        <v>New</v>
      </c>
      <c r="F10084" s="72">
        <v>83</v>
      </c>
      <c r="G10084" s="72">
        <v>198167</v>
      </c>
    </row>
    <row r="10085" spans="1:7" ht="14.5" hidden="1">
      <c r="A10085" s="3" t="s">
        <v>9115</v>
      </c>
      <c r="B10085" s="12" t="s">
        <v>2895</v>
      </c>
      <c r="C10085" s="46" t="s">
        <v>10077</v>
      </c>
      <c r="D10085" s="41" t="str">
        <f ca="1">IFERROR(__xludf.DUMMYFUNCTION("IFERROR(ARRAYFORMULA(REGEXEXTRACT(C10085,""^(?:https?:\/\/)?(?:[^@\n]+@)?(?:www\.)?([^:\/\n]+)"")),"""")"),"metapress.com")</f>
        <v>metapress.com</v>
      </c>
      <c r="E10085" s="26" t="str">
        <f ca="1">IFERROR(__xludf.DUMMYFUNCTION("""COMPUTED_VALUE"""),"Already Exists")</f>
        <v>Already Exists</v>
      </c>
      <c r="F10085" s="72">
        <v>80</v>
      </c>
      <c r="G10085" s="72">
        <v>2445</v>
      </c>
    </row>
    <row r="10086" spans="1:7" ht="14.5">
      <c r="A10086" s="3" t="s">
        <v>9115</v>
      </c>
      <c r="B10086" s="12" t="s">
        <v>2895</v>
      </c>
      <c r="C10086" s="46" t="s">
        <v>10078</v>
      </c>
      <c r="D10086" s="41" t="str">
        <f ca="1">IFERROR(__xludf.DUMMYFUNCTION("IFERROR(ARRAYFORMULA(REGEXEXTRACT(C10086,""^(?:https?:\/\/)?(?:[^@\n]+@)?(?:www\.)?([^:\/\n]+)"")),"""")"),"caddetails.com")</f>
        <v>caddetails.com</v>
      </c>
      <c r="E10086" s="26" t="str">
        <f ca="1">IFERROR(__xludf.DUMMYFUNCTION("""COMPUTED_VALUE"""),"New")</f>
        <v>New</v>
      </c>
      <c r="F10086" s="72">
        <v>75</v>
      </c>
      <c r="G10086" s="72">
        <v>10579</v>
      </c>
    </row>
    <row r="10087" spans="1:7" ht="14.5">
      <c r="A10087" s="3" t="s">
        <v>9115</v>
      </c>
      <c r="B10087" s="12" t="s">
        <v>2895</v>
      </c>
      <c r="C10087" s="46" t="s">
        <v>10079</v>
      </c>
      <c r="D10087" s="41" t="str">
        <f ca="1">IFERROR(__xludf.DUMMYFUNCTION("IFERROR(ARRAYFORMULA(REGEXEXTRACT(C10087,""^(?:https?:\/\/)?(?:[^@\n]+@)?(?:www\.)?([^:\/\n]+)"")),"""")"),"gadukafarmonicsb1.firebaseapp.com")</f>
        <v>gadukafarmonicsb1.firebaseapp.com</v>
      </c>
      <c r="E10087" s="26" t="str">
        <f ca="1">IFERROR(__xludf.DUMMYFUNCTION("""COMPUTED_VALUE"""),"New")</f>
        <v>New</v>
      </c>
      <c r="F10087" s="72">
        <v>87</v>
      </c>
      <c r="G10087" s="72">
        <v>68985</v>
      </c>
    </row>
    <row r="10088" spans="1:7" ht="14.5">
      <c r="A10088" s="3" t="s">
        <v>9115</v>
      </c>
      <c r="B10088" s="12" t="s">
        <v>2895</v>
      </c>
      <c r="C10088" s="46" t="s">
        <v>10080</v>
      </c>
      <c r="D10088" s="41" t="str">
        <f ca="1">IFERROR(__xludf.DUMMYFUNCTION("IFERROR(ARRAYFORMULA(REGEXEXTRACT(C10088,""^(?:https?:\/\/)?(?:[^@\n]+@)?(?:www\.)?([^:\/\n]+)"")),"""")"),"wiza.co")</f>
        <v>wiza.co</v>
      </c>
      <c r="E10088" s="26" t="str">
        <f ca="1">IFERROR(__xludf.DUMMYFUNCTION("""COMPUTED_VALUE"""),"New")</f>
        <v>New</v>
      </c>
      <c r="F10088" s="72">
        <v>70</v>
      </c>
      <c r="G10088" s="72">
        <v>23935</v>
      </c>
    </row>
    <row r="10089" spans="1:7" ht="14.5">
      <c r="A10089" s="3" t="s">
        <v>9115</v>
      </c>
      <c r="B10089" s="12" t="s">
        <v>2895</v>
      </c>
      <c r="C10089" s="46" t="s">
        <v>10081</v>
      </c>
      <c r="D10089" s="41" t="str">
        <f ca="1">IFERROR(__xludf.DUMMYFUNCTION("IFERROR(ARRAYFORMULA(REGEXEXTRACT(C10089,""^(?:https?:\/\/)?(?:[^@\n]+@)?(?:www\.)?([^:\/\n]+)"")),"""")"),"internship.odu.edu")</f>
        <v>internship.odu.edu</v>
      </c>
      <c r="E10089" s="26" t="str">
        <f ca="1">IFERROR(__xludf.DUMMYFUNCTION("""COMPUTED_VALUE"""),"New")</f>
        <v>New</v>
      </c>
      <c r="F10089" s="72">
        <v>80</v>
      </c>
      <c r="G10089" s="72">
        <v>160770</v>
      </c>
    </row>
    <row r="10090" spans="1:7" ht="14.5" hidden="1">
      <c r="A10090" s="3" t="s">
        <v>9115</v>
      </c>
      <c r="B10090" s="12" t="s">
        <v>2895</v>
      </c>
      <c r="C10090" s="46" t="s">
        <v>10082</v>
      </c>
      <c r="D10090" s="41" t="str">
        <f ca="1">IFERROR(__xludf.DUMMYFUNCTION("IFERROR(ARRAYFORMULA(REGEXEXTRACT(C10090,""^(?:https?:\/\/)?(?:[^@\n]+@)?(?:www\.)?([^:\/\n]+)"")),"""")"),"lovechicliving.co.uk")</f>
        <v>lovechicliving.co.uk</v>
      </c>
      <c r="E10090" s="26" t="str">
        <f ca="1">IFERROR(__xludf.DUMMYFUNCTION("""COMPUTED_VALUE"""),"Already Exists")</f>
        <v>Already Exists</v>
      </c>
      <c r="F10090" s="72">
        <v>46</v>
      </c>
      <c r="G10090" s="72">
        <v>17895</v>
      </c>
    </row>
    <row r="10091" spans="1:7" ht="14.5">
      <c r="A10091" s="3" t="s">
        <v>9115</v>
      </c>
      <c r="B10091" s="17" t="s">
        <v>2899</v>
      </c>
      <c r="C10091" s="46" t="s">
        <v>10083</v>
      </c>
      <c r="D10091" s="41" t="str">
        <f ca="1">IFERROR(__xludf.DUMMYFUNCTION("IFERROR(ARRAYFORMULA(REGEXEXTRACT(C10091,""^(?:https?:\/\/)?(?:[^@\n]+@)?(?:www\.)?([^:\/\n]+)"")),"""")"),"housekeep.com")</f>
        <v>housekeep.com</v>
      </c>
      <c r="E10091" s="26" t="str">
        <f ca="1">IFERROR(__xludf.DUMMYFUNCTION("""COMPUTED_VALUE"""),"New")</f>
        <v>New</v>
      </c>
      <c r="F10091" s="72">
        <v>50</v>
      </c>
      <c r="G10091" s="72">
        <v>54303</v>
      </c>
    </row>
    <row r="10092" spans="1:7" ht="14.5">
      <c r="A10092" s="3" t="s">
        <v>9115</v>
      </c>
      <c r="B10092" s="12" t="s">
        <v>2899</v>
      </c>
      <c r="C10092" s="46" t="s">
        <v>10084</v>
      </c>
      <c r="D10092" s="41" t="str">
        <f ca="1">IFERROR(__xludf.DUMMYFUNCTION("IFERROR(ARRAYFORMULA(REGEXEXTRACT(C10092,""^(?:https?:\/\/)?(?:[^@\n]+@)?(?:www\.)?([^:\/\n]+)"")),"""")"),"yorkshire.com")</f>
        <v>yorkshire.com</v>
      </c>
      <c r="E10092" s="26" t="str">
        <f ca="1">IFERROR(__xludf.DUMMYFUNCTION("""COMPUTED_VALUE"""),"New")</f>
        <v>New</v>
      </c>
      <c r="F10092" s="72">
        <v>74</v>
      </c>
      <c r="G10092" s="72">
        <v>228938</v>
      </c>
    </row>
    <row r="10093" spans="1:7" ht="14.5">
      <c r="A10093" s="3" t="s">
        <v>9115</v>
      </c>
      <c r="B10093" s="12" t="s">
        <v>2899</v>
      </c>
      <c r="C10093" s="46" t="s">
        <v>10085</v>
      </c>
      <c r="D10093" s="41" t="str">
        <f ca="1">IFERROR(__xludf.DUMMYFUNCTION("IFERROR(ARRAYFORMULA(REGEXEXTRACT(C10093,""^(?:https?:\/\/)?(?:[^@\n]+@)?(?:www\.)?([^:\/\n]+)"")),"""")"),"expertreviews.co.uk")</f>
        <v>expertreviews.co.uk</v>
      </c>
      <c r="E10093" s="26" t="str">
        <f ca="1">IFERROR(__xludf.DUMMYFUNCTION("""COMPUTED_VALUE"""),"New")</f>
        <v>New</v>
      </c>
      <c r="F10093" s="72">
        <v>74</v>
      </c>
      <c r="G10093" s="72">
        <v>274333</v>
      </c>
    </row>
    <row r="10094" spans="1:7" ht="14.5">
      <c r="A10094" s="3" t="s">
        <v>9115</v>
      </c>
      <c r="B10094" s="12" t="s">
        <v>2899</v>
      </c>
      <c r="C10094" s="46" t="s">
        <v>10086</v>
      </c>
      <c r="D10094" s="41" t="str">
        <f ca="1">IFERROR(__xludf.DUMMYFUNCTION("IFERROR(ARRAYFORMULA(REGEXEXTRACT(C10094,""^(?:https?:\/\/)?(?:[^@\n]+@)?(?:www\.)?([^:\/\n]+)"")),"""")"),"tradepriced.co.uk")</f>
        <v>tradepriced.co.uk</v>
      </c>
      <c r="E10094" s="26" t="str">
        <f ca="1">IFERROR(__xludf.DUMMYFUNCTION("""COMPUTED_VALUE"""),"New")</f>
        <v>New</v>
      </c>
      <c r="F10094" s="72">
        <v>24</v>
      </c>
      <c r="G10094" s="72">
        <v>5959</v>
      </c>
    </row>
    <row r="10095" spans="1:7" ht="14.5">
      <c r="A10095" s="3" t="s">
        <v>9115</v>
      </c>
      <c r="B10095" s="12" t="s">
        <v>2899</v>
      </c>
      <c r="C10095" s="46" t="s">
        <v>10087</v>
      </c>
      <c r="D10095" s="41" t="str">
        <f ca="1">IFERROR(__xludf.DUMMYFUNCTION("IFERROR(ARRAYFORMULA(REGEXEXTRACT(C10095,""^(?:https?:\/\/)?(?:[^@\n]+@)?(?:www\.)?([^:\/\n]+)"")),"""")"),"healthstaffdiscounts.co.uk")</f>
        <v>healthstaffdiscounts.co.uk</v>
      </c>
      <c r="E10095" s="26" t="str">
        <f ca="1">IFERROR(__xludf.DUMMYFUNCTION("""COMPUTED_VALUE"""),"New")</f>
        <v>New</v>
      </c>
      <c r="F10095" s="72">
        <v>73</v>
      </c>
      <c r="G10095" s="72">
        <v>1998</v>
      </c>
    </row>
    <row r="10096" spans="1:7" ht="14.5">
      <c r="A10096" s="3" t="s">
        <v>9115</v>
      </c>
      <c r="B10096" s="12" t="s">
        <v>2899</v>
      </c>
      <c r="C10096" s="46" t="s">
        <v>10088</v>
      </c>
      <c r="D10096" s="41" t="str">
        <f ca="1">IFERROR(__xludf.DUMMYFUNCTION("IFERROR(ARRAYFORMULA(REGEXEXTRACT(C10096,""^(?:https?:\/\/)?(?:[^@\n]+@)?(?:www\.)?([^:\/\n]+)"")),"""")"),"insightdiy.co.uk")</f>
        <v>insightdiy.co.uk</v>
      </c>
      <c r="E10096" s="26" t="str">
        <f ca="1">IFERROR(__xludf.DUMMYFUNCTION("""COMPUTED_VALUE"""),"New")</f>
        <v>New</v>
      </c>
      <c r="F10096" s="72">
        <v>55</v>
      </c>
      <c r="G10096" s="72">
        <v>4959</v>
      </c>
    </row>
    <row r="10097" spans="1:7" ht="14.5">
      <c r="A10097" s="3" t="s">
        <v>9115</v>
      </c>
      <c r="B10097" s="12" t="s">
        <v>2899</v>
      </c>
      <c r="C10097" s="46" t="s">
        <v>10089</v>
      </c>
      <c r="D10097" s="41" t="str">
        <f ca="1">IFERROR(__xludf.DUMMYFUNCTION("IFERROR(ARRAYFORMULA(REGEXEXTRACT(C10097,""^(?:https?:\/\/)?(?:[^@\n]+@)?(?:www\.)?([^:\/\n]+)"")),"""")"),"cv-library.co.uk")</f>
        <v>cv-library.co.uk</v>
      </c>
      <c r="E10097" s="26" t="str">
        <f ca="1">IFERROR(__xludf.DUMMYFUNCTION("""COMPUTED_VALUE"""),"New")</f>
        <v>New</v>
      </c>
      <c r="F10097" s="72">
        <v>76</v>
      </c>
      <c r="G10097" s="72">
        <v>176516</v>
      </c>
    </row>
    <row r="10098" spans="1:7" ht="14.5">
      <c r="A10098" s="3" t="s">
        <v>9115</v>
      </c>
      <c r="B10098" s="12" t="s">
        <v>2899</v>
      </c>
      <c r="C10098" s="46" t="s">
        <v>10090</v>
      </c>
      <c r="D10098" s="41" t="str">
        <f ca="1">IFERROR(__xludf.DUMMYFUNCTION("IFERROR(ARRAYFORMULA(REGEXEXTRACT(C10098,""^(?:https?:\/\/)?(?:[^@\n]+@)?(?:www\.)?([^:\/\n]+)"")),"""")"),"ncca.co.uk")</f>
        <v>ncca.co.uk</v>
      </c>
      <c r="E10098" s="26" t="str">
        <f ca="1">IFERROR(__xludf.DUMMYFUNCTION("""COMPUTED_VALUE"""),"New")</f>
        <v>New</v>
      </c>
      <c r="F10098" s="72">
        <v>70</v>
      </c>
      <c r="G10098" s="72">
        <v>5094</v>
      </c>
    </row>
    <row r="10099" spans="1:7" ht="14.5" hidden="1">
      <c r="A10099" s="3" t="s">
        <v>9115</v>
      </c>
      <c r="B10099" s="12" t="s">
        <v>2899</v>
      </c>
      <c r="C10099" s="46" t="s">
        <v>10091</v>
      </c>
      <c r="D10099" s="41" t="str">
        <f ca="1">IFERROR(__xludf.DUMMYFUNCTION("IFERROR(ARRAYFORMULA(REGEXEXTRACT(C10099,""^(?:https?:\/\/)?(?:[^@\n]+@)?(?:www\.)?([^:\/\n]+)"")),"""")"),"padmagazine.co.uk")</f>
        <v>padmagazine.co.uk</v>
      </c>
      <c r="E10099" s="26" t="str">
        <f ca="1">IFERROR(__xludf.DUMMYFUNCTION("""COMPUTED_VALUE"""),"Already Exists")</f>
        <v>Already Exists</v>
      </c>
      <c r="F10099" s="72">
        <v>32</v>
      </c>
      <c r="G10099" s="72">
        <v>2025</v>
      </c>
    </row>
    <row r="10100" spans="1:7" ht="14.5">
      <c r="A10100" s="3" t="s">
        <v>9115</v>
      </c>
      <c r="B10100" s="12" t="s">
        <v>2899</v>
      </c>
      <c r="C10100" s="46" t="s">
        <v>10092</v>
      </c>
      <c r="D10100" s="41" t="str">
        <f ca="1">IFERROR(__xludf.DUMMYFUNCTION("IFERROR(ARRAYFORMULA(REGEXEXTRACT(C10100,""^(?:https?:\/\/)?(?:[^@\n]+@)?(?:www\.)?([^:\/\n]+)"")),"""")"),"blog.catalink.com")</f>
        <v>blog.catalink.com</v>
      </c>
      <c r="E10100" s="26" t="str">
        <f ca="1">IFERROR(__xludf.DUMMYFUNCTION("""COMPUTED_VALUE"""),"New")</f>
        <v>New</v>
      </c>
      <c r="F10100" s="72">
        <v>33</v>
      </c>
      <c r="G10100" s="72">
        <v>2589</v>
      </c>
    </row>
    <row r="10101" spans="1:7" ht="14.5">
      <c r="A10101" s="3" t="s">
        <v>9115</v>
      </c>
      <c r="B10101" s="12" t="s">
        <v>2899</v>
      </c>
      <c r="C10101" s="46" t="s">
        <v>10093</v>
      </c>
      <c r="D10101" s="41" t="str">
        <f ca="1">IFERROR(__xludf.DUMMYFUNCTION("IFERROR(ARRAYFORMULA(REGEXEXTRACT(C10101,""^(?:https?:\/\/)?(?:[^@\n]+@)?(?:www\.)?([^:\/\n]+)"")),"""")"),"threebestrated.co.uk")</f>
        <v>threebestrated.co.uk</v>
      </c>
      <c r="E10101" s="26" t="str">
        <f ca="1">IFERROR(__xludf.DUMMYFUNCTION("""COMPUTED_VALUE"""),"New")</f>
        <v>New</v>
      </c>
      <c r="F10101" s="72">
        <v>80</v>
      </c>
      <c r="G10101" s="72">
        <v>3085</v>
      </c>
    </row>
    <row r="10102" spans="1:7" ht="14.5">
      <c r="A10102" s="3" t="s">
        <v>9115</v>
      </c>
      <c r="B10102" s="12" t="s">
        <v>2899</v>
      </c>
      <c r="C10102" s="46" t="s">
        <v>10094</v>
      </c>
      <c r="D10102" s="41" t="str">
        <f ca="1">IFERROR(__xludf.DUMMYFUNCTION("IFERROR(ARRAYFORMULA(REGEXEXTRACT(C10102,""^(?:https?:\/\/)?(?:[^@\n]+@)?(?:www\.)?([^:\/\n]+)"")),"""")"),"nottingham.co.uk")</f>
        <v>nottingham.co.uk</v>
      </c>
      <c r="E10102" s="26" t="str">
        <f ca="1">IFERROR(__xludf.DUMMYFUNCTION("""COMPUTED_VALUE"""),"New")</f>
        <v>New</v>
      </c>
      <c r="F10102" s="72">
        <v>50</v>
      </c>
      <c r="G10102" s="72">
        <v>1606</v>
      </c>
    </row>
    <row r="10103" spans="1:7" ht="14.5" hidden="1">
      <c r="A10103" s="3" t="s">
        <v>9115</v>
      </c>
      <c r="B10103" s="12" t="s">
        <v>2899</v>
      </c>
      <c r="C10103" s="46" t="s">
        <v>10095</v>
      </c>
      <c r="D10103" s="41" t="str">
        <f ca="1">IFERROR(__xludf.DUMMYFUNCTION("IFERROR(ARRAYFORMULA(REGEXEXTRACT(C10103,""^(?:https?:\/\/)?(?:[^@\n]+@)?(?:www\.)?([^:\/\n]+)"")),"""")"),"europeanbusinessreview.com")</f>
        <v>europeanbusinessreview.com</v>
      </c>
      <c r="E10103" s="26" t="str">
        <f ca="1">IFERROR(__xludf.DUMMYFUNCTION("""COMPUTED_VALUE"""),"Already Exists")</f>
        <v>Already Exists</v>
      </c>
      <c r="F10103" s="72">
        <v>76</v>
      </c>
      <c r="G10103" s="72">
        <v>7365</v>
      </c>
    </row>
    <row r="10104" spans="1:7" ht="14.5">
      <c r="A10104" s="3" t="s">
        <v>9115</v>
      </c>
      <c r="B10104" s="12" t="s">
        <v>2899</v>
      </c>
      <c r="C10104" s="46" t="s">
        <v>10096</v>
      </c>
      <c r="D10104" s="41" t="str">
        <f ca="1">IFERROR(__xludf.DUMMYFUNCTION("IFERROR(ARRAYFORMULA(REGEXEXTRACT(C10104,""^(?:https?:\/\/)?(?:[^@\n]+@)?(?:www\.)?([^:\/\n]+)"")),"""")"),"openingtimesin.uk")</f>
        <v>openingtimesin.uk</v>
      </c>
      <c r="E10104" s="26" t="str">
        <f ca="1">IFERROR(__xludf.DUMMYFUNCTION("""COMPUTED_VALUE"""),"New")</f>
        <v>New</v>
      </c>
      <c r="F10104" s="72">
        <v>28</v>
      </c>
      <c r="G10104" s="72">
        <v>14396</v>
      </c>
    </row>
    <row r="10105" spans="1:7" ht="14.5">
      <c r="A10105" s="3" t="s">
        <v>9115</v>
      </c>
      <c r="B10105" s="12" t="s">
        <v>2899</v>
      </c>
      <c r="C10105" s="46" t="s">
        <v>10097</v>
      </c>
      <c r="D10105" s="41" t="str">
        <f ca="1">IFERROR(__xludf.DUMMYFUNCTION("IFERROR(ARRAYFORMULA(REGEXEXTRACT(C10105,""^(?:https?:\/\/)?(?:[^@\n]+@)?(?:www\.)?([^:\/\n]+)"")),"""")"),"thomsonlocal.com")</f>
        <v>thomsonlocal.com</v>
      </c>
      <c r="E10105" s="26" t="str">
        <f ca="1">IFERROR(__xludf.DUMMYFUNCTION("""COMPUTED_VALUE"""),"New")</f>
        <v>New</v>
      </c>
      <c r="F10105" s="72">
        <v>74</v>
      </c>
      <c r="G10105" s="72">
        <v>36320</v>
      </c>
    </row>
    <row r="10106" spans="1:7" ht="14.5">
      <c r="A10106" s="3" t="s">
        <v>9115</v>
      </c>
      <c r="B10106" s="12" t="s">
        <v>2899</v>
      </c>
      <c r="C10106" s="46" t="s">
        <v>10098</v>
      </c>
      <c r="D10106" s="41" t="str">
        <f ca="1">IFERROR(__xludf.DUMMYFUNCTION("IFERROR(ARRAYFORMULA(REGEXEXTRACT(C10106,""^(?:https?:\/\/)?(?:[^@\n]+@)?(?:www\.)?([^:\/\n]+)"")),"""")"),"the-shops.co.uk")</f>
        <v>the-shops.co.uk</v>
      </c>
      <c r="E10106" s="26" t="str">
        <f ca="1">IFERROR(__xludf.DUMMYFUNCTION("""COMPUTED_VALUE"""),"New")</f>
        <v>New</v>
      </c>
      <c r="F10106" s="72">
        <v>41</v>
      </c>
      <c r="G10106" s="72">
        <v>3008</v>
      </c>
    </row>
    <row r="10107" spans="1:7" ht="14.5" hidden="1">
      <c r="A10107" s="3" t="s">
        <v>9115</v>
      </c>
      <c r="B10107" s="12" t="s">
        <v>2899</v>
      </c>
      <c r="C10107" s="46" t="s">
        <v>9122</v>
      </c>
      <c r="D10107" s="41" t="str">
        <f ca="1">IFERROR(__xludf.DUMMYFUNCTION("IFERROR(ARRAYFORMULA(REGEXEXTRACT(C10107,""^(?:https?:\/\/)?(?:[^@\n]+@)?(?:www\.)?([^:\/\n]+)"")),"""")"),"myinteriorpalace.com")</f>
        <v>myinteriorpalace.com</v>
      </c>
      <c r="E10107" s="26" t="str">
        <f ca="1">IFERROR(__xludf.DUMMYFUNCTION("""COMPUTED_VALUE"""),"Already Exists")</f>
        <v>Already Exists</v>
      </c>
      <c r="F10107" s="72">
        <v>61</v>
      </c>
      <c r="G10107" s="72">
        <v>1983</v>
      </c>
    </row>
    <row r="10108" spans="1:7" ht="14.5">
      <c r="A10108" s="3" t="s">
        <v>9115</v>
      </c>
      <c r="B10108" s="12" t="s">
        <v>2899</v>
      </c>
      <c r="C10108" s="46" t="s">
        <v>10099</v>
      </c>
      <c r="D10108" s="41" t="str">
        <f ca="1">IFERROR(__xludf.DUMMYFUNCTION("IFERROR(ARRAYFORMULA(REGEXEXTRACT(C10108,""^(?:https?:\/\/)?(?:[^@\n]+@)?(?:www\.)?([^:\/\n]+)"")),"""")"),"jacksonwoodturners.co.uk")</f>
        <v>jacksonwoodturners.co.uk</v>
      </c>
      <c r="E10108" s="26" t="str">
        <f ca="1">IFERROR(__xludf.DUMMYFUNCTION("""COMPUTED_VALUE"""),"New")</f>
        <v>New</v>
      </c>
      <c r="F10108" s="72">
        <v>22</v>
      </c>
      <c r="G10108" s="72">
        <v>32423</v>
      </c>
    </row>
    <row r="10109" spans="1:7" ht="14.5">
      <c r="A10109" s="3" t="s">
        <v>9115</v>
      </c>
      <c r="B10109" s="12" t="s">
        <v>2899</v>
      </c>
      <c r="C10109" s="46" t="s">
        <v>10100</v>
      </c>
      <c r="D10109" s="41" t="str">
        <f ca="1">IFERROR(__xludf.DUMMYFUNCTION("IFERROR(ARRAYFORMULA(REGEXEXTRACT(C10109,""^(?:https?:\/\/)?(?:[^@\n]+@)?(?:www\.)?([^:\/\n]+)"")),"""")"),"limely.co.uk")</f>
        <v>limely.co.uk</v>
      </c>
      <c r="E10109" s="26" t="str">
        <f ca="1">IFERROR(__xludf.DUMMYFUNCTION("""COMPUTED_VALUE"""),"New")</f>
        <v>New</v>
      </c>
      <c r="F10109" s="72">
        <v>49</v>
      </c>
      <c r="G10109" s="72">
        <v>1673</v>
      </c>
    </row>
    <row r="10110" spans="1:7" ht="14.5">
      <c r="A10110" s="3" t="s">
        <v>9115</v>
      </c>
      <c r="B10110" s="12" t="s">
        <v>2899</v>
      </c>
      <c r="C10110" s="46" t="s">
        <v>10101</v>
      </c>
      <c r="D10110" s="41" t="str">
        <f ca="1">IFERROR(__xludf.DUMMYFUNCTION("IFERROR(ARRAYFORMULA(REGEXEXTRACT(C10110,""^(?:https?:\/\/)?(?:[^@\n]+@)?(?:www\.)?([^:\/\n]+)"")),"""")"),"marketing-beat.co.uk")</f>
        <v>marketing-beat.co.uk</v>
      </c>
      <c r="E10110" s="26" t="str">
        <f ca="1">IFERROR(__xludf.DUMMYFUNCTION("""COMPUTED_VALUE"""),"New")</f>
        <v>New</v>
      </c>
      <c r="F10110" s="72">
        <v>68</v>
      </c>
      <c r="G10110" s="72">
        <v>1188</v>
      </c>
    </row>
    <row r="10111" spans="1:7" ht="14.5">
      <c r="A10111" s="3" t="s">
        <v>9115</v>
      </c>
      <c r="B10111" s="12" t="s">
        <v>2899</v>
      </c>
      <c r="C10111" s="46" t="s">
        <v>10102</v>
      </c>
      <c r="D10111" s="41" t="str">
        <f ca="1">IFERROR(__xludf.DUMMYFUNCTION("IFERROR(ARRAYFORMULA(REGEXEXTRACT(C10111,""^(?:https?:\/\/)?(?:[^@\n]+@)?(?:www\.)?([^:\/\n]+)"")),"""")"),"greaterbirminghamchambers.com")</f>
        <v>greaterbirminghamchambers.com</v>
      </c>
      <c r="E10111" s="26" t="str">
        <f ca="1">IFERROR(__xludf.DUMMYFUNCTION("""COMPUTED_VALUE"""),"New")</f>
        <v>New</v>
      </c>
      <c r="F10111" s="72">
        <v>66</v>
      </c>
      <c r="G10111" s="72">
        <v>2647</v>
      </c>
    </row>
    <row r="10112" spans="1:7" ht="14.5">
      <c r="A10112" s="3" t="s">
        <v>9115</v>
      </c>
      <c r="B10112" s="12" t="s">
        <v>2899</v>
      </c>
      <c r="C10112" s="46" t="s">
        <v>10103</v>
      </c>
      <c r="D10112" s="41" t="str">
        <f ca="1">IFERROR(__xludf.DUMMYFUNCTION("IFERROR(ARRAYFORMULA(REGEXEXTRACT(C10112,""^(?:https?:\/\/)?(?:[^@\n]+@)?(?:www\.)?([^:\/\n]+)"")),"""")"),"cardiff.co.uk")</f>
        <v>cardiff.co.uk</v>
      </c>
      <c r="E10112" s="26" t="str">
        <f ca="1">IFERROR(__xludf.DUMMYFUNCTION("""COMPUTED_VALUE"""),"New")</f>
        <v>New</v>
      </c>
      <c r="F10112" s="72">
        <v>44</v>
      </c>
      <c r="G10112" s="72">
        <v>1084</v>
      </c>
    </row>
    <row r="10113" spans="1:7" ht="14.5" hidden="1">
      <c r="A10113" s="3" t="s">
        <v>9115</v>
      </c>
      <c r="B10113" s="12" t="s">
        <v>2899</v>
      </c>
      <c r="C10113" s="46" t="s">
        <v>10104</v>
      </c>
      <c r="D10113" s="41" t="str">
        <f ca="1">IFERROR(__xludf.DUMMYFUNCTION("IFERROR(ARRAYFORMULA(REGEXEXTRACT(C10113,""^(?:https?:\/\/)?(?:[^@\n]+@)?(?:www\.)?([^:\/\n]+)"")),"""")"),"shemightbeloved.com")</f>
        <v>shemightbeloved.com</v>
      </c>
      <c r="E10113" s="26" t="str">
        <f ca="1">IFERROR(__xludf.DUMMYFUNCTION("""COMPUTED_VALUE"""),"Already Exists")</f>
        <v>Already Exists</v>
      </c>
      <c r="F10113" s="72">
        <v>28</v>
      </c>
      <c r="G10113" s="72">
        <v>4178</v>
      </c>
    </row>
    <row r="10114" spans="1:7" ht="14.5">
      <c r="A10114" s="3" t="s">
        <v>9115</v>
      </c>
      <c r="B10114" s="12" t="s">
        <v>2899</v>
      </c>
      <c r="C10114" s="46" t="s">
        <v>10105</v>
      </c>
      <c r="D10114" s="41" t="str">
        <f ca="1">IFERROR(__xludf.DUMMYFUNCTION("IFERROR(ARRAYFORMULA(REGEXEXTRACT(C10114,""^(?:https?:\/\/)?(?:[^@\n]+@)?(?:www\.)?([^:\/\n]+)"")),"""")"),"crewe.nub.news")</f>
        <v>crewe.nub.news</v>
      </c>
      <c r="E10114" s="26" t="str">
        <f ca="1">IFERROR(__xludf.DUMMYFUNCTION("""COMPUTED_VALUE"""),"New")</f>
        <v>New</v>
      </c>
      <c r="F10114" s="72">
        <v>66</v>
      </c>
      <c r="G10114" s="72">
        <v>33736</v>
      </c>
    </row>
    <row r="10115" spans="1:7" ht="14.5">
      <c r="A10115" s="3" t="s">
        <v>9115</v>
      </c>
      <c r="B10115" s="12" t="s">
        <v>2899</v>
      </c>
      <c r="C10115" s="46" t="s">
        <v>10106</v>
      </c>
      <c r="D10115" s="41" t="str">
        <f ca="1">IFERROR(__xludf.DUMMYFUNCTION("IFERROR(ARRAYFORMULA(REGEXEXTRACT(C10115,""^(?:https?:\/\/)?(?:[^@\n]+@)?(?:www\.)?([^:\/\n]+)"")),"""")"),"carolineondesign.com")</f>
        <v>carolineondesign.com</v>
      </c>
      <c r="E10115" s="26" t="str">
        <f ca="1">IFERROR(__xludf.DUMMYFUNCTION("""COMPUTED_VALUE"""),"New")</f>
        <v>New</v>
      </c>
      <c r="F10115" s="72">
        <v>36</v>
      </c>
      <c r="G10115" s="72">
        <v>4826</v>
      </c>
    </row>
    <row r="10116" spans="1:7" ht="14.5">
      <c r="A10116" s="3" t="s">
        <v>9115</v>
      </c>
      <c r="B10116" s="12" t="s">
        <v>2899</v>
      </c>
      <c r="C10116" s="46" t="s">
        <v>10107</v>
      </c>
      <c r="D10116" s="41" t="str">
        <f ca="1">IFERROR(__xludf.DUMMYFUNCTION("IFERROR(ARRAYFORMULA(REGEXEXTRACT(C10116,""^(?:https?:\/\/)?(?:[^@\n]+@)?(?:www\.)?([^:\/\n]+)"")),"""")"),"craft.co")</f>
        <v>craft.co</v>
      </c>
      <c r="E10116" s="26" t="str">
        <f ca="1">IFERROR(__xludf.DUMMYFUNCTION("""COMPUTED_VALUE"""),"New")</f>
        <v>New</v>
      </c>
      <c r="F10116" s="72">
        <v>72</v>
      </c>
      <c r="G10116" s="72">
        <v>29277</v>
      </c>
    </row>
    <row r="10117" spans="1:7" ht="14.5" hidden="1">
      <c r="A10117" s="3" t="s">
        <v>9115</v>
      </c>
      <c r="B10117" s="12" t="s">
        <v>2899</v>
      </c>
      <c r="C10117" s="46" t="s">
        <v>10108</v>
      </c>
      <c r="D10117" s="41" t="str">
        <f ca="1">IFERROR(__xludf.DUMMYFUNCTION("IFERROR(ARRAYFORMULA(REGEXEXTRACT(C10117,""^(?:https?:\/\/)?(?:[^@\n]+@)?(?:www\.)?([^:\/\n]+)"")),"""")"),"amazingarchitecture.com")</f>
        <v>amazingarchitecture.com</v>
      </c>
      <c r="E10117" s="26" t="str">
        <f ca="1">IFERROR(__xludf.DUMMYFUNCTION("""COMPUTED_VALUE"""),"Already Exists")</f>
        <v>Already Exists</v>
      </c>
      <c r="F10117" s="72">
        <v>71</v>
      </c>
      <c r="G10117" s="72">
        <v>4167</v>
      </c>
    </row>
    <row r="10118" spans="1:7" ht="14.5">
      <c r="A10118" s="3" t="s">
        <v>9115</v>
      </c>
      <c r="B10118" s="12" t="s">
        <v>2899</v>
      </c>
      <c r="C10118" s="46" t="s">
        <v>10109</v>
      </c>
      <c r="D10118" s="41" t="str">
        <f ca="1">IFERROR(__xludf.DUMMYFUNCTION("IFERROR(ARRAYFORMULA(REGEXEXTRACT(C10118,""^(?:https?:\/\/)?(?:[^@\n]+@)?(?:www\.)?([^:\/\n]+)"")),"""")"),"blogbuz.co.uk")</f>
        <v>blogbuz.co.uk</v>
      </c>
      <c r="E10118" s="26" t="str">
        <f ca="1">IFERROR(__xludf.DUMMYFUNCTION("""COMPUTED_VALUE"""),"New")</f>
        <v>New</v>
      </c>
      <c r="F10118" s="72">
        <v>56</v>
      </c>
      <c r="G10118" s="72">
        <v>8870</v>
      </c>
    </row>
    <row r="10119" spans="1:7" ht="14.5" hidden="1">
      <c r="A10119" s="3" t="s">
        <v>9115</v>
      </c>
      <c r="B10119" s="12" t="s">
        <v>2899</v>
      </c>
      <c r="C10119" s="46" t="s">
        <v>10110</v>
      </c>
      <c r="D10119" s="41" t="str">
        <f ca="1">IFERROR(__xludf.DUMMYFUNCTION("IFERROR(ARRAYFORMULA(REGEXEXTRACT(C10119,""^(?:https?:\/\/)?(?:[^@\n]+@)?(?:www\.)?([^:\/\n]+)"")),"""")"),"inspiredhomes.uk.com")</f>
        <v>inspiredhomes.uk.com</v>
      </c>
      <c r="E10119" s="26" t="str">
        <f ca="1">IFERROR(__xludf.DUMMYFUNCTION("""COMPUTED_VALUE"""),"Already Exists")</f>
        <v>Already Exists</v>
      </c>
      <c r="F10119" s="72">
        <v>92</v>
      </c>
      <c r="G10119" s="72">
        <v>18551938</v>
      </c>
    </row>
    <row r="10120" spans="1:7" ht="14.5">
      <c r="A10120" s="3" t="s">
        <v>9115</v>
      </c>
      <c r="B10120" s="12" t="s">
        <v>2899</v>
      </c>
      <c r="C10120" s="46" t="s">
        <v>10111</v>
      </c>
      <c r="D10120" s="41" t="str">
        <f ca="1">IFERROR(__xludf.DUMMYFUNCTION("IFERROR(ARRAYFORMULA(REGEXEXTRACT(C10120,""^(?:https?:\/\/)?(?:[^@\n]+@)?(?:www\.)?([^:\/\n]+)"")),"""")"),"inthewash.co.uk")</f>
        <v>inthewash.co.uk</v>
      </c>
      <c r="E10120" s="26" t="str">
        <f ca="1">IFERROR(__xludf.DUMMYFUNCTION("""COMPUTED_VALUE"""),"New")</f>
        <v>New</v>
      </c>
      <c r="F10120" s="72">
        <v>44</v>
      </c>
      <c r="G10120" s="72">
        <v>1456</v>
      </c>
    </row>
    <row r="10121" spans="1:7" ht="14.5">
      <c r="A10121" s="3" t="s">
        <v>9115</v>
      </c>
      <c r="B10121" s="12" t="s">
        <v>2899</v>
      </c>
      <c r="C10121" s="46" t="s">
        <v>10112</v>
      </c>
      <c r="D10121" s="41" t="str">
        <f ca="1">IFERROR(__xludf.DUMMYFUNCTION("IFERROR(ARRAYFORMULA(REGEXEXTRACT(C10121,""^(?:https?:\/\/)?(?:[^@\n]+@)?(?:www\.)?([^:\/\n]+)"")),"""")"),"teesactive.co.uk")</f>
        <v>teesactive.co.uk</v>
      </c>
      <c r="E10121" s="26" t="str">
        <f ca="1">IFERROR(__xludf.DUMMYFUNCTION("""COMPUTED_VALUE"""),"New")</f>
        <v>New</v>
      </c>
      <c r="F10121" s="72">
        <v>36</v>
      </c>
      <c r="G10121" s="72">
        <v>9705</v>
      </c>
    </row>
    <row r="10122" spans="1:7" ht="14.5">
      <c r="A10122" s="3" t="s">
        <v>9115</v>
      </c>
      <c r="B10122" s="12" t="s">
        <v>2899</v>
      </c>
      <c r="C10122" s="46" t="s">
        <v>10113</v>
      </c>
      <c r="D10122" s="41" t="str">
        <f ca="1">IFERROR(__xludf.DUMMYFUNCTION("IFERROR(ARRAYFORMULA(REGEXEXTRACT(C10122,""^(?:https?:\/\/)?(?:[^@\n]+@)?(?:www\.)?([^:\/\n]+)"")),"""")"),"speedtest.fastbase.com")</f>
        <v>speedtest.fastbase.com</v>
      </c>
      <c r="E10122" s="26" t="str">
        <f ca="1">IFERROR(__xludf.DUMMYFUNCTION("""COMPUTED_VALUE"""),"New")</f>
        <v>New</v>
      </c>
      <c r="F10122" s="72">
        <v>46</v>
      </c>
      <c r="G10122" s="72">
        <v>1186</v>
      </c>
    </row>
    <row r="10123" spans="1:7" ht="14.5" hidden="1">
      <c r="A10123" s="3" t="s">
        <v>9115</v>
      </c>
      <c r="B10123" s="12" t="s">
        <v>2899</v>
      </c>
      <c r="C10123" s="46" t="s">
        <v>10114</v>
      </c>
      <c r="D10123" s="41" t="str">
        <f ca="1">IFERROR(__xludf.DUMMYFUNCTION("IFERROR(ARRAYFORMULA(REGEXEXTRACT(C10123,""^(?:https?:\/\/)?(?:[^@\n]+@)?(?:www\.)?([^:\/\n]+)"")),"""")"),"blog.bay-bee.co.uk")</f>
        <v>blog.bay-bee.co.uk</v>
      </c>
      <c r="E10123" s="26" t="str">
        <f ca="1">IFERROR(__xludf.DUMMYFUNCTION("""COMPUTED_VALUE"""),"Already Exists")</f>
        <v>Already Exists</v>
      </c>
      <c r="F10123" s="72">
        <v>34</v>
      </c>
      <c r="G10123" s="72">
        <v>1573</v>
      </c>
    </row>
    <row r="10124" spans="1:7" ht="14.5">
      <c r="A10124" s="3" t="s">
        <v>9115</v>
      </c>
      <c r="B10124" s="12" t="s">
        <v>2899</v>
      </c>
      <c r="C10124" s="46" t="s">
        <v>10115</v>
      </c>
      <c r="D10124" s="41" t="str">
        <f ca="1">IFERROR(__xludf.DUMMYFUNCTION("IFERROR(ARRAYFORMULA(REGEXEXTRACT(C10124,""^(?:https?:\/\/)?(?:[^@\n]+@)?(?:www\.)?([^:\/\n]+)"")),"""")"),"marketbeat.com")</f>
        <v>marketbeat.com</v>
      </c>
      <c r="E10124" s="26" t="str">
        <f ca="1">IFERROR(__xludf.DUMMYFUNCTION("""COMPUTED_VALUE"""),"New")</f>
        <v>New</v>
      </c>
      <c r="F10124" s="72">
        <v>74</v>
      </c>
      <c r="G10124" s="72">
        <v>6426714</v>
      </c>
    </row>
    <row r="10125" spans="1:7" ht="14.5" hidden="1">
      <c r="A10125" s="3" t="s">
        <v>9115</v>
      </c>
      <c r="B10125" s="12" t="s">
        <v>2899</v>
      </c>
      <c r="C10125" s="46" t="s">
        <v>10116</v>
      </c>
      <c r="D10125" s="41" t="str">
        <f ca="1">IFERROR(__xludf.DUMMYFUNCTION("IFERROR(ARRAYFORMULA(REGEXEXTRACT(C10125,""^(?:https?:\/\/)?(?:[^@\n]+@)?(?:www\.)?([^:\/\n]+)"")),"""")"),"emmysmummy.com")</f>
        <v>emmysmummy.com</v>
      </c>
      <c r="E10125" s="26" t="str">
        <f ca="1">IFERROR(__xludf.DUMMYFUNCTION("""COMPUTED_VALUE"""),"Already Exists")</f>
        <v>Already Exists</v>
      </c>
      <c r="F10125" s="72">
        <v>41</v>
      </c>
      <c r="G10125" s="72">
        <v>1647</v>
      </c>
    </row>
    <row r="10126" spans="1:7" ht="14.5" hidden="1">
      <c r="A10126" s="3" t="s">
        <v>9115</v>
      </c>
      <c r="B10126" s="12" t="s">
        <v>2899</v>
      </c>
      <c r="C10126" s="46" t="s">
        <v>10117</v>
      </c>
      <c r="D10126" s="41" t="str">
        <f ca="1">IFERROR(__xludf.DUMMYFUNCTION("IFERROR(ARRAYFORMULA(REGEXEXTRACT(C10126,""^(?:https?:\/\/)?(?:[^@\n]+@)?(?:www\.)?([^:\/\n]+)"")),"""")"),"e-architect.com")</f>
        <v>e-architect.com</v>
      </c>
      <c r="E10126" s="26" t="str">
        <f ca="1">IFERROR(__xludf.DUMMYFUNCTION("""COMPUTED_VALUE"""),"Already Exists")</f>
        <v>Already Exists</v>
      </c>
      <c r="F10126" s="72">
        <v>73</v>
      </c>
      <c r="G10126" s="72">
        <v>4051</v>
      </c>
    </row>
    <row r="10127" spans="1:7" ht="14.5">
      <c r="A10127" s="3" t="s">
        <v>9115</v>
      </c>
      <c r="B10127" s="12" t="s">
        <v>2899</v>
      </c>
      <c r="C10127" s="46" t="s">
        <v>10118</v>
      </c>
      <c r="D10127" s="41" t="str">
        <f ca="1">IFERROR(__xludf.DUMMYFUNCTION("IFERROR(ARRAYFORMULA(REGEXEXTRACT(C10127,""^(?:https?:\/\/)?(?:[^@\n]+@)?(?:www\.)?([^:\/\n]+)"")),"""")"),"3dbrute.com")</f>
        <v>3dbrute.com</v>
      </c>
      <c r="E10127" s="26" t="str">
        <f ca="1">IFERROR(__xludf.DUMMYFUNCTION("""COMPUTED_VALUE"""),"New")</f>
        <v>New</v>
      </c>
      <c r="F10127" s="72">
        <v>35</v>
      </c>
      <c r="G10127" s="72">
        <v>14877</v>
      </c>
    </row>
    <row r="10128" spans="1:7" ht="14.5">
      <c r="A10128" s="3" t="s">
        <v>9115</v>
      </c>
      <c r="B10128" s="12" t="s">
        <v>2899</v>
      </c>
      <c r="C10128" s="46" t="s">
        <v>10119</v>
      </c>
      <c r="D10128" s="41" t="str">
        <f ca="1">IFERROR(__xludf.DUMMYFUNCTION("IFERROR(ARRAYFORMULA(REGEXEXTRACT(C10128,""^(?:https?:\/\/)?(?:[^@\n]+@)?(?:www\.)?([^:\/\n]+)"")),"""")"),"urbancompany.com")</f>
        <v>urbancompany.com</v>
      </c>
      <c r="E10128" s="26" t="str">
        <f ca="1">IFERROR(__xludf.DUMMYFUNCTION("""COMPUTED_VALUE"""),"New")</f>
        <v>New</v>
      </c>
      <c r="F10128" s="72">
        <v>71</v>
      </c>
      <c r="G10128" s="72">
        <v>1327547</v>
      </c>
    </row>
    <row r="10129" spans="1:7" ht="14.5">
      <c r="A10129" s="3" t="s">
        <v>9115</v>
      </c>
      <c r="B10129" s="12" t="s">
        <v>2899</v>
      </c>
      <c r="C10129" s="46" t="s">
        <v>10120</v>
      </c>
      <c r="D10129" s="41" t="str">
        <f ca="1">IFERROR(__xludf.DUMMYFUNCTION("IFERROR(ARRAYFORMULA(REGEXEXTRACT(C10129,""^(?:https?:\/\/)?(?:[^@\n]+@)?(?:www\.)?([^:\/\n]+)"")),"""")"),"wittymagazine.co.uk")</f>
        <v>wittymagazine.co.uk</v>
      </c>
      <c r="E10129" s="26" t="str">
        <f ca="1">IFERROR(__xludf.DUMMYFUNCTION("""COMPUTED_VALUE"""),"New")</f>
        <v>New</v>
      </c>
      <c r="F10129" s="72">
        <v>51</v>
      </c>
      <c r="G10129" s="72">
        <v>32845</v>
      </c>
    </row>
    <row r="10130" spans="1:7" ht="14.5" hidden="1">
      <c r="A10130" s="3" t="s">
        <v>9115</v>
      </c>
      <c r="B10130" s="12" t="s">
        <v>2899</v>
      </c>
      <c r="C10130" s="46" t="s">
        <v>10121</v>
      </c>
      <c r="D10130" s="41" t="str">
        <f ca="1">IFERROR(__xludf.DUMMYFUNCTION("IFERROR(ARRAYFORMULA(REGEXEXTRACT(C10130,""^(?:https?:\/\/)?(?:[^@\n]+@)?(?:www\.)?([^:\/\n]+)"")),"""")"),"inkl.com")</f>
        <v>inkl.com</v>
      </c>
      <c r="E10130" s="26" t="str">
        <f ca="1">IFERROR(__xludf.DUMMYFUNCTION("""COMPUTED_VALUE"""),"Already Exists")</f>
        <v>Already Exists</v>
      </c>
      <c r="F10130" s="72">
        <v>71</v>
      </c>
      <c r="G10130" s="72">
        <v>76869</v>
      </c>
    </row>
    <row r="10131" spans="1:7" ht="14.5">
      <c r="A10131" s="3" t="s">
        <v>9115</v>
      </c>
      <c r="B10131" s="12" t="s">
        <v>2899</v>
      </c>
      <c r="C10131" s="46" t="s">
        <v>10122</v>
      </c>
      <c r="D10131" s="41" t="str">
        <f ca="1">IFERROR(__xludf.DUMMYFUNCTION("IFERROR(ARRAYFORMULA(REGEXEXTRACT(C10131,""^(?:https?:\/\/)?(?:[^@\n]+@)?(?:www\.)?([^:\/\n]+)"")),"""")"),"guiseleyafc.co.uk")</f>
        <v>guiseleyafc.co.uk</v>
      </c>
      <c r="E10131" s="26" t="str">
        <f ca="1">IFERROR(__xludf.DUMMYFUNCTION("""COMPUTED_VALUE"""),"New")</f>
        <v>New</v>
      </c>
      <c r="F10131" s="72">
        <v>33</v>
      </c>
      <c r="G10131" s="72">
        <v>2380</v>
      </c>
    </row>
    <row r="10132" spans="1:7" ht="14.5">
      <c r="A10132" s="3" t="s">
        <v>9115</v>
      </c>
      <c r="B10132" s="12" t="s">
        <v>2899</v>
      </c>
      <c r="C10132" s="46" t="s">
        <v>10123</v>
      </c>
      <c r="D10132" s="41" t="str">
        <f ca="1">IFERROR(__xludf.DUMMYFUNCTION("IFERROR(ARRAYFORMULA(REGEXEXTRACT(C10132,""^(?:https?:\/\/)?(?:[^@\n]+@)?(?:www\.)?([^:\/\n]+)"")),"""")"),"home.kangaroo.vn")</f>
        <v>home.kangaroo.vn</v>
      </c>
      <c r="E10132" s="26" t="str">
        <f ca="1">IFERROR(__xludf.DUMMYFUNCTION("""COMPUTED_VALUE"""),"New")</f>
        <v>New</v>
      </c>
      <c r="F10132" s="72">
        <v>64</v>
      </c>
      <c r="G10132" s="72">
        <v>25207</v>
      </c>
    </row>
    <row r="10133" spans="1:7" ht="14.5">
      <c r="A10133" s="3" t="s">
        <v>9115</v>
      </c>
      <c r="B10133" s="12" t="s">
        <v>2899</v>
      </c>
      <c r="C10133" s="46" t="s">
        <v>10124</v>
      </c>
      <c r="D10133" s="41" t="str">
        <f ca="1">IFERROR(__xludf.DUMMYFUNCTION("IFERROR(ARRAYFORMULA(REGEXEXTRACT(C10133,""^(?:https?:\/\/)?(?:[^@\n]+@)?(?:www\.)?([^:\/\n]+)"")),"""")"),"top-rated.online")</f>
        <v>top-rated.online</v>
      </c>
      <c r="E10133" s="26" t="str">
        <f ca="1">IFERROR(__xludf.DUMMYFUNCTION("""COMPUTED_VALUE"""),"New")</f>
        <v>New</v>
      </c>
      <c r="F10133" s="72">
        <v>57</v>
      </c>
      <c r="G10133" s="72">
        <v>10601</v>
      </c>
    </row>
    <row r="10134" spans="1:7" ht="14.5" hidden="1">
      <c r="A10134" s="3" t="s">
        <v>9115</v>
      </c>
      <c r="B10134" s="12" t="s">
        <v>2899</v>
      </c>
      <c r="C10134" s="46" t="s">
        <v>10125</v>
      </c>
      <c r="D10134" s="41" t="str">
        <f ca="1">IFERROR(__xludf.DUMMYFUNCTION("IFERROR(ARRAYFORMULA(REGEXEXTRACT(C10134,""^(?:https?:\/\/)?(?:[^@\n]+@)?(?:www\.)?([^:\/\n]+)"")),"""")"),"amumreviews.co.uk")</f>
        <v>amumreviews.co.uk</v>
      </c>
      <c r="E10134" s="26" t="str">
        <f ca="1">IFERROR(__xludf.DUMMYFUNCTION("""COMPUTED_VALUE"""),"Already Exists")</f>
        <v>Already Exists</v>
      </c>
      <c r="F10134" s="72">
        <v>42</v>
      </c>
      <c r="G10134" s="72">
        <v>2572</v>
      </c>
    </row>
    <row r="10135" spans="1:7" ht="14.5">
      <c r="A10135" s="3" t="s">
        <v>9115</v>
      </c>
      <c r="B10135" s="12" t="s">
        <v>2899</v>
      </c>
      <c r="C10135" s="46" t="s">
        <v>10126</v>
      </c>
      <c r="D10135" s="41" t="str">
        <f ca="1">IFERROR(__xludf.DUMMYFUNCTION("IFERROR(ARRAYFORMULA(REGEXEXTRACT(C10135,""^(?:https?:\/\/)?(?:[^@\n]+@)?(?:www\.)?([^:\/\n]+)"")),"""")"),"elth.ucv.ro")</f>
        <v>elth.ucv.ro</v>
      </c>
      <c r="E10135" s="26" t="str">
        <f ca="1">IFERROR(__xludf.DUMMYFUNCTION("""COMPUTED_VALUE"""),"New")</f>
        <v>New</v>
      </c>
      <c r="F10135" s="72">
        <v>67</v>
      </c>
      <c r="G10135" s="72">
        <v>12039</v>
      </c>
    </row>
    <row r="10136" spans="1:7" ht="14.5">
      <c r="A10136" s="3" t="s">
        <v>9115</v>
      </c>
      <c r="B10136" s="12" t="s">
        <v>2899</v>
      </c>
      <c r="C10136" s="46" t="s">
        <v>10127</v>
      </c>
      <c r="D10136" s="41" t="str">
        <f ca="1">IFERROR(__xludf.DUMMYFUNCTION("IFERROR(ARRAYFORMULA(REGEXEXTRACT(C10136,""^(?:https?:\/\/)?(?:[^@\n]+@)?(?:www\.)?([^:\/\n]+)"")),"""")"),"chem-dry.net")</f>
        <v>chem-dry.net</v>
      </c>
      <c r="E10136" s="26" t="str">
        <f ca="1">IFERROR(__xludf.DUMMYFUNCTION("""COMPUTED_VALUE"""),"New")</f>
        <v>New</v>
      </c>
      <c r="F10136" s="72">
        <v>43</v>
      </c>
      <c r="G10136" s="72">
        <v>4638</v>
      </c>
    </row>
    <row r="10137" spans="1:7" ht="14.5">
      <c r="A10137" s="3" t="s">
        <v>9115</v>
      </c>
      <c r="B10137" s="12" t="s">
        <v>2899</v>
      </c>
      <c r="C10137" s="46" t="s">
        <v>10128</v>
      </c>
      <c r="D10137" s="41" t="str">
        <f ca="1">IFERROR(__xludf.DUMMYFUNCTION("IFERROR(ARRAYFORMULA(REGEXEXTRACT(C10137,""^(?:https?:\/\/)?(?:[^@\n]+@)?(?:www\.)?([^:\/\n]+)"")),"""")"),"alan-allison-88.firebaseapp.com")</f>
        <v>alan-allison-88.firebaseapp.com</v>
      </c>
      <c r="E10137" s="26" t="str">
        <f ca="1">IFERROR(__xludf.DUMMYFUNCTION("""COMPUTED_VALUE"""),"New")</f>
        <v>New</v>
      </c>
      <c r="F10137" s="72">
        <v>87</v>
      </c>
      <c r="G10137" s="72">
        <v>68985</v>
      </c>
    </row>
    <row r="10138" spans="1:7" ht="14.5">
      <c r="A10138" s="3" t="s">
        <v>9115</v>
      </c>
      <c r="B10138" s="12" t="s">
        <v>2899</v>
      </c>
      <c r="C10138" s="46" t="s">
        <v>10129</v>
      </c>
      <c r="D10138" s="41" t="str">
        <f ca="1">IFERROR(__xludf.DUMMYFUNCTION("IFERROR(ARRAYFORMULA(REGEXEXTRACT(C10138,""^(?:https?:\/\/)?(?:[^@\n]+@)?(?:www\.)?([^:\/\n]+)"")),"""")"),"fbsp.ftu.edu.vn")</f>
        <v>fbsp.ftu.edu.vn</v>
      </c>
      <c r="E10138" s="26" t="str">
        <f ca="1">IFERROR(__xludf.DUMMYFUNCTION("""COMPUTED_VALUE"""),"New")</f>
        <v>New</v>
      </c>
      <c r="F10138" s="72">
        <v>65</v>
      </c>
      <c r="G10138" s="72">
        <v>42034</v>
      </c>
    </row>
    <row r="10139" spans="1:7" ht="14.5">
      <c r="A10139" s="3" t="s">
        <v>9115</v>
      </c>
      <c r="B10139" s="12" t="s">
        <v>2899</v>
      </c>
      <c r="C10139" s="46" t="s">
        <v>10130</v>
      </c>
      <c r="D10139" s="41" t="str">
        <f ca="1">IFERROR(__xludf.DUMMYFUNCTION("IFERROR(ARRAYFORMULA(REGEXEXTRACT(C10139,""^(?:https?:\/\/)?(?:[^@\n]+@)?(?:www\.)?([^:\/\n]+)"")),"""")"),"mail.kroxam.com")</f>
        <v>mail.kroxam.com</v>
      </c>
      <c r="E10139" s="26" t="str">
        <f ca="1">IFERROR(__xludf.DUMMYFUNCTION("""COMPUTED_VALUE"""),"New")</f>
        <v>New</v>
      </c>
      <c r="F10139" s="72">
        <v>33</v>
      </c>
      <c r="G10139" s="72">
        <v>3037</v>
      </c>
    </row>
    <row r="10140" spans="1:7" ht="14.5">
      <c r="A10140" s="5"/>
      <c r="B10140" s="18"/>
      <c r="C10140" s="85"/>
      <c r="D10140" s="41"/>
      <c r="E10140" s="26" t="str">
        <f ca="1">IFERROR(__xludf.DUMMYFUNCTION("""COMPUTED_VALUE"""),"")</f>
        <v/>
      </c>
      <c r="F10140" s="72"/>
      <c r="G10140" s="72"/>
    </row>
    <row r="10141" spans="1:7" ht="14.5">
      <c r="A10141" s="5"/>
      <c r="B10141" s="18"/>
      <c r="C10141" s="85"/>
      <c r="D10141" s="41"/>
      <c r="E10141" s="26" t="str">
        <f ca="1">IFERROR(__xludf.DUMMYFUNCTION("""COMPUTED_VALUE"""),"")</f>
        <v/>
      </c>
      <c r="F10141" s="72"/>
      <c r="G10141" s="72"/>
    </row>
    <row r="10142" spans="1:7" ht="14.5">
      <c r="A10142" s="5"/>
      <c r="B10142" s="18"/>
      <c r="C10142" s="85"/>
      <c r="D10142" s="41"/>
      <c r="E10142" s="26" t="str">
        <f ca="1">IFERROR(__xludf.DUMMYFUNCTION("""COMPUTED_VALUE"""),"")</f>
        <v/>
      </c>
      <c r="F10142" s="72"/>
      <c r="G10142" s="72"/>
    </row>
    <row r="10143" spans="1:7" ht="14.5">
      <c r="A10143" s="5"/>
      <c r="B10143" s="18"/>
      <c r="C10143" s="85"/>
      <c r="D10143" s="41"/>
      <c r="E10143" s="26" t="str">
        <f ca="1">IFERROR(__xludf.DUMMYFUNCTION("""COMPUTED_VALUE"""),"")</f>
        <v/>
      </c>
      <c r="F10143" s="72"/>
      <c r="G10143" s="72"/>
    </row>
    <row r="10144" spans="1:7" ht="14.5">
      <c r="A10144" s="5"/>
      <c r="B10144" s="18"/>
      <c r="C10144" s="85"/>
      <c r="D10144" s="41"/>
      <c r="E10144" s="26" t="str">
        <f ca="1">IFERROR(__xludf.DUMMYFUNCTION("""COMPUTED_VALUE"""),"")</f>
        <v/>
      </c>
      <c r="F10144" s="72"/>
      <c r="G10144" s="72"/>
    </row>
    <row r="10145" spans="1:7" ht="14.5">
      <c r="A10145" s="5"/>
      <c r="B10145" s="18"/>
      <c r="C10145" s="85"/>
      <c r="D10145" s="41"/>
      <c r="E10145" s="26" t="str">
        <f ca="1">IFERROR(__xludf.DUMMYFUNCTION("""COMPUTED_VALUE"""),"")</f>
        <v/>
      </c>
      <c r="F10145" s="72"/>
      <c r="G10145" s="72"/>
    </row>
    <row r="10146" spans="1:7" ht="14.5">
      <c r="A10146" s="5"/>
      <c r="B10146" s="18"/>
      <c r="C10146" s="85"/>
      <c r="D10146" s="41"/>
      <c r="E10146" s="26" t="str">
        <f ca="1">IFERROR(__xludf.DUMMYFUNCTION("""COMPUTED_VALUE"""),"")</f>
        <v/>
      </c>
      <c r="F10146" s="72"/>
      <c r="G10146" s="72"/>
    </row>
    <row r="10147" spans="1:7" ht="14.5">
      <c r="A10147" s="5"/>
      <c r="B10147" s="18"/>
      <c r="C10147" s="85"/>
      <c r="D10147" s="41"/>
      <c r="E10147" s="26" t="str">
        <f ca="1">IFERROR(__xludf.DUMMYFUNCTION("""COMPUTED_VALUE"""),"")</f>
        <v/>
      </c>
      <c r="F10147" s="72"/>
      <c r="G10147" s="72"/>
    </row>
    <row r="10148" spans="1:7" ht="14.5">
      <c r="A10148" s="5"/>
      <c r="B10148" s="18"/>
      <c r="C10148" s="85"/>
      <c r="D10148" s="41"/>
      <c r="E10148" s="26" t="str">
        <f ca="1">IFERROR(__xludf.DUMMYFUNCTION("""COMPUTED_VALUE"""),"")</f>
        <v/>
      </c>
      <c r="F10148" s="72"/>
      <c r="G10148" s="72"/>
    </row>
    <row r="10149" spans="1:7" ht="14.5">
      <c r="A10149" s="5"/>
      <c r="B10149" s="18"/>
      <c r="C10149" s="85"/>
      <c r="D10149" s="41"/>
      <c r="E10149" s="26" t="str">
        <f ca="1">IFERROR(__xludf.DUMMYFUNCTION("""COMPUTED_VALUE"""),"")</f>
        <v/>
      </c>
      <c r="F10149" s="72"/>
      <c r="G10149" s="72"/>
    </row>
    <row r="10150" spans="1:7" ht="14.5">
      <c r="A10150" s="5"/>
      <c r="B10150" s="18"/>
      <c r="C10150" s="85"/>
      <c r="D10150" s="41"/>
      <c r="E10150" s="26" t="str">
        <f ca="1">IFERROR(__xludf.DUMMYFUNCTION("""COMPUTED_VALUE"""),"")</f>
        <v/>
      </c>
      <c r="F10150" s="72"/>
      <c r="G10150" s="72"/>
    </row>
    <row r="10151" spans="1:7" ht="14.5">
      <c r="A10151" s="5"/>
      <c r="B10151" s="18"/>
      <c r="C10151" s="85"/>
      <c r="D10151" s="41"/>
      <c r="E10151" s="26" t="str">
        <f ca="1">IFERROR(__xludf.DUMMYFUNCTION("""COMPUTED_VALUE"""),"")</f>
        <v/>
      </c>
      <c r="F10151" s="72"/>
      <c r="G10151" s="72"/>
    </row>
    <row r="10152" spans="1:7" ht="14.5">
      <c r="A10152" s="5"/>
      <c r="B10152" s="18"/>
      <c r="C10152" s="85"/>
      <c r="D10152" s="41"/>
      <c r="E10152" s="26" t="str">
        <f ca="1">IFERROR(__xludf.DUMMYFUNCTION("""COMPUTED_VALUE"""),"")</f>
        <v/>
      </c>
      <c r="F10152" s="72"/>
      <c r="G10152" s="72"/>
    </row>
    <row r="10153" spans="1:7" ht="14.5">
      <c r="A10153" s="5"/>
      <c r="B10153" s="18"/>
      <c r="C10153" s="85"/>
      <c r="D10153" s="41"/>
      <c r="E10153" s="26" t="str">
        <f ca="1">IFERROR(__xludf.DUMMYFUNCTION("""COMPUTED_VALUE"""),"")</f>
        <v/>
      </c>
      <c r="F10153" s="72"/>
      <c r="G10153" s="72"/>
    </row>
    <row r="10154" spans="1:7" ht="14.5">
      <c r="A10154" s="5"/>
      <c r="B10154" s="18"/>
      <c r="C10154" s="85"/>
      <c r="D10154" s="41"/>
      <c r="E10154" s="26" t="str">
        <f ca="1">IFERROR(__xludf.DUMMYFUNCTION("""COMPUTED_VALUE"""),"")</f>
        <v/>
      </c>
      <c r="F10154" s="72"/>
      <c r="G10154" s="72"/>
    </row>
    <row r="10155" spans="1:7" ht="14.5">
      <c r="A10155" s="5"/>
      <c r="B10155" s="18"/>
      <c r="C10155" s="85"/>
      <c r="D10155" s="41"/>
      <c r="E10155" s="26" t="str">
        <f ca="1">IFERROR(__xludf.DUMMYFUNCTION("""COMPUTED_VALUE"""),"")</f>
        <v/>
      </c>
      <c r="F10155" s="72"/>
      <c r="G10155" s="72"/>
    </row>
    <row r="10156" spans="1:7" ht="14.5">
      <c r="A10156" s="5"/>
      <c r="B10156" s="18"/>
      <c r="C10156" s="85"/>
      <c r="D10156" s="41"/>
      <c r="E10156" s="26" t="str">
        <f ca="1">IFERROR(__xludf.DUMMYFUNCTION("""COMPUTED_VALUE"""),"")</f>
        <v/>
      </c>
      <c r="F10156" s="72"/>
      <c r="G10156" s="72"/>
    </row>
    <row r="10157" spans="1:7" ht="14.5">
      <c r="A10157" s="5"/>
      <c r="B10157" s="18"/>
      <c r="C10157" s="85"/>
      <c r="D10157" s="41"/>
      <c r="E10157" s="26" t="str">
        <f ca="1">IFERROR(__xludf.DUMMYFUNCTION("""COMPUTED_VALUE"""),"")</f>
        <v/>
      </c>
      <c r="F10157" s="72"/>
      <c r="G10157" s="72"/>
    </row>
    <row r="10158" spans="1:7" ht="14.5">
      <c r="A10158" s="5"/>
      <c r="B10158" s="18"/>
      <c r="C10158" s="85"/>
      <c r="D10158" s="41"/>
      <c r="E10158" s="26" t="str">
        <f ca="1">IFERROR(__xludf.DUMMYFUNCTION("""COMPUTED_VALUE"""),"")</f>
        <v/>
      </c>
      <c r="F10158" s="72"/>
      <c r="G10158" s="72"/>
    </row>
    <row r="10159" spans="1:7" ht="14.5">
      <c r="A10159" s="5"/>
      <c r="B10159" s="18"/>
      <c r="C10159" s="85"/>
      <c r="D10159" s="41"/>
      <c r="E10159" s="26" t="str">
        <f ca="1">IFERROR(__xludf.DUMMYFUNCTION("""COMPUTED_VALUE"""),"")</f>
        <v/>
      </c>
      <c r="F10159" s="72"/>
      <c r="G10159" s="72"/>
    </row>
    <row r="10160" spans="1:7" ht="14.5">
      <c r="A10160" s="5"/>
      <c r="B10160" s="18"/>
      <c r="C10160" s="85"/>
      <c r="D10160" s="41"/>
      <c r="E10160" s="26" t="str">
        <f ca="1">IFERROR(__xludf.DUMMYFUNCTION("""COMPUTED_VALUE"""),"")</f>
        <v/>
      </c>
      <c r="F10160" s="72"/>
      <c r="G10160" s="72"/>
    </row>
    <row r="10161" spans="1:7" ht="14.5">
      <c r="A10161" s="5"/>
      <c r="B10161" s="18"/>
      <c r="C10161" s="85"/>
      <c r="D10161" s="41"/>
      <c r="E10161" s="26" t="str">
        <f ca="1">IFERROR(__xludf.DUMMYFUNCTION("""COMPUTED_VALUE"""),"")</f>
        <v/>
      </c>
      <c r="F10161" s="72"/>
      <c r="G10161" s="72"/>
    </row>
    <row r="10162" spans="1:7" ht="14.5">
      <c r="A10162" s="5"/>
      <c r="B10162" s="18"/>
      <c r="C10162" s="85"/>
      <c r="D10162" s="41"/>
      <c r="E10162" s="26" t="str">
        <f ca="1">IFERROR(__xludf.DUMMYFUNCTION("""COMPUTED_VALUE"""),"")</f>
        <v/>
      </c>
      <c r="F10162" s="72"/>
      <c r="G10162" s="72"/>
    </row>
    <row r="10163" spans="1:7" ht="14.5">
      <c r="A10163" s="5"/>
      <c r="B10163" s="18"/>
      <c r="C10163" s="85"/>
      <c r="D10163" s="41"/>
      <c r="E10163" s="26" t="str">
        <f ca="1">IFERROR(__xludf.DUMMYFUNCTION("""COMPUTED_VALUE"""),"")</f>
        <v/>
      </c>
      <c r="F10163" s="72"/>
      <c r="G10163" s="72"/>
    </row>
    <row r="10164" spans="1:7" ht="14.5">
      <c r="A10164" s="5"/>
      <c r="B10164" s="18"/>
      <c r="C10164" s="85"/>
      <c r="D10164" s="41"/>
      <c r="E10164" s="26" t="str">
        <f ca="1">IFERROR(__xludf.DUMMYFUNCTION("""COMPUTED_VALUE"""),"")</f>
        <v/>
      </c>
      <c r="F10164" s="72"/>
      <c r="G10164" s="72"/>
    </row>
    <row r="10165" spans="1:7" ht="14.5">
      <c r="A10165" s="5"/>
      <c r="B10165" s="18"/>
      <c r="C10165" s="85"/>
      <c r="D10165" s="41"/>
      <c r="E10165" s="26" t="str">
        <f ca="1">IFERROR(__xludf.DUMMYFUNCTION("""COMPUTED_VALUE"""),"")</f>
        <v/>
      </c>
      <c r="F10165" s="72"/>
      <c r="G10165" s="72"/>
    </row>
    <row r="10166" spans="1:7" ht="14.5">
      <c r="A10166" s="5"/>
      <c r="B10166" s="18"/>
      <c r="C10166" s="85"/>
      <c r="D10166" s="41"/>
      <c r="E10166" s="26" t="str">
        <f ca="1">IFERROR(__xludf.DUMMYFUNCTION("""COMPUTED_VALUE"""),"")</f>
        <v/>
      </c>
      <c r="F10166" s="72"/>
      <c r="G10166" s="72"/>
    </row>
    <row r="10167" spans="1:7" ht="14.5">
      <c r="A10167" s="5"/>
      <c r="B10167" s="18"/>
      <c r="C10167" s="85"/>
      <c r="D10167" s="41"/>
      <c r="E10167" s="26" t="str">
        <f ca="1">IFERROR(__xludf.DUMMYFUNCTION("""COMPUTED_VALUE"""),"")</f>
        <v/>
      </c>
      <c r="F10167" s="72"/>
      <c r="G10167" s="72"/>
    </row>
    <row r="10168" spans="1:7" ht="14.5">
      <c r="A10168" s="5"/>
      <c r="B10168" s="18"/>
      <c r="C10168" s="85"/>
      <c r="D10168" s="41"/>
      <c r="E10168" s="26" t="str">
        <f ca="1">IFERROR(__xludf.DUMMYFUNCTION("""COMPUTED_VALUE"""),"")</f>
        <v/>
      </c>
      <c r="F10168" s="72"/>
      <c r="G10168" s="72"/>
    </row>
    <row r="10169" spans="1:7" ht="14.5">
      <c r="A10169" s="5"/>
      <c r="B10169" s="18"/>
      <c r="C10169" s="85"/>
      <c r="D10169" s="41"/>
      <c r="E10169" s="26" t="str">
        <f ca="1">IFERROR(__xludf.DUMMYFUNCTION("""COMPUTED_VALUE"""),"")</f>
        <v/>
      </c>
      <c r="F10169" s="72"/>
      <c r="G10169" s="72"/>
    </row>
    <row r="10170" spans="1:7" ht="14.5">
      <c r="A10170" s="5"/>
      <c r="B10170" s="18"/>
      <c r="C10170" s="85"/>
      <c r="D10170" s="41"/>
      <c r="E10170" s="26" t="str">
        <f ca="1">IFERROR(__xludf.DUMMYFUNCTION("""COMPUTED_VALUE"""),"")</f>
        <v/>
      </c>
      <c r="F10170" s="72"/>
      <c r="G10170" s="72"/>
    </row>
    <row r="10171" spans="1:7" ht="14.5">
      <c r="A10171" s="5"/>
      <c r="B10171" s="18"/>
      <c r="C10171" s="85"/>
      <c r="D10171" s="41"/>
      <c r="E10171" s="26" t="str">
        <f ca="1">IFERROR(__xludf.DUMMYFUNCTION("""COMPUTED_VALUE"""),"")</f>
        <v/>
      </c>
      <c r="F10171" s="72"/>
      <c r="G10171" s="72"/>
    </row>
    <row r="10172" spans="1:7" ht="14.5">
      <c r="A10172" s="5"/>
      <c r="B10172" s="18"/>
      <c r="C10172" s="85"/>
      <c r="D10172" s="41"/>
      <c r="E10172" s="26" t="str">
        <f ca="1">IFERROR(__xludf.DUMMYFUNCTION("""COMPUTED_VALUE"""),"")</f>
        <v/>
      </c>
      <c r="F10172" s="72"/>
      <c r="G10172" s="72"/>
    </row>
    <row r="10173" spans="1:7" ht="14.5">
      <c r="A10173" s="5"/>
      <c r="B10173" s="18"/>
      <c r="C10173" s="85"/>
      <c r="D10173" s="41"/>
      <c r="E10173" s="26" t="str">
        <f ca="1">IFERROR(__xludf.DUMMYFUNCTION("""COMPUTED_VALUE"""),"")</f>
        <v/>
      </c>
      <c r="F10173" s="72"/>
      <c r="G10173" s="72"/>
    </row>
    <row r="10174" spans="1:7" ht="14.5">
      <c r="A10174" s="5"/>
      <c r="B10174" s="18"/>
      <c r="C10174" s="85"/>
      <c r="D10174" s="41"/>
      <c r="E10174" s="26" t="str">
        <f ca="1">IFERROR(__xludf.DUMMYFUNCTION("""COMPUTED_VALUE"""),"")</f>
        <v/>
      </c>
      <c r="F10174" s="72"/>
      <c r="G10174" s="72"/>
    </row>
    <row r="10175" spans="1:7" ht="14.5">
      <c r="A10175" s="5"/>
      <c r="B10175" s="18"/>
      <c r="C10175" s="85"/>
      <c r="D10175" s="41"/>
      <c r="E10175" s="26" t="str">
        <f ca="1">IFERROR(__xludf.DUMMYFUNCTION("""COMPUTED_VALUE"""),"")</f>
        <v/>
      </c>
      <c r="F10175" s="72"/>
      <c r="G10175" s="72"/>
    </row>
    <row r="10176" spans="1:7" ht="14.5">
      <c r="A10176" s="5"/>
      <c r="B10176" s="18"/>
      <c r="C10176" s="85"/>
      <c r="D10176" s="41"/>
      <c r="E10176" s="26" t="str">
        <f ca="1">IFERROR(__xludf.DUMMYFUNCTION("""COMPUTED_VALUE"""),"")</f>
        <v/>
      </c>
      <c r="F10176" s="72"/>
      <c r="G10176" s="72"/>
    </row>
    <row r="10177" spans="1:7" ht="14.5">
      <c r="A10177" s="5"/>
      <c r="B10177" s="18"/>
      <c r="C10177" s="85"/>
      <c r="D10177" s="41"/>
      <c r="E10177" s="26" t="str">
        <f ca="1">IFERROR(__xludf.DUMMYFUNCTION("""COMPUTED_VALUE"""),"")</f>
        <v/>
      </c>
      <c r="F10177" s="72"/>
      <c r="G10177" s="72"/>
    </row>
    <row r="10178" spans="1:7" ht="14.5">
      <c r="A10178" s="5"/>
      <c r="B10178" s="18"/>
      <c r="C10178" s="85"/>
      <c r="D10178" s="41"/>
      <c r="E10178" s="26" t="str">
        <f ca="1">IFERROR(__xludf.DUMMYFUNCTION("""COMPUTED_VALUE"""),"")</f>
        <v/>
      </c>
      <c r="F10178" s="72"/>
      <c r="G10178" s="72"/>
    </row>
    <row r="10179" spans="1:7" ht="14.5">
      <c r="A10179" s="5"/>
      <c r="B10179" s="18"/>
      <c r="C10179" s="85"/>
      <c r="D10179" s="41"/>
      <c r="E10179" s="26" t="str">
        <f ca="1">IFERROR(__xludf.DUMMYFUNCTION("""COMPUTED_VALUE"""),"")</f>
        <v/>
      </c>
      <c r="F10179" s="72"/>
      <c r="G10179" s="72"/>
    </row>
    <row r="10180" spans="1:7" ht="14.5">
      <c r="A10180" s="5"/>
      <c r="B10180" s="18"/>
      <c r="C10180" s="85"/>
      <c r="D10180" s="41"/>
      <c r="E10180" s="26" t="str">
        <f ca="1">IFERROR(__xludf.DUMMYFUNCTION("""COMPUTED_VALUE"""),"")</f>
        <v/>
      </c>
      <c r="F10180" s="72"/>
      <c r="G10180" s="72"/>
    </row>
    <row r="10181" spans="1:7" ht="14.5">
      <c r="A10181" s="5"/>
      <c r="B10181" s="18"/>
      <c r="C10181" s="85"/>
      <c r="D10181" s="41"/>
      <c r="E10181" s="26" t="str">
        <f ca="1">IFERROR(__xludf.DUMMYFUNCTION("""COMPUTED_VALUE"""),"")</f>
        <v/>
      </c>
      <c r="F10181" s="72"/>
      <c r="G10181" s="72"/>
    </row>
    <row r="10182" spans="1:7" ht="14.5">
      <c r="A10182" s="5"/>
      <c r="B10182" s="18"/>
      <c r="C10182" s="85"/>
      <c r="D10182" s="41"/>
      <c r="E10182" s="26" t="str">
        <f ca="1">IFERROR(__xludf.DUMMYFUNCTION("""COMPUTED_VALUE"""),"")</f>
        <v/>
      </c>
      <c r="F10182" s="72"/>
      <c r="G10182" s="72"/>
    </row>
    <row r="10183" spans="1:7" ht="14.5">
      <c r="A10183" s="5"/>
      <c r="B10183" s="18"/>
      <c r="C10183" s="85"/>
      <c r="D10183" s="41"/>
      <c r="E10183" s="26" t="str">
        <f ca="1">IFERROR(__xludf.DUMMYFUNCTION("""COMPUTED_VALUE"""),"")</f>
        <v/>
      </c>
      <c r="F10183" s="72"/>
      <c r="G10183" s="72"/>
    </row>
    <row r="10184" spans="1:7" ht="14.5">
      <c r="A10184" s="5"/>
      <c r="B10184" s="18"/>
      <c r="C10184" s="85"/>
      <c r="D10184" s="41"/>
      <c r="E10184" s="26" t="str">
        <f ca="1">IFERROR(__xludf.DUMMYFUNCTION("""COMPUTED_VALUE"""),"")</f>
        <v/>
      </c>
      <c r="F10184" s="72"/>
      <c r="G10184" s="72"/>
    </row>
    <row r="10185" spans="1:7" ht="14.5">
      <c r="A10185" s="5"/>
      <c r="B10185" s="18"/>
      <c r="C10185" s="85"/>
      <c r="D10185" s="41"/>
      <c r="E10185" s="26" t="str">
        <f ca="1">IFERROR(__xludf.DUMMYFUNCTION("""COMPUTED_VALUE"""),"")</f>
        <v/>
      </c>
      <c r="F10185" s="72"/>
      <c r="G10185" s="72"/>
    </row>
    <row r="10186" spans="1:7" ht="14.5">
      <c r="A10186" s="5"/>
      <c r="B10186" s="18"/>
      <c r="C10186" s="85"/>
      <c r="D10186" s="41"/>
      <c r="E10186" s="26" t="str">
        <f ca="1">IFERROR(__xludf.DUMMYFUNCTION("""COMPUTED_VALUE"""),"")</f>
        <v/>
      </c>
      <c r="F10186" s="72"/>
      <c r="G10186" s="72"/>
    </row>
    <row r="10187" spans="1:7" ht="14.5">
      <c r="A10187" s="5"/>
      <c r="B10187" s="18"/>
      <c r="C10187" s="85"/>
      <c r="D10187" s="41"/>
      <c r="E10187" s="26" t="str">
        <f ca="1">IFERROR(__xludf.DUMMYFUNCTION("""COMPUTED_VALUE"""),"")</f>
        <v/>
      </c>
      <c r="F10187" s="72"/>
      <c r="G10187" s="72"/>
    </row>
    <row r="10188" spans="1:7" ht="14.5">
      <c r="A10188" s="5"/>
      <c r="B10188" s="18"/>
      <c r="C10188" s="85"/>
      <c r="D10188" s="41"/>
      <c r="E10188" s="26" t="str">
        <f ca="1">IFERROR(__xludf.DUMMYFUNCTION("""COMPUTED_VALUE"""),"")</f>
        <v/>
      </c>
      <c r="F10188" s="72"/>
      <c r="G10188" s="72"/>
    </row>
    <row r="10189" spans="1:7" ht="14.5">
      <c r="A10189" s="5"/>
      <c r="B10189" s="18"/>
      <c r="C10189" s="85"/>
      <c r="D10189" s="41"/>
      <c r="E10189" s="26" t="str">
        <f ca="1">IFERROR(__xludf.DUMMYFUNCTION("""COMPUTED_VALUE"""),"")</f>
        <v/>
      </c>
      <c r="F10189" s="72"/>
      <c r="G10189" s="72"/>
    </row>
    <row r="10190" spans="1:7" ht="14.5">
      <c r="A10190" s="5"/>
      <c r="B10190" s="18"/>
      <c r="C10190" s="85"/>
      <c r="D10190" s="41"/>
      <c r="E10190" s="26" t="str">
        <f ca="1">IFERROR(__xludf.DUMMYFUNCTION("""COMPUTED_VALUE"""),"")</f>
        <v/>
      </c>
      <c r="F10190" s="72"/>
      <c r="G10190" s="72"/>
    </row>
    <row r="10191" spans="1:7" ht="14.5">
      <c r="A10191" s="5"/>
      <c r="B10191" s="18"/>
      <c r="C10191" s="85"/>
      <c r="D10191" s="41"/>
      <c r="E10191" s="26" t="str">
        <f ca="1">IFERROR(__xludf.DUMMYFUNCTION("""COMPUTED_VALUE"""),"")</f>
        <v/>
      </c>
      <c r="F10191" s="72"/>
      <c r="G10191" s="72"/>
    </row>
    <row r="10192" spans="1:7" ht="14.5">
      <c r="A10192" s="5"/>
      <c r="B10192" s="18"/>
      <c r="C10192" s="85"/>
      <c r="D10192" s="41"/>
      <c r="E10192" s="26" t="str">
        <f ca="1">IFERROR(__xludf.DUMMYFUNCTION("""COMPUTED_VALUE"""),"")</f>
        <v/>
      </c>
      <c r="F10192" s="72"/>
      <c r="G10192" s="72"/>
    </row>
    <row r="10193" spans="1:7" ht="14.5">
      <c r="A10193" s="5"/>
      <c r="B10193" s="18"/>
      <c r="C10193" s="85"/>
      <c r="D10193" s="41"/>
      <c r="E10193" s="26" t="str">
        <f ca="1">IFERROR(__xludf.DUMMYFUNCTION("""COMPUTED_VALUE"""),"")</f>
        <v/>
      </c>
      <c r="F10193" s="72"/>
      <c r="G10193" s="72"/>
    </row>
    <row r="10194" spans="1:7" ht="14.5">
      <c r="A10194" s="5"/>
      <c r="B10194" s="18"/>
      <c r="C10194" s="85"/>
      <c r="D10194" s="41"/>
      <c r="E10194" s="26" t="str">
        <f ca="1">IFERROR(__xludf.DUMMYFUNCTION("""COMPUTED_VALUE"""),"")</f>
        <v/>
      </c>
      <c r="F10194" s="72"/>
      <c r="G10194" s="72"/>
    </row>
    <row r="10195" spans="1:7" ht="14.5">
      <c r="A10195" s="5"/>
      <c r="B10195" s="18"/>
      <c r="C10195" s="85"/>
      <c r="D10195" s="41"/>
      <c r="E10195" s="26" t="str">
        <f ca="1">IFERROR(__xludf.DUMMYFUNCTION("""COMPUTED_VALUE"""),"")</f>
        <v/>
      </c>
      <c r="F10195" s="72"/>
      <c r="G10195" s="72"/>
    </row>
    <row r="10196" spans="1:7" ht="14.5">
      <c r="A10196" s="5"/>
      <c r="B10196" s="18"/>
      <c r="C10196" s="85"/>
      <c r="D10196" s="41"/>
      <c r="E10196" s="26" t="str">
        <f ca="1">IFERROR(__xludf.DUMMYFUNCTION("""COMPUTED_VALUE"""),"")</f>
        <v/>
      </c>
      <c r="F10196" s="72"/>
      <c r="G10196" s="72"/>
    </row>
    <row r="10197" spans="1:7" ht="14.5">
      <c r="A10197" s="5"/>
      <c r="B10197" s="18"/>
      <c r="C10197" s="85"/>
      <c r="D10197" s="41"/>
      <c r="E10197" s="26" t="str">
        <f ca="1">IFERROR(__xludf.DUMMYFUNCTION("""COMPUTED_VALUE"""),"")</f>
        <v/>
      </c>
      <c r="F10197" s="72"/>
      <c r="G10197" s="72"/>
    </row>
    <row r="10198" spans="1:7" ht="14.5">
      <c r="A10198" s="5"/>
      <c r="B10198" s="18"/>
      <c r="C10198" s="85"/>
      <c r="D10198" s="41"/>
      <c r="E10198" s="26" t="str">
        <f ca="1">IFERROR(__xludf.DUMMYFUNCTION("""COMPUTED_VALUE"""),"")</f>
        <v/>
      </c>
      <c r="F10198" s="72"/>
      <c r="G10198" s="72"/>
    </row>
    <row r="10199" spans="1:7" ht="14.5">
      <c r="A10199" s="5"/>
      <c r="B10199" s="18"/>
      <c r="C10199" s="85"/>
      <c r="D10199" s="41"/>
      <c r="E10199" s="26" t="str">
        <f ca="1">IFERROR(__xludf.DUMMYFUNCTION("""COMPUTED_VALUE"""),"")</f>
        <v/>
      </c>
      <c r="F10199" s="72"/>
      <c r="G10199" s="72"/>
    </row>
    <row r="10200" spans="1:7" ht="14.5">
      <c r="A10200" s="5"/>
      <c r="B10200" s="18"/>
      <c r="C10200" s="85"/>
      <c r="D10200" s="41"/>
      <c r="E10200" s="26" t="str">
        <f ca="1">IFERROR(__xludf.DUMMYFUNCTION("""COMPUTED_VALUE"""),"")</f>
        <v/>
      </c>
      <c r="F10200" s="72"/>
      <c r="G10200" s="72"/>
    </row>
    <row r="10201" spans="1:7" ht="14.5">
      <c r="A10201" s="5"/>
      <c r="B10201" s="18"/>
      <c r="C10201" s="85"/>
      <c r="D10201" s="41"/>
      <c r="E10201" s="26" t="str">
        <f ca="1">IFERROR(__xludf.DUMMYFUNCTION("""COMPUTED_VALUE"""),"")</f>
        <v/>
      </c>
      <c r="F10201" s="72"/>
      <c r="G10201" s="72"/>
    </row>
    <row r="10202" spans="1:7" ht="14.5">
      <c r="A10202" s="5"/>
      <c r="B10202" s="18"/>
      <c r="C10202" s="85"/>
      <c r="D10202" s="41"/>
      <c r="E10202" s="26" t="str">
        <f ca="1">IFERROR(__xludf.DUMMYFUNCTION("""COMPUTED_VALUE"""),"")</f>
        <v/>
      </c>
      <c r="F10202" s="72"/>
      <c r="G10202" s="72"/>
    </row>
    <row r="10203" spans="1:7" ht="14.5">
      <c r="A10203" s="5"/>
      <c r="B10203" s="18"/>
      <c r="C10203" s="85"/>
      <c r="D10203" s="41"/>
      <c r="E10203" s="26" t="str">
        <f ca="1">IFERROR(__xludf.DUMMYFUNCTION("""COMPUTED_VALUE"""),"")</f>
        <v/>
      </c>
      <c r="F10203" s="72"/>
      <c r="G10203" s="72"/>
    </row>
    <row r="10204" spans="1:7" ht="14.5">
      <c r="A10204" s="5"/>
      <c r="B10204" s="18"/>
      <c r="C10204" s="85"/>
      <c r="D10204" s="41"/>
      <c r="E10204" s="26" t="str">
        <f ca="1">IFERROR(__xludf.DUMMYFUNCTION("""COMPUTED_VALUE"""),"")</f>
        <v/>
      </c>
      <c r="F10204" s="72"/>
      <c r="G10204" s="72"/>
    </row>
    <row r="10205" spans="1:7" ht="14.5">
      <c r="A10205" s="5"/>
      <c r="B10205" s="18"/>
      <c r="C10205" s="85"/>
      <c r="D10205" s="41"/>
      <c r="E10205" s="26" t="str">
        <f ca="1">IFERROR(__xludf.DUMMYFUNCTION("""COMPUTED_VALUE"""),"")</f>
        <v/>
      </c>
      <c r="F10205" s="72"/>
      <c r="G10205" s="72"/>
    </row>
    <row r="10206" spans="1:7" ht="14.5">
      <c r="A10206" s="5"/>
      <c r="B10206" s="18"/>
      <c r="C10206" s="85"/>
      <c r="D10206" s="41"/>
      <c r="E10206" s="26" t="str">
        <f ca="1">IFERROR(__xludf.DUMMYFUNCTION("""COMPUTED_VALUE"""),"")</f>
        <v/>
      </c>
      <c r="F10206" s="72"/>
      <c r="G10206" s="72"/>
    </row>
    <row r="10207" spans="1:7" ht="14.5">
      <c r="A10207" s="5"/>
      <c r="B10207" s="18"/>
      <c r="C10207" s="85"/>
      <c r="D10207" s="41"/>
      <c r="E10207" s="26" t="str">
        <f ca="1">IFERROR(__xludf.DUMMYFUNCTION("""COMPUTED_VALUE"""),"")</f>
        <v/>
      </c>
      <c r="F10207" s="72"/>
      <c r="G10207" s="72"/>
    </row>
    <row r="10208" spans="1:7" ht="14.5">
      <c r="A10208" s="5"/>
      <c r="B10208" s="18"/>
      <c r="C10208" s="85"/>
      <c r="D10208" s="41"/>
      <c r="E10208" s="26" t="str">
        <f ca="1">IFERROR(__xludf.DUMMYFUNCTION("""COMPUTED_VALUE"""),"")</f>
        <v/>
      </c>
      <c r="F10208" s="72"/>
      <c r="G10208" s="72"/>
    </row>
    <row r="10209" spans="1:7" ht="14.5">
      <c r="A10209" s="5"/>
      <c r="B10209" s="18"/>
      <c r="C10209" s="85"/>
      <c r="D10209" s="41"/>
      <c r="E10209" s="26" t="str">
        <f ca="1">IFERROR(__xludf.DUMMYFUNCTION("""COMPUTED_VALUE"""),"")</f>
        <v/>
      </c>
      <c r="F10209" s="72"/>
      <c r="G10209" s="72"/>
    </row>
    <row r="10210" spans="1:7" ht="14.5">
      <c r="A10210" s="5"/>
      <c r="B10210" s="18"/>
      <c r="C10210" s="85"/>
      <c r="D10210" s="41"/>
      <c r="E10210" s="26" t="str">
        <f ca="1">IFERROR(__xludf.DUMMYFUNCTION("""COMPUTED_VALUE"""),"")</f>
        <v/>
      </c>
      <c r="F10210" s="72"/>
      <c r="G10210" s="72"/>
    </row>
    <row r="10211" spans="1:7" ht="14.5">
      <c r="A10211" s="5"/>
      <c r="B10211" s="18"/>
      <c r="C10211" s="85"/>
      <c r="D10211" s="41"/>
      <c r="E10211" s="26" t="str">
        <f ca="1">IFERROR(__xludf.DUMMYFUNCTION("""COMPUTED_VALUE"""),"")</f>
        <v/>
      </c>
      <c r="F10211" s="72"/>
      <c r="G10211" s="72"/>
    </row>
    <row r="10212" spans="1:7" ht="14.5">
      <c r="A10212" s="5"/>
      <c r="B10212" s="18"/>
      <c r="C10212" s="85"/>
      <c r="D10212" s="41"/>
      <c r="E10212" s="26" t="str">
        <f ca="1">IFERROR(__xludf.DUMMYFUNCTION("""COMPUTED_VALUE"""),"")</f>
        <v/>
      </c>
      <c r="F10212" s="72"/>
      <c r="G10212" s="72"/>
    </row>
    <row r="10213" spans="1:7" ht="14.5">
      <c r="A10213" s="5"/>
      <c r="B10213" s="18"/>
      <c r="C10213" s="85"/>
      <c r="D10213" s="41"/>
      <c r="E10213" s="26" t="str">
        <f ca="1">IFERROR(__xludf.DUMMYFUNCTION("""COMPUTED_VALUE"""),"")</f>
        <v/>
      </c>
      <c r="F10213" s="72"/>
      <c r="G10213" s="72"/>
    </row>
    <row r="10214" spans="1:7" ht="14.5">
      <c r="A10214" s="5"/>
      <c r="B10214" s="18"/>
      <c r="C10214" s="85"/>
      <c r="D10214" s="41"/>
      <c r="E10214" s="26" t="str">
        <f ca="1">IFERROR(__xludf.DUMMYFUNCTION("""COMPUTED_VALUE"""),"")</f>
        <v/>
      </c>
      <c r="F10214" s="72"/>
      <c r="G10214" s="72"/>
    </row>
    <row r="10215" spans="1:7" ht="14.5">
      <c r="A10215" s="5"/>
      <c r="B10215" s="18"/>
      <c r="C10215" s="85"/>
      <c r="D10215" s="41"/>
      <c r="E10215" s="26" t="str">
        <f ca="1">IFERROR(__xludf.DUMMYFUNCTION("""COMPUTED_VALUE"""),"")</f>
        <v/>
      </c>
      <c r="F10215" s="72"/>
      <c r="G10215" s="72"/>
    </row>
    <row r="10216" spans="1:7" ht="14.5">
      <c r="A10216" s="5"/>
      <c r="B10216" s="18"/>
      <c r="C10216" s="85"/>
      <c r="D10216" s="41"/>
      <c r="E10216" s="26" t="str">
        <f ca="1">IFERROR(__xludf.DUMMYFUNCTION("""COMPUTED_VALUE"""),"")</f>
        <v/>
      </c>
      <c r="F10216" s="72"/>
      <c r="G10216" s="72"/>
    </row>
    <row r="10217" spans="1:7" ht="14.5">
      <c r="A10217" s="5"/>
      <c r="B10217" s="18"/>
      <c r="C10217" s="85"/>
      <c r="D10217" s="41"/>
      <c r="E10217" s="26" t="str">
        <f ca="1">IFERROR(__xludf.DUMMYFUNCTION("""COMPUTED_VALUE"""),"")</f>
        <v/>
      </c>
      <c r="F10217" s="72"/>
      <c r="G10217" s="72"/>
    </row>
    <row r="10218" spans="1:7" ht="14.5">
      <c r="A10218" s="5"/>
      <c r="B10218" s="18"/>
      <c r="C10218" s="85"/>
      <c r="D10218" s="41"/>
      <c r="E10218" s="26" t="str">
        <f ca="1">IFERROR(__xludf.DUMMYFUNCTION("""COMPUTED_VALUE"""),"")</f>
        <v/>
      </c>
      <c r="F10218" s="72"/>
      <c r="G10218" s="72"/>
    </row>
    <row r="10219" spans="1:7" ht="14.5">
      <c r="A10219" s="5"/>
      <c r="B10219" s="18"/>
      <c r="C10219" s="85"/>
      <c r="D10219" s="41"/>
      <c r="E10219" s="26" t="str">
        <f ca="1">IFERROR(__xludf.DUMMYFUNCTION("""COMPUTED_VALUE"""),"")</f>
        <v/>
      </c>
      <c r="F10219" s="72"/>
      <c r="G10219" s="72"/>
    </row>
    <row r="10220" spans="1:7" ht="14.5">
      <c r="A10220" s="5"/>
      <c r="B10220" s="18"/>
      <c r="C10220" s="85"/>
      <c r="D10220" s="41"/>
      <c r="E10220" s="26" t="str">
        <f ca="1">IFERROR(__xludf.DUMMYFUNCTION("""COMPUTED_VALUE"""),"")</f>
        <v/>
      </c>
      <c r="F10220" s="72"/>
      <c r="G10220" s="72"/>
    </row>
    <row r="10221" spans="1:7" ht="14.5">
      <c r="A10221" s="5"/>
      <c r="B10221" s="18"/>
      <c r="C10221" s="85"/>
      <c r="D10221" s="41"/>
      <c r="E10221" s="26" t="str">
        <f ca="1">IFERROR(__xludf.DUMMYFUNCTION("""COMPUTED_VALUE"""),"")</f>
        <v/>
      </c>
      <c r="F10221" s="72"/>
      <c r="G10221" s="72"/>
    </row>
    <row r="10222" spans="1:7" ht="14.5">
      <c r="A10222" s="5"/>
      <c r="B10222" s="18"/>
      <c r="C10222" s="85"/>
      <c r="D10222" s="41"/>
      <c r="E10222" s="26" t="str">
        <f ca="1">IFERROR(__xludf.DUMMYFUNCTION("""COMPUTED_VALUE"""),"")</f>
        <v/>
      </c>
      <c r="F10222" s="72"/>
      <c r="G10222" s="72"/>
    </row>
    <row r="10223" spans="1:7" ht="14.5">
      <c r="A10223" s="5"/>
      <c r="B10223" s="18"/>
      <c r="C10223" s="85"/>
      <c r="D10223" s="41"/>
      <c r="E10223" s="26" t="str">
        <f ca="1">IFERROR(__xludf.DUMMYFUNCTION("""COMPUTED_VALUE"""),"")</f>
        <v/>
      </c>
      <c r="F10223" s="72"/>
      <c r="G10223" s="72"/>
    </row>
    <row r="10224" spans="1:7" ht="14.5">
      <c r="A10224" s="5"/>
      <c r="B10224" s="18"/>
      <c r="C10224" s="85"/>
      <c r="D10224" s="41"/>
      <c r="E10224" s="26" t="str">
        <f ca="1">IFERROR(__xludf.DUMMYFUNCTION("""COMPUTED_VALUE"""),"")</f>
        <v/>
      </c>
      <c r="F10224" s="72"/>
      <c r="G10224" s="72"/>
    </row>
    <row r="10225" spans="1:7" ht="14.5">
      <c r="A10225" s="5"/>
      <c r="B10225" s="18"/>
      <c r="C10225" s="85"/>
      <c r="D10225" s="41"/>
      <c r="E10225" s="26" t="str">
        <f ca="1">IFERROR(__xludf.DUMMYFUNCTION("""COMPUTED_VALUE"""),"")</f>
        <v/>
      </c>
      <c r="F10225" s="72"/>
      <c r="G10225" s="72"/>
    </row>
    <row r="10226" spans="1:7" ht="14.5">
      <c r="A10226" s="5"/>
      <c r="B10226" s="18"/>
      <c r="C10226" s="85"/>
      <c r="D10226" s="41"/>
      <c r="E10226" s="26" t="str">
        <f ca="1">IFERROR(__xludf.DUMMYFUNCTION("""COMPUTED_VALUE"""),"")</f>
        <v/>
      </c>
      <c r="F10226" s="72"/>
      <c r="G10226" s="72"/>
    </row>
    <row r="10227" spans="1:7" ht="14.5">
      <c r="A10227" s="5"/>
      <c r="B10227" s="18"/>
      <c r="C10227" s="85"/>
      <c r="D10227" s="41"/>
      <c r="E10227" s="26" t="str">
        <f ca="1">IFERROR(__xludf.DUMMYFUNCTION("""COMPUTED_VALUE"""),"")</f>
        <v/>
      </c>
      <c r="F10227" s="72"/>
      <c r="G10227" s="72"/>
    </row>
    <row r="10228" spans="1:7" ht="14.5">
      <c r="A10228" s="5"/>
      <c r="B10228" s="18"/>
      <c r="C10228" s="85"/>
      <c r="D10228" s="41"/>
      <c r="E10228" s="26" t="str">
        <f ca="1">IFERROR(__xludf.DUMMYFUNCTION("""COMPUTED_VALUE"""),"")</f>
        <v/>
      </c>
      <c r="F10228" s="72"/>
      <c r="G10228" s="72"/>
    </row>
    <row r="10229" spans="1:7" ht="14.5">
      <c r="A10229" s="5"/>
      <c r="B10229" s="18"/>
      <c r="C10229" s="85"/>
      <c r="D10229" s="41"/>
      <c r="E10229" s="26" t="str">
        <f ca="1">IFERROR(__xludf.DUMMYFUNCTION("""COMPUTED_VALUE"""),"")</f>
        <v/>
      </c>
      <c r="F10229" s="72"/>
      <c r="G10229" s="72"/>
    </row>
    <row r="10230" spans="1:7" ht="14.5">
      <c r="A10230" s="5"/>
      <c r="B10230" s="18"/>
      <c r="C10230" s="85"/>
      <c r="D10230" s="41"/>
      <c r="E10230" s="26" t="str">
        <f ca="1">IFERROR(__xludf.DUMMYFUNCTION("""COMPUTED_VALUE"""),"")</f>
        <v/>
      </c>
      <c r="F10230" s="72"/>
      <c r="G10230" s="72"/>
    </row>
    <row r="10231" spans="1:7" ht="14.5">
      <c r="A10231" s="5"/>
      <c r="B10231" s="18"/>
      <c r="C10231" s="85"/>
      <c r="D10231" s="41"/>
      <c r="E10231" s="26" t="str">
        <f ca="1">IFERROR(__xludf.DUMMYFUNCTION("""COMPUTED_VALUE"""),"")</f>
        <v/>
      </c>
      <c r="F10231" s="72"/>
      <c r="G10231" s="72"/>
    </row>
    <row r="10232" spans="1:7" ht="14.5">
      <c r="A10232" s="5"/>
      <c r="B10232" s="18"/>
      <c r="C10232" s="85"/>
      <c r="D10232" s="41"/>
      <c r="E10232" s="26" t="str">
        <f ca="1">IFERROR(__xludf.DUMMYFUNCTION("""COMPUTED_VALUE"""),"")</f>
        <v/>
      </c>
      <c r="F10232" s="72"/>
      <c r="G10232" s="72"/>
    </row>
    <row r="10233" spans="1:7" ht="14.5">
      <c r="A10233" s="5"/>
      <c r="B10233" s="18"/>
      <c r="C10233" s="85"/>
      <c r="D10233" s="41"/>
      <c r="E10233" s="26" t="str">
        <f ca="1">IFERROR(__xludf.DUMMYFUNCTION("""COMPUTED_VALUE"""),"")</f>
        <v/>
      </c>
      <c r="F10233" s="72"/>
      <c r="G10233" s="72"/>
    </row>
    <row r="10234" spans="1:7" ht="14.5">
      <c r="A10234" s="5"/>
      <c r="B10234" s="18"/>
      <c r="C10234" s="85"/>
      <c r="D10234" s="41"/>
      <c r="E10234" s="26" t="str">
        <f ca="1">IFERROR(__xludf.DUMMYFUNCTION("""COMPUTED_VALUE"""),"")</f>
        <v/>
      </c>
      <c r="F10234" s="72"/>
      <c r="G10234" s="72"/>
    </row>
    <row r="10235" spans="1:7" ht="14.5">
      <c r="A10235" s="5"/>
      <c r="B10235" s="18"/>
      <c r="C10235" s="85"/>
      <c r="D10235" s="41"/>
      <c r="E10235" s="26" t="str">
        <f ca="1">IFERROR(__xludf.DUMMYFUNCTION("""COMPUTED_VALUE"""),"")</f>
        <v/>
      </c>
      <c r="F10235" s="72"/>
      <c r="G10235" s="72"/>
    </row>
    <row r="10236" spans="1:7" ht="14.5">
      <c r="A10236" s="5"/>
      <c r="B10236" s="18"/>
      <c r="C10236" s="85"/>
      <c r="D10236" s="41"/>
      <c r="E10236" s="26" t="str">
        <f ca="1">IFERROR(__xludf.DUMMYFUNCTION("""COMPUTED_VALUE"""),"")</f>
        <v/>
      </c>
      <c r="F10236" s="72"/>
      <c r="G10236" s="72"/>
    </row>
    <row r="10237" spans="1:7" ht="14.5">
      <c r="A10237" s="5"/>
      <c r="B10237" s="18"/>
      <c r="C10237" s="85"/>
      <c r="D10237" s="41"/>
      <c r="E10237" s="26" t="str">
        <f ca="1">IFERROR(__xludf.DUMMYFUNCTION("""COMPUTED_VALUE"""),"")</f>
        <v/>
      </c>
      <c r="F10237" s="72"/>
      <c r="G10237" s="72"/>
    </row>
    <row r="10238" spans="1:7" ht="14.5">
      <c r="A10238" s="5"/>
      <c r="B10238" s="18"/>
      <c r="C10238" s="85"/>
      <c r="D10238" s="41"/>
      <c r="E10238" s="26" t="str">
        <f ca="1">IFERROR(__xludf.DUMMYFUNCTION("""COMPUTED_VALUE"""),"")</f>
        <v/>
      </c>
      <c r="F10238" s="72"/>
      <c r="G10238" s="72"/>
    </row>
    <row r="10239" spans="1:7" ht="14.5">
      <c r="A10239" s="5"/>
      <c r="B10239" s="18"/>
      <c r="C10239" s="85"/>
      <c r="D10239" s="41"/>
      <c r="E10239" s="26" t="str">
        <f ca="1">IFERROR(__xludf.DUMMYFUNCTION("""COMPUTED_VALUE"""),"")</f>
        <v/>
      </c>
      <c r="F10239" s="72"/>
      <c r="G10239" s="72"/>
    </row>
    <row r="10240" spans="1:7" ht="14.5">
      <c r="A10240" s="5"/>
      <c r="B10240" s="18"/>
      <c r="C10240" s="85"/>
      <c r="D10240" s="41"/>
      <c r="E10240" s="26" t="str">
        <f ca="1">IFERROR(__xludf.DUMMYFUNCTION("""COMPUTED_VALUE"""),"")</f>
        <v/>
      </c>
      <c r="F10240" s="72"/>
      <c r="G10240" s="72"/>
    </row>
    <row r="10241" spans="1:7" ht="14.5">
      <c r="A10241" s="5"/>
      <c r="B10241" s="18"/>
      <c r="C10241" s="85"/>
      <c r="D10241" s="41"/>
      <c r="E10241" s="26" t="str">
        <f ca="1">IFERROR(__xludf.DUMMYFUNCTION("""COMPUTED_VALUE"""),"")</f>
        <v/>
      </c>
      <c r="F10241" s="72"/>
      <c r="G10241" s="72"/>
    </row>
    <row r="10242" spans="1:7" ht="14.5">
      <c r="A10242" s="5"/>
      <c r="B10242" s="18"/>
      <c r="C10242" s="85"/>
      <c r="D10242" s="41"/>
      <c r="E10242" s="26" t="str">
        <f ca="1">IFERROR(__xludf.DUMMYFUNCTION("""COMPUTED_VALUE"""),"")</f>
        <v/>
      </c>
      <c r="F10242" s="72"/>
      <c r="G10242" s="72"/>
    </row>
    <row r="10243" spans="1:7" ht="14.5">
      <c r="A10243" s="5"/>
      <c r="B10243" s="18"/>
      <c r="C10243" s="85"/>
      <c r="D10243" s="41"/>
      <c r="E10243" s="26" t="str">
        <f ca="1">IFERROR(__xludf.DUMMYFUNCTION("""COMPUTED_VALUE"""),"")</f>
        <v/>
      </c>
      <c r="F10243" s="72"/>
      <c r="G10243" s="72"/>
    </row>
    <row r="10244" spans="1:7" ht="14.5">
      <c r="A10244" s="5"/>
      <c r="B10244" s="18"/>
      <c r="C10244" s="85"/>
      <c r="D10244" s="41"/>
      <c r="E10244" s="26" t="str">
        <f ca="1">IFERROR(__xludf.DUMMYFUNCTION("""COMPUTED_VALUE"""),"")</f>
        <v/>
      </c>
      <c r="F10244" s="72"/>
      <c r="G10244" s="72"/>
    </row>
    <row r="10245" spans="1:7" ht="14.5">
      <c r="A10245" s="5"/>
      <c r="B10245" s="18"/>
      <c r="C10245" s="85"/>
      <c r="D10245" s="41"/>
      <c r="E10245" s="26" t="str">
        <f ca="1">IFERROR(__xludf.DUMMYFUNCTION("""COMPUTED_VALUE"""),"")</f>
        <v/>
      </c>
      <c r="F10245" s="72"/>
      <c r="G10245" s="72"/>
    </row>
    <row r="10246" spans="1:7" ht="14.5">
      <c r="A10246" s="5"/>
      <c r="B10246" s="18"/>
      <c r="C10246" s="85"/>
      <c r="D10246" s="41"/>
      <c r="E10246" s="26" t="str">
        <f ca="1">IFERROR(__xludf.DUMMYFUNCTION("""COMPUTED_VALUE"""),"")</f>
        <v/>
      </c>
      <c r="F10246" s="72"/>
      <c r="G10246" s="72"/>
    </row>
    <row r="10247" spans="1:7" ht="14.5">
      <c r="A10247" s="5"/>
      <c r="B10247" s="18"/>
      <c r="C10247" s="85"/>
      <c r="D10247" s="41"/>
      <c r="E10247" s="26" t="str">
        <f ca="1">IFERROR(__xludf.DUMMYFUNCTION("""COMPUTED_VALUE"""),"")</f>
        <v/>
      </c>
      <c r="F10247" s="72"/>
      <c r="G10247" s="72"/>
    </row>
    <row r="10248" spans="1:7" ht="14.5">
      <c r="A10248" s="5"/>
      <c r="B10248" s="18"/>
      <c r="C10248" s="85"/>
      <c r="D10248" s="41"/>
      <c r="E10248" s="26" t="str">
        <f ca="1">IFERROR(__xludf.DUMMYFUNCTION("""COMPUTED_VALUE"""),"")</f>
        <v/>
      </c>
      <c r="F10248" s="72"/>
      <c r="G10248" s="72"/>
    </row>
    <row r="10249" spans="1:7" ht="14.5">
      <c r="A10249" s="5"/>
      <c r="B10249" s="18"/>
      <c r="C10249" s="85"/>
      <c r="D10249" s="41"/>
      <c r="E10249" s="26" t="str">
        <f ca="1">IFERROR(__xludf.DUMMYFUNCTION("""COMPUTED_VALUE"""),"")</f>
        <v/>
      </c>
      <c r="F10249" s="72"/>
      <c r="G10249" s="72"/>
    </row>
    <row r="10250" spans="1:7" ht="14.5">
      <c r="A10250" s="5"/>
      <c r="B10250" s="18"/>
      <c r="C10250" s="85"/>
      <c r="D10250" s="41"/>
      <c r="E10250" s="26" t="str">
        <f ca="1">IFERROR(__xludf.DUMMYFUNCTION("""COMPUTED_VALUE"""),"")</f>
        <v/>
      </c>
      <c r="F10250" s="72"/>
      <c r="G10250" s="72"/>
    </row>
    <row r="10251" spans="1:7" ht="14.5">
      <c r="A10251" s="5"/>
      <c r="B10251" s="18"/>
      <c r="C10251" s="85"/>
      <c r="D10251" s="41"/>
      <c r="E10251" s="26" t="str">
        <f ca="1">IFERROR(__xludf.DUMMYFUNCTION("""COMPUTED_VALUE"""),"")</f>
        <v/>
      </c>
      <c r="F10251" s="72"/>
      <c r="G10251" s="72"/>
    </row>
    <row r="10252" spans="1:7" ht="14.5">
      <c r="A10252" s="5"/>
      <c r="B10252" s="18"/>
      <c r="C10252" s="85"/>
      <c r="D10252" s="41"/>
      <c r="E10252" s="26" t="str">
        <f ca="1">IFERROR(__xludf.DUMMYFUNCTION("""COMPUTED_VALUE"""),"")</f>
        <v/>
      </c>
      <c r="F10252" s="72"/>
      <c r="G10252" s="72"/>
    </row>
    <row r="10253" spans="1:7" ht="14.5">
      <c r="A10253" s="5"/>
      <c r="B10253" s="18"/>
      <c r="C10253" s="85"/>
      <c r="D10253" s="41"/>
      <c r="E10253" s="26" t="str">
        <f ca="1">IFERROR(__xludf.DUMMYFUNCTION("""COMPUTED_VALUE"""),"")</f>
        <v/>
      </c>
      <c r="F10253" s="72"/>
      <c r="G10253" s="72"/>
    </row>
    <row r="10254" spans="1:7" ht="14.5">
      <c r="A10254" s="5"/>
      <c r="B10254" s="18"/>
      <c r="C10254" s="85"/>
      <c r="D10254" s="41"/>
      <c r="E10254" s="26" t="str">
        <f ca="1">IFERROR(__xludf.DUMMYFUNCTION("""COMPUTED_VALUE"""),"")</f>
        <v/>
      </c>
      <c r="F10254" s="72"/>
      <c r="G10254" s="72"/>
    </row>
    <row r="10255" spans="1:7" ht="14.5">
      <c r="A10255" s="5"/>
      <c r="B10255" s="18"/>
      <c r="C10255" s="85"/>
      <c r="D10255" s="41"/>
      <c r="E10255" s="26" t="str">
        <f ca="1">IFERROR(__xludf.DUMMYFUNCTION("""COMPUTED_VALUE"""),"")</f>
        <v/>
      </c>
      <c r="F10255" s="72"/>
      <c r="G10255" s="72"/>
    </row>
    <row r="10256" spans="1:7" ht="14.5">
      <c r="A10256" s="5"/>
      <c r="B10256" s="18"/>
      <c r="C10256" s="85"/>
      <c r="D10256" s="41"/>
      <c r="E10256" s="26" t="str">
        <f ca="1">IFERROR(__xludf.DUMMYFUNCTION("""COMPUTED_VALUE"""),"")</f>
        <v/>
      </c>
      <c r="F10256" s="72"/>
      <c r="G10256" s="72"/>
    </row>
    <row r="10257" spans="1:7" ht="14.5">
      <c r="A10257" s="5"/>
      <c r="B10257" s="18"/>
      <c r="C10257" s="85"/>
      <c r="D10257" s="41"/>
      <c r="E10257" s="26" t="str">
        <f ca="1">IFERROR(__xludf.DUMMYFUNCTION("""COMPUTED_VALUE"""),"")</f>
        <v/>
      </c>
      <c r="F10257" s="72"/>
      <c r="G10257" s="72"/>
    </row>
    <row r="10258" spans="1:7" ht="14.5">
      <c r="A10258" s="5"/>
      <c r="B10258" s="18"/>
      <c r="C10258" s="85"/>
      <c r="D10258" s="41"/>
      <c r="E10258" s="26" t="str">
        <f ca="1">IFERROR(__xludf.DUMMYFUNCTION("""COMPUTED_VALUE"""),"")</f>
        <v/>
      </c>
      <c r="F10258" s="72"/>
      <c r="G10258" s="72"/>
    </row>
    <row r="10259" spans="1:7" ht="14.5">
      <c r="A10259" s="5"/>
      <c r="B10259" s="18"/>
      <c r="C10259" s="85"/>
      <c r="D10259" s="41"/>
      <c r="E10259" s="26" t="str">
        <f ca="1">IFERROR(__xludf.DUMMYFUNCTION("""COMPUTED_VALUE"""),"")</f>
        <v/>
      </c>
      <c r="F10259" s="72"/>
      <c r="G10259" s="72"/>
    </row>
    <row r="10260" spans="1:7" ht="14.5">
      <c r="A10260" s="5"/>
      <c r="B10260" s="18"/>
      <c r="C10260" s="85"/>
      <c r="D10260" s="41"/>
      <c r="E10260" s="26" t="str">
        <f ca="1">IFERROR(__xludf.DUMMYFUNCTION("""COMPUTED_VALUE"""),"")</f>
        <v/>
      </c>
      <c r="F10260" s="72"/>
      <c r="G10260" s="72"/>
    </row>
    <row r="10261" spans="1:7" ht="14.5">
      <c r="A10261" s="5"/>
      <c r="B10261" s="18"/>
      <c r="C10261" s="85"/>
      <c r="D10261" s="41"/>
      <c r="E10261" s="26" t="str">
        <f ca="1">IFERROR(__xludf.DUMMYFUNCTION("""COMPUTED_VALUE"""),"")</f>
        <v/>
      </c>
      <c r="F10261" s="72"/>
      <c r="G10261" s="72"/>
    </row>
    <row r="10262" spans="1:7" ht="14.5">
      <c r="A10262" s="5"/>
      <c r="B10262" s="18"/>
      <c r="C10262" s="85"/>
      <c r="D10262" s="41"/>
      <c r="E10262" s="26" t="str">
        <f ca="1">IFERROR(__xludf.DUMMYFUNCTION("""COMPUTED_VALUE"""),"")</f>
        <v/>
      </c>
      <c r="F10262" s="72"/>
      <c r="G10262" s="72"/>
    </row>
    <row r="10263" spans="1:7" ht="14.5">
      <c r="A10263" s="5"/>
      <c r="B10263" s="18"/>
      <c r="C10263" s="85"/>
      <c r="D10263" s="41"/>
      <c r="E10263" s="26" t="str">
        <f ca="1">IFERROR(__xludf.DUMMYFUNCTION("""COMPUTED_VALUE"""),"")</f>
        <v/>
      </c>
      <c r="F10263" s="72"/>
      <c r="G10263" s="72"/>
    </row>
    <row r="10264" spans="1:7" ht="14.5">
      <c r="A10264" s="5"/>
      <c r="B10264" s="18"/>
      <c r="C10264" s="85"/>
      <c r="D10264" s="41"/>
      <c r="E10264" s="26" t="str">
        <f ca="1">IFERROR(__xludf.DUMMYFUNCTION("""COMPUTED_VALUE"""),"")</f>
        <v/>
      </c>
      <c r="F10264" s="72"/>
      <c r="G10264" s="72"/>
    </row>
    <row r="10265" spans="1:7" ht="14.5">
      <c r="A10265" s="5"/>
      <c r="B10265" s="18"/>
      <c r="C10265" s="85"/>
      <c r="D10265" s="41"/>
      <c r="E10265" s="26" t="str">
        <f ca="1">IFERROR(__xludf.DUMMYFUNCTION("""COMPUTED_VALUE"""),"")</f>
        <v/>
      </c>
      <c r="F10265" s="72"/>
      <c r="G10265" s="72"/>
    </row>
    <row r="10266" spans="1:7" ht="14.5">
      <c r="A10266" s="5"/>
      <c r="B10266" s="18"/>
      <c r="C10266" s="85"/>
      <c r="D10266" s="41"/>
      <c r="E10266" s="26" t="str">
        <f ca="1">IFERROR(__xludf.DUMMYFUNCTION("""COMPUTED_VALUE"""),"")</f>
        <v/>
      </c>
      <c r="F10266" s="72"/>
      <c r="G10266" s="72"/>
    </row>
    <row r="10267" spans="1:7" ht="14.5">
      <c r="A10267" s="5"/>
      <c r="B10267" s="18"/>
      <c r="C10267" s="85"/>
      <c r="D10267" s="41"/>
      <c r="E10267" s="26" t="str">
        <f ca="1">IFERROR(__xludf.DUMMYFUNCTION("""COMPUTED_VALUE"""),"")</f>
        <v/>
      </c>
      <c r="F10267" s="72"/>
      <c r="G10267" s="72"/>
    </row>
    <row r="10268" spans="1:7" ht="14.5">
      <c r="A10268" s="5"/>
      <c r="B10268" s="18"/>
      <c r="C10268" s="85"/>
      <c r="D10268" s="41"/>
      <c r="E10268" s="26" t="str">
        <f ca="1">IFERROR(__xludf.DUMMYFUNCTION("""COMPUTED_VALUE"""),"")</f>
        <v/>
      </c>
      <c r="F10268" s="72"/>
      <c r="G10268" s="72"/>
    </row>
    <row r="10269" spans="1:7" ht="14.5">
      <c r="A10269" s="5"/>
      <c r="B10269" s="18"/>
      <c r="C10269" s="85"/>
      <c r="D10269" s="41"/>
      <c r="E10269" s="26" t="str">
        <f ca="1">IFERROR(__xludf.DUMMYFUNCTION("""COMPUTED_VALUE"""),"")</f>
        <v/>
      </c>
      <c r="F10269" s="72"/>
      <c r="G10269" s="72"/>
    </row>
    <row r="10270" spans="1:7" ht="14.5">
      <c r="A10270" s="5"/>
      <c r="B10270" s="18"/>
      <c r="C10270" s="85"/>
      <c r="D10270" s="41"/>
      <c r="E10270" s="26" t="str">
        <f ca="1">IFERROR(__xludf.DUMMYFUNCTION("""COMPUTED_VALUE"""),"")</f>
        <v/>
      </c>
      <c r="F10270" s="72"/>
      <c r="G10270" s="72"/>
    </row>
    <row r="10271" spans="1:7" ht="14.5">
      <c r="A10271" s="5"/>
      <c r="B10271" s="18"/>
      <c r="C10271" s="85"/>
      <c r="D10271" s="41"/>
      <c r="E10271" s="26" t="str">
        <f ca="1">IFERROR(__xludf.DUMMYFUNCTION("""COMPUTED_VALUE"""),"")</f>
        <v/>
      </c>
      <c r="F10271" s="72"/>
      <c r="G10271" s="72"/>
    </row>
    <row r="10272" spans="1:7" ht="14.5">
      <c r="A10272" s="5"/>
      <c r="B10272" s="18"/>
      <c r="C10272" s="85"/>
      <c r="D10272" s="41"/>
      <c r="E10272" s="26" t="str">
        <f ca="1">IFERROR(__xludf.DUMMYFUNCTION("""COMPUTED_VALUE"""),"")</f>
        <v/>
      </c>
      <c r="F10272" s="72"/>
      <c r="G10272" s="72"/>
    </row>
    <row r="10273" spans="1:7" ht="14.5">
      <c r="A10273" s="5"/>
      <c r="B10273" s="18"/>
      <c r="C10273" s="85"/>
      <c r="D10273" s="41"/>
      <c r="E10273" s="26" t="str">
        <f ca="1">IFERROR(__xludf.DUMMYFUNCTION("""COMPUTED_VALUE"""),"")</f>
        <v/>
      </c>
      <c r="F10273" s="72"/>
      <c r="G10273" s="72"/>
    </row>
    <row r="10274" spans="1:7" ht="14.5">
      <c r="A10274" s="5"/>
      <c r="B10274" s="18"/>
      <c r="C10274" s="85"/>
      <c r="D10274" s="41"/>
      <c r="E10274" s="26" t="str">
        <f ca="1">IFERROR(__xludf.DUMMYFUNCTION("""COMPUTED_VALUE"""),"")</f>
        <v/>
      </c>
      <c r="F10274" s="72"/>
      <c r="G10274" s="72"/>
    </row>
    <row r="10275" spans="1:7" ht="14.5">
      <c r="A10275" s="5"/>
      <c r="B10275" s="18"/>
      <c r="C10275" s="85"/>
      <c r="D10275" s="41"/>
      <c r="E10275" s="26" t="str">
        <f ca="1">IFERROR(__xludf.DUMMYFUNCTION("""COMPUTED_VALUE"""),"")</f>
        <v/>
      </c>
      <c r="F10275" s="72"/>
      <c r="G10275" s="72"/>
    </row>
    <row r="10276" spans="1:7" ht="14.5">
      <c r="A10276" s="5"/>
      <c r="B10276" s="18"/>
      <c r="C10276" s="85"/>
      <c r="D10276" s="41"/>
      <c r="E10276" s="26" t="str">
        <f ca="1">IFERROR(__xludf.DUMMYFUNCTION("""COMPUTED_VALUE"""),"")</f>
        <v/>
      </c>
      <c r="F10276" s="72"/>
      <c r="G10276" s="72"/>
    </row>
    <row r="10277" spans="1:7" ht="14.5">
      <c r="A10277" s="5"/>
      <c r="B10277" s="18"/>
      <c r="C10277" s="85"/>
      <c r="D10277" s="41"/>
      <c r="E10277" s="26" t="str">
        <f ca="1">IFERROR(__xludf.DUMMYFUNCTION("""COMPUTED_VALUE"""),"")</f>
        <v/>
      </c>
      <c r="F10277" s="72"/>
      <c r="G10277" s="72"/>
    </row>
    <row r="10278" spans="1:7" ht="14.5">
      <c r="A10278" s="5"/>
      <c r="B10278" s="18"/>
      <c r="C10278" s="85"/>
      <c r="D10278" s="41"/>
      <c r="E10278" s="26" t="str">
        <f ca="1">IFERROR(__xludf.DUMMYFUNCTION("""COMPUTED_VALUE"""),"")</f>
        <v/>
      </c>
      <c r="F10278" s="72"/>
      <c r="G10278" s="72"/>
    </row>
    <row r="10279" spans="1:7" ht="14.5">
      <c r="A10279" s="5"/>
      <c r="B10279" s="18"/>
      <c r="C10279" s="85"/>
      <c r="D10279" s="41"/>
      <c r="E10279" s="26" t="str">
        <f ca="1">IFERROR(__xludf.DUMMYFUNCTION("""COMPUTED_VALUE"""),"")</f>
        <v/>
      </c>
      <c r="F10279" s="72"/>
      <c r="G10279" s="72"/>
    </row>
    <row r="10280" spans="1:7" ht="14.5">
      <c r="A10280" s="5"/>
      <c r="B10280" s="18"/>
      <c r="C10280" s="85"/>
      <c r="D10280" s="41"/>
      <c r="E10280" s="26" t="str">
        <f ca="1">IFERROR(__xludf.DUMMYFUNCTION("""COMPUTED_VALUE"""),"")</f>
        <v/>
      </c>
      <c r="F10280" s="72"/>
      <c r="G10280" s="72"/>
    </row>
    <row r="10281" spans="1:7" ht="14.5">
      <c r="A10281" s="5"/>
      <c r="B10281" s="18"/>
      <c r="C10281" s="85"/>
      <c r="D10281" s="41"/>
      <c r="E10281" s="26" t="str">
        <f ca="1">IFERROR(__xludf.DUMMYFUNCTION("""COMPUTED_VALUE"""),"")</f>
        <v/>
      </c>
      <c r="F10281" s="72"/>
      <c r="G10281" s="72"/>
    </row>
    <row r="10282" spans="1:7" ht="14.5">
      <c r="A10282" s="5"/>
      <c r="B10282" s="18"/>
      <c r="C10282" s="85"/>
      <c r="D10282" s="41"/>
      <c r="E10282" s="26" t="str">
        <f ca="1">IFERROR(__xludf.DUMMYFUNCTION("""COMPUTED_VALUE"""),"")</f>
        <v/>
      </c>
      <c r="F10282" s="72"/>
      <c r="G10282" s="72"/>
    </row>
    <row r="10283" spans="1:7" ht="14.5">
      <c r="A10283" s="5"/>
      <c r="B10283" s="18"/>
      <c r="C10283" s="85"/>
      <c r="D10283" s="41"/>
      <c r="E10283" s="26" t="str">
        <f ca="1">IFERROR(__xludf.DUMMYFUNCTION("""COMPUTED_VALUE"""),"")</f>
        <v/>
      </c>
      <c r="F10283" s="72"/>
      <c r="G10283" s="72"/>
    </row>
    <row r="10284" spans="1:7" ht="14.5">
      <c r="A10284" s="5"/>
      <c r="B10284" s="18"/>
      <c r="C10284" s="85"/>
      <c r="D10284" s="41"/>
      <c r="E10284" s="26" t="str">
        <f ca="1">IFERROR(__xludf.DUMMYFUNCTION("""COMPUTED_VALUE"""),"")</f>
        <v/>
      </c>
      <c r="F10284" s="72"/>
      <c r="G10284" s="72"/>
    </row>
    <row r="10285" spans="1:7" ht="14.5">
      <c r="A10285" s="5"/>
      <c r="B10285" s="18"/>
      <c r="C10285" s="85"/>
      <c r="D10285" s="41"/>
      <c r="E10285" s="26" t="str">
        <f ca="1">IFERROR(__xludf.DUMMYFUNCTION("""COMPUTED_VALUE"""),"")</f>
        <v/>
      </c>
      <c r="F10285" s="72"/>
      <c r="G10285" s="72"/>
    </row>
    <row r="10286" spans="1:7" ht="14.5">
      <c r="A10286" s="5"/>
      <c r="B10286" s="18"/>
      <c r="C10286" s="85"/>
      <c r="D10286" s="41"/>
      <c r="E10286" s="26" t="str">
        <f ca="1">IFERROR(__xludf.DUMMYFUNCTION("""COMPUTED_VALUE"""),"")</f>
        <v/>
      </c>
      <c r="F10286" s="72"/>
      <c r="G10286" s="72"/>
    </row>
    <row r="10287" spans="1:7" ht="14.5">
      <c r="A10287" s="5"/>
      <c r="B10287" s="18"/>
      <c r="C10287" s="85"/>
      <c r="D10287" s="41"/>
      <c r="E10287" s="26" t="str">
        <f ca="1">IFERROR(__xludf.DUMMYFUNCTION("""COMPUTED_VALUE"""),"")</f>
        <v/>
      </c>
      <c r="F10287" s="72"/>
      <c r="G10287" s="72"/>
    </row>
    <row r="10288" spans="1:7" ht="14.5">
      <c r="A10288" s="5"/>
      <c r="B10288" s="18"/>
      <c r="C10288" s="85"/>
      <c r="D10288" s="41"/>
      <c r="E10288" s="26" t="str">
        <f ca="1">IFERROR(__xludf.DUMMYFUNCTION("""COMPUTED_VALUE"""),"")</f>
        <v/>
      </c>
      <c r="F10288" s="72"/>
      <c r="G10288" s="72"/>
    </row>
    <row r="10289" spans="1:7" ht="14.5">
      <c r="A10289" s="5"/>
      <c r="B10289" s="18"/>
      <c r="C10289" s="85"/>
      <c r="D10289" s="41"/>
      <c r="E10289" s="26" t="str">
        <f ca="1">IFERROR(__xludf.DUMMYFUNCTION("""COMPUTED_VALUE"""),"")</f>
        <v/>
      </c>
      <c r="F10289" s="72"/>
      <c r="G10289" s="72"/>
    </row>
    <row r="10290" spans="1:7" ht="14.5">
      <c r="A10290" s="5"/>
      <c r="B10290" s="18"/>
      <c r="C10290" s="85"/>
      <c r="D10290" s="41"/>
      <c r="E10290" s="26" t="str">
        <f ca="1">IFERROR(__xludf.DUMMYFUNCTION("""COMPUTED_VALUE"""),"")</f>
        <v/>
      </c>
      <c r="F10290" s="72"/>
      <c r="G10290" s="72"/>
    </row>
    <row r="10291" spans="1:7" ht="14.5">
      <c r="A10291" s="5"/>
      <c r="B10291" s="18"/>
      <c r="C10291" s="85"/>
      <c r="D10291" s="41"/>
      <c r="E10291" s="26" t="str">
        <f ca="1">IFERROR(__xludf.DUMMYFUNCTION("""COMPUTED_VALUE"""),"")</f>
        <v/>
      </c>
      <c r="F10291" s="72"/>
      <c r="G10291" s="72"/>
    </row>
    <row r="10292" spans="1:7" ht="14.5">
      <c r="A10292" s="5"/>
      <c r="B10292" s="18"/>
      <c r="C10292" s="85"/>
      <c r="D10292" s="41"/>
      <c r="E10292" s="26" t="str">
        <f ca="1">IFERROR(__xludf.DUMMYFUNCTION("""COMPUTED_VALUE"""),"")</f>
        <v/>
      </c>
      <c r="F10292" s="72"/>
      <c r="G10292" s="72"/>
    </row>
    <row r="10293" spans="1:7" ht="14.5">
      <c r="A10293" s="5"/>
      <c r="B10293" s="18"/>
      <c r="C10293" s="85"/>
      <c r="D10293" s="41"/>
      <c r="E10293" s="26" t="str">
        <f ca="1">IFERROR(__xludf.DUMMYFUNCTION("""COMPUTED_VALUE"""),"")</f>
        <v/>
      </c>
      <c r="F10293" s="72"/>
      <c r="G10293" s="72"/>
    </row>
    <row r="10294" spans="1:7" ht="14.5">
      <c r="A10294" s="5"/>
      <c r="B10294" s="18"/>
      <c r="C10294" s="85"/>
      <c r="D10294" s="41"/>
      <c r="E10294" s="26" t="str">
        <f ca="1">IFERROR(__xludf.DUMMYFUNCTION("""COMPUTED_VALUE"""),"")</f>
        <v/>
      </c>
      <c r="F10294" s="72"/>
      <c r="G10294" s="72"/>
    </row>
    <row r="10295" spans="1:7" ht="14.5">
      <c r="A10295" s="5"/>
      <c r="B10295" s="18"/>
      <c r="C10295" s="85"/>
      <c r="D10295" s="41"/>
      <c r="E10295" s="26" t="str">
        <f ca="1">IFERROR(__xludf.DUMMYFUNCTION("""COMPUTED_VALUE"""),"")</f>
        <v/>
      </c>
      <c r="F10295" s="72"/>
      <c r="G10295" s="72"/>
    </row>
    <row r="10296" spans="1:7" ht="14.5">
      <c r="A10296" s="5"/>
      <c r="B10296" s="18"/>
      <c r="C10296" s="85"/>
      <c r="D10296" s="41"/>
      <c r="E10296" s="26" t="str">
        <f ca="1">IFERROR(__xludf.DUMMYFUNCTION("""COMPUTED_VALUE"""),"")</f>
        <v/>
      </c>
      <c r="F10296" s="72"/>
      <c r="G10296" s="72"/>
    </row>
    <row r="10297" spans="1:7" ht="14.5">
      <c r="A10297" s="5"/>
      <c r="B10297" s="18"/>
      <c r="C10297" s="85"/>
      <c r="D10297" s="41"/>
      <c r="E10297" s="26" t="str">
        <f ca="1">IFERROR(__xludf.DUMMYFUNCTION("""COMPUTED_VALUE"""),"")</f>
        <v/>
      </c>
      <c r="F10297" s="72"/>
      <c r="G10297" s="72"/>
    </row>
    <row r="10298" spans="1:7" ht="14.5">
      <c r="A10298" s="5"/>
      <c r="B10298" s="18"/>
      <c r="C10298" s="85"/>
      <c r="D10298" s="41"/>
      <c r="E10298" s="26" t="str">
        <f ca="1">IFERROR(__xludf.DUMMYFUNCTION("""COMPUTED_VALUE"""),"")</f>
        <v/>
      </c>
      <c r="F10298" s="72"/>
      <c r="G10298" s="72"/>
    </row>
    <row r="10299" spans="1:7" ht="14.5">
      <c r="A10299" s="5"/>
      <c r="B10299" s="18"/>
      <c r="C10299" s="85"/>
      <c r="D10299" s="41"/>
      <c r="E10299" s="26" t="str">
        <f ca="1">IFERROR(__xludf.DUMMYFUNCTION("""COMPUTED_VALUE"""),"")</f>
        <v/>
      </c>
      <c r="F10299" s="72"/>
      <c r="G10299" s="72"/>
    </row>
    <row r="10300" spans="1:7" ht="14.5">
      <c r="A10300" s="5"/>
      <c r="B10300" s="18"/>
      <c r="C10300" s="85"/>
      <c r="D10300" s="41"/>
      <c r="E10300" s="26" t="str">
        <f ca="1">IFERROR(__xludf.DUMMYFUNCTION("""COMPUTED_VALUE"""),"")</f>
        <v/>
      </c>
      <c r="F10300" s="72"/>
      <c r="G10300" s="72"/>
    </row>
    <row r="10301" spans="1:7" ht="14.5">
      <c r="A10301" s="5"/>
      <c r="B10301" s="18"/>
      <c r="C10301" s="85"/>
      <c r="D10301" s="41"/>
      <c r="E10301" s="26" t="str">
        <f ca="1">IFERROR(__xludf.DUMMYFUNCTION("""COMPUTED_VALUE"""),"")</f>
        <v/>
      </c>
      <c r="F10301" s="72"/>
      <c r="G10301" s="72"/>
    </row>
    <row r="10302" spans="1:7" ht="14.5">
      <c r="A10302" s="5"/>
      <c r="B10302" s="18"/>
      <c r="C10302" s="85"/>
      <c r="D10302" s="41"/>
      <c r="E10302" s="26" t="str">
        <f ca="1">IFERROR(__xludf.DUMMYFUNCTION("""COMPUTED_VALUE"""),"")</f>
        <v/>
      </c>
      <c r="F10302" s="72"/>
      <c r="G10302" s="72"/>
    </row>
    <row r="10303" spans="1:7" ht="14.5">
      <c r="A10303" s="5"/>
      <c r="B10303" s="18"/>
      <c r="C10303" s="85"/>
      <c r="D10303" s="41"/>
      <c r="E10303" s="26" t="str">
        <f ca="1">IFERROR(__xludf.DUMMYFUNCTION("""COMPUTED_VALUE"""),"")</f>
        <v/>
      </c>
      <c r="F10303" s="72"/>
      <c r="G10303" s="72"/>
    </row>
    <row r="10304" spans="1:7" ht="14.5">
      <c r="A10304" s="5"/>
      <c r="B10304" s="18"/>
      <c r="C10304" s="85"/>
      <c r="D10304" s="41"/>
      <c r="E10304" s="26" t="str">
        <f ca="1">IFERROR(__xludf.DUMMYFUNCTION("""COMPUTED_VALUE"""),"")</f>
        <v/>
      </c>
      <c r="F10304" s="72"/>
      <c r="G10304" s="72"/>
    </row>
    <row r="10305" spans="1:7" ht="14.5">
      <c r="A10305" s="5"/>
      <c r="B10305" s="18"/>
      <c r="C10305" s="85"/>
      <c r="D10305" s="41"/>
      <c r="E10305" s="26" t="str">
        <f ca="1">IFERROR(__xludf.DUMMYFUNCTION("""COMPUTED_VALUE"""),"")</f>
        <v/>
      </c>
      <c r="F10305" s="72"/>
      <c r="G10305" s="72"/>
    </row>
    <row r="10306" spans="1:7" ht="14.5">
      <c r="A10306" s="5"/>
      <c r="B10306" s="18"/>
      <c r="C10306" s="85"/>
      <c r="D10306" s="41"/>
      <c r="E10306" s="26" t="str">
        <f ca="1">IFERROR(__xludf.DUMMYFUNCTION("""COMPUTED_VALUE"""),"")</f>
        <v/>
      </c>
      <c r="F10306" s="72"/>
      <c r="G10306" s="72"/>
    </row>
    <row r="10307" spans="1:7" ht="14.5">
      <c r="A10307" s="5"/>
      <c r="B10307" s="18"/>
      <c r="C10307" s="85"/>
      <c r="D10307" s="41"/>
      <c r="E10307" s="26" t="str">
        <f ca="1">IFERROR(__xludf.DUMMYFUNCTION("""COMPUTED_VALUE"""),"")</f>
        <v/>
      </c>
      <c r="F10307" s="72"/>
      <c r="G10307" s="72"/>
    </row>
    <row r="10308" spans="1:7" ht="14.5">
      <c r="A10308" s="5"/>
      <c r="B10308" s="18"/>
      <c r="C10308" s="85"/>
      <c r="D10308" s="41"/>
      <c r="E10308" s="26" t="str">
        <f ca="1">IFERROR(__xludf.DUMMYFUNCTION("""COMPUTED_VALUE"""),"")</f>
        <v/>
      </c>
      <c r="F10308" s="72"/>
      <c r="G10308" s="72"/>
    </row>
    <row r="10309" spans="1:7" ht="14.5">
      <c r="A10309" s="5"/>
      <c r="B10309" s="18"/>
      <c r="C10309" s="85"/>
      <c r="D10309" s="41"/>
      <c r="E10309" s="26" t="str">
        <f ca="1">IFERROR(__xludf.DUMMYFUNCTION("""COMPUTED_VALUE"""),"")</f>
        <v/>
      </c>
      <c r="F10309" s="72"/>
      <c r="G10309" s="72"/>
    </row>
    <row r="10310" spans="1:7" ht="14.5">
      <c r="A10310" s="5"/>
      <c r="B10310" s="18"/>
      <c r="C10310" s="85"/>
      <c r="D10310" s="41"/>
      <c r="E10310" s="26" t="str">
        <f ca="1">IFERROR(__xludf.DUMMYFUNCTION("""COMPUTED_VALUE"""),"")</f>
        <v/>
      </c>
      <c r="F10310" s="72"/>
      <c r="G10310" s="72"/>
    </row>
    <row r="10311" spans="1:7" ht="14.5">
      <c r="A10311" s="5"/>
      <c r="B10311" s="18"/>
      <c r="C10311" s="85"/>
      <c r="D10311" s="41"/>
      <c r="E10311" s="26" t="str">
        <f ca="1">IFERROR(__xludf.DUMMYFUNCTION("""COMPUTED_VALUE"""),"")</f>
        <v/>
      </c>
      <c r="F10311" s="72"/>
      <c r="G10311" s="72"/>
    </row>
    <row r="10312" spans="1:7" ht="14.5">
      <c r="A10312" s="5"/>
      <c r="B10312" s="18"/>
      <c r="C10312" s="85"/>
      <c r="D10312" s="41"/>
      <c r="E10312" s="26" t="str">
        <f ca="1">IFERROR(__xludf.DUMMYFUNCTION("""COMPUTED_VALUE"""),"")</f>
        <v/>
      </c>
      <c r="F10312" s="72"/>
      <c r="G10312" s="72"/>
    </row>
    <row r="10313" spans="1:7" ht="14.5">
      <c r="A10313" s="5"/>
      <c r="B10313" s="18"/>
      <c r="C10313" s="85"/>
      <c r="D10313" s="41"/>
      <c r="E10313" s="26" t="str">
        <f ca="1">IFERROR(__xludf.DUMMYFUNCTION("""COMPUTED_VALUE"""),"")</f>
        <v/>
      </c>
      <c r="F10313" s="72"/>
      <c r="G10313" s="72"/>
    </row>
    <row r="10314" spans="1:7" ht="14.5">
      <c r="A10314" s="5"/>
      <c r="B10314" s="18"/>
      <c r="C10314" s="85"/>
      <c r="D10314" s="41"/>
      <c r="E10314" s="26" t="str">
        <f ca="1">IFERROR(__xludf.DUMMYFUNCTION("""COMPUTED_VALUE"""),"")</f>
        <v/>
      </c>
      <c r="F10314" s="72"/>
      <c r="G10314" s="72"/>
    </row>
    <row r="10315" spans="1:7" ht="14.5">
      <c r="A10315" s="5"/>
      <c r="B10315" s="18"/>
      <c r="C10315" s="85"/>
      <c r="D10315" s="41"/>
      <c r="E10315" s="26" t="str">
        <f ca="1">IFERROR(__xludf.DUMMYFUNCTION("""COMPUTED_VALUE"""),"")</f>
        <v/>
      </c>
      <c r="F10315" s="72"/>
      <c r="G10315" s="72"/>
    </row>
    <row r="10316" spans="1:7" ht="14.5">
      <c r="A10316" s="5"/>
      <c r="B10316" s="18"/>
      <c r="C10316" s="85"/>
      <c r="D10316" s="41"/>
      <c r="E10316" s="26" t="str">
        <f ca="1">IFERROR(__xludf.DUMMYFUNCTION("""COMPUTED_VALUE"""),"")</f>
        <v/>
      </c>
      <c r="F10316" s="72"/>
      <c r="G10316" s="72"/>
    </row>
    <row r="10317" spans="1:7" ht="14.5">
      <c r="A10317" s="5"/>
      <c r="B10317" s="18"/>
      <c r="C10317" s="85"/>
      <c r="D10317" s="41"/>
      <c r="E10317" s="26" t="str">
        <f ca="1">IFERROR(__xludf.DUMMYFUNCTION("""COMPUTED_VALUE"""),"")</f>
        <v/>
      </c>
      <c r="F10317" s="72"/>
      <c r="G10317" s="72"/>
    </row>
    <row r="10318" spans="1:7" ht="14.5">
      <c r="A10318" s="5"/>
      <c r="B10318" s="18"/>
      <c r="C10318" s="85"/>
      <c r="D10318" s="41"/>
      <c r="E10318" s="26" t="str">
        <f ca="1">IFERROR(__xludf.DUMMYFUNCTION("""COMPUTED_VALUE"""),"")</f>
        <v/>
      </c>
      <c r="F10318" s="72"/>
      <c r="G10318" s="72"/>
    </row>
    <row r="10319" spans="1:7" ht="14.5">
      <c r="A10319" s="5"/>
      <c r="B10319" s="18"/>
      <c r="C10319" s="85"/>
      <c r="D10319" s="41"/>
      <c r="E10319" s="26" t="str">
        <f ca="1">IFERROR(__xludf.DUMMYFUNCTION("""COMPUTED_VALUE"""),"")</f>
        <v/>
      </c>
      <c r="F10319" s="72"/>
      <c r="G10319" s="72"/>
    </row>
    <row r="10320" spans="1:7" ht="14.5">
      <c r="A10320" s="5"/>
      <c r="B10320" s="18"/>
      <c r="C10320" s="85"/>
      <c r="D10320" s="41"/>
      <c r="E10320" s="26" t="str">
        <f ca="1">IFERROR(__xludf.DUMMYFUNCTION("""COMPUTED_VALUE"""),"")</f>
        <v/>
      </c>
      <c r="F10320" s="72"/>
      <c r="G10320" s="72"/>
    </row>
    <row r="10321" spans="1:7" ht="14.5">
      <c r="A10321" s="5"/>
      <c r="B10321" s="18"/>
      <c r="C10321" s="85"/>
      <c r="D10321" s="41"/>
      <c r="E10321" s="26" t="str">
        <f ca="1">IFERROR(__xludf.DUMMYFUNCTION("""COMPUTED_VALUE"""),"")</f>
        <v/>
      </c>
      <c r="F10321" s="72"/>
      <c r="G10321" s="72"/>
    </row>
    <row r="10322" spans="1:7" ht="14.5">
      <c r="A10322" s="5"/>
      <c r="B10322" s="18"/>
      <c r="C10322" s="85"/>
      <c r="D10322" s="41"/>
      <c r="E10322" s="26" t="str">
        <f ca="1">IFERROR(__xludf.DUMMYFUNCTION("""COMPUTED_VALUE"""),"")</f>
        <v/>
      </c>
      <c r="F10322" s="72"/>
      <c r="G10322" s="72"/>
    </row>
    <row r="10323" spans="1:7" ht="14.5">
      <c r="A10323" s="5"/>
      <c r="B10323" s="18"/>
      <c r="C10323" s="85"/>
      <c r="D10323" s="41"/>
      <c r="E10323" s="26" t="str">
        <f ca="1">IFERROR(__xludf.DUMMYFUNCTION("""COMPUTED_VALUE"""),"")</f>
        <v/>
      </c>
      <c r="F10323" s="72"/>
      <c r="G10323" s="72"/>
    </row>
    <row r="10324" spans="1:7" ht="14.5">
      <c r="A10324" s="5"/>
      <c r="B10324" s="18"/>
      <c r="C10324" s="85"/>
      <c r="D10324" s="41"/>
      <c r="E10324" s="26" t="str">
        <f ca="1">IFERROR(__xludf.DUMMYFUNCTION("""COMPUTED_VALUE"""),"")</f>
        <v/>
      </c>
      <c r="F10324" s="72"/>
      <c r="G10324" s="72"/>
    </row>
    <row r="10325" spans="1:7" ht="14.5">
      <c r="A10325" s="5"/>
      <c r="B10325" s="18"/>
      <c r="C10325" s="85"/>
      <c r="D10325" s="41"/>
      <c r="E10325" s="26" t="str">
        <f ca="1">IFERROR(__xludf.DUMMYFUNCTION("""COMPUTED_VALUE"""),"")</f>
        <v/>
      </c>
      <c r="F10325" s="72"/>
      <c r="G10325" s="72"/>
    </row>
    <row r="10326" spans="1:7" ht="14.5">
      <c r="A10326" s="5"/>
      <c r="B10326" s="18"/>
      <c r="C10326" s="85"/>
      <c r="D10326" s="41"/>
      <c r="E10326" s="26" t="str">
        <f ca="1">IFERROR(__xludf.DUMMYFUNCTION("""COMPUTED_VALUE"""),"")</f>
        <v/>
      </c>
      <c r="F10326" s="72"/>
      <c r="G10326" s="72"/>
    </row>
    <row r="10327" spans="1:7" ht="14.5">
      <c r="A10327" s="5"/>
      <c r="B10327" s="18"/>
      <c r="C10327" s="85"/>
      <c r="D10327" s="41"/>
      <c r="E10327" s="26" t="str">
        <f ca="1">IFERROR(__xludf.DUMMYFUNCTION("""COMPUTED_VALUE"""),"")</f>
        <v/>
      </c>
      <c r="F10327" s="72"/>
      <c r="G10327" s="72"/>
    </row>
    <row r="10328" spans="1:7" ht="14.5">
      <c r="A10328" s="5"/>
      <c r="B10328" s="18"/>
      <c r="C10328" s="85"/>
      <c r="D10328" s="41"/>
      <c r="E10328" s="26" t="str">
        <f ca="1">IFERROR(__xludf.DUMMYFUNCTION("""COMPUTED_VALUE"""),"")</f>
        <v/>
      </c>
      <c r="F10328" s="72"/>
      <c r="G10328" s="72"/>
    </row>
    <row r="10329" spans="1:7" ht="14.5">
      <c r="A10329" s="5"/>
      <c r="B10329" s="18"/>
      <c r="C10329" s="85"/>
      <c r="D10329" s="41"/>
      <c r="E10329" s="26" t="str">
        <f ca="1">IFERROR(__xludf.DUMMYFUNCTION("""COMPUTED_VALUE"""),"")</f>
        <v/>
      </c>
      <c r="F10329" s="72"/>
      <c r="G10329" s="72"/>
    </row>
    <row r="10330" spans="1:7" ht="14.5">
      <c r="A10330" s="5"/>
      <c r="B10330" s="18"/>
      <c r="C10330" s="85"/>
      <c r="D10330" s="41"/>
      <c r="E10330" s="26" t="str">
        <f ca="1">IFERROR(__xludf.DUMMYFUNCTION("""COMPUTED_VALUE"""),"")</f>
        <v/>
      </c>
      <c r="F10330" s="72"/>
      <c r="G10330" s="72"/>
    </row>
    <row r="10331" spans="1:7" ht="14.5">
      <c r="A10331" s="5"/>
      <c r="B10331" s="18"/>
      <c r="C10331" s="85"/>
      <c r="D10331" s="41"/>
      <c r="E10331" s="26" t="str">
        <f ca="1">IFERROR(__xludf.DUMMYFUNCTION("""COMPUTED_VALUE"""),"")</f>
        <v/>
      </c>
      <c r="F10331" s="72"/>
      <c r="G10331" s="72"/>
    </row>
    <row r="10332" spans="1:7" ht="14.5">
      <c r="A10332" s="5"/>
      <c r="B10332" s="18"/>
      <c r="C10332" s="85"/>
      <c r="D10332" s="41"/>
      <c r="E10332" s="26" t="str">
        <f ca="1">IFERROR(__xludf.DUMMYFUNCTION("""COMPUTED_VALUE"""),"")</f>
        <v/>
      </c>
      <c r="F10332" s="72"/>
      <c r="G10332" s="72"/>
    </row>
    <row r="10333" spans="1:7" ht="14.5">
      <c r="A10333" s="5"/>
      <c r="B10333" s="18"/>
      <c r="C10333" s="85"/>
      <c r="D10333" s="41"/>
      <c r="E10333" s="26" t="str">
        <f ca="1">IFERROR(__xludf.DUMMYFUNCTION("""COMPUTED_VALUE"""),"")</f>
        <v/>
      </c>
      <c r="F10333" s="72"/>
      <c r="G10333" s="72"/>
    </row>
    <row r="10334" spans="1:7" ht="14.5">
      <c r="A10334" s="5"/>
      <c r="B10334" s="18"/>
      <c r="C10334" s="85"/>
      <c r="D10334" s="41"/>
      <c r="E10334" s="26" t="str">
        <f ca="1">IFERROR(__xludf.DUMMYFUNCTION("""COMPUTED_VALUE"""),"")</f>
        <v/>
      </c>
      <c r="F10334" s="72"/>
      <c r="G10334" s="72"/>
    </row>
    <row r="10335" spans="1:7" ht="14.5">
      <c r="A10335" s="5"/>
      <c r="B10335" s="18"/>
      <c r="C10335" s="85"/>
      <c r="D10335" s="41"/>
      <c r="E10335" s="26" t="str">
        <f ca="1">IFERROR(__xludf.DUMMYFUNCTION("""COMPUTED_VALUE"""),"")</f>
        <v/>
      </c>
      <c r="F10335" s="72"/>
      <c r="G10335" s="72"/>
    </row>
    <row r="10336" spans="1:7" ht="14.5">
      <c r="A10336" s="5"/>
      <c r="B10336" s="18"/>
      <c r="C10336" s="85"/>
      <c r="D10336" s="41"/>
      <c r="E10336" s="26" t="str">
        <f ca="1">IFERROR(__xludf.DUMMYFUNCTION("""COMPUTED_VALUE"""),"")</f>
        <v/>
      </c>
      <c r="F10336" s="72"/>
      <c r="G10336" s="72"/>
    </row>
    <row r="10337" spans="1:7" ht="14.5">
      <c r="A10337" s="5"/>
      <c r="B10337" s="18"/>
      <c r="C10337" s="85"/>
      <c r="D10337" s="41"/>
      <c r="E10337" s="26" t="str">
        <f ca="1">IFERROR(__xludf.DUMMYFUNCTION("""COMPUTED_VALUE"""),"")</f>
        <v/>
      </c>
      <c r="F10337" s="72"/>
      <c r="G10337" s="72"/>
    </row>
    <row r="10338" spans="1:7" ht="14.5">
      <c r="A10338" s="5"/>
      <c r="B10338" s="18"/>
      <c r="C10338" s="85"/>
      <c r="D10338" s="41"/>
      <c r="E10338" s="26" t="str">
        <f ca="1">IFERROR(__xludf.DUMMYFUNCTION("""COMPUTED_VALUE"""),"")</f>
        <v/>
      </c>
      <c r="F10338" s="72"/>
      <c r="G10338" s="72"/>
    </row>
    <row r="10339" spans="1:7" ht="14.5">
      <c r="A10339" s="5"/>
      <c r="B10339" s="18"/>
      <c r="C10339" s="85"/>
      <c r="D10339" s="41"/>
      <c r="E10339" s="26" t="str">
        <f ca="1">IFERROR(__xludf.DUMMYFUNCTION("""COMPUTED_VALUE"""),"")</f>
        <v/>
      </c>
      <c r="F10339" s="72"/>
      <c r="G10339" s="72"/>
    </row>
    <row r="10340" spans="1:7" ht="14.5">
      <c r="A10340" s="5"/>
      <c r="B10340" s="18"/>
      <c r="C10340" s="85"/>
      <c r="D10340" s="41"/>
      <c r="E10340" s="26" t="str">
        <f ca="1">IFERROR(__xludf.DUMMYFUNCTION("""COMPUTED_VALUE"""),"")</f>
        <v/>
      </c>
      <c r="F10340" s="72"/>
      <c r="G10340" s="72"/>
    </row>
    <row r="10341" spans="1:7" ht="14.5">
      <c r="A10341" s="5"/>
      <c r="B10341" s="18"/>
      <c r="C10341" s="85"/>
      <c r="D10341" s="41"/>
      <c r="E10341" s="26" t="str">
        <f ca="1">IFERROR(__xludf.DUMMYFUNCTION("""COMPUTED_VALUE"""),"")</f>
        <v/>
      </c>
      <c r="F10341" s="72"/>
      <c r="G10341" s="72"/>
    </row>
    <row r="10342" spans="1:7" ht="14.5">
      <c r="A10342" s="5"/>
      <c r="B10342" s="18"/>
      <c r="C10342" s="85"/>
      <c r="D10342" s="41"/>
      <c r="E10342" s="26" t="str">
        <f ca="1">IFERROR(__xludf.DUMMYFUNCTION("""COMPUTED_VALUE"""),"")</f>
        <v/>
      </c>
      <c r="F10342" s="72"/>
      <c r="G10342" s="72"/>
    </row>
    <row r="10343" spans="1:7" ht="14.5">
      <c r="A10343" s="5"/>
      <c r="B10343" s="18"/>
      <c r="C10343" s="85"/>
      <c r="D10343" s="41"/>
      <c r="E10343" s="26" t="str">
        <f ca="1">IFERROR(__xludf.DUMMYFUNCTION("""COMPUTED_VALUE"""),"")</f>
        <v/>
      </c>
      <c r="F10343" s="72"/>
      <c r="G10343" s="72"/>
    </row>
    <row r="10344" spans="1:7" ht="14.5">
      <c r="A10344" s="5"/>
      <c r="B10344" s="18"/>
      <c r="C10344" s="85"/>
      <c r="D10344" s="41"/>
      <c r="E10344" s="26" t="str">
        <f ca="1">IFERROR(__xludf.DUMMYFUNCTION("""COMPUTED_VALUE"""),"")</f>
        <v/>
      </c>
      <c r="F10344" s="72"/>
      <c r="G10344" s="72"/>
    </row>
    <row r="10345" spans="1:7" ht="14.5">
      <c r="A10345" s="5"/>
      <c r="B10345" s="18"/>
      <c r="C10345" s="85"/>
      <c r="D10345" s="41"/>
      <c r="E10345" s="26" t="str">
        <f ca="1">IFERROR(__xludf.DUMMYFUNCTION("""COMPUTED_VALUE"""),"")</f>
        <v/>
      </c>
      <c r="F10345" s="72"/>
      <c r="G10345" s="72"/>
    </row>
    <row r="10346" spans="1:7" ht="14.5">
      <c r="A10346" s="5"/>
      <c r="B10346" s="18"/>
      <c r="C10346" s="85"/>
      <c r="D10346" s="41"/>
      <c r="E10346" s="26" t="str">
        <f ca="1">IFERROR(__xludf.DUMMYFUNCTION("""COMPUTED_VALUE"""),"")</f>
        <v/>
      </c>
      <c r="F10346" s="72"/>
      <c r="G10346" s="72"/>
    </row>
    <row r="10347" spans="1:7" ht="14.5">
      <c r="A10347" s="5"/>
      <c r="B10347" s="18"/>
      <c r="C10347" s="85"/>
      <c r="D10347" s="41"/>
      <c r="E10347" s="26" t="str">
        <f ca="1">IFERROR(__xludf.DUMMYFUNCTION("""COMPUTED_VALUE"""),"")</f>
        <v/>
      </c>
      <c r="F10347" s="72"/>
      <c r="G10347" s="72"/>
    </row>
    <row r="10348" spans="1:7" ht="14.5">
      <c r="A10348" s="5"/>
      <c r="B10348" s="18"/>
      <c r="C10348" s="85"/>
      <c r="D10348" s="41"/>
      <c r="E10348" s="26" t="str">
        <f ca="1">IFERROR(__xludf.DUMMYFUNCTION("""COMPUTED_VALUE"""),"")</f>
        <v/>
      </c>
      <c r="F10348" s="72"/>
      <c r="G10348" s="72"/>
    </row>
    <row r="10349" spans="1:7" ht="14.5">
      <c r="A10349" s="5"/>
      <c r="B10349" s="18"/>
      <c r="C10349" s="85"/>
      <c r="D10349" s="41"/>
      <c r="E10349" s="26" t="str">
        <f ca="1">IFERROR(__xludf.DUMMYFUNCTION("""COMPUTED_VALUE"""),"")</f>
        <v/>
      </c>
      <c r="F10349" s="72"/>
      <c r="G10349" s="72"/>
    </row>
    <row r="10350" spans="1:7" ht="14.5">
      <c r="A10350" s="5"/>
      <c r="B10350" s="18"/>
      <c r="C10350" s="85"/>
      <c r="D10350" s="41"/>
      <c r="E10350" s="26" t="str">
        <f ca="1">IFERROR(__xludf.DUMMYFUNCTION("""COMPUTED_VALUE"""),"")</f>
        <v/>
      </c>
      <c r="F10350" s="72"/>
      <c r="G10350" s="72"/>
    </row>
    <row r="10351" spans="1:7" ht="14.5">
      <c r="A10351" s="5"/>
      <c r="B10351" s="18"/>
      <c r="C10351" s="85"/>
      <c r="D10351" s="41"/>
      <c r="E10351" s="26" t="str">
        <f ca="1">IFERROR(__xludf.DUMMYFUNCTION("""COMPUTED_VALUE"""),"")</f>
        <v/>
      </c>
      <c r="F10351" s="72"/>
      <c r="G10351" s="72"/>
    </row>
    <row r="10352" spans="1:7" ht="14.5">
      <c r="A10352" s="5"/>
      <c r="B10352" s="18"/>
      <c r="C10352" s="85"/>
      <c r="D10352" s="41"/>
      <c r="E10352" s="26" t="str">
        <f ca="1">IFERROR(__xludf.DUMMYFUNCTION("""COMPUTED_VALUE"""),"")</f>
        <v/>
      </c>
      <c r="F10352" s="72"/>
      <c r="G10352" s="72"/>
    </row>
    <row r="10353" spans="1:7" ht="14.5">
      <c r="A10353" s="5"/>
      <c r="B10353" s="18"/>
      <c r="C10353" s="85"/>
      <c r="D10353" s="41"/>
      <c r="E10353" s="26" t="str">
        <f ca="1">IFERROR(__xludf.DUMMYFUNCTION("""COMPUTED_VALUE"""),"")</f>
        <v/>
      </c>
      <c r="F10353" s="72"/>
      <c r="G10353" s="72"/>
    </row>
    <row r="10354" spans="1:7" ht="14.5">
      <c r="A10354" s="5"/>
      <c r="B10354" s="18"/>
      <c r="C10354" s="85"/>
      <c r="D10354" s="41"/>
      <c r="E10354" s="26" t="str">
        <f ca="1">IFERROR(__xludf.DUMMYFUNCTION("""COMPUTED_VALUE"""),"")</f>
        <v/>
      </c>
      <c r="F10354" s="72"/>
      <c r="G10354" s="72"/>
    </row>
    <row r="10355" spans="1:7" ht="14.5">
      <c r="A10355" s="5"/>
      <c r="B10355" s="18"/>
      <c r="C10355" s="85"/>
      <c r="D10355" s="41"/>
      <c r="E10355" s="26" t="str">
        <f ca="1">IFERROR(__xludf.DUMMYFUNCTION("""COMPUTED_VALUE"""),"")</f>
        <v/>
      </c>
      <c r="F10355" s="72"/>
      <c r="G10355" s="72"/>
    </row>
    <row r="10356" spans="1:7" ht="14.5">
      <c r="A10356" s="5"/>
      <c r="B10356" s="18"/>
      <c r="C10356" s="85"/>
      <c r="D10356" s="41"/>
      <c r="E10356" s="26" t="str">
        <f ca="1">IFERROR(__xludf.DUMMYFUNCTION("""COMPUTED_VALUE"""),"")</f>
        <v/>
      </c>
      <c r="F10356" s="72"/>
      <c r="G10356" s="72"/>
    </row>
    <row r="10357" spans="1:7" ht="14.5">
      <c r="A10357" s="5"/>
      <c r="B10357" s="18"/>
      <c r="C10357" s="85"/>
      <c r="D10357" s="41"/>
      <c r="E10357" s="26" t="str">
        <f ca="1">IFERROR(__xludf.DUMMYFUNCTION("""COMPUTED_VALUE"""),"")</f>
        <v/>
      </c>
      <c r="F10357" s="72"/>
      <c r="G10357" s="72"/>
    </row>
    <row r="10358" spans="1:7" ht="14.5">
      <c r="A10358" s="5"/>
      <c r="B10358" s="18"/>
      <c r="C10358" s="85"/>
      <c r="D10358" s="41"/>
      <c r="E10358" s="26" t="str">
        <f ca="1">IFERROR(__xludf.DUMMYFUNCTION("""COMPUTED_VALUE"""),"")</f>
        <v/>
      </c>
      <c r="F10358" s="72"/>
      <c r="G10358" s="72"/>
    </row>
    <row r="10359" spans="1:7" ht="14.5">
      <c r="A10359" s="5"/>
      <c r="B10359" s="18"/>
      <c r="C10359" s="85"/>
      <c r="D10359" s="41"/>
      <c r="E10359" s="26" t="str">
        <f ca="1">IFERROR(__xludf.DUMMYFUNCTION("""COMPUTED_VALUE"""),"")</f>
        <v/>
      </c>
      <c r="F10359" s="72"/>
      <c r="G10359" s="72"/>
    </row>
    <row r="10360" spans="1:7" ht="14.5">
      <c r="A10360" s="5"/>
      <c r="B10360" s="18"/>
      <c r="C10360" s="85"/>
      <c r="D10360" s="41"/>
      <c r="E10360" s="26" t="str">
        <f ca="1">IFERROR(__xludf.DUMMYFUNCTION("""COMPUTED_VALUE"""),"")</f>
        <v/>
      </c>
      <c r="F10360" s="72"/>
      <c r="G10360" s="72"/>
    </row>
    <row r="10361" spans="1:7" ht="14.5">
      <c r="A10361" s="5"/>
      <c r="B10361" s="18"/>
      <c r="C10361" s="85"/>
      <c r="D10361" s="41"/>
      <c r="E10361" s="26" t="str">
        <f ca="1">IFERROR(__xludf.DUMMYFUNCTION("""COMPUTED_VALUE"""),"")</f>
        <v/>
      </c>
      <c r="F10361" s="72"/>
      <c r="G10361" s="72"/>
    </row>
    <row r="10362" spans="1:7" ht="14.5">
      <c r="A10362" s="5"/>
      <c r="B10362" s="18"/>
      <c r="C10362" s="85"/>
      <c r="D10362" s="41"/>
      <c r="E10362" s="26" t="str">
        <f ca="1">IFERROR(__xludf.DUMMYFUNCTION("""COMPUTED_VALUE"""),"")</f>
        <v/>
      </c>
      <c r="F10362" s="72"/>
      <c r="G10362" s="72"/>
    </row>
    <row r="10363" spans="1:7" ht="14.5">
      <c r="A10363" s="5"/>
      <c r="B10363" s="18"/>
      <c r="C10363" s="85"/>
      <c r="D10363" s="41"/>
      <c r="E10363" s="26" t="str">
        <f ca="1">IFERROR(__xludf.DUMMYFUNCTION("""COMPUTED_VALUE"""),"")</f>
        <v/>
      </c>
      <c r="F10363" s="72"/>
      <c r="G10363" s="72"/>
    </row>
    <row r="10364" spans="1:7" ht="14.5">
      <c r="A10364" s="5"/>
      <c r="B10364" s="18"/>
      <c r="C10364" s="85"/>
      <c r="D10364" s="41"/>
      <c r="E10364" s="26" t="str">
        <f ca="1">IFERROR(__xludf.DUMMYFUNCTION("""COMPUTED_VALUE"""),"")</f>
        <v/>
      </c>
      <c r="F10364" s="72"/>
      <c r="G10364" s="72"/>
    </row>
    <row r="10365" spans="1:7" ht="14.5">
      <c r="A10365" s="5"/>
      <c r="B10365" s="18"/>
      <c r="C10365" s="85"/>
      <c r="D10365" s="41"/>
      <c r="E10365" s="26" t="str">
        <f ca="1">IFERROR(__xludf.DUMMYFUNCTION("""COMPUTED_VALUE"""),"")</f>
        <v/>
      </c>
      <c r="F10365" s="72"/>
      <c r="G10365" s="72"/>
    </row>
    <row r="10366" spans="1:7" ht="14.5">
      <c r="A10366" s="5"/>
      <c r="B10366" s="18"/>
      <c r="C10366" s="85"/>
      <c r="D10366" s="41"/>
      <c r="E10366" s="26" t="str">
        <f ca="1">IFERROR(__xludf.DUMMYFUNCTION("""COMPUTED_VALUE"""),"")</f>
        <v/>
      </c>
      <c r="F10366" s="72"/>
      <c r="G10366" s="72"/>
    </row>
    <row r="10367" spans="1:7" ht="14.5">
      <c r="A10367" s="5"/>
      <c r="B10367" s="18"/>
      <c r="C10367" s="85"/>
      <c r="D10367" s="41"/>
      <c r="E10367" s="26" t="str">
        <f ca="1">IFERROR(__xludf.DUMMYFUNCTION("""COMPUTED_VALUE"""),"")</f>
        <v/>
      </c>
      <c r="F10367" s="72"/>
      <c r="G10367" s="72"/>
    </row>
    <row r="10368" spans="1:7" ht="14.5">
      <c r="A10368" s="5"/>
      <c r="B10368" s="18"/>
      <c r="C10368" s="85"/>
      <c r="D10368" s="41"/>
      <c r="E10368" s="26" t="str">
        <f ca="1">IFERROR(__xludf.DUMMYFUNCTION("""COMPUTED_VALUE"""),"")</f>
        <v/>
      </c>
      <c r="F10368" s="72"/>
      <c r="G10368" s="72"/>
    </row>
    <row r="10369" spans="1:7" ht="14.5">
      <c r="A10369" s="5"/>
      <c r="B10369" s="18"/>
      <c r="C10369" s="85"/>
      <c r="D10369" s="41"/>
      <c r="E10369" s="26" t="str">
        <f ca="1">IFERROR(__xludf.DUMMYFUNCTION("""COMPUTED_VALUE"""),"")</f>
        <v/>
      </c>
      <c r="F10369" s="72"/>
      <c r="G10369" s="72"/>
    </row>
    <row r="10370" spans="1:7" ht="14.5">
      <c r="A10370" s="5"/>
      <c r="B10370" s="18"/>
      <c r="C10370" s="85"/>
      <c r="D10370" s="41"/>
      <c r="E10370" s="26" t="str">
        <f ca="1">IFERROR(__xludf.DUMMYFUNCTION("""COMPUTED_VALUE"""),"")</f>
        <v/>
      </c>
      <c r="F10370" s="72"/>
      <c r="G10370" s="72"/>
    </row>
    <row r="10371" spans="1:7" ht="14.5">
      <c r="A10371" s="5"/>
      <c r="B10371" s="18"/>
      <c r="C10371" s="85"/>
      <c r="D10371" s="41"/>
      <c r="E10371" s="26" t="str">
        <f ca="1">IFERROR(__xludf.DUMMYFUNCTION("""COMPUTED_VALUE"""),"")</f>
        <v/>
      </c>
      <c r="F10371" s="72"/>
      <c r="G10371" s="72"/>
    </row>
    <row r="10372" spans="1:7" ht="14.5">
      <c r="A10372" s="5"/>
      <c r="B10372" s="18"/>
      <c r="C10372" s="85"/>
      <c r="D10372" s="41"/>
      <c r="E10372" s="26" t="str">
        <f ca="1">IFERROR(__xludf.DUMMYFUNCTION("""COMPUTED_VALUE"""),"")</f>
        <v/>
      </c>
      <c r="F10372" s="72"/>
      <c r="G10372" s="72"/>
    </row>
    <row r="10373" spans="1:7" ht="14.5">
      <c r="A10373" s="5"/>
      <c r="B10373" s="18"/>
      <c r="C10373" s="85"/>
      <c r="D10373" s="41"/>
      <c r="E10373" s="26" t="str">
        <f ca="1">IFERROR(__xludf.DUMMYFUNCTION("""COMPUTED_VALUE"""),"")</f>
        <v/>
      </c>
      <c r="F10373" s="72"/>
      <c r="G10373" s="72"/>
    </row>
    <row r="10374" spans="1:7" ht="14.5">
      <c r="A10374" s="5"/>
      <c r="B10374" s="18"/>
      <c r="C10374" s="85"/>
      <c r="D10374" s="41"/>
      <c r="E10374" s="26" t="str">
        <f ca="1">IFERROR(__xludf.DUMMYFUNCTION("""COMPUTED_VALUE"""),"")</f>
        <v/>
      </c>
      <c r="F10374" s="72"/>
      <c r="G10374" s="72"/>
    </row>
    <row r="10375" spans="1:7" ht="14.5">
      <c r="A10375" s="5"/>
      <c r="B10375" s="18"/>
      <c r="C10375" s="85"/>
      <c r="D10375" s="41"/>
      <c r="E10375" s="26" t="str">
        <f ca="1">IFERROR(__xludf.DUMMYFUNCTION("""COMPUTED_VALUE"""),"")</f>
        <v/>
      </c>
      <c r="F10375" s="72"/>
      <c r="G10375" s="72"/>
    </row>
    <row r="10376" spans="1:7" ht="14.5">
      <c r="A10376" s="5"/>
      <c r="B10376" s="18"/>
      <c r="C10376" s="85"/>
      <c r="D10376" s="41"/>
      <c r="E10376" s="26" t="str">
        <f ca="1">IFERROR(__xludf.DUMMYFUNCTION("""COMPUTED_VALUE"""),"")</f>
        <v/>
      </c>
      <c r="F10376" s="72"/>
      <c r="G10376" s="72"/>
    </row>
    <row r="10377" spans="1:7" ht="14.5">
      <c r="A10377" s="5"/>
      <c r="B10377" s="18"/>
      <c r="C10377" s="85"/>
      <c r="D10377" s="41"/>
      <c r="E10377" s="26" t="str">
        <f ca="1">IFERROR(__xludf.DUMMYFUNCTION("""COMPUTED_VALUE"""),"")</f>
        <v/>
      </c>
      <c r="F10377" s="72"/>
      <c r="G10377" s="72"/>
    </row>
    <row r="10378" spans="1:7" ht="14.5">
      <c r="A10378" s="5"/>
      <c r="B10378" s="18"/>
      <c r="C10378" s="85"/>
      <c r="D10378" s="41"/>
      <c r="E10378" s="26" t="str">
        <f ca="1">IFERROR(__xludf.DUMMYFUNCTION("""COMPUTED_VALUE"""),"")</f>
        <v/>
      </c>
      <c r="F10378" s="72"/>
      <c r="G10378" s="72"/>
    </row>
    <row r="10379" spans="1:7" ht="14.5">
      <c r="A10379" s="5"/>
      <c r="B10379" s="18"/>
      <c r="C10379" s="85"/>
      <c r="D10379" s="41"/>
      <c r="E10379" s="26" t="str">
        <f ca="1">IFERROR(__xludf.DUMMYFUNCTION("""COMPUTED_VALUE"""),"")</f>
        <v/>
      </c>
      <c r="F10379" s="72"/>
      <c r="G10379" s="72"/>
    </row>
    <row r="10380" spans="1:7" ht="14.5">
      <c r="A10380" s="5"/>
      <c r="B10380" s="18"/>
      <c r="C10380" s="85"/>
      <c r="D10380" s="41"/>
      <c r="E10380" s="26" t="str">
        <f ca="1">IFERROR(__xludf.DUMMYFUNCTION("""COMPUTED_VALUE"""),"")</f>
        <v/>
      </c>
      <c r="F10380" s="72"/>
      <c r="G10380" s="72"/>
    </row>
    <row r="10381" spans="1:7" ht="14.5">
      <c r="A10381" s="5"/>
      <c r="B10381" s="18"/>
      <c r="C10381" s="85"/>
      <c r="D10381" s="41"/>
      <c r="E10381" s="26" t="str">
        <f ca="1">IFERROR(__xludf.DUMMYFUNCTION("""COMPUTED_VALUE"""),"")</f>
        <v/>
      </c>
      <c r="F10381" s="72"/>
      <c r="G10381" s="72"/>
    </row>
    <row r="10382" spans="1:7" ht="14.5">
      <c r="A10382" s="5"/>
      <c r="B10382" s="18"/>
      <c r="C10382" s="85"/>
      <c r="D10382" s="41"/>
      <c r="E10382" s="26" t="str">
        <f ca="1">IFERROR(__xludf.DUMMYFUNCTION("""COMPUTED_VALUE"""),"")</f>
        <v/>
      </c>
      <c r="F10382" s="72"/>
      <c r="G10382" s="72"/>
    </row>
    <row r="10383" spans="1:7" ht="14.5">
      <c r="A10383" s="5"/>
      <c r="B10383" s="18"/>
      <c r="C10383" s="85"/>
      <c r="D10383" s="41"/>
      <c r="E10383" s="26" t="str">
        <f ca="1">IFERROR(__xludf.DUMMYFUNCTION("""COMPUTED_VALUE"""),"")</f>
        <v/>
      </c>
      <c r="F10383" s="72"/>
      <c r="G10383" s="72"/>
    </row>
    <row r="10384" spans="1:7" ht="14.5">
      <c r="A10384" s="5"/>
      <c r="B10384" s="18"/>
      <c r="C10384" s="85"/>
      <c r="D10384" s="41"/>
      <c r="E10384" s="26" t="str">
        <f ca="1">IFERROR(__xludf.DUMMYFUNCTION("""COMPUTED_VALUE"""),"")</f>
        <v/>
      </c>
      <c r="F10384" s="72"/>
      <c r="G10384" s="72"/>
    </row>
    <row r="10385" spans="1:7" ht="14.5">
      <c r="A10385" s="5"/>
      <c r="B10385" s="18"/>
      <c r="C10385" s="85"/>
      <c r="D10385" s="41"/>
      <c r="E10385" s="26" t="str">
        <f ca="1">IFERROR(__xludf.DUMMYFUNCTION("""COMPUTED_VALUE"""),"")</f>
        <v/>
      </c>
      <c r="F10385" s="72"/>
      <c r="G10385" s="72"/>
    </row>
    <row r="10386" spans="1:7" ht="14.5">
      <c r="A10386" s="5"/>
      <c r="B10386" s="18"/>
      <c r="C10386" s="85"/>
      <c r="D10386" s="41"/>
      <c r="E10386" s="26" t="str">
        <f ca="1">IFERROR(__xludf.DUMMYFUNCTION("""COMPUTED_VALUE"""),"")</f>
        <v/>
      </c>
      <c r="F10386" s="72"/>
      <c r="G10386" s="72"/>
    </row>
    <row r="10387" spans="1:7" ht="14.5">
      <c r="A10387" s="5"/>
      <c r="B10387" s="18"/>
      <c r="C10387" s="85"/>
      <c r="D10387" s="41"/>
      <c r="E10387" s="26" t="str">
        <f ca="1">IFERROR(__xludf.DUMMYFUNCTION("""COMPUTED_VALUE"""),"")</f>
        <v/>
      </c>
      <c r="F10387" s="72"/>
      <c r="G10387" s="72"/>
    </row>
    <row r="10388" spans="1:7" ht="14.5">
      <c r="A10388" s="5"/>
      <c r="B10388" s="18"/>
      <c r="C10388" s="85"/>
      <c r="D10388" s="41"/>
      <c r="E10388" s="26" t="str">
        <f ca="1">IFERROR(__xludf.DUMMYFUNCTION("""COMPUTED_VALUE"""),"")</f>
        <v/>
      </c>
      <c r="F10388" s="72"/>
      <c r="G10388" s="72"/>
    </row>
    <row r="10389" spans="1:7" ht="14.5">
      <c r="A10389" s="5"/>
      <c r="B10389" s="18"/>
      <c r="C10389" s="85"/>
      <c r="D10389" s="41"/>
      <c r="E10389" s="26" t="str">
        <f ca="1">IFERROR(__xludf.DUMMYFUNCTION("""COMPUTED_VALUE"""),"")</f>
        <v/>
      </c>
      <c r="F10389" s="72"/>
      <c r="G10389" s="72"/>
    </row>
    <row r="10390" spans="1:7" ht="14.5">
      <c r="A10390" s="5"/>
      <c r="B10390" s="18"/>
      <c r="C10390" s="85"/>
      <c r="D10390" s="41"/>
      <c r="E10390" s="26" t="str">
        <f ca="1">IFERROR(__xludf.DUMMYFUNCTION("""COMPUTED_VALUE"""),"")</f>
        <v/>
      </c>
      <c r="F10390" s="72"/>
      <c r="G10390" s="72"/>
    </row>
    <row r="10391" spans="1:7" ht="14.5">
      <c r="A10391" s="5"/>
      <c r="B10391" s="18"/>
      <c r="C10391" s="85"/>
      <c r="D10391" s="41"/>
      <c r="E10391" s="26" t="str">
        <f ca="1">IFERROR(__xludf.DUMMYFUNCTION("""COMPUTED_VALUE"""),"")</f>
        <v/>
      </c>
      <c r="F10391" s="72"/>
      <c r="G10391" s="72"/>
    </row>
    <row r="10392" spans="1:7" ht="14.5">
      <c r="A10392" s="5"/>
      <c r="B10392" s="18"/>
      <c r="C10392" s="85"/>
      <c r="D10392" s="41"/>
      <c r="E10392" s="26" t="str">
        <f ca="1">IFERROR(__xludf.DUMMYFUNCTION("""COMPUTED_VALUE"""),"")</f>
        <v/>
      </c>
      <c r="F10392" s="72"/>
      <c r="G10392" s="72"/>
    </row>
    <row r="10393" spans="1:7" ht="14.5">
      <c r="A10393" s="5"/>
      <c r="B10393" s="18"/>
      <c r="C10393" s="85"/>
      <c r="D10393" s="41"/>
      <c r="E10393" s="26" t="str">
        <f ca="1">IFERROR(__xludf.DUMMYFUNCTION("""COMPUTED_VALUE"""),"")</f>
        <v/>
      </c>
      <c r="F10393" s="72"/>
      <c r="G10393" s="72"/>
    </row>
    <row r="10394" spans="1:7" ht="14.5">
      <c r="A10394" s="5"/>
      <c r="B10394" s="18"/>
      <c r="C10394" s="85"/>
      <c r="D10394" s="41"/>
      <c r="E10394" s="26" t="str">
        <f ca="1">IFERROR(__xludf.DUMMYFUNCTION("""COMPUTED_VALUE"""),"")</f>
        <v/>
      </c>
      <c r="F10394" s="72"/>
      <c r="G10394" s="72"/>
    </row>
    <row r="10395" spans="1:7" ht="14.5">
      <c r="A10395" s="5"/>
      <c r="B10395" s="18"/>
      <c r="C10395" s="85"/>
      <c r="D10395" s="41"/>
      <c r="E10395" s="26" t="str">
        <f ca="1">IFERROR(__xludf.DUMMYFUNCTION("""COMPUTED_VALUE"""),"")</f>
        <v/>
      </c>
      <c r="F10395" s="72"/>
      <c r="G10395" s="72"/>
    </row>
    <row r="10396" spans="1:7" ht="14.5">
      <c r="A10396" s="5"/>
      <c r="B10396" s="18"/>
      <c r="C10396" s="85"/>
      <c r="D10396" s="41"/>
      <c r="E10396" s="26" t="str">
        <f ca="1">IFERROR(__xludf.DUMMYFUNCTION("""COMPUTED_VALUE"""),"")</f>
        <v/>
      </c>
      <c r="F10396" s="72"/>
      <c r="G10396" s="72"/>
    </row>
    <row r="10397" spans="1:7" ht="14.5">
      <c r="A10397" s="5"/>
      <c r="B10397" s="18"/>
      <c r="C10397" s="85"/>
      <c r="D10397" s="41"/>
      <c r="E10397" s="26" t="str">
        <f ca="1">IFERROR(__xludf.DUMMYFUNCTION("""COMPUTED_VALUE"""),"")</f>
        <v/>
      </c>
      <c r="F10397" s="72"/>
      <c r="G10397" s="72"/>
    </row>
    <row r="10398" spans="1:7" ht="14.5">
      <c r="A10398" s="5"/>
      <c r="B10398" s="18"/>
      <c r="C10398" s="85"/>
      <c r="D10398" s="41"/>
      <c r="E10398" s="26" t="str">
        <f ca="1">IFERROR(__xludf.DUMMYFUNCTION("""COMPUTED_VALUE"""),"")</f>
        <v/>
      </c>
      <c r="F10398" s="72"/>
      <c r="G10398" s="72"/>
    </row>
    <row r="10399" spans="1:7" ht="14.5">
      <c r="A10399" s="5"/>
      <c r="B10399" s="18"/>
      <c r="C10399" s="85"/>
      <c r="D10399" s="41"/>
      <c r="E10399" s="26" t="str">
        <f ca="1">IFERROR(__xludf.DUMMYFUNCTION("""COMPUTED_VALUE"""),"")</f>
        <v/>
      </c>
      <c r="F10399" s="72"/>
      <c r="G10399" s="72"/>
    </row>
    <row r="10400" spans="1:7" ht="14.5">
      <c r="A10400" s="5"/>
      <c r="B10400" s="18"/>
      <c r="C10400" s="85"/>
      <c r="D10400" s="41"/>
      <c r="E10400" s="26" t="str">
        <f ca="1">IFERROR(__xludf.DUMMYFUNCTION("""COMPUTED_VALUE"""),"")</f>
        <v/>
      </c>
      <c r="F10400" s="72"/>
      <c r="G10400" s="72"/>
    </row>
    <row r="10401" spans="1:7" ht="14.5">
      <c r="A10401" s="5"/>
      <c r="B10401" s="18"/>
      <c r="C10401" s="85"/>
      <c r="D10401" s="41"/>
      <c r="E10401" s="26" t="str">
        <f ca="1">IFERROR(__xludf.DUMMYFUNCTION("""COMPUTED_VALUE"""),"")</f>
        <v/>
      </c>
      <c r="F10401" s="72"/>
      <c r="G10401" s="72"/>
    </row>
    <row r="10402" spans="1:7" ht="14.5">
      <c r="A10402" s="5"/>
      <c r="B10402" s="18"/>
      <c r="C10402" s="85"/>
      <c r="D10402" s="41"/>
      <c r="E10402" s="26" t="str">
        <f ca="1">IFERROR(__xludf.DUMMYFUNCTION("""COMPUTED_VALUE"""),"")</f>
        <v/>
      </c>
      <c r="F10402" s="72"/>
      <c r="G10402" s="72"/>
    </row>
    <row r="10403" spans="1:7" ht="14.5">
      <c r="A10403" s="5"/>
      <c r="B10403" s="18"/>
      <c r="C10403" s="85"/>
      <c r="D10403" s="41"/>
      <c r="E10403" s="26" t="str">
        <f ca="1">IFERROR(__xludf.DUMMYFUNCTION("""COMPUTED_VALUE"""),"")</f>
        <v/>
      </c>
      <c r="F10403" s="72"/>
      <c r="G10403" s="72"/>
    </row>
    <row r="10404" spans="1:7" ht="14.5">
      <c r="A10404" s="5"/>
      <c r="B10404" s="18"/>
      <c r="C10404" s="85"/>
      <c r="D10404" s="41"/>
      <c r="E10404" s="26" t="str">
        <f ca="1">IFERROR(__xludf.DUMMYFUNCTION("""COMPUTED_VALUE"""),"")</f>
        <v/>
      </c>
      <c r="F10404" s="72"/>
      <c r="G10404" s="72"/>
    </row>
    <row r="10405" spans="1:7" ht="14.5">
      <c r="A10405" s="5"/>
      <c r="B10405" s="18"/>
      <c r="C10405" s="85"/>
      <c r="D10405" s="41"/>
      <c r="E10405" s="26" t="str">
        <f ca="1">IFERROR(__xludf.DUMMYFUNCTION("""COMPUTED_VALUE"""),"")</f>
        <v/>
      </c>
      <c r="F10405" s="72"/>
      <c r="G10405" s="72"/>
    </row>
    <row r="10406" spans="1:7" ht="14.5">
      <c r="A10406" s="5"/>
      <c r="B10406" s="18"/>
      <c r="C10406" s="85"/>
      <c r="D10406" s="41"/>
      <c r="E10406" s="26" t="str">
        <f ca="1">IFERROR(__xludf.DUMMYFUNCTION("""COMPUTED_VALUE"""),"")</f>
        <v/>
      </c>
      <c r="F10406" s="72"/>
      <c r="G10406" s="72"/>
    </row>
    <row r="10407" spans="1:7" ht="14.5">
      <c r="A10407" s="5"/>
      <c r="B10407" s="18"/>
      <c r="C10407" s="85"/>
      <c r="D10407" s="41"/>
      <c r="E10407" s="26" t="str">
        <f ca="1">IFERROR(__xludf.DUMMYFUNCTION("""COMPUTED_VALUE"""),"")</f>
        <v/>
      </c>
      <c r="F10407" s="72"/>
      <c r="G10407" s="72"/>
    </row>
    <row r="10408" spans="1:7" ht="14.5">
      <c r="A10408" s="5"/>
      <c r="B10408" s="18"/>
      <c r="C10408" s="85"/>
      <c r="D10408" s="41"/>
      <c r="E10408" s="26" t="str">
        <f ca="1">IFERROR(__xludf.DUMMYFUNCTION("""COMPUTED_VALUE"""),"")</f>
        <v/>
      </c>
      <c r="F10408" s="72"/>
      <c r="G10408" s="72"/>
    </row>
    <row r="10409" spans="1:7" ht="14.5">
      <c r="A10409" s="5"/>
      <c r="B10409" s="18"/>
      <c r="C10409" s="85"/>
      <c r="D10409" s="41"/>
      <c r="E10409" s="26" t="str">
        <f ca="1">IFERROR(__xludf.DUMMYFUNCTION("""COMPUTED_VALUE"""),"")</f>
        <v/>
      </c>
      <c r="F10409" s="72"/>
      <c r="G10409" s="72"/>
    </row>
    <row r="10410" spans="1:7" ht="14.5">
      <c r="A10410" s="5"/>
      <c r="B10410" s="18"/>
      <c r="C10410" s="85"/>
      <c r="D10410" s="41"/>
      <c r="E10410" s="26" t="str">
        <f ca="1">IFERROR(__xludf.DUMMYFUNCTION("""COMPUTED_VALUE"""),"")</f>
        <v/>
      </c>
      <c r="F10410" s="72"/>
      <c r="G10410" s="72"/>
    </row>
    <row r="10411" spans="1:7" ht="14.5">
      <c r="A10411" s="5"/>
      <c r="B10411" s="18"/>
      <c r="C10411" s="85"/>
      <c r="D10411" s="41"/>
      <c r="E10411" s="26" t="str">
        <f ca="1">IFERROR(__xludf.DUMMYFUNCTION("""COMPUTED_VALUE"""),"")</f>
        <v/>
      </c>
      <c r="F10411" s="72"/>
      <c r="G10411" s="72"/>
    </row>
    <row r="10412" spans="1:7" ht="14.5">
      <c r="A10412" s="5"/>
      <c r="B10412" s="18"/>
      <c r="C10412" s="85"/>
      <c r="D10412" s="41"/>
      <c r="E10412" s="26" t="str">
        <f ca="1">IFERROR(__xludf.DUMMYFUNCTION("""COMPUTED_VALUE"""),"")</f>
        <v/>
      </c>
      <c r="F10412" s="72"/>
      <c r="G10412" s="72"/>
    </row>
    <row r="10413" spans="1:7" ht="14.5">
      <c r="A10413" s="5"/>
      <c r="B10413" s="18"/>
      <c r="C10413" s="85"/>
      <c r="D10413" s="41"/>
      <c r="E10413" s="26" t="str">
        <f ca="1">IFERROR(__xludf.DUMMYFUNCTION("""COMPUTED_VALUE"""),"")</f>
        <v/>
      </c>
      <c r="F10413" s="72"/>
      <c r="G10413" s="72"/>
    </row>
    <row r="10414" spans="1:7" ht="14.5">
      <c r="A10414" s="5"/>
      <c r="B10414" s="18"/>
      <c r="C10414" s="85"/>
      <c r="D10414" s="41"/>
      <c r="E10414" s="26" t="str">
        <f ca="1">IFERROR(__xludf.DUMMYFUNCTION("""COMPUTED_VALUE"""),"")</f>
        <v/>
      </c>
      <c r="F10414" s="72"/>
      <c r="G10414" s="72"/>
    </row>
    <row r="10415" spans="1:7" ht="14.5">
      <c r="A10415" s="5"/>
      <c r="B10415" s="18"/>
      <c r="C10415" s="85"/>
      <c r="D10415" s="41"/>
      <c r="E10415" s="26" t="str">
        <f ca="1">IFERROR(__xludf.DUMMYFUNCTION("""COMPUTED_VALUE"""),"")</f>
        <v/>
      </c>
      <c r="F10415" s="72"/>
      <c r="G10415" s="72"/>
    </row>
    <row r="10416" spans="1:7" ht="14.5">
      <c r="A10416" s="5"/>
      <c r="B10416" s="18"/>
      <c r="C10416" s="85"/>
      <c r="D10416" s="41"/>
      <c r="E10416" s="26" t="str">
        <f ca="1">IFERROR(__xludf.DUMMYFUNCTION("""COMPUTED_VALUE"""),"")</f>
        <v/>
      </c>
      <c r="F10416" s="72"/>
      <c r="G10416" s="72"/>
    </row>
    <row r="10417" spans="1:7" ht="14.5">
      <c r="A10417" s="5"/>
      <c r="B10417" s="18"/>
      <c r="C10417" s="85"/>
      <c r="D10417" s="41"/>
      <c r="E10417" s="26" t="str">
        <f ca="1">IFERROR(__xludf.DUMMYFUNCTION("""COMPUTED_VALUE"""),"")</f>
        <v/>
      </c>
      <c r="F10417" s="72"/>
      <c r="G10417" s="72"/>
    </row>
    <row r="10418" spans="1:7" ht="14.5">
      <c r="A10418" s="5"/>
      <c r="B10418" s="18"/>
      <c r="C10418" s="85"/>
      <c r="D10418" s="41"/>
      <c r="E10418" s="26" t="str">
        <f ca="1">IFERROR(__xludf.DUMMYFUNCTION("""COMPUTED_VALUE"""),"")</f>
        <v/>
      </c>
      <c r="F10418" s="72"/>
      <c r="G10418" s="72"/>
    </row>
    <row r="10419" spans="1:7" ht="14.5">
      <c r="A10419" s="5"/>
      <c r="B10419" s="18"/>
      <c r="C10419" s="85"/>
      <c r="D10419" s="41"/>
      <c r="E10419" s="26" t="str">
        <f ca="1">IFERROR(__xludf.DUMMYFUNCTION("""COMPUTED_VALUE"""),"")</f>
        <v/>
      </c>
      <c r="F10419" s="72"/>
      <c r="G10419" s="72"/>
    </row>
    <row r="10420" spans="1:7" ht="14.5">
      <c r="A10420" s="5"/>
      <c r="B10420" s="18"/>
      <c r="C10420" s="85"/>
      <c r="D10420" s="41"/>
      <c r="E10420" s="26" t="str">
        <f ca="1">IFERROR(__xludf.DUMMYFUNCTION("""COMPUTED_VALUE"""),"")</f>
        <v/>
      </c>
      <c r="F10420" s="72"/>
      <c r="G10420" s="72"/>
    </row>
    <row r="10421" spans="1:7" ht="14.5">
      <c r="A10421" s="5"/>
      <c r="B10421" s="18"/>
      <c r="C10421" s="85"/>
      <c r="D10421" s="41"/>
      <c r="E10421" s="26" t="str">
        <f ca="1">IFERROR(__xludf.DUMMYFUNCTION("""COMPUTED_VALUE"""),"")</f>
        <v/>
      </c>
      <c r="F10421" s="72"/>
      <c r="G10421" s="72"/>
    </row>
    <row r="10422" spans="1:7" ht="14.5">
      <c r="A10422" s="5"/>
      <c r="B10422" s="18"/>
      <c r="C10422" s="85"/>
      <c r="D10422" s="41"/>
      <c r="E10422" s="26" t="str">
        <f ca="1">IFERROR(__xludf.DUMMYFUNCTION("""COMPUTED_VALUE"""),"")</f>
        <v/>
      </c>
      <c r="F10422" s="72"/>
      <c r="G10422" s="72"/>
    </row>
    <row r="10423" spans="1:7" ht="14.5">
      <c r="A10423" s="5"/>
      <c r="B10423" s="18"/>
      <c r="C10423" s="85"/>
      <c r="D10423" s="41"/>
      <c r="E10423" s="26" t="str">
        <f ca="1">IFERROR(__xludf.DUMMYFUNCTION("""COMPUTED_VALUE"""),"")</f>
        <v/>
      </c>
      <c r="F10423" s="72"/>
      <c r="G10423" s="72"/>
    </row>
    <row r="10424" spans="1:7" ht="14.5">
      <c r="A10424" s="5"/>
      <c r="B10424" s="18"/>
      <c r="C10424" s="85"/>
      <c r="D10424" s="41"/>
      <c r="E10424" s="26" t="str">
        <f ca="1">IFERROR(__xludf.DUMMYFUNCTION("""COMPUTED_VALUE"""),"")</f>
        <v/>
      </c>
      <c r="F10424" s="72"/>
      <c r="G10424" s="72"/>
    </row>
    <row r="10425" spans="1:7" ht="14.5">
      <c r="A10425" s="5"/>
      <c r="B10425" s="18"/>
      <c r="C10425" s="85"/>
      <c r="D10425" s="41"/>
      <c r="E10425" s="26" t="str">
        <f ca="1">IFERROR(__xludf.DUMMYFUNCTION("""COMPUTED_VALUE"""),"")</f>
        <v/>
      </c>
      <c r="F10425" s="72"/>
      <c r="G10425" s="72"/>
    </row>
    <row r="10426" spans="1:7" ht="14.5">
      <c r="A10426" s="5"/>
      <c r="B10426" s="18"/>
      <c r="C10426" s="85"/>
      <c r="D10426" s="41"/>
      <c r="E10426" s="26" t="str">
        <f ca="1">IFERROR(__xludf.DUMMYFUNCTION("""COMPUTED_VALUE"""),"")</f>
        <v/>
      </c>
      <c r="F10426" s="72"/>
      <c r="G10426" s="72"/>
    </row>
    <row r="10427" spans="1:7" ht="14.5">
      <c r="A10427" s="5"/>
      <c r="B10427" s="18"/>
      <c r="C10427" s="85"/>
      <c r="D10427" s="41"/>
      <c r="E10427" s="26" t="str">
        <f ca="1">IFERROR(__xludf.DUMMYFUNCTION("""COMPUTED_VALUE"""),"")</f>
        <v/>
      </c>
      <c r="F10427" s="72"/>
      <c r="G10427" s="72"/>
    </row>
    <row r="10428" spans="1:7" ht="14.5">
      <c r="A10428" s="5"/>
      <c r="B10428" s="18"/>
      <c r="C10428" s="85"/>
      <c r="D10428" s="41"/>
      <c r="E10428" s="26" t="str">
        <f ca="1">IFERROR(__xludf.DUMMYFUNCTION("""COMPUTED_VALUE"""),"")</f>
        <v/>
      </c>
      <c r="F10428" s="72"/>
      <c r="G10428" s="72"/>
    </row>
    <row r="10429" spans="1:7" ht="14.5">
      <c r="A10429" s="5"/>
      <c r="B10429" s="18"/>
      <c r="C10429" s="85"/>
      <c r="D10429" s="41"/>
      <c r="E10429" s="26" t="str">
        <f ca="1">IFERROR(__xludf.DUMMYFUNCTION("""COMPUTED_VALUE"""),"")</f>
        <v/>
      </c>
      <c r="F10429" s="72"/>
      <c r="G10429" s="72"/>
    </row>
    <row r="10430" spans="1:7" ht="14.5">
      <c r="A10430" s="5"/>
      <c r="B10430" s="18"/>
      <c r="C10430" s="85"/>
      <c r="D10430" s="41"/>
      <c r="E10430" s="26" t="str">
        <f ca="1">IFERROR(__xludf.DUMMYFUNCTION("""COMPUTED_VALUE"""),"")</f>
        <v/>
      </c>
      <c r="F10430" s="72"/>
      <c r="G10430" s="72"/>
    </row>
    <row r="10431" spans="1:7" ht="14.5">
      <c r="A10431" s="5"/>
      <c r="B10431" s="18"/>
      <c r="C10431" s="85"/>
      <c r="D10431" s="41"/>
      <c r="E10431" s="26" t="str">
        <f ca="1">IFERROR(__xludf.DUMMYFUNCTION("""COMPUTED_VALUE"""),"")</f>
        <v/>
      </c>
      <c r="F10431" s="72"/>
      <c r="G10431" s="72"/>
    </row>
    <row r="10432" spans="1:7" ht="14.5">
      <c r="A10432" s="5"/>
      <c r="B10432" s="18"/>
      <c r="C10432" s="85"/>
      <c r="D10432" s="41"/>
      <c r="E10432" s="26" t="str">
        <f ca="1">IFERROR(__xludf.DUMMYFUNCTION("""COMPUTED_VALUE"""),"")</f>
        <v/>
      </c>
      <c r="F10432" s="72"/>
      <c r="G10432" s="72"/>
    </row>
    <row r="10433" spans="1:7" ht="14.5">
      <c r="A10433" s="5"/>
      <c r="B10433" s="18"/>
      <c r="C10433" s="85"/>
      <c r="D10433" s="41"/>
      <c r="E10433" s="26" t="str">
        <f ca="1">IFERROR(__xludf.DUMMYFUNCTION("""COMPUTED_VALUE"""),"")</f>
        <v/>
      </c>
      <c r="F10433" s="72"/>
      <c r="G10433" s="72"/>
    </row>
    <row r="10434" spans="1:7" ht="14.5">
      <c r="A10434" s="5"/>
      <c r="B10434" s="18"/>
      <c r="C10434" s="85"/>
      <c r="D10434" s="41"/>
      <c r="E10434" s="26" t="str">
        <f ca="1">IFERROR(__xludf.DUMMYFUNCTION("""COMPUTED_VALUE"""),"")</f>
        <v/>
      </c>
      <c r="F10434" s="72"/>
      <c r="G10434" s="72"/>
    </row>
    <row r="10435" spans="1:7" ht="14.5">
      <c r="A10435" s="5"/>
      <c r="B10435" s="18"/>
      <c r="C10435" s="85"/>
      <c r="D10435" s="41"/>
      <c r="E10435" s="26" t="str">
        <f ca="1">IFERROR(__xludf.DUMMYFUNCTION("""COMPUTED_VALUE"""),"")</f>
        <v/>
      </c>
      <c r="F10435" s="72"/>
      <c r="G10435" s="72"/>
    </row>
    <row r="10436" spans="1:7" ht="14.5">
      <c r="A10436" s="5"/>
      <c r="B10436" s="18"/>
      <c r="C10436" s="85"/>
      <c r="D10436" s="41"/>
      <c r="E10436" s="26" t="str">
        <f ca="1">IFERROR(__xludf.DUMMYFUNCTION("""COMPUTED_VALUE"""),"")</f>
        <v/>
      </c>
      <c r="F10436" s="72"/>
      <c r="G10436" s="72"/>
    </row>
    <row r="10437" spans="1:7" ht="14.5">
      <c r="A10437" s="5"/>
      <c r="B10437" s="18"/>
      <c r="C10437" s="85"/>
      <c r="D10437" s="41"/>
      <c r="E10437" s="26" t="str">
        <f ca="1">IFERROR(__xludf.DUMMYFUNCTION("""COMPUTED_VALUE"""),"")</f>
        <v/>
      </c>
      <c r="F10437" s="72"/>
      <c r="G10437" s="72"/>
    </row>
    <row r="10438" spans="1:7" ht="14.5">
      <c r="A10438" s="5"/>
      <c r="B10438" s="18"/>
      <c r="C10438" s="85"/>
      <c r="D10438" s="41"/>
      <c r="E10438" s="26" t="str">
        <f ca="1">IFERROR(__xludf.DUMMYFUNCTION("""COMPUTED_VALUE"""),"")</f>
        <v/>
      </c>
      <c r="F10438" s="72"/>
      <c r="G10438" s="72"/>
    </row>
    <row r="10439" spans="1:7" ht="14.5">
      <c r="A10439" s="5"/>
      <c r="B10439" s="18"/>
      <c r="C10439" s="85"/>
      <c r="D10439" s="41"/>
      <c r="E10439" s="26" t="str">
        <f ca="1">IFERROR(__xludf.DUMMYFUNCTION("""COMPUTED_VALUE"""),"")</f>
        <v/>
      </c>
      <c r="F10439" s="72"/>
      <c r="G10439" s="72"/>
    </row>
    <row r="10440" spans="1:7" ht="14.5">
      <c r="A10440" s="5"/>
      <c r="B10440" s="18"/>
      <c r="C10440" s="85"/>
      <c r="D10440" s="41"/>
      <c r="E10440" s="26" t="str">
        <f ca="1">IFERROR(__xludf.DUMMYFUNCTION("""COMPUTED_VALUE"""),"")</f>
        <v/>
      </c>
      <c r="F10440" s="72"/>
      <c r="G10440" s="72"/>
    </row>
    <row r="10441" spans="1:7" ht="14.5">
      <c r="A10441" s="5"/>
      <c r="B10441" s="18"/>
      <c r="C10441" s="85"/>
      <c r="D10441" s="41"/>
      <c r="E10441" s="26" t="str">
        <f ca="1">IFERROR(__xludf.DUMMYFUNCTION("""COMPUTED_VALUE"""),"")</f>
        <v/>
      </c>
      <c r="F10441" s="72"/>
      <c r="G10441" s="72"/>
    </row>
    <row r="10442" spans="1:7" ht="14.5">
      <c r="A10442" s="5"/>
      <c r="B10442" s="18"/>
      <c r="C10442" s="85"/>
      <c r="D10442" s="41"/>
      <c r="E10442" s="26" t="str">
        <f ca="1">IFERROR(__xludf.DUMMYFUNCTION("""COMPUTED_VALUE"""),"")</f>
        <v/>
      </c>
      <c r="F10442" s="72"/>
      <c r="G10442" s="72"/>
    </row>
    <row r="10443" spans="1:7" ht="14.5">
      <c r="A10443" s="5"/>
      <c r="B10443" s="18"/>
      <c r="C10443" s="85"/>
      <c r="D10443" s="41"/>
      <c r="E10443" s="26" t="str">
        <f ca="1">IFERROR(__xludf.DUMMYFUNCTION("""COMPUTED_VALUE"""),"")</f>
        <v/>
      </c>
      <c r="F10443" s="72"/>
      <c r="G10443" s="72"/>
    </row>
    <row r="10444" spans="1:7" ht="14.5">
      <c r="A10444" s="5"/>
      <c r="B10444" s="18"/>
      <c r="C10444" s="85"/>
      <c r="D10444" s="41"/>
      <c r="E10444" s="26" t="str">
        <f ca="1">IFERROR(__xludf.DUMMYFUNCTION("""COMPUTED_VALUE"""),"")</f>
        <v/>
      </c>
      <c r="F10444" s="72"/>
      <c r="G10444" s="72"/>
    </row>
    <row r="10445" spans="1:7" ht="14.5">
      <c r="A10445" s="5"/>
      <c r="B10445" s="18"/>
      <c r="C10445" s="85"/>
      <c r="D10445" s="41"/>
      <c r="E10445" s="26" t="str">
        <f ca="1">IFERROR(__xludf.DUMMYFUNCTION("""COMPUTED_VALUE"""),"")</f>
        <v/>
      </c>
      <c r="F10445" s="72"/>
      <c r="G10445" s="72"/>
    </row>
    <row r="10446" spans="1:7" ht="14.5">
      <c r="A10446" s="5"/>
      <c r="B10446" s="18"/>
      <c r="C10446" s="85"/>
      <c r="D10446" s="41"/>
      <c r="E10446" s="26" t="str">
        <f ca="1">IFERROR(__xludf.DUMMYFUNCTION("""COMPUTED_VALUE"""),"")</f>
        <v/>
      </c>
      <c r="F10446" s="72"/>
      <c r="G10446" s="72"/>
    </row>
    <row r="10447" spans="1:7" ht="14.5">
      <c r="A10447" s="5"/>
      <c r="B10447" s="18"/>
      <c r="C10447" s="85"/>
      <c r="D10447" s="41"/>
      <c r="E10447" s="26" t="str">
        <f ca="1">IFERROR(__xludf.DUMMYFUNCTION("""COMPUTED_VALUE"""),"")</f>
        <v/>
      </c>
      <c r="F10447" s="72"/>
      <c r="G10447" s="72"/>
    </row>
    <row r="10448" spans="1:7" ht="14.5">
      <c r="A10448" s="5"/>
      <c r="B10448" s="18"/>
      <c r="C10448" s="85"/>
      <c r="D10448" s="41"/>
      <c r="E10448" s="26" t="str">
        <f ca="1">IFERROR(__xludf.DUMMYFUNCTION("""COMPUTED_VALUE"""),"")</f>
        <v/>
      </c>
      <c r="F10448" s="72"/>
      <c r="G10448" s="72"/>
    </row>
    <row r="10449" spans="1:7" ht="14.5">
      <c r="A10449" s="5"/>
      <c r="B10449" s="18"/>
      <c r="C10449" s="85"/>
      <c r="D10449" s="41"/>
      <c r="E10449" s="26" t="str">
        <f ca="1">IFERROR(__xludf.DUMMYFUNCTION("""COMPUTED_VALUE"""),"")</f>
        <v/>
      </c>
      <c r="F10449" s="72"/>
      <c r="G10449" s="72"/>
    </row>
    <row r="10450" spans="1:7" ht="14.5">
      <c r="A10450" s="5"/>
      <c r="B10450" s="18"/>
      <c r="C10450" s="85"/>
      <c r="D10450" s="41"/>
      <c r="E10450" s="26" t="str">
        <f ca="1">IFERROR(__xludf.DUMMYFUNCTION("""COMPUTED_VALUE"""),"")</f>
        <v/>
      </c>
      <c r="F10450" s="72"/>
      <c r="G10450" s="72"/>
    </row>
    <row r="10451" spans="1:7" ht="14.5">
      <c r="A10451" s="5"/>
      <c r="B10451" s="18"/>
      <c r="C10451" s="85"/>
      <c r="D10451" s="41"/>
      <c r="E10451" s="26" t="str">
        <f ca="1">IFERROR(__xludf.DUMMYFUNCTION("""COMPUTED_VALUE"""),"")</f>
        <v/>
      </c>
      <c r="F10451" s="72"/>
      <c r="G10451" s="72"/>
    </row>
    <row r="10452" spans="1:7" ht="14.5">
      <c r="A10452" s="5"/>
      <c r="B10452" s="18"/>
      <c r="C10452" s="85"/>
      <c r="D10452" s="41"/>
      <c r="E10452" s="26" t="str">
        <f ca="1">IFERROR(__xludf.DUMMYFUNCTION("""COMPUTED_VALUE"""),"")</f>
        <v/>
      </c>
      <c r="F10452" s="72"/>
      <c r="G10452" s="72"/>
    </row>
    <row r="10453" spans="1:7" ht="14.5">
      <c r="A10453" s="5"/>
      <c r="B10453" s="18"/>
      <c r="C10453" s="85"/>
      <c r="D10453" s="41"/>
      <c r="E10453" s="26" t="str">
        <f ca="1">IFERROR(__xludf.DUMMYFUNCTION("""COMPUTED_VALUE"""),"")</f>
        <v/>
      </c>
      <c r="F10453" s="72"/>
      <c r="G10453" s="72"/>
    </row>
    <row r="10454" spans="1:7" ht="14.5">
      <c r="A10454" s="5"/>
      <c r="B10454" s="18"/>
      <c r="C10454" s="85"/>
      <c r="D10454" s="41"/>
      <c r="E10454" s="26" t="str">
        <f ca="1">IFERROR(__xludf.DUMMYFUNCTION("""COMPUTED_VALUE"""),"")</f>
        <v/>
      </c>
      <c r="F10454" s="72"/>
      <c r="G10454" s="72"/>
    </row>
    <row r="10455" spans="1:7" ht="14.5">
      <c r="A10455" s="5"/>
      <c r="B10455" s="18"/>
      <c r="C10455" s="85"/>
      <c r="D10455" s="41"/>
      <c r="E10455" s="26" t="str">
        <f ca="1">IFERROR(__xludf.DUMMYFUNCTION("""COMPUTED_VALUE"""),"")</f>
        <v/>
      </c>
      <c r="F10455" s="72"/>
      <c r="G10455" s="72"/>
    </row>
    <row r="10456" spans="1:7" ht="14.5">
      <c r="A10456" s="5"/>
      <c r="B10456" s="18"/>
      <c r="C10456" s="85"/>
      <c r="D10456" s="41"/>
      <c r="E10456" s="26" t="str">
        <f ca="1">IFERROR(__xludf.DUMMYFUNCTION("""COMPUTED_VALUE"""),"")</f>
        <v/>
      </c>
      <c r="F10456" s="72"/>
      <c r="G10456" s="72"/>
    </row>
    <row r="10457" spans="1:7" ht="14.5">
      <c r="A10457" s="5"/>
      <c r="B10457" s="18"/>
      <c r="C10457" s="85"/>
      <c r="D10457" s="41"/>
      <c r="E10457" s="26" t="str">
        <f ca="1">IFERROR(__xludf.DUMMYFUNCTION("""COMPUTED_VALUE"""),"")</f>
        <v/>
      </c>
      <c r="F10457" s="72"/>
      <c r="G10457" s="72"/>
    </row>
    <row r="10458" spans="1:7" ht="14.5">
      <c r="A10458" s="5"/>
      <c r="B10458" s="18"/>
      <c r="C10458" s="85"/>
      <c r="D10458" s="41"/>
      <c r="E10458" s="26" t="str">
        <f ca="1">IFERROR(__xludf.DUMMYFUNCTION("""COMPUTED_VALUE"""),"")</f>
        <v/>
      </c>
      <c r="F10458" s="72"/>
      <c r="G10458" s="72"/>
    </row>
    <row r="10459" spans="1:7" ht="14.5">
      <c r="A10459" s="5"/>
      <c r="B10459" s="18"/>
      <c r="C10459" s="85"/>
      <c r="D10459" s="41"/>
      <c r="E10459" s="26" t="str">
        <f ca="1">IFERROR(__xludf.DUMMYFUNCTION("""COMPUTED_VALUE"""),"")</f>
        <v/>
      </c>
      <c r="F10459" s="72"/>
      <c r="G10459" s="72"/>
    </row>
    <row r="10460" spans="1:7" ht="14.5">
      <c r="A10460" s="5"/>
      <c r="B10460" s="18"/>
      <c r="C10460" s="85"/>
      <c r="D10460" s="41"/>
      <c r="E10460" s="26" t="str">
        <f ca="1">IFERROR(__xludf.DUMMYFUNCTION("""COMPUTED_VALUE"""),"")</f>
        <v/>
      </c>
      <c r="F10460" s="72"/>
      <c r="G10460" s="72"/>
    </row>
    <row r="10461" spans="1:7" ht="14.5">
      <c r="A10461" s="5"/>
      <c r="B10461" s="18"/>
      <c r="C10461" s="85"/>
      <c r="D10461" s="41"/>
      <c r="E10461" s="26" t="str">
        <f ca="1">IFERROR(__xludf.DUMMYFUNCTION("""COMPUTED_VALUE"""),"")</f>
        <v/>
      </c>
      <c r="F10461" s="72"/>
      <c r="G10461" s="72"/>
    </row>
    <row r="10462" spans="1:7" ht="14.5">
      <c r="A10462" s="5"/>
      <c r="B10462" s="18"/>
      <c r="C10462" s="85"/>
      <c r="D10462" s="41"/>
      <c r="E10462" s="26" t="str">
        <f ca="1">IFERROR(__xludf.DUMMYFUNCTION("""COMPUTED_VALUE"""),"")</f>
        <v/>
      </c>
      <c r="F10462" s="72"/>
      <c r="G10462" s="72"/>
    </row>
    <row r="10463" spans="1:7" ht="14.5">
      <c r="A10463" s="5"/>
      <c r="B10463" s="18"/>
      <c r="C10463" s="85"/>
      <c r="D10463" s="41"/>
      <c r="E10463" s="26" t="str">
        <f ca="1">IFERROR(__xludf.DUMMYFUNCTION("""COMPUTED_VALUE"""),"")</f>
        <v/>
      </c>
      <c r="F10463" s="72"/>
      <c r="G10463" s="72"/>
    </row>
    <row r="10464" spans="1:7" ht="14.5">
      <c r="A10464" s="5"/>
      <c r="B10464" s="18"/>
      <c r="C10464" s="85"/>
      <c r="D10464" s="41"/>
      <c r="E10464" s="26" t="str">
        <f ca="1">IFERROR(__xludf.DUMMYFUNCTION("""COMPUTED_VALUE"""),"")</f>
        <v/>
      </c>
      <c r="F10464" s="72"/>
      <c r="G10464" s="72"/>
    </row>
    <row r="10465" spans="1:7" ht="14.5">
      <c r="A10465" s="5"/>
      <c r="B10465" s="18"/>
      <c r="C10465" s="85"/>
      <c r="D10465" s="41"/>
      <c r="E10465" s="26" t="str">
        <f ca="1">IFERROR(__xludf.DUMMYFUNCTION("""COMPUTED_VALUE"""),"")</f>
        <v/>
      </c>
      <c r="F10465" s="72"/>
      <c r="G10465" s="72"/>
    </row>
    <row r="10466" spans="1:7" ht="14.5">
      <c r="A10466" s="5"/>
      <c r="B10466" s="18"/>
      <c r="C10466" s="85"/>
      <c r="D10466" s="41"/>
      <c r="E10466" s="26" t="str">
        <f ca="1">IFERROR(__xludf.DUMMYFUNCTION("""COMPUTED_VALUE"""),"")</f>
        <v/>
      </c>
      <c r="F10466" s="72"/>
      <c r="G10466" s="72"/>
    </row>
    <row r="10467" spans="1:7" ht="14.5">
      <c r="A10467" s="5"/>
      <c r="B10467" s="18"/>
      <c r="C10467" s="85"/>
      <c r="D10467" s="41"/>
      <c r="E10467" s="26" t="str">
        <f ca="1">IFERROR(__xludf.DUMMYFUNCTION("""COMPUTED_VALUE"""),"")</f>
        <v/>
      </c>
      <c r="F10467" s="72"/>
      <c r="G10467" s="72"/>
    </row>
    <row r="10468" spans="1:7" ht="14.5">
      <c r="A10468" s="5"/>
      <c r="B10468" s="18"/>
      <c r="C10468" s="85"/>
      <c r="D10468" s="41"/>
      <c r="E10468" s="26" t="str">
        <f ca="1">IFERROR(__xludf.DUMMYFUNCTION("""COMPUTED_VALUE"""),"")</f>
        <v/>
      </c>
      <c r="F10468" s="72"/>
      <c r="G10468" s="72"/>
    </row>
    <row r="10469" spans="1:7" ht="14.5">
      <c r="A10469" s="5"/>
      <c r="B10469" s="18"/>
      <c r="C10469" s="85"/>
      <c r="D10469" s="41"/>
      <c r="E10469" s="26" t="str">
        <f ca="1">IFERROR(__xludf.DUMMYFUNCTION("""COMPUTED_VALUE"""),"")</f>
        <v/>
      </c>
      <c r="F10469" s="72"/>
      <c r="G10469" s="72"/>
    </row>
    <row r="10470" spans="1:7" ht="14.5">
      <c r="A10470" s="5"/>
      <c r="B10470" s="18"/>
      <c r="C10470" s="85"/>
      <c r="D10470" s="41"/>
      <c r="E10470" s="26" t="str">
        <f ca="1">IFERROR(__xludf.DUMMYFUNCTION("""COMPUTED_VALUE"""),"")</f>
        <v/>
      </c>
      <c r="F10470" s="72"/>
      <c r="G10470" s="72"/>
    </row>
    <row r="10471" spans="1:7" ht="14.5">
      <c r="A10471" s="5"/>
      <c r="B10471" s="18"/>
      <c r="C10471" s="85"/>
      <c r="D10471" s="41"/>
      <c r="E10471" s="26" t="str">
        <f ca="1">IFERROR(__xludf.DUMMYFUNCTION("""COMPUTED_VALUE"""),"")</f>
        <v/>
      </c>
      <c r="F10471" s="72"/>
      <c r="G10471" s="72"/>
    </row>
    <row r="10472" spans="1:7" ht="14.5">
      <c r="A10472" s="5"/>
      <c r="B10472" s="18"/>
      <c r="C10472" s="85"/>
      <c r="D10472" s="41"/>
      <c r="E10472" s="26" t="str">
        <f ca="1">IFERROR(__xludf.DUMMYFUNCTION("""COMPUTED_VALUE"""),"")</f>
        <v/>
      </c>
      <c r="F10472" s="72"/>
      <c r="G10472" s="72"/>
    </row>
    <row r="10473" spans="1:7" ht="14.5">
      <c r="A10473" s="5"/>
      <c r="B10473" s="18"/>
      <c r="C10473" s="85"/>
      <c r="D10473" s="41"/>
      <c r="E10473" s="26" t="str">
        <f ca="1">IFERROR(__xludf.DUMMYFUNCTION("""COMPUTED_VALUE"""),"")</f>
        <v/>
      </c>
      <c r="F10473" s="72"/>
      <c r="G10473" s="72"/>
    </row>
    <row r="10474" spans="1:7" ht="14.5">
      <c r="A10474" s="5"/>
      <c r="B10474" s="18"/>
      <c r="C10474" s="85"/>
      <c r="D10474" s="41"/>
      <c r="E10474" s="26" t="str">
        <f ca="1">IFERROR(__xludf.DUMMYFUNCTION("""COMPUTED_VALUE"""),"")</f>
        <v/>
      </c>
      <c r="F10474" s="72"/>
      <c r="G10474" s="72"/>
    </row>
    <row r="10475" spans="1:7" ht="14.5">
      <c r="A10475" s="5"/>
      <c r="B10475" s="18"/>
      <c r="C10475" s="85"/>
      <c r="D10475" s="41"/>
      <c r="E10475" s="26" t="str">
        <f ca="1">IFERROR(__xludf.DUMMYFUNCTION("""COMPUTED_VALUE"""),"")</f>
        <v/>
      </c>
      <c r="F10475" s="72"/>
      <c r="G10475" s="72"/>
    </row>
    <row r="10476" spans="1:7" ht="14.5">
      <c r="A10476" s="5"/>
      <c r="B10476" s="18"/>
      <c r="C10476" s="85"/>
      <c r="D10476" s="41"/>
      <c r="E10476" s="26" t="str">
        <f ca="1">IFERROR(__xludf.DUMMYFUNCTION("""COMPUTED_VALUE"""),"")</f>
        <v/>
      </c>
      <c r="F10476" s="72"/>
      <c r="G10476" s="72"/>
    </row>
    <row r="10477" spans="1:7" ht="14.5">
      <c r="A10477" s="5"/>
      <c r="B10477" s="18"/>
      <c r="C10477" s="85"/>
      <c r="D10477" s="41"/>
      <c r="E10477" s="26" t="str">
        <f ca="1">IFERROR(__xludf.DUMMYFUNCTION("""COMPUTED_VALUE"""),"")</f>
        <v/>
      </c>
      <c r="F10477" s="72"/>
      <c r="G10477" s="72"/>
    </row>
    <row r="10478" spans="1:7" ht="14.5">
      <c r="A10478" s="5"/>
      <c r="B10478" s="18"/>
      <c r="C10478" s="85"/>
      <c r="D10478" s="41"/>
      <c r="E10478" s="26" t="str">
        <f ca="1">IFERROR(__xludf.DUMMYFUNCTION("""COMPUTED_VALUE"""),"")</f>
        <v/>
      </c>
      <c r="F10478" s="72"/>
      <c r="G10478" s="72"/>
    </row>
    <row r="10479" spans="1:7" ht="14.5">
      <c r="A10479" s="5"/>
      <c r="B10479" s="18"/>
      <c r="C10479" s="85"/>
      <c r="D10479" s="41"/>
      <c r="E10479" s="26" t="str">
        <f ca="1">IFERROR(__xludf.DUMMYFUNCTION("""COMPUTED_VALUE"""),"")</f>
        <v/>
      </c>
      <c r="F10479" s="72"/>
      <c r="G10479" s="72"/>
    </row>
    <row r="10480" spans="1:7" ht="14.5">
      <c r="A10480" s="5"/>
      <c r="B10480" s="18"/>
      <c r="C10480" s="85"/>
      <c r="D10480" s="41"/>
      <c r="E10480" s="26" t="str">
        <f ca="1">IFERROR(__xludf.DUMMYFUNCTION("""COMPUTED_VALUE"""),"")</f>
        <v/>
      </c>
      <c r="F10480" s="72"/>
      <c r="G10480" s="72"/>
    </row>
    <row r="10481" spans="1:7" ht="14.5">
      <c r="A10481" s="5"/>
      <c r="B10481" s="18"/>
      <c r="C10481" s="85"/>
      <c r="D10481" s="41"/>
      <c r="E10481" s="26" t="str">
        <f ca="1">IFERROR(__xludf.DUMMYFUNCTION("""COMPUTED_VALUE"""),"")</f>
        <v/>
      </c>
      <c r="F10481" s="72"/>
      <c r="G10481" s="72"/>
    </row>
    <row r="10482" spans="1:7" ht="14.5">
      <c r="A10482" s="5"/>
      <c r="B10482" s="18"/>
      <c r="C10482" s="85"/>
      <c r="D10482" s="41"/>
      <c r="E10482" s="26" t="str">
        <f ca="1">IFERROR(__xludf.DUMMYFUNCTION("""COMPUTED_VALUE"""),"")</f>
        <v/>
      </c>
      <c r="F10482" s="72"/>
      <c r="G10482" s="72"/>
    </row>
    <row r="10483" spans="1:7" ht="14.5">
      <c r="A10483" s="5"/>
      <c r="B10483" s="18"/>
      <c r="C10483" s="85"/>
      <c r="D10483" s="41"/>
      <c r="E10483" s="26" t="str">
        <f ca="1">IFERROR(__xludf.DUMMYFUNCTION("""COMPUTED_VALUE"""),"")</f>
        <v/>
      </c>
      <c r="F10483" s="72"/>
      <c r="G10483" s="72"/>
    </row>
    <row r="10484" spans="1:7" ht="14.5">
      <c r="A10484" s="5"/>
      <c r="B10484" s="18"/>
      <c r="C10484" s="85"/>
      <c r="D10484" s="41"/>
      <c r="E10484" s="26" t="str">
        <f ca="1">IFERROR(__xludf.DUMMYFUNCTION("""COMPUTED_VALUE"""),"")</f>
        <v/>
      </c>
      <c r="F10484" s="72"/>
      <c r="G10484" s="72"/>
    </row>
    <row r="10485" spans="1:7" ht="14.5">
      <c r="A10485" s="5"/>
      <c r="B10485" s="18"/>
      <c r="C10485" s="85"/>
      <c r="D10485" s="41"/>
      <c r="E10485" s="26" t="str">
        <f ca="1">IFERROR(__xludf.DUMMYFUNCTION("""COMPUTED_VALUE"""),"")</f>
        <v/>
      </c>
      <c r="F10485" s="72"/>
      <c r="G10485" s="72"/>
    </row>
    <row r="10486" spans="1:7" ht="14.5">
      <c r="A10486" s="5"/>
      <c r="B10486" s="18"/>
      <c r="C10486" s="85"/>
      <c r="D10486" s="41"/>
      <c r="E10486" s="26" t="str">
        <f ca="1">IFERROR(__xludf.DUMMYFUNCTION("""COMPUTED_VALUE"""),"")</f>
        <v/>
      </c>
      <c r="F10486" s="72"/>
      <c r="G10486" s="72"/>
    </row>
    <row r="10487" spans="1:7" ht="14.5">
      <c r="A10487" s="5"/>
      <c r="B10487" s="18"/>
      <c r="C10487" s="85"/>
      <c r="D10487" s="41"/>
      <c r="E10487" s="26" t="str">
        <f ca="1">IFERROR(__xludf.DUMMYFUNCTION("""COMPUTED_VALUE"""),"")</f>
        <v/>
      </c>
      <c r="F10487" s="72"/>
      <c r="G10487" s="72"/>
    </row>
    <row r="10488" spans="1:7" ht="14.5">
      <c r="A10488" s="5"/>
      <c r="B10488" s="18"/>
      <c r="C10488" s="85"/>
      <c r="D10488" s="41"/>
      <c r="E10488" s="26" t="str">
        <f ca="1">IFERROR(__xludf.DUMMYFUNCTION("""COMPUTED_VALUE"""),"")</f>
        <v/>
      </c>
      <c r="F10488" s="72"/>
      <c r="G10488" s="72"/>
    </row>
    <row r="10489" spans="1:7" ht="14.5">
      <c r="A10489" s="5"/>
      <c r="B10489" s="18"/>
      <c r="C10489" s="85"/>
      <c r="D10489" s="41"/>
      <c r="E10489" s="26" t="str">
        <f ca="1">IFERROR(__xludf.DUMMYFUNCTION("""COMPUTED_VALUE"""),"")</f>
        <v/>
      </c>
      <c r="F10489" s="72"/>
      <c r="G10489" s="72"/>
    </row>
    <row r="10490" spans="1:7" ht="14.5">
      <c r="A10490" s="5"/>
      <c r="B10490" s="18"/>
      <c r="C10490" s="85"/>
      <c r="D10490" s="41"/>
      <c r="E10490" s="26" t="str">
        <f ca="1">IFERROR(__xludf.DUMMYFUNCTION("""COMPUTED_VALUE"""),"")</f>
        <v/>
      </c>
      <c r="F10490" s="72"/>
      <c r="G10490" s="72"/>
    </row>
    <row r="10491" spans="1:7" ht="14.5">
      <c r="A10491" s="5"/>
      <c r="B10491" s="18"/>
      <c r="C10491" s="85"/>
      <c r="D10491" s="41"/>
      <c r="E10491" s="26" t="str">
        <f ca="1">IFERROR(__xludf.DUMMYFUNCTION("""COMPUTED_VALUE"""),"")</f>
        <v/>
      </c>
      <c r="F10491" s="72"/>
      <c r="G10491" s="72"/>
    </row>
    <row r="10492" spans="1:7" ht="14.5">
      <c r="A10492" s="5"/>
      <c r="B10492" s="18"/>
      <c r="C10492" s="85"/>
      <c r="D10492" s="41"/>
      <c r="E10492" s="26" t="str">
        <f ca="1">IFERROR(__xludf.DUMMYFUNCTION("""COMPUTED_VALUE"""),"")</f>
        <v/>
      </c>
      <c r="F10492" s="72"/>
      <c r="G10492" s="72"/>
    </row>
    <row r="10493" spans="1:7" ht="14.5">
      <c r="A10493" s="5"/>
      <c r="B10493" s="18"/>
      <c r="C10493" s="85"/>
      <c r="D10493" s="41"/>
      <c r="E10493" s="26" t="str">
        <f ca="1">IFERROR(__xludf.DUMMYFUNCTION("""COMPUTED_VALUE"""),"")</f>
        <v/>
      </c>
      <c r="F10493" s="72"/>
      <c r="G10493" s="72"/>
    </row>
    <row r="10494" spans="1:7" ht="14.5">
      <c r="A10494" s="5"/>
      <c r="B10494" s="18"/>
      <c r="C10494" s="85"/>
      <c r="D10494" s="41"/>
      <c r="E10494" s="26" t="str">
        <f ca="1">IFERROR(__xludf.DUMMYFUNCTION("""COMPUTED_VALUE"""),"")</f>
        <v/>
      </c>
      <c r="F10494" s="72"/>
      <c r="G10494" s="72"/>
    </row>
    <row r="10495" spans="1:7" ht="14.5">
      <c r="A10495" s="5"/>
      <c r="B10495" s="18"/>
      <c r="C10495" s="85"/>
      <c r="D10495" s="41"/>
      <c r="E10495" s="26" t="str">
        <f ca="1">IFERROR(__xludf.DUMMYFUNCTION("""COMPUTED_VALUE"""),"")</f>
        <v/>
      </c>
      <c r="F10495" s="72"/>
      <c r="G10495" s="72"/>
    </row>
    <row r="10496" spans="1:7" ht="14.5">
      <c r="A10496" s="5"/>
      <c r="B10496" s="18"/>
      <c r="C10496" s="85"/>
      <c r="D10496" s="41"/>
      <c r="E10496" s="26" t="str">
        <f ca="1">IFERROR(__xludf.DUMMYFUNCTION("""COMPUTED_VALUE"""),"")</f>
        <v/>
      </c>
      <c r="F10496" s="72"/>
      <c r="G10496" s="72"/>
    </row>
    <row r="10497" spans="1:7" ht="14.5">
      <c r="A10497" s="5"/>
      <c r="B10497" s="18"/>
      <c r="C10497" s="85"/>
      <c r="D10497" s="41"/>
      <c r="E10497" s="26" t="str">
        <f ca="1">IFERROR(__xludf.DUMMYFUNCTION("""COMPUTED_VALUE"""),"")</f>
        <v/>
      </c>
      <c r="F10497" s="72"/>
      <c r="G10497" s="72"/>
    </row>
    <row r="10498" spans="1:7" ht="14.5">
      <c r="A10498" s="5"/>
      <c r="B10498" s="18"/>
      <c r="C10498" s="85"/>
      <c r="D10498" s="41"/>
      <c r="E10498" s="26" t="str">
        <f ca="1">IFERROR(__xludf.DUMMYFUNCTION("""COMPUTED_VALUE"""),"")</f>
        <v/>
      </c>
      <c r="F10498" s="72"/>
      <c r="G10498" s="72"/>
    </row>
    <row r="10499" spans="1:7" ht="14.5">
      <c r="A10499" s="5"/>
      <c r="B10499" s="18"/>
      <c r="C10499" s="85"/>
      <c r="D10499" s="41"/>
      <c r="E10499" s="26" t="str">
        <f ca="1">IFERROR(__xludf.DUMMYFUNCTION("""COMPUTED_VALUE"""),"")</f>
        <v/>
      </c>
      <c r="F10499" s="72"/>
      <c r="G10499" s="72"/>
    </row>
    <row r="10500" spans="1:7" ht="14.5">
      <c r="A10500" s="5"/>
      <c r="B10500" s="18"/>
      <c r="C10500" s="85"/>
      <c r="D10500" s="41"/>
      <c r="E10500" s="26" t="str">
        <f ca="1">IFERROR(__xludf.DUMMYFUNCTION("""COMPUTED_VALUE"""),"")</f>
        <v/>
      </c>
      <c r="F10500" s="72"/>
      <c r="G10500" s="72"/>
    </row>
    <row r="10501" spans="1:7" ht="14.5">
      <c r="A10501" s="5"/>
      <c r="B10501" s="18"/>
      <c r="C10501" s="85"/>
      <c r="D10501" s="41"/>
      <c r="E10501" s="26" t="str">
        <f ca="1">IFERROR(__xludf.DUMMYFUNCTION("""COMPUTED_VALUE"""),"")</f>
        <v/>
      </c>
      <c r="F10501" s="72"/>
      <c r="G10501" s="72"/>
    </row>
    <row r="10502" spans="1:7" ht="14.5">
      <c r="A10502" s="5"/>
      <c r="B10502" s="18"/>
      <c r="C10502" s="85"/>
      <c r="D10502" s="41"/>
      <c r="E10502" s="26" t="str">
        <f ca="1">IFERROR(__xludf.DUMMYFUNCTION("""COMPUTED_VALUE"""),"")</f>
        <v/>
      </c>
      <c r="F10502" s="72"/>
      <c r="G10502" s="72"/>
    </row>
    <row r="10503" spans="1:7" ht="14.5">
      <c r="A10503" s="5"/>
      <c r="B10503" s="18"/>
      <c r="C10503" s="85"/>
      <c r="D10503" s="41"/>
      <c r="E10503" s="26" t="str">
        <f ca="1">IFERROR(__xludf.DUMMYFUNCTION("""COMPUTED_VALUE"""),"")</f>
        <v/>
      </c>
      <c r="F10503" s="72"/>
      <c r="G10503" s="72"/>
    </row>
    <row r="10504" spans="1:7" ht="14.5">
      <c r="A10504" s="5"/>
      <c r="B10504" s="18"/>
      <c r="C10504" s="85"/>
      <c r="D10504" s="41"/>
      <c r="E10504" s="26" t="str">
        <f ca="1">IFERROR(__xludf.DUMMYFUNCTION("""COMPUTED_VALUE"""),"")</f>
        <v/>
      </c>
      <c r="F10504" s="72"/>
      <c r="G10504" s="72"/>
    </row>
    <row r="10505" spans="1:7" ht="14.5">
      <c r="A10505" s="5"/>
      <c r="B10505" s="18"/>
      <c r="C10505" s="85"/>
      <c r="D10505" s="41"/>
      <c r="E10505" s="26" t="str">
        <f ca="1">IFERROR(__xludf.DUMMYFUNCTION("""COMPUTED_VALUE"""),"")</f>
        <v/>
      </c>
      <c r="F10505" s="72"/>
      <c r="G10505" s="72"/>
    </row>
    <row r="10506" spans="1:7" ht="14.5">
      <c r="A10506" s="5"/>
      <c r="B10506" s="18"/>
      <c r="C10506" s="85"/>
      <c r="D10506" s="41"/>
      <c r="E10506" s="26" t="str">
        <f ca="1">IFERROR(__xludf.DUMMYFUNCTION("""COMPUTED_VALUE"""),"")</f>
        <v/>
      </c>
      <c r="F10506" s="72"/>
      <c r="G10506" s="72"/>
    </row>
    <row r="10507" spans="1:7" ht="14.5">
      <c r="A10507" s="5"/>
      <c r="B10507" s="18"/>
      <c r="C10507" s="85"/>
      <c r="D10507" s="41"/>
      <c r="E10507" s="26" t="str">
        <f ca="1">IFERROR(__xludf.DUMMYFUNCTION("""COMPUTED_VALUE"""),"")</f>
        <v/>
      </c>
      <c r="F10507" s="72"/>
      <c r="G10507" s="72"/>
    </row>
    <row r="10508" spans="1:7" ht="14.5">
      <c r="A10508" s="5"/>
      <c r="B10508" s="18"/>
      <c r="C10508" s="85"/>
      <c r="D10508" s="41"/>
      <c r="E10508" s="26" t="str">
        <f ca="1">IFERROR(__xludf.DUMMYFUNCTION("""COMPUTED_VALUE"""),"")</f>
        <v/>
      </c>
      <c r="F10508" s="72"/>
      <c r="G10508" s="72"/>
    </row>
    <row r="10509" spans="1:7" ht="14.5">
      <c r="A10509" s="5"/>
      <c r="B10509" s="18"/>
      <c r="C10509" s="85"/>
      <c r="D10509" s="41"/>
      <c r="E10509" s="26" t="str">
        <f ca="1">IFERROR(__xludf.DUMMYFUNCTION("""COMPUTED_VALUE"""),"")</f>
        <v/>
      </c>
      <c r="F10509" s="72"/>
      <c r="G10509" s="72"/>
    </row>
    <row r="10510" spans="1:7" ht="14.5">
      <c r="A10510" s="5"/>
      <c r="B10510" s="18"/>
      <c r="C10510" s="85"/>
      <c r="D10510" s="41"/>
      <c r="E10510" s="26" t="str">
        <f ca="1">IFERROR(__xludf.DUMMYFUNCTION("""COMPUTED_VALUE"""),"")</f>
        <v/>
      </c>
      <c r="F10510" s="72"/>
      <c r="G10510" s="72"/>
    </row>
    <row r="10511" spans="1:7" ht="14.5">
      <c r="A10511" s="5"/>
      <c r="B10511" s="18"/>
      <c r="C10511" s="85"/>
      <c r="D10511" s="41"/>
      <c r="E10511" s="26" t="str">
        <f ca="1">IFERROR(__xludf.DUMMYFUNCTION("""COMPUTED_VALUE"""),"")</f>
        <v/>
      </c>
      <c r="F10511" s="72"/>
      <c r="G10511" s="72"/>
    </row>
    <row r="10512" spans="1:7" ht="14.5">
      <c r="A10512" s="5"/>
      <c r="B10512" s="18"/>
      <c r="C10512" s="85"/>
      <c r="D10512" s="41"/>
      <c r="E10512" s="26" t="str">
        <f ca="1">IFERROR(__xludf.DUMMYFUNCTION("""COMPUTED_VALUE"""),"")</f>
        <v/>
      </c>
      <c r="F10512" s="72"/>
      <c r="G10512" s="72"/>
    </row>
    <row r="10513" spans="1:7" ht="14.5">
      <c r="A10513" s="5"/>
      <c r="B10513" s="18"/>
      <c r="C10513" s="85"/>
      <c r="D10513" s="41"/>
      <c r="E10513" s="26" t="str">
        <f ca="1">IFERROR(__xludf.DUMMYFUNCTION("""COMPUTED_VALUE"""),"")</f>
        <v/>
      </c>
      <c r="F10513" s="72"/>
      <c r="G10513" s="72"/>
    </row>
    <row r="10514" spans="1:7" ht="14.5">
      <c r="A10514" s="5"/>
      <c r="B10514" s="18"/>
      <c r="C10514" s="85"/>
      <c r="D10514" s="41"/>
      <c r="E10514" s="26" t="str">
        <f ca="1">IFERROR(__xludf.DUMMYFUNCTION("""COMPUTED_VALUE"""),"")</f>
        <v/>
      </c>
      <c r="F10514" s="72"/>
      <c r="G10514" s="72"/>
    </row>
    <row r="10515" spans="1:7" ht="14.5">
      <c r="A10515" s="5"/>
      <c r="B10515" s="18"/>
      <c r="C10515" s="85"/>
      <c r="D10515" s="41"/>
      <c r="E10515" s="26" t="str">
        <f ca="1">IFERROR(__xludf.DUMMYFUNCTION("""COMPUTED_VALUE"""),"")</f>
        <v/>
      </c>
      <c r="F10515" s="72"/>
      <c r="G10515" s="72"/>
    </row>
    <row r="10516" spans="1:7" ht="14.5">
      <c r="A10516" s="5"/>
      <c r="B10516" s="18"/>
      <c r="C10516" s="85"/>
      <c r="D10516" s="41"/>
      <c r="E10516" s="26" t="str">
        <f ca="1">IFERROR(__xludf.DUMMYFUNCTION("""COMPUTED_VALUE"""),"")</f>
        <v/>
      </c>
      <c r="F10516" s="72"/>
      <c r="G10516" s="72"/>
    </row>
    <row r="10517" spans="1:7" ht="14.5">
      <c r="A10517" s="5"/>
      <c r="B10517" s="18"/>
      <c r="C10517" s="85"/>
      <c r="D10517" s="41"/>
      <c r="E10517" s="26" t="str">
        <f ca="1">IFERROR(__xludf.DUMMYFUNCTION("""COMPUTED_VALUE"""),"")</f>
        <v/>
      </c>
      <c r="F10517" s="72"/>
      <c r="G10517" s="72"/>
    </row>
    <row r="10518" spans="1:7" ht="14.5">
      <c r="A10518" s="5"/>
      <c r="B10518" s="18"/>
      <c r="C10518" s="85"/>
      <c r="D10518" s="41"/>
      <c r="E10518" s="26" t="str">
        <f ca="1">IFERROR(__xludf.DUMMYFUNCTION("""COMPUTED_VALUE"""),"")</f>
        <v/>
      </c>
      <c r="F10518" s="72"/>
      <c r="G10518" s="72"/>
    </row>
    <row r="10519" spans="1:7" ht="14.5">
      <c r="A10519" s="5"/>
      <c r="B10519" s="18"/>
      <c r="C10519" s="85"/>
      <c r="D10519" s="41"/>
      <c r="E10519" s="26" t="str">
        <f ca="1">IFERROR(__xludf.DUMMYFUNCTION("""COMPUTED_VALUE"""),"")</f>
        <v/>
      </c>
      <c r="F10519" s="72"/>
      <c r="G10519" s="72"/>
    </row>
    <row r="10520" spans="1:7" ht="14.5">
      <c r="A10520" s="5"/>
      <c r="B10520" s="18"/>
      <c r="C10520" s="85"/>
      <c r="D10520" s="41"/>
      <c r="E10520" s="26" t="str">
        <f ca="1">IFERROR(__xludf.DUMMYFUNCTION("""COMPUTED_VALUE"""),"")</f>
        <v/>
      </c>
      <c r="F10520" s="72"/>
      <c r="G10520" s="72"/>
    </row>
    <row r="10521" spans="1:7" ht="14.5">
      <c r="A10521" s="5"/>
      <c r="B10521" s="18"/>
      <c r="C10521" s="85"/>
      <c r="D10521" s="41"/>
      <c r="E10521" s="26" t="str">
        <f ca="1">IFERROR(__xludf.DUMMYFUNCTION("""COMPUTED_VALUE"""),"")</f>
        <v/>
      </c>
      <c r="F10521" s="72"/>
      <c r="G10521" s="72"/>
    </row>
    <row r="10522" spans="1:7" ht="14.5">
      <c r="A10522" s="5"/>
      <c r="B10522" s="18"/>
      <c r="C10522" s="85"/>
      <c r="D10522" s="41"/>
      <c r="E10522" s="26" t="str">
        <f ca="1">IFERROR(__xludf.DUMMYFUNCTION("""COMPUTED_VALUE"""),"")</f>
        <v/>
      </c>
      <c r="F10522" s="72"/>
      <c r="G10522" s="72"/>
    </row>
    <row r="10523" spans="1:7" ht="14.5">
      <c r="A10523" s="5"/>
      <c r="B10523" s="18"/>
      <c r="C10523" s="85"/>
      <c r="D10523" s="41"/>
      <c r="E10523" s="26" t="str">
        <f ca="1">IFERROR(__xludf.DUMMYFUNCTION("""COMPUTED_VALUE"""),"")</f>
        <v/>
      </c>
      <c r="F10523" s="72"/>
      <c r="G10523" s="72"/>
    </row>
    <row r="10524" spans="1:7" ht="14.5">
      <c r="A10524" s="5"/>
      <c r="B10524" s="18"/>
      <c r="C10524" s="85"/>
      <c r="D10524" s="41"/>
      <c r="E10524" s="26" t="str">
        <f ca="1">IFERROR(__xludf.DUMMYFUNCTION("""COMPUTED_VALUE"""),"")</f>
        <v/>
      </c>
      <c r="F10524" s="72"/>
      <c r="G10524" s="72"/>
    </row>
    <row r="10525" spans="1:7" ht="14.5">
      <c r="A10525" s="5"/>
      <c r="B10525" s="18"/>
      <c r="C10525" s="85"/>
      <c r="D10525" s="41"/>
      <c r="E10525" s="26" t="str">
        <f ca="1">IFERROR(__xludf.DUMMYFUNCTION("""COMPUTED_VALUE"""),"")</f>
        <v/>
      </c>
      <c r="F10525" s="72"/>
      <c r="G10525" s="72"/>
    </row>
    <row r="10526" spans="1:7" ht="14.5">
      <c r="A10526" s="5"/>
      <c r="B10526" s="18"/>
      <c r="C10526" s="85"/>
      <c r="D10526" s="41"/>
      <c r="E10526" s="26" t="str">
        <f ca="1">IFERROR(__xludf.DUMMYFUNCTION("""COMPUTED_VALUE"""),"")</f>
        <v/>
      </c>
      <c r="F10526" s="72"/>
      <c r="G10526" s="72"/>
    </row>
    <row r="10527" spans="1:7" ht="14.5">
      <c r="A10527" s="5"/>
      <c r="B10527" s="18"/>
      <c r="C10527" s="85"/>
      <c r="D10527" s="41"/>
      <c r="E10527" s="26" t="str">
        <f ca="1">IFERROR(__xludf.DUMMYFUNCTION("""COMPUTED_VALUE"""),"")</f>
        <v/>
      </c>
      <c r="F10527" s="72"/>
      <c r="G10527" s="72"/>
    </row>
    <row r="10528" spans="1:7" ht="14.5">
      <c r="A10528" s="5"/>
      <c r="B10528" s="18"/>
      <c r="C10528" s="85"/>
      <c r="D10528" s="41"/>
      <c r="E10528" s="26" t="str">
        <f ca="1">IFERROR(__xludf.DUMMYFUNCTION("""COMPUTED_VALUE"""),"")</f>
        <v/>
      </c>
      <c r="F10528" s="72"/>
      <c r="G10528" s="72"/>
    </row>
    <row r="10529" spans="1:7" ht="14.5">
      <c r="A10529" s="5"/>
      <c r="B10529" s="18"/>
      <c r="C10529" s="85"/>
      <c r="D10529" s="41"/>
      <c r="E10529" s="26" t="str">
        <f ca="1">IFERROR(__xludf.DUMMYFUNCTION("""COMPUTED_VALUE"""),"")</f>
        <v/>
      </c>
      <c r="F10529" s="72"/>
      <c r="G10529" s="72"/>
    </row>
    <row r="10530" spans="1:7" ht="14.5">
      <c r="A10530" s="5"/>
      <c r="B10530" s="18"/>
      <c r="C10530" s="85"/>
      <c r="D10530" s="41"/>
      <c r="E10530" s="26" t="str">
        <f ca="1">IFERROR(__xludf.DUMMYFUNCTION("""COMPUTED_VALUE"""),"")</f>
        <v/>
      </c>
      <c r="F10530" s="72"/>
      <c r="G10530" s="72"/>
    </row>
    <row r="10531" spans="1:7" ht="14.5">
      <c r="A10531" s="5"/>
      <c r="B10531" s="18"/>
      <c r="C10531" s="85"/>
      <c r="D10531" s="41"/>
      <c r="E10531" s="26" t="str">
        <f ca="1">IFERROR(__xludf.DUMMYFUNCTION("""COMPUTED_VALUE"""),"")</f>
        <v/>
      </c>
      <c r="F10531" s="72"/>
      <c r="G10531" s="72"/>
    </row>
    <row r="10532" spans="1:7" ht="14.5">
      <c r="A10532" s="5"/>
      <c r="B10532" s="18"/>
      <c r="C10532" s="85"/>
      <c r="D10532" s="41"/>
      <c r="E10532" s="26" t="str">
        <f ca="1">IFERROR(__xludf.DUMMYFUNCTION("""COMPUTED_VALUE"""),"")</f>
        <v/>
      </c>
      <c r="F10532" s="72"/>
      <c r="G10532" s="72"/>
    </row>
    <row r="10533" spans="1:7" ht="14.5">
      <c r="A10533" s="5"/>
      <c r="B10533" s="18"/>
      <c r="C10533" s="85"/>
      <c r="D10533" s="41"/>
      <c r="E10533" s="26" t="str">
        <f ca="1">IFERROR(__xludf.DUMMYFUNCTION("""COMPUTED_VALUE"""),"")</f>
        <v/>
      </c>
      <c r="F10533" s="72"/>
      <c r="G10533" s="72"/>
    </row>
    <row r="10534" spans="1:7" ht="14.5">
      <c r="A10534" s="5"/>
      <c r="B10534" s="18"/>
      <c r="C10534" s="85"/>
      <c r="D10534" s="41"/>
      <c r="E10534" s="26" t="str">
        <f ca="1">IFERROR(__xludf.DUMMYFUNCTION("""COMPUTED_VALUE"""),"")</f>
        <v/>
      </c>
      <c r="F10534" s="72"/>
      <c r="G10534" s="72"/>
    </row>
    <row r="10535" spans="1:7" ht="14.5">
      <c r="A10535" s="5"/>
      <c r="B10535" s="18"/>
      <c r="C10535" s="85"/>
      <c r="D10535" s="41"/>
      <c r="E10535" s="26" t="str">
        <f ca="1">IFERROR(__xludf.DUMMYFUNCTION("""COMPUTED_VALUE"""),"")</f>
        <v/>
      </c>
      <c r="F10535" s="72"/>
      <c r="G10535" s="72"/>
    </row>
    <row r="10536" spans="1:7" ht="14.5">
      <c r="A10536" s="5"/>
      <c r="B10536" s="18"/>
      <c r="C10536" s="85"/>
      <c r="D10536" s="41"/>
      <c r="E10536" s="26" t="str">
        <f ca="1">IFERROR(__xludf.DUMMYFUNCTION("""COMPUTED_VALUE"""),"")</f>
        <v/>
      </c>
      <c r="F10536" s="72"/>
      <c r="G10536" s="72"/>
    </row>
    <row r="10537" spans="1:7" ht="14.5">
      <c r="A10537" s="5"/>
      <c r="B10537" s="18"/>
      <c r="C10537" s="85"/>
      <c r="D10537" s="41"/>
      <c r="E10537" s="26" t="str">
        <f ca="1">IFERROR(__xludf.DUMMYFUNCTION("""COMPUTED_VALUE"""),"")</f>
        <v/>
      </c>
      <c r="F10537" s="72"/>
      <c r="G10537" s="72"/>
    </row>
    <row r="10538" spans="1:7" ht="14.5">
      <c r="A10538" s="5"/>
      <c r="B10538" s="18"/>
      <c r="C10538" s="85"/>
      <c r="D10538" s="41"/>
      <c r="E10538" s="26" t="str">
        <f ca="1">IFERROR(__xludf.DUMMYFUNCTION("""COMPUTED_VALUE"""),"")</f>
        <v/>
      </c>
      <c r="F10538" s="72"/>
      <c r="G10538" s="72"/>
    </row>
    <row r="10539" spans="1:7" ht="14.5">
      <c r="A10539" s="5"/>
      <c r="B10539" s="18"/>
      <c r="C10539" s="85"/>
      <c r="D10539" s="41"/>
      <c r="E10539" s="26" t="str">
        <f ca="1">IFERROR(__xludf.DUMMYFUNCTION("""COMPUTED_VALUE"""),"")</f>
        <v/>
      </c>
      <c r="F10539" s="72"/>
      <c r="G10539" s="72"/>
    </row>
    <row r="10540" spans="1:7" ht="14.5">
      <c r="A10540" s="5"/>
      <c r="B10540" s="18"/>
      <c r="C10540" s="85"/>
      <c r="D10540" s="41"/>
      <c r="E10540" s="26" t="str">
        <f ca="1">IFERROR(__xludf.DUMMYFUNCTION("""COMPUTED_VALUE"""),"")</f>
        <v/>
      </c>
      <c r="F10540" s="72"/>
      <c r="G10540" s="72"/>
    </row>
    <row r="10541" spans="1:7" ht="14.5">
      <c r="A10541" s="5"/>
      <c r="B10541" s="18"/>
      <c r="C10541" s="85"/>
      <c r="D10541" s="41"/>
      <c r="E10541" s="26" t="str">
        <f ca="1">IFERROR(__xludf.DUMMYFUNCTION("""COMPUTED_VALUE"""),"")</f>
        <v/>
      </c>
      <c r="F10541" s="72"/>
      <c r="G10541" s="72"/>
    </row>
    <row r="10542" spans="1:7" ht="14.5">
      <c r="A10542" s="5"/>
      <c r="B10542" s="18"/>
      <c r="C10542" s="85"/>
      <c r="D10542" s="41"/>
      <c r="E10542" s="26" t="str">
        <f ca="1">IFERROR(__xludf.DUMMYFUNCTION("""COMPUTED_VALUE"""),"")</f>
        <v/>
      </c>
      <c r="F10542" s="72"/>
      <c r="G10542" s="72"/>
    </row>
    <row r="10543" spans="1:7" ht="14.5">
      <c r="A10543" s="5"/>
      <c r="B10543" s="18"/>
      <c r="C10543" s="85"/>
      <c r="D10543" s="41"/>
      <c r="E10543" s="26" t="str">
        <f ca="1">IFERROR(__xludf.DUMMYFUNCTION("""COMPUTED_VALUE"""),"")</f>
        <v/>
      </c>
      <c r="F10543" s="72"/>
      <c r="G10543" s="72"/>
    </row>
    <row r="10544" spans="1:7" ht="14.5">
      <c r="A10544" s="5"/>
      <c r="B10544" s="18"/>
      <c r="C10544" s="85"/>
      <c r="D10544" s="41"/>
      <c r="E10544" s="26" t="str">
        <f ca="1">IFERROR(__xludf.DUMMYFUNCTION("""COMPUTED_VALUE"""),"")</f>
        <v/>
      </c>
      <c r="F10544" s="72"/>
      <c r="G10544" s="72"/>
    </row>
    <row r="10545" spans="1:7" ht="14.5">
      <c r="A10545" s="5"/>
      <c r="B10545" s="18"/>
      <c r="C10545" s="85"/>
      <c r="D10545" s="41"/>
      <c r="E10545" s="26" t="str">
        <f ca="1">IFERROR(__xludf.DUMMYFUNCTION("""COMPUTED_VALUE"""),"")</f>
        <v/>
      </c>
      <c r="F10545" s="72"/>
      <c r="G10545" s="72"/>
    </row>
    <row r="10546" spans="1:7" ht="14.5">
      <c r="A10546" s="5"/>
      <c r="B10546" s="18"/>
      <c r="C10546" s="85"/>
      <c r="D10546" s="41"/>
      <c r="E10546" s="26" t="str">
        <f ca="1">IFERROR(__xludf.DUMMYFUNCTION("""COMPUTED_VALUE"""),"")</f>
        <v/>
      </c>
      <c r="F10546" s="72"/>
      <c r="G10546" s="72"/>
    </row>
    <row r="10547" spans="1:7" ht="14.5">
      <c r="A10547" s="5"/>
      <c r="B10547" s="18"/>
      <c r="C10547" s="85"/>
      <c r="D10547" s="41"/>
      <c r="E10547" s="26" t="str">
        <f ca="1">IFERROR(__xludf.DUMMYFUNCTION("""COMPUTED_VALUE"""),"")</f>
        <v/>
      </c>
      <c r="F10547" s="72"/>
      <c r="G10547" s="72"/>
    </row>
    <row r="10548" spans="1:7" ht="14.5">
      <c r="A10548" s="5"/>
      <c r="B10548" s="18"/>
      <c r="C10548" s="85"/>
      <c r="D10548" s="41"/>
      <c r="E10548" s="26" t="str">
        <f ca="1">IFERROR(__xludf.DUMMYFUNCTION("""COMPUTED_VALUE"""),"")</f>
        <v/>
      </c>
      <c r="F10548" s="72"/>
      <c r="G10548" s="72"/>
    </row>
    <row r="10549" spans="1:7" ht="14.5">
      <c r="A10549" s="5"/>
      <c r="B10549" s="18"/>
      <c r="C10549" s="85"/>
      <c r="D10549" s="41"/>
      <c r="E10549" s="26" t="str">
        <f ca="1">IFERROR(__xludf.DUMMYFUNCTION("""COMPUTED_VALUE"""),"")</f>
        <v/>
      </c>
      <c r="F10549" s="72"/>
      <c r="G10549" s="72"/>
    </row>
    <row r="10550" spans="1:7" ht="14.5">
      <c r="A10550" s="5"/>
      <c r="B10550" s="18"/>
      <c r="C10550" s="85"/>
      <c r="D10550" s="41"/>
      <c r="E10550" s="26" t="str">
        <f ca="1">IFERROR(__xludf.DUMMYFUNCTION("""COMPUTED_VALUE"""),"")</f>
        <v/>
      </c>
      <c r="F10550" s="72"/>
      <c r="G10550" s="72"/>
    </row>
    <row r="10551" spans="1:7" ht="14.5">
      <c r="A10551" s="5"/>
      <c r="B10551" s="18"/>
      <c r="C10551" s="85"/>
      <c r="D10551" s="41"/>
      <c r="E10551" s="26" t="str">
        <f ca="1">IFERROR(__xludf.DUMMYFUNCTION("""COMPUTED_VALUE"""),"")</f>
        <v/>
      </c>
      <c r="F10551" s="72"/>
      <c r="G10551" s="72"/>
    </row>
    <row r="10552" spans="1:7" ht="14.5">
      <c r="A10552" s="5"/>
      <c r="B10552" s="18"/>
      <c r="C10552" s="85"/>
      <c r="D10552" s="41"/>
      <c r="E10552" s="26" t="str">
        <f ca="1">IFERROR(__xludf.DUMMYFUNCTION("""COMPUTED_VALUE"""),"")</f>
        <v/>
      </c>
      <c r="F10552" s="72"/>
      <c r="G10552" s="72"/>
    </row>
    <row r="10553" spans="1:7" ht="14.5">
      <c r="A10553" s="5"/>
      <c r="B10553" s="18"/>
      <c r="C10553" s="85"/>
      <c r="D10553" s="41"/>
      <c r="E10553" s="26" t="str">
        <f ca="1">IFERROR(__xludf.DUMMYFUNCTION("""COMPUTED_VALUE"""),"")</f>
        <v/>
      </c>
      <c r="F10553" s="72"/>
      <c r="G10553" s="72"/>
    </row>
    <row r="10554" spans="1:7" ht="14.5">
      <c r="A10554" s="5"/>
      <c r="B10554" s="18"/>
      <c r="C10554" s="85"/>
      <c r="D10554" s="41"/>
      <c r="E10554" s="26" t="str">
        <f ca="1">IFERROR(__xludf.DUMMYFUNCTION("""COMPUTED_VALUE"""),"")</f>
        <v/>
      </c>
      <c r="F10554" s="72"/>
      <c r="G10554" s="72"/>
    </row>
    <row r="10555" spans="1:7" ht="14.5">
      <c r="A10555" s="5"/>
      <c r="B10555" s="18"/>
      <c r="C10555" s="85"/>
      <c r="D10555" s="41"/>
      <c r="E10555" s="26" t="str">
        <f ca="1">IFERROR(__xludf.DUMMYFUNCTION("""COMPUTED_VALUE"""),"")</f>
        <v/>
      </c>
      <c r="F10555" s="72"/>
      <c r="G10555" s="72"/>
    </row>
    <row r="10556" spans="1:7" ht="14.5">
      <c r="A10556" s="5"/>
      <c r="B10556" s="18"/>
      <c r="C10556" s="85"/>
      <c r="D10556" s="41"/>
      <c r="E10556" s="26" t="str">
        <f ca="1">IFERROR(__xludf.DUMMYFUNCTION("""COMPUTED_VALUE"""),"")</f>
        <v/>
      </c>
      <c r="F10556" s="72"/>
      <c r="G10556" s="72"/>
    </row>
    <row r="10557" spans="1:7" ht="14.5">
      <c r="A10557" s="5"/>
      <c r="B10557" s="18"/>
      <c r="C10557" s="85"/>
      <c r="D10557" s="41"/>
      <c r="E10557" s="26" t="str">
        <f ca="1">IFERROR(__xludf.DUMMYFUNCTION("""COMPUTED_VALUE"""),"")</f>
        <v/>
      </c>
      <c r="F10557" s="72"/>
      <c r="G10557" s="72"/>
    </row>
    <row r="10558" spans="1:7" ht="14.5">
      <c r="A10558" s="5"/>
      <c r="B10558" s="18"/>
      <c r="C10558" s="85"/>
      <c r="D10558" s="41"/>
      <c r="E10558" s="26" t="str">
        <f ca="1">IFERROR(__xludf.DUMMYFUNCTION("""COMPUTED_VALUE"""),"")</f>
        <v/>
      </c>
      <c r="F10558" s="72"/>
      <c r="G10558" s="72"/>
    </row>
    <row r="10559" spans="1:7" ht="14.5">
      <c r="A10559" s="5"/>
      <c r="B10559" s="18"/>
      <c r="C10559" s="85"/>
      <c r="D10559" s="41"/>
      <c r="E10559" s="26" t="str">
        <f ca="1">IFERROR(__xludf.DUMMYFUNCTION("""COMPUTED_VALUE"""),"")</f>
        <v/>
      </c>
      <c r="F10559" s="72"/>
      <c r="G10559" s="72"/>
    </row>
    <row r="10560" spans="1:7" ht="14.5">
      <c r="A10560" s="5"/>
      <c r="B10560" s="18"/>
      <c r="C10560" s="85"/>
      <c r="D10560" s="41"/>
      <c r="E10560" s="26" t="str">
        <f ca="1">IFERROR(__xludf.DUMMYFUNCTION("""COMPUTED_VALUE"""),"")</f>
        <v/>
      </c>
      <c r="F10560" s="72"/>
      <c r="G10560" s="72"/>
    </row>
    <row r="10561" spans="1:7" ht="14.5">
      <c r="A10561" s="5"/>
      <c r="B10561" s="18"/>
      <c r="C10561" s="85"/>
      <c r="D10561" s="41"/>
      <c r="E10561" s="26" t="str">
        <f ca="1">IFERROR(__xludf.DUMMYFUNCTION("""COMPUTED_VALUE"""),"")</f>
        <v/>
      </c>
      <c r="F10561" s="72"/>
      <c r="G10561" s="72"/>
    </row>
    <row r="10562" spans="1:7" ht="14.5">
      <c r="A10562" s="5"/>
      <c r="B10562" s="18"/>
      <c r="C10562" s="85"/>
      <c r="D10562" s="41"/>
      <c r="E10562" s="26" t="str">
        <f ca="1">IFERROR(__xludf.DUMMYFUNCTION("""COMPUTED_VALUE"""),"")</f>
        <v/>
      </c>
      <c r="F10562" s="72"/>
      <c r="G10562" s="72"/>
    </row>
    <row r="10563" spans="1:7" ht="14.5">
      <c r="A10563" s="5"/>
      <c r="B10563" s="18"/>
      <c r="C10563" s="85"/>
      <c r="D10563" s="41"/>
      <c r="E10563" s="26" t="str">
        <f ca="1">IFERROR(__xludf.DUMMYFUNCTION("""COMPUTED_VALUE"""),"")</f>
        <v/>
      </c>
      <c r="F10563" s="72"/>
      <c r="G10563" s="72"/>
    </row>
    <row r="10564" spans="1:7" ht="14.5">
      <c r="A10564" s="5"/>
      <c r="B10564" s="18"/>
      <c r="C10564" s="85"/>
      <c r="D10564" s="41"/>
      <c r="E10564" s="26" t="str">
        <f ca="1">IFERROR(__xludf.DUMMYFUNCTION("""COMPUTED_VALUE"""),"")</f>
        <v/>
      </c>
      <c r="F10564" s="72"/>
      <c r="G10564" s="72"/>
    </row>
    <row r="10565" spans="1:7" ht="14.5">
      <c r="A10565" s="5"/>
      <c r="B10565" s="18"/>
      <c r="C10565" s="85"/>
      <c r="D10565" s="41"/>
      <c r="E10565" s="26" t="str">
        <f ca="1">IFERROR(__xludf.DUMMYFUNCTION("""COMPUTED_VALUE"""),"")</f>
        <v/>
      </c>
      <c r="F10565" s="72"/>
      <c r="G10565" s="72"/>
    </row>
    <row r="10566" spans="1:7" ht="14.5">
      <c r="A10566" s="5"/>
      <c r="B10566" s="18"/>
      <c r="C10566" s="85"/>
      <c r="D10566" s="41"/>
      <c r="E10566" s="26" t="str">
        <f ca="1">IFERROR(__xludf.DUMMYFUNCTION("""COMPUTED_VALUE"""),"")</f>
        <v/>
      </c>
      <c r="F10566" s="72"/>
      <c r="G10566" s="72"/>
    </row>
    <row r="10567" spans="1:7" ht="14.5">
      <c r="A10567" s="5"/>
      <c r="B10567" s="18"/>
      <c r="C10567" s="85"/>
      <c r="D10567" s="41"/>
      <c r="E10567" s="26" t="str">
        <f ca="1">IFERROR(__xludf.DUMMYFUNCTION("""COMPUTED_VALUE"""),"")</f>
        <v/>
      </c>
      <c r="F10567" s="72"/>
      <c r="G10567" s="72"/>
    </row>
    <row r="10568" spans="1:7" ht="14.5">
      <c r="A10568" s="5"/>
      <c r="B10568" s="18"/>
      <c r="C10568" s="85"/>
      <c r="D10568" s="41"/>
      <c r="E10568" s="26" t="str">
        <f ca="1">IFERROR(__xludf.DUMMYFUNCTION("""COMPUTED_VALUE"""),"")</f>
        <v/>
      </c>
      <c r="F10568" s="72"/>
      <c r="G10568" s="72"/>
    </row>
    <row r="10569" spans="1:7" ht="14.5">
      <c r="A10569" s="5"/>
      <c r="B10569" s="18"/>
      <c r="C10569" s="85"/>
      <c r="D10569" s="41"/>
      <c r="E10569" s="26" t="str">
        <f ca="1">IFERROR(__xludf.DUMMYFUNCTION("""COMPUTED_VALUE"""),"")</f>
        <v/>
      </c>
      <c r="F10569" s="72"/>
      <c r="G10569" s="72"/>
    </row>
    <row r="10570" spans="1:7" ht="14.5">
      <c r="A10570" s="5"/>
      <c r="B10570" s="18"/>
      <c r="C10570" s="85"/>
      <c r="D10570" s="41"/>
      <c r="E10570" s="26" t="str">
        <f ca="1">IFERROR(__xludf.DUMMYFUNCTION("""COMPUTED_VALUE"""),"")</f>
        <v/>
      </c>
      <c r="F10570" s="72"/>
      <c r="G10570" s="72"/>
    </row>
    <row r="10571" spans="1:7" ht="14.5">
      <c r="A10571" s="5"/>
      <c r="B10571" s="18"/>
      <c r="C10571" s="85"/>
      <c r="D10571" s="41"/>
      <c r="E10571" s="26" t="str">
        <f ca="1">IFERROR(__xludf.DUMMYFUNCTION("""COMPUTED_VALUE"""),"")</f>
        <v/>
      </c>
      <c r="F10571" s="72"/>
      <c r="G10571" s="72"/>
    </row>
    <row r="10572" spans="1:7" ht="14.5">
      <c r="A10572" s="5"/>
      <c r="B10572" s="18"/>
      <c r="C10572" s="85"/>
      <c r="D10572" s="41"/>
      <c r="E10572" s="26" t="str">
        <f ca="1">IFERROR(__xludf.DUMMYFUNCTION("""COMPUTED_VALUE"""),"")</f>
        <v/>
      </c>
      <c r="F10572" s="72"/>
      <c r="G10572" s="72"/>
    </row>
    <row r="10573" spans="1:7" ht="14.5">
      <c r="A10573" s="5"/>
      <c r="B10573" s="18"/>
      <c r="C10573" s="85"/>
      <c r="D10573" s="41"/>
      <c r="E10573" s="26" t="str">
        <f ca="1">IFERROR(__xludf.DUMMYFUNCTION("""COMPUTED_VALUE"""),"")</f>
        <v/>
      </c>
      <c r="F10573" s="72"/>
      <c r="G10573" s="72"/>
    </row>
    <row r="10574" spans="1:7" ht="14.5">
      <c r="A10574" s="5"/>
      <c r="B10574" s="18"/>
      <c r="C10574" s="85"/>
      <c r="D10574" s="41"/>
      <c r="E10574" s="26" t="str">
        <f ca="1">IFERROR(__xludf.DUMMYFUNCTION("""COMPUTED_VALUE"""),"")</f>
        <v/>
      </c>
      <c r="F10574" s="72"/>
      <c r="G10574" s="72"/>
    </row>
    <row r="10575" spans="1:7" ht="14.5">
      <c r="A10575" s="5"/>
      <c r="B10575" s="18"/>
      <c r="C10575" s="85"/>
      <c r="D10575" s="41"/>
      <c r="E10575" s="26" t="str">
        <f ca="1">IFERROR(__xludf.DUMMYFUNCTION("""COMPUTED_VALUE"""),"")</f>
        <v/>
      </c>
      <c r="F10575" s="72"/>
      <c r="G10575" s="72"/>
    </row>
    <row r="10576" spans="1:7" ht="14.5">
      <c r="A10576" s="5"/>
      <c r="B10576" s="18"/>
      <c r="C10576" s="85"/>
      <c r="D10576" s="41"/>
      <c r="E10576" s="26" t="str">
        <f ca="1">IFERROR(__xludf.DUMMYFUNCTION("""COMPUTED_VALUE"""),"")</f>
        <v/>
      </c>
      <c r="F10576" s="72"/>
      <c r="G10576" s="72"/>
    </row>
    <row r="10577" spans="1:7" ht="14.5">
      <c r="A10577" s="5"/>
      <c r="B10577" s="18"/>
      <c r="C10577" s="85"/>
      <c r="D10577" s="41"/>
      <c r="E10577" s="26" t="str">
        <f ca="1">IFERROR(__xludf.DUMMYFUNCTION("""COMPUTED_VALUE"""),"")</f>
        <v/>
      </c>
      <c r="F10577" s="72"/>
      <c r="G10577" s="72"/>
    </row>
    <row r="10578" spans="1:7" ht="14.5">
      <c r="A10578" s="5"/>
      <c r="B10578" s="18"/>
      <c r="C10578" s="85"/>
      <c r="D10578" s="41"/>
      <c r="E10578" s="26" t="str">
        <f ca="1">IFERROR(__xludf.DUMMYFUNCTION("""COMPUTED_VALUE"""),"")</f>
        <v/>
      </c>
      <c r="F10578" s="72"/>
      <c r="G10578" s="72"/>
    </row>
    <row r="10579" spans="1:7" ht="14.5">
      <c r="A10579" s="5"/>
      <c r="B10579" s="18"/>
      <c r="C10579" s="85"/>
      <c r="D10579" s="41"/>
      <c r="E10579" s="26" t="str">
        <f ca="1">IFERROR(__xludf.DUMMYFUNCTION("""COMPUTED_VALUE"""),"")</f>
        <v/>
      </c>
      <c r="F10579" s="72"/>
      <c r="G10579" s="72"/>
    </row>
    <row r="10580" spans="1:7" ht="14.5">
      <c r="A10580" s="5"/>
      <c r="B10580" s="18"/>
      <c r="C10580" s="85"/>
      <c r="D10580" s="41"/>
      <c r="E10580" s="26" t="str">
        <f ca="1">IFERROR(__xludf.DUMMYFUNCTION("""COMPUTED_VALUE"""),"")</f>
        <v/>
      </c>
      <c r="F10580" s="72"/>
      <c r="G10580" s="72"/>
    </row>
    <row r="10581" spans="1:7" ht="14.5">
      <c r="A10581" s="5"/>
      <c r="B10581" s="18"/>
      <c r="C10581" s="85"/>
      <c r="D10581" s="41"/>
      <c r="E10581" s="26" t="str">
        <f ca="1">IFERROR(__xludf.DUMMYFUNCTION("""COMPUTED_VALUE"""),"")</f>
        <v/>
      </c>
      <c r="F10581" s="72"/>
      <c r="G10581" s="72"/>
    </row>
    <row r="10582" spans="1:7" ht="14.5">
      <c r="A10582" s="5"/>
      <c r="B10582" s="18"/>
      <c r="C10582" s="85"/>
      <c r="D10582" s="41"/>
      <c r="E10582" s="26" t="str">
        <f ca="1">IFERROR(__xludf.DUMMYFUNCTION("""COMPUTED_VALUE"""),"")</f>
        <v/>
      </c>
      <c r="F10582" s="72"/>
      <c r="G10582" s="72"/>
    </row>
    <row r="10583" spans="1:7" ht="14.5">
      <c r="A10583" s="5"/>
      <c r="B10583" s="18"/>
      <c r="C10583" s="85"/>
      <c r="D10583" s="41"/>
      <c r="E10583" s="26" t="str">
        <f ca="1">IFERROR(__xludf.DUMMYFUNCTION("""COMPUTED_VALUE"""),"")</f>
        <v/>
      </c>
      <c r="F10583" s="72"/>
      <c r="G10583" s="72"/>
    </row>
    <row r="10584" spans="1:7" ht="14.5">
      <c r="A10584" s="5"/>
      <c r="B10584" s="18"/>
      <c r="C10584" s="85"/>
      <c r="D10584" s="41"/>
      <c r="E10584" s="26" t="str">
        <f ca="1">IFERROR(__xludf.DUMMYFUNCTION("""COMPUTED_VALUE"""),"")</f>
        <v/>
      </c>
      <c r="F10584" s="72"/>
      <c r="G10584" s="72"/>
    </row>
    <row r="10585" spans="1:7" ht="14.5">
      <c r="A10585" s="5"/>
      <c r="B10585" s="18"/>
      <c r="C10585" s="85"/>
      <c r="D10585" s="41"/>
      <c r="E10585" s="26" t="str">
        <f ca="1">IFERROR(__xludf.DUMMYFUNCTION("""COMPUTED_VALUE"""),"")</f>
        <v/>
      </c>
      <c r="F10585" s="72"/>
      <c r="G10585" s="72"/>
    </row>
    <row r="10586" spans="1:7" ht="14.5">
      <c r="A10586" s="5"/>
      <c r="B10586" s="18"/>
      <c r="C10586" s="85"/>
      <c r="D10586" s="41"/>
      <c r="E10586" s="26" t="str">
        <f ca="1">IFERROR(__xludf.DUMMYFUNCTION("""COMPUTED_VALUE"""),"")</f>
        <v/>
      </c>
      <c r="F10586" s="72"/>
      <c r="G10586" s="72"/>
    </row>
    <row r="10587" spans="1:7" ht="14.5">
      <c r="A10587" s="5"/>
      <c r="B10587" s="18"/>
      <c r="C10587" s="85"/>
      <c r="D10587" s="41"/>
      <c r="E10587" s="26" t="str">
        <f ca="1">IFERROR(__xludf.DUMMYFUNCTION("""COMPUTED_VALUE"""),"")</f>
        <v/>
      </c>
      <c r="F10587" s="72"/>
      <c r="G10587" s="72"/>
    </row>
    <row r="10588" spans="1:7" ht="14.5">
      <c r="A10588" s="5"/>
      <c r="B10588" s="18"/>
      <c r="C10588" s="85"/>
      <c r="D10588" s="41"/>
      <c r="E10588" s="26" t="str">
        <f ca="1">IFERROR(__xludf.DUMMYFUNCTION("""COMPUTED_VALUE"""),"")</f>
        <v/>
      </c>
      <c r="F10588" s="72"/>
      <c r="G10588" s="72"/>
    </row>
    <row r="10589" spans="1:7" ht="14.5">
      <c r="A10589" s="5"/>
      <c r="B10589" s="18"/>
      <c r="C10589" s="85"/>
      <c r="D10589" s="41"/>
      <c r="E10589" s="26" t="str">
        <f ca="1">IFERROR(__xludf.DUMMYFUNCTION("""COMPUTED_VALUE"""),"")</f>
        <v/>
      </c>
      <c r="F10589" s="72"/>
      <c r="G10589" s="72"/>
    </row>
    <row r="10590" spans="1:7" ht="14.5">
      <c r="A10590" s="5"/>
      <c r="B10590" s="18"/>
      <c r="C10590" s="85"/>
      <c r="D10590" s="41"/>
      <c r="E10590" s="26" t="str">
        <f ca="1">IFERROR(__xludf.DUMMYFUNCTION("""COMPUTED_VALUE"""),"")</f>
        <v/>
      </c>
      <c r="F10590" s="72"/>
      <c r="G10590" s="72"/>
    </row>
    <row r="10591" spans="1:7" ht="14.5">
      <c r="A10591" s="5"/>
      <c r="B10591" s="18"/>
      <c r="C10591" s="85"/>
      <c r="D10591" s="41"/>
      <c r="E10591" s="26" t="str">
        <f ca="1">IFERROR(__xludf.DUMMYFUNCTION("""COMPUTED_VALUE"""),"")</f>
        <v/>
      </c>
      <c r="F10591" s="72"/>
      <c r="G10591" s="72"/>
    </row>
    <row r="10592" spans="1:7" ht="14.5">
      <c r="A10592" s="5"/>
      <c r="B10592" s="18"/>
      <c r="C10592" s="85"/>
      <c r="D10592" s="41"/>
      <c r="E10592" s="26" t="str">
        <f ca="1">IFERROR(__xludf.DUMMYFUNCTION("""COMPUTED_VALUE"""),"")</f>
        <v/>
      </c>
      <c r="F10592" s="72"/>
      <c r="G10592" s="72"/>
    </row>
    <row r="10593" spans="1:7" ht="14.5">
      <c r="A10593" s="5"/>
      <c r="B10593" s="18"/>
      <c r="C10593" s="85"/>
      <c r="D10593" s="41"/>
      <c r="E10593" s="26" t="str">
        <f ca="1">IFERROR(__xludf.DUMMYFUNCTION("""COMPUTED_VALUE"""),"")</f>
        <v/>
      </c>
      <c r="F10593" s="72"/>
      <c r="G10593" s="72"/>
    </row>
    <row r="10594" spans="1:7" ht="14.5">
      <c r="A10594" s="5"/>
      <c r="B10594" s="18"/>
      <c r="C10594" s="85"/>
      <c r="D10594" s="41"/>
      <c r="E10594" s="26" t="str">
        <f ca="1">IFERROR(__xludf.DUMMYFUNCTION("""COMPUTED_VALUE"""),"")</f>
        <v/>
      </c>
      <c r="F10594" s="72"/>
      <c r="G10594" s="72"/>
    </row>
    <row r="10595" spans="1:7" ht="14.5">
      <c r="A10595" s="5"/>
      <c r="B10595" s="18"/>
      <c r="C10595" s="85"/>
      <c r="D10595" s="41"/>
      <c r="E10595" s="26" t="str">
        <f ca="1">IFERROR(__xludf.DUMMYFUNCTION("""COMPUTED_VALUE"""),"")</f>
        <v/>
      </c>
      <c r="F10595" s="72"/>
      <c r="G10595" s="72"/>
    </row>
    <row r="10596" spans="1:7" ht="14.5">
      <c r="A10596" s="5"/>
      <c r="B10596" s="18"/>
      <c r="C10596" s="85"/>
      <c r="D10596" s="41"/>
      <c r="E10596" s="26" t="str">
        <f ca="1">IFERROR(__xludf.DUMMYFUNCTION("""COMPUTED_VALUE"""),"")</f>
        <v/>
      </c>
      <c r="F10596" s="72"/>
      <c r="G10596" s="72"/>
    </row>
    <row r="10597" spans="1:7" ht="14.5">
      <c r="A10597" s="5"/>
      <c r="B10597" s="18"/>
      <c r="C10597" s="85"/>
      <c r="D10597" s="41"/>
      <c r="E10597" s="26" t="str">
        <f ca="1">IFERROR(__xludf.DUMMYFUNCTION("""COMPUTED_VALUE"""),"")</f>
        <v/>
      </c>
      <c r="F10597" s="72"/>
      <c r="G10597" s="72"/>
    </row>
    <row r="10598" spans="1:7" ht="14.5">
      <c r="A10598" s="5"/>
      <c r="B10598" s="18"/>
      <c r="C10598" s="85"/>
      <c r="D10598" s="41"/>
      <c r="E10598" s="26" t="str">
        <f ca="1">IFERROR(__xludf.DUMMYFUNCTION("""COMPUTED_VALUE"""),"")</f>
        <v/>
      </c>
      <c r="F10598" s="72"/>
      <c r="G10598" s="72"/>
    </row>
    <row r="10599" spans="1:7" ht="14.5">
      <c r="A10599" s="5"/>
      <c r="B10599" s="18"/>
      <c r="C10599" s="85"/>
      <c r="D10599" s="41"/>
      <c r="E10599" s="26" t="str">
        <f ca="1">IFERROR(__xludf.DUMMYFUNCTION("""COMPUTED_VALUE"""),"")</f>
        <v/>
      </c>
      <c r="F10599" s="72"/>
      <c r="G10599" s="72"/>
    </row>
    <row r="10600" spans="1:7" ht="14.5">
      <c r="A10600" s="5"/>
      <c r="B10600" s="18"/>
      <c r="C10600" s="85"/>
      <c r="D10600" s="41"/>
      <c r="E10600" s="26" t="str">
        <f ca="1">IFERROR(__xludf.DUMMYFUNCTION("""COMPUTED_VALUE"""),"")</f>
        <v/>
      </c>
      <c r="F10600" s="72"/>
      <c r="G10600" s="72"/>
    </row>
    <row r="10601" spans="1:7" ht="14.5">
      <c r="A10601" s="5"/>
      <c r="B10601" s="18"/>
      <c r="C10601" s="85"/>
      <c r="D10601" s="41"/>
      <c r="E10601" s="26" t="str">
        <f ca="1">IFERROR(__xludf.DUMMYFUNCTION("""COMPUTED_VALUE"""),"")</f>
        <v/>
      </c>
      <c r="F10601" s="72"/>
      <c r="G10601" s="72"/>
    </row>
    <row r="10602" spans="1:7" ht="14.5">
      <c r="A10602" s="5"/>
      <c r="B10602" s="18"/>
      <c r="C10602" s="85"/>
      <c r="D10602" s="41"/>
      <c r="E10602" s="26" t="str">
        <f ca="1">IFERROR(__xludf.DUMMYFUNCTION("""COMPUTED_VALUE"""),"")</f>
        <v/>
      </c>
      <c r="F10602" s="72"/>
      <c r="G10602" s="72"/>
    </row>
    <row r="10603" spans="1:7" ht="14.5">
      <c r="A10603" s="5"/>
      <c r="B10603" s="18"/>
      <c r="C10603" s="85"/>
      <c r="D10603" s="41"/>
      <c r="E10603" s="26" t="str">
        <f ca="1">IFERROR(__xludf.DUMMYFUNCTION("""COMPUTED_VALUE"""),"")</f>
        <v/>
      </c>
      <c r="F10603" s="72"/>
      <c r="G10603" s="72"/>
    </row>
    <row r="10604" spans="1:7" ht="14.5">
      <c r="A10604" s="5"/>
      <c r="B10604" s="18"/>
      <c r="C10604" s="85"/>
      <c r="D10604" s="41"/>
      <c r="E10604" s="26" t="str">
        <f ca="1">IFERROR(__xludf.DUMMYFUNCTION("""COMPUTED_VALUE"""),"")</f>
        <v/>
      </c>
      <c r="F10604" s="72"/>
      <c r="G10604" s="72"/>
    </row>
    <row r="10605" spans="1:7" ht="14.5">
      <c r="A10605" s="5"/>
      <c r="B10605" s="18"/>
      <c r="C10605" s="85"/>
      <c r="D10605" s="41"/>
      <c r="E10605" s="26" t="str">
        <f ca="1">IFERROR(__xludf.DUMMYFUNCTION("""COMPUTED_VALUE"""),"")</f>
        <v/>
      </c>
      <c r="F10605" s="72"/>
      <c r="G10605" s="72"/>
    </row>
    <row r="10606" spans="1:7" ht="14.5">
      <c r="A10606" s="5"/>
      <c r="B10606" s="18"/>
      <c r="C10606" s="85"/>
      <c r="D10606" s="41"/>
      <c r="E10606" s="26" t="str">
        <f ca="1">IFERROR(__xludf.DUMMYFUNCTION("""COMPUTED_VALUE"""),"")</f>
        <v/>
      </c>
      <c r="F10606" s="72"/>
      <c r="G10606" s="72"/>
    </row>
    <row r="10607" spans="1:7" ht="14.5">
      <c r="A10607" s="5"/>
      <c r="B10607" s="18"/>
      <c r="C10607" s="85"/>
      <c r="D10607" s="41"/>
      <c r="E10607" s="26" t="str">
        <f ca="1">IFERROR(__xludf.DUMMYFUNCTION("""COMPUTED_VALUE"""),"")</f>
        <v/>
      </c>
      <c r="F10607" s="72"/>
      <c r="G10607" s="72"/>
    </row>
    <row r="10608" spans="1:7" ht="14.5">
      <c r="A10608" s="5"/>
      <c r="B10608" s="18"/>
      <c r="C10608" s="85"/>
      <c r="D10608" s="41"/>
      <c r="E10608" s="26" t="str">
        <f ca="1">IFERROR(__xludf.DUMMYFUNCTION("""COMPUTED_VALUE"""),"")</f>
        <v/>
      </c>
      <c r="F10608" s="72"/>
      <c r="G10608" s="72"/>
    </row>
    <row r="10609" spans="1:7" ht="14.5">
      <c r="A10609" s="5"/>
      <c r="B10609" s="18"/>
      <c r="C10609" s="85"/>
      <c r="D10609" s="41"/>
      <c r="E10609" s="26" t="str">
        <f ca="1">IFERROR(__xludf.DUMMYFUNCTION("""COMPUTED_VALUE"""),"")</f>
        <v/>
      </c>
      <c r="F10609" s="72"/>
      <c r="G10609" s="72"/>
    </row>
    <row r="10610" spans="1:7" ht="14.5">
      <c r="A10610" s="5"/>
      <c r="B10610" s="18"/>
      <c r="C10610" s="85"/>
      <c r="D10610" s="41"/>
      <c r="E10610" s="26" t="str">
        <f ca="1">IFERROR(__xludf.DUMMYFUNCTION("""COMPUTED_VALUE"""),"")</f>
        <v/>
      </c>
      <c r="F10610" s="72"/>
      <c r="G10610" s="72"/>
    </row>
    <row r="10611" spans="1:7" ht="14.5">
      <c r="A10611" s="5"/>
      <c r="B10611" s="18"/>
      <c r="C10611" s="85"/>
      <c r="D10611" s="41"/>
      <c r="E10611" s="26" t="str">
        <f ca="1">IFERROR(__xludf.DUMMYFUNCTION("""COMPUTED_VALUE"""),"")</f>
        <v/>
      </c>
      <c r="F10611" s="72"/>
      <c r="G10611" s="72"/>
    </row>
    <row r="10612" spans="1:7" ht="14.5">
      <c r="A10612" s="5"/>
      <c r="B10612" s="18"/>
      <c r="C10612" s="85"/>
      <c r="D10612" s="41"/>
      <c r="E10612" s="26" t="str">
        <f ca="1">IFERROR(__xludf.DUMMYFUNCTION("""COMPUTED_VALUE"""),"")</f>
        <v/>
      </c>
      <c r="F10612" s="72"/>
      <c r="G10612" s="72"/>
    </row>
    <row r="10613" spans="1:7" ht="14.5">
      <c r="A10613" s="5"/>
      <c r="B10613" s="18"/>
      <c r="C10613" s="85"/>
      <c r="D10613" s="41"/>
      <c r="E10613" s="26" t="str">
        <f ca="1">IFERROR(__xludf.DUMMYFUNCTION("""COMPUTED_VALUE"""),"")</f>
        <v/>
      </c>
      <c r="F10613" s="72"/>
      <c r="G10613" s="72"/>
    </row>
    <row r="10614" spans="1:7" ht="14.5">
      <c r="A10614" s="5"/>
      <c r="B10614" s="18"/>
      <c r="C10614" s="85"/>
      <c r="D10614" s="41"/>
      <c r="E10614" s="26" t="str">
        <f ca="1">IFERROR(__xludf.DUMMYFUNCTION("""COMPUTED_VALUE"""),"")</f>
        <v/>
      </c>
      <c r="F10614" s="72"/>
      <c r="G10614" s="72"/>
    </row>
    <row r="10615" spans="1:7" ht="14.5">
      <c r="A10615" s="5"/>
      <c r="B10615" s="18"/>
      <c r="C10615" s="85"/>
      <c r="D10615" s="41"/>
      <c r="E10615" s="26" t="str">
        <f ca="1">IFERROR(__xludf.DUMMYFUNCTION("""COMPUTED_VALUE"""),"")</f>
        <v/>
      </c>
      <c r="F10615" s="72"/>
      <c r="G10615" s="72"/>
    </row>
    <row r="10616" spans="1:7" ht="14.5">
      <c r="A10616" s="5"/>
      <c r="B10616" s="18"/>
      <c r="C10616" s="85"/>
      <c r="D10616" s="41"/>
      <c r="E10616" s="26" t="str">
        <f ca="1">IFERROR(__xludf.DUMMYFUNCTION("""COMPUTED_VALUE"""),"")</f>
        <v/>
      </c>
      <c r="F10616" s="72"/>
      <c r="G10616" s="72"/>
    </row>
    <row r="10617" spans="1:7" ht="14.5">
      <c r="A10617" s="5"/>
      <c r="B10617" s="18"/>
      <c r="C10617" s="85"/>
      <c r="D10617" s="41"/>
      <c r="E10617" s="26" t="str">
        <f ca="1">IFERROR(__xludf.DUMMYFUNCTION("""COMPUTED_VALUE"""),"")</f>
        <v/>
      </c>
      <c r="F10617" s="72"/>
      <c r="G10617" s="72"/>
    </row>
    <row r="10618" spans="1:7" ht="14.5">
      <c r="A10618" s="5"/>
      <c r="B10618" s="18"/>
      <c r="C10618" s="85"/>
      <c r="D10618" s="41"/>
      <c r="E10618" s="26" t="str">
        <f ca="1">IFERROR(__xludf.DUMMYFUNCTION("""COMPUTED_VALUE"""),"")</f>
        <v/>
      </c>
      <c r="F10618" s="72"/>
      <c r="G10618" s="72"/>
    </row>
    <row r="10619" spans="1:7" ht="14.5">
      <c r="A10619" s="5"/>
      <c r="B10619" s="18"/>
      <c r="C10619" s="85"/>
      <c r="D10619" s="41"/>
      <c r="E10619" s="26" t="str">
        <f ca="1">IFERROR(__xludf.DUMMYFUNCTION("""COMPUTED_VALUE"""),"")</f>
        <v/>
      </c>
      <c r="F10619" s="72"/>
      <c r="G10619" s="72"/>
    </row>
    <row r="10620" spans="1:7" ht="14.5">
      <c r="A10620" s="5"/>
      <c r="B10620" s="18"/>
      <c r="C10620" s="85"/>
      <c r="D10620" s="41"/>
      <c r="E10620" s="26" t="str">
        <f ca="1">IFERROR(__xludf.DUMMYFUNCTION("""COMPUTED_VALUE"""),"")</f>
        <v/>
      </c>
      <c r="F10620" s="72"/>
      <c r="G10620" s="72"/>
    </row>
    <row r="10621" spans="1:7" ht="14.5">
      <c r="A10621" s="5"/>
      <c r="B10621" s="18"/>
      <c r="C10621" s="85"/>
      <c r="D10621" s="41"/>
      <c r="E10621" s="26" t="str">
        <f ca="1">IFERROR(__xludf.DUMMYFUNCTION("""COMPUTED_VALUE"""),"")</f>
        <v/>
      </c>
      <c r="F10621" s="72"/>
      <c r="G10621" s="72"/>
    </row>
    <row r="10622" spans="1:7" ht="14.5">
      <c r="A10622" s="5"/>
      <c r="B10622" s="18"/>
      <c r="C10622" s="85"/>
      <c r="D10622" s="41"/>
      <c r="E10622" s="26" t="str">
        <f ca="1">IFERROR(__xludf.DUMMYFUNCTION("""COMPUTED_VALUE"""),"")</f>
        <v/>
      </c>
      <c r="F10622" s="72"/>
      <c r="G10622" s="72"/>
    </row>
    <row r="10623" spans="1:7" ht="14.5">
      <c r="A10623" s="5"/>
      <c r="B10623" s="18"/>
      <c r="C10623" s="85"/>
      <c r="D10623" s="41"/>
      <c r="E10623" s="26" t="str">
        <f ca="1">IFERROR(__xludf.DUMMYFUNCTION("""COMPUTED_VALUE"""),"")</f>
        <v/>
      </c>
      <c r="F10623" s="72"/>
      <c r="G10623" s="72"/>
    </row>
    <row r="10624" spans="1:7" ht="14.5">
      <c r="A10624" s="5"/>
      <c r="B10624" s="18"/>
      <c r="C10624" s="85"/>
      <c r="D10624" s="41"/>
      <c r="E10624" s="26" t="str">
        <f ca="1">IFERROR(__xludf.DUMMYFUNCTION("""COMPUTED_VALUE"""),"")</f>
        <v/>
      </c>
      <c r="F10624" s="72"/>
      <c r="G10624" s="72"/>
    </row>
    <row r="10625" spans="1:7" ht="14.5">
      <c r="A10625" s="5"/>
      <c r="B10625" s="18"/>
      <c r="C10625" s="85"/>
      <c r="D10625" s="41"/>
      <c r="E10625" s="26" t="str">
        <f ca="1">IFERROR(__xludf.DUMMYFUNCTION("""COMPUTED_VALUE"""),"")</f>
        <v/>
      </c>
      <c r="F10625" s="72"/>
      <c r="G10625" s="72"/>
    </row>
    <row r="10626" spans="1:7" ht="14.5">
      <c r="A10626" s="5"/>
      <c r="B10626" s="18"/>
      <c r="C10626" s="85"/>
      <c r="D10626" s="41"/>
      <c r="E10626" s="26" t="str">
        <f ca="1">IFERROR(__xludf.DUMMYFUNCTION("""COMPUTED_VALUE"""),"")</f>
        <v/>
      </c>
      <c r="F10626" s="72"/>
      <c r="G10626" s="72"/>
    </row>
    <row r="10627" spans="1:7" ht="14.5">
      <c r="A10627" s="5"/>
      <c r="B10627" s="18"/>
      <c r="C10627" s="85"/>
      <c r="D10627" s="41"/>
      <c r="E10627" s="26" t="str">
        <f ca="1">IFERROR(__xludf.DUMMYFUNCTION("""COMPUTED_VALUE"""),"")</f>
        <v/>
      </c>
      <c r="F10627" s="72"/>
      <c r="G10627" s="72"/>
    </row>
    <row r="10628" spans="1:7" ht="14.5">
      <c r="A10628" s="5"/>
      <c r="B10628" s="18"/>
      <c r="C10628" s="85"/>
      <c r="D10628" s="41"/>
      <c r="E10628" s="26" t="str">
        <f ca="1">IFERROR(__xludf.DUMMYFUNCTION("""COMPUTED_VALUE"""),"")</f>
        <v/>
      </c>
      <c r="F10628" s="72"/>
      <c r="G10628" s="72"/>
    </row>
    <row r="10629" spans="1:7" ht="14.5">
      <c r="A10629" s="5"/>
      <c r="B10629" s="18"/>
      <c r="C10629" s="85"/>
      <c r="D10629" s="41"/>
      <c r="E10629" s="26" t="str">
        <f ca="1">IFERROR(__xludf.DUMMYFUNCTION("""COMPUTED_VALUE"""),"")</f>
        <v/>
      </c>
      <c r="F10629" s="72"/>
      <c r="G10629" s="72"/>
    </row>
    <row r="10630" spans="1:7" ht="14.5">
      <c r="A10630" s="5"/>
      <c r="B10630" s="18"/>
      <c r="C10630" s="85"/>
      <c r="D10630" s="41"/>
      <c r="E10630" s="26" t="str">
        <f ca="1">IFERROR(__xludf.DUMMYFUNCTION("""COMPUTED_VALUE"""),"")</f>
        <v/>
      </c>
      <c r="F10630" s="72"/>
      <c r="G10630" s="72"/>
    </row>
    <row r="10631" spans="1:7" ht="14.5">
      <c r="A10631" s="5"/>
      <c r="B10631" s="18"/>
      <c r="C10631" s="85"/>
      <c r="D10631" s="41"/>
      <c r="E10631" s="26" t="str">
        <f ca="1">IFERROR(__xludf.DUMMYFUNCTION("""COMPUTED_VALUE"""),"")</f>
        <v/>
      </c>
      <c r="F10631" s="72"/>
      <c r="G10631" s="72"/>
    </row>
    <row r="10632" spans="1:7" ht="14.5">
      <c r="A10632" s="5"/>
      <c r="B10632" s="18"/>
      <c r="C10632" s="85"/>
      <c r="D10632" s="41"/>
      <c r="E10632" s="26" t="str">
        <f ca="1">IFERROR(__xludf.DUMMYFUNCTION("""COMPUTED_VALUE"""),"")</f>
        <v/>
      </c>
      <c r="F10632" s="72"/>
      <c r="G10632" s="72"/>
    </row>
    <row r="10633" spans="1:7" ht="14.5">
      <c r="A10633" s="5"/>
      <c r="B10633" s="18"/>
      <c r="C10633" s="85"/>
      <c r="D10633" s="41"/>
      <c r="E10633" s="26" t="str">
        <f ca="1">IFERROR(__xludf.DUMMYFUNCTION("""COMPUTED_VALUE"""),"")</f>
        <v/>
      </c>
      <c r="F10633" s="72"/>
      <c r="G10633" s="72"/>
    </row>
    <row r="10634" spans="1:7" ht="14.5">
      <c r="A10634" s="5"/>
      <c r="B10634" s="18"/>
      <c r="C10634" s="85"/>
      <c r="D10634" s="41"/>
      <c r="E10634" s="26" t="str">
        <f ca="1">IFERROR(__xludf.DUMMYFUNCTION("""COMPUTED_VALUE"""),"")</f>
        <v/>
      </c>
      <c r="F10634" s="72"/>
      <c r="G10634" s="72"/>
    </row>
    <row r="10635" spans="1:7" ht="14.5">
      <c r="A10635" s="5"/>
      <c r="B10635" s="18"/>
      <c r="C10635" s="85"/>
      <c r="D10635" s="41"/>
      <c r="E10635" s="26" t="str">
        <f ca="1">IFERROR(__xludf.DUMMYFUNCTION("""COMPUTED_VALUE"""),"")</f>
        <v/>
      </c>
      <c r="F10635" s="72"/>
      <c r="G10635" s="72"/>
    </row>
    <row r="10636" spans="1:7" ht="14.5">
      <c r="A10636" s="5"/>
      <c r="B10636" s="18"/>
      <c r="C10636" s="85"/>
      <c r="D10636" s="41"/>
      <c r="E10636" s="26" t="str">
        <f ca="1">IFERROR(__xludf.DUMMYFUNCTION("""COMPUTED_VALUE"""),"")</f>
        <v/>
      </c>
      <c r="F10636" s="72"/>
      <c r="G10636" s="72"/>
    </row>
    <row r="10637" spans="1:7" ht="14.5">
      <c r="A10637" s="5"/>
      <c r="B10637" s="18"/>
      <c r="C10637" s="85"/>
      <c r="D10637" s="41"/>
      <c r="E10637" s="26" t="str">
        <f ca="1">IFERROR(__xludf.DUMMYFUNCTION("""COMPUTED_VALUE"""),"")</f>
        <v/>
      </c>
      <c r="F10637" s="72"/>
      <c r="G10637" s="72"/>
    </row>
    <row r="10638" spans="1:7" ht="14.5">
      <c r="A10638" s="5"/>
      <c r="B10638" s="18"/>
      <c r="C10638" s="85"/>
      <c r="D10638" s="41"/>
      <c r="E10638" s="26" t="str">
        <f ca="1">IFERROR(__xludf.DUMMYFUNCTION("""COMPUTED_VALUE"""),"")</f>
        <v/>
      </c>
      <c r="F10638" s="72"/>
      <c r="G10638" s="72"/>
    </row>
    <row r="10639" spans="1:7" ht="14.5">
      <c r="A10639" s="5"/>
      <c r="B10639" s="18"/>
      <c r="C10639" s="85"/>
      <c r="D10639" s="41"/>
      <c r="E10639" s="26" t="str">
        <f ca="1">IFERROR(__xludf.DUMMYFUNCTION("""COMPUTED_VALUE"""),"")</f>
        <v/>
      </c>
      <c r="F10639" s="72"/>
      <c r="G10639" s="72"/>
    </row>
    <row r="10640" spans="1:7" ht="14.5">
      <c r="A10640" s="5"/>
      <c r="B10640" s="18"/>
      <c r="C10640" s="85"/>
      <c r="D10640" s="41"/>
      <c r="E10640" s="26" t="str">
        <f ca="1">IFERROR(__xludf.DUMMYFUNCTION("""COMPUTED_VALUE"""),"")</f>
        <v/>
      </c>
      <c r="F10640" s="72"/>
      <c r="G10640" s="72"/>
    </row>
    <row r="10641" spans="1:7" ht="14.5">
      <c r="A10641" s="5"/>
      <c r="B10641" s="18"/>
      <c r="C10641" s="85"/>
      <c r="D10641" s="41"/>
      <c r="E10641" s="26" t="str">
        <f ca="1">IFERROR(__xludf.DUMMYFUNCTION("""COMPUTED_VALUE"""),"")</f>
        <v/>
      </c>
      <c r="F10641" s="72"/>
      <c r="G10641" s="72"/>
    </row>
    <row r="10642" spans="1:7" ht="14.5">
      <c r="A10642" s="5"/>
      <c r="B10642" s="18"/>
      <c r="C10642" s="85"/>
      <c r="D10642" s="41"/>
      <c r="E10642" s="26" t="str">
        <f ca="1">IFERROR(__xludf.DUMMYFUNCTION("""COMPUTED_VALUE"""),"")</f>
        <v/>
      </c>
      <c r="F10642" s="72"/>
      <c r="G10642" s="72"/>
    </row>
    <row r="10643" spans="1:7" ht="14.5">
      <c r="A10643" s="5"/>
      <c r="B10643" s="18"/>
      <c r="C10643" s="85"/>
      <c r="D10643" s="41"/>
      <c r="E10643" s="26" t="str">
        <f ca="1">IFERROR(__xludf.DUMMYFUNCTION("""COMPUTED_VALUE"""),"")</f>
        <v/>
      </c>
      <c r="F10643" s="72"/>
      <c r="G10643" s="72"/>
    </row>
    <row r="10644" spans="1:7" ht="14.5">
      <c r="A10644" s="5"/>
      <c r="B10644" s="18"/>
      <c r="C10644" s="85"/>
      <c r="D10644" s="41"/>
      <c r="E10644" s="26" t="str">
        <f ca="1">IFERROR(__xludf.DUMMYFUNCTION("""COMPUTED_VALUE"""),"")</f>
        <v/>
      </c>
      <c r="F10644" s="72"/>
      <c r="G10644" s="72"/>
    </row>
    <row r="10645" spans="1:7" ht="14.5">
      <c r="A10645" s="5"/>
      <c r="B10645" s="18"/>
      <c r="C10645" s="85"/>
      <c r="D10645" s="41"/>
      <c r="E10645" s="26" t="str">
        <f ca="1">IFERROR(__xludf.DUMMYFUNCTION("""COMPUTED_VALUE"""),"")</f>
        <v/>
      </c>
      <c r="F10645" s="72"/>
      <c r="G10645" s="72"/>
    </row>
    <row r="10646" spans="1:7" ht="14.5">
      <c r="A10646" s="5"/>
      <c r="B10646" s="18"/>
      <c r="C10646" s="85"/>
      <c r="D10646" s="41"/>
      <c r="E10646" s="26" t="str">
        <f ca="1">IFERROR(__xludf.DUMMYFUNCTION("""COMPUTED_VALUE"""),"")</f>
        <v/>
      </c>
      <c r="F10646" s="72"/>
      <c r="G10646" s="72"/>
    </row>
    <row r="10647" spans="1:7" ht="14.5">
      <c r="A10647" s="5"/>
      <c r="B10647" s="18"/>
      <c r="C10647" s="85"/>
      <c r="D10647" s="41"/>
      <c r="E10647" s="26" t="str">
        <f ca="1">IFERROR(__xludf.DUMMYFUNCTION("""COMPUTED_VALUE"""),"")</f>
        <v/>
      </c>
      <c r="F10647" s="72"/>
      <c r="G10647" s="72"/>
    </row>
    <row r="10648" spans="1:7" ht="14.5">
      <c r="A10648" s="5"/>
      <c r="B10648" s="18"/>
      <c r="C10648" s="85"/>
      <c r="D10648" s="41"/>
      <c r="E10648" s="26" t="str">
        <f ca="1">IFERROR(__xludf.DUMMYFUNCTION("""COMPUTED_VALUE"""),"")</f>
        <v/>
      </c>
      <c r="F10648" s="72"/>
      <c r="G10648" s="72"/>
    </row>
    <row r="10649" spans="1:7" ht="14.5">
      <c r="A10649" s="5"/>
      <c r="B10649" s="18"/>
      <c r="C10649" s="85"/>
      <c r="D10649" s="41"/>
      <c r="E10649" s="26" t="str">
        <f ca="1">IFERROR(__xludf.DUMMYFUNCTION("""COMPUTED_VALUE"""),"")</f>
        <v/>
      </c>
      <c r="F10649" s="72"/>
      <c r="G10649" s="72"/>
    </row>
    <row r="10650" spans="1:7" ht="14.5">
      <c r="A10650" s="5"/>
      <c r="B10650" s="18"/>
      <c r="C10650" s="85"/>
      <c r="D10650" s="41"/>
      <c r="E10650" s="26" t="str">
        <f ca="1">IFERROR(__xludf.DUMMYFUNCTION("""COMPUTED_VALUE"""),"")</f>
        <v/>
      </c>
      <c r="F10650" s="72"/>
      <c r="G10650" s="72"/>
    </row>
    <row r="10651" spans="1:7" ht="14.5">
      <c r="A10651" s="5"/>
      <c r="B10651" s="18"/>
      <c r="C10651" s="85"/>
      <c r="D10651" s="41"/>
      <c r="E10651" s="26" t="str">
        <f ca="1">IFERROR(__xludf.DUMMYFUNCTION("""COMPUTED_VALUE"""),"")</f>
        <v/>
      </c>
      <c r="F10651" s="72"/>
      <c r="G10651" s="72"/>
    </row>
    <row r="10652" spans="1:7" ht="14.5">
      <c r="A10652" s="5"/>
      <c r="B10652" s="18"/>
      <c r="C10652" s="85"/>
      <c r="D10652" s="41"/>
      <c r="E10652" s="26" t="str">
        <f ca="1">IFERROR(__xludf.DUMMYFUNCTION("""COMPUTED_VALUE"""),"")</f>
        <v/>
      </c>
      <c r="F10652" s="72"/>
      <c r="G10652" s="72"/>
    </row>
    <row r="10653" spans="1:7" ht="14.5">
      <c r="A10653" s="5"/>
      <c r="B10653" s="18"/>
      <c r="C10653" s="85"/>
      <c r="D10653" s="41"/>
      <c r="E10653" s="26" t="str">
        <f ca="1">IFERROR(__xludf.DUMMYFUNCTION("""COMPUTED_VALUE"""),"")</f>
        <v/>
      </c>
      <c r="F10653" s="72"/>
      <c r="G10653" s="72"/>
    </row>
    <row r="10654" spans="1:7" ht="14.5">
      <c r="A10654" s="5"/>
      <c r="B10654" s="18"/>
      <c r="C10654" s="85"/>
      <c r="D10654" s="41"/>
      <c r="E10654" s="26" t="str">
        <f ca="1">IFERROR(__xludf.DUMMYFUNCTION("""COMPUTED_VALUE"""),"")</f>
        <v/>
      </c>
      <c r="F10654" s="72"/>
      <c r="G10654" s="72"/>
    </row>
    <row r="10655" spans="1:7" ht="14.5">
      <c r="A10655" s="5"/>
      <c r="B10655" s="18"/>
      <c r="C10655" s="85"/>
      <c r="D10655" s="41"/>
      <c r="E10655" s="26" t="str">
        <f ca="1">IFERROR(__xludf.DUMMYFUNCTION("""COMPUTED_VALUE"""),"")</f>
        <v/>
      </c>
      <c r="F10655" s="72"/>
      <c r="G10655" s="72"/>
    </row>
    <row r="10656" spans="1:7" ht="14.5">
      <c r="A10656" s="5"/>
      <c r="B10656" s="18"/>
      <c r="C10656" s="85"/>
      <c r="D10656" s="41"/>
      <c r="E10656" s="26" t="str">
        <f ca="1">IFERROR(__xludf.DUMMYFUNCTION("""COMPUTED_VALUE"""),"")</f>
        <v/>
      </c>
      <c r="F10656" s="72"/>
      <c r="G10656" s="72"/>
    </row>
    <row r="10657" spans="1:7" ht="14.5">
      <c r="A10657" s="5"/>
      <c r="B10657" s="18"/>
      <c r="C10657" s="85"/>
      <c r="D10657" s="41"/>
      <c r="E10657" s="26" t="str">
        <f ca="1">IFERROR(__xludf.DUMMYFUNCTION("""COMPUTED_VALUE"""),"")</f>
        <v/>
      </c>
      <c r="F10657" s="72"/>
      <c r="G10657" s="72"/>
    </row>
    <row r="10658" spans="1:7" ht="14.5">
      <c r="A10658" s="5"/>
      <c r="B10658" s="18"/>
      <c r="C10658" s="85"/>
      <c r="D10658" s="41"/>
      <c r="E10658" s="26" t="str">
        <f ca="1">IFERROR(__xludf.DUMMYFUNCTION("""COMPUTED_VALUE"""),"")</f>
        <v/>
      </c>
      <c r="F10658" s="72"/>
      <c r="G10658" s="72"/>
    </row>
    <row r="10659" spans="1:7" ht="14.5">
      <c r="A10659" s="5"/>
      <c r="B10659" s="18"/>
      <c r="C10659" s="85"/>
      <c r="D10659" s="41"/>
      <c r="E10659" s="26" t="str">
        <f ca="1">IFERROR(__xludf.DUMMYFUNCTION("""COMPUTED_VALUE"""),"")</f>
        <v/>
      </c>
      <c r="F10659" s="72"/>
      <c r="G10659" s="72"/>
    </row>
    <row r="10660" spans="1:7" ht="14.5">
      <c r="A10660" s="5"/>
      <c r="B10660" s="18"/>
      <c r="C10660" s="85"/>
      <c r="D10660" s="41"/>
      <c r="E10660" s="26" t="str">
        <f ca="1">IFERROR(__xludf.DUMMYFUNCTION("""COMPUTED_VALUE"""),"")</f>
        <v/>
      </c>
      <c r="F10660" s="72"/>
      <c r="G10660" s="72"/>
    </row>
    <row r="10661" spans="1:7" ht="14.5">
      <c r="A10661" s="5"/>
      <c r="B10661" s="18"/>
      <c r="C10661" s="85"/>
      <c r="D10661" s="41"/>
      <c r="E10661" s="26" t="str">
        <f ca="1">IFERROR(__xludf.DUMMYFUNCTION("""COMPUTED_VALUE"""),"")</f>
        <v/>
      </c>
      <c r="F10661" s="72"/>
      <c r="G10661" s="72"/>
    </row>
    <row r="10662" spans="1:7" ht="14.5">
      <c r="A10662" s="5"/>
      <c r="B10662" s="18"/>
      <c r="C10662" s="85"/>
      <c r="D10662" s="41"/>
      <c r="E10662" s="26" t="str">
        <f ca="1">IFERROR(__xludf.DUMMYFUNCTION("""COMPUTED_VALUE"""),"")</f>
        <v/>
      </c>
      <c r="F10662" s="72"/>
      <c r="G10662" s="72"/>
    </row>
    <row r="10663" spans="1:7" ht="14.5">
      <c r="A10663" s="5"/>
      <c r="B10663" s="18"/>
      <c r="C10663" s="85"/>
      <c r="D10663" s="41"/>
      <c r="E10663" s="26" t="str">
        <f ca="1">IFERROR(__xludf.DUMMYFUNCTION("""COMPUTED_VALUE"""),"")</f>
        <v/>
      </c>
      <c r="F10663" s="72"/>
      <c r="G10663" s="72"/>
    </row>
    <row r="10664" spans="1:7" ht="14.5">
      <c r="A10664" s="5"/>
      <c r="B10664" s="18"/>
      <c r="C10664" s="85"/>
      <c r="D10664" s="41"/>
      <c r="E10664" s="26" t="str">
        <f ca="1">IFERROR(__xludf.DUMMYFUNCTION("""COMPUTED_VALUE"""),"")</f>
        <v/>
      </c>
      <c r="F10664" s="72"/>
      <c r="G10664" s="72"/>
    </row>
    <row r="10665" spans="1:7" ht="14.5">
      <c r="A10665" s="5"/>
      <c r="B10665" s="18"/>
      <c r="C10665" s="85"/>
      <c r="D10665" s="41"/>
      <c r="E10665" s="26" t="str">
        <f ca="1">IFERROR(__xludf.DUMMYFUNCTION("""COMPUTED_VALUE"""),"")</f>
        <v/>
      </c>
      <c r="F10665" s="72"/>
      <c r="G10665" s="72"/>
    </row>
    <row r="10666" spans="1:7" ht="14.5">
      <c r="A10666" s="5"/>
      <c r="B10666" s="18"/>
      <c r="C10666" s="85"/>
      <c r="D10666" s="41"/>
      <c r="E10666" s="26" t="str">
        <f ca="1">IFERROR(__xludf.DUMMYFUNCTION("""COMPUTED_VALUE"""),"")</f>
        <v/>
      </c>
      <c r="F10666" s="72"/>
      <c r="G10666" s="72"/>
    </row>
    <row r="10667" spans="1:7" ht="14.5">
      <c r="A10667" s="5"/>
      <c r="B10667" s="18"/>
      <c r="C10667" s="85"/>
      <c r="D10667" s="41"/>
      <c r="E10667" s="26" t="str">
        <f ca="1">IFERROR(__xludf.DUMMYFUNCTION("""COMPUTED_VALUE"""),"")</f>
        <v/>
      </c>
      <c r="F10667" s="72"/>
      <c r="G10667" s="72"/>
    </row>
    <row r="10668" spans="1:7" ht="14.5">
      <c r="A10668" s="5"/>
      <c r="B10668" s="18"/>
      <c r="C10668" s="85"/>
      <c r="D10668" s="41"/>
      <c r="E10668" s="26" t="str">
        <f ca="1">IFERROR(__xludf.DUMMYFUNCTION("""COMPUTED_VALUE"""),"")</f>
        <v/>
      </c>
      <c r="F10668" s="72"/>
      <c r="G10668" s="72"/>
    </row>
    <row r="10669" spans="1:7" ht="14.5">
      <c r="A10669" s="5"/>
      <c r="B10669" s="18"/>
      <c r="C10669" s="85"/>
      <c r="D10669" s="41"/>
      <c r="E10669" s="26" t="str">
        <f ca="1">IFERROR(__xludf.DUMMYFUNCTION("""COMPUTED_VALUE"""),"")</f>
        <v/>
      </c>
      <c r="F10669" s="72"/>
      <c r="G10669" s="72"/>
    </row>
    <row r="10670" spans="1:7" ht="14.5">
      <c r="A10670" s="5"/>
      <c r="B10670" s="18"/>
      <c r="C10670" s="85"/>
      <c r="D10670" s="41"/>
      <c r="E10670" s="26" t="str">
        <f ca="1">IFERROR(__xludf.DUMMYFUNCTION("""COMPUTED_VALUE"""),"")</f>
        <v/>
      </c>
      <c r="F10670" s="72"/>
      <c r="G10670" s="72"/>
    </row>
    <row r="10671" spans="1:7" ht="14.5">
      <c r="A10671" s="5"/>
      <c r="B10671" s="18"/>
      <c r="C10671" s="85"/>
      <c r="D10671" s="41"/>
      <c r="E10671" s="26" t="str">
        <f ca="1">IFERROR(__xludf.DUMMYFUNCTION("""COMPUTED_VALUE"""),"")</f>
        <v/>
      </c>
      <c r="F10671" s="72"/>
      <c r="G10671" s="72"/>
    </row>
    <row r="10672" spans="1:7" ht="14.5">
      <c r="A10672" s="5"/>
      <c r="B10672" s="18"/>
      <c r="C10672" s="85"/>
      <c r="D10672" s="41"/>
      <c r="E10672" s="26" t="str">
        <f ca="1">IFERROR(__xludf.DUMMYFUNCTION("""COMPUTED_VALUE"""),"")</f>
        <v/>
      </c>
      <c r="F10672" s="72"/>
      <c r="G10672" s="72"/>
    </row>
    <row r="10673" spans="1:7" ht="14.5">
      <c r="A10673" s="5"/>
      <c r="B10673" s="18"/>
      <c r="C10673" s="85"/>
      <c r="D10673" s="41"/>
      <c r="E10673" s="26" t="str">
        <f ca="1">IFERROR(__xludf.DUMMYFUNCTION("""COMPUTED_VALUE"""),"")</f>
        <v/>
      </c>
      <c r="F10673" s="72"/>
      <c r="G10673" s="72"/>
    </row>
    <row r="10674" spans="1:7" ht="14.5">
      <c r="A10674" s="5"/>
      <c r="B10674" s="18"/>
      <c r="C10674" s="85"/>
      <c r="D10674" s="41"/>
      <c r="E10674" s="26" t="str">
        <f ca="1">IFERROR(__xludf.DUMMYFUNCTION("""COMPUTED_VALUE"""),"")</f>
        <v/>
      </c>
      <c r="F10674" s="72"/>
      <c r="G10674" s="72"/>
    </row>
    <row r="10675" spans="1:7" ht="14.5">
      <c r="A10675" s="5"/>
      <c r="B10675" s="18"/>
      <c r="C10675" s="85"/>
      <c r="D10675" s="41"/>
      <c r="E10675" s="26" t="str">
        <f ca="1">IFERROR(__xludf.DUMMYFUNCTION("""COMPUTED_VALUE"""),"")</f>
        <v/>
      </c>
      <c r="F10675" s="72"/>
      <c r="G10675" s="72"/>
    </row>
    <row r="10676" spans="1:7" ht="14.5">
      <c r="A10676" s="5"/>
      <c r="B10676" s="18"/>
      <c r="C10676" s="85"/>
      <c r="D10676" s="41"/>
      <c r="E10676" s="26" t="str">
        <f ca="1">IFERROR(__xludf.DUMMYFUNCTION("""COMPUTED_VALUE"""),"")</f>
        <v/>
      </c>
      <c r="F10676" s="72"/>
      <c r="G10676" s="72"/>
    </row>
    <row r="10677" spans="1:7" ht="14.5">
      <c r="A10677" s="5"/>
      <c r="B10677" s="18"/>
      <c r="C10677" s="85"/>
      <c r="D10677" s="41"/>
      <c r="E10677" s="26" t="str">
        <f ca="1">IFERROR(__xludf.DUMMYFUNCTION("""COMPUTED_VALUE"""),"")</f>
        <v/>
      </c>
      <c r="F10677" s="72"/>
      <c r="G10677" s="72"/>
    </row>
    <row r="10678" spans="1:7" ht="14.5">
      <c r="A10678" s="5"/>
      <c r="B10678" s="18"/>
      <c r="C10678" s="85"/>
      <c r="D10678" s="41"/>
      <c r="E10678" s="26" t="str">
        <f ca="1">IFERROR(__xludf.DUMMYFUNCTION("""COMPUTED_VALUE"""),"")</f>
        <v/>
      </c>
      <c r="F10678" s="72"/>
      <c r="G10678" s="72"/>
    </row>
    <row r="10679" spans="1:7" ht="14.5">
      <c r="A10679" s="5"/>
      <c r="B10679" s="18"/>
      <c r="C10679" s="85"/>
      <c r="D10679" s="41"/>
      <c r="E10679" s="26" t="str">
        <f ca="1">IFERROR(__xludf.DUMMYFUNCTION("""COMPUTED_VALUE"""),"")</f>
        <v/>
      </c>
      <c r="F10679" s="72"/>
      <c r="G10679" s="72"/>
    </row>
    <row r="10680" spans="1:7" ht="14.5">
      <c r="A10680" s="5"/>
      <c r="B10680" s="18"/>
      <c r="C10680" s="85"/>
      <c r="D10680" s="41"/>
      <c r="E10680" s="26" t="str">
        <f ca="1">IFERROR(__xludf.DUMMYFUNCTION("""COMPUTED_VALUE"""),"")</f>
        <v/>
      </c>
      <c r="F10680" s="72"/>
      <c r="G10680" s="72"/>
    </row>
    <row r="10681" spans="1:7" ht="14.5">
      <c r="A10681" s="5"/>
      <c r="B10681" s="18"/>
      <c r="C10681" s="85"/>
      <c r="D10681" s="41"/>
      <c r="E10681" s="26" t="str">
        <f ca="1">IFERROR(__xludf.DUMMYFUNCTION("""COMPUTED_VALUE"""),"")</f>
        <v/>
      </c>
      <c r="F10681" s="72"/>
      <c r="G10681" s="72"/>
    </row>
    <row r="10682" spans="1:7" ht="14.5">
      <c r="A10682" s="5"/>
      <c r="B10682" s="18"/>
      <c r="C10682" s="85"/>
      <c r="D10682" s="41"/>
      <c r="E10682" s="26" t="str">
        <f ca="1">IFERROR(__xludf.DUMMYFUNCTION("""COMPUTED_VALUE"""),"")</f>
        <v/>
      </c>
      <c r="F10682" s="72"/>
      <c r="G10682" s="72"/>
    </row>
    <row r="10683" spans="1:7" ht="14.5">
      <c r="A10683" s="5"/>
      <c r="B10683" s="18"/>
      <c r="C10683" s="85"/>
      <c r="D10683" s="41"/>
      <c r="E10683" s="26" t="str">
        <f ca="1">IFERROR(__xludf.DUMMYFUNCTION("""COMPUTED_VALUE"""),"")</f>
        <v/>
      </c>
      <c r="F10683" s="72"/>
      <c r="G10683" s="72"/>
    </row>
    <row r="10684" spans="1:7" ht="14.5">
      <c r="A10684" s="5"/>
      <c r="B10684" s="18"/>
      <c r="C10684" s="85"/>
      <c r="D10684" s="41"/>
      <c r="E10684" s="26" t="str">
        <f ca="1">IFERROR(__xludf.DUMMYFUNCTION("""COMPUTED_VALUE"""),"")</f>
        <v/>
      </c>
      <c r="F10684" s="72"/>
      <c r="G10684" s="72"/>
    </row>
    <row r="10685" spans="1:7" ht="14.5">
      <c r="A10685" s="5"/>
      <c r="B10685" s="18"/>
      <c r="C10685" s="85"/>
      <c r="D10685" s="41"/>
      <c r="E10685" s="26" t="str">
        <f ca="1">IFERROR(__xludf.DUMMYFUNCTION("""COMPUTED_VALUE"""),"")</f>
        <v/>
      </c>
      <c r="F10685" s="72"/>
      <c r="G10685" s="72"/>
    </row>
    <row r="10686" spans="1:7" ht="14.5">
      <c r="A10686" s="5"/>
      <c r="B10686" s="18"/>
      <c r="C10686" s="85"/>
      <c r="D10686" s="41"/>
      <c r="E10686" s="26" t="str">
        <f ca="1">IFERROR(__xludf.DUMMYFUNCTION("""COMPUTED_VALUE"""),"")</f>
        <v/>
      </c>
      <c r="F10686" s="72"/>
      <c r="G10686" s="72"/>
    </row>
    <row r="10687" spans="1:7" ht="14.5">
      <c r="A10687" s="5"/>
      <c r="B10687" s="18"/>
      <c r="C10687" s="85"/>
      <c r="D10687" s="41"/>
      <c r="E10687" s="26" t="str">
        <f ca="1">IFERROR(__xludf.DUMMYFUNCTION("""COMPUTED_VALUE"""),"")</f>
        <v/>
      </c>
      <c r="F10687" s="72"/>
      <c r="G10687" s="72"/>
    </row>
    <row r="10688" spans="1:7" ht="14.5">
      <c r="A10688" s="5"/>
      <c r="B10688" s="18"/>
      <c r="C10688" s="85"/>
      <c r="D10688" s="41"/>
      <c r="E10688" s="26" t="str">
        <f ca="1">IFERROR(__xludf.DUMMYFUNCTION("""COMPUTED_VALUE"""),"")</f>
        <v/>
      </c>
      <c r="F10688" s="72"/>
      <c r="G10688" s="72"/>
    </row>
    <row r="10689" spans="1:7" ht="14.5">
      <c r="A10689" s="5"/>
      <c r="B10689" s="18"/>
      <c r="C10689" s="85"/>
      <c r="D10689" s="41"/>
      <c r="E10689" s="26" t="str">
        <f ca="1">IFERROR(__xludf.DUMMYFUNCTION("""COMPUTED_VALUE"""),"")</f>
        <v/>
      </c>
      <c r="F10689" s="72"/>
      <c r="G10689" s="72"/>
    </row>
    <row r="10690" spans="1:7" ht="14.5">
      <c r="A10690" s="5"/>
      <c r="B10690" s="18"/>
      <c r="C10690" s="85"/>
      <c r="D10690" s="41"/>
      <c r="E10690" s="26" t="str">
        <f ca="1">IFERROR(__xludf.DUMMYFUNCTION("""COMPUTED_VALUE"""),"")</f>
        <v/>
      </c>
      <c r="F10690" s="72"/>
      <c r="G10690" s="72"/>
    </row>
    <row r="10691" spans="1:7" ht="14.5">
      <c r="A10691" s="5"/>
      <c r="B10691" s="18"/>
      <c r="C10691" s="85"/>
      <c r="D10691" s="41"/>
      <c r="E10691" s="26" t="str">
        <f ca="1">IFERROR(__xludf.DUMMYFUNCTION("""COMPUTED_VALUE"""),"")</f>
        <v/>
      </c>
      <c r="F10691" s="72"/>
      <c r="G10691" s="72"/>
    </row>
    <row r="10692" spans="1:7" ht="14.5">
      <c r="A10692" s="5"/>
      <c r="B10692" s="18"/>
      <c r="C10692" s="85"/>
      <c r="D10692" s="41"/>
      <c r="E10692" s="26" t="str">
        <f ca="1">IFERROR(__xludf.DUMMYFUNCTION("""COMPUTED_VALUE"""),"")</f>
        <v/>
      </c>
      <c r="F10692" s="72"/>
      <c r="G10692" s="72"/>
    </row>
    <row r="10693" spans="1:7" ht="14.5">
      <c r="A10693" s="5"/>
      <c r="B10693" s="18"/>
      <c r="C10693" s="85"/>
      <c r="D10693" s="41"/>
      <c r="E10693" s="26" t="str">
        <f ca="1">IFERROR(__xludf.DUMMYFUNCTION("""COMPUTED_VALUE"""),"")</f>
        <v/>
      </c>
      <c r="F10693" s="72"/>
      <c r="G10693" s="72"/>
    </row>
    <row r="10694" spans="1:7" ht="14.5">
      <c r="A10694" s="5"/>
      <c r="B10694" s="18"/>
      <c r="C10694" s="85"/>
      <c r="D10694" s="41"/>
      <c r="E10694" s="26" t="str">
        <f ca="1">IFERROR(__xludf.DUMMYFUNCTION("""COMPUTED_VALUE"""),"")</f>
        <v/>
      </c>
      <c r="F10694" s="72"/>
      <c r="G10694" s="72"/>
    </row>
    <row r="10695" spans="1:7" ht="14.5">
      <c r="A10695" s="5"/>
      <c r="B10695" s="18"/>
      <c r="C10695" s="85"/>
      <c r="D10695" s="41"/>
      <c r="E10695" s="26" t="str">
        <f ca="1">IFERROR(__xludf.DUMMYFUNCTION("""COMPUTED_VALUE"""),"")</f>
        <v/>
      </c>
      <c r="F10695" s="72"/>
      <c r="G10695" s="72"/>
    </row>
    <row r="10696" spans="1:7" ht="14.5">
      <c r="A10696" s="5"/>
      <c r="B10696" s="18"/>
      <c r="C10696" s="85"/>
      <c r="D10696" s="41"/>
      <c r="E10696" s="26" t="str">
        <f ca="1">IFERROR(__xludf.DUMMYFUNCTION("""COMPUTED_VALUE"""),"")</f>
        <v/>
      </c>
      <c r="F10696" s="72"/>
      <c r="G10696" s="72"/>
    </row>
    <row r="10697" spans="1:7" ht="14.5">
      <c r="A10697" s="5"/>
      <c r="B10697" s="18"/>
      <c r="C10697" s="85"/>
      <c r="D10697" s="41"/>
      <c r="E10697" s="26" t="str">
        <f ca="1">IFERROR(__xludf.DUMMYFUNCTION("""COMPUTED_VALUE"""),"")</f>
        <v/>
      </c>
      <c r="F10697" s="72"/>
      <c r="G10697" s="72"/>
    </row>
    <row r="10698" spans="1:7" ht="14.5">
      <c r="A10698" s="5"/>
      <c r="B10698" s="18"/>
      <c r="C10698" s="85"/>
      <c r="D10698" s="41"/>
      <c r="E10698" s="26" t="str">
        <f ca="1">IFERROR(__xludf.DUMMYFUNCTION("""COMPUTED_VALUE"""),"")</f>
        <v/>
      </c>
      <c r="F10698" s="72"/>
      <c r="G10698" s="72"/>
    </row>
    <row r="10699" spans="1:7" ht="14.5">
      <c r="A10699" s="5"/>
      <c r="B10699" s="18"/>
      <c r="C10699" s="85"/>
      <c r="D10699" s="41"/>
      <c r="E10699" s="26" t="str">
        <f ca="1">IFERROR(__xludf.DUMMYFUNCTION("""COMPUTED_VALUE"""),"")</f>
        <v/>
      </c>
      <c r="F10699" s="72"/>
      <c r="G10699" s="72"/>
    </row>
    <row r="10700" spans="1:7" ht="14.5">
      <c r="A10700" s="5"/>
      <c r="B10700" s="18"/>
      <c r="C10700" s="85"/>
      <c r="D10700" s="41"/>
      <c r="E10700" s="26" t="str">
        <f ca="1">IFERROR(__xludf.DUMMYFUNCTION("""COMPUTED_VALUE"""),"")</f>
        <v/>
      </c>
      <c r="F10700" s="72"/>
      <c r="G10700" s="72"/>
    </row>
    <row r="10701" spans="1:7" ht="14.5">
      <c r="A10701" s="5"/>
      <c r="B10701" s="18"/>
      <c r="C10701" s="85"/>
      <c r="D10701" s="41"/>
      <c r="E10701" s="26" t="str">
        <f ca="1">IFERROR(__xludf.DUMMYFUNCTION("""COMPUTED_VALUE"""),"")</f>
        <v/>
      </c>
      <c r="F10701" s="72"/>
      <c r="G10701" s="72"/>
    </row>
    <row r="10702" spans="1:7" ht="14.5">
      <c r="A10702" s="5"/>
      <c r="B10702" s="18"/>
      <c r="C10702" s="85"/>
      <c r="D10702" s="41"/>
      <c r="E10702" s="26" t="str">
        <f ca="1">IFERROR(__xludf.DUMMYFUNCTION("""COMPUTED_VALUE"""),"")</f>
        <v/>
      </c>
      <c r="F10702" s="72"/>
      <c r="G10702" s="72"/>
    </row>
    <row r="10703" spans="1:7" ht="14.5">
      <c r="A10703" s="5"/>
      <c r="B10703" s="18"/>
      <c r="C10703" s="85"/>
      <c r="D10703" s="41"/>
      <c r="E10703" s="26" t="str">
        <f ca="1">IFERROR(__xludf.DUMMYFUNCTION("""COMPUTED_VALUE"""),"")</f>
        <v/>
      </c>
      <c r="F10703" s="72"/>
      <c r="G10703" s="72"/>
    </row>
    <row r="10704" spans="1:7" ht="14.5">
      <c r="A10704" s="5"/>
      <c r="B10704" s="18"/>
      <c r="C10704" s="85"/>
      <c r="D10704" s="41"/>
      <c r="E10704" s="26" t="str">
        <f ca="1">IFERROR(__xludf.DUMMYFUNCTION("""COMPUTED_VALUE"""),"")</f>
        <v/>
      </c>
      <c r="F10704" s="72"/>
      <c r="G10704" s="72"/>
    </row>
    <row r="10705" spans="1:7" ht="14.5">
      <c r="A10705" s="5"/>
      <c r="B10705" s="18"/>
      <c r="C10705" s="85"/>
      <c r="D10705" s="41"/>
      <c r="E10705" s="26" t="str">
        <f ca="1">IFERROR(__xludf.DUMMYFUNCTION("""COMPUTED_VALUE"""),"")</f>
        <v/>
      </c>
      <c r="F10705" s="72"/>
      <c r="G10705" s="72"/>
    </row>
    <row r="10706" spans="1:7" ht="14.5">
      <c r="A10706" s="5"/>
      <c r="B10706" s="18"/>
      <c r="C10706" s="85"/>
      <c r="D10706" s="41"/>
      <c r="E10706" s="26" t="str">
        <f ca="1">IFERROR(__xludf.DUMMYFUNCTION("""COMPUTED_VALUE"""),"")</f>
        <v/>
      </c>
      <c r="F10706" s="72"/>
      <c r="G10706" s="72"/>
    </row>
    <row r="10707" spans="1:7" ht="14.5">
      <c r="A10707" s="5"/>
      <c r="B10707" s="18"/>
      <c r="C10707" s="85"/>
      <c r="D10707" s="41"/>
      <c r="E10707" s="26" t="str">
        <f ca="1">IFERROR(__xludf.DUMMYFUNCTION("""COMPUTED_VALUE"""),"")</f>
        <v/>
      </c>
      <c r="F10707" s="72"/>
      <c r="G10707" s="72"/>
    </row>
    <row r="10708" spans="1:7" ht="14.5">
      <c r="A10708" s="5"/>
      <c r="B10708" s="18"/>
      <c r="C10708" s="85"/>
      <c r="D10708" s="41"/>
      <c r="E10708" s="26" t="str">
        <f ca="1">IFERROR(__xludf.DUMMYFUNCTION("""COMPUTED_VALUE"""),"")</f>
        <v/>
      </c>
      <c r="F10708" s="72"/>
      <c r="G10708" s="72"/>
    </row>
    <row r="10709" spans="1:7" ht="14.5">
      <c r="A10709" s="5"/>
      <c r="B10709" s="18"/>
      <c r="C10709" s="85"/>
      <c r="D10709" s="41"/>
      <c r="E10709" s="26" t="str">
        <f ca="1">IFERROR(__xludf.DUMMYFUNCTION("""COMPUTED_VALUE"""),"")</f>
        <v/>
      </c>
      <c r="F10709" s="72"/>
      <c r="G10709" s="72"/>
    </row>
    <row r="10710" spans="1:7" ht="14.5">
      <c r="A10710" s="5"/>
      <c r="B10710" s="18"/>
      <c r="C10710" s="85"/>
      <c r="D10710" s="41"/>
      <c r="E10710" s="26" t="str">
        <f ca="1">IFERROR(__xludf.DUMMYFUNCTION("""COMPUTED_VALUE"""),"")</f>
        <v/>
      </c>
      <c r="F10710" s="72"/>
      <c r="G10710" s="72"/>
    </row>
    <row r="10711" spans="1:7" ht="14.5">
      <c r="A10711" s="5"/>
      <c r="B10711" s="18"/>
      <c r="C10711" s="85"/>
      <c r="D10711" s="41"/>
      <c r="E10711" s="26" t="str">
        <f ca="1">IFERROR(__xludf.DUMMYFUNCTION("""COMPUTED_VALUE"""),"")</f>
        <v/>
      </c>
      <c r="F10711" s="72"/>
      <c r="G10711" s="72"/>
    </row>
    <row r="10712" spans="1:7" ht="14.5">
      <c r="A10712" s="5"/>
      <c r="B10712" s="18"/>
      <c r="C10712" s="85"/>
      <c r="D10712" s="41"/>
      <c r="E10712" s="26" t="str">
        <f ca="1">IFERROR(__xludf.DUMMYFUNCTION("""COMPUTED_VALUE"""),"")</f>
        <v/>
      </c>
      <c r="F10712" s="72"/>
      <c r="G10712" s="72"/>
    </row>
    <row r="10713" spans="1:7" ht="14.5">
      <c r="A10713" s="5"/>
      <c r="B10713" s="18"/>
      <c r="C10713" s="85"/>
      <c r="D10713" s="41"/>
      <c r="E10713" s="26" t="str">
        <f ca="1">IFERROR(__xludf.DUMMYFUNCTION("""COMPUTED_VALUE"""),"")</f>
        <v/>
      </c>
      <c r="F10713" s="72"/>
      <c r="G10713" s="72"/>
    </row>
    <row r="10714" spans="1:7" ht="14.5">
      <c r="A10714" s="5"/>
      <c r="B10714" s="18"/>
      <c r="C10714" s="85"/>
      <c r="D10714" s="41"/>
      <c r="E10714" s="26" t="str">
        <f ca="1">IFERROR(__xludf.DUMMYFUNCTION("""COMPUTED_VALUE"""),"")</f>
        <v/>
      </c>
      <c r="F10714" s="72"/>
      <c r="G10714" s="72"/>
    </row>
    <row r="10715" spans="1:7" ht="14.5">
      <c r="A10715" s="5"/>
      <c r="B10715" s="18"/>
      <c r="C10715" s="85"/>
      <c r="D10715" s="41"/>
      <c r="E10715" s="26" t="str">
        <f ca="1">IFERROR(__xludf.DUMMYFUNCTION("""COMPUTED_VALUE"""),"")</f>
        <v/>
      </c>
      <c r="F10715" s="72"/>
      <c r="G10715" s="72"/>
    </row>
    <row r="10716" spans="1:7" ht="14.5">
      <c r="A10716" s="5"/>
      <c r="B10716" s="18"/>
      <c r="C10716" s="85"/>
      <c r="D10716" s="41"/>
      <c r="E10716" s="26" t="str">
        <f ca="1">IFERROR(__xludf.DUMMYFUNCTION("""COMPUTED_VALUE"""),"")</f>
        <v/>
      </c>
      <c r="F10716" s="72"/>
      <c r="G10716" s="72"/>
    </row>
    <row r="10717" spans="1:7" ht="14.5">
      <c r="A10717" s="5"/>
      <c r="B10717" s="18"/>
      <c r="C10717" s="85"/>
      <c r="D10717" s="41"/>
      <c r="E10717" s="26" t="str">
        <f ca="1">IFERROR(__xludf.DUMMYFUNCTION("""COMPUTED_VALUE"""),"")</f>
        <v/>
      </c>
      <c r="F10717" s="72"/>
      <c r="G10717" s="72"/>
    </row>
    <row r="10718" spans="1:7" ht="14.5">
      <c r="A10718" s="5"/>
      <c r="B10718" s="18"/>
      <c r="C10718" s="85"/>
      <c r="D10718" s="41"/>
      <c r="E10718" s="26" t="str">
        <f ca="1">IFERROR(__xludf.DUMMYFUNCTION("""COMPUTED_VALUE"""),"")</f>
        <v/>
      </c>
      <c r="F10718" s="72"/>
      <c r="G10718" s="72"/>
    </row>
    <row r="10719" spans="1:7" ht="14.5">
      <c r="A10719" s="5"/>
      <c r="B10719" s="18"/>
      <c r="C10719" s="85"/>
      <c r="D10719" s="41"/>
      <c r="E10719" s="26" t="str">
        <f ca="1">IFERROR(__xludf.DUMMYFUNCTION("""COMPUTED_VALUE"""),"")</f>
        <v/>
      </c>
      <c r="F10719" s="72"/>
      <c r="G10719" s="72"/>
    </row>
    <row r="10720" spans="1:7" ht="14.5">
      <c r="A10720" s="5"/>
      <c r="B10720" s="18"/>
      <c r="C10720" s="85"/>
      <c r="D10720" s="41"/>
      <c r="E10720" s="26" t="str">
        <f ca="1">IFERROR(__xludf.DUMMYFUNCTION("""COMPUTED_VALUE"""),"")</f>
        <v/>
      </c>
      <c r="F10720" s="72"/>
      <c r="G10720" s="72"/>
    </row>
    <row r="10721" spans="1:7" ht="14.5">
      <c r="A10721" s="5"/>
      <c r="B10721" s="18"/>
      <c r="C10721" s="85"/>
      <c r="D10721" s="41"/>
      <c r="E10721" s="26" t="str">
        <f ca="1">IFERROR(__xludf.DUMMYFUNCTION("""COMPUTED_VALUE"""),"")</f>
        <v/>
      </c>
      <c r="F10721" s="72"/>
      <c r="G10721" s="72"/>
    </row>
    <row r="10722" spans="1:7" ht="14.5">
      <c r="A10722" s="5"/>
      <c r="B10722" s="18"/>
      <c r="C10722" s="85"/>
      <c r="D10722" s="41"/>
      <c r="E10722" s="26" t="str">
        <f ca="1">IFERROR(__xludf.DUMMYFUNCTION("""COMPUTED_VALUE"""),"")</f>
        <v/>
      </c>
      <c r="F10722" s="72"/>
      <c r="G10722" s="72"/>
    </row>
    <row r="10723" spans="1:7" ht="14.5">
      <c r="A10723" s="5"/>
      <c r="B10723" s="18"/>
      <c r="C10723" s="85"/>
      <c r="D10723" s="41"/>
      <c r="E10723" s="26" t="str">
        <f ca="1">IFERROR(__xludf.DUMMYFUNCTION("""COMPUTED_VALUE"""),"")</f>
        <v/>
      </c>
      <c r="F10723" s="72"/>
      <c r="G10723" s="72"/>
    </row>
    <row r="10724" spans="1:7" ht="14.5">
      <c r="A10724" s="5"/>
      <c r="B10724" s="18"/>
      <c r="C10724" s="85"/>
      <c r="D10724" s="41"/>
      <c r="E10724" s="26" t="str">
        <f ca="1">IFERROR(__xludf.DUMMYFUNCTION("""COMPUTED_VALUE"""),"")</f>
        <v/>
      </c>
      <c r="F10724" s="72"/>
      <c r="G10724" s="72"/>
    </row>
    <row r="10725" spans="1:7" ht="14.5">
      <c r="A10725" s="5"/>
      <c r="B10725" s="18"/>
      <c r="C10725" s="85"/>
      <c r="D10725" s="41"/>
      <c r="E10725" s="26" t="str">
        <f ca="1">IFERROR(__xludf.DUMMYFUNCTION("""COMPUTED_VALUE"""),"")</f>
        <v/>
      </c>
      <c r="F10725" s="72"/>
      <c r="G10725" s="72"/>
    </row>
    <row r="10726" spans="1:7" ht="14.5">
      <c r="A10726" s="5"/>
      <c r="B10726" s="18"/>
      <c r="C10726" s="85"/>
      <c r="D10726" s="41"/>
      <c r="E10726" s="26" t="str">
        <f ca="1">IFERROR(__xludf.DUMMYFUNCTION("""COMPUTED_VALUE"""),"")</f>
        <v/>
      </c>
      <c r="F10726" s="72"/>
      <c r="G10726" s="72"/>
    </row>
    <row r="10727" spans="1:7" ht="14.5">
      <c r="A10727" s="5"/>
      <c r="B10727" s="18"/>
      <c r="C10727" s="85"/>
      <c r="D10727" s="41"/>
      <c r="E10727" s="26" t="str">
        <f ca="1">IFERROR(__xludf.DUMMYFUNCTION("""COMPUTED_VALUE"""),"")</f>
        <v/>
      </c>
      <c r="F10727" s="72"/>
      <c r="G10727" s="72"/>
    </row>
    <row r="10728" spans="1:7" ht="14.5">
      <c r="A10728" s="5"/>
      <c r="B10728" s="18"/>
      <c r="C10728" s="85"/>
      <c r="D10728" s="41"/>
      <c r="E10728" s="26" t="str">
        <f ca="1">IFERROR(__xludf.DUMMYFUNCTION("""COMPUTED_VALUE"""),"")</f>
        <v/>
      </c>
      <c r="F10728" s="72"/>
      <c r="G10728" s="72"/>
    </row>
    <row r="10729" spans="1:7" ht="14.5">
      <c r="A10729" s="5"/>
      <c r="B10729" s="18"/>
      <c r="C10729" s="85"/>
      <c r="D10729" s="41"/>
      <c r="E10729" s="26" t="str">
        <f ca="1">IFERROR(__xludf.DUMMYFUNCTION("""COMPUTED_VALUE"""),"")</f>
        <v/>
      </c>
      <c r="F10729" s="72"/>
      <c r="G10729" s="72"/>
    </row>
    <row r="10730" spans="1:7" ht="14.5">
      <c r="A10730" s="5"/>
      <c r="B10730" s="18"/>
      <c r="C10730" s="85"/>
      <c r="D10730" s="41"/>
      <c r="E10730" s="26" t="str">
        <f ca="1">IFERROR(__xludf.DUMMYFUNCTION("""COMPUTED_VALUE"""),"")</f>
        <v/>
      </c>
      <c r="F10730" s="72"/>
      <c r="G10730" s="72"/>
    </row>
    <row r="10731" spans="1:7" ht="14.5">
      <c r="A10731" s="5"/>
      <c r="B10731" s="18"/>
      <c r="C10731" s="85"/>
      <c r="D10731" s="41"/>
      <c r="E10731" s="26" t="str">
        <f ca="1">IFERROR(__xludf.DUMMYFUNCTION("""COMPUTED_VALUE"""),"")</f>
        <v/>
      </c>
      <c r="F10731" s="72"/>
      <c r="G10731" s="72"/>
    </row>
    <row r="10732" spans="1:7" ht="14.5">
      <c r="A10732" s="5"/>
      <c r="B10732" s="18"/>
      <c r="C10732" s="85"/>
      <c r="D10732" s="41"/>
      <c r="E10732" s="26" t="str">
        <f ca="1">IFERROR(__xludf.DUMMYFUNCTION("""COMPUTED_VALUE"""),"")</f>
        <v/>
      </c>
      <c r="F10732" s="72"/>
      <c r="G10732" s="72"/>
    </row>
    <row r="10733" spans="1:7" ht="14.5">
      <c r="A10733" s="5"/>
      <c r="B10733" s="18"/>
      <c r="C10733" s="85"/>
      <c r="D10733" s="41"/>
      <c r="E10733" s="26" t="str">
        <f ca="1">IFERROR(__xludf.DUMMYFUNCTION("""COMPUTED_VALUE"""),"")</f>
        <v/>
      </c>
      <c r="F10733" s="72"/>
      <c r="G10733" s="72"/>
    </row>
    <row r="10734" spans="1:7" ht="14.5">
      <c r="A10734" s="5"/>
      <c r="B10734" s="18"/>
      <c r="C10734" s="85"/>
      <c r="D10734" s="41"/>
      <c r="E10734" s="26" t="str">
        <f ca="1">IFERROR(__xludf.DUMMYFUNCTION("""COMPUTED_VALUE"""),"")</f>
        <v/>
      </c>
      <c r="F10734" s="72"/>
      <c r="G10734" s="72"/>
    </row>
    <row r="10735" spans="1:7" ht="14.5">
      <c r="A10735" s="5"/>
      <c r="B10735" s="18"/>
      <c r="C10735" s="85"/>
      <c r="D10735" s="41"/>
      <c r="E10735" s="26" t="str">
        <f ca="1">IFERROR(__xludf.DUMMYFUNCTION("""COMPUTED_VALUE"""),"")</f>
        <v/>
      </c>
      <c r="F10735" s="72"/>
      <c r="G10735" s="72"/>
    </row>
    <row r="10736" spans="1:7" ht="14.5">
      <c r="A10736" s="5"/>
      <c r="B10736" s="18"/>
      <c r="C10736" s="85"/>
      <c r="D10736" s="41"/>
      <c r="E10736" s="26" t="str">
        <f ca="1">IFERROR(__xludf.DUMMYFUNCTION("""COMPUTED_VALUE"""),"")</f>
        <v/>
      </c>
      <c r="F10736" s="72"/>
      <c r="G10736" s="72"/>
    </row>
    <row r="10737" spans="1:7" ht="14.5">
      <c r="A10737" s="5"/>
      <c r="B10737" s="18"/>
      <c r="C10737" s="85"/>
      <c r="D10737" s="41"/>
      <c r="E10737" s="26" t="str">
        <f ca="1">IFERROR(__xludf.DUMMYFUNCTION("""COMPUTED_VALUE"""),"")</f>
        <v/>
      </c>
      <c r="F10737" s="72"/>
      <c r="G10737" s="72"/>
    </row>
    <row r="10738" spans="1:7" ht="14.5">
      <c r="A10738" s="5"/>
      <c r="B10738" s="18"/>
      <c r="C10738" s="85"/>
      <c r="D10738" s="41"/>
      <c r="E10738" s="26" t="str">
        <f ca="1">IFERROR(__xludf.DUMMYFUNCTION("""COMPUTED_VALUE"""),"")</f>
        <v/>
      </c>
      <c r="F10738" s="72"/>
      <c r="G10738" s="72"/>
    </row>
    <row r="10739" spans="1:7" ht="14.5">
      <c r="A10739" s="5"/>
      <c r="B10739" s="18"/>
      <c r="C10739" s="85"/>
      <c r="D10739" s="41"/>
      <c r="E10739" s="26" t="str">
        <f ca="1">IFERROR(__xludf.DUMMYFUNCTION("""COMPUTED_VALUE"""),"")</f>
        <v/>
      </c>
      <c r="F10739" s="72"/>
      <c r="G10739" s="72"/>
    </row>
    <row r="10740" spans="1:7" ht="14.5">
      <c r="A10740" s="5"/>
      <c r="B10740" s="18"/>
      <c r="C10740" s="85"/>
      <c r="D10740" s="41"/>
      <c r="E10740" s="26" t="str">
        <f ca="1">IFERROR(__xludf.DUMMYFUNCTION("""COMPUTED_VALUE"""),"")</f>
        <v/>
      </c>
      <c r="F10740" s="72"/>
      <c r="G10740" s="72"/>
    </row>
    <row r="10741" spans="1:7" ht="14.5">
      <c r="A10741" s="5"/>
      <c r="B10741" s="18"/>
      <c r="C10741" s="85"/>
      <c r="D10741" s="41"/>
      <c r="E10741" s="26" t="str">
        <f ca="1">IFERROR(__xludf.DUMMYFUNCTION("""COMPUTED_VALUE"""),"")</f>
        <v/>
      </c>
      <c r="F10741" s="72"/>
      <c r="G10741" s="72"/>
    </row>
    <row r="10742" spans="1:7" ht="14.5">
      <c r="A10742" s="5"/>
      <c r="B10742" s="18"/>
      <c r="C10742" s="85"/>
      <c r="D10742" s="41"/>
      <c r="E10742" s="26" t="str">
        <f ca="1">IFERROR(__xludf.DUMMYFUNCTION("""COMPUTED_VALUE"""),"")</f>
        <v/>
      </c>
      <c r="F10742" s="72"/>
      <c r="G10742" s="72"/>
    </row>
    <row r="10743" spans="1:7" ht="14.5">
      <c r="A10743" s="5"/>
      <c r="B10743" s="18"/>
      <c r="C10743" s="85"/>
      <c r="D10743" s="41"/>
      <c r="E10743" s="26" t="str">
        <f ca="1">IFERROR(__xludf.DUMMYFUNCTION("""COMPUTED_VALUE"""),"")</f>
        <v/>
      </c>
      <c r="F10743" s="72"/>
      <c r="G10743" s="72"/>
    </row>
    <row r="10744" spans="1:7" ht="14.5">
      <c r="A10744" s="5"/>
      <c r="B10744" s="18"/>
      <c r="C10744" s="85"/>
      <c r="D10744" s="41"/>
      <c r="E10744" s="26" t="str">
        <f ca="1">IFERROR(__xludf.DUMMYFUNCTION("""COMPUTED_VALUE"""),"")</f>
        <v/>
      </c>
      <c r="F10744" s="72"/>
      <c r="G10744" s="72"/>
    </row>
    <row r="10745" spans="1:7" ht="14.5">
      <c r="A10745" s="5"/>
      <c r="B10745" s="18"/>
      <c r="C10745" s="85"/>
      <c r="D10745" s="41"/>
      <c r="E10745" s="26" t="str">
        <f ca="1">IFERROR(__xludf.DUMMYFUNCTION("""COMPUTED_VALUE"""),"")</f>
        <v/>
      </c>
      <c r="F10745" s="72"/>
      <c r="G10745" s="72"/>
    </row>
    <row r="10746" spans="1:7" ht="14.5">
      <c r="A10746" s="5"/>
      <c r="B10746" s="18"/>
      <c r="C10746" s="85"/>
      <c r="D10746" s="41"/>
      <c r="E10746" s="26" t="str">
        <f ca="1">IFERROR(__xludf.DUMMYFUNCTION("""COMPUTED_VALUE"""),"")</f>
        <v/>
      </c>
      <c r="F10746" s="72"/>
      <c r="G10746" s="72"/>
    </row>
    <row r="10747" spans="1:7" ht="14.5">
      <c r="A10747" s="5"/>
      <c r="B10747" s="18"/>
      <c r="C10747" s="85"/>
      <c r="D10747" s="41"/>
      <c r="E10747" s="26" t="str">
        <f ca="1">IFERROR(__xludf.DUMMYFUNCTION("""COMPUTED_VALUE"""),"")</f>
        <v/>
      </c>
      <c r="F10747" s="72"/>
      <c r="G10747" s="72"/>
    </row>
    <row r="10748" spans="1:7" ht="14.5">
      <c r="A10748" s="5"/>
      <c r="B10748" s="18"/>
      <c r="C10748" s="85"/>
      <c r="D10748" s="41"/>
      <c r="E10748" s="26" t="str">
        <f ca="1">IFERROR(__xludf.DUMMYFUNCTION("""COMPUTED_VALUE"""),"")</f>
        <v/>
      </c>
      <c r="F10748" s="72"/>
      <c r="G10748" s="72"/>
    </row>
    <row r="10749" spans="1:7" ht="14.5">
      <c r="A10749" s="5"/>
      <c r="B10749" s="18"/>
      <c r="C10749" s="85"/>
      <c r="D10749" s="41"/>
      <c r="E10749" s="26" t="str">
        <f ca="1">IFERROR(__xludf.DUMMYFUNCTION("""COMPUTED_VALUE"""),"")</f>
        <v/>
      </c>
      <c r="F10749" s="72"/>
      <c r="G10749" s="72"/>
    </row>
    <row r="10750" spans="1:7" ht="14.5">
      <c r="A10750" s="5"/>
      <c r="B10750" s="18"/>
      <c r="C10750" s="85"/>
      <c r="D10750" s="41"/>
      <c r="E10750" s="26" t="str">
        <f ca="1">IFERROR(__xludf.DUMMYFUNCTION("""COMPUTED_VALUE"""),"")</f>
        <v/>
      </c>
      <c r="F10750" s="72"/>
      <c r="G10750" s="72"/>
    </row>
    <row r="10751" spans="1:7" ht="14.5">
      <c r="A10751" s="5"/>
      <c r="B10751" s="18"/>
      <c r="C10751" s="85"/>
      <c r="D10751" s="41"/>
      <c r="E10751" s="26" t="str">
        <f ca="1">IFERROR(__xludf.DUMMYFUNCTION("""COMPUTED_VALUE"""),"")</f>
        <v/>
      </c>
      <c r="F10751" s="72"/>
      <c r="G10751" s="72"/>
    </row>
    <row r="10752" spans="1:7" ht="14.5">
      <c r="A10752" s="5"/>
      <c r="B10752" s="18"/>
      <c r="C10752" s="85"/>
      <c r="D10752" s="41"/>
      <c r="E10752" s="26" t="str">
        <f ca="1">IFERROR(__xludf.DUMMYFUNCTION("""COMPUTED_VALUE"""),"")</f>
        <v/>
      </c>
      <c r="F10752" s="72"/>
      <c r="G10752" s="72"/>
    </row>
    <row r="10753" spans="1:7" ht="14.5">
      <c r="A10753" s="5"/>
      <c r="B10753" s="18"/>
      <c r="C10753" s="85"/>
      <c r="D10753" s="41"/>
      <c r="E10753" s="26" t="str">
        <f ca="1">IFERROR(__xludf.DUMMYFUNCTION("""COMPUTED_VALUE"""),"")</f>
        <v/>
      </c>
      <c r="F10753" s="72"/>
      <c r="G10753" s="72"/>
    </row>
    <row r="10754" spans="1:7" ht="14.5">
      <c r="A10754" s="5"/>
      <c r="B10754" s="18"/>
      <c r="C10754" s="85"/>
      <c r="D10754" s="41"/>
      <c r="E10754" s="26" t="str">
        <f ca="1">IFERROR(__xludf.DUMMYFUNCTION("""COMPUTED_VALUE"""),"")</f>
        <v/>
      </c>
      <c r="F10754" s="72"/>
      <c r="G10754" s="72"/>
    </row>
    <row r="10755" spans="1:7" ht="14.5">
      <c r="A10755" s="5"/>
      <c r="B10755" s="18"/>
      <c r="C10755" s="85"/>
      <c r="D10755" s="41"/>
      <c r="E10755" s="26" t="str">
        <f ca="1">IFERROR(__xludf.DUMMYFUNCTION("""COMPUTED_VALUE"""),"")</f>
        <v/>
      </c>
      <c r="F10755" s="72"/>
      <c r="G10755" s="72"/>
    </row>
    <row r="10756" spans="1:7" ht="14.5">
      <c r="A10756" s="5"/>
      <c r="B10756" s="18"/>
      <c r="C10756" s="85"/>
      <c r="D10756" s="41"/>
      <c r="E10756" s="26" t="str">
        <f ca="1">IFERROR(__xludf.DUMMYFUNCTION("""COMPUTED_VALUE"""),"")</f>
        <v/>
      </c>
      <c r="F10756" s="72"/>
      <c r="G10756" s="72"/>
    </row>
    <row r="10757" spans="1:7" ht="14.5">
      <c r="A10757" s="5"/>
      <c r="B10757" s="18"/>
      <c r="C10757" s="85"/>
      <c r="D10757" s="41"/>
      <c r="E10757" s="26" t="str">
        <f ca="1">IFERROR(__xludf.DUMMYFUNCTION("""COMPUTED_VALUE"""),"")</f>
        <v/>
      </c>
      <c r="F10757" s="72"/>
      <c r="G10757" s="72"/>
    </row>
    <row r="10758" spans="1:7" ht="14.5">
      <c r="A10758" s="5"/>
      <c r="B10758" s="18"/>
      <c r="C10758" s="85"/>
      <c r="D10758" s="41"/>
      <c r="E10758" s="26" t="str">
        <f ca="1">IFERROR(__xludf.DUMMYFUNCTION("""COMPUTED_VALUE"""),"")</f>
        <v/>
      </c>
      <c r="F10758" s="72"/>
      <c r="G10758" s="72"/>
    </row>
    <row r="10759" spans="1:7" ht="14.5">
      <c r="A10759" s="5"/>
      <c r="B10759" s="18"/>
      <c r="C10759" s="85"/>
      <c r="D10759" s="41"/>
      <c r="E10759" s="26" t="str">
        <f ca="1">IFERROR(__xludf.DUMMYFUNCTION("""COMPUTED_VALUE"""),"")</f>
        <v/>
      </c>
      <c r="F10759" s="72"/>
      <c r="G10759" s="72"/>
    </row>
    <row r="10760" spans="1:7" ht="14.5">
      <c r="A10760" s="5"/>
      <c r="B10760" s="18"/>
      <c r="C10760" s="85"/>
      <c r="D10760" s="41"/>
      <c r="E10760" s="26" t="str">
        <f ca="1">IFERROR(__xludf.DUMMYFUNCTION("""COMPUTED_VALUE"""),"")</f>
        <v/>
      </c>
      <c r="F10760" s="72"/>
      <c r="G10760" s="72"/>
    </row>
    <row r="10761" spans="1:7" ht="14.5">
      <c r="A10761" s="5"/>
      <c r="B10761" s="18"/>
      <c r="C10761" s="85"/>
      <c r="D10761" s="41"/>
      <c r="E10761" s="26" t="str">
        <f ca="1">IFERROR(__xludf.DUMMYFUNCTION("""COMPUTED_VALUE"""),"")</f>
        <v/>
      </c>
      <c r="F10761" s="72"/>
      <c r="G10761" s="72"/>
    </row>
    <row r="10762" spans="1:7" ht="14.5">
      <c r="A10762" s="5"/>
      <c r="B10762" s="18"/>
      <c r="C10762" s="85"/>
      <c r="D10762" s="41"/>
      <c r="E10762" s="26" t="str">
        <f ca="1">IFERROR(__xludf.DUMMYFUNCTION("""COMPUTED_VALUE"""),"")</f>
        <v/>
      </c>
      <c r="F10762" s="72"/>
      <c r="G10762" s="72"/>
    </row>
    <row r="10763" spans="1:7" ht="14.5">
      <c r="A10763" s="5"/>
      <c r="B10763" s="18"/>
      <c r="C10763" s="85"/>
      <c r="D10763" s="41"/>
      <c r="E10763" s="26" t="str">
        <f ca="1">IFERROR(__xludf.DUMMYFUNCTION("""COMPUTED_VALUE"""),"")</f>
        <v/>
      </c>
      <c r="F10763" s="72"/>
      <c r="G10763" s="72"/>
    </row>
    <row r="10764" spans="1:7" ht="14.5">
      <c r="A10764" s="5"/>
      <c r="B10764" s="18"/>
      <c r="C10764" s="85"/>
      <c r="D10764" s="41"/>
      <c r="E10764" s="26" t="str">
        <f ca="1">IFERROR(__xludf.DUMMYFUNCTION("""COMPUTED_VALUE"""),"")</f>
        <v/>
      </c>
      <c r="F10764" s="72"/>
      <c r="G10764" s="72"/>
    </row>
    <row r="10765" spans="1:7" ht="14.5">
      <c r="A10765" s="5"/>
      <c r="B10765" s="18"/>
      <c r="C10765" s="85"/>
      <c r="D10765" s="41"/>
      <c r="E10765" s="26" t="str">
        <f ca="1">IFERROR(__xludf.DUMMYFUNCTION("""COMPUTED_VALUE"""),"")</f>
        <v/>
      </c>
      <c r="F10765" s="72"/>
      <c r="G10765" s="72"/>
    </row>
    <row r="10766" spans="1:7" ht="14.5">
      <c r="A10766" s="5"/>
      <c r="B10766" s="18"/>
      <c r="C10766" s="85"/>
      <c r="D10766" s="41"/>
      <c r="E10766" s="26" t="str">
        <f ca="1">IFERROR(__xludf.DUMMYFUNCTION("""COMPUTED_VALUE"""),"")</f>
        <v/>
      </c>
      <c r="F10766" s="72"/>
      <c r="G10766" s="72"/>
    </row>
    <row r="10767" spans="1:7" ht="14.5">
      <c r="A10767" s="5"/>
      <c r="B10767" s="18"/>
      <c r="C10767" s="85"/>
      <c r="D10767" s="41"/>
      <c r="E10767" s="26" t="str">
        <f ca="1">IFERROR(__xludf.DUMMYFUNCTION("""COMPUTED_VALUE"""),"")</f>
        <v/>
      </c>
      <c r="F10767" s="72"/>
      <c r="G10767" s="72"/>
    </row>
    <row r="10768" spans="1:7" ht="14.5">
      <c r="A10768" s="5"/>
      <c r="B10768" s="18"/>
      <c r="C10768" s="85"/>
      <c r="D10768" s="41"/>
      <c r="E10768" s="26" t="str">
        <f ca="1">IFERROR(__xludf.DUMMYFUNCTION("""COMPUTED_VALUE"""),"")</f>
        <v/>
      </c>
      <c r="F10768" s="72"/>
      <c r="G10768" s="72"/>
    </row>
    <row r="10769" spans="1:7" ht="14.5">
      <c r="A10769" s="5"/>
      <c r="B10769" s="18"/>
      <c r="C10769" s="85"/>
      <c r="D10769" s="41"/>
      <c r="E10769" s="26" t="str">
        <f ca="1">IFERROR(__xludf.DUMMYFUNCTION("""COMPUTED_VALUE"""),"")</f>
        <v/>
      </c>
      <c r="F10769" s="72"/>
      <c r="G10769" s="72"/>
    </row>
    <row r="10770" spans="1:7" ht="14.5">
      <c r="A10770" s="5"/>
      <c r="B10770" s="18"/>
      <c r="C10770" s="85"/>
      <c r="D10770" s="41"/>
      <c r="E10770" s="26" t="str">
        <f ca="1">IFERROR(__xludf.DUMMYFUNCTION("""COMPUTED_VALUE"""),"")</f>
        <v/>
      </c>
      <c r="F10770" s="72"/>
      <c r="G10770" s="72"/>
    </row>
    <row r="10771" spans="1:7" ht="14.5">
      <c r="A10771" s="5"/>
      <c r="B10771" s="18"/>
      <c r="C10771" s="85"/>
      <c r="D10771" s="41"/>
      <c r="E10771" s="26" t="str">
        <f ca="1">IFERROR(__xludf.DUMMYFUNCTION("""COMPUTED_VALUE"""),"")</f>
        <v/>
      </c>
      <c r="F10771" s="72"/>
      <c r="G10771" s="72"/>
    </row>
    <row r="10772" spans="1:7" ht="14.5">
      <c r="A10772" s="5"/>
      <c r="B10772" s="18"/>
      <c r="C10772" s="85"/>
      <c r="D10772" s="41"/>
      <c r="E10772" s="26" t="str">
        <f ca="1">IFERROR(__xludf.DUMMYFUNCTION("""COMPUTED_VALUE"""),"")</f>
        <v/>
      </c>
      <c r="F10772" s="72"/>
      <c r="G10772" s="72"/>
    </row>
    <row r="10773" spans="1:7" ht="14.5">
      <c r="A10773" s="5"/>
      <c r="B10773" s="18"/>
      <c r="C10773" s="85"/>
      <c r="D10773" s="41"/>
      <c r="E10773" s="26" t="str">
        <f ca="1">IFERROR(__xludf.DUMMYFUNCTION("""COMPUTED_VALUE"""),"")</f>
        <v/>
      </c>
      <c r="F10773" s="72"/>
      <c r="G10773" s="72"/>
    </row>
    <row r="10774" spans="1:7" ht="14.5">
      <c r="A10774" s="5"/>
      <c r="B10774" s="18"/>
      <c r="C10774" s="85"/>
      <c r="D10774" s="41"/>
      <c r="E10774" s="26" t="str">
        <f ca="1">IFERROR(__xludf.DUMMYFUNCTION("""COMPUTED_VALUE"""),"")</f>
        <v/>
      </c>
      <c r="F10774" s="72"/>
      <c r="G10774" s="72"/>
    </row>
    <row r="10775" spans="1:7" ht="14.5">
      <c r="A10775" s="5"/>
      <c r="B10775" s="18"/>
      <c r="C10775" s="85"/>
      <c r="D10775" s="41"/>
      <c r="E10775" s="26" t="str">
        <f ca="1">IFERROR(__xludf.DUMMYFUNCTION("""COMPUTED_VALUE"""),"")</f>
        <v/>
      </c>
      <c r="F10775" s="72"/>
      <c r="G10775" s="72"/>
    </row>
    <row r="10776" spans="1:7" ht="14.5">
      <c r="A10776" s="5"/>
      <c r="B10776" s="18"/>
      <c r="C10776" s="85"/>
      <c r="D10776" s="41"/>
      <c r="E10776" s="26" t="str">
        <f ca="1">IFERROR(__xludf.DUMMYFUNCTION("""COMPUTED_VALUE"""),"")</f>
        <v/>
      </c>
      <c r="F10776" s="72"/>
      <c r="G10776" s="72"/>
    </row>
    <row r="10777" spans="1:7" ht="14.5">
      <c r="A10777" s="5"/>
      <c r="B10777" s="18"/>
      <c r="C10777" s="85"/>
      <c r="D10777" s="41"/>
      <c r="E10777" s="26" t="str">
        <f ca="1">IFERROR(__xludf.DUMMYFUNCTION("""COMPUTED_VALUE"""),"")</f>
        <v/>
      </c>
      <c r="F10777" s="72"/>
      <c r="G10777" s="72"/>
    </row>
    <row r="10778" spans="1:7" ht="14.5">
      <c r="A10778" s="5"/>
      <c r="B10778" s="18"/>
      <c r="C10778" s="85"/>
      <c r="D10778" s="41"/>
      <c r="E10778" s="26" t="str">
        <f ca="1">IFERROR(__xludf.DUMMYFUNCTION("""COMPUTED_VALUE"""),"")</f>
        <v/>
      </c>
      <c r="F10778" s="72"/>
      <c r="G10778" s="72"/>
    </row>
    <row r="10779" spans="1:7" ht="14.5">
      <c r="A10779" s="5"/>
      <c r="B10779" s="18"/>
      <c r="C10779" s="85"/>
      <c r="D10779" s="41"/>
      <c r="E10779" s="26" t="str">
        <f ca="1">IFERROR(__xludf.DUMMYFUNCTION("""COMPUTED_VALUE"""),"")</f>
        <v/>
      </c>
      <c r="F10779" s="72"/>
      <c r="G10779" s="72"/>
    </row>
    <row r="10780" spans="1:7" ht="14.5">
      <c r="A10780" s="5"/>
      <c r="B10780" s="18"/>
      <c r="C10780" s="85"/>
      <c r="D10780" s="41"/>
      <c r="E10780" s="26" t="str">
        <f ca="1">IFERROR(__xludf.DUMMYFUNCTION("""COMPUTED_VALUE"""),"")</f>
        <v/>
      </c>
      <c r="F10780" s="72"/>
      <c r="G10780" s="72"/>
    </row>
    <row r="10781" spans="1:7" ht="14.5">
      <c r="A10781" s="5"/>
      <c r="B10781" s="18"/>
      <c r="C10781" s="85"/>
      <c r="D10781" s="41"/>
      <c r="E10781" s="26" t="str">
        <f ca="1">IFERROR(__xludf.DUMMYFUNCTION("""COMPUTED_VALUE"""),"")</f>
        <v/>
      </c>
      <c r="F10781" s="72"/>
      <c r="G10781" s="72"/>
    </row>
    <row r="10782" spans="1:7" ht="14.5">
      <c r="A10782" s="5"/>
      <c r="B10782" s="18"/>
      <c r="C10782" s="85"/>
      <c r="D10782" s="41"/>
      <c r="E10782" s="26" t="str">
        <f ca="1">IFERROR(__xludf.DUMMYFUNCTION("""COMPUTED_VALUE"""),"")</f>
        <v/>
      </c>
      <c r="F10782" s="72"/>
      <c r="G10782" s="72"/>
    </row>
    <row r="10783" spans="1:7" ht="14.5">
      <c r="A10783" s="5"/>
      <c r="B10783" s="18"/>
      <c r="C10783" s="85"/>
      <c r="D10783" s="41"/>
      <c r="E10783" s="26" t="str">
        <f ca="1">IFERROR(__xludf.DUMMYFUNCTION("""COMPUTED_VALUE"""),"")</f>
        <v/>
      </c>
      <c r="F10783" s="72"/>
      <c r="G10783" s="72"/>
    </row>
    <row r="10784" spans="1:7" ht="14.5">
      <c r="A10784" s="5"/>
      <c r="B10784" s="18"/>
      <c r="C10784" s="85"/>
      <c r="D10784" s="41"/>
      <c r="E10784" s="26" t="str">
        <f ca="1">IFERROR(__xludf.DUMMYFUNCTION("""COMPUTED_VALUE"""),"")</f>
        <v/>
      </c>
      <c r="F10784" s="72"/>
      <c r="G10784" s="72"/>
    </row>
    <row r="10785" spans="1:7" ht="14.5">
      <c r="A10785" s="5"/>
      <c r="B10785" s="18"/>
      <c r="C10785" s="85"/>
      <c r="D10785" s="41"/>
      <c r="E10785" s="26" t="str">
        <f ca="1">IFERROR(__xludf.DUMMYFUNCTION("""COMPUTED_VALUE"""),"")</f>
        <v/>
      </c>
      <c r="F10785" s="72"/>
      <c r="G10785" s="72"/>
    </row>
    <row r="10786" spans="1:7" ht="14.5">
      <c r="A10786" s="5"/>
      <c r="B10786" s="18"/>
      <c r="C10786" s="85"/>
      <c r="D10786" s="41"/>
      <c r="E10786" s="26" t="str">
        <f ca="1">IFERROR(__xludf.DUMMYFUNCTION("""COMPUTED_VALUE"""),"")</f>
        <v/>
      </c>
      <c r="F10786" s="72"/>
      <c r="G10786" s="72"/>
    </row>
    <row r="10787" spans="1:7" ht="14.5">
      <c r="A10787" s="5"/>
      <c r="B10787" s="18"/>
      <c r="C10787" s="85"/>
      <c r="D10787" s="41"/>
      <c r="E10787" s="26" t="str">
        <f ca="1">IFERROR(__xludf.DUMMYFUNCTION("""COMPUTED_VALUE"""),"")</f>
        <v/>
      </c>
      <c r="F10787" s="72"/>
      <c r="G10787" s="72"/>
    </row>
    <row r="10788" spans="1:7" ht="14.5">
      <c r="A10788" s="5"/>
      <c r="B10788" s="18"/>
      <c r="C10788" s="85"/>
      <c r="D10788" s="41"/>
      <c r="E10788" s="26" t="str">
        <f ca="1">IFERROR(__xludf.DUMMYFUNCTION("""COMPUTED_VALUE"""),"")</f>
        <v/>
      </c>
      <c r="F10788" s="72"/>
      <c r="G10788" s="72"/>
    </row>
    <row r="10789" spans="1:7" ht="14.5">
      <c r="A10789" s="5"/>
      <c r="B10789" s="18"/>
      <c r="C10789" s="85"/>
      <c r="D10789" s="41"/>
      <c r="E10789" s="26" t="str">
        <f ca="1">IFERROR(__xludf.DUMMYFUNCTION("""COMPUTED_VALUE"""),"")</f>
        <v/>
      </c>
      <c r="F10789" s="72"/>
      <c r="G10789" s="72"/>
    </row>
    <row r="10790" spans="1:7" ht="14.5">
      <c r="A10790" s="5"/>
      <c r="B10790" s="18"/>
      <c r="C10790" s="85"/>
      <c r="D10790" s="41"/>
      <c r="E10790" s="26" t="str">
        <f ca="1">IFERROR(__xludf.DUMMYFUNCTION("""COMPUTED_VALUE"""),"")</f>
        <v/>
      </c>
      <c r="F10790" s="72"/>
      <c r="G10790" s="72"/>
    </row>
    <row r="10791" spans="1:7" ht="14.5">
      <c r="A10791" s="5"/>
      <c r="B10791" s="18"/>
      <c r="C10791" s="85"/>
      <c r="D10791" s="41"/>
      <c r="E10791" s="26" t="str">
        <f ca="1">IFERROR(__xludf.DUMMYFUNCTION("""COMPUTED_VALUE"""),"")</f>
        <v/>
      </c>
      <c r="F10791" s="72"/>
      <c r="G10791" s="72"/>
    </row>
    <row r="10792" spans="1:7" ht="14.5">
      <c r="A10792" s="5"/>
      <c r="B10792" s="18"/>
      <c r="C10792" s="85"/>
      <c r="D10792" s="41"/>
      <c r="E10792" s="26" t="str">
        <f ca="1">IFERROR(__xludf.DUMMYFUNCTION("""COMPUTED_VALUE"""),"")</f>
        <v/>
      </c>
      <c r="F10792" s="72"/>
      <c r="G10792" s="72"/>
    </row>
    <row r="10793" spans="1:7" ht="14.5">
      <c r="A10793" s="5"/>
      <c r="B10793" s="18"/>
      <c r="C10793" s="85"/>
      <c r="D10793" s="41"/>
      <c r="E10793" s="26" t="str">
        <f ca="1">IFERROR(__xludf.DUMMYFUNCTION("""COMPUTED_VALUE"""),"")</f>
        <v/>
      </c>
      <c r="F10793" s="72"/>
      <c r="G10793" s="72"/>
    </row>
    <row r="10794" spans="1:7" ht="14.5">
      <c r="A10794" s="5"/>
      <c r="B10794" s="18"/>
      <c r="C10794" s="85"/>
      <c r="D10794" s="41"/>
      <c r="E10794" s="26" t="str">
        <f ca="1">IFERROR(__xludf.DUMMYFUNCTION("""COMPUTED_VALUE"""),"")</f>
        <v/>
      </c>
      <c r="F10794" s="72"/>
      <c r="G10794" s="72"/>
    </row>
    <row r="10795" spans="1:7" ht="14.5">
      <c r="A10795" s="5"/>
      <c r="B10795" s="18"/>
      <c r="C10795" s="85"/>
      <c r="D10795" s="41"/>
      <c r="E10795" s="26" t="str">
        <f ca="1">IFERROR(__xludf.DUMMYFUNCTION("""COMPUTED_VALUE"""),"")</f>
        <v/>
      </c>
      <c r="F10795" s="72"/>
      <c r="G10795" s="72"/>
    </row>
    <row r="10796" spans="1:7" ht="14.5">
      <c r="A10796" s="5"/>
      <c r="B10796" s="18"/>
      <c r="C10796" s="85"/>
      <c r="D10796" s="41"/>
      <c r="E10796" s="26" t="str">
        <f ca="1">IFERROR(__xludf.DUMMYFUNCTION("""COMPUTED_VALUE"""),"")</f>
        <v/>
      </c>
      <c r="F10796" s="72"/>
      <c r="G10796" s="72"/>
    </row>
    <row r="10797" spans="1:7" ht="14.5">
      <c r="A10797" s="5"/>
      <c r="B10797" s="18"/>
      <c r="C10797" s="85"/>
      <c r="D10797" s="41"/>
      <c r="E10797" s="26" t="str">
        <f ca="1">IFERROR(__xludf.DUMMYFUNCTION("""COMPUTED_VALUE"""),"")</f>
        <v/>
      </c>
      <c r="F10797" s="72"/>
      <c r="G10797" s="72"/>
    </row>
    <row r="10798" spans="1:7" ht="14.5">
      <c r="A10798" s="5"/>
      <c r="B10798" s="18"/>
      <c r="C10798" s="85"/>
      <c r="D10798" s="41"/>
      <c r="E10798" s="26" t="str">
        <f ca="1">IFERROR(__xludf.DUMMYFUNCTION("""COMPUTED_VALUE"""),"")</f>
        <v/>
      </c>
      <c r="F10798" s="72"/>
      <c r="G10798" s="72"/>
    </row>
    <row r="10799" spans="1:7" ht="14.5">
      <c r="A10799" s="5"/>
      <c r="B10799" s="18"/>
      <c r="C10799" s="85"/>
      <c r="D10799" s="41"/>
      <c r="E10799" s="26" t="str">
        <f ca="1">IFERROR(__xludf.DUMMYFUNCTION("""COMPUTED_VALUE"""),"")</f>
        <v/>
      </c>
      <c r="F10799" s="72"/>
      <c r="G10799" s="72"/>
    </row>
    <row r="10800" spans="1:7" ht="14.5">
      <c r="A10800" s="5"/>
      <c r="B10800" s="18"/>
      <c r="C10800" s="85"/>
      <c r="D10800" s="41"/>
      <c r="E10800" s="26" t="str">
        <f ca="1">IFERROR(__xludf.DUMMYFUNCTION("""COMPUTED_VALUE"""),"")</f>
        <v/>
      </c>
      <c r="F10800" s="72"/>
      <c r="G10800" s="72"/>
    </row>
    <row r="10801" spans="1:7" ht="14.5">
      <c r="A10801" s="5"/>
      <c r="B10801" s="18"/>
      <c r="C10801" s="85"/>
      <c r="D10801" s="41"/>
      <c r="E10801" s="26" t="str">
        <f ca="1">IFERROR(__xludf.DUMMYFUNCTION("""COMPUTED_VALUE"""),"")</f>
        <v/>
      </c>
      <c r="F10801" s="72"/>
      <c r="G10801" s="72"/>
    </row>
    <row r="10802" spans="1:7" ht="14.5">
      <c r="A10802" s="5"/>
      <c r="B10802" s="18"/>
      <c r="C10802" s="85"/>
      <c r="D10802" s="41"/>
      <c r="E10802" s="26" t="str">
        <f ca="1">IFERROR(__xludf.DUMMYFUNCTION("""COMPUTED_VALUE"""),"")</f>
        <v/>
      </c>
      <c r="F10802" s="72"/>
      <c r="G10802" s="72"/>
    </row>
    <row r="10803" spans="1:7" ht="14.5">
      <c r="A10803" s="5"/>
      <c r="B10803" s="18"/>
      <c r="C10803" s="85"/>
      <c r="D10803" s="41"/>
      <c r="E10803" s="26" t="str">
        <f ca="1">IFERROR(__xludf.DUMMYFUNCTION("""COMPUTED_VALUE"""),"")</f>
        <v/>
      </c>
      <c r="F10803" s="72"/>
      <c r="G10803" s="72"/>
    </row>
    <row r="10804" spans="1:7" ht="14.5">
      <c r="A10804" s="5"/>
      <c r="B10804" s="18"/>
      <c r="C10804" s="85"/>
      <c r="D10804" s="41"/>
      <c r="E10804" s="26" t="str">
        <f ca="1">IFERROR(__xludf.DUMMYFUNCTION("""COMPUTED_VALUE"""),"")</f>
        <v/>
      </c>
      <c r="F10804" s="72"/>
      <c r="G10804" s="72"/>
    </row>
    <row r="10805" spans="1:7" ht="14.5">
      <c r="A10805" s="5"/>
      <c r="B10805" s="18"/>
      <c r="C10805" s="85"/>
      <c r="D10805" s="41"/>
      <c r="E10805" s="26" t="str">
        <f ca="1">IFERROR(__xludf.DUMMYFUNCTION("""COMPUTED_VALUE"""),"")</f>
        <v/>
      </c>
      <c r="F10805" s="72"/>
      <c r="G10805" s="72"/>
    </row>
    <row r="10806" spans="1:7" ht="14.5">
      <c r="A10806" s="5"/>
      <c r="B10806" s="18"/>
      <c r="C10806" s="85"/>
      <c r="D10806" s="41"/>
      <c r="E10806" s="26" t="str">
        <f ca="1">IFERROR(__xludf.DUMMYFUNCTION("""COMPUTED_VALUE"""),"")</f>
        <v/>
      </c>
      <c r="F10806" s="72"/>
      <c r="G10806" s="72"/>
    </row>
    <row r="10807" spans="1:7" ht="14.5">
      <c r="A10807" s="5"/>
      <c r="B10807" s="18"/>
      <c r="C10807" s="85"/>
      <c r="D10807" s="41"/>
      <c r="E10807" s="26" t="str">
        <f ca="1">IFERROR(__xludf.DUMMYFUNCTION("""COMPUTED_VALUE"""),"")</f>
        <v/>
      </c>
      <c r="F10807" s="72"/>
      <c r="G10807" s="72"/>
    </row>
    <row r="10808" spans="1:7" ht="14.5">
      <c r="A10808" s="5"/>
      <c r="B10808" s="18"/>
      <c r="C10808" s="85"/>
      <c r="D10808" s="41"/>
      <c r="E10808" s="26" t="str">
        <f ca="1">IFERROR(__xludf.DUMMYFUNCTION("""COMPUTED_VALUE"""),"")</f>
        <v/>
      </c>
      <c r="F10808" s="72"/>
      <c r="G10808" s="72"/>
    </row>
    <row r="10809" spans="1:7" ht="14.5">
      <c r="A10809" s="5"/>
      <c r="B10809" s="18"/>
      <c r="C10809" s="85"/>
      <c r="D10809" s="41"/>
      <c r="E10809" s="26" t="str">
        <f ca="1">IFERROR(__xludf.DUMMYFUNCTION("""COMPUTED_VALUE"""),"")</f>
        <v/>
      </c>
      <c r="F10809" s="72"/>
      <c r="G10809" s="72"/>
    </row>
    <row r="10810" spans="1:7" ht="14.5">
      <c r="A10810" s="5"/>
      <c r="B10810" s="18"/>
      <c r="C10810" s="85"/>
      <c r="D10810" s="41"/>
      <c r="E10810" s="26" t="str">
        <f ca="1">IFERROR(__xludf.DUMMYFUNCTION("""COMPUTED_VALUE"""),"")</f>
        <v/>
      </c>
      <c r="F10810" s="72"/>
      <c r="G10810" s="72"/>
    </row>
    <row r="10811" spans="1:7" ht="14.5">
      <c r="A10811" s="5"/>
      <c r="B10811" s="18"/>
      <c r="C10811" s="85"/>
      <c r="D10811" s="41"/>
      <c r="E10811" s="26" t="str">
        <f ca="1">IFERROR(__xludf.DUMMYFUNCTION("""COMPUTED_VALUE"""),"")</f>
        <v/>
      </c>
      <c r="F10811" s="72"/>
      <c r="G10811" s="72"/>
    </row>
    <row r="10812" spans="1:7" ht="14.5">
      <c r="A10812" s="5"/>
      <c r="B10812" s="18"/>
      <c r="C10812" s="85"/>
      <c r="D10812" s="41"/>
      <c r="E10812" s="26" t="str">
        <f ca="1">IFERROR(__xludf.DUMMYFUNCTION("""COMPUTED_VALUE"""),"")</f>
        <v/>
      </c>
      <c r="F10812" s="72"/>
      <c r="G10812" s="72"/>
    </row>
    <row r="10813" spans="1:7" ht="14.5">
      <c r="A10813" s="5"/>
      <c r="B10813" s="18"/>
      <c r="C10813" s="85"/>
      <c r="D10813" s="41"/>
      <c r="E10813" s="26" t="str">
        <f ca="1">IFERROR(__xludf.DUMMYFUNCTION("""COMPUTED_VALUE"""),"")</f>
        <v/>
      </c>
      <c r="F10813" s="72"/>
      <c r="G10813" s="72"/>
    </row>
    <row r="10814" spans="1:7" ht="14.5">
      <c r="A10814" s="5"/>
      <c r="B10814" s="18"/>
      <c r="C10814" s="85"/>
      <c r="D10814" s="41"/>
      <c r="E10814" s="26" t="str">
        <f ca="1">IFERROR(__xludf.DUMMYFUNCTION("""COMPUTED_VALUE"""),"")</f>
        <v/>
      </c>
      <c r="F10814" s="72"/>
      <c r="G10814" s="72"/>
    </row>
    <row r="10815" spans="1:7" ht="14.5">
      <c r="A10815" s="5"/>
      <c r="B10815" s="18"/>
      <c r="C10815" s="85"/>
      <c r="D10815" s="41"/>
      <c r="E10815" s="26" t="str">
        <f ca="1">IFERROR(__xludf.DUMMYFUNCTION("""COMPUTED_VALUE"""),"")</f>
        <v/>
      </c>
      <c r="F10815" s="72"/>
      <c r="G10815" s="72"/>
    </row>
    <row r="10816" spans="1:7" ht="14.5">
      <c r="A10816" s="5"/>
      <c r="B10816" s="18"/>
      <c r="C10816" s="85"/>
      <c r="D10816" s="41"/>
      <c r="E10816" s="26" t="str">
        <f ca="1">IFERROR(__xludf.DUMMYFUNCTION("""COMPUTED_VALUE"""),"")</f>
        <v/>
      </c>
      <c r="F10816" s="72"/>
      <c r="G10816" s="72"/>
    </row>
    <row r="10817" spans="1:7" ht="14.5">
      <c r="A10817" s="5"/>
      <c r="B10817" s="18"/>
      <c r="C10817" s="85"/>
      <c r="D10817" s="41"/>
      <c r="E10817" s="26" t="str">
        <f ca="1">IFERROR(__xludf.DUMMYFUNCTION("""COMPUTED_VALUE"""),"")</f>
        <v/>
      </c>
      <c r="F10817" s="72"/>
      <c r="G10817" s="72"/>
    </row>
    <row r="10818" spans="1:7" ht="14.5">
      <c r="A10818" s="5"/>
      <c r="B10818" s="18"/>
      <c r="C10818" s="85"/>
      <c r="D10818" s="41"/>
      <c r="E10818" s="26" t="str">
        <f ca="1">IFERROR(__xludf.DUMMYFUNCTION("""COMPUTED_VALUE"""),"")</f>
        <v/>
      </c>
      <c r="F10818" s="72"/>
      <c r="G10818" s="72"/>
    </row>
    <row r="10819" spans="1:7" ht="14.5">
      <c r="A10819" s="5"/>
      <c r="B10819" s="18"/>
      <c r="C10819" s="85"/>
      <c r="D10819" s="41"/>
      <c r="E10819" s="26" t="str">
        <f ca="1">IFERROR(__xludf.DUMMYFUNCTION("""COMPUTED_VALUE"""),"")</f>
        <v/>
      </c>
      <c r="F10819" s="72"/>
      <c r="G10819" s="72"/>
    </row>
    <row r="10820" spans="1:7" ht="14.5">
      <c r="A10820" s="5"/>
      <c r="B10820" s="18"/>
      <c r="C10820" s="85"/>
      <c r="D10820" s="41"/>
      <c r="E10820" s="26" t="str">
        <f ca="1">IFERROR(__xludf.DUMMYFUNCTION("""COMPUTED_VALUE"""),"")</f>
        <v/>
      </c>
      <c r="F10820" s="72"/>
      <c r="G10820" s="72"/>
    </row>
    <row r="10821" spans="1:7" ht="14.5">
      <c r="A10821" s="5"/>
      <c r="B10821" s="18"/>
      <c r="C10821" s="85"/>
      <c r="D10821" s="41"/>
      <c r="E10821" s="26" t="str">
        <f ca="1">IFERROR(__xludf.DUMMYFUNCTION("""COMPUTED_VALUE"""),"")</f>
        <v/>
      </c>
      <c r="F10821" s="72"/>
      <c r="G10821" s="72"/>
    </row>
    <row r="10822" spans="1:7" ht="14.5">
      <c r="A10822" s="5"/>
      <c r="B10822" s="18"/>
      <c r="C10822" s="85"/>
      <c r="D10822" s="41"/>
      <c r="E10822" s="26" t="str">
        <f ca="1">IFERROR(__xludf.DUMMYFUNCTION("""COMPUTED_VALUE"""),"")</f>
        <v/>
      </c>
      <c r="F10822" s="72"/>
      <c r="G10822" s="72"/>
    </row>
    <row r="10823" spans="1:7" ht="14.5">
      <c r="A10823" s="5"/>
      <c r="B10823" s="18"/>
      <c r="C10823" s="85"/>
      <c r="D10823" s="41"/>
      <c r="E10823" s="26" t="str">
        <f ca="1">IFERROR(__xludf.DUMMYFUNCTION("""COMPUTED_VALUE"""),"")</f>
        <v/>
      </c>
      <c r="F10823" s="72"/>
      <c r="G10823" s="72"/>
    </row>
    <row r="10824" spans="1:7" ht="14.5">
      <c r="A10824" s="5"/>
      <c r="B10824" s="18"/>
      <c r="C10824" s="85"/>
      <c r="D10824" s="41"/>
      <c r="E10824" s="26" t="str">
        <f ca="1">IFERROR(__xludf.DUMMYFUNCTION("""COMPUTED_VALUE"""),"")</f>
        <v/>
      </c>
      <c r="F10824" s="72"/>
      <c r="G10824" s="72"/>
    </row>
    <row r="10825" spans="1:7" ht="14.5">
      <c r="A10825" s="5"/>
      <c r="B10825" s="18"/>
      <c r="C10825" s="85"/>
      <c r="D10825" s="41"/>
      <c r="E10825" s="26" t="str">
        <f ca="1">IFERROR(__xludf.DUMMYFUNCTION("""COMPUTED_VALUE"""),"")</f>
        <v/>
      </c>
      <c r="F10825" s="72"/>
      <c r="G10825" s="72"/>
    </row>
    <row r="10826" spans="1:7" ht="14.5">
      <c r="A10826" s="5"/>
      <c r="B10826" s="18"/>
      <c r="C10826" s="85"/>
      <c r="D10826" s="41"/>
      <c r="E10826" s="26" t="str">
        <f ca="1">IFERROR(__xludf.DUMMYFUNCTION("""COMPUTED_VALUE"""),"")</f>
        <v/>
      </c>
      <c r="F10826" s="72"/>
      <c r="G10826" s="72"/>
    </row>
    <row r="10827" spans="1:7" ht="14.5">
      <c r="A10827" s="5"/>
      <c r="B10827" s="18"/>
      <c r="C10827" s="85"/>
      <c r="D10827" s="41"/>
      <c r="E10827" s="26" t="str">
        <f ca="1">IFERROR(__xludf.DUMMYFUNCTION("""COMPUTED_VALUE"""),"")</f>
        <v/>
      </c>
      <c r="F10827" s="72"/>
      <c r="G10827" s="72"/>
    </row>
    <row r="10828" spans="1:7" ht="14.5">
      <c r="A10828" s="5"/>
      <c r="B10828" s="18"/>
      <c r="C10828" s="85"/>
      <c r="D10828" s="41"/>
      <c r="E10828" s="26" t="str">
        <f ca="1">IFERROR(__xludf.DUMMYFUNCTION("""COMPUTED_VALUE"""),"")</f>
        <v/>
      </c>
      <c r="F10828" s="72"/>
      <c r="G10828" s="72"/>
    </row>
    <row r="10829" spans="1:7" ht="14.5">
      <c r="A10829" s="5"/>
      <c r="B10829" s="18"/>
      <c r="C10829" s="85"/>
      <c r="D10829" s="41"/>
      <c r="E10829" s="26" t="str">
        <f ca="1">IFERROR(__xludf.DUMMYFUNCTION("""COMPUTED_VALUE"""),"")</f>
        <v/>
      </c>
      <c r="F10829" s="72"/>
      <c r="G10829" s="72"/>
    </row>
    <row r="10830" spans="1:7" ht="14.5">
      <c r="A10830" s="5"/>
      <c r="B10830" s="18"/>
      <c r="C10830" s="85"/>
      <c r="D10830" s="41"/>
      <c r="E10830" s="26" t="str">
        <f ca="1">IFERROR(__xludf.DUMMYFUNCTION("""COMPUTED_VALUE"""),"")</f>
        <v/>
      </c>
      <c r="F10830" s="72"/>
      <c r="G10830" s="72"/>
    </row>
    <row r="10831" spans="1:7" ht="14.5">
      <c r="A10831" s="5"/>
      <c r="B10831" s="18"/>
      <c r="C10831" s="85"/>
      <c r="D10831" s="41"/>
      <c r="E10831" s="26" t="str">
        <f ca="1">IFERROR(__xludf.DUMMYFUNCTION("""COMPUTED_VALUE"""),"")</f>
        <v/>
      </c>
      <c r="F10831" s="72"/>
      <c r="G10831" s="72"/>
    </row>
    <row r="10832" spans="1:7" ht="14.5">
      <c r="A10832" s="5"/>
      <c r="B10832" s="18"/>
      <c r="C10832" s="85"/>
      <c r="D10832" s="41"/>
      <c r="E10832" s="26" t="str">
        <f ca="1">IFERROR(__xludf.DUMMYFUNCTION("""COMPUTED_VALUE"""),"")</f>
        <v/>
      </c>
      <c r="F10832" s="72"/>
      <c r="G10832" s="72"/>
    </row>
    <row r="10833" spans="1:7" ht="14.5">
      <c r="A10833" s="5"/>
      <c r="B10833" s="18"/>
      <c r="C10833" s="85"/>
      <c r="D10833" s="41"/>
      <c r="E10833" s="26" t="str">
        <f ca="1">IFERROR(__xludf.DUMMYFUNCTION("""COMPUTED_VALUE"""),"")</f>
        <v/>
      </c>
      <c r="F10833" s="72"/>
      <c r="G10833" s="72"/>
    </row>
    <row r="10834" spans="1:7" ht="14.5">
      <c r="A10834" s="5"/>
      <c r="B10834" s="18"/>
      <c r="C10834" s="85"/>
      <c r="D10834" s="41"/>
      <c r="E10834" s="26" t="str">
        <f ca="1">IFERROR(__xludf.DUMMYFUNCTION("""COMPUTED_VALUE"""),"")</f>
        <v/>
      </c>
      <c r="F10834" s="72"/>
      <c r="G10834" s="72"/>
    </row>
    <row r="10835" spans="1:7" ht="14.5">
      <c r="A10835" s="5"/>
      <c r="B10835" s="18"/>
      <c r="C10835" s="85"/>
      <c r="D10835" s="41"/>
      <c r="E10835" s="26" t="str">
        <f ca="1">IFERROR(__xludf.DUMMYFUNCTION("""COMPUTED_VALUE"""),"")</f>
        <v/>
      </c>
      <c r="F10835" s="72"/>
      <c r="G10835" s="72"/>
    </row>
    <row r="10836" spans="1:7" ht="14.5">
      <c r="A10836" s="5"/>
      <c r="B10836" s="18"/>
      <c r="C10836" s="85"/>
      <c r="D10836" s="41"/>
      <c r="E10836" s="26" t="str">
        <f ca="1">IFERROR(__xludf.DUMMYFUNCTION("""COMPUTED_VALUE"""),"")</f>
        <v/>
      </c>
      <c r="F10836" s="72"/>
      <c r="G10836" s="72"/>
    </row>
    <row r="10837" spans="1:7" ht="14.5">
      <c r="A10837" s="5"/>
      <c r="B10837" s="18"/>
      <c r="C10837" s="85"/>
      <c r="D10837" s="41"/>
      <c r="E10837" s="26" t="str">
        <f ca="1">IFERROR(__xludf.DUMMYFUNCTION("""COMPUTED_VALUE"""),"")</f>
        <v/>
      </c>
      <c r="F10837" s="72"/>
      <c r="G10837" s="72"/>
    </row>
    <row r="10838" spans="1:7" ht="14.5">
      <c r="A10838" s="5"/>
      <c r="B10838" s="18"/>
      <c r="C10838" s="85"/>
      <c r="D10838" s="41"/>
      <c r="E10838" s="26" t="str">
        <f ca="1">IFERROR(__xludf.DUMMYFUNCTION("""COMPUTED_VALUE"""),"")</f>
        <v/>
      </c>
      <c r="F10838" s="72"/>
      <c r="G10838" s="72"/>
    </row>
    <row r="10839" spans="1:7" ht="14.5">
      <c r="A10839" s="5"/>
      <c r="B10839" s="18"/>
      <c r="C10839" s="85"/>
      <c r="D10839" s="41"/>
      <c r="E10839" s="26" t="str">
        <f ca="1">IFERROR(__xludf.DUMMYFUNCTION("""COMPUTED_VALUE"""),"")</f>
        <v/>
      </c>
      <c r="F10839" s="72"/>
      <c r="G10839" s="72"/>
    </row>
    <row r="10840" spans="1:7" ht="14.5">
      <c r="A10840" s="5"/>
      <c r="B10840" s="18"/>
      <c r="C10840" s="85"/>
      <c r="D10840" s="41"/>
      <c r="E10840" s="26" t="str">
        <f ca="1">IFERROR(__xludf.DUMMYFUNCTION("""COMPUTED_VALUE"""),"")</f>
        <v/>
      </c>
      <c r="F10840" s="72"/>
      <c r="G10840" s="72"/>
    </row>
    <row r="10841" spans="1:7" ht="14.5">
      <c r="A10841" s="5"/>
      <c r="B10841" s="18"/>
      <c r="C10841" s="85"/>
      <c r="D10841" s="41"/>
      <c r="E10841" s="26" t="str">
        <f ca="1">IFERROR(__xludf.DUMMYFUNCTION("""COMPUTED_VALUE"""),"")</f>
        <v/>
      </c>
      <c r="F10841" s="72"/>
      <c r="G10841" s="72"/>
    </row>
    <row r="10842" spans="1:7" ht="14.5">
      <c r="A10842" s="5"/>
      <c r="B10842" s="18"/>
      <c r="C10842" s="85"/>
      <c r="D10842" s="41"/>
      <c r="E10842" s="26" t="str">
        <f ca="1">IFERROR(__xludf.DUMMYFUNCTION("""COMPUTED_VALUE"""),"")</f>
        <v/>
      </c>
      <c r="F10842" s="72"/>
      <c r="G10842" s="72"/>
    </row>
    <row r="10843" spans="1:7" ht="14.5">
      <c r="A10843" s="5"/>
      <c r="B10843" s="18"/>
      <c r="C10843" s="85"/>
      <c r="D10843" s="41"/>
      <c r="E10843" s="26" t="str">
        <f ca="1">IFERROR(__xludf.DUMMYFUNCTION("""COMPUTED_VALUE"""),"")</f>
        <v/>
      </c>
      <c r="F10843" s="72"/>
      <c r="G10843" s="72"/>
    </row>
    <row r="10844" spans="1:7" ht="14.5">
      <c r="A10844" s="5"/>
      <c r="B10844" s="18"/>
      <c r="C10844" s="85"/>
      <c r="D10844" s="41"/>
      <c r="E10844" s="26" t="str">
        <f ca="1">IFERROR(__xludf.DUMMYFUNCTION("""COMPUTED_VALUE"""),"")</f>
        <v/>
      </c>
      <c r="F10844" s="72"/>
      <c r="G10844" s="72"/>
    </row>
    <row r="10845" spans="1:7" ht="14.5">
      <c r="A10845" s="5"/>
      <c r="B10845" s="18"/>
      <c r="C10845" s="85"/>
      <c r="D10845" s="41"/>
      <c r="E10845" s="26" t="str">
        <f ca="1">IFERROR(__xludf.DUMMYFUNCTION("""COMPUTED_VALUE"""),"")</f>
        <v/>
      </c>
      <c r="F10845" s="72"/>
      <c r="G10845" s="72"/>
    </row>
    <row r="10846" spans="1:7" ht="14.5">
      <c r="A10846" s="5"/>
      <c r="B10846" s="18"/>
      <c r="C10846" s="85"/>
      <c r="D10846" s="41"/>
      <c r="E10846" s="26" t="str">
        <f ca="1">IFERROR(__xludf.DUMMYFUNCTION("""COMPUTED_VALUE"""),"")</f>
        <v/>
      </c>
      <c r="F10846" s="72"/>
      <c r="G10846" s="72"/>
    </row>
    <row r="10847" spans="1:7" ht="14.5">
      <c r="A10847" s="5"/>
      <c r="B10847" s="18"/>
      <c r="C10847" s="85"/>
      <c r="D10847" s="41"/>
      <c r="E10847" s="26" t="str">
        <f ca="1">IFERROR(__xludf.DUMMYFUNCTION("""COMPUTED_VALUE"""),"")</f>
        <v/>
      </c>
      <c r="F10847" s="72"/>
      <c r="G10847" s="72"/>
    </row>
    <row r="10848" spans="1:7" ht="14.5">
      <c r="A10848" s="5"/>
      <c r="B10848" s="18"/>
      <c r="C10848" s="85"/>
      <c r="D10848" s="41"/>
      <c r="E10848" s="26" t="str">
        <f ca="1">IFERROR(__xludf.DUMMYFUNCTION("""COMPUTED_VALUE"""),"")</f>
        <v/>
      </c>
      <c r="F10848" s="72"/>
      <c r="G10848" s="72"/>
    </row>
    <row r="10849" spans="1:7" ht="14.5">
      <c r="A10849" s="5"/>
      <c r="B10849" s="18"/>
      <c r="C10849" s="85"/>
      <c r="D10849" s="41"/>
      <c r="E10849" s="26" t="str">
        <f ca="1">IFERROR(__xludf.DUMMYFUNCTION("""COMPUTED_VALUE"""),"")</f>
        <v/>
      </c>
      <c r="F10849" s="72"/>
      <c r="G10849" s="72"/>
    </row>
    <row r="10850" spans="1:7" ht="14.5">
      <c r="A10850" s="5"/>
      <c r="B10850" s="18"/>
      <c r="C10850" s="85"/>
      <c r="D10850" s="41"/>
      <c r="E10850" s="26" t="str">
        <f ca="1">IFERROR(__xludf.DUMMYFUNCTION("""COMPUTED_VALUE"""),"")</f>
        <v/>
      </c>
      <c r="F10850" s="72"/>
      <c r="G10850" s="72"/>
    </row>
    <row r="10851" spans="1:7" ht="14.5">
      <c r="A10851" s="5"/>
      <c r="B10851" s="18"/>
      <c r="C10851" s="85"/>
      <c r="D10851" s="41"/>
      <c r="E10851" s="26" t="str">
        <f ca="1">IFERROR(__xludf.DUMMYFUNCTION("""COMPUTED_VALUE"""),"")</f>
        <v/>
      </c>
      <c r="F10851" s="72"/>
      <c r="G10851" s="72"/>
    </row>
    <row r="10852" spans="1:7" ht="14.5">
      <c r="A10852" s="5"/>
      <c r="B10852" s="18"/>
      <c r="C10852" s="85"/>
      <c r="D10852" s="41"/>
      <c r="E10852" s="26" t="str">
        <f ca="1">IFERROR(__xludf.DUMMYFUNCTION("""COMPUTED_VALUE"""),"")</f>
        <v/>
      </c>
      <c r="F10852" s="72"/>
      <c r="G10852" s="72"/>
    </row>
    <row r="10853" spans="1:7" ht="14.5">
      <c r="A10853" s="5"/>
      <c r="B10853" s="18"/>
      <c r="C10853" s="85"/>
      <c r="D10853" s="41"/>
      <c r="E10853" s="26" t="str">
        <f ca="1">IFERROR(__xludf.DUMMYFUNCTION("""COMPUTED_VALUE"""),"")</f>
        <v/>
      </c>
      <c r="F10853" s="72"/>
      <c r="G10853" s="72"/>
    </row>
    <row r="10854" spans="1:7" ht="14.5">
      <c r="A10854" s="5"/>
      <c r="B10854" s="18"/>
      <c r="C10854" s="85"/>
      <c r="D10854" s="41"/>
      <c r="E10854" s="26" t="str">
        <f ca="1">IFERROR(__xludf.DUMMYFUNCTION("""COMPUTED_VALUE"""),"")</f>
        <v/>
      </c>
      <c r="F10854" s="72"/>
      <c r="G10854" s="72"/>
    </row>
    <row r="10855" spans="1:7" ht="14.5">
      <c r="A10855" s="5"/>
      <c r="B10855" s="18"/>
      <c r="C10855" s="85"/>
      <c r="D10855" s="41"/>
      <c r="E10855" s="26" t="str">
        <f ca="1">IFERROR(__xludf.DUMMYFUNCTION("""COMPUTED_VALUE"""),"")</f>
        <v/>
      </c>
      <c r="F10855" s="72"/>
      <c r="G10855" s="72"/>
    </row>
    <row r="10856" spans="1:7" ht="14.5">
      <c r="A10856" s="5"/>
      <c r="B10856" s="18"/>
      <c r="C10856" s="85"/>
      <c r="D10856" s="41"/>
      <c r="E10856" s="26" t="str">
        <f ca="1">IFERROR(__xludf.DUMMYFUNCTION("""COMPUTED_VALUE"""),"")</f>
        <v/>
      </c>
      <c r="F10856" s="72"/>
      <c r="G10856" s="72"/>
    </row>
    <row r="10857" spans="1:7" ht="14.5">
      <c r="A10857" s="5"/>
      <c r="B10857" s="18"/>
      <c r="C10857" s="85"/>
      <c r="D10857" s="41"/>
      <c r="E10857" s="26" t="str">
        <f ca="1">IFERROR(__xludf.DUMMYFUNCTION("""COMPUTED_VALUE"""),"")</f>
        <v/>
      </c>
      <c r="F10857" s="72"/>
      <c r="G10857" s="72"/>
    </row>
    <row r="10858" spans="1:7" ht="14.5">
      <c r="A10858" s="5"/>
      <c r="B10858" s="18"/>
      <c r="C10858" s="85"/>
      <c r="D10858" s="41"/>
      <c r="E10858" s="26" t="str">
        <f ca="1">IFERROR(__xludf.DUMMYFUNCTION("""COMPUTED_VALUE"""),"")</f>
        <v/>
      </c>
      <c r="F10858" s="72"/>
      <c r="G10858" s="72"/>
    </row>
    <row r="10859" spans="1:7" ht="14.5">
      <c r="A10859" s="5"/>
      <c r="B10859" s="18"/>
      <c r="C10859" s="85"/>
      <c r="D10859" s="41"/>
      <c r="E10859" s="26" t="str">
        <f ca="1">IFERROR(__xludf.DUMMYFUNCTION("""COMPUTED_VALUE"""),"")</f>
        <v/>
      </c>
      <c r="F10859" s="72"/>
      <c r="G10859" s="72"/>
    </row>
    <row r="10860" spans="1:7" ht="14.5">
      <c r="A10860" s="5"/>
      <c r="B10860" s="18"/>
      <c r="C10860" s="85"/>
      <c r="D10860" s="41"/>
      <c r="E10860" s="26" t="str">
        <f ca="1">IFERROR(__xludf.DUMMYFUNCTION("""COMPUTED_VALUE"""),"")</f>
        <v/>
      </c>
      <c r="F10860" s="72"/>
      <c r="G10860" s="72"/>
    </row>
    <row r="10861" spans="1:7" ht="14.5">
      <c r="A10861" s="5"/>
      <c r="B10861" s="18"/>
      <c r="C10861" s="85"/>
      <c r="D10861" s="41"/>
      <c r="E10861" s="26" t="str">
        <f ca="1">IFERROR(__xludf.DUMMYFUNCTION("""COMPUTED_VALUE"""),"")</f>
        <v/>
      </c>
      <c r="F10861" s="72"/>
      <c r="G10861" s="72"/>
    </row>
    <row r="10862" spans="1:7" ht="14.5">
      <c r="A10862" s="5"/>
      <c r="B10862" s="18"/>
      <c r="C10862" s="85"/>
      <c r="D10862" s="41"/>
      <c r="E10862" s="26" t="str">
        <f ca="1">IFERROR(__xludf.DUMMYFUNCTION("""COMPUTED_VALUE"""),"")</f>
        <v/>
      </c>
      <c r="F10862" s="72"/>
      <c r="G10862" s="72"/>
    </row>
    <row r="10863" spans="1:7" ht="14.5">
      <c r="A10863" s="5"/>
      <c r="B10863" s="18"/>
      <c r="C10863" s="85"/>
      <c r="D10863" s="41"/>
      <c r="E10863" s="26" t="str">
        <f ca="1">IFERROR(__xludf.DUMMYFUNCTION("""COMPUTED_VALUE"""),"")</f>
        <v/>
      </c>
      <c r="F10863" s="72"/>
      <c r="G10863" s="72"/>
    </row>
    <row r="10864" spans="1:7" ht="14.5">
      <c r="A10864" s="5"/>
      <c r="B10864" s="18"/>
      <c r="C10864" s="85"/>
      <c r="D10864" s="41"/>
      <c r="E10864" s="26" t="str">
        <f ca="1">IFERROR(__xludf.DUMMYFUNCTION("""COMPUTED_VALUE"""),"")</f>
        <v/>
      </c>
      <c r="F10864" s="72"/>
      <c r="G10864" s="72"/>
    </row>
    <row r="10865" spans="1:7" ht="14.5">
      <c r="A10865" s="5"/>
      <c r="B10865" s="18"/>
      <c r="C10865" s="85"/>
      <c r="D10865" s="41"/>
      <c r="E10865" s="26" t="str">
        <f ca="1">IFERROR(__xludf.DUMMYFUNCTION("""COMPUTED_VALUE"""),"")</f>
        <v/>
      </c>
      <c r="F10865" s="72"/>
      <c r="G10865" s="72"/>
    </row>
    <row r="10866" spans="1:7" ht="14.5">
      <c r="A10866" s="5"/>
      <c r="B10866" s="18"/>
      <c r="C10866" s="85"/>
      <c r="D10866" s="41"/>
      <c r="E10866" s="26" t="str">
        <f ca="1">IFERROR(__xludf.DUMMYFUNCTION("""COMPUTED_VALUE"""),"")</f>
        <v/>
      </c>
      <c r="F10866" s="72"/>
      <c r="G10866" s="72"/>
    </row>
    <row r="10867" spans="1:7" ht="14.5">
      <c r="A10867" s="5"/>
      <c r="B10867" s="18"/>
      <c r="C10867" s="85"/>
      <c r="D10867" s="41"/>
      <c r="E10867" s="26" t="str">
        <f ca="1">IFERROR(__xludf.DUMMYFUNCTION("""COMPUTED_VALUE"""),"")</f>
        <v/>
      </c>
      <c r="F10867" s="72"/>
      <c r="G10867" s="72"/>
    </row>
    <row r="10868" spans="1:7" ht="14.5">
      <c r="A10868" s="5"/>
      <c r="B10868" s="18"/>
      <c r="C10868" s="85"/>
      <c r="D10868" s="41"/>
      <c r="E10868" s="26" t="str">
        <f ca="1">IFERROR(__xludf.DUMMYFUNCTION("""COMPUTED_VALUE"""),"")</f>
        <v/>
      </c>
      <c r="F10868" s="72"/>
      <c r="G10868" s="72"/>
    </row>
    <row r="10869" spans="1:7" ht="14.5">
      <c r="A10869" s="5"/>
      <c r="B10869" s="18"/>
      <c r="C10869" s="85"/>
      <c r="D10869" s="41"/>
      <c r="E10869" s="26" t="str">
        <f ca="1">IFERROR(__xludf.DUMMYFUNCTION("""COMPUTED_VALUE"""),"")</f>
        <v/>
      </c>
      <c r="F10869" s="72"/>
      <c r="G10869" s="72"/>
    </row>
    <row r="10870" spans="1:7" ht="14.5">
      <c r="A10870" s="5"/>
      <c r="B10870" s="18"/>
      <c r="C10870" s="85"/>
      <c r="D10870" s="41"/>
      <c r="E10870" s="26" t="str">
        <f ca="1">IFERROR(__xludf.DUMMYFUNCTION("""COMPUTED_VALUE"""),"")</f>
        <v/>
      </c>
      <c r="F10870" s="72"/>
      <c r="G10870" s="72"/>
    </row>
    <row r="10871" spans="1:7" ht="14.5">
      <c r="A10871" s="5"/>
      <c r="B10871" s="18"/>
      <c r="C10871" s="85"/>
      <c r="D10871" s="41"/>
      <c r="E10871" s="26" t="str">
        <f ca="1">IFERROR(__xludf.DUMMYFUNCTION("""COMPUTED_VALUE"""),"")</f>
        <v/>
      </c>
      <c r="F10871" s="72"/>
      <c r="G10871" s="72"/>
    </row>
    <row r="10872" spans="1:7" ht="14.5">
      <c r="A10872" s="5"/>
      <c r="B10872" s="18"/>
      <c r="C10872" s="85"/>
      <c r="D10872" s="41"/>
      <c r="E10872" s="26" t="str">
        <f ca="1">IFERROR(__xludf.DUMMYFUNCTION("""COMPUTED_VALUE"""),"")</f>
        <v/>
      </c>
      <c r="F10872" s="72"/>
      <c r="G10872" s="72"/>
    </row>
    <row r="10873" spans="1:7" ht="14.5">
      <c r="A10873" s="5"/>
      <c r="B10873" s="18"/>
      <c r="C10873" s="85"/>
      <c r="D10873" s="41"/>
      <c r="E10873" s="26" t="str">
        <f ca="1">IFERROR(__xludf.DUMMYFUNCTION("""COMPUTED_VALUE"""),"")</f>
        <v/>
      </c>
      <c r="F10873" s="72"/>
      <c r="G10873" s="72"/>
    </row>
    <row r="10874" spans="1:7" ht="14.5">
      <c r="A10874" s="5"/>
      <c r="B10874" s="18"/>
      <c r="C10874" s="85"/>
      <c r="D10874" s="41"/>
      <c r="E10874" s="26" t="str">
        <f ca="1">IFERROR(__xludf.DUMMYFUNCTION("""COMPUTED_VALUE"""),"")</f>
        <v/>
      </c>
      <c r="F10874" s="72"/>
      <c r="G10874" s="72"/>
    </row>
    <row r="10875" spans="1:7" ht="14.5">
      <c r="A10875" s="5"/>
      <c r="B10875" s="18"/>
      <c r="C10875" s="85"/>
      <c r="D10875" s="41"/>
      <c r="E10875" s="26" t="str">
        <f ca="1">IFERROR(__xludf.DUMMYFUNCTION("""COMPUTED_VALUE"""),"")</f>
        <v/>
      </c>
      <c r="F10875" s="72"/>
      <c r="G10875" s="72"/>
    </row>
    <row r="10876" spans="1:7" ht="14.5">
      <c r="A10876" s="5"/>
      <c r="B10876" s="18"/>
      <c r="C10876" s="85"/>
      <c r="D10876" s="41"/>
      <c r="E10876" s="26" t="str">
        <f ca="1">IFERROR(__xludf.DUMMYFUNCTION("""COMPUTED_VALUE"""),"")</f>
        <v/>
      </c>
      <c r="F10876" s="72"/>
      <c r="G10876" s="72"/>
    </row>
    <row r="10877" spans="1:7" ht="14.5">
      <c r="A10877" s="5"/>
      <c r="B10877" s="18"/>
      <c r="C10877" s="85"/>
      <c r="D10877" s="41"/>
      <c r="E10877" s="26" t="str">
        <f ca="1">IFERROR(__xludf.DUMMYFUNCTION("""COMPUTED_VALUE"""),"")</f>
        <v/>
      </c>
      <c r="F10877" s="72"/>
      <c r="G10877" s="72"/>
    </row>
    <row r="10878" spans="1:7" ht="14.5">
      <c r="A10878" s="5"/>
      <c r="B10878" s="18"/>
      <c r="C10878" s="85"/>
      <c r="D10878" s="41"/>
      <c r="E10878" s="26" t="str">
        <f ca="1">IFERROR(__xludf.DUMMYFUNCTION("""COMPUTED_VALUE"""),"")</f>
        <v/>
      </c>
      <c r="F10878" s="72"/>
      <c r="G10878" s="72"/>
    </row>
    <row r="10879" spans="1:7" ht="14.5">
      <c r="A10879" s="5"/>
      <c r="B10879" s="18"/>
      <c r="C10879" s="85"/>
      <c r="D10879" s="41"/>
      <c r="E10879" s="26" t="str">
        <f ca="1">IFERROR(__xludf.DUMMYFUNCTION("""COMPUTED_VALUE"""),"")</f>
        <v/>
      </c>
      <c r="F10879" s="72"/>
      <c r="G10879" s="72"/>
    </row>
    <row r="10880" spans="1:7" ht="14.5">
      <c r="A10880" s="5"/>
      <c r="B10880" s="18"/>
      <c r="C10880" s="85"/>
      <c r="D10880" s="41"/>
      <c r="E10880" s="26" t="str">
        <f ca="1">IFERROR(__xludf.DUMMYFUNCTION("""COMPUTED_VALUE"""),"")</f>
        <v/>
      </c>
      <c r="F10880" s="72"/>
      <c r="G10880" s="72"/>
    </row>
    <row r="10881" spans="1:7" ht="14.5">
      <c r="A10881" s="5"/>
      <c r="B10881" s="18"/>
      <c r="C10881" s="85"/>
      <c r="D10881" s="41"/>
      <c r="E10881" s="26" t="str">
        <f ca="1">IFERROR(__xludf.DUMMYFUNCTION("""COMPUTED_VALUE"""),"")</f>
        <v/>
      </c>
      <c r="F10881" s="72"/>
      <c r="G10881" s="72"/>
    </row>
    <row r="10882" spans="1:7" ht="14.5">
      <c r="A10882" s="5"/>
      <c r="B10882" s="18"/>
      <c r="C10882" s="85"/>
      <c r="D10882" s="41"/>
      <c r="E10882" s="26" t="str">
        <f ca="1">IFERROR(__xludf.DUMMYFUNCTION("""COMPUTED_VALUE"""),"")</f>
        <v/>
      </c>
      <c r="F10882" s="72"/>
      <c r="G10882" s="72"/>
    </row>
    <row r="10883" spans="1:7" ht="14.5">
      <c r="A10883" s="5"/>
      <c r="B10883" s="18"/>
      <c r="C10883" s="85"/>
      <c r="D10883" s="41"/>
      <c r="E10883" s="26" t="str">
        <f ca="1">IFERROR(__xludf.DUMMYFUNCTION("""COMPUTED_VALUE"""),"")</f>
        <v/>
      </c>
      <c r="F10883" s="72"/>
      <c r="G10883" s="72"/>
    </row>
    <row r="10884" spans="1:7" ht="14.5">
      <c r="A10884" s="5"/>
      <c r="B10884" s="18"/>
      <c r="C10884" s="85"/>
      <c r="D10884" s="41"/>
      <c r="E10884" s="26" t="str">
        <f ca="1">IFERROR(__xludf.DUMMYFUNCTION("""COMPUTED_VALUE"""),"")</f>
        <v/>
      </c>
      <c r="F10884" s="72"/>
      <c r="G10884" s="72"/>
    </row>
    <row r="10885" spans="1:7" ht="14.5">
      <c r="A10885" s="5"/>
      <c r="B10885" s="18"/>
      <c r="C10885" s="85"/>
      <c r="D10885" s="41"/>
      <c r="E10885" s="26" t="str">
        <f ca="1">IFERROR(__xludf.DUMMYFUNCTION("""COMPUTED_VALUE"""),"")</f>
        <v/>
      </c>
      <c r="F10885" s="72"/>
      <c r="G10885" s="72"/>
    </row>
    <row r="10886" spans="1:7" ht="14.5">
      <c r="A10886" s="5"/>
      <c r="B10886" s="18"/>
      <c r="C10886" s="85"/>
      <c r="D10886" s="41"/>
      <c r="E10886" s="26" t="str">
        <f ca="1">IFERROR(__xludf.DUMMYFUNCTION("""COMPUTED_VALUE"""),"")</f>
        <v/>
      </c>
      <c r="F10886" s="72"/>
      <c r="G10886" s="72"/>
    </row>
    <row r="10887" spans="1:7" ht="14.5">
      <c r="A10887" s="5"/>
      <c r="B10887" s="18"/>
      <c r="C10887" s="85"/>
      <c r="D10887" s="41"/>
      <c r="E10887" s="26" t="str">
        <f ca="1">IFERROR(__xludf.DUMMYFUNCTION("""COMPUTED_VALUE"""),"")</f>
        <v/>
      </c>
      <c r="F10887" s="72"/>
      <c r="G10887" s="72"/>
    </row>
    <row r="10888" spans="1:7" ht="14.5">
      <c r="A10888" s="5"/>
      <c r="B10888" s="18"/>
      <c r="C10888" s="85"/>
      <c r="D10888" s="41"/>
      <c r="E10888" s="26" t="str">
        <f ca="1">IFERROR(__xludf.DUMMYFUNCTION("""COMPUTED_VALUE"""),"")</f>
        <v/>
      </c>
      <c r="F10888" s="72"/>
      <c r="G10888" s="72"/>
    </row>
    <row r="10889" spans="1:7" ht="14.5">
      <c r="A10889" s="5"/>
      <c r="B10889" s="18"/>
      <c r="C10889" s="85"/>
      <c r="D10889" s="41"/>
      <c r="E10889" s="26" t="str">
        <f ca="1">IFERROR(__xludf.DUMMYFUNCTION("""COMPUTED_VALUE"""),"")</f>
        <v/>
      </c>
      <c r="F10889" s="72"/>
      <c r="G10889" s="72"/>
    </row>
    <row r="10890" spans="1:7" ht="14.5">
      <c r="A10890" s="5"/>
      <c r="B10890" s="18"/>
      <c r="C10890" s="85"/>
      <c r="D10890" s="41"/>
      <c r="E10890" s="26" t="str">
        <f ca="1">IFERROR(__xludf.DUMMYFUNCTION("""COMPUTED_VALUE"""),"")</f>
        <v/>
      </c>
      <c r="F10890" s="72"/>
      <c r="G10890" s="72"/>
    </row>
    <row r="10891" spans="1:7" ht="14.5">
      <c r="A10891" s="5"/>
      <c r="B10891" s="18"/>
      <c r="C10891" s="85"/>
      <c r="D10891" s="41"/>
      <c r="E10891" s="26" t="str">
        <f ca="1">IFERROR(__xludf.DUMMYFUNCTION("""COMPUTED_VALUE"""),"")</f>
        <v/>
      </c>
      <c r="F10891" s="72"/>
      <c r="G10891" s="72"/>
    </row>
    <row r="10892" spans="1:7" ht="14.5">
      <c r="A10892" s="5"/>
      <c r="B10892" s="18"/>
      <c r="C10892" s="85"/>
      <c r="D10892" s="41"/>
      <c r="E10892" s="26" t="str">
        <f ca="1">IFERROR(__xludf.DUMMYFUNCTION("""COMPUTED_VALUE"""),"")</f>
        <v/>
      </c>
      <c r="F10892" s="72"/>
      <c r="G10892" s="72"/>
    </row>
    <row r="10893" spans="1:7" ht="14.5">
      <c r="A10893" s="5"/>
      <c r="B10893" s="18"/>
      <c r="C10893" s="85"/>
      <c r="D10893" s="41"/>
      <c r="E10893" s="26" t="str">
        <f ca="1">IFERROR(__xludf.DUMMYFUNCTION("""COMPUTED_VALUE"""),"")</f>
        <v/>
      </c>
      <c r="F10893" s="72"/>
      <c r="G10893" s="72"/>
    </row>
    <row r="10894" spans="1:7" ht="14.5">
      <c r="A10894" s="5"/>
      <c r="B10894" s="18"/>
      <c r="C10894" s="85"/>
      <c r="D10894" s="41"/>
      <c r="E10894" s="26" t="str">
        <f ca="1">IFERROR(__xludf.DUMMYFUNCTION("""COMPUTED_VALUE"""),"")</f>
        <v/>
      </c>
      <c r="F10894" s="72"/>
      <c r="G10894" s="72"/>
    </row>
    <row r="10895" spans="1:7" ht="14.5">
      <c r="A10895" s="5"/>
      <c r="B10895" s="18"/>
      <c r="C10895" s="85"/>
      <c r="D10895" s="41"/>
      <c r="E10895" s="26" t="str">
        <f ca="1">IFERROR(__xludf.DUMMYFUNCTION("""COMPUTED_VALUE"""),"")</f>
        <v/>
      </c>
      <c r="F10895" s="72"/>
      <c r="G10895" s="72"/>
    </row>
    <row r="10896" spans="1:7" ht="14.5">
      <c r="A10896" s="5"/>
      <c r="B10896" s="18"/>
      <c r="C10896" s="85"/>
      <c r="D10896" s="41"/>
      <c r="E10896" s="26" t="str">
        <f ca="1">IFERROR(__xludf.DUMMYFUNCTION("""COMPUTED_VALUE"""),"")</f>
        <v/>
      </c>
      <c r="F10896" s="72"/>
      <c r="G10896" s="72"/>
    </row>
    <row r="10897" spans="1:7" ht="14.5">
      <c r="A10897" s="5"/>
      <c r="B10897" s="18"/>
      <c r="C10897" s="85"/>
      <c r="D10897" s="41"/>
      <c r="E10897" s="26" t="str">
        <f ca="1">IFERROR(__xludf.DUMMYFUNCTION("""COMPUTED_VALUE"""),"")</f>
        <v/>
      </c>
      <c r="F10897" s="72"/>
      <c r="G10897" s="72"/>
    </row>
    <row r="10898" spans="1:7" ht="14.5">
      <c r="A10898" s="5"/>
      <c r="B10898" s="18"/>
      <c r="C10898" s="85"/>
      <c r="D10898" s="41"/>
      <c r="E10898" s="26" t="str">
        <f ca="1">IFERROR(__xludf.DUMMYFUNCTION("""COMPUTED_VALUE"""),"")</f>
        <v/>
      </c>
      <c r="F10898" s="72"/>
      <c r="G10898" s="72"/>
    </row>
    <row r="10899" spans="1:7" ht="14.5">
      <c r="A10899" s="5"/>
      <c r="B10899" s="18"/>
      <c r="C10899" s="85"/>
      <c r="D10899" s="41"/>
      <c r="E10899" s="26" t="str">
        <f ca="1">IFERROR(__xludf.DUMMYFUNCTION("""COMPUTED_VALUE"""),"")</f>
        <v/>
      </c>
      <c r="F10899" s="72"/>
      <c r="G10899" s="72"/>
    </row>
    <row r="10900" spans="1:7" ht="14.5">
      <c r="A10900" s="5"/>
      <c r="B10900" s="18"/>
      <c r="C10900" s="85"/>
      <c r="D10900" s="41"/>
      <c r="E10900" s="26" t="str">
        <f ca="1">IFERROR(__xludf.DUMMYFUNCTION("""COMPUTED_VALUE"""),"")</f>
        <v/>
      </c>
      <c r="F10900" s="72"/>
      <c r="G10900" s="72"/>
    </row>
    <row r="10901" spans="1:7" ht="14.5">
      <c r="A10901" s="5"/>
      <c r="B10901" s="18"/>
      <c r="C10901" s="85"/>
      <c r="D10901" s="41"/>
      <c r="E10901" s="26" t="str">
        <f ca="1">IFERROR(__xludf.DUMMYFUNCTION("""COMPUTED_VALUE"""),"")</f>
        <v/>
      </c>
      <c r="F10901" s="72"/>
      <c r="G10901" s="72"/>
    </row>
    <row r="10902" spans="1:7" ht="14.5">
      <c r="A10902" s="5"/>
      <c r="B10902" s="18"/>
      <c r="C10902" s="85"/>
      <c r="D10902" s="41"/>
      <c r="E10902" s="26" t="str">
        <f ca="1">IFERROR(__xludf.DUMMYFUNCTION("""COMPUTED_VALUE"""),"")</f>
        <v/>
      </c>
      <c r="F10902" s="72"/>
      <c r="G10902" s="72"/>
    </row>
    <row r="10903" spans="1:7" ht="14.5">
      <c r="A10903" s="5"/>
      <c r="B10903" s="18"/>
      <c r="C10903" s="85"/>
      <c r="D10903" s="41"/>
      <c r="E10903" s="26" t="str">
        <f ca="1">IFERROR(__xludf.DUMMYFUNCTION("""COMPUTED_VALUE"""),"")</f>
        <v/>
      </c>
      <c r="F10903" s="72"/>
      <c r="G10903" s="72"/>
    </row>
    <row r="10904" spans="1:7" ht="14.5">
      <c r="A10904" s="5"/>
      <c r="B10904" s="18"/>
      <c r="C10904" s="85"/>
      <c r="D10904" s="41"/>
      <c r="E10904" s="26" t="str">
        <f ca="1">IFERROR(__xludf.DUMMYFUNCTION("""COMPUTED_VALUE"""),"")</f>
        <v/>
      </c>
      <c r="F10904" s="72"/>
      <c r="G10904" s="72"/>
    </row>
    <row r="10905" spans="1:7" ht="14.5">
      <c r="A10905" s="5"/>
      <c r="B10905" s="18"/>
      <c r="C10905" s="85"/>
      <c r="D10905" s="41"/>
      <c r="E10905" s="26" t="str">
        <f ca="1">IFERROR(__xludf.DUMMYFUNCTION("""COMPUTED_VALUE"""),"")</f>
        <v/>
      </c>
      <c r="F10905" s="72"/>
      <c r="G10905" s="72"/>
    </row>
    <row r="10906" spans="1:7" ht="14.5">
      <c r="A10906" s="5"/>
      <c r="B10906" s="18"/>
      <c r="C10906" s="85"/>
      <c r="D10906" s="41"/>
      <c r="E10906" s="26" t="str">
        <f ca="1">IFERROR(__xludf.DUMMYFUNCTION("""COMPUTED_VALUE"""),"")</f>
        <v/>
      </c>
      <c r="F10906" s="72"/>
      <c r="G10906" s="72"/>
    </row>
    <row r="10907" spans="1:7" ht="14.5">
      <c r="A10907" s="5"/>
      <c r="B10907" s="18"/>
      <c r="C10907" s="85"/>
      <c r="D10907" s="41"/>
      <c r="E10907" s="26" t="str">
        <f ca="1">IFERROR(__xludf.DUMMYFUNCTION("""COMPUTED_VALUE"""),"")</f>
        <v/>
      </c>
      <c r="F10907" s="72"/>
      <c r="G10907" s="72"/>
    </row>
    <row r="10908" spans="1:7" ht="14.5">
      <c r="A10908" s="5"/>
      <c r="B10908" s="18"/>
      <c r="C10908" s="85"/>
      <c r="D10908" s="41"/>
      <c r="E10908" s="26" t="str">
        <f ca="1">IFERROR(__xludf.DUMMYFUNCTION("""COMPUTED_VALUE"""),"")</f>
        <v/>
      </c>
      <c r="F10908" s="72"/>
      <c r="G10908" s="72"/>
    </row>
    <row r="10909" spans="1:7" ht="14.5">
      <c r="A10909" s="5"/>
      <c r="B10909" s="18"/>
      <c r="C10909" s="85"/>
      <c r="D10909" s="41"/>
      <c r="E10909" s="26" t="str">
        <f ca="1">IFERROR(__xludf.DUMMYFUNCTION("""COMPUTED_VALUE"""),"")</f>
        <v/>
      </c>
      <c r="F10909" s="72"/>
      <c r="G10909" s="72"/>
    </row>
    <row r="10910" spans="1:7" ht="14.5">
      <c r="A10910" s="5"/>
      <c r="B10910" s="18"/>
      <c r="C10910" s="85"/>
      <c r="D10910" s="41"/>
      <c r="E10910" s="26" t="str">
        <f ca="1">IFERROR(__xludf.DUMMYFUNCTION("""COMPUTED_VALUE"""),"")</f>
        <v/>
      </c>
      <c r="F10910" s="72"/>
      <c r="G10910" s="72"/>
    </row>
    <row r="10911" spans="1:7" ht="14.5">
      <c r="A10911" s="5"/>
      <c r="B10911" s="18"/>
      <c r="C10911" s="85"/>
      <c r="D10911" s="41"/>
      <c r="E10911" s="26" t="str">
        <f ca="1">IFERROR(__xludf.DUMMYFUNCTION("""COMPUTED_VALUE"""),"")</f>
        <v/>
      </c>
      <c r="F10911" s="72"/>
      <c r="G10911" s="72"/>
    </row>
    <row r="10912" spans="1:7" ht="14.5">
      <c r="A10912" s="5"/>
      <c r="B10912" s="18"/>
      <c r="C10912" s="85"/>
      <c r="D10912" s="41"/>
      <c r="E10912" s="26" t="str">
        <f ca="1">IFERROR(__xludf.DUMMYFUNCTION("""COMPUTED_VALUE"""),"")</f>
        <v/>
      </c>
      <c r="F10912" s="72"/>
      <c r="G10912" s="72"/>
    </row>
    <row r="10913" spans="1:7" ht="14.5">
      <c r="A10913" s="5"/>
      <c r="B10913" s="18"/>
      <c r="C10913" s="85"/>
      <c r="D10913" s="41"/>
      <c r="E10913" s="26" t="str">
        <f ca="1">IFERROR(__xludf.DUMMYFUNCTION("""COMPUTED_VALUE"""),"")</f>
        <v/>
      </c>
      <c r="F10913" s="72"/>
      <c r="G10913" s="72"/>
    </row>
    <row r="10914" spans="1:7" ht="14.5">
      <c r="A10914" s="5"/>
      <c r="B10914" s="18"/>
      <c r="C10914" s="85"/>
      <c r="D10914" s="41"/>
      <c r="E10914" s="26" t="str">
        <f ca="1">IFERROR(__xludf.DUMMYFUNCTION("""COMPUTED_VALUE"""),"")</f>
        <v/>
      </c>
      <c r="F10914" s="72"/>
      <c r="G10914" s="72"/>
    </row>
    <row r="10915" spans="1:7" ht="14.5">
      <c r="A10915" s="5"/>
      <c r="B10915" s="18"/>
      <c r="C10915" s="85"/>
      <c r="D10915" s="41"/>
      <c r="E10915" s="26" t="str">
        <f ca="1">IFERROR(__xludf.DUMMYFUNCTION("""COMPUTED_VALUE"""),"")</f>
        <v/>
      </c>
      <c r="F10915" s="72"/>
      <c r="G10915" s="72"/>
    </row>
    <row r="10916" spans="1:7" ht="14.5">
      <c r="A10916" s="5"/>
      <c r="B10916" s="18"/>
      <c r="C10916" s="85"/>
      <c r="D10916" s="41"/>
      <c r="E10916" s="26" t="str">
        <f ca="1">IFERROR(__xludf.DUMMYFUNCTION("""COMPUTED_VALUE"""),"")</f>
        <v/>
      </c>
      <c r="F10916" s="72"/>
      <c r="G10916" s="72"/>
    </row>
    <row r="10917" spans="1:7" ht="14.5">
      <c r="A10917" s="5"/>
      <c r="B10917" s="18"/>
      <c r="C10917" s="85"/>
      <c r="D10917" s="41"/>
      <c r="E10917" s="26" t="str">
        <f ca="1">IFERROR(__xludf.DUMMYFUNCTION("""COMPUTED_VALUE"""),"")</f>
        <v/>
      </c>
      <c r="F10917" s="72"/>
      <c r="G10917" s="72"/>
    </row>
    <row r="10918" spans="1:7" ht="14.5">
      <c r="A10918" s="5"/>
      <c r="B10918" s="18"/>
      <c r="C10918" s="85"/>
      <c r="D10918" s="41"/>
      <c r="E10918" s="26" t="str">
        <f ca="1">IFERROR(__xludf.DUMMYFUNCTION("""COMPUTED_VALUE"""),"")</f>
        <v/>
      </c>
      <c r="F10918" s="72"/>
      <c r="G10918" s="72"/>
    </row>
    <row r="10919" spans="1:7" ht="14.5">
      <c r="A10919" s="5"/>
      <c r="B10919" s="18"/>
      <c r="C10919" s="85"/>
      <c r="D10919" s="41"/>
      <c r="E10919" s="26" t="str">
        <f ca="1">IFERROR(__xludf.DUMMYFUNCTION("""COMPUTED_VALUE"""),"")</f>
        <v/>
      </c>
      <c r="F10919" s="72"/>
      <c r="G10919" s="72"/>
    </row>
    <row r="10920" spans="1:7" ht="14.5">
      <c r="A10920" s="5"/>
      <c r="B10920" s="18"/>
      <c r="C10920" s="85"/>
      <c r="D10920" s="41"/>
      <c r="E10920" s="26" t="str">
        <f ca="1">IFERROR(__xludf.DUMMYFUNCTION("""COMPUTED_VALUE"""),"")</f>
        <v/>
      </c>
      <c r="F10920" s="72"/>
      <c r="G10920" s="72"/>
    </row>
    <row r="10921" spans="1:7" ht="14.5">
      <c r="A10921" s="5"/>
      <c r="B10921" s="18"/>
      <c r="C10921" s="85"/>
      <c r="D10921" s="41"/>
      <c r="E10921" s="26" t="str">
        <f ca="1">IFERROR(__xludf.DUMMYFUNCTION("""COMPUTED_VALUE"""),"")</f>
        <v/>
      </c>
      <c r="F10921" s="72"/>
      <c r="G10921" s="72"/>
    </row>
    <row r="10922" spans="1:7" ht="14.5">
      <c r="A10922" s="5"/>
      <c r="B10922" s="18"/>
      <c r="C10922" s="85"/>
      <c r="D10922" s="41"/>
      <c r="E10922" s="26" t="str">
        <f ca="1">IFERROR(__xludf.DUMMYFUNCTION("""COMPUTED_VALUE"""),"")</f>
        <v/>
      </c>
      <c r="F10922" s="72"/>
      <c r="G10922" s="72"/>
    </row>
    <row r="10923" spans="1:7" ht="14.5">
      <c r="A10923" s="5"/>
      <c r="B10923" s="18"/>
      <c r="C10923" s="85"/>
      <c r="D10923" s="41"/>
      <c r="E10923" s="26" t="str">
        <f ca="1">IFERROR(__xludf.DUMMYFUNCTION("""COMPUTED_VALUE"""),"")</f>
        <v/>
      </c>
      <c r="F10923" s="72"/>
      <c r="G10923" s="72"/>
    </row>
    <row r="10924" spans="1:7" ht="14.5">
      <c r="A10924" s="5"/>
      <c r="B10924" s="18"/>
      <c r="C10924" s="85"/>
      <c r="D10924" s="41"/>
      <c r="E10924" s="26" t="str">
        <f ca="1">IFERROR(__xludf.DUMMYFUNCTION("""COMPUTED_VALUE"""),"")</f>
        <v/>
      </c>
      <c r="F10924" s="72"/>
      <c r="G10924" s="72"/>
    </row>
    <row r="10925" spans="1:7" ht="14.5">
      <c r="A10925" s="5"/>
      <c r="B10925" s="18"/>
      <c r="C10925" s="85"/>
      <c r="D10925" s="41"/>
      <c r="E10925" s="26" t="str">
        <f ca="1">IFERROR(__xludf.DUMMYFUNCTION("""COMPUTED_VALUE"""),"")</f>
        <v/>
      </c>
      <c r="F10925" s="72"/>
      <c r="G10925" s="72"/>
    </row>
    <row r="10926" spans="1:7" ht="14.5">
      <c r="A10926" s="5"/>
      <c r="B10926" s="18"/>
      <c r="C10926" s="85"/>
      <c r="D10926" s="41"/>
      <c r="E10926" s="26" t="str">
        <f ca="1">IFERROR(__xludf.DUMMYFUNCTION("""COMPUTED_VALUE"""),"")</f>
        <v/>
      </c>
      <c r="F10926" s="72"/>
      <c r="G10926" s="72"/>
    </row>
    <row r="10927" spans="1:7" ht="14.5">
      <c r="A10927" s="5"/>
      <c r="B10927" s="18"/>
      <c r="C10927" s="85"/>
      <c r="D10927" s="41"/>
      <c r="E10927" s="26" t="str">
        <f ca="1">IFERROR(__xludf.DUMMYFUNCTION("""COMPUTED_VALUE"""),"")</f>
        <v/>
      </c>
      <c r="F10927" s="72"/>
      <c r="G10927" s="72"/>
    </row>
    <row r="10928" spans="1:7" ht="14.5">
      <c r="A10928" s="5"/>
      <c r="B10928" s="18"/>
      <c r="C10928" s="85"/>
      <c r="D10928" s="41"/>
      <c r="E10928" s="26" t="str">
        <f ca="1">IFERROR(__xludf.DUMMYFUNCTION("""COMPUTED_VALUE"""),"")</f>
        <v/>
      </c>
      <c r="F10928" s="72"/>
      <c r="G10928" s="72"/>
    </row>
    <row r="10929" spans="1:7" ht="14.5">
      <c r="A10929" s="5"/>
      <c r="B10929" s="18"/>
      <c r="C10929" s="85"/>
      <c r="D10929" s="41"/>
      <c r="E10929" s="26" t="str">
        <f ca="1">IFERROR(__xludf.DUMMYFUNCTION("""COMPUTED_VALUE"""),"")</f>
        <v/>
      </c>
      <c r="F10929" s="72"/>
      <c r="G10929" s="72"/>
    </row>
    <row r="10930" spans="1:7" ht="14.5">
      <c r="A10930" s="5"/>
      <c r="B10930" s="18"/>
      <c r="C10930" s="85"/>
      <c r="D10930" s="41"/>
      <c r="E10930" s="26" t="str">
        <f ca="1">IFERROR(__xludf.DUMMYFUNCTION("""COMPUTED_VALUE"""),"")</f>
        <v/>
      </c>
      <c r="F10930" s="72"/>
      <c r="G10930" s="72"/>
    </row>
    <row r="10931" spans="1:7" ht="14.5">
      <c r="A10931" s="5"/>
      <c r="B10931" s="18"/>
      <c r="C10931" s="85"/>
      <c r="D10931" s="41"/>
      <c r="E10931" s="26" t="str">
        <f ca="1">IFERROR(__xludf.DUMMYFUNCTION("""COMPUTED_VALUE"""),"")</f>
        <v/>
      </c>
      <c r="F10931" s="72"/>
      <c r="G10931" s="72"/>
    </row>
    <row r="10932" spans="1:7" ht="14.5">
      <c r="A10932" s="5"/>
      <c r="B10932" s="18"/>
      <c r="C10932" s="85"/>
      <c r="D10932" s="41"/>
      <c r="E10932" s="26" t="str">
        <f ca="1">IFERROR(__xludf.DUMMYFUNCTION("""COMPUTED_VALUE"""),"")</f>
        <v/>
      </c>
      <c r="F10932" s="72"/>
      <c r="G10932" s="72"/>
    </row>
    <row r="10933" spans="1:7" ht="14.5">
      <c r="A10933" s="5"/>
      <c r="B10933" s="18"/>
      <c r="C10933" s="85"/>
      <c r="D10933" s="41"/>
      <c r="E10933" s="26" t="str">
        <f ca="1">IFERROR(__xludf.DUMMYFUNCTION("""COMPUTED_VALUE"""),"")</f>
        <v/>
      </c>
      <c r="F10933" s="72"/>
      <c r="G10933" s="72"/>
    </row>
    <row r="10934" spans="1:7" ht="14.5">
      <c r="A10934" s="5"/>
      <c r="B10934" s="18"/>
      <c r="C10934" s="85"/>
      <c r="D10934" s="41"/>
      <c r="E10934" s="26" t="str">
        <f ca="1">IFERROR(__xludf.DUMMYFUNCTION("""COMPUTED_VALUE"""),"")</f>
        <v/>
      </c>
      <c r="F10934" s="72"/>
      <c r="G10934" s="72"/>
    </row>
    <row r="10935" spans="1:7" ht="14.5">
      <c r="A10935" s="5"/>
      <c r="B10935" s="18"/>
      <c r="C10935" s="85"/>
      <c r="D10935" s="41"/>
      <c r="E10935" s="26" t="str">
        <f ca="1">IFERROR(__xludf.DUMMYFUNCTION("""COMPUTED_VALUE"""),"")</f>
        <v/>
      </c>
      <c r="F10935" s="72"/>
      <c r="G10935" s="72"/>
    </row>
    <row r="10936" spans="1:7" ht="14.5">
      <c r="A10936" s="5"/>
      <c r="B10936" s="18"/>
      <c r="C10936" s="85"/>
      <c r="D10936" s="41"/>
      <c r="E10936" s="26" t="str">
        <f ca="1">IFERROR(__xludf.DUMMYFUNCTION("""COMPUTED_VALUE"""),"")</f>
        <v/>
      </c>
      <c r="F10936" s="72"/>
      <c r="G10936" s="72"/>
    </row>
    <row r="10937" spans="1:7" ht="14.5">
      <c r="A10937" s="5"/>
      <c r="B10937" s="18"/>
      <c r="C10937" s="85"/>
      <c r="D10937" s="41"/>
      <c r="E10937" s="26" t="str">
        <f ca="1">IFERROR(__xludf.DUMMYFUNCTION("""COMPUTED_VALUE"""),"")</f>
        <v/>
      </c>
      <c r="F10937" s="72"/>
      <c r="G10937" s="72"/>
    </row>
    <row r="10938" spans="1:7" ht="14.5">
      <c r="A10938" s="5"/>
      <c r="B10938" s="18"/>
      <c r="C10938" s="85"/>
      <c r="D10938" s="41"/>
      <c r="E10938" s="26" t="str">
        <f ca="1">IFERROR(__xludf.DUMMYFUNCTION("""COMPUTED_VALUE"""),"")</f>
        <v/>
      </c>
      <c r="F10938" s="72"/>
      <c r="G10938" s="72"/>
    </row>
    <row r="10939" spans="1:7" ht="14.5">
      <c r="A10939" s="5"/>
      <c r="B10939" s="18"/>
      <c r="C10939" s="85"/>
      <c r="D10939" s="41"/>
      <c r="E10939" s="26" t="str">
        <f ca="1">IFERROR(__xludf.DUMMYFUNCTION("""COMPUTED_VALUE"""),"")</f>
        <v/>
      </c>
      <c r="F10939" s="72"/>
      <c r="G10939" s="72"/>
    </row>
    <row r="10940" spans="1:7" ht="14.5">
      <c r="A10940" s="5"/>
      <c r="B10940" s="18"/>
      <c r="C10940" s="85"/>
      <c r="D10940" s="41"/>
      <c r="E10940" s="26" t="str">
        <f ca="1">IFERROR(__xludf.DUMMYFUNCTION("""COMPUTED_VALUE"""),"")</f>
        <v/>
      </c>
      <c r="F10940" s="72"/>
      <c r="G10940" s="72"/>
    </row>
    <row r="10941" spans="1:7" ht="14.5">
      <c r="A10941" s="5"/>
      <c r="B10941" s="18"/>
      <c r="C10941" s="85"/>
      <c r="D10941" s="41"/>
      <c r="E10941" s="26" t="str">
        <f ca="1">IFERROR(__xludf.DUMMYFUNCTION("""COMPUTED_VALUE"""),"")</f>
        <v/>
      </c>
      <c r="F10941" s="72"/>
      <c r="G10941" s="72"/>
    </row>
    <row r="10942" spans="1:7" ht="14.5">
      <c r="A10942" s="5"/>
      <c r="B10942" s="18"/>
      <c r="C10942" s="85"/>
      <c r="D10942" s="41"/>
      <c r="E10942" s="26" t="str">
        <f ca="1">IFERROR(__xludf.DUMMYFUNCTION("""COMPUTED_VALUE"""),"")</f>
        <v/>
      </c>
      <c r="F10942" s="72"/>
      <c r="G10942" s="72"/>
    </row>
    <row r="10943" spans="1:7" ht="14.5">
      <c r="A10943" s="5"/>
      <c r="B10943" s="18"/>
      <c r="C10943" s="85"/>
      <c r="D10943" s="41"/>
      <c r="E10943" s="26" t="str">
        <f ca="1">IFERROR(__xludf.DUMMYFUNCTION("""COMPUTED_VALUE"""),"")</f>
        <v/>
      </c>
      <c r="F10943" s="72"/>
      <c r="G10943" s="72"/>
    </row>
    <row r="10944" spans="1:7" ht="14.5">
      <c r="A10944" s="5"/>
      <c r="B10944" s="18"/>
      <c r="C10944" s="85"/>
      <c r="D10944" s="41"/>
      <c r="E10944" s="26" t="str">
        <f ca="1">IFERROR(__xludf.DUMMYFUNCTION("""COMPUTED_VALUE"""),"")</f>
        <v/>
      </c>
      <c r="F10944" s="72"/>
      <c r="G10944" s="72"/>
    </row>
    <row r="10945" spans="1:7" ht="14.5">
      <c r="A10945" s="5"/>
      <c r="B10945" s="18"/>
      <c r="C10945" s="85"/>
      <c r="D10945" s="41"/>
      <c r="E10945" s="26" t="str">
        <f ca="1">IFERROR(__xludf.DUMMYFUNCTION("""COMPUTED_VALUE"""),"")</f>
        <v/>
      </c>
      <c r="F10945" s="72"/>
      <c r="G10945" s="72"/>
    </row>
    <row r="10946" spans="1:7" ht="14.5">
      <c r="A10946" s="5"/>
      <c r="B10946" s="18"/>
      <c r="C10946" s="85"/>
      <c r="D10946" s="41"/>
      <c r="E10946" s="26" t="str">
        <f ca="1">IFERROR(__xludf.DUMMYFUNCTION("""COMPUTED_VALUE"""),"")</f>
        <v/>
      </c>
      <c r="F10946" s="72"/>
      <c r="G10946" s="72"/>
    </row>
    <row r="10947" spans="1:7" ht="14.5">
      <c r="A10947" s="5"/>
      <c r="B10947" s="18"/>
      <c r="C10947" s="85"/>
      <c r="D10947" s="41"/>
      <c r="E10947" s="26" t="str">
        <f ca="1">IFERROR(__xludf.DUMMYFUNCTION("""COMPUTED_VALUE"""),"")</f>
        <v/>
      </c>
      <c r="F10947" s="72"/>
      <c r="G10947" s="72"/>
    </row>
    <row r="10948" spans="1:7" ht="14.5">
      <c r="A10948" s="5"/>
      <c r="B10948" s="18"/>
      <c r="C10948" s="85"/>
      <c r="D10948" s="41"/>
      <c r="E10948" s="26" t="str">
        <f ca="1">IFERROR(__xludf.DUMMYFUNCTION("""COMPUTED_VALUE"""),"")</f>
        <v/>
      </c>
      <c r="F10948" s="72"/>
      <c r="G10948" s="72"/>
    </row>
    <row r="10949" spans="1:7" ht="14.5">
      <c r="A10949" s="5"/>
      <c r="B10949" s="18"/>
      <c r="C10949" s="85"/>
      <c r="D10949" s="41"/>
      <c r="E10949" s="26" t="str">
        <f ca="1">IFERROR(__xludf.DUMMYFUNCTION("""COMPUTED_VALUE"""),"")</f>
        <v/>
      </c>
      <c r="F10949" s="72"/>
      <c r="G10949" s="72"/>
    </row>
    <row r="10950" spans="1:7" ht="14.5">
      <c r="A10950" s="5"/>
      <c r="B10950" s="18"/>
      <c r="C10950" s="85"/>
      <c r="D10950" s="41"/>
      <c r="E10950" s="26" t="str">
        <f ca="1">IFERROR(__xludf.DUMMYFUNCTION("""COMPUTED_VALUE"""),"")</f>
        <v/>
      </c>
      <c r="F10950" s="72"/>
      <c r="G10950" s="72"/>
    </row>
    <row r="10951" spans="1:7" ht="14.5">
      <c r="A10951" s="5"/>
      <c r="B10951" s="18"/>
      <c r="C10951" s="85"/>
      <c r="D10951" s="41"/>
      <c r="E10951" s="26" t="str">
        <f ca="1">IFERROR(__xludf.DUMMYFUNCTION("""COMPUTED_VALUE"""),"")</f>
        <v/>
      </c>
      <c r="F10951" s="72"/>
      <c r="G10951" s="72"/>
    </row>
    <row r="10952" spans="1:7" ht="14.5">
      <c r="A10952" s="5"/>
      <c r="B10952" s="18"/>
      <c r="C10952" s="85"/>
      <c r="D10952" s="41"/>
      <c r="E10952" s="26" t="str">
        <f ca="1">IFERROR(__xludf.DUMMYFUNCTION("""COMPUTED_VALUE"""),"")</f>
        <v/>
      </c>
      <c r="F10952" s="72"/>
      <c r="G10952" s="72"/>
    </row>
    <row r="10953" spans="1:7" ht="14.5">
      <c r="A10953" s="5"/>
      <c r="B10953" s="18"/>
      <c r="C10953" s="85"/>
      <c r="D10953" s="41"/>
      <c r="E10953" s="26" t="str">
        <f ca="1">IFERROR(__xludf.DUMMYFUNCTION("""COMPUTED_VALUE"""),"")</f>
        <v/>
      </c>
      <c r="F10953" s="72"/>
      <c r="G10953" s="72"/>
    </row>
    <row r="10954" spans="1:7" ht="14.5">
      <c r="A10954" s="5"/>
      <c r="B10954" s="18"/>
      <c r="C10954" s="85"/>
      <c r="D10954" s="41"/>
      <c r="E10954" s="26" t="str">
        <f ca="1">IFERROR(__xludf.DUMMYFUNCTION("""COMPUTED_VALUE"""),"")</f>
        <v/>
      </c>
      <c r="F10954" s="72"/>
      <c r="G10954" s="72"/>
    </row>
    <row r="10955" spans="1:7" ht="14.5">
      <c r="A10955" s="5"/>
      <c r="B10955" s="18"/>
      <c r="C10955" s="85"/>
      <c r="D10955" s="41"/>
      <c r="E10955" s="26" t="str">
        <f ca="1">IFERROR(__xludf.DUMMYFUNCTION("""COMPUTED_VALUE"""),"")</f>
        <v/>
      </c>
      <c r="F10955" s="72"/>
      <c r="G10955" s="72"/>
    </row>
    <row r="10956" spans="1:7" ht="14.5">
      <c r="A10956" s="5"/>
      <c r="B10956" s="18"/>
      <c r="C10956" s="85"/>
      <c r="D10956" s="41"/>
      <c r="E10956" s="26" t="str">
        <f ca="1">IFERROR(__xludf.DUMMYFUNCTION("""COMPUTED_VALUE"""),"")</f>
        <v/>
      </c>
      <c r="F10956" s="72"/>
      <c r="G10956" s="72"/>
    </row>
    <row r="10957" spans="1:7" ht="14.5">
      <c r="A10957" s="5"/>
      <c r="B10957" s="18"/>
      <c r="C10957" s="85"/>
      <c r="D10957" s="41"/>
      <c r="E10957" s="26" t="str">
        <f ca="1">IFERROR(__xludf.DUMMYFUNCTION("""COMPUTED_VALUE"""),"")</f>
        <v/>
      </c>
      <c r="F10957" s="72"/>
      <c r="G10957" s="72"/>
    </row>
    <row r="10958" spans="1:7" ht="14.5">
      <c r="A10958" s="5"/>
      <c r="B10958" s="18"/>
      <c r="C10958" s="85"/>
      <c r="D10958" s="41"/>
      <c r="E10958" s="26" t="str">
        <f ca="1">IFERROR(__xludf.DUMMYFUNCTION("""COMPUTED_VALUE"""),"")</f>
        <v/>
      </c>
      <c r="F10958" s="72"/>
      <c r="G10958" s="72"/>
    </row>
    <row r="10959" spans="1:7" ht="14.5">
      <c r="A10959" s="5"/>
      <c r="B10959" s="18"/>
      <c r="C10959" s="85"/>
      <c r="D10959" s="41"/>
      <c r="E10959" s="26" t="str">
        <f ca="1">IFERROR(__xludf.DUMMYFUNCTION("""COMPUTED_VALUE"""),"")</f>
        <v/>
      </c>
      <c r="F10959" s="72"/>
      <c r="G10959" s="72"/>
    </row>
    <row r="10960" spans="1:7" ht="14.5">
      <c r="A10960" s="5"/>
      <c r="B10960" s="18"/>
      <c r="C10960" s="85"/>
      <c r="D10960" s="41"/>
      <c r="E10960" s="26" t="str">
        <f ca="1">IFERROR(__xludf.DUMMYFUNCTION("""COMPUTED_VALUE"""),"")</f>
        <v/>
      </c>
      <c r="F10960" s="72"/>
      <c r="G10960" s="72"/>
    </row>
    <row r="10961" spans="1:7" ht="14.5">
      <c r="A10961" s="5"/>
      <c r="B10961" s="18"/>
      <c r="C10961" s="85"/>
      <c r="D10961" s="41"/>
      <c r="E10961" s="26" t="str">
        <f ca="1">IFERROR(__xludf.DUMMYFUNCTION("""COMPUTED_VALUE"""),"")</f>
        <v/>
      </c>
      <c r="F10961" s="72"/>
      <c r="G10961" s="72"/>
    </row>
    <row r="10962" spans="1:7" ht="14.5">
      <c r="A10962" s="5"/>
      <c r="B10962" s="18"/>
      <c r="C10962" s="85"/>
      <c r="D10962" s="41"/>
      <c r="E10962" s="26" t="str">
        <f ca="1">IFERROR(__xludf.DUMMYFUNCTION("""COMPUTED_VALUE"""),"")</f>
        <v/>
      </c>
      <c r="F10962" s="72"/>
      <c r="G10962" s="72"/>
    </row>
    <row r="10963" spans="1:7" ht="14.5">
      <c r="A10963" s="5"/>
      <c r="B10963" s="18"/>
      <c r="C10963" s="85"/>
      <c r="D10963" s="41"/>
      <c r="E10963" s="26" t="str">
        <f ca="1">IFERROR(__xludf.DUMMYFUNCTION("""COMPUTED_VALUE"""),"")</f>
        <v/>
      </c>
      <c r="F10963" s="72"/>
      <c r="G10963" s="72"/>
    </row>
    <row r="10964" spans="1:7" ht="14.5">
      <c r="A10964" s="5"/>
      <c r="B10964" s="18"/>
      <c r="C10964" s="85"/>
      <c r="D10964" s="41"/>
      <c r="E10964" s="26" t="str">
        <f ca="1">IFERROR(__xludf.DUMMYFUNCTION("""COMPUTED_VALUE"""),"")</f>
        <v/>
      </c>
      <c r="F10964" s="72"/>
      <c r="G10964" s="72"/>
    </row>
    <row r="10965" spans="1:7" ht="14.5">
      <c r="A10965" s="5"/>
      <c r="B10965" s="18"/>
      <c r="C10965" s="85"/>
      <c r="D10965" s="41"/>
      <c r="E10965" s="26" t="str">
        <f ca="1">IFERROR(__xludf.DUMMYFUNCTION("""COMPUTED_VALUE"""),"")</f>
        <v/>
      </c>
      <c r="F10965" s="72"/>
      <c r="G10965" s="72"/>
    </row>
    <row r="10966" spans="1:7" ht="14.5">
      <c r="A10966" s="5"/>
      <c r="B10966" s="18"/>
      <c r="C10966" s="85"/>
      <c r="D10966" s="41"/>
      <c r="E10966" s="26" t="str">
        <f ca="1">IFERROR(__xludf.DUMMYFUNCTION("""COMPUTED_VALUE"""),"")</f>
        <v/>
      </c>
      <c r="F10966" s="72"/>
      <c r="G10966" s="72"/>
    </row>
    <row r="10967" spans="1:7" ht="14.5">
      <c r="A10967" s="5"/>
      <c r="B10967" s="18"/>
      <c r="C10967" s="85"/>
      <c r="D10967" s="41"/>
      <c r="E10967" s="26" t="str">
        <f ca="1">IFERROR(__xludf.DUMMYFUNCTION("""COMPUTED_VALUE"""),"")</f>
        <v/>
      </c>
      <c r="F10967" s="72"/>
      <c r="G10967" s="72"/>
    </row>
    <row r="10968" spans="1:7" ht="14.5">
      <c r="A10968" s="5"/>
      <c r="B10968" s="18"/>
      <c r="C10968" s="85"/>
      <c r="D10968" s="41"/>
      <c r="E10968" s="26" t="str">
        <f ca="1">IFERROR(__xludf.DUMMYFUNCTION("""COMPUTED_VALUE"""),"")</f>
        <v/>
      </c>
      <c r="F10968" s="72"/>
      <c r="G10968" s="72"/>
    </row>
    <row r="10969" spans="1:7" ht="14.5">
      <c r="A10969" s="5"/>
      <c r="B10969" s="18"/>
      <c r="C10969" s="85"/>
      <c r="D10969" s="41"/>
      <c r="E10969" s="26" t="str">
        <f ca="1">IFERROR(__xludf.DUMMYFUNCTION("""COMPUTED_VALUE"""),"")</f>
        <v/>
      </c>
      <c r="F10969" s="72"/>
      <c r="G10969" s="72"/>
    </row>
    <row r="10970" spans="1:7" ht="14.5">
      <c r="A10970" s="5"/>
      <c r="B10970" s="18"/>
      <c r="C10970" s="85"/>
      <c r="D10970" s="41"/>
      <c r="E10970" s="26" t="str">
        <f ca="1">IFERROR(__xludf.DUMMYFUNCTION("""COMPUTED_VALUE"""),"")</f>
        <v/>
      </c>
      <c r="F10970" s="72"/>
      <c r="G10970" s="72"/>
    </row>
    <row r="10971" spans="1:7" ht="14.5">
      <c r="A10971" s="5"/>
      <c r="B10971" s="18"/>
      <c r="C10971" s="85"/>
      <c r="D10971" s="41"/>
      <c r="E10971" s="26" t="str">
        <f ca="1">IFERROR(__xludf.DUMMYFUNCTION("""COMPUTED_VALUE"""),"")</f>
        <v/>
      </c>
      <c r="F10971" s="72"/>
      <c r="G10971" s="72"/>
    </row>
    <row r="10972" spans="1:7" ht="14.5">
      <c r="A10972" s="5"/>
      <c r="B10972" s="18"/>
      <c r="C10972" s="85"/>
      <c r="D10972" s="41"/>
      <c r="E10972" s="26" t="str">
        <f ca="1">IFERROR(__xludf.DUMMYFUNCTION("""COMPUTED_VALUE"""),"")</f>
        <v/>
      </c>
      <c r="F10972" s="72"/>
      <c r="G10972" s="72"/>
    </row>
    <row r="10973" spans="1:7" ht="14.5">
      <c r="A10973" s="5"/>
      <c r="B10973" s="18"/>
      <c r="C10973" s="85"/>
      <c r="D10973" s="41"/>
      <c r="E10973" s="26" t="str">
        <f ca="1">IFERROR(__xludf.DUMMYFUNCTION("""COMPUTED_VALUE"""),"")</f>
        <v/>
      </c>
      <c r="F10973" s="72"/>
      <c r="G10973" s="72"/>
    </row>
    <row r="10974" spans="1:7" ht="14.5">
      <c r="A10974" s="5"/>
      <c r="B10974" s="18"/>
      <c r="C10974" s="85"/>
      <c r="D10974" s="41"/>
      <c r="E10974" s="26" t="str">
        <f ca="1">IFERROR(__xludf.DUMMYFUNCTION("""COMPUTED_VALUE"""),"")</f>
        <v/>
      </c>
      <c r="F10974" s="72"/>
      <c r="G10974" s="72"/>
    </row>
    <row r="10975" spans="1:7" ht="14.5">
      <c r="A10975" s="5"/>
      <c r="B10975" s="18"/>
      <c r="C10975" s="85"/>
      <c r="D10975" s="41"/>
      <c r="E10975" s="26" t="str">
        <f ca="1">IFERROR(__xludf.DUMMYFUNCTION("""COMPUTED_VALUE"""),"")</f>
        <v/>
      </c>
      <c r="F10975" s="72"/>
      <c r="G10975" s="72"/>
    </row>
    <row r="10976" spans="1:7" ht="14.5">
      <c r="A10976" s="5"/>
      <c r="B10976" s="18"/>
      <c r="C10976" s="85"/>
      <c r="D10976" s="41"/>
      <c r="E10976" s="26" t="str">
        <f ca="1">IFERROR(__xludf.DUMMYFUNCTION("""COMPUTED_VALUE"""),"")</f>
        <v/>
      </c>
      <c r="F10976" s="72"/>
      <c r="G10976" s="72"/>
    </row>
    <row r="10977" spans="1:7" ht="14.5">
      <c r="A10977" s="5"/>
      <c r="B10977" s="18"/>
      <c r="C10977" s="85"/>
      <c r="D10977" s="41"/>
      <c r="E10977" s="26" t="str">
        <f ca="1">IFERROR(__xludf.DUMMYFUNCTION("""COMPUTED_VALUE"""),"")</f>
        <v/>
      </c>
      <c r="F10977" s="72"/>
      <c r="G10977" s="72"/>
    </row>
    <row r="10978" spans="1:7" ht="14.5">
      <c r="A10978" s="5"/>
      <c r="B10978" s="18"/>
      <c r="C10978" s="85"/>
      <c r="D10978" s="41"/>
      <c r="E10978" s="26" t="str">
        <f ca="1">IFERROR(__xludf.DUMMYFUNCTION("""COMPUTED_VALUE"""),"")</f>
        <v/>
      </c>
      <c r="F10978" s="72"/>
      <c r="G10978" s="72"/>
    </row>
    <row r="10979" spans="1:7" ht="14.5">
      <c r="A10979" s="5"/>
      <c r="B10979" s="18"/>
      <c r="C10979" s="85"/>
      <c r="D10979" s="41"/>
      <c r="E10979" s="26" t="str">
        <f ca="1">IFERROR(__xludf.DUMMYFUNCTION("""COMPUTED_VALUE"""),"")</f>
        <v/>
      </c>
      <c r="F10979" s="72"/>
      <c r="G10979" s="72"/>
    </row>
    <row r="10980" spans="1:7" ht="14.5">
      <c r="A10980" s="5"/>
      <c r="B10980" s="18"/>
      <c r="C10980" s="85"/>
      <c r="D10980" s="41"/>
      <c r="E10980" s="26" t="str">
        <f ca="1">IFERROR(__xludf.DUMMYFUNCTION("""COMPUTED_VALUE"""),"")</f>
        <v/>
      </c>
      <c r="F10980" s="72"/>
      <c r="G10980" s="72"/>
    </row>
    <row r="10981" spans="1:7" ht="14.5">
      <c r="A10981" s="5"/>
      <c r="B10981" s="18"/>
      <c r="C10981" s="85"/>
      <c r="D10981" s="41"/>
      <c r="E10981" s="26" t="str">
        <f ca="1">IFERROR(__xludf.DUMMYFUNCTION("""COMPUTED_VALUE"""),"")</f>
        <v/>
      </c>
      <c r="F10981" s="72"/>
      <c r="G10981" s="72"/>
    </row>
    <row r="10982" spans="1:7" ht="14.5">
      <c r="A10982" s="5"/>
      <c r="B10982" s="18"/>
      <c r="C10982" s="85"/>
      <c r="D10982" s="41"/>
      <c r="E10982" s="26" t="str">
        <f ca="1">IFERROR(__xludf.DUMMYFUNCTION("""COMPUTED_VALUE"""),"")</f>
        <v/>
      </c>
      <c r="F10982" s="72"/>
      <c r="G10982" s="72"/>
    </row>
    <row r="10983" spans="1:7" ht="14.5">
      <c r="A10983" s="5"/>
      <c r="B10983" s="18"/>
      <c r="C10983" s="85"/>
      <c r="D10983" s="41"/>
      <c r="E10983" s="26" t="str">
        <f ca="1">IFERROR(__xludf.DUMMYFUNCTION("""COMPUTED_VALUE"""),"")</f>
        <v/>
      </c>
      <c r="F10983" s="72"/>
      <c r="G10983" s="72"/>
    </row>
    <row r="10984" spans="1:7" ht="14.5">
      <c r="A10984" s="5"/>
      <c r="B10984" s="18"/>
      <c r="C10984" s="85"/>
      <c r="D10984" s="41"/>
      <c r="E10984" s="26" t="str">
        <f ca="1">IFERROR(__xludf.DUMMYFUNCTION("""COMPUTED_VALUE"""),"")</f>
        <v/>
      </c>
      <c r="F10984" s="72"/>
      <c r="G10984" s="72"/>
    </row>
    <row r="10985" spans="1:7" ht="14.5">
      <c r="A10985" s="5"/>
      <c r="B10985" s="18"/>
      <c r="C10985" s="85"/>
      <c r="D10985" s="41"/>
      <c r="E10985" s="26" t="str">
        <f ca="1">IFERROR(__xludf.DUMMYFUNCTION("""COMPUTED_VALUE"""),"")</f>
        <v/>
      </c>
      <c r="F10985" s="72"/>
      <c r="G10985" s="72"/>
    </row>
    <row r="10986" spans="1:7" ht="14.5">
      <c r="A10986" s="5"/>
      <c r="B10986" s="18"/>
      <c r="C10986" s="85"/>
      <c r="D10986" s="41"/>
      <c r="E10986" s="26" t="str">
        <f ca="1">IFERROR(__xludf.DUMMYFUNCTION("""COMPUTED_VALUE"""),"")</f>
        <v/>
      </c>
      <c r="F10986" s="72"/>
      <c r="G10986" s="72"/>
    </row>
    <row r="10987" spans="1:7" ht="14.5">
      <c r="A10987" s="5"/>
      <c r="B10987" s="18"/>
      <c r="C10987" s="85"/>
      <c r="D10987" s="41"/>
      <c r="E10987" s="26" t="str">
        <f ca="1">IFERROR(__xludf.DUMMYFUNCTION("""COMPUTED_VALUE"""),"")</f>
        <v/>
      </c>
      <c r="F10987" s="72"/>
      <c r="G10987" s="72"/>
    </row>
    <row r="10988" spans="1:7" ht="14.5">
      <c r="A10988" s="5"/>
      <c r="B10988" s="18"/>
      <c r="C10988" s="85"/>
      <c r="D10988" s="41"/>
      <c r="E10988" s="26" t="str">
        <f ca="1">IFERROR(__xludf.DUMMYFUNCTION("""COMPUTED_VALUE"""),"")</f>
        <v/>
      </c>
      <c r="F10988" s="72"/>
      <c r="G10988" s="72"/>
    </row>
    <row r="10989" spans="1:7" ht="14.5">
      <c r="A10989" s="5"/>
      <c r="B10989" s="18"/>
      <c r="C10989" s="85"/>
      <c r="D10989" s="41"/>
      <c r="E10989" s="26" t="str">
        <f ca="1">IFERROR(__xludf.DUMMYFUNCTION("""COMPUTED_VALUE"""),"")</f>
        <v/>
      </c>
      <c r="F10989" s="72"/>
      <c r="G10989" s="72"/>
    </row>
    <row r="10990" spans="1:7" ht="14.5">
      <c r="A10990" s="5"/>
      <c r="B10990" s="18"/>
      <c r="C10990" s="85"/>
      <c r="D10990" s="41"/>
      <c r="E10990" s="26" t="str">
        <f ca="1">IFERROR(__xludf.DUMMYFUNCTION("""COMPUTED_VALUE"""),"")</f>
        <v/>
      </c>
      <c r="F10990" s="72"/>
      <c r="G10990" s="72"/>
    </row>
    <row r="10991" spans="1:7" ht="14.5">
      <c r="A10991" s="5"/>
      <c r="B10991" s="18"/>
      <c r="C10991" s="85"/>
      <c r="D10991" s="41"/>
      <c r="E10991" s="26" t="str">
        <f ca="1">IFERROR(__xludf.DUMMYFUNCTION("""COMPUTED_VALUE"""),"")</f>
        <v/>
      </c>
      <c r="F10991" s="72"/>
      <c r="G10991" s="72"/>
    </row>
    <row r="10992" spans="1:7" ht="14.5">
      <c r="A10992" s="5"/>
      <c r="B10992" s="18"/>
      <c r="C10992" s="85"/>
      <c r="D10992" s="41"/>
      <c r="E10992" s="26" t="str">
        <f ca="1">IFERROR(__xludf.DUMMYFUNCTION("""COMPUTED_VALUE"""),"")</f>
        <v/>
      </c>
      <c r="F10992" s="72"/>
      <c r="G10992" s="72"/>
    </row>
    <row r="10993" spans="1:7" ht="14.5">
      <c r="A10993" s="5"/>
      <c r="B10993" s="18"/>
      <c r="C10993" s="85"/>
      <c r="D10993" s="41"/>
      <c r="E10993" s="26" t="str">
        <f ca="1">IFERROR(__xludf.DUMMYFUNCTION("""COMPUTED_VALUE"""),"")</f>
        <v/>
      </c>
      <c r="F10993" s="72"/>
      <c r="G10993" s="72"/>
    </row>
    <row r="10994" spans="1:7" ht="14.5">
      <c r="A10994" s="5"/>
      <c r="B10994" s="18"/>
      <c r="C10994" s="85"/>
      <c r="D10994" s="41"/>
      <c r="E10994" s="26" t="str">
        <f ca="1">IFERROR(__xludf.DUMMYFUNCTION("""COMPUTED_VALUE"""),"")</f>
        <v/>
      </c>
      <c r="F10994" s="72"/>
      <c r="G10994" s="72"/>
    </row>
    <row r="10995" spans="1:7" ht="14.5">
      <c r="A10995" s="5"/>
      <c r="B10995" s="18"/>
      <c r="C10995" s="85"/>
      <c r="D10995" s="41"/>
      <c r="E10995" s="26" t="str">
        <f ca="1">IFERROR(__xludf.DUMMYFUNCTION("""COMPUTED_VALUE"""),"")</f>
        <v/>
      </c>
      <c r="F10995" s="72"/>
      <c r="G10995" s="72"/>
    </row>
    <row r="10996" spans="1:7" ht="14.5">
      <c r="A10996" s="5"/>
      <c r="B10996" s="18"/>
      <c r="C10996" s="85"/>
      <c r="D10996" s="41"/>
      <c r="E10996" s="26" t="str">
        <f ca="1">IFERROR(__xludf.DUMMYFUNCTION("""COMPUTED_VALUE"""),"")</f>
        <v/>
      </c>
      <c r="F10996" s="72"/>
      <c r="G10996" s="72"/>
    </row>
    <row r="10997" spans="1:7" ht="14.5">
      <c r="A10997" s="5"/>
      <c r="B10997" s="18"/>
      <c r="C10997" s="85"/>
      <c r="D10997" s="41"/>
      <c r="E10997" s="26" t="str">
        <f ca="1">IFERROR(__xludf.DUMMYFUNCTION("""COMPUTED_VALUE"""),"")</f>
        <v/>
      </c>
      <c r="F10997" s="72"/>
      <c r="G10997" s="72"/>
    </row>
    <row r="10998" spans="1:7" ht="14.5">
      <c r="A10998" s="5"/>
      <c r="B10998" s="18"/>
      <c r="C10998" s="85"/>
      <c r="D10998" s="41"/>
      <c r="E10998" s="26" t="str">
        <f ca="1">IFERROR(__xludf.DUMMYFUNCTION("""COMPUTED_VALUE"""),"")</f>
        <v/>
      </c>
      <c r="F10998" s="72"/>
      <c r="G10998" s="72"/>
    </row>
    <row r="10999" spans="1:7" ht="14.5">
      <c r="A10999" s="5"/>
      <c r="B10999" s="18"/>
      <c r="C10999" s="85"/>
      <c r="D10999" s="41"/>
      <c r="E10999" s="26" t="str">
        <f ca="1">IFERROR(__xludf.DUMMYFUNCTION("""COMPUTED_VALUE"""),"")</f>
        <v/>
      </c>
      <c r="F10999" s="72"/>
      <c r="G10999" s="72"/>
    </row>
    <row r="11000" spans="1:7" ht="14.5">
      <c r="A11000" s="5"/>
      <c r="B11000" s="18"/>
      <c r="C11000" s="85"/>
      <c r="D11000" s="41"/>
      <c r="E11000" s="26" t="str">
        <f ca="1">IFERROR(__xludf.DUMMYFUNCTION("""COMPUTED_VALUE"""),"")</f>
        <v/>
      </c>
      <c r="F11000" s="72"/>
      <c r="G11000" s="72"/>
    </row>
    <row r="11001" spans="1:7" ht="14.5">
      <c r="A11001" s="5"/>
      <c r="B11001" s="18"/>
      <c r="C11001" s="85"/>
      <c r="D11001" s="41"/>
      <c r="E11001" s="26" t="str">
        <f ca="1">IFERROR(__xludf.DUMMYFUNCTION("""COMPUTED_VALUE"""),"")</f>
        <v/>
      </c>
      <c r="F11001" s="72"/>
      <c r="G11001" s="72"/>
    </row>
    <row r="11002" spans="1:7" ht="14.5">
      <c r="A11002" s="5"/>
      <c r="B11002" s="18"/>
      <c r="C11002" s="85"/>
      <c r="D11002" s="41"/>
      <c r="E11002" s="26" t="str">
        <f ca="1">IFERROR(__xludf.DUMMYFUNCTION("""COMPUTED_VALUE"""),"")</f>
        <v/>
      </c>
      <c r="F11002" s="72"/>
      <c r="G11002" s="72"/>
    </row>
    <row r="11003" spans="1:7" ht="14.5">
      <c r="A11003" s="5"/>
      <c r="B11003" s="18"/>
      <c r="C11003" s="85"/>
      <c r="D11003" s="41"/>
      <c r="E11003" s="26" t="str">
        <f ca="1">IFERROR(__xludf.DUMMYFUNCTION("""COMPUTED_VALUE"""),"")</f>
        <v/>
      </c>
      <c r="F11003" s="72"/>
      <c r="G11003" s="72"/>
    </row>
    <row r="11004" spans="1:7" ht="14.5">
      <c r="A11004" s="5"/>
      <c r="B11004" s="18"/>
      <c r="C11004" s="85"/>
      <c r="D11004" s="41"/>
      <c r="E11004" s="26" t="str">
        <f ca="1">IFERROR(__xludf.DUMMYFUNCTION("""COMPUTED_VALUE"""),"")</f>
        <v/>
      </c>
      <c r="F11004" s="72"/>
      <c r="G11004" s="72"/>
    </row>
    <row r="11005" spans="1:7" ht="14.5">
      <c r="A11005" s="5"/>
      <c r="B11005" s="18"/>
      <c r="C11005" s="85"/>
      <c r="D11005" s="41"/>
      <c r="E11005" s="26" t="str">
        <f ca="1">IFERROR(__xludf.DUMMYFUNCTION("""COMPUTED_VALUE"""),"")</f>
        <v/>
      </c>
      <c r="F11005" s="72"/>
      <c r="G11005" s="72"/>
    </row>
    <row r="11006" spans="1:7" ht="14.5">
      <c r="A11006" s="5"/>
      <c r="B11006" s="18"/>
      <c r="C11006" s="85"/>
      <c r="D11006" s="41"/>
      <c r="E11006" s="26" t="str">
        <f ca="1">IFERROR(__xludf.DUMMYFUNCTION("""COMPUTED_VALUE"""),"")</f>
        <v/>
      </c>
      <c r="F11006" s="72"/>
      <c r="G11006" s="72"/>
    </row>
    <row r="11007" spans="1:7" ht="14.5">
      <c r="A11007" s="5"/>
      <c r="B11007" s="18"/>
      <c r="C11007" s="85"/>
      <c r="D11007" s="41"/>
      <c r="E11007" s="26" t="str">
        <f ca="1">IFERROR(__xludf.DUMMYFUNCTION("""COMPUTED_VALUE"""),"")</f>
        <v/>
      </c>
      <c r="F11007" s="72"/>
      <c r="G11007" s="72"/>
    </row>
    <row r="11008" spans="1:7" ht="14.5">
      <c r="A11008" s="5"/>
      <c r="B11008" s="18"/>
      <c r="C11008" s="85"/>
      <c r="D11008" s="41"/>
      <c r="E11008" s="26" t="str">
        <f ca="1">IFERROR(__xludf.DUMMYFUNCTION("""COMPUTED_VALUE"""),"")</f>
        <v/>
      </c>
      <c r="F11008" s="72"/>
      <c r="G11008" s="72"/>
    </row>
    <row r="11009" spans="1:7" ht="14.5">
      <c r="A11009" s="5"/>
      <c r="B11009" s="18"/>
      <c r="C11009" s="85"/>
      <c r="D11009" s="41"/>
      <c r="E11009" s="26" t="str">
        <f ca="1">IFERROR(__xludf.DUMMYFUNCTION("""COMPUTED_VALUE"""),"")</f>
        <v/>
      </c>
      <c r="F11009" s="72"/>
      <c r="G11009" s="72"/>
    </row>
    <row r="11010" spans="1:7" ht="14.5">
      <c r="A11010" s="5"/>
      <c r="B11010" s="18"/>
      <c r="C11010" s="85"/>
      <c r="D11010" s="41"/>
      <c r="E11010" s="26" t="str">
        <f ca="1">IFERROR(__xludf.DUMMYFUNCTION("""COMPUTED_VALUE"""),"")</f>
        <v/>
      </c>
      <c r="F11010" s="72"/>
      <c r="G11010" s="72"/>
    </row>
    <row r="11011" spans="1:7" ht="14.5">
      <c r="A11011" s="5"/>
      <c r="B11011" s="18"/>
      <c r="C11011" s="85"/>
      <c r="D11011" s="41"/>
      <c r="E11011" s="26" t="str">
        <f ca="1">IFERROR(__xludf.DUMMYFUNCTION("""COMPUTED_VALUE"""),"")</f>
        <v/>
      </c>
      <c r="F11011" s="72"/>
      <c r="G11011" s="72"/>
    </row>
    <row r="11012" spans="1:7" ht="14.5">
      <c r="A11012" s="5"/>
      <c r="B11012" s="18"/>
      <c r="C11012" s="85"/>
      <c r="D11012" s="41"/>
      <c r="E11012" s="26" t="str">
        <f ca="1">IFERROR(__xludf.DUMMYFUNCTION("""COMPUTED_VALUE"""),"")</f>
        <v/>
      </c>
      <c r="F11012" s="72"/>
      <c r="G11012" s="72"/>
    </row>
    <row r="11013" spans="1:7" ht="14.5">
      <c r="A11013" s="5"/>
      <c r="B11013" s="18"/>
      <c r="C11013" s="85"/>
      <c r="D11013" s="41"/>
      <c r="E11013" s="26" t="str">
        <f ca="1">IFERROR(__xludf.DUMMYFUNCTION("""COMPUTED_VALUE"""),"")</f>
        <v/>
      </c>
      <c r="F11013" s="72"/>
      <c r="G11013" s="72"/>
    </row>
    <row r="11014" spans="1:7" ht="14.5">
      <c r="A11014" s="5"/>
      <c r="B11014" s="18"/>
      <c r="C11014" s="85"/>
      <c r="D11014" s="41"/>
      <c r="E11014" s="26" t="str">
        <f ca="1">IFERROR(__xludf.DUMMYFUNCTION("""COMPUTED_VALUE"""),"")</f>
        <v/>
      </c>
      <c r="F11014" s="72"/>
      <c r="G11014" s="72"/>
    </row>
    <row r="11015" spans="1:7" ht="14.5">
      <c r="A11015" s="5"/>
      <c r="B11015" s="18"/>
      <c r="C11015" s="85"/>
      <c r="D11015" s="41"/>
      <c r="E11015" s="26" t="str">
        <f ca="1">IFERROR(__xludf.DUMMYFUNCTION("""COMPUTED_VALUE"""),"")</f>
        <v/>
      </c>
      <c r="F11015" s="72"/>
      <c r="G11015" s="72"/>
    </row>
    <row r="11016" spans="1:7" ht="14.5">
      <c r="A11016" s="5"/>
      <c r="B11016" s="18"/>
      <c r="C11016" s="85"/>
      <c r="D11016" s="41"/>
      <c r="E11016" s="26" t="str">
        <f ca="1">IFERROR(__xludf.DUMMYFUNCTION("""COMPUTED_VALUE"""),"")</f>
        <v/>
      </c>
      <c r="F11016" s="72"/>
      <c r="G11016" s="72"/>
    </row>
    <row r="11017" spans="1:7" ht="14.5">
      <c r="A11017" s="5"/>
      <c r="B11017" s="18"/>
      <c r="C11017" s="85"/>
      <c r="D11017" s="41"/>
      <c r="E11017" s="26" t="str">
        <f ca="1">IFERROR(__xludf.DUMMYFUNCTION("""COMPUTED_VALUE"""),"")</f>
        <v/>
      </c>
      <c r="F11017" s="72"/>
      <c r="G11017" s="72"/>
    </row>
    <row r="11018" spans="1:7" ht="14.5">
      <c r="A11018" s="5"/>
      <c r="B11018" s="18"/>
      <c r="C11018" s="85"/>
      <c r="D11018" s="41"/>
      <c r="E11018" s="26" t="str">
        <f ca="1">IFERROR(__xludf.DUMMYFUNCTION("""COMPUTED_VALUE"""),"")</f>
        <v/>
      </c>
      <c r="F11018" s="72"/>
      <c r="G11018" s="72"/>
    </row>
    <row r="11019" spans="1:7" ht="14.5">
      <c r="A11019" s="5"/>
      <c r="B11019" s="18"/>
      <c r="C11019" s="85"/>
      <c r="D11019" s="41"/>
      <c r="E11019" s="26" t="str">
        <f ca="1">IFERROR(__xludf.DUMMYFUNCTION("""COMPUTED_VALUE"""),"")</f>
        <v/>
      </c>
      <c r="F11019" s="72"/>
      <c r="G11019" s="72"/>
    </row>
    <row r="11020" spans="1:7" ht="14.5">
      <c r="A11020" s="5"/>
      <c r="B11020" s="18"/>
      <c r="C11020" s="85"/>
      <c r="D11020" s="41"/>
      <c r="E11020" s="26" t="str">
        <f ca="1">IFERROR(__xludf.DUMMYFUNCTION("""COMPUTED_VALUE"""),"")</f>
        <v/>
      </c>
      <c r="F11020" s="72"/>
      <c r="G11020" s="72"/>
    </row>
    <row r="11021" spans="1:7" ht="14.5">
      <c r="A11021" s="5"/>
      <c r="B11021" s="18"/>
      <c r="C11021" s="85"/>
      <c r="D11021" s="41"/>
      <c r="E11021" s="26" t="str">
        <f ca="1">IFERROR(__xludf.DUMMYFUNCTION("""COMPUTED_VALUE"""),"")</f>
        <v/>
      </c>
      <c r="F11021" s="72"/>
      <c r="G11021" s="72"/>
    </row>
    <row r="11022" spans="1:7" ht="14.5">
      <c r="A11022" s="5"/>
      <c r="B11022" s="18"/>
      <c r="C11022" s="85"/>
      <c r="D11022" s="41"/>
      <c r="E11022" s="26" t="str">
        <f ca="1">IFERROR(__xludf.DUMMYFUNCTION("""COMPUTED_VALUE"""),"")</f>
        <v/>
      </c>
      <c r="F11022" s="72"/>
      <c r="G11022" s="72"/>
    </row>
    <row r="11023" spans="1:7" ht="14.5">
      <c r="A11023" s="5"/>
      <c r="B11023" s="18"/>
      <c r="C11023" s="85"/>
      <c r="D11023" s="41"/>
      <c r="E11023" s="26" t="str">
        <f ca="1">IFERROR(__xludf.DUMMYFUNCTION("""COMPUTED_VALUE"""),"")</f>
        <v/>
      </c>
      <c r="F11023" s="72"/>
      <c r="G11023" s="72"/>
    </row>
    <row r="11024" spans="1:7" ht="14.5">
      <c r="A11024" s="5"/>
      <c r="B11024" s="18"/>
      <c r="C11024" s="85"/>
      <c r="D11024" s="41"/>
      <c r="E11024" s="26" t="str">
        <f ca="1">IFERROR(__xludf.DUMMYFUNCTION("""COMPUTED_VALUE"""),"")</f>
        <v/>
      </c>
      <c r="F11024" s="72"/>
      <c r="G11024" s="72"/>
    </row>
    <row r="11025" spans="1:7" ht="14.5">
      <c r="A11025" s="5"/>
      <c r="B11025" s="18"/>
      <c r="C11025" s="85"/>
      <c r="D11025" s="41"/>
      <c r="E11025" s="26" t="str">
        <f ca="1">IFERROR(__xludf.DUMMYFUNCTION("""COMPUTED_VALUE"""),"")</f>
        <v/>
      </c>
      <c r="F11025" s="72"/>
      <c r="G11025" s="72"/>
    </row>
    <row r="11026" spans="1:7" ht="14.5">
      <c r="A11026" s="5"/>
      <c r="B11026" s="18"/>
      <c r="C11026" s="85"/>
      <c r="D11026" s="41"/>
      <c r="E11026" s="26" t="str">
        <f ca="1">IFERROR(__xludf.DUMMYFUNCTION("""COMPUTED_VALUE"""),"")</f>
        <v/>
      </c>
      <c r="F11026" s="72"/>
      <c r="G11026" s="72"/>
    </row>
    <row r="11027" spans="1:7" ht="14.5">
      <c r="A11027" s="5"/>
      <c r="B11027" s="18"/>
      <c r="C11027" s="85"/>
      <c r="D11027" s="41"/>
      <c r="E11027" s="26" t="str">
        <f ca="1">IFERROR(__xludf.DUMMYFUNCTION("""COMPUTED_VALUE"""),"")</f>
        <v/>
      </c>
      <c r="F11027" s="72"/>
      <c r="G11027" s="72"/>
    </row>
    <row r="11028" spans="1:7" ht="14.5">
      <c r="A11028" s="5"/>
      <c r="B11028" s="18"/>
      <c r="C11028" s="85"/>
      <c r="D11028" s="41"/>
      <c r="E11028" s="26" t="str">
        <f ca="1">IFERROR(__xludf.DUMMYFUNCTION("""COMPUTED_VALUE"""),"")</f>
        <v/>
      </c>
      <c r="F11028" s="72"/>
      <c r="G11028" s="72"/>
    </row>
    <row r="11029" spans="1:7" ht="14.5">
      <c r="A11029" s="5"/>
      <c r="B11029" s="18"/>
      <c r="C11029" s="85"/>
      <c r="D11029" s="41"/>
      <c r="E11029" s="26" t="str">
        <f ca="1">IFERROR(__xludf.DUMMYFUNCTION("""COMPUTED_VALUE"""),"")</f>
        <v/>
      </c>
      <c r="F11029" s="72"/>
      <c r="G11029" s="72"/>
    </row>
    <row r="11030" spans="1:7" ht="14.5">
      <c r="A11030" s="5"/>
      <c r="B11030" s="18"/>
      <c r="C11030" s="85"/>
      <c r="D11030" s="41"/>
      <c r="E11030" s="26" t="str">
        <f ca="1">IFERROR(__xludf.DUMMYFUNCTION("""COMPUTED_VALUE"""),"")</f>
        <v/>
      </c>
      <c r="F11030" s="72"/>
      <c r="G11030" s="72"/>
    </row>
    <row r="11031" spans="1:7" ht="14.5">
      <c r="A11031" s="5"/>
      <c r="B11031" s="18"/>
      <c r="C11031" s="85"/>
      <c r="D11031" s="41"/>
      <c r="E11031" s="26" t="str">
        <f ca="1">IFERROR(__xludf.DUMMYFUNCTION("""COMPUTED_VALUE"""),"")</f>
        <v/>
      </c>
      <c r="F11031" s="72"/>
      <c r="G11031" s="72"/>
    </row>
    <row r="11032" spans="1:7" ht="14.5">
      <c r="A11032" s="5"/>
      <c r="B11032" s="18"/>
      <c r="C11032" s="85"/>
      <c r="D11032" s="41"/>
      <c r="E11032" s="26" t="str">
        <f ca="1">IFERROR(__xludf.DUMMYFUNCTION("""COMPUTED_VALUE"""),"")</f>
        <v/>
      </c>
      <c r="F11032" s="72"/>
      <c r="G11032" s="72"/>
    </row>
    <row r="11033" spans="1:7" ht="14.5">
      <c r="A11033" s="5"/>
      <c r="B11033" s="18"/>
      <c r="C11033" s="85"/>
      <c r="D11033" s="41"/>
      <c r="E11033" s="26" t="str">
        <f ca="1">IFERROR(__xludf.DUMMYFUNCTION("""COMPUTED_VALUE"""),"")</f>
        <v/>
      </c>
      <c r="F11033" s="72"/>
      <c r="G11033" s="72"/>
    </row>
    <row r="11034" spans="1:7" ht="14.5">
      <c r="A11034" s="5"/>
      <c r="B11034" s="18"/>
      <c r="C11034" s="85"/>
      <c r="D11034" s="41"/>
      <c r="E11034" s="26" t="str">
        <f ca="1">IFERROR(__xludf.DUMMYFUNCTION("""COMPUTED_VALUE"""),"")</f>
        <v/>
      </c>
      <c r="F11034" s="72"/>
      <c r="G11034" s="72"/>
    </row>
    <row r="11035" spans="1:7" ht="14.5">
      <c r="A11035" s="5"/>
      <c r="B11035" s="18"/>
      <c r="C11035" s="85"/>
      <c r="D11035" s="41"/>
      <c r="E11035" s="26" t="str">
        <f ca="1">IFERROR(__xludf.DUMMYFUNCTION("""COMPUTED_VALUE"""),"")</f>
        <v/>
      </c>
      <c r="F11035" s="72"/>
      <c r="G11035" s="72"/>
    </row>
    <row r="11036" spans="1:7" ht="14.5">
      <c r="A11036" s="5"/>
      <c r="B11036" s="18"/>
      <c r="C11036" s="85"/>
      <c r="D11036" s="41"/>
      <c r="E11036" s="26" t="str">
        <f ca="1">IFERROR(__xludf.DUMMYFUNCTION("""COMPUTED_VALUE"""),"")</f>
        <v/>
      </c>
      <c r="F11036" s="72"/>
      <c r="G11036" s="72"/>
    </row>
    <row r="11037" spans="1:7" ht="14.5">
      <c r="A11037" s="5"/>
      <c r="B11037" s="18"/>
      <c r="C11037" s="85"/>
      <c r="D11037" s="41"/>
      <c r="E11037" s="26" t="str">
        <f ca="1">IFERROR(__xludf.DUMMYFUNCTION("""COMPUTED_VALUE"""),"")</f>
        <v/>
      </c>
      <c r="F11037" s="72"/>
      <c r="G11037" s="72"/>
    </row>
    <row r="11038" spans="1:7" ht="14.5">
      <c r="A11038" s="5"/>
      <c r="B11038" s="18"/>
      <c r="C11038" s="85"/>
      <c r="D11038" s="41"/>
      <c r="E11038" s="26" t="str">
        <f ca="1">IFERROR(__xludf.DUMMYFUNCTION("""COMPUTED_VALUE"""),"")</f>
        <v/>
      </c>
      <c r="F11038" s="72"/>
      <c r="G11038" s="72"/>
    </row>
    <row r="11039" spans="1:7" ht="14.5">
      <c r="A11039" s="5"/>
      <c r="B11039" s="18"/>
      <c r="C11039" s="85"/>
      <c r="D11039" s="41"/>
      <c r="E11039" s="26" t="str">
        <f ca="1">IFERROR(__xludf.DUMMYFUNCTION("""COMPUTED_VALUE"""),"")</f>
        <v/>
      </c>
      <c r="F11039" s="72"/>
      <c r="G11039" s="72"/>
    </row>
    <row r="11040" spans="1:7" ht="14.5">
      <c r="A11040" s="5"/>
      <c r="B11040" s="18"/>
      <c r="C11040" s="85"/>
      <c r="D11040" s="41"/>
      <c r="E11040" s="26" t="str">
        <f ca="1">IFERROR(__xludf.DUMMYFUNCTION("""COMPUTED_VALUE"""),"")</f>
        <v/>
      </c>
      <c r="F11040" s="72"/>
      <c r="G11040" s="72"/>
    </row>
    <row r="11041" spans="1:7" ht="14.5">
      <c r="A11041" s="5"/>
      <c r="B11041" s="18"/>
      <c r="C11041" s="85"/>
      <c r="D11041" s="41"/>
      <c r="E11041" s="26" t="str">
        <f ca="1">IFERROR(__xludf.DUMMYFUNCTION("""COMPUTED_VALUE"""),"")</f>
        <v/>
      </c>
      <c r="F11041" s="72"/>
      <c r="G11041" s="72"/>
    </row>
    <row r="11042" spans="1:7" ht="14.5">
      <c r="A11042" s="5"/>
      <c r="B11042" s="18"/>
      <c r="C11042" s="85"/>
      <c r="D11042" s="41"/>
      <c r="E11042" s="26" t="str">
        <f ca="1">IFERROR(__xludf.DUMMYFUNCTION("""COMPUTED_VALUE"""),"")</f>
        <v/>
      </c>
      <c r="F11042" s="72"/>
      <c r="G11042" s="72"/>
    </row>
    <row r="11043" spans="1:7" ht="14.5">
      <c r="A11043" s="5"/>
      <c r="B11043" s="18"/>
      <c r="C11043" s="85"/>
      <c r="D11043" s="41"/>
      <c r="E11043" s="26" t="str">
        <f ca="1">IFERROR(__xludf.DUMMYFUNCTION("""COMPUTED_VALUE"""),"")</f>
        <v/>
      </c>
      <c r="F11043" s="72"/>
      <c r="G11043" s="72"/>
    </row>
    <row r="11044" spans="1:7" ht="14.5">
      <c r="A11044" s="5"/>
      <c r="B11044" s="18"/>
      <c r="C11044" s="85"/>
      <c r="D11044" s="41"/>
      <c r="E11044" s="26" t="str">
        <f ca="1">IFERROR(__xludf.DUMMYFUNCTION("""COMPUTED_VALUE"""),"")</f>
        <v/>
      </c>
      <c r="F11044" s="72"/>
      <c r="G11044" s="72"/>
    </row>
    <row r="11045" spans="1:7" ht="14.5">
      <c r="A11045" s="5"/>
      <c r="B11045" s="18"/>
      <c r="C11045" s="85"/>
      <c r="D11045" s="41"/>
      <c r="E11045" s="26" t="str">
        <f ca="1">IFERROR(__xludf.DUMMYFUNCTION("""COMPUTED_VALUE"""),"")</f>
        <v/>
      </c>
      <c r="F11045" s="72"/>
      <c r="G11045" s="72"/>
    </row>
    <row r="11046" spans="1:7" ht="14.5">
      <c r="A11046" s="5"/>
      <c r="B11046" s="18"/>
      <c r="C11046" s="85"/>
      <c r="D11046" s="41"/>
      <c r="E11046" s="26" t="str">
        <f ca="1">IFERROR(__xludf.DUMMYFUNCTION("""COMPUTED_VALUE"""),"")</f>
        <v/>
      </c>
      <c r="F11046" s="72"/>
      <c r="G11046" s="72"/>
    </row>
    <row r="11047" spans="1:7" ht="14.5">
      <c r="A11047" s="5"/>
      <c r="B11047" s="18"/>
      <c r="C11047" s="85"/>
      <c r="D11047" s="41"/>
      <c r="E11047" s="26" t="str">
        <f ca="1">IFERROR(__xludf.DUMMYFUNCTION("""COMPUTED_VALUE"""),"")</f>
        <v/>
      </c>
      <c r="F11047" s="72"/>
      <c r="G11047" s="72"/>
    </row>
    <row r="11048" spans="1:7" ht="14.5">
      <c r="A11048" s="5"/>
      <c r="B11048" s="18"/>
      <c r="C11048" s="85"/>
      <c r="D11048" s="41"/>
      <c r="E11048" s="26" t="str">
        <f ca="1">IFERROR(__xludf.DUMMYFUNCTION("""COMPUTED_VALUE"""),"")</f>
        <v/>
      </c>
      <c r="F11048" s="72"/>
      <c r="G11048" s="72"/>
    </row>
    <row r="11049" spans="1:7" ht="14.5">
      <c r="A11049" s="5"/>
      <c r="B11049" s="18"/>
      <c r="C11049" s="85"/>
      <c r="D11049" s="41"/>
      <c r="E11049" s="26" t="str">
        <f ca="1">IFERROR(__xludf.DUMMYFUNCTION("""COMPUTED_VALUE"""),"")</f>
        <v/>
      </c>
      <c r="F11049" s="72"/>
      <c r="G11049" s="72"/>
    </row>
    <row r="11050" spans="1:7" ht="14.5">
      <c r="A11050" s="5"/>
      <c r="B11050" s="18"/>
      <c r="C11050" s="85"/>
      <c r="D11050" s="41"/>
      <c r="E11050" s="26" t="str">
        <f ca="1">IFERROR(__xludf.DUMMYFUNCTION("""COMPUTED_VALUE"""),"")</f>
        <v/>
      </c>
      <c r="F11050" s="72"/>
      <c r="G11050" s="72"/>
    </row>
    <row r="11051" spans="1:7" ht="14.5">
      <c r="A11051" s="5"/>
      <c r="B11051" s="18"/>
      <c r="C11051" s="85"/>
      <c r="D11051" s="41"/>
      <c r="E11051" s="26" t="str">
        <f ca="1">IFERROR(__xludf.DUMMYFUNCTION("""COMPUTED_VALUE"""),"")</f>
        <v/>
      </c>
      <c r="F11051" s="72"/>
      <c r="G11051" s="72"/>
    </row>
    <row r="11052" spans="1:7" ht="14.5">
      <c r="A11052" s="5"/>
      <c r="B11052" s="18"/>
      <c r="C11052" s="85"/>
      <c r="D11052" s="41"/>
      <c r="E11052" s="26" t="str">
        <f ca="1">IFERROR(__xludf.DUMMYFUNCTION("""COMPUTED_VALUE"""),"")</f>
        <v/>
      </c>
      <c r="F11052" s="72"/>
      <c r="G11052" s="72"/>
    </row>
    <row r="11053" spans="1:7" ht="14.5">
      <c r="A11053" s="5"/>
      <c r="B11053" s="18"/>
      <c r="C11053" s="85"/>
      <c r="D11053" s="41"/>
      <c r="E11053" s="26" t="str">
        <f ca="1">IFERROR(__xludf.DUMMYFUNCTION("""COMPUTED_VALUE"""),"")</f>
        <v/>
      </c>
      <c r="F11053" s="72"/>
      <c r="G11053" s="72"/>
    </row>
    <row r="11054" spans="1:7" ht="14.5">
      <c r="A11054" s="5"/>
      <c r="B11054" s="18"/>
      <c r="C11054" s="85"/>
      <c r="D11054" s="41"/>
      <c r="E11054" s="26" t="str">
        <f ca="1">IFERROR(__xludf.DUMMYFUNCTION("""COMPUTED_VALUE"""),"")</f>
        <v/>
      </c>
      <c r="F11054" s="72"/>
      <c r="G11054" s="72"/>
    </row>
    <row r="11055" spans="1:7" ht="14.5">
      <c r="A11055" s="5"/>
      <c r="B11055" s="18"/>
      <c r="C11055" s="85"/>
      <c r="D11055" s="41"/>
      <c r="E11055" s="26" t="str">
        <f ca="1">IFERROR(__xludf.DUMMYFUNCTION("""COMPUTED_VALUE"""),"")</f>
        <v/>
      </c>
      <c r="F11055" s="72"/>
      <c r="G11055" s="72"/>
    </row>
    <row r="11056" spans="1:7" ht="14.5">
      <c r="A11056" s="5"/>
      <c r="B11056" s="18"/>
      <c r="C11056" s="85"/>
      <c r="D11056" s="41"/>
      <c r="E11056" s="26" t="str">
        <f ca="1">IFERROR(__xludf.DUMMYFUNCTION("""COMPUTED_VALUE"""),"")</f>
        <v/>
      </c>
      <c r="F11056" s="72"/>
      <c r="G11056" s="72"/>
    </row>
    <row r="11057" spans="1:7" ht="14.5">
      <c r="A11057" s="5"/>
      <c r="B11057" s="18"/>
      <c r="C11057" s="85"/>
      <c r="D11057" s="41"/>
      <c r="E11057" s="26" t="str">
        <f ca="1">IFERROR(__xludf.DUMMYFUNCTION("""COMPUTED_VALUE"""),"")</f>
        <v/>
      </c>
      <c r="F11057" s="72"/>
      <c r="G11057" s="72"/>
    </row>
    <row r="11058" spans="1:7" ht="14.5">
      <c r="A11058" s="5"/>
      <c r="B11058" s="18"/>
      <c r="C11058" s="85"/>
      <c r="D11058" s="41"/>
      <c r="E11058" s="26" t="str">
        <f ca="1">IFERROR(__xludf.DUMMYFUNCTION("""COMPUTED_VALUE"""),"")</f>
        <v/>
      </c>
      <c r="F11058" s="72"/>
      <c r="G11058" s="72"/>
    </row>
    <row r="11059" spans="1:7" ht="14.5">
      <c r="A11059" s="5"/>
      <c r="B11059" s="18"/>
      <c r="C11059" s="85"/>
      <c r="D11059" s="41"/>
      <c r="E11059" s="26" t="str">
        <f ca="1">IFERROR(__xludf.DUMMYFUNCTION("""COMPUTED_VALUE"""),"")</f>
        <v/>
      </c>
      <c r="F11059" s="72"/>
      <c r="G11059" s="72"/>
    </row>
    <row r="11060" spans="1:7" ht="14.5">
      <c r="A11060" s="5"/>
      <c r="B11060" s="18"/>
      <c r="C11060" s="85"/>
      <c r="D11060" s="41"/>
      <c r="E11060" s="26" t="str">
        <f ca="1">IFERROR(__xludf.DUMMYFUNCTION("""COMPUTED_VALUE"""),"")</f>
        <v/>
      </c>
      <c r="F11060" s="72"/>
      <c r="G11060" s="72"/>
    </row>
    <row r="11061" spans="1:7" ht="14.5">
      <c r="A11061" s="5"/>
      <c r="B11061" s="18"/>
      <c r="C11061" s="85"/>
      <c r="D11061" s="41"/>
      <c r="E11061" s="26" t="str">
        <f ca="1">IFERROR(__xludf.DUMMYFUNCTION("""COMPUTED_VALUE"""),"")</f>
        <v/>
      </c>
      <c r="F11061" s="72"/>
      <c r="G11061" s="72"/>
    </row>
    <row r="11062" spans="1:7" ht="14.5">
      <c r="A11062" s="5"/>
      <c r="B11062" s="18"/>
      <c r="C11062" s="85"/>
      <c r="D11062" s="41"/>
      <c r="E11062" s="26" t="str">
        <f ca="1">IFERROR(__xludf.DUMMYFUNCTION("""COMPUTED_VALUE"""),"")</f>
        <v/>
      </c>
      <c r="F11062" s="72"/>
      <c r="G11062" s="72"/>
    </row>
    <row r="11063" spans="1:7" ht="14.5">
      <c r="A11063" s="5"/>
      <c r="B11063" s="18"/>
      <c r="C11063" s="85"/>
      <c r="D11063" s="41"/>
      <c r="E11063" s="26" t="str">
        <f ca="1">IFERROR(__xludf.DUMMYFUNCTION("""COMPUTED_VALUE"""),"")</f>
        <v/>
      </c>
      <c r="F11063" s="72"/>
      <c r="G11063" s="72"/>
    </row>
    <row r="11064" spans="1:7" ht="14.5">
      <c r="A11064" s="5"/>
      <c r="B11064" s="18"/>
      <c r="C11064" s="85"/>
      <c r="D11064" s="41"/>
      <c r="E11064" s="26" t="str">
        <f ca="1">IFERROR(__xludf.DUMMYFUNCTION("""COMPUTED_VALUE"""),"")</f>
        <v/>
      </c>
      <c r="F11064" s="72"/>
      <c r="G11064" s="72"/>
    </row>
    <row r="11065" spans="1:7" ht="14.5">
      <c r="A11065" s="5"/>
      <c r="B11065" s="18"/>
      <c r="C11065" s="85"/>
      <c r="D11065" s="41"/>
      <c r="E11065" s="26" t="str">
        <f ca="1">IFERROR(__xludf.DUMMYFUNCTION("""COMPUTED_VALUE"""),"")</f>
        <v/>
      </c>
      <c r="F11065" s="72"/>
      <c r="G11065" s="72"/>
    </row>
    <row r="11066" spans="1:7" ht="14.5">
      <c r="A11066" s="5"/>
      <c r="B11066" s="18"/>
      <c r="C11066" s="85"/>
      <c r="D11066" s="41"/>
      <c r="E11066" s="26" t="str">
        <f ca="1">IFERROR(__xludf.DUMMYFUNCTION("""COMPUTED_VALUE"""),"")</f>
        <v/>
      </c>
      <c r="F11066" s="72"/>
      <c r="G11066" s="72"/>
    </row>
    <row r="11067" spans="1:7" ht="14.5">
      <c r="A11067" s="5"/>
      <c r="B11067" s="18"/>
      <c r="C11067" s="85"/>
      <c r="D11067" s="41"/>
      <c r="E11067" s="26" t="str">
        <f ca="1">IFERROR(__xludf.DUMMYFUNCTION("""COMPUTED_VALUE"""),"")</f>
        <v/>
      </c>
      <c r="F11067" s="72"/>
      <c r="G11067" s="72"/>
    </row>
    <row r="11068" spans="1:7" ht="14.5">
      <c r="A11068" s="5"/>
      <c r="B11068" s="18"/>
      <c r="C11068" s="85"/>
      <c r="D11068" s="41"/>
      <c r="E11068" s="26" t="str">
        <f ca="1">IFERROR(__xludf.DUMMYFUNCTION("""COMPUTED_VALUE"""),"")</f>
        <v/>
      </c>
      <c r="F11068" s="72"/>
      <c r="G11068" s="72"/>
    </row>
    <row r="11069" spans="1:7" ht="14.5">
      <c r="A11069" s="5"/>
      <c r="B11069" s="18"/>
      <c r="C11069" s="85"/>
      <c r="D11069" s="41"/>
      <c r="E11069" s="26" t="str">
        <f ca="1">IFERROR(__xludf.DUMMYFUNCTION("""COMPUTED_VALUE"""),"")</f>
        <v/>
      </c>
      <c r="F11069" s="72"/>
      <c r="G11069" s="72"/>
    </row>
    <row r="11070" spans="1:7" ht="14.5">
      <c r="A11070" s="5"/>
      <c r="B11070" s="18"/>
      <c r="C11070" s="85"/>
      <c r="D11070" s="41"/>
      <c r="E11070" s="26" t="str">
        <f ca="1">IFERROR(__xludf.DUMMYFUNCTION("""COMPUTED_VALUE"""),"")</f>
        <v/>
      </c>
      <c r="F11070" s="72"/>
      <c r="G11070" s="72"/>
    </row>
    <row r="11071" spans="1:7" ht="14.5">
      <c r="A11071" s="5"/>
      <c r="B11071" s="18"/>
      <c r="C11071" s="85"/>
      <c r="D11071" s="41"/>
      <c r="E11071" s="26" t="str">
        <f ca="1">IFERROR(__xludf.DUMMYFUNCTION("""COMPUTED_VALUE"""),"")</f>
        <v/>
      </c>
      <c r="F11071" s="72"/>
      <c r="G11071" s="72"/>
    </row>
    <row r="11072" spans="1:7" ht="14.5">
      <c r="A11072" s="5"/>
      <c r="B11072" s="18"/>
      <c r="C11072" s="85"/>
      <c r="D11072" s="41"/>
      <c r="E11072" s="26" t="str">
        <f ca="1">IFERROR(__xludf.DUMMYFUNCTION("""COMPUTED_VALUE"""),"")</f>
        <v/>
      </c>
      <c r="F11072" s="72"/>
      <c r="G11072" s="72"/>
    </row>
    <row r="11073" spans="1:7" ht="14.5">
      <c r="A11073" s="5"/>
      <c r="B11073" s="18"/>
      <c r="C11073" s="85"/>
      <c r="D11073" s="41"/>
      <c r="E11073" s="26" t="str">
        <f ca="1">IFERROR(__xludf.DUMMYFUNCTION("""COMPUTED_VALUE"""),"")</f>
        <v/>
      </c>
      <c r="F11073" s="72"/>
      <c r="G11073" s="72"/>
    </row>
    <row r="11074" spans="1:7" ht="14.5">
      <c r="A11074" s="5"/>
      <c r="B11074" s="18"/>
      <c r="C11074" s="85"/>
      <c r="D11074" s="41"/>
      <c r="E11074" s="26" t="str">
        <f ca="1">IFERROR(__xludf.DUMMYFUNCTION("""COMPUTED_VALUE"""),"")</f>
        <v/>
      </c>
      <c r="F11074" s="72"/>
      <c r="G11074" s="72"/>
    </row>
    <row r="11075" spans="1:7" ht="14.5">
      <c r="A11075" s="5"/>
      <c r="B11075" s="18"/>
      <c r="C11075" s="85"/>
      <c r="D11075" s="41"/>
      <c r="E11075" s="26" t="str">
        <f ca="1">IFERROR(__xludf.DUMMYFUNCTION("""COMPUTED_VALUE"""),"")</f>
        <v/>
      </c>
      <c r="F11075" s="72"/>
      <c r="G11075" s="72"/>
    </row>
    <row r="11076" spans="1:7" ht="14.5">
      <c r="A11076" s="5"/>
      <c r="B11076" s="18"/>
      <c r="C11076" s="85"/>
      <c r="D11076" s="41"/>
      <c r="E11076" s="26" t="str">
        <f ca="1">IFERROR(__xludf.DUMMYFUNCTION("""COMPUTED_VALUE"""),"")</f>
        <v/>
      </c>
      <c r="F11076" s="72"/>
      <c r="G11076" s="72"/>
    </row>
    <row r="11077" spans="1:7" ht="14.5">
      <c r="A11077" s="5"/>
      <c r="B11077" s="18"/>
      <c r="C11077" s="85"/>
      <c r="D11077" s="41"/>
      <c r="E11077" s="26" t="str">
        <f ca="1">IFERROR(__xludf.DUMMYFUNCTION("""COMPUTED_VALUE"""),"")</f>
        <v/>
      </c>
      <c r="F11077" s="72"/>
      <c r="G11077" s="72"/>
    </row>
    <row r="11078" spans="1:7" ht="14.5">
      <c r="A11078" s="5"/>
      <c r="B11078" s="18"/>
      <c r="C11078" s="85"/>
      <c r="D11078" s="41"/>
      <c r="E11078" s="26" t="str">
        <f ca="1">IFERROR(__xludf.DUMMYFUNCTION("""COMPUTED_VALUE"""),"")</f>
        <v/>
      </c>
      <c r="F11078" s="72"/>
      <c r="G11078" s="72"/>
    </row>
    <row r="11079" spans="1:7" ht="14.5">
      <c r="A11079" s="5"/>
      <c r="B11079" s="18"/>
      <c r="C11079" s="85"/>
      <c r="D11079" s="41"/>
      <c r="E11079" s="26" t="str">
        <f ca="1">IFERROR(__xludf.DUMMYFUNCTION("""COMPUTED_VALUE"""),"")</f>
        <v/>
      </c>
      <c r="F11079" s="72"/>
      <c r="G11079" s="72"/>
    </row>
    <row r="11080" spans="1:7" ht="14.5">
      <c r="A11080" s="5"/>
      <c r="B11080" s="18"/>
      <c r="C11080" s="85"/>
      <c r="D11080" s="41"/>
      <c r="E11080" s="26" t="str">
        <f ca="1">IFERROR(__xludf.DUMMYFUNCTION("""COMPUTED_VALUE"""),"")</f>
        <v/>
      </c>
      <c r="F11080" s="72"/>
      <c r="G11080" s="72"/>
    </row>
    <row r="11081" spans="1:7" ht="14.5">
      <c r="A11081" s="5"/>
      <c r="B11081" s="18"/>
      <c r="C11081" s="85"/>
      <c r="D11081" s="41"/>
      <c r="E11081" s="26" t="str">
        <f ca="1">IFERROR(__xludf.DUMMYFUNCTION("""COMPUTED_VALUE"""),"")</f>
        <v/>
      </c>
      <c r="F11081" s="72"/>
      <c r="G11081" s="72"/>
    </row>
    <row r="11082" spans="1:7" ht="14.5">
      <c r="A11082" s="5"/>
      <c r="B11082" s="18"/>
      <c r="C11082" s="85"/>
      <c r="D11082" s="41"/>
      <c r="E11082" s="26" t="str">
        <f ca="1">IFERROR(__xludf.DUMMYFUNCTION("""COMPUTED_VALUE"""),"")</f>
        <v/>
      </c>
      <c r="F11082" s="72"/>
      <c r="G11082" s="72"/>
    </row>
    <row r="11083" spans="1:7" ht="14.5">
      <c r="A11083" s="5"/>
      <c r="B11083" s="18"/>
      <c r="C11083" s="85"/>
      <c r="D11083" s="41"/>
      <c r="E11083" s="26" t="str">
        <f ca="1">IFERROR(__xludf.DUMMYFUNCTION("""COMPUTED_VALUE"""),"")</f>
        <v/>
      </c>
      <c r="F11083" s="72"/>
      <c r="G11083" s="72"/>
    </row>
    <row r="11084" spans="1:7" ht="14.5">
      <c r="A11084" s="5"/>
      <c r="B11084" s="18"/>
      <c r="C11084" s="85"/>
      <c r="D11084" s="41"/>
      <c r="E11084" s="26" t="str">
        <f ca="1">IFERROR(__xludf.DUMMYFUNCTION("""COMPUTED_VALUE"""),"")</f>
        <v/>
      </c>
      <c r="F11084" s="72"/>
      <c r="G11084" s="72"/>
    </row>
    <row r="11085" spans="1:7" ht="14.5">
      <c r="A11085" s="5"/>
      <c r="B11085" s="18"/>
      <c r="C11085" s="85"/>
      <c r="D11085" s="41"/>
      <c r="E11085" s="26" t="str">
        <f ca="1">IFERROR(__xludf.DUMMYFUNCTION("""COMPUTED_VALUE"""),"")</f>
        <v/>
      </c>
      <c r="F11085" s="72"/>
      <c r="G11085" s="72"/>
    </row>
    <row r="11086" spans="1:7" ht="14.5">
      <c r="A11086" s="5"/>
      <c r="B11086" s="18"/>
      <c r="C11086" s="85"/>
      <c r="D11086" s="41"/>
      <c r="E11086" s="26" t="str">
        <f ca="1">IFERROR(__xludf.DUMMYFUNCTION("""COMPUTED_VALUE"""),"")</f>
        <v/>
      </c>
      <c r="F11086" s="72"/>
      <c r="G11086" s="72"/>
    </row>
    <row r="11087" spans="1:7" ht="14.5">
      <c r="A11087" s="5"/>
      <c r="B11087" s="18"/>
      <c r="C11087" s="85"/>
      <c r="D11087" s="41"/>
      <c r="E11087" s="26" t="str">
        <f ca="1">IFERROR(__xludf.DUMMYFUNCTION("""COMPUTED_VALUE"""),"")</f>
        <v/>
      </c>
      <c r="F11087" s="72"/>
      <c r="G11087" s="72"/>
    </row>
    <row r="11088" spans="1:7" ht="14.5">
      <c r="A11088" s="5"/>
      <c r="B11088" s="18"/>
      <c r="C11088" s="85"/>
      <c r="D11088" s="41"/>
      <c r="E11088" s="26" t="str">
        <f ca="1">IFERROR(__xludf.DUMMYFUNCTION("""COMPUTED_VALUE"""),"")</f>
        <v/>
      </c>
      <c r="F11088" s="72"/>
      <c r="G11088" s="72"/>
    </row>
    <row r="11089" spans="1:7" ht="14.5">
      <c r="A11089" s="5"/>
      <c r="B11089" s="18"/>
      <c r="C11089" s="85"/>
      <c r="D11089" s="41"/>
      <c r="E11089" s="26" t="str">
        <f ca="1">IFERROR(__xludf.DUMMYFUNCTION("""COMPUTED_VALUE"""),"")</f>
        <v/>
      </c>
      <c r="F11089" s="72"/>
      <c r="G11089" s="72"/>
    </row>
    <row r="11090" spans="1:7" ht="14.5">
      <c r="A11090" s="5"/>
      <c r="B11090" s="18"/>
      <c r="C11090" s="85"/>
      <c r="D11090" s="41"/>
      <c r="E11090" s="26" t="str">
        <f ca="1">IFERROR(__xludf.DUMMYFUNCTION("""COMPUTED_VALUE"""),"")</f>
        <v/>
      </c>
      <c r="F11090" s="72"/>
      <c r="G11090" s="72"/>
    </row>
  </sheetData>
  <autoFilter ref="A1:AB10139" xr:uid="{00000000-0009-0000-0000-000002000000}">
    <filterColumn colId="4">
      <filters>
        <filter val="New"/>
      </filters>
    </filterColumn>
  </autoFilter>
  <conditionalFormatting sqref="D1:D11090">
    <cfRule type="expression" dxfId="4" priority="1">
      <formula>COUNTIF(D:D,D1)&gt;1</formula>
    </cfRule>
  </conditionalFormatting>
  <dataValidations count="1">
    <dataValidation type="list" allowBlank="1" showErrorMessage="1" sqref="P208:P226 P239 P242:P245 P248:P254 P258:P353 P355:P359 P361:P371 P373 P375:P376 P378:P390 P392:P393 P395:P396 P398:P410 P412:P413 P415:P417 P420 P424 P431 P433:P440 P442:P444 P446:P448 P450:P451 P454 P456 P458 P464:P465 P468:P470 P472:P474 P477:P478 P480:P483 P485 P487:P488 P491:P492 P494 P498 P508:P510 P512:P517 P519:P524 P529:P531 P533:P534 P536:P539 P541:P543 P546 P549 P551:P552 P554:P557 P559:P565 P567 P569:P576 P578:P579 P581:P590 P592 P595:P597 P599:P601 P603:P604 P606 P608:P609 P611:P612 P614:P615 P617:P621 P623:P634 P636:P671 P673:P678 P680:P685 P687:P688 P690:P697 P699:P700 P702:P703 P705:P721 P723:P725 P727:P737 P739:P742 P744:P751 P753:P762 P765:P779 P781:P785 P787:P794 P796:P802 P804:P815 P818:P822 P825:P826 P828:P830 P833:P834 P836:P840 P842:P853 P855:P875 P877:P882 P884:P894 P896:P947 P949:P956 P958:P961 P964:P1082 P1084:P1095 P1097:P1099 P1101:P1109 P1111:P1124 P1126:P1163 P1165:P1281 P1283:P3038 P3040:P4814 P4817:P4828 P4832:P4862 P4864:P4874 P4876:P4878 P4880:P4935 P4937:P4939 P4941:P4969 P4971:P4981 P4983:P4985 P4987:P4998 P5000:P5018" xr:uid="{00000000-0002-0000-0200-000000000000}">
      <formula1>"YES,NO"</formula1>
    </dataValidation>
  </dataValidations>
  <hyperlinks>
    <hyperlink ref="B2" r:id="rId1" xr:uid="{00000000-0004-0000-0200-000000000000}"/>
    <hyperlink ref="C2" r:id="rId2" xr:uid="{00000000-0004-0000-0200-000001000000}"/>
    <hyperlink ref="R2" r:id="rId3" xr:uid="{00000000-0004-0000-0200-000002000000}"/>
    <hyperlink ref="C3" r:id="rId4" xr:uid="{00000000-0004-0000-0200-000003000000}"/>
    <hyperlink ref="C4" r:id="rId5" xr:uid="{00000000-0004-0000-0200-000004000000}"/>
    <hyperlink ref="C5" r:id="rId6" xr:uid="{00000000-0004-0000-0200-000005000000}"/>
    <hyperlink ref="C6" r:id="rId7" xr:uid="{00000000-0004-0000-0200-000006000000}"/>
    <hyperlink ref="C7" r:id="rId8" xr:uid="{00000000-0004-0000-0200-000007000000}"/>
    <hyperlink ref="C8" r:id="rId9" xr:uid="{00000000-0004-0000-0200-000008000000}"/>
    <hyperlink ref="C9" r:id="rId10" xr:uid="{00000000-0004-0000-0200-000009000000}"/>
    <hyperlink ref="C10" r:id="rId11" xr:uid="{00000000-0004-0000-0200-00000A000000}"/>
    <hyperlink ref="C11" r:id="rId12" xr:uid="{00000000-0004-0000-0200-00000B000000}"/>
    <hyperlink ref="C12" r:id="rId13" xr:uid="{00000000-0004-0000-0200-00000C000000}"/>
    <hyperlink ref="C13" r:id="rId14" xr:uid="{00000000-0004-0000-0200-00000D000000}"/>
    <hyperlink ref="C14" r:id="rId15" xr:uid="{00000000-0004-0000-0200-00000E000000}"/>
    <hyperlink ref="C15" r:id="rId16" xr:uid="{00000000-0004-0000-0200-00000F000000}"/>
    <hyperlink ref="C16" r:id="rId17" xr:uid="{00000000-0004-0000-0200-000010000000}"/>
    <hyperlink ref="C17" r:id="rId18" xr:uid="{00000000-0004-0000-0200-000011000000}"/>
    <hyperlink ref="C18" r:id="rId19" xr:uid="{00000000-0004-0000-0200-000012000000}"/>
    <hyperlink ref="C19" r:id="rId20" xr:uid="{00000000-0004-0000-0200-000013000000}"/>
    <hyperlink ref="C20" r:id="rId21" xr:uid="{00000000-0004-0000-0200-000014000000}"/>
    <hyperlink ref="C21" r:id="rId22" xr:uid="{00000000-0004-0000-0200-000015000000}"/>
    <hyperlink ref="C22" r:id="rId23" xr:uid="{00000000-0004-0000-0200-000016000000}"/>
    <hyperlink ref="C23" r:id="rId24" xr:uid="{00000000-0004-0000-0200-000017000000}"/>
    <hyperlink ref="C24" r:id="rId25" xr:uid="{00000000-0004-0000-0200-000018000000}"/>
    <hyperlink ref="B25" r:id="rId26" xr:uid="{00000000-0004-0000-0200-000019000000}"/>
    <hyperlink ref="C25" r:id="rId27" xr:uid="{00000000-0004-0000-0200-00001A000000}"/>
    <hyperlink ref="C26" r:id="rId28" xr:uid="{00000000-0004-0000-0200-00001B000000}"/>
    <hyperlink ref="C27" r:id="rId29" xr:uid="{00000000-0004-0000-0200-00001C000000}"/>
    <hyperlink ref="C28" r:id="rId30" xr:uid="{00000000-0004-0000-0200-00001D000000}"/>
    <hyperlink ref="C29" r:id="rId31" xr:uid="{00000000-0004-0000-0200-00001E000000}"/>
    <hyperlink ref="C30" r:id="rId32" xr:uid="{00000000-0004-0000-0200-00001F000000}"/>
    <hyperlink ref="C31" r:id="rId33" xr:uid="{00000000-0004-0000-0200-000020000000}"/>
    <hyperlink ref="C32" r:id="rId34" xr:uid="{00000000-0004-0000-0200-000021000000}"/>
    <hyperlink ref="C33" r:id="rId35" xr:uid="{00000000-0004-0000-0200-000022000000}"/>
    <hyperlink ref="C34" r:id="rId36" xr:uid="{00000000-0004-0000-0200-000023000000}"/>
    <hyperlink ref="C35" r:id="rId37" xr:uid="{00000000-0004-0000-0200-000024000000}"/>
    <hyperlink ref="C36" r:id="rId38" xr:uid="{00000000-0004-0000-0200-000025000000}"/>
    <hyperlink ref="C37" r:id="rId39" xr:uid="{00000000-0004-0000-0200-000026000000}"/>
    <hyperlink ref="C38" r:id="rId40" xr:uid="{00000000-0004-0000-0200-000027000000}"/>
    <hyperlink ref="C39" r:id="rId41" xr:uid="{00000000-0004-0000-0200-000028000000}"/>
    <hyperlink ref="C40" r:id="rId42" xr:uid="{00000000-0004-0000-0200-000029000000}"/>
    <hyperlink ref="C41" r:id="rId43" xr:uid="{00000000-0004-0000-0200-00002A000000}"/>
    <hyperlink ref="C42" r:id="rId44" xr:uid="{00000000-0004-0000-0200-00002B000000}"/>
    <hyperlink ref="C43" r:id="rId45" xr:uid="{00000000-0004-0000-0200-00002C000000}"/>
    <hyperlink ref="C44" r:id="rId46" xr:uid="{00000000-0004-0000-0200-00002D000000}"/>
    <hyperlink ref="C45" r:id="rId47" xr:uid="{00000000-0004-0000-0200-00002E000000}"/>
    <hyperlink ref="C46" r:id="rId48" xr:uid="{00000000-0004-0000-0200-00002F000000}"/>
    <hyperlink ref="C47" r:id="rId49" xr:uid="{00000000-0004-0000-0200-000030000000}"/>
    <hyperlink ref="C48" r:id="rId50" xr:uid="{00000000-0004-0000-0200-000031000000}"/>
    <hyperlink ref="C49" r:id="rId51" xr:uid="{00000000-0004-0000-0200-000032000000}"/>
    <hyperlink ref="C50" r:id="rId52" xr:uid="{00000000-0004-0000-0200-000033000000}"/>
    <hyperlink ref="C51" r:id="rId53" xr:uid="{00000000-0004-0000-0200-000034000000}"/>
    <hyperlink ref="C52" r:id="rId54" xr:uid="{00000000-0004-0000-0200-000035000000}"/>
    <hyperlink ref="C53" r:id="rId55" xr:uid="{00000000-0004-0000-0200-000036000000}"/>
    <hyperlink ref="C54" r:id="rId56" xr:uid="{00000000-0004-0000-0200-000037000000}"/>
    <hyperlink ref="C55" r:id="rId57" xr:uid="{00000000-0004-0000-0200-000038000000}"/>
    <hyperlink ref="C56" r:id="rId58" xr:uid="{00000000-0004-0000-0200-000039000000}"/>
    <hyperlink ref="C57" r:id="rId59" xr:uid="{00000000-0004-0000-0200-00003A000000}"/>
    <hyperlink ref="C58" r:id="rId60" xr:uid="{00000000-0004-0000-0200-00003B000000}"/>
    <hyperlink ref="C59" r:id="rId61" xr:uid="{00000000-0004-0000-0200-00003C000000}"/>
    <hyperlink ref="C60" r:id="rId62" xr:uid="{00000000-0004-0000-0200-00003D000000}"/>
    <hyperlink ref="C61" r:id="rId63" xr:uid="{00000000-0004-0000-0200-00003E000000}"/>
    <hyperlink ref="C62" r:id="rId64" xr:uid="{00000000-0004-0000-0200-00003F000000}"/>
    <hyperlink ref="C63" r:id="rId65" xr:uid="{00000000-0004-0000-0200-000040000000}"/>
    <hyperlink ref="C64" r:id="rId66" xr:uid="{00000000-0004-0000-0200-000041000000}"/>
    <hyperlink ref="C65" r:id="rId67" xr:uid="{00000000-0004-0000-0200-000042000000}"/>
    <hyperlink ref="C66" r:id="rId68" xr:uid="{00000000-0004-0000-0200-000043000000}"/>
    <hyperlink ref="C67" r:id="rId69" xr:uid="{00000000-0004-0000-0200-000044000000}"/>
    <hyperlink ref="C68" r:id="rId70" xr:uid="{00000000-0004-0000-0200-000045000000}"/>
    <hyperlink ref="C69" r:id="rId71" xr:uid="{00000000-0004-0000-0200-000046000000}"/>
    <hyperlink ref="C70" r:id="rId72" xr:uid="{00000000-0004-0000-0200-000047000000}"/>
    <hyperlink ref="C71" r:id="rId73" xr:uid="{00000000-0004-0000-0200-000048000000}"/>
    <hyperlink ref="C72" r:id="rId74" xr:uid="{00000000-0004-0000-0200-000049000000}"/>
    <hyperlink ref="C73" r:id="rId75" xr:uid="{00000000-0004-0000-0200-00004A000000}"/>
    <hyperlink ref="C75" r:id="rId76" xr:uid="{00000000-0004-0000-0200-00004B000000}"/>
    <hyperlink ref="C76" r:id="rId77" xr:uid="{00000000-0004-0000-0200-00004C000000}"/>
    <hyperlink ref="C77" r:id="rId78" xr:uid="{00000000-0004-0000-0200-00004D000000}"/>
    <hyperlink ref="C78" r:id="rId79" xr:uid="{00000000-0004-0000-0200-00004E000000}"/>
    <hyperlink ref="C79" r:id="rId80" xr:uid="{00000000-0004-0000-0200-00004F000000}"/>
    <hyperlink ref="C80" r:id="rId81" xr:uid="{00000000-0004-0000-0200-000050000000}"/>
    <hyperlink ref="C81" r:id="rId82" xr:uid="{00000000-0004-0000-0200-000051000000}"/>
    <hyperlink ref="C82" r:id="rId83" xr:uid="{00000000-0004-0000-0200-000052000000}"/>
    <hyperlink ref="C83" r:id="rId84" xr:uid="{00000000-0004-0000-0200-000053000000}"/>
    <hyperlink ref="C84" r:id="rId85" xr:uid="{00000000-0004-0000-0200-000054000000}"/>
    <hyperlink ref="C85" r:id="rId86" xr:uid="{00000000-0004-0000-0200-000055000000}"/>
    <hyperlink ref="C86" r:id="rId87" xr:uid="{00000000-0004-0000-0200-000056000000}"/>
    <hyperlink ref="C87" r:id="rId88" xr:uid="{00000000-0004-0000-0200-000057000000}"/>
    <hyperlink ref="C88" r:id="rId89" xr:uid="{00000000-0004-0000-0200-000058000000}"/>
    <hyperlink ref="C89" r:id="rId90" xr:uid="{00000000-0004-0000-0200-000059000000}"/>
    <hyperlink ref="C90" r:id="rId91" xr:uid="{00000000-0004-0000-0200-00005A000000}"/>
    <hyperlink ref="C91" r:id="rId92" xr:uid="{00000000-0004-0000-0200-00005B000000}"/>
    <hyperlink ref="C92" r:id="rId93" xr:uid="{00000000-0004-0000-0200-00005C000000}"/>
    <hyperlink ref="C93" r:id="rId94" xr:uid="{00000000-0004-0000-0200-00005D000000}"/>
    <hyperlink ref="C94" r:id="rId95" xr:uid="{00000000-0004-0000-0200-00005E000000}"/>
    <hyperlink ref="C95" r:id="rId96" xr:uid="{00000000-0004-0000-0200-00005F000000}"/>
    <hyperlink ref="C96" r:id="rId97" xr:uid="{00000000-0004-0000-0200-000060000000}"/>
    <hyperlink ref="C97" r:id="rId98" xr:uid="{00000000-0004-0000-0200-000061000000}"/>
    <hyperlink ref="C98" r:id="rId99" xr:uid="{00000000-0004-0000-0200-000062000000}"/>
    <hyperlink ref="C99" r:id="rId100" xr:uid="{00000000-0004-0000-0200-000063000000}"/>
    <hyperlink ref="C100" r:id="rId101" xr:uid="{00000000-0004-0000-0200-000064000000}"/>
    <hyperlink ref="C101" r:id="rId102" xr:uid="{00000000-0004-0000-0200-000065000000}"/>
    <hyperlink ref="C102" r:id="rId103" xr:uid="{00000000-0004-0000-0200-000066000000}"/>
    <hyperlink ref="C103" r:id="rId104" xr:uid="{00000000-0004-0000-0200-000067000000}"/>
    <hyperlink ref="C104" r:id="rId105" xr:uid="{00000000-0004-0000-0200-000068000000}"/>
    <hyperlink ref="C105" r:id="rId106" xr:uid="{00000000-0004-0000-0200-000069000000}"/>
    <hyperlink ref="C106" r:id="rId107" xr:uid="{00000000-0004-0000-0200-00006A000000}"/>
    <hyperlink ref="C107" r:id="rId108" xr:uid="{00000000-0004-0000-0200-00006B000000}"/>
    <hyperlink ref="C108" r:id="rId109" xr:uid="{00000000-0004-0000-0200-00006C000000}"/>
    <hyperlink ref="C109" r:id="rId110" xr:uid="{00000000-0004-0000-0200-00006D000000}"/>
    <hyperlink ref="C110" r:id="rId111" xr:uid="{00000000-0004-0000-0200-00006E000000}"/>
    <hyperlink ref="C111" r:id="rId112" xr:uid="{00000000-0004-0000-0200-00006F000000}"/>
    <hyperlink ref="C112" r:id="rId113" xr:uid="{00000000-0004-0000-0200-000070000000}"/>
    <hyperlink ref="C113" r:id="rId114" xr:uid="{00000000-0004-0000-0200-000071000000}"/>
    <hyperlink ref="C114" r:id="rId115" xr:uid="{00000000-0004-0000-0200-000072000000}"/>
    <hyperlink ref="C115" r:id="rId116" xr:uid="{00000000-0004-0000-0200-000073000000}"/>
    <hyperlink ref="C116" r:id="rId117" xr:uid="{00000000-0004-0000-0200-000074000000}"/>
    <hyperlink ref="C117" r:id="rId118" xr:uid="{00000000-0004-0000-0200-000075000000}"/>
    <hyperlink ref="C118" r:id="rId119" xr:uid="{00000000-0004-0000-0200-000076000000}"/>
    <hyperlink ref="C119" r:id="rId120" xr:uid="{00000000-0004-0000-0200-000077000000}"/>
    <hyperlink ref="C120" r:id="rId121" xr:uid="{00000000-0004-0000-0200-000078000000}"/>
    <hyperlink ref="C121" r:id="rId122" xr:uid="{00000000-0004-0000-0200-000079000000}"/>
    <hyperlink ref="C122" r:id="rId123" xr:uid="{00000000-0004-0000-0200-00007A000000}"/>
    <hyperlink ref="C123" r:id="rId124" xr:uid="{00000000-0004-0000-0200-00007B000000}"/>
    <hyperlink ref="C124" r:id="rId125" xr:uid="{00000000-0004-0000-0200-00007C000000}"/>
    <hyperlink ref="C125" r:id="rId126" xr:uid="{00000000-0004-0000-0200-00007D000000}"/>
    <hyperlink ref="C126" r:id="rId127" xr:uid="{00000000-0004-0000-0200-00007E000000}"/>
    <hyperlink ref="C127" r:id="rId128" xr:uid="{00000000-0004-0000-0200-00007F000000}"/>
    <hyperlink ref="C128" r:id="rId129" xr:uid="{00000000-0004-0000-0200-000080000000}"/>
    <hyperlink ref="C129" r:id="rId130" xr:uid="{00000000-0004-0000-0200-000081000000}"/>
    <hyperlink ref="C130" r:id="rId131" xr:uid="{00000000-0004-0000-0200-000082000000}"/>
    <hyperlink ref="C131" r:id="rId132" xr:uid="{00000000-0004-0000-0200-000083000000}"/>
    <hyperlink ref="C132" r:id="rId133" xr:uid="{00000000-0004-0000-0200-000084000000}"/>
    <hyperlink ref="C133" r:id="rId134" xr:uid="{00000000-0004-0000-0200-000085000000}"/>
    <hyperlink ref="C134" r:id="rId135" xr:uid="{00000000-0004-0000-0200-000086000000}"/>
    <hyperlink ref="C135" r:id="rId136" xr:uid="{00000000-0004-0000-0200-000087000000}"/>
    <hyperlink ref="C136" r:id="rId137" xr:uid="{00000000-0004-0000-0200-000088000000}"/>
    <hyperlink ref="C137" r:id="rId138" xr:uid="{00000000-0004-0000-0200-000089000000}"/>
    <hyperlink ref="C138" r:id="rId139" xr:uid="{00000000-0004-0000-0200-00008A000000}"/>
    <hyperlink ref="C139" r:id="rId140" xr:uid="{00000000-0004-0000-0200-00008B000000}"/>
    <hyperlink ref="C140" r:id="rId141" xr:uid="{00000000-0004-0000-0200-00008C000000}"/>
    <hyperlink ref="C141" r:id="rId142" xr:uid="{00000000-0004-0000-0200-00008D000000}"/>
    <hyperlink ref="C142" r:id="rId143" xr:uid="{00000000-0004-0000-0200-00008E000000}"/>
    <hyperlink ref="C143" r:id="rId144" xr:uid="{00000000-0004-0000-0200-00008F000000}"/>
    <hyperlink ref="C144" r:id="rId145" xr:uid="{00000000-0004-0000-0200-000090000000}"/>
    <hyperlink ref="C145" r:id="rId146" xr:uid="{00000000-0004-0000-0200-000091000000}"/>
    <hyperlink ref="C146" r:id="rId147" xr:uid="{00000000-0004-0000-0200-000092000000}"/>
    <hyperlink ref="C147" r:id="rId148" xr:uid="{00000000-0004-0000-0200-000093000000}"/>
    <hyperlink ref="C148" r:id="rId149" xr:uid="{00000000-0004-0000-0200-000094000000}"/>
    <hyperlink ref="C149" r:id="rId150" xr:uid="{00000000-0004-0000-0200-000095000000}"/>
    <hyperlink ref="C150" r:id="rId151" xr:uid="{00000000-0004-0000-0200-000096000000}"/>
    <hyperlink ref="C151" r:id="rId152" xr:uid="{00000000-0004-0000-0200-000097000000}"/>
    <hyperlink ref="C152" r:id="rId153" xr:uid="{00000000-0004-0000-0200-000098000000}"/>
    <hyperlink ref="C153" r:id="rId154" xr:uid="{00000000-0004-0000-0200-000099000000}"/>
    <hyperlink ref="C154" r:id="rId155" xr:uid="{00000000-0004-0000-0200-00009A000000}"/>
    <hyperlink ref="C155" r:id="rId156" xr:uid="{00000000-0004-0000-0200-00009B000000}"/>
    <hyperlink ref="C156" r:id="rId157" xr:uid="{00000000-0004-0000-0200-00009C000000}"/>
    <hyperlink ref="C157" r:id="rId158" xr:uid="{00000000-0004-0000-0200-00009D000000}"/>
    <hyperlink ref="C158" r:id="rId159" xr:uid="{00000000-0004-0000-0200-00009E000000}"/>
    <hyperlink ref="C159" r:id="rId160" xr:uid="{00000000-0004-0000-0200-00009F000000}"/>
    <hyperlink ref="C160" r:id="rId161" xr:uid="{00000000-0004-0000-0200-0000A0000000}"/>
    <hyperlink ref="C161" r:id="rId162" xr:uid="{00000000-0004-0000-0200-0000A1000000}"/>
    <hyperlink ref="C162" r:id="rId163" xr:uid="{00000000-0004-0000-0200-0000A2000000}"/>
    <hyperlink ref="C163" r:id="rId164" xr:uid="{00000000-0004-0000-0200-0000A3000000}"/>
    <hyperlink ref="C164" r:id="rId165" xr:uid="{00000000-0004-0000-0200-0000A4000000}"/>
    <hyperlink ref="C165" r:id="rId166" xr:uid="{00000000-0004-0000-0200-0000A5000000}"/>
    <hyperlink ref="C166" r:id="rId167" xr:uid="{00000000-0004-0000-0200-0000A6000000}"/>
    <hyperlink ref="C167" r:id="rId168" xr:uid="{00000000-0004-0000-0200-0000A7000000}"/>
    <hyperlink ref="C168" r:id="rId169" xr:uid="{00000000-0004-0000-0200-0000A8000000}"/>
    <hyperlink ref="C169" r:id="rId170" xr:uid="{00000000-0004-0000-0200-0000A9000000}"/>
    <hyperlink ref="C170" r:id="rId171" xr:uid="{00000000-0004-0000-0200-0000AA000000}"/>
    <hyperlink ref="C171" r:id="rId172" xr:uid="{00000000-0004-0000-0200-0000AB000000}"/>
    <hyperlink ref="C172" r:id="rId173" xr:uid="{00000000-0004-0000-0200-0000AC000000}"/>
    <hyperlink ref="C173" r:id="rId174" xr:uid="{00000000-0004-0000-0200-0000AD000000}"/>
    <hyperlink ref="C174" r:id="rId175" xr:uid="{00000000-0004-0000-0200-0000AE000000}"/>
    <hyperlink ref="C175" r:id="rId176" xr:uid="{00000000-0004-0000-0200-0000AF000000}"/>
    <hyperlink ref="C176" r:id="rId177" xr:uid="{00000000-0004-0000-0200-0000B0000000}"/>
    <hyperlink ref="C177" r:id="rId178" xr:uid="{00000000-0004-0000-0200-0000B1000000}"/>
    <hyperlink ref="C178" r:id="rId179" xr:uid="{00000000-0004-0000-0200-0000B2000000}"/>
    <hyperlink ref="C179" r:id="rId180" xr:uid="{00000000-0004-0000-0200-0000B3000000}"/>
    <hyperlink ref="C180" r:id="rId181" xr:uid="{00000000-0004-0000-0200-0000B4000000}"/>
    <hyperlink ref="C181" r:id="rId182" xr:uid="{00000000-0004-0000-0200-0000B5000000}"/>
    <hyperlink ref="C182" r:id="rId183" xr:uid="{00000000-0004-0000-0200-0000B6000000}"/>
    <hyperlink ref="C183" r:id="rId184" xr:uid="{00000000-0004-0000-0200-0000B7000000}"/>
    <hyperlink ref="C184" r:id="rId185" xr:uid="{00000000-0004-0000-0200-0000B8000000}"/>
    <hyperlink ref="C185" r:id="rId186" xr:uid="{00000000-0004-0000-0200-0000B9000000}"/>
    <hyperlink ref="C186" r:id="rId187" xr:uid="{00000000-0004-0000-0200-0000BA000000}"/>
    <hyperlink ref="C187" r:id="rId188" xr:uid="{00000000-0004-0000-0200-0000BB000000}"/>
    <hyperlink ref="C188" r:id="rId189" xr:uid="{00000000-0004-0000-0200-0000BC000000}"/>
    <hyperlink ref="C189" r:id="rId190" xr:uid="{00000000-0004-0000-0200-0000BD000000}"/>
    <hyperlink ref="C190" r:id="rId191" xr:uid="{00000000-0004-0000-0200-0000BE000000}"/>
    <hyperlink ref="B191" r:id="rId192" xr:uid="{00000000-0004-0000-0200-0000BF000000}"/>
    <hyperlink ref="C191" r:id="rId193" xr:uid="{00000000-0004-0000-0200-0000C0000000}"/>
    <hyperlink ref="D191" r:id="rId194" xr:uid="{00000000-0004-0000-0200-0000C1000000}"/>
    <hyperlink ref="B192" r:id="rId195" xr:uid="{00000000-0004-0000-0200-0000C2000000}"/>
    <hyperlink ref="C192" r:id="rId196" xr:uid="{00000000-0004-0000-0200-0000C3000000}"/>
    <hyperlink ref="D192" r:id="rId197" xr:uid="{00000000-0004-0000-0200-0000C4000000}"/>
    <hyperlink ref="B193" r:id="rId198" xr:uid="{00000000-0004-0000-0200-0000C5000000}"/>
    <hyperlink ref="C193" r:id="rId199" xr:uid="{00000000-0004-0000-0200-0000C6000000}"/>
    <hyperlink ref="D193" r:id="rId200" xr:uid="{00000000-0004-0000-0200-0000C7000000}"/>
    <hyperlink ref="B194" r:id="rId201" xr:uid="{00000000-0004-0000-0200-0000C8000000}"/>
    <hyperlink ref="C194" r:id="rId202" xr:uid="{00000000-0004-0000-0200-0000C9000000}"/>
    <hyperlink ref="D194" r:id="rId203" xr:uid="{00000000-0004-0000-0200-0000CA000000}"/>
    <hyperlink ref="B195" r:id="rId204" xr:uid="{00000000-0004-0000-0200-0000CB000000}"/>
    <hyperlink ref="C195" r:id="rId205" xr:uid="{00000000-0004-0000-0200-0000CC000000}"/>
    <hyperlink ref="D195" r:id="rId206" xr:uid="{00000000-0004-0000-0200-0000CD000000}"/>
    <hyperlink ref="B196" r:id="rId207" xr:uid="{00000000-0004-0000-0200-0000CE000000}"/>
    <hyperlink ref="C196" r:id="rId208" xr:uid="{00000000-0004-0000-0200-0000CF000000}"/>
    <hyperlink ref="D196" r:id="rId209" xr:uid="{00000000-0004-0000-0200-0000D0000000}"/>
    <hyperlink ref="B197" r:id="rId210" xr:uid="{00000000-0004-0000-0200-0000D1000000}"/>
    <hyperlink ref="C197" r:id="rId211" xr:uid="{00000000-0004-0000-0200-0000D2000000}"/>
    <hyperlink ref="D197" r:id="rId212" xr:uid="{00000000-0004-0000-0200-0000D3000000}"/>
    <hyperlink ref="B198" r:id="rId213" xr:uid="{00000000-0004-0000-0200-0000D4000000}"/>
    <hyperlink ref="C198" r:id="rId214" xr:uid="{00000000-0004-0000-0200-0000D5000000}"/>
    <hyperlink ref="D198" r:id="rId215" xr:uid="{00000000-0004-0000-0200-0000D6000000}"/>
    <hyperlink ref="B199" r:id="rId216" xr:uid="{00000000-0004-0000-0200-0000D7000000}"/>
    <hyperlink ref="C199" r:id="rId217" xr:uid="{00000000-0004-0000-0200-0000D8000000}"/>
    <hyperlink ref="D199" r:id="rId218" xr:uid="{00000000-0004-0000-0200-0000D9000000}"/>
    <hyperlink ref="B200" r:id="rId219" xr:uid="{00000000-0004-0000-0200-0000DA000000}"/>
    <hyperlink ref="C200" r:id="rId220" xr:uid="{00000000-0004-0000-0200-0000DB000000}"/>
    <hyperlink ref="D200" r:id="rId221" xr:uid="{00000000-0004-0000-0200-0000DC000000}"/>
    <hyperlink ref="B201" r:id="rId222" xr:uid="{00000000-0004-0000-0200-0000DD000000}"/>
    <hyperlink ref="C201" r:id="rId223" xr:uid="{00000000-0004-0000-0200-0000DE000000}"/>
    <hyperlink ref="D201" r:id="rId224" xr:uid="{00000000-0004-0000-0200-0000DF000000}"/>
    <hyperlink ref="B202" r:id="rId225" xr:uid="{00000000-0004-0000-0200-0000E0000000}"/>
    <hyperlink ref="C202" r:id="rId226" xr:uid="{00000000-0004-0000-0200-0000E1000000}"/>
    <hyperlink ref="D202" r:id="rId227" xr:uid="{00000000-0004-0000-0200-0000E2000000}"/>
    <hyperlink ref="B203" r:id="rId228" xr:uid="{00000000-0004-0000-0200-0000E3000000}"/>
    <hyperlink ref="C203" r:id="rId229" xr:uid="{00000000-0004-0000-0200-0000E4000000}"/>
    <hyperlink ref="D203" r:id="rId230" xr:uid="{00000000-0004-0000-0200-0000E5000000}"/>
    <hyperlink ref="B204" r:id="rId231" xr:uid="{00000000-0004-0000-0200-0000E6000000}"/>
    <hyperlink ref="C204" r:id="rId232" xr:uid="{00000000-0004-0000-0200-0000E7000000}"/>
    <hyperlink ref="D204" r:id="rId233" xr:uid="{00000000-0004-0000-0200-0000E8000000}"/>
    <hyperlink ref="B205" r:id="rId234" xr:uid="{00000000-0004-0000-0200-0000E9000000}"/>
    <hyperlink ref="C205" r:id="rId235" xr:uid="{00000000-0004-0000-0200-0000EA000000}"/>
    <hyperlink ref="D205" r:id="rId236" xr:uid="{00000000-0004-0000-0200-0000EB000000}"/>
    <hyperlink ref="B206" r:id="rId237" xr:uid="{00000000-0004-0000-0200-0000EC000000}"/>
    <hyperlink ref="C206" r:id="rId238" xr:uid="{00000000-0004-0000-0200-0000ED000000}"/>
    <hyperlink ref="D206" r:id="rId239" xr:uid="{00000000-0004-0000-0200-0000EE000000}"/>
    <hyperlink ref="B207" r:id="rId240" xr:uid="{00000000-0004-0000-0200-0000EF000000}"/>
    <hyperlink ref="C207" r:id="rId241" xr:uid="{00000000-0004-0000-0200-0000F0000000}"/>
    <hyperlink ref="D207" r:id="rId242" xr:uid="{00000000-0004-0000-0200-0000F1000000}"/>
    <hyperlink ref="B208" r:id="rId243" xr:uid="{00000000-0004-0000-0200-0000F2000000}"/>
    <hyperlink ref="C208" r:id="rId244" xr:uid="{00000000-0004-0000-0200-0000F3000000}"/>
    <hyperlink ref="D208" r:id="rId245" xr:uid="{00000000-0004-0000-0200-0000F4000000}"/>
    <hyperlink ref="B209" r:id="rId246" xr:uid="{00000000-0004-0000-0200-0000F5000000}"/>
    <hyperlink ref="C209" r:id="rId247" xr:uid="{00000000-0004-0000-0200-0000F6000000}"/>
    <hyperlink ref="D209" r:id="rId248" xr:uid="{00000000-0004-0000-0200-0000F7000000}"/>
    <hyperlink ref="B210" r:id="rId249" xr:uid="{00000000-0004-0000-0200-0000F8000000}"/>
    <hyperlink ref="C210" r:id="rId250" xr:uid="{00000000-0004-0000-0200-0000F9000000}"/>
    <hyperlink ref="D210" r:id="rId251" xr:uid="{00000000-0004-0000-0200-0000FA000000}"/>
    <hyperlink ref="B211" r:id="rId252" xr:uid="{00000000-0004-0000-0200-0000FB000000}"/>
    <hyperlink ref="C211" r:id="rId253" xr:uid="{00000000-0004-0000-0200-0000FC000000}"/>
    <hyperlink ref="D211" r:id="rId254" xr:uid="{00000000-0004-0000-0200-0000FD000000}"/>
    <hyperlink ref="B212" r:id="rId255" xr:uid="{00000000-0004-0000-0200-0000FE000000}"/>
    <hyperlink ref="C212" r:id="rId256" xr:uid="{00000000-0004-0000-0200-0000FF000000}"/>
    <hyperlink ref="D212" r:id="rId257" xr:uid="{00000000-0004-0000-0200-000000010000}"/>
    <hyperlink ref="B213" r:id="rId258" xr:uid="{00000000-0004-0000-0200-000001010000}"/>
    <hyperlink ref="C213" r:id="rId259" xr:uid="{00000000-0004-0000-0200-000002010000}"/>
    <hyperlink ref="D213" r:id="rId260" xr:uid="{00000000-0004-0000-0200-000003010000}"/>
    <hyperlink ref="B214" r:id="rId261" xr:uid="{00000000-0004-0000-0200-000004010000}"/>
    <hyperlink ref="C214" r:id="rId262" xr:uid="{00000000-0004-0000-0200-000005010000}"/>
    <hyperlink ref="D214" r:id="rId263" xr:uid="{00000000-0004-0000-0200-000006010000}"/>
    <hyperlink ref="B215" r:id="rId264" xr:uid="{00000000-0004-0000-0200-000007010000}"/>
    <hyperlink ref="C215" r:id="rId265" xr:uid="{00000000-0004-0000-0200-000008010000}"/>
    <hyperlink ref="D215" r:id="rId266" xr:uid="{00000000-0004-0000-0200-000009010000}"/>
    <hyperlink ref="B216" r:id="rId267" xr:uid="{00000000-0004-0000-0200-00000A010000}"/>
    <hyperlink ref="C216" r:id="rId268" xr:uid="{00000000-0004-0000-0200-00000B010000}"/>
    <hyperlink ref="D216" r:id="rId269" xr:uid="{00000000-0004-0000-0200-00000C010000}"/>
    <hyperlink ref="B217" r:id="rId270" xr:uid="{00000000-0004-0000-0200-00000D010000}"/>
    <hyperlink ref="C217" r:id="rId271" xr:uid="{00000000-0004-0000-0200-00000E010000}"/>
    <hyperlink ref="D217" r:id="rId272" xr:uid="{00000000-0004-0000-0200-00000F010000}"/>
    <hyperlink ref="B218" r:id="rId273" xr:uid="{00000000-0004-0000-0200-000010010000}"/>
    <hyperlink ref="C218" r:id="rId274" xr:uid="{00000000-0004-0000-0200-000011010000}"/>
    <hyperlink ref="D218" r:id="rId275" xr:uid="{00000000-0004-0000-0200-000012010000}"/>
    <hyperlink ref="B219" r:id="rId276" xr:uid="{00000000-0004-0000-0200-000013010000}"/>
    <hyperlink ref="C219" r:id="rId277" xr:uid="{00000000-0004-0000-0200-000014010000}"/>
    <hyperlink ref="D219" r:id="rId278" xr:uid="{00000000-0004-0000-0200-000015010000}"/>
    <hyperlink ref="B220" r:id="rId279" xr:uid="{00000000-0004-0000-0200-000016010000}"/>
    <hyperlink ref="C220" r:id="rId280" xr:uid="{00000000-0004-0000-0200-000017010000}"/>
    <hyperlink ref="D220" r:id="rId281" xr:uid="{00000000-0004-0000-0200-000018010000}"/>
    <hyperlink ref="B221" r:id="rId282" xr:uid="{00000000-0004-0000-0200-000019010000}"/>
    <hyperlink ref="C221" r:id="rId283" xr:uid="{00000000-0004-0000-0200-00001A010000}"/>
    <hyperlink ref="D221" r:id="rId284" xr:uid="{00000000-0004-0000-0200-00001B010000}"/>
    <hyperlink ref="B222" r:id="rId285" xr:uid="{00000000-0004-0000-0200-00001C010000}"/>
    <hyperlink ref="C222" r:id="rId286" xr:uid="{00000000-0004-0000-0200-00001D010000}"/>
    <hyperlink ref="D222" r:id="rId287" xr:uid="{00000000-0004-0000-0200-00001E010000}"/>
    <hyperlink ref="B223" r:id="rId288" xr:uid="{00000000-0004-0000-0200-00001F010000}"/>
    <hyperlink ref="C223" r:id="rId289" xr:uid="{00000000-0004-0000-0200-000020010000}"/>
    <hyperlink ref="D223" r:id="rId290" xr:uid="{00000000-0004-0000-0200-000021010000}"/>
    <hyperlink ref="B224" r:id="rId291" xr:uid="{00000000-0004-0000-0200-000022010000}"/>
    <hyperlink ref="C224" r:id="rId292" xr:uid="{00000000-0004-0000-0200-000023010000}"/>
    <hyperlink ref="D224" r:id="rId293" xr:uid="{00000000-0004-0000-0200-000024010000}"/>
    <hyperlink ref="B225" r:id="rId294" xr:uid="{00000000-0004-0000-0200-000025010000}"/>
    <hyperlink ref="C225" r:id="rId295" xr:uid="{00000000-0004-0000-0200-000026010000}"/>
    <hyperlink ref="D225" r:id="rId296" xr:uid="{00000000-0004-0000-0200-000027010000}"/>
    <hyperlink ref="B226" r:id="rId297" xr:uid="{00000000-0004-0000-0200-000028010000}"/>
    <hyperlink ref="C226" r:id="rId298" xr:uid="{00000000-0004-0000-0200-000029010000}"/>
    <hyperlink ref="D226" r:id="rId299" xr:uid="{00000000-0004-0000-0200-00002A010000}"/>
    <hyperlink ref="B227" r:id="rId300" xr:uid="{00000000-0004-0000-0200-00002B010000}"/>
    <hyperlink ref="C227" r:id="rId301" xr:uid="{00000000-0004-0000-0200-00002C010000}"/>
    <hyperlink ref="D227" r:id="rId302" xr:uid="{00000000-0004-0000-0200-00002D010000}"/>
    <hyperlink ref="B228" r:id="rId303" xr:uid="{00000000-0004-0000-0200-00002E010000}"/>
    <hyperlink ref="C228" r:id="rId304" xr:uid="{00000000-0004-0000-0200-00002F010000}"/>
    <hyperlink ref="D228" r:id="rId305" xr:uid="{00000000-0004-0000-0200-000030010000}"/>
    <hyperlink ref="B229" r:id="rId306" xr:uid="{00000000-0004-0000-0200-000031010000}"/>
    <hyperlink ref="C229" r:id="rId307" xr:uid="{00000000-0004-0000-0200-000032010000}"/>
    <hyperlink ref="D229" r:id="rId308" xr:uid="{00000000-0004-0000-0200-000033010000}"/>
    <hyperlink ref="B230" r:id="rId309" xr:uid="{00000000-0004-0000-0200-000034010000}"/>
    <hyperlink ref="C230" r:id="rId310" xr:uid="{00000000-0004-0000-0200-000035010000}"/>
    <hyperlink ref="D230" r:id="rId311" xr:uid="{00000000-0004-0000-0200-000036010000}"/>
    <hyperlink ref="B231" r:id="rId312" xr:uid="{00000000-0004-0000-0200-000037010000}"/>
    <hyperlink ref="C231" r:id="rId313" xr:uid="{00000000-0004-0000-0200-000038010000}"/>
    <hyperlink ref="D231" r:id="rId314" xr:uid="{00000000-0004-0000-0200-000039010000}"/>
    <hyperlink ref="B232" r:id="rId315" xr:uid="{00000000-0004-0000-0200-00003A010000}"/>
    <hyperlink ref="C232" r:id="rId316" xr:uid="{00000000-0004-0000-0200-00003B010000}"/>
    <hyperlink ref="D232" r:id="rId317" xr:uid="{00000000-0004-0000-0200-00003C010000}"/>
    <hyperlink ref="B233" r:id="rId318" xr:uid="{00000000-0004-0000-0200-00003D010000}"/>
    <hyperlink ref="C233" r:id="rId319" xr:uid="{00000000-0004-0000-0200-00003E010000}"/>
    <hyperlink ref="D233" r:id="rId320" xr:uid="{00000000-0004-0000-0200-00003F010000}"/>
    <hyperlink ref="B234" r:id="rId321" xr:uid="{00000000-0004-0000-0200-000040010000}"/>
    <hyperlink ref="C234" r:id="rId322" xr:uid="{00000000-0004-0000-0200-000041010000}"/>
    <hyperlink ref="D234" r:id="rId323" xr:uid="{00000000-0004-0000-0200-000042010000}"/>
    <hyperlink ref="B235" r:id="rId324" xr:uid="{00000000-0004-0000-0200-000043010000}"/>
    <hyperlink ref="C235" r:id="rId325" xr:uid="{00000000-0004-0000-0200-000044010000}"/>
    <hyperlink ref="D235" r:id="rId326" xr:uid="{00000000-0004-0000-0200-000045010000}"/>
    <hyperlink ref="B236" r:id="rId327" xr:uid="{00000000-0004-0000-0200-000046010000}"/>
    <hyperlink ref="C236" r:id="rId328" xr:uid="{00000000-0004-0000-0200-000047010000}"/>
    <hyperlink ref="D236" r:id="rId329" xr:uid="{00000000-0004-0000-0200-000048010000}"/>
    <hyperlink ref="B237" r:id="rId330" xr:uid="{00000000-0004-0000-0200-000049010000}"/>
    <hyperlink ref="C237" r:id="rId331" xr:uid="{00000000-0004-0000-0200-00004A010000}"/>
    <hyperlink ref="D237" r:id="rId332" xr:uid="{00000000-0004-0000-0200-00004B010000}"/>
    <hyperlink ref="B238" r:id="rId333" xr:uid="{00000000-0004-0000-0200-00004C010000}"/>
    <hyperlink ref="C238" r:id="rId334" xr:uid="{00000000-0004-0000-0200-00004D010000}"/>
    <hyperlink ref="D238" r:id="rId335" xr:uid="{00000000-0004-0000-0200-00004E010000}"/>
    <hyperlink ref="B239" r:id="rId336" xr:uid="{00000000-0004-0000-0200-00004F010000}"/>
    <hyperlink ref="C239" r:id="rId337" xr:uid="{00000000-0004-0000-0200-000050010000}"/>
    <hyperlink ref="B240" r:id="rId338" xr:uid="{00000000-0004-0000-0200-000051010000}"/>
    <hyperlink ref="C240" r:id="rId339" xr:uid="{00000000-0004-0000-0200-000052010000}"/>
    <hyperlink ref="B241" r:id="rId340" xr:uid="{00000000-0004-0000-0200-000053010000}"/>
    <hyperlink ref="C241" r:id="rId341" xr:uid="{00000000-0004-0000-0200-000054010000}"/>
    <hyperlink ref="B242" r:id="rId342" xr:uid="{00000000-0004-0000-0200-000055010000}"/>
    <hyperlink ref="C242" r:id="rId343" xr:uid="{00000000-0004-0000-0200-000056010000}"/>
    <hyperlink ref="B243" r:id="rId344" xr:uid="{00000000-0004-0000-0200-000057010000}"/>
    <hyperlink ref="C243" r:id="rId345" xr:uid="{00000000-0004-0000-0200-000058010000}"/>
    <hyperlink ref="B244" r:id="rId346" xr:uid="{00000000-0004-0000-0200-000059010000}"/>
    <hyperlink ref="C244" r:id="rId347" xr:uid="{00000000-0004-0000-0200-00005A010000}"/>
    <hyperlink ref="B245" r:id="rId348" xr:uid="{00000000-0004-0000-0200-00005B010000}"/>
    <hyperlink ref="C245" r:id="rId349" xr:uid="{00000000-0004-0000-0200-00005C010000}"/>
    <hyperlink ref="B246" r:id="rId350" xr:uid="{00000000-0004-0000-0200-00005D010000}"/>
    <hyperlink ref="C246" r:id="rId351" xr:uid="{00000000-0004-0000-0200-00005E010000}"/>
    <hyperlink ref="B247" r:id="rId352" xr:uid="{00000000-0004-0000-0200-00005F010000}"/>
    <hyperlink ref="C247" r:id="rId353" xr:uid="{00000000-0004-0000-0200-000060010000}"/>
    <hyperlink ref="B248" r:id="rId354" xr:uid="{00000000-0004-0000-0200-000061010000}"/>
    <hyperlink ref="C248" r:id="rId355" xr:uid="{00000000-0004-0000-0200-000062010000}"/>
    <hyperlink ref="B249" r:id="rId356" xr:uid="{00000000-0004-0000-0200-000063010000}"/>
    <hyperlink ref="C249" r:id="rId357" xr:uid="{00000000-0004-0000-0200-000064010000}"/>
    <hyperlink ref="B250" r:id="rId358" xr:uid="{00000000-0004-0000-0200-000065010000}"/>
    <hyperlink ref="C250" r:id="rId359" xr:uid="{00000000-0004-0000-0200-000066010000}"/>
    <hyperlink ref="B251" r:id="rId360" xr:uid="{00000000-0004-0000-0200-000067010000}"/>
    <hyperlink ref="C251" r:id="rId361" xr:uid="{00000000-0004-0000-0200-000068010000}"/>
    <hyperlink ref="B252" r:id="rId362" xr:uid="{00000000-0004-0000-0200-000069010000}"/>
    <hyperlink ref="C252" r:id="rId363" xr:uid="{00000000-0004-0000-0200-00006A010000}"/>
    <hyperlink ref="B253" r:id="rId364" xr:uid="{00000000-0004-0000-0200-00006B010000}"/>
    <hyperlink ref="C253" r:id="rId365" xr:uid="{00000000-0004-0000-0200-00006C010000}"/>
    <hyperlink ref="B254" r:id="rId366" xr:uid="{00000000-0004-0000-0200-00006D010000}"/>
    <hyperlink ref="C254" r:id="rId367" xr:uid="{00000000-0004-0000-0200-00006E010000}"/>
    <hyperlink ref="B255" r:id="rId368" xr:uid="{00000000-0004-0000-0200-00006F010000}"/>
    <hyperlink ref="C255" r:id="rId369" xr:uid="{00000000-0004-0000-0200-000070010000}"/>
    <hyperlink ref="B256" r:id="rId370" xr:uid="{00000000-0004-0000-0200-000071010000}"/>
    <hyperlink ref="C256" r:id="rId371" xr:uid="{00000000-0004-0000-0200-000072010000}"/>
    <hyperlink ref="B257" r:id="rId372" xr:uid="{00000000-0004-0000-0200-000073010000}"/>
    <hyperlink ref="C257" r:id="rId373" xr:uid="{00000000-0004-0000-0200-000074010000}"/>
    <hyperlink ref="B258" r:id="rId374" xr:uid="{00000000-0004-0000-0200-000075010000}"/>
    <hyperlink ref="C258" r:id="rId375" xr:uid="{00000000-0004-0000-0200-000076010000}"/>
    <hyperlink ref="B259" r:id="rId376" xr:uid="{00000000-0004-0000-0200-000077010000}"/>
    <hyperlink ref="C259" r:id="rId377" xr:uid="{00000000-0004-0000-0200-000078010000}"/>
    <hyperlink ref="B260" r:id="rId378" xr:uid="{00000000-0004-0000-0200-000079010000}"/>
    <hyperlink ref="C260" r:id="rId379" xr:uid="{00000000-0004-0000-0200-00007A010000}"/>
    <hyperlink ref="B261" r:id="rId380" xr:uid="{00000000-0004-0000-0200-00007B010000}"/>
    <hyperlink ref="C261" r:id="rId381" xr:uid="{00000000-0004-0000-0200-00007C010000}"/>
    <hyperlink ref="B262" r:id="rId382" xr:uid="{00000000-0004-0000-0200-00007D010000}"/>
    <hyperlink ref="C262" r:id="rId383" xr:uid="{00000000-0004-0000-0200-00007E010000}"/>
    <hyperlink ref="B263" r:id="rId384" xr:uid="{00000000-0004-0000-0200-00007F010000}"/>
    <hyperlink ref="C263" r:id="rId385" xr:uid="{00000000-0004-0000-0200-000080010000}"/>
    <hyperlink ref="B264" r:id="rId386" xr:uid="{00000000-0004-0000-0200-000081010000}"/>
    <hyperlink ref="C264" r:id="rId387" xr:uid="{00000000-0004-0000-0200-000082010000}"/>
    <hyperlink ref="B265" r:id="rId388" xr:uid="{00000000-0004-0000-0200-000083010000}"/>
    <hyperlink ref="C265" r:id="rId389" xr:uid="{00000000-0004-0000-0200-000084010000}"/>
    <hyperlink ref="B266" r:id="rId390" xr:uid="{00000000-0004-0000-0200-000085010000}"/>
    <hyperlink ref="C266" r:id="rId391" xr:uid="{00000000-0004-0000-0200-000086010000}"/>
    <hyperlink ref="B267" r:id="rId392" xr:uid="{00000000-0004-0000-0200-000087010000}"/>
    <hyperlink ref="C267" r:id="rId393" xr:uid="{00000000-0004-0000-0200-000088010000}"/>
    <hyperlink ref="B268" r:id="rId394" xr:uid="{00000000-0004-0000-0200-000089010000}"/>
    <hyperlink ref="C268" r:id="rId395" xr:uid="{00000000-0004-0000-0200-00008A010000}"/>
    <hyperlink ref="B269" r:id="rId396" xr:uid="{00000000-0004-0000-0200-00008B010000}"/>
    <hyperlink ref="C269" r:id="rId397" xr:uid="{00000000-0004-0000-0200-00008C010000}"/>
    <hyperlink ref="B270" r:id="rId398" xr:uid="{00000000-0004-0000-0200-00008D010000}"/>
    <hyperlink ref="C270" r:id="rId399" xr:uid="{00000000-0004-0000-0200-00008E010000}"/>
    <hyperlink ref="B271" r:id="rId400" xr:uid="{00000000-0004-0000-0200-00008F010000}"/>
    <hyperlink ref="C271" r:id="rId401" xr:uid="{00000000-0004-0000-0200-000090010000}"/>
    <hyperlink ref="B272" r:id="rId402" xr:uid="{00000000-0004-0000-0200-000091010000}"/>
    <hyperlink ref="C272" r:id="rId403" xr:uid="{00000000-0004-0000-0200-000092010000}"/>
    <hyperlink ref="B273" r:id="rId404" xr:uid="{00000000-0004-0000-0200-000093010000}"/>
    <hyperlink ref="C273" r:id="rId405" xr:uid="{00000000-0004-0000-0200-000094010000}"/>
    <hyperlink ref="B274" r:id="rId406" xr:uid="{00000000-0004-0000-0200-000095010000}"/>
    <hyperlink ref="C274" r:id="rId407" xr:uid="{00000000-0004-0000-0200-000096010000}"/>
    <hyperlink ref="B275" r:id="rId408" xr:uid="{00000000-0004-0000-0200-000097010000}"/>
    <hyperlink ref="C275" r:id="rId409" xr:uid="{00000000-0004-0000-0200-000098010000}"/>
    <hyperlink ref="A276" r:id="rId410" xr:uid="{00000000-0004-0000-0200-000099010000}"/>
    <hyperlink ref="B276" r:id="rId411" xr:uid="{00000000-0004-0000-0200-00009A010000}"/>
    <hyperlink ref="C276" r:id="rId412" xr:uid="{00000000-0004-0000-0200-00009B010000}"/>
    <hyperlink ref="A277" r:id="rId413" xr:uid="{00000000-0004-0000-0200-00009C010000}"/>
    <hyperlink ref="B277" r:id="rId414" xr:uid="{00000000-0004-0000-0200-00009D010000}"/>
    <hyperlink ref="C277" r:id="rId415" xr:uid="{00000000-0004-0000-0200-00009E010000}"/>
    <hyperlink ref="A278" r:id="rId416" xr:uid="{00000000-0004-0000-0200-00009F010000}"/>
    <hyperlink ref="B278" r:id="rId417" xr:uid="{00000000-0004-0000-0200-0000A0010000}"/>
    <hyperlink ref="C278" r:id="rId418" xr:uid="{00000000-0004-0000-0200-0000A1010000}"/>
    <hyperlink ref="A279" r:id="rId419" xr:uid="{00000000-0004-0000-0200-0000A2010000}"/>
    <hyperlink ref="B279" r:id="rId420" xr:uid="{00000000-0004-0000-0200-0000A3010000}"/>
    <hyperlink ref="C279" r:id="rId421" xr:uid="{00000000-0004-0000-0200-0000A4010000}"/>
    <hyperlink ref="A280" r:id="rId422" xr:uid="{00000000-0004-0000-0200-0000A5010000}"/>
    <hyperlink ref="B280" r:id="rId423" xr:uid="{00000000-0004-0000-0200-0000A6010000}"/>
    <hyperlink ref="C280" r:id="rId424" xr:uid="{00000000-0004-0000-0200-0000A7010000}"/>
    <hyperlink ref="A281" r:id="rId425" xr:uid="{00000000-0004-0000-0200-0000A8010000}"/>
    <hyperlink ref="B281" r:id="rId426" xr:uid="{00000000-0004-0000-0200-0000A9010000}"/>
    <hyperlink ref="C281" r:id="rId427" xr:uid="{00000000-0004-0000-0200-0000AA010000}"/>
    <hyperlink ref="A282" r:id="rId428" xr:uid="{00000000-0004-0000-0200-0000AB010000}"/>
    <hyperlink ref="B282" r:id="rId429" xr:uid="{00000000-0004-0000-0200-0000AC010000}"/>
    <hyperlink ref="C282" r:id="rId430" xr:uid="{00000000-0004-0000-0200-0000AD010000}"/>
    <hyperlink ref="A283" r:id="rId431" xr:uid="{00000000-0004-0000-0200-0000AE010000}"/>
    <hyperlink ref="B283" r:id="rId432" xr:uid="{00000000-0004-0000-0200-0000AF010000}"/>
    <hyperlink ref="C283" r:id="rId433" xr:uid="{00000000-0004-0000-0200-0000B0010000}"/>
    <hyperlink ref="A284" r:id="rId434" xr:uid="{00000000-0004-0000-0200-0000B1010000}"/>
    <hyperlink ref="B284" r:id="rId435" xr:uid="{00000000-0004-0000-0200-0000B2010000}"/>
    <hyperlink ref="C284" r:id="rId436" xr:uid="{00000000-0004-0000-0200-0000B3010000}"/>
    <hyperlink ref="A285" r:id="rId437" xr:uid="{00000000-0004-0000-0200-0000B4010000}"/>
    <hyperlink ref="B285" r:id="rId438" xr:uid="{00000000-0004-0000-0200-0000B5010000}"/>
    <hyperlink ref="C285" r:id="rId439" xr:uid="{00000000-0004-0000-0200-0000B6010000}"/>
    <hyperlink ref="A286" r:id="rId440" xr:uid="{00000000-0004-0000-0200-0000B7010000}"/>
    <hyperlink ref="B286" r:id="rId441" xr:uid="{00000000-0004-0000-0200-0000B8010000}"/>
    <hyperlink ref="C286" r:id="rId442" xr:uid="{00000000-0004-0000-0200-0000B9010000}"/>
    <hyperlink ref="A287" r:id="rId443" xr:uid="{00000000-0004-0000-0200-0000BA010000}"/>
    <hyperlink ref="B287" r:id="rId444" xr:uid="{00000000-0004-0000-0200-0000BB010000}"/>
    <hyperlink ref="C287" r:id="rId445" xr:uid="{00000000-0004-0000-0200-0000BC010000}"/>
    <hyperlink ref="A288" r:id="rId446" xr:uid="{00000000-0004-0000-0200-0000BD010000}"/>
    <hyperlink ref="B288" r:id="rId447" xr:uid="{00000000-0004-0000-0200-0000BE010000}"/>
    <hyperlink ref="C288" r:id="rId448" xr:uid="{00000000-0004-0000-0200-0000BF010000}"/>
    <hyperlink ref="A289" r:id="rId449" xr:uid="{00000000-0004-0000-0200-0000C0010000}"/>
    <hyperlink ref="B289" r:id="rId450" xr:uid="{00000000-0004-0000-0200-0000C1010000}"/>
    <hyperlink ref="C289" r:id="rId451" xr:uid="{00000000-0004-0000-0200-0000C2010000}"/>
    <hyperlink ref="A290" r:id="rId452" xr:uid="{00000000-0004-0000-0200-0000C3010000}"/>
    <hyperlink ref="B290" r:id="rId453" xr:uid="{00000000-0004-0000-0200-0000C4010000}"/>
    <hyperlink ref="C290" r:id="rId454" xr:uid="{00000000-0004-0000-0200-0000C5010000}"/>
    <hyperlink ref="A291" r:id="rId455" xr:uid="{00000000-0004-0000-0200-0000C6010000}"/>
    <hyperlink ref="B291" r:id="rId456" xr:uid="{00000000-0004-0000-0200-0000C7010000}"/>
    <hyperlink ref="C291" r:id="rId457" xr:uid="{00000000-0004-0000-0200-0000C8010000}"/>
    <hyperlink ref="A292" r:id="rId458" xr:uid="{00000000-0004-0000-0200-0000C9010000}"/>
    <hyperlink ref="B292" r:id="rId459" xr:uid="{00000000-0004-0000-0200-0000CA010000}"/>
    <hyperlink ref="C292" r:id="rId460" xr:uid="{00000000-0004-0000-0200-0000CB010000}"/>
    <hyperlink ref="A293" r:id="rId461" xr:uid="{00000000-0004-0000-0200-0000CC010000}"/>
    <hyperlink ref="B293" r:id="rId462" xr:uid="{00000000-0004-0000-0200-0000CD010000}"/>
    <hyperlink ref="C293" r:id="rId463" xr:uid="{00000000-0004-0000-0200-0000CE010000}"/>
    <hyperlink ref="A294" r:id="rId464" xr:uid="{00000000-0004-0000-0200-0000CF010000}"/>
    <hyperlink ref="B294" r:id="rId465" xr:uid="{00000000-0004-0000-0200-0000D0010000}"/>
    <hyperlink ref="C294" r:id="rId466" xr:uid="{00000000-0004-0000-0200-0000D1010000}"/>
    <hyperlink ref="A295" r:id="rId467" xr:uid="{00000000-0004-0000-0200-0000D2010000}"/>
    <hyperlink ref="B295" r:id="rId468" xr:uid="{00000000-0004-0000-0200-0000D3010000}"/>
    <hyperlink ref="C295" r:id="rId469" xr:uid="{00000000-0004-0000-0200-0000D4010000}"/>
    <hyperlink ref="A296" r:id="rId470" xr:uid="{00000000-0004-0000-0200-0000D5010000}"/>
    <hyperlink ref="B296" r:id="rId471" xr:uid="{00000000-0004-0000-0200-0000D6010000}"/>
    <hyperlink ref="C296" r:id="rId472" xr:uid="{00000000-0004-0000-0200-0000D7010000}"/>
    <hyperlink ref="A297" r:id="rId473" xr:uid="{00000000-0004-0000-0200-0000D8010000}"/>
    <hyperlink ref="B297" r:id="rId474" xr:uid="{00000000-0004-0000-0200-0000D9010000}"/>
    <hyperlink ref="C297" r:id="rId475" xr:uid="{00000000-0004-0000-0200-0000DA010000}"/>
    <hyperlink ref="A298" r:id="rId476" xr:uid="{00000000-0004-0000-0200-0000DB010000}"/>
    <hyperlink ref="B298" r:id="rId477" xr:uid="{00000000-0004-0000-0200-0000DC010000}"/>
    <hyperlink ref="C298" r:id="rId478" xr:uid="{00000000-0004-0000-0200-0000DD010000}"/>
    <hyperlink ref="A299" r:id="rId479" xr:uid="{00000000-0004-0000-0200-0000DE010000}"/>
    <hyperlink ref="B299" r:id="rId480" xr:uid="{00000000-0004-0000-0200-0000DF010000}"/>
    <hyperlink ref="C299" r:id="rId481" xr:uid="{00000000-0004-0000-0200-0000E0010000}"/>
    <hyperlink ref="A300" r:id="rId482" xr:uid="{00000000-0004-0000-0200-0000E1010000}"/>
    <hyperlink ref="B300" r:id="rId483" xr:uid="{00000000-0004-0000-0200-0000E2010000}"/>
    <hyperlink ref="C300" r:id="rId484" xr:uid="{00000000-0004-0000-0200-0000E3010000}"/>
    <hyperlink ref="A301" r:id="rId485" xr:uid="{00000000-0004-0000-0200-0000E4010000}"/>
    <hyperlink ref="B301" r:id="rId486" xr:uid="{00000000-0004-0000-0200-0000E5010000}"/>
    <hyperlink ref="C301" r:id="rId487" xr:uid="{00000000-0004-0000-0200-0000E6010000}"/>
    <hyperlink ref="A302" r:id="rId488" xr:uid="{00000000-0004-0000-0200-0000E7010000}"/>
    <hyperlink ref="B302" r:id="rId489" xr:uid="{00000000-0004-0000-0200-0000E8010000}"/>
    <hyperlink ref="C302" r:id="rId490" xr:uid="{00000000-0004-0000-0200-0000E9010000}"/>
    <hyperlink ref="A303" r:id="rId491" xr:uid="{00000000-0004-0000-0200-0000EA010000}"/>
    <hyperlink ref="B303" r:id="rId492" xr:uid="{00000000-0004-0000-0200-0000EB010000}"/>
    <hyperlink ref="C303" r:id="rId493" xr:uid="{00000000-0004-0000-0200-0000EC010000}"/>
    <hyperlink ref="A304" r:id="rId494" xr:uid="{00000000-0004-0000-0200-0000ED010000}"/>
    <hyperlink ref="B304" r:id="rId495" xr:uid="{00000000-0004-0000-0200-0000EE010000}"/>
    <hyperlink ref="C304" r:id="rId496" xr:uid="{00000000-0004-0000-0200-0000EF010000}"/>
    <hyperlink ref="A305" r:id="rId497" xr:uid="{00000000-0004-0000-0200-0000F0010000}"/>
    <hyperlink ref="B305" r:id="rId498" xr:uid="{00000000-0004-0000-0200-0000F1010000}"/>
    <hyperlink ref="C305" r:id="rId499" xr:uid="{00000000-0004-0000-0200-0000F2010000}"/>
    <hyperlink ref="A306" r:id="rId500" xr:uid="{00000000-0004-0000-0200-0000F3010000}"/>
    <hyperlink ref="B306" r:id="rId501" xr:uid="{00000000-0004-0000-0200-0000F4010000}"/>
    <hyperlink ref="C306" r:id="rId502" xr:uid="{00000000-0004-0000-0200-0000F5010000}"/>
    <hyperlink ref="A307" r:id="rId503" xr:uid="{00000000-0004-0000-0200-0000F6010000}"/>
    <hyperlink ref="B307" r:id="rId504" xr:uid="{00000000-0004-0000-0200-0000F7010000}"/>
    <hyperlink ref="C307" r:id="rId505" xr:uid="{00000000-0004-0000-0200-0000F8010000}"/>
    <hyperlink ref="A308" r:id="rId506" xr:uid="{00000000-0004-0000-0200-0000F9010000}"/>
    <hyperlink ref="B308" r:id="rId507" xr:uid="{00000000-0004-0000-0200-0000FA010000}"/>
    <hyperlink ref="C308" r:id="rId508" xr:uid="{00000000-0004-0000-0200-0000FB010000}"/>
    <hyperlink ref="A309" r:id="rId509" xr:uid="{00000000-0004-0000-0200-0000FC010000}"/>
    <hyperlink ref="B309" r:id="rId510" xr:uid="{00000000-0004-0000-0200-0000FD010000}"/>
    <hyperlink ref="C309" r:id="rId511" xr:uid="{00000000-0004-0000-0200-0000FE010000}"/>
    <hyperlink ref="A310" r:id="rId512" xr:uid="{00000000-0004-0000-0200-0000FF010000}"/>
    <hyperlink ref="B310" r:id="rId513" xr:uid="{00000000-0004-0000-0200-000000020000}"/>
    <hyperlink ref="C310" r:id="rId514" xr:uid="{00000000-0004-0000-0200-000001020000}"/>
    <hyperlink ref="A311" r:id="rId515" xr:uid="{00000000-0004-0000-0200-000002020000}"/>
    <hyperlink ref="B311" r:id="rId516" xr:uid="{00000000-0004-0000-0200-000003020000}"/>
    <hyperlink ref="C311" r:id="rId517" xr:uid="{00000000-0004-0000-0200-000004020000}"/>
    <hyperlink ref="A312" r:id="rId518" xr:uid="{00000000-0004-0000-0200-000005020000}"/>
    <hyperlink ref="B312" r:id="rId519" xr:uid="{00000000-0004-0000-0200-000006020000}"/>
    <hyperlink ref="C312" r:id="rId520" xr:uid="{00000000-0004-0000-0200-000007020000}"/>
    <hyperlink ref="A313" r:id="rId521" xr:uid="{00000000-0004-0000-0200-000008020000}"/>
    <hyperlink ref="B313" r:id="rId522" xr:uid="{00000000-0004-0000-0200-000009020000}"/>
    <hyperlink ref="C313" r:id="rId523" xr:uid="{00000000-0004-0000-0200-00000A020000}"/>
    <hyperlink ref="A314" r:id="rId524" xr:uid="{00000000-0004-0000-0200-00000B020000}"/>
    <hyperlink ref="B314" r:id="rId525" xr:uid="{00000000-0004-0000-0200-00000C020000}"/>
    <hyperlink ref="C314" r:id="rId526" xr:uid="{00000000-0004-0000-0200-00000D020000}"/>
    <hyperlink ref="A315" r:id="rId527" xr:uid="{00000000-0004-0000-0200-00000E020000}"/>
    <hyperlink ref="B315" r:id="rId528" xr:uid="{00000000-0004-0000-0200-00000F020000}"/>
    <hyperlink ref="C315" r:id="rId529" xr:uid="{00000000-0004-0000-0200-000010020000}"/>
    <hyperlink ref="A316" r:id="rId530" xr:uid="{00000000-0004-0000-0200-000011020000}"/>
    <hyperlink ref="B316" r:id="rId531" xr:uid="{00000000-0004-0000-0200-000012020000}"/>
    <hyperlink ref="C316" r:id="rId532" xr:uid="{00000000-0004-0000-0200-000013020000}"/>
    <hyperlink ref="A317" r:id="rId533" xr:uid="{00000000-0004-0000-0200-000014020000}"/>
    <hyperlink ref="B317" r:id="rId534" xr:uid="{00000000-0004-0000-0200-000015020000}"/>
    <hyperlink ref="C317" r:id="rId535" xr:uid="{00000000-0004-0000-0200-000016020000}"/>
    <hyperlink ref="A318" r:id="rId536" xr:uid="{00000000-0004-0000-0200-000017020000}"/>
    <hyperlink ref="B318" r:id="rId537" xr:uid="{00000000-0004-0000-0200-000018020000}"/>
    <hyperlink ref="C318" r:id="rId538" xr:uid="{00000000-0004-0000-0200-000019020000}"/>
    <hyperlink ref="A319" r:id="rId539" xr:uid="{00000000-0004-0000-0200-00001A020000}"/>
    <hyperlink ref="B319" r:id="rId540" xr:uid="{00000000-0004-0000-0200-00001B020000}"/>
    <hyperlink ref="C319" r:id="rId541" xr:uid="{00000000-0004-0000-0200-00001C020000}"/>
    <hyperlink ref="A320" r:id="rId542" xr:uid="{00000000-0004-0000-0200-00001D020000}"/>
    <hyperlink ref="B320" r:id="rId543" xr:uid="{00000000-0004-0000-0200-00001E020000}"/>
    <hyperlink ref="C320" r:id="rId544" xr:uid="{00000000-0004-0000-0200-00001F020000}"/>
    <hyperlink ref="A321" r:id="rId545" xr:uid="{00000000-0004-0000-0200-000020020000}"/>
    <hyperlink ref="B321" r:id="rId546" xr:uid="{00000000-0004-0000-0200-000021020000}"/>
    <hyperlink ref="C321" r:id="rId547" xr:uid="{00000000-0004-0000-0200-000022020000}"/>
    <hyperlink ref="A322" r:id="rId548" xr:uid="{00000000-0004-0000-0200-000023020000}"/>
    <hyperlink ref="B322" r:id="rId549" xr:uid="{00000000-0004-0000-0200-000024020000}"/>
    <hyperlink ref="C322" r:id="rId550" xr:uid="{00000000-0004-0000-0200-000025020000}"/>
    <hyperlink ref="A323" r:id="rId551" xr:uid="{00000000-0004-0000-0200-000026020000}"/>
    <hyperlink ref="B323" r:id="rId552" xr:uid="{00000000-0004-0000-0200-000027020000}"/>
    <hyperlink ref="C323" r:id="rId553" xr:uid="{00000000-0004-0000-0200-000028020000}"/>
    <hyperlink ref="A324" r:id="rId554" xr:uid="{00000000-0004-0000-0200-000029020000}"/>
    <hyperlink ref="B324" r:id="rId555" xr:uid="{00000000-0004-0000-0200-00002A020000}"/>
    <hyperlink ref="C324" r:id="rId556" xr:uid="{00000000-0004-0000-0200-00002B020000}"/>
    <hyperlink ref="A325" r:id="rId557" xr:uid="{00000000-0004-0000-0200-00002C020000}"/>
    <hyperlink ref="B325" r:id="rId558" xr:uid="{00000000-0004-0000-0200-00002D020000}"/>
    <hyperlink ref="C325" r:id="rId559" xr:uid="{00000000-0004-0000-0200-00002E020000}"/>
    <hyperlink ref="A326" r:id="rId560" xr:uid="{00000000-0004-0000-0200-00002F020000}"/>
    <hyperlink ref="B326" r:id="rId561" xr:uid="{00000000-0004-0000-0200-000030020000}"/>
    <hyperlink ref="C326" r:id="rId562" xr:uid="{00000000-0004-0000-0200-000031020000}"/>
    <hyperlink ref="A327" r:id="rId563" xr:uid="{00000000-0004-0000-0200-000032020000}"/>
    <hyperlink ref="B327" r:id="rId564" xr:uid="{00000000-0004-0000-0200-000033020000}"/>
    <hyperlink ref="C327" r:id="rId565" xr:uid="{00000000-0004-0000-0200-000034020000}"/>
    <hyperlink ref="A328" r:id="rId566" xr:uid="{00000000-0004-0000-0200-000035020000}"/>
    <hyperlink ref="B328" r:id="rId567" xr:uid="{00000000-0004-0000-0200-000036020000}"/>
    <hyperlink ref="C328" r:id="rId568" xr:uid="{00000000-0004-0000-0200-000037020000}"/>
    <hyperlink ref="A329" r:id="rId569" xr:uid="{00000000-0004-0000-0200-000038020000}"/>
    <hyperlink ref="B329" r:id="rId570" xr:uid="{00000000-0004-0000-0200-000039020000}"/>
    <hyperlink ref="C329" r:id="rId571" xr:uid="{00000000-0004-0000-0200-00003A020000}"/>
    <hyperlink ref="A330" r:id="rId572" xr:uid="{00000000-0004-0000-0200-00003B020000}"/>
    <hyperlink ref="B330" r:id="rId573" xr:uid="{00000000-0004-0000-0200-00003C020000}"/>
    <hyperlink ref="C330" r:id="rId574" xr:uid="{00000000-0004-0000-0200-00003D020000}"/>
    <hyperlink ref="A331" r:id="rId575" xr:uid="{00000000-0004-0000-0200-00003E020000}"/>
    <hyperlink ref="B331" r:id="rId576" xr:uid="{00000000-0004-0000-0200-00003F020000}"/>
    <hyperlink ref="C331" r:id="rId577" xr:uid="{00000000-0004-0000-0200-000040020000}"/>
    <hyperlink ref="A332" r:id="rId578" xr:uid="{00000000-0004-0000-0200-000041020000}"/>
    <hyperlink ref="B332" r:id="rId579" xr:uid="{00000000-0004-0000-0200-000042020000}"/>
    <hyperlink ref="C332" r:id="rId580" xr:uid="{00000000-0004-0000-0200-000043020000}"/>
    <hyperlink ref="A333" r:id="rId581" xr:uid="{00000000-0004-0000-0200-000044020000}"/>
    <hyperlink ref="B333" r:id="rId582" xr:uid="{00000000-0004-0000-0200-000045020000}"/>
    <hyperlink ref="C333" r:id="rId583" xr:uid="{00000000-0004-0000-0200-000046020000}"/>
    <hyperlink ref="A334" r:id="rId584" xr:uid="{00000000-0004-0000-0200-000047020000}"/>
    <hyperlink ref="B334" r:id="rId585" xr:uid="{00000000-0004-0000-0200-000048020000}"/>
    <hyperlink ref="C334" r:id="rId586" xr:uid="{00000000-0004-0000-0200-000049020000}"/>
    <hyperlink ref="A335" r:id="rId587" xr:uid="{00000000-0004-0000-0200-00004A020000}"/>
    <hyperlink ref="B335" r:id="rId588" xr:uid="{00000000-0004-0000-0200-00004B020000}"/>
    <hyperlink ref="C335" r:id="rId589" xr:uid="{00000000-0004-0000-0200-00004C020000}"/>
    <hyperlink ref="A336" r:id="rId590" xr:uid="{00000000-0004-0000-0200-00004D020000}"/>
    <hyperlink ref="B336" r:id="rId591" xr:uid="{00000000-0004-0000-0200-00004E020000}"/>
    <hyperlink ref="C336" r:id="rId592" xr:uid="{00000000-0004-0000-0200-00004F020000}"/>
    <hyperlink ref="A337" r:id="rId593" xr:uid="{00000000-0004-0000-0200-000050020000}"/>
    <hyperlink ref="B337" r:id="rId594" xr:uid="{00000000-0004-0000-0200-000051020000}"/>
    <hyperlink ref="C337" r:id="rId595" xr:uid="{00000000-0004-0000-0200-000052020000}"/>
    <hyperlink ref="A338" r:id="rId596" xr:uid="{00000000-0004-0000-0200-000053020000}"/>
    <hyperlink ref="B338" r:id="rId597" xr:uid="{00000000-0004-0000-0200-000054020000}"/>
    <hyperlink ref="C338" r:id="rId598" xr:uid="{00000000-0004-0000-0200-000055020000}"/>
    <hyperlink ref="A339" r:id="rId599" xr:uid="{00000000-0004-0000-0200-000056020000}"/>
    <hyperlink ref="B339" r:id="rId600" xr:uid="{00000000-0004-0000-0200-000057020000}"/>
    <hyperlink ref="C339" r:id="rId601" xr:uid="{00000000-0004-0000-0200-000058020000}"/>
    <hyperlink ref="A340" r:id="rId602" xr:uid="{00000000-0004-0000-0200-000059020000}"/>
    <hyperlink ref="B340" r:id="rId603" xr:uid="{00000000-0004-0000-0200-00005A020000}"/>
    <hyperlink ref="C340" r:id="rId604" xr:uid="{00000000-0004-0000-0200-00005B020000}"/>
    <hyperlink ref="A341" r:id="rId605" xr:uid="{00000000-0004-0000-0200-00005C020000}"/>
    <hyperlink ref="B341" r:id="rId606" xr:uid="{00000000-0004-0000-0200-00005D020000}"/>
    <hyperlink ref="C341" r:id="rId607" xr:uid="{00000000-0004-0000-0200-00005E020000}"/>
    <hyperlink ref="A342" r:id="rId608" xr:uid="{00000000-0004-0000-0200-00005F020000}"/>
    <hyperlink ref="B342" r:id="rId609" xr:uid="{00000000-0004-0000-0200-000060020000}"/>
    <hyperlink ref="C342" r:id="rId610" xr:uid="{00000000-0004-0000-0200-000061020000}"/>
    <hyperlink ref="A343" r:id="rId611" xr:uid="{00000000-0004-0000-0200-000062020000}"/>
    <hyperlink ref="B343" r:id="rId612" xr:uid="{00000000-0004-0000-0200-000063020000}"/>
    <hyperlink ref="C343" r:id="rId613" xr:uid="{00000000-0004-0000-0200-000064020000}"/>
    <hyperlink ref="A344" r:id="rId614" xr:uid="{00000000-0004-0000-0200-000065020000}"/>
    <hyperlink ref="B344" r:id="rId615" xr:uid="{00000000-0004-0000-0200-000066020000}"/>
    <hyperlink ref="C344" r:id="rId616" xr:uid="{00000000-0004-0000-0200-000067020000}"/>
    <hyperlink ref="A345" r:id="rId617" xr:uid="{00000000-0004-0000-0200-000068020000}"/>
    <hyperlink ref="B345" r:id="rId618" xr:uid="{00000000-0004-0000-0200-000069020000}"/>
    <hyperlink ref="C345" r:id="rId619" xr:uid="{00000000-0004-0000-0200-00006A020000}"/>
    <hyperlink ref="A346" r:id="rId620" xr:uid="{00000000-0004-0000-0200-00006B020000}"/>
    <hyperlink ref="B346" r:id="rId621" xr:uid="{00000000-0004-0000-0200-00006C020000}"/>
    <hyperlink ref="C346" r:id="rId622" xr:uid="{00000000-0004-0000-0200-00006D020000}"/>
    <hyperlink ref="A347" r:id="rId623" xr:uid="{00000000-0004-0000-0200-00006E020000}"/>
    <hyperlink ref="B347" r:id="rId624" xr:uid="{00000000-0004-0000-0200-00006F020000}"/>
    <hyperlink ref="C347" r:id="rId625" xr:uid="{00000000-0004-0000-0200-000070020000}"/>
    <hyperlink ref="A348" r:id="rId626" xr:uid="{00000000-0004-0000-0200-000071020000}"/>
    <hyperlink ref="B348" r:id="rId627" xr:uid="{00000000-0004-0000-0200-000072020000}"/>
    <hyperlink ref="C348" r:id="rId628" xr:uid="{00000000-0004-0000-0200-000073020000}"/>
    <hyperlink ref="A349" r:id="rId629" xr:uid="{00000000-0004-0000-0200-000074020000}"/>
    <hyperlink ref="B349" r:id="rId630" xr:uid="{00000000-0004-0000-0200-000075020000}"/>
    <hyperlink ref="C349" r:id="rId631" xr:uid="{00000000-0004-0000-0200-000076020000}"/>
    <hyperlink ref="A350" r:id="rId632" xr:uid="{00000000-0004-0000-0200-000077020000}"/>
    <hyperlink ref="B350" r:id="rId633" xr:uid="{00000000-0004-0000-0200-000078020000}"/>
    <hyperlink ref="C350" r:id="rId634" xr:uid="{00000000-0004-0000-0200-000079020000}"/>
    <hyperlink ref="A351" r:id="rId635" xr:uid="{00000000-0004-0000-0200-00007A020000}"/>
    <hyperlink ref="B351" r:id="rId636" xr:uid="{00000000-0004-0000-0200-00007B020000}"/>
    <hyperlink ref="C351" r:id="rId637" xr:uid="{00000000-0004-0000-0200-00007C020000}"/>
    <hyperlink ref="A352" r:id="rId638" xr:uid="{00000000-0004-0000-0200-00007D020000}"/>
    <hyperlink ref="B352" r:id="rId639" xr:uid="{00000000-0004-0000-0200-00007E020000}"/>
    <hyperlink ref="C352" r:id="rId640" xr:uid="{00000000-0004-0000-0200-00007F020000}"/>
    <hyperlink ref="A353" r:id="rId641" xr:uid="{00000000-0004-0000-0200-000080020000}"/>
    <hyperlink ref="B353" r:id="rId642" xr:uid="{00000000-0004-0000-0200-000081020000}"/>
    <hyperlink ref="C353" r:id="rId643" xr:uid="{00000000-0004-0000-0200-000082020000}"/>
    <hyperlink ref="A354" r:id="rId644" xr:uid="{00000000-0004-0000-0200-000083020000}"/>
    <hyperlink ref="B354" r:id="rId645" xr:uid="{00000000-0004-0000-0200-000084020000}"/>
    <hyperlink ref="C354" r:id="rId646" xr:uid="{00000000-0004-0000-0200-000085020000}"/>
    <hyperlink ref="A355" r:id="rId647" xr:uid="{00000000-0004-0000-0200-000086020000}"/>
    <hyperlink ref="B355" r:id="rId648" xr:uid="{00000000-0004-0000-0200-000087020000}"/>
    <hyperlink ref="C355" r:id="rId649" xr:uid="{00000000-0004-0000-0200-000088020000}"/>
    <hyperlink ref="A356" r:id="rId650" xr:uid="{00000000-0004-0000-0200-000089020000}"/>
    <hyperlink ref="B356" r:id="rId651" xr:uid="{00000000-0004-0000-0200-00008A020000}"/>
    <hyperlink ref="C356" r:id="rId652" xr:uid="{00000000-0004-0000-0200-00008B020000}"/>
    <hyperlink ref="A357" r:id="rId653" xr:uid="{00000000-0004-0000-0200-00008C020000}"/>
    <hyperlink ref="B357" r:id="rId654" xr:uid="{00000000-0004-0000-0200-00008D020000}"/>
    <hyperlink ref="C357" r:id="rId655" xr:uid="{00000000-0004-0000-0200-00008E020000}"/>
    <hyperlink ref="A358" r:id="rId656" xr:uid="{00000000-0004-0000-0200-00008F020000}"/>
    <hyperlink ref="B358" r:id="rId657" xr:uid="{00000000-0004-0000-0200-000090020000}"/>
    <hyperlink ref="C358" r:id="rId658" xr:uid="{00000000-0004-0000-0200-000091020000}"/>
    <hyperlink ref="A359" r:id="rId659" xr:uid="{00000000-0004-0000-0200-000092020000}"/>
    <hyperlink ref="B359" r:id="rId660" xr:uid="{00000000-0004-0000-0200-000093020000}"/>
    <hyperlink ref="C359" r:id="rId661" xr:uid="{00000000-0004-0000-0200-000094020000}"/>
    <hyperlink ref="A360" r:id="rId662" xr:uid="{00000000-0004-0000-0200-000095020000}"/>
    <hyperlink ref="B360" r:id="rId663" xr:uid="{00000000-0004-0000-0200-000096020000}"/>
    <hyperlink ref="C360" r:id="rId664" xr:uid="{00000000-0004-0000-0200-000097020000}"/>
    <hyperlink ref="A361" r:id="rId665" xr:uid="{00000000-0004-0000-0200-000098020000}"/>
    <hyperlink ref="B361" r:id="rId666" xr:uid="{00000000-0004-0000-0200-000099020000}"/>
    <hyperlink ref="C361" r:id="rId667" xr:uid="{00000000-0004-0000-0200-00009A020000}"/>
    <hyperlink ref="A362" r:id="rId668" xr:uid="{00000000-0004-0000-0200-00009B020000}"/>
    <hyperlink ref="B362" r:id="rId669" xr:uid="{00000000-0004-0000-0200-00009C020000}"/>
    <hyperlink ref="C362" r:id="rId670" xr:uid="{00000000-0004-0000-0200-00009D020000}"/>
    <hyperlink ref="A363" r:id="rId671" xr:uid="{00000000-0004-0000-0200-00009E020000}"/>
    <hyperlink ref="B363" r:id="rId672" xr:uid="{00000000-0004-0000-0200-00009F020000}"/>
    <hyperlink ref="C363" r:id="rId673" xr:uid="{00000000-0004-0000-0200-0000A0020000}"/>
    <hyperlink ref="A364" r:id="rId674" xr:uid="{00000000-0004-0000-0200-0000A1020000}"/>
    <hyperlink ref="B364" r:id="rId675" xr:uid="{00000000-0004-0000-0200-0000A2020000}"/>
    <hyperlink ref="C364" r:id="rId676" xr:uid="{00000000-0004-0000-0200-0000A3020000}"/>
    <hyperlink ref="A365" r:id="rId677" xr:uid="{00000000-0004-0000-0200-0000A4020000}"/>
    <hyperlink ref="B365" r:id="rId678" xr:uid="{00000000-0004-0000-0200-0000A5020000}"/>
    <hyperlink ref="C365" r:id="rId679" xr:uid="{00000000-0004-0000-0200-0000A6020000}"/>
    <hyperlink ref="A366" r:id="rId680" xr:uid="{00000000-0004-0000-0200-0000A7020000}"/>
    <hyperlink ref="B366" r:id="rId681" xr:uid="{00000000-0004-0000-0200-0000A8020000}"/>
    <hyperlink ref="C366" r:id="rId682" xr:uid="{00000000-0004-0000-0200-0000A9020000}"/>
    <hyperlink ref="A367" r:id="rId683" xr:uid="{00000000-0004-0000-0200-0000AA020000}"/>
    <hyperlink ref="B367" r:id="rId684" xr:uid="{00000000-0004-0000-0200-0000AB020000}"/>
    <hyperlink ref="C367" r:id="rId685" xr:uid="{00000000-0004-0000-0200-0000AC020000}"/>
    <hyperlink ref="A368" r:id="rId686" xr:uid="{00000000-0004-0000-0200-0000AD020000}"/>
    <hyperlink ref="B368" r:id="rId687" xr:uid="{00000000-0004-0000-0200-0000AE020000}"/>
    <hyperlink ref="C368" r:id="rId688" xr:uid="{00000000-0004-0000-0200-0000AF020000}"/>
    <hyperlink ref="A369" r:id="rId689" xr:uid="{00000000-0004-0000-0200-0000B0020000}"/>
    <hyperlink ref="B369" r:id="rId690" xr:uid="{00000000-0004-0000-0200-0000B1020000}"/>
    <hyperlink ref="C369" r:id="rId691" xr:uid="{00000000-0004-0000-0200-0000B2020000}"/>
    <hyperlink ref="A370" r:id="rId692" xr:uid="{00000000-0004-0000-0200-0000B3020000}"/>
    <hyperlink ref="B370" r:id="rId693" xr:uid="{00000000-0004-0000-0200-0000B4020000}"/>
    <hyperlink ref="C370" r:id="rId694" xr:uid="{00000000-0004-0000-0200-0000B5020000}"/>
    <hyperlink ref="A371" r:id="rId695" xr:uid="{00000000-0004-0000-0200-0000B6020000}"/>
    <hyperlink ref="B371" r:id="rId696" xr:uid="{00000000-0004-0000-0200-0000B7020000}"/>
    <hyperlink ref="C371" r:id="rId697" xr:uid="{00000000-0004-0000-0200-0000B8020000}"/>
    <hyperlink ref="A372" r:id="rId698" xr:uid="{00000000-0004-0000-0200-0000B9020000}"/>
    <hyperlink ref="B372" r:id="rId699" xr:uid="{00000000-0004-0000-0200-0000BA020000}"/>
    <hyperlink ref="C372" r:id="rId700" xr:uid="{00000000-0004-0000-0200-0000BB020000}"/>
    <hyperlink ref="A373" r:id="rId701" xr:uid="{00000000-0004-0000-0200-0000BC020000}"/>
    <hyperlink ref="B373" r:id="rId702" xr:uid="{00000000-0004-0000-0200-0000BD020000}"/>
    <hyperlink ref="C373" r:id="rId703" xr:uid="{00000000-0004-0000-0200-0000BE020000}"/>
    <hyperlink ref="A374" r:id="rId704" xr:uid="{00000000-0004-0000-0200-0000BF020000}"/>
    <hyperlink ref="B374" r:id="rId705" xr:uid="{00000000-0004-0000-0200-0000C0020000}"/>
    <hyperlink ref="C374" r:id="rId706" xr:uid="{00000000-0004-0000-0200-0000C1020000}"/>
    <hyperlink ref="A375" r:id="rId707" xr:uid="{00000000-0004-0000-0200-0000C2020000}"/>
    <hyperlink ref="B375" r:id="rId708" xr:uid="{00000000-0004-0000-0200-0000C3020000}"/>
    <hyperlink ref="C375" r:id="rId709" xr:uid="{00000000-0004-0000-0200-0000C4020000}"/>
    <hyperlink ref="A376" r:id="rId710" xr:uid="{00000000-0004-0000-0200-0000C5020000}"/>
    <hyperlink ref="B376" r:id="rId711" xr:uid="{00000000-0004-0000-0200-0000C6020000}"/>
    <hyperlink ref="C376" r:id="rId712" xr:uid="{00000000-0004-0000-0200-0000C7020000}"/>
    <hyperlink ref="A377" r:id="rId713" xr:uid="{00000000-0004-0000-0200-0000C8020000}"/>
    <hyperlink ref="B377" r:id="rId714" xr:uid="{00000000-0004-0000-0200-0000C9020000}"/>
    <hyperlink ref="C377" r:id="rId715" xr:uid="{00000000-0004-0000-0200-0000CA020000}"/>
    <hyperlink ref="A378" r:id="rId716" xr:uid="{00000000-0004-0000-0200-0000CB020000}"/>
    <hyperlink ref="B378" r:id="rId717" xr:uid="{00000000-0004-0000-0200-0000CC020000}"/>
    <hyperlink ref="C378" r:id="rId718" xr:uid="{00000000-0004-0000-0200-0000CD020000}"/>
    <hyperlink ref="A379" r:id="rId719" xr:uid="{00000000-0004-0000-0200-0000CE020000}"/>
    <hyperlink ref="B379" r:id="rId720" xr:uid="{00000000-0004-0000-0200-0000CF020000}"/>
    <hyperlink ref="C379" r:id="rId721" xr:uid="{00000000-0004-0000-0200-0000D0020000}"/>
    <hyperlink ref="A380" r:id="rId722" xr:uid="{00000000-0004-0000-0200-0000D1020000}"/>
    <hyperlink ref="B380" r:id="rId723" xr:uid="{00000000-0004-0000-0200-0000D2020000}"/>
    <hyperlink ref="C380" r:id="rId724" xr:uid="{00000000-0004-0000-0200-0000D3020000}"/>
    <hyperlink ref="A381" r:id="rId725" xr:uid="{00000000-0004-0000-0200-0000D4020000}"/>
    <hyperlink ref="B381" r:id="rId726" xr:uid="{00000000-0004-0000-0200-0000D5020000}"/>
    <hyperlink ref="C381" r:id="rId727" xr:uid="{00000000-0004-0000-0200-0000D6020000}"/>
    <hyperlink ref="A382" r:id="rId728" xr:uid="{00000000-0004-0000-0200-0000D7020000}"/>
    <hyperlink ref="B382" r:id="rId729" xr:uid="{00000000-0004-0000-0200-0000D8020000}"/>
    <hyperlink ref="C382" r:id="rId730" xr:uid="{00000000-0004-0000-0200-0000D9020000}"/>
    <hyperlink ref="A383" r:id="rId731" xr:uid="{00000000-0004-0000-0200-0000DA020000}"/>
    <hyperlink ref="B383" r:id="rId732" xr:uid="{00000000-0004-0000-0200-0000DB020000}"/>
    <hyperlink ref="C383" r:id="rId733" xr:uid="{00000000-0004-0000-0200-0000DC020000}"/>
    <hyperlink ref="A384" r:id="rId734" xr:uid="{00000000-0004-0000-0200-0000DD020000}"/>
    <hyperlink ref="B384" r:id="rId735" xr:uid="{00000000-0004-0000-0200-0000DE020000}"/>
    <hyperlink ref="C384" r:id="rId736" xr:uid="{00000000-0004-0000-0200-0000DF020000}"/>
    <hyperlink ref="A385" r:id="rId737" xr:uid="{00000000-0004-0000-0200-0000E0020000}"/>
    <hyperlink ref="B385" r:id="rId738" xr:uid="{00000000-0004-0000-0200-0000E1020000}"/>
    <hyperlink ref="C385" r:id="rId739" xr:uid="{00000000-0004-0000-0200-0000E2020000}"/>
    <hyperlink ref="A386" r:id="rId740" xr:uid="{00000000-0004-0000-0200-0000E3020000}"/>
    <hyperlink ref="B386" r:id="rId741" xr:uid="{00000000-0004-0000-0200-0000E4020000}"/>
    <hyperlink ref="C386" r:id="rId742" xr:uid="{00000000-0004-0000-0200-0000E5020000}"/>
    <hyperlink ref="A387" r:id="rId743" xr:uid="{00000000-0004-0000-0200-0000E6020000}"/>
    <hyperlink ref="B387" r:id="rId744" xr:uid="{00000000-0004-0000-0200-0000E7020000}"/>
    <hyperlink ref="C387" r:id="rId745" xr:uid="{00000000-0004-0000-0200-0000E8020000}"/>
    <hyperlink ref="A388" r:id="rId746" xr:uid="{00000000-0004-0000-0200-0000E9020000}"/>
    <hyperlink ref="B388" r:id="rId747" xr:uid="{00000000-0004-0000-0200-0000EA020000}"/>
    <hyperlink ref="C388" r:id="rId748" xr:uid="{00000000-0004-0000-0200-0000EB020000}"/>
    <hyperlink ref="A389" r:id="rId749" xr:uid="{00000000-0004-0000-0200-0000EC020000}"/>
    <hyperlink ref="B389" r:id="rId750" xr:uid="{00000000-0004-0000-0200-0000ED020000}"/>
    <hyperlink ref="C389" r:id="rId751" xr:uid="{00000000-0004-0000-0200-0000EE020000}"/>
    <hyperlink ref="A390" r:id="rId752" xr:uid="{00000000-0004-0000-0200-0000EF020000}"/>
    <hyperlink ref="B390" r:id="rId753" xr:uid="{00000000-0004-0000-0200-0000F0020000}"/>
    <hyperlink ref="C390" r:id="rId754" xr:uid="{00000000-0004-0000-0200-0000F1020000}"/>
    <hyperlink ref="A391" r:id="rId755" xr:uid="{00000000-0004-0000-0200-0000F2020000}"/>
    <hyperlink ref="B391" r:id="rId756" xr:uid="{00000000-0004-0000-0200-0000F3020000}"/>
    <hyperlink ref="C391" r:id="rId757" xr:uid="{00000000-0004-0000-0200-0000F4020000}"/>
    <hyperlink ref="A392" r:id="rId758" xr:uid="{00000000-0004-0000-0200-0000F5020000}"/>
    <hyperlink ref="B392" r:id="rId759" xr:uid="{00000000-0004-0000-0200-0000F6020000}"/>
    <hyperlink ref="C392" r:id="rId760" xr:uid="{00000000-0004-0000-0200-0000F7020000}"/>
    <hyperlink ref="A393" r:id="rId761" xr:uid="{00000000-0004-0000-0200-0000F8020000}"/>
    <hyperlink ref="B393" r:id="rId762" xr:uid="{00000000-0004-0000-0200-0000F9020000}"/>
    <hyperlink ref="C393" r:id="rId763" xr:uid="{00000000-0004-0000-0200-0000FA020000}"/>
    <hyperlink ref="A394" r:id="rId764" xr:uid="{00000000-0004-0000-0200-0000FB020000}"/>
    <hyperlink ref="B394" r:id="rId765" xr:uid="{00000000-0004-0000-0200-0000FC020000}"/>
    <hyperlink ref="C394" r:id="rId766" xr:uid="{00000000-0004-0000-0200-0000FD020000}"/>
    <hyperlink ref="A395" r:id="rId767" xr:uid="{00000000-0004-0000-0200-0000FE020000}"/>
    <hyperlink ref="B395" r:id="rId768" xr:uid="{00000000-0004-0000-0200-0000FF020000}"/>
    <hyperlink ref="C395" r:id="rId769" xr:uid="{00000000-0004-0000-0200-000000030000}"/>
    <hyperlink ref="A396" r:id="rId770" xr:uid="{00000000-0004-0000-0200-000001030000}"/>
    <hyperlink ref="B396" r:id="rId771" xr:uid="{00000000-0004-0000-0200-000002030000}"/>
    <hyperlink ref="C396" r:id="rId772" xr:uid="{00000000-0004-0000-0200-000003030000}"/>
    <hyperlink ref="A397" r:id="rId773" xr:uid="{00000000-0004-0000-0200-000004030000}"/>
    <hyperlink ref="B397" r:id="rId774" xr:uid="{00000000-0004-0000-0200-000005030000}"/>
    <hyperlink ref="C397" r:id="rId775" xr:uid="{00000000-0004-0000-0200-000006030000}"/>
    <hyperlink ref="A398" r:id="rId776" xr:uid="{00000000-0004-0000-0200-000007030000}"/>
    <hyperlink ref="B398" r:id="rId777" xr:uid="{00000000-0004-0000-0200-000008030000}"/>
    <hyperlink ref="C398" r:id="rId778" xr:uid="{00000000-0004-0000-0200-000009030000}"/>
    <hyperlink ref="A399" r:id="rId779" xr:uid="{00000000-0004-0000-0200-00000A030000}"/>
    <hyperlink ref="B399" r:id="rId780" xr:uid="{00000000-0004-0000-0200-00000B030000}"/>
    <hyperlink ref="C399" r:id="rId781" xr:uid="{00000000-0004-0000-0200-00000C030000}"/>
    <hyperlink ref="A400" r:id="rId782" xr:uid="{00000000-0004-0000-0200-00000D030000}"/>
    <hyperlink ref="B400" r:id="rId783" xr:uid="{00000000-0004-0000-0200-00000E030000}"/>
    <hyperlink ref="C400" r:id="rId784" xr:uid="{00000000-0004-0000-0200-00000F030000}"/>
    <hyperlink ref="A401" r:id="rId785" xr:uid="{00000000-0004-0000-0200-000010030000}"/>
    <hyperlink ref="B401" r:id="rId786" xr:uid="{00000000-0004-0000-0200-000011030000}"/>
    <hyperlink ref="C401" r:id="rId787" xr:uid="{00000000-0004-0000-0200-000012030000}"/>
    <hyperlink ref="A402" r:id="rId788" xr:uid="{00000000-0004-0000-0200-000013030000}"/>
    <hyperlink ref="B402" r:id="rId789" xr:uid="{00000000-0004-0000-0200-000014030000}"/>
    <hyperlink ref="C402" r:id="rId790" xr:uid="{00000000-0004-0000-0200-000015030000}"/>
    <hyperlink ref="A403" r:id="rId791" xr:uid="{00000000-0004-0000-0200-000016030000}"/>
    <hyperlink ref="B403" r:id="rId792" xr:uid="{00000000-0004-0000-0200-000017030000}"/>
    <hyperlink ref="C403" r:id="rId793" xr:uid="{00000000-0004-0000-0200-000018030000}"/>
    <hyperlink ref="A404" r:id="rId794" xr:uid="{00000000-0004-0000-0200-000019030000}"/>
    <hyperlink ref="B404" r:id="rId795" xr:uid="{00000000-0004-0000-0200-00001A030000}"/>
    <hyperlink ref="C404" r:id="rId796" xr:uid="{00000000-0004-0000-0200-00001B030000}"/>
    <hyperlink ref="A405" r:id="rId797" xr:uid="{00000000-0004-0000-0200-00001C030000}"/>
    <hyperlink ref="B405" r:id="rId798" xr:uid="{00000000-0004-0000-0200-00001D030000}"/>
    <hyperlink ref="C405" r:id="rId799" xr:uid="{00000000-0004-0000-0200-00001E030000}"/>
    <hyperlink ref="A406" r:id="rId800" xr:uid="{00000000-0004-0000-0200-00001F030000}"/>
    <hyperlink ref="B406" r:id="rId801" xr:uid="{00000000-0004-0000-0200-000020030000}"/>
    <hyperlink ref="C406" r:id="rId802" xr:uid="{00000000-0004-0000-0200-000021030000}"/>
    <hyperlink ref="A407" r:id="rId803" xr:uid="{00000000-0004-0000-0200-000022030000}"/>
    <hyperlink ref="B407" r:id="rId804" xr:uid="{00000000-0004-0000-0200-000023030000}"/>
    <hyperlink ref="C407" r:id="rId805" xr:uid="{00000000-0004-0000-0200-000024030000}"/>
    <hyperlink ref="A408" r:id="rId806" xr:uid="{00000000-0004-0000-0200-000025030000}"/>
    <hyperlink ref="B408" r:id="rId807" xr:uid="{00000000-0004-0000-0200-000026030000}"/>
    <hyperlink ref="C408" r:id="rId808" xr:uid="{00000000-0004-0000-0200-000027030000}"/>
    <hyperlink ref="A409" r:id="rId809" xr:uid="{00000000-0004-0000-0200-000028030000}"/>
    <hyperlink ref="B409" r:id="rId810" xr:uid="{00000000-0004-0000-0200-000029030000}"/>
    <hyperlink ref="C409" r:id="rId811" xr:uid="{00000000-0004-0000-0200-00002A030000}"/>
    <hyperlink ref="A410" r:id="rId812" xr:uid="{00000000-0004-0000-0200-00002B030000}"/>
    <hyperlink ref="B410" r:id="rId813" xr:uid="{00000000-0004-0000-0200-00002C030000}"/>
    <hyperlink ref="C410" r:id="rId814" xr:uid="{00000000-0004-0000-0200-00002D030000}"/>
    <hyperlink ref="A411" r:id="rId815" xr:uid="{00000000-0004-0000-0200-00002E030000}"/>
    <hyperlink ref="B411" r:id="rId816" xr:uid="{00000000-0004-0000-0200-00002F030000}"/>
    <hyperlink ref="C411" r:id="rId817" xr:uid="{00000000-0004-0000-0200-000030030000}"/>
    <hyperlink ref="A412" r:id="rId818" xr:uid="{00000000-0004-0000-0200-000031030000}"/>
    <hyperlink ref="B412" r:id="rId819" xr:uid="{00000000-0004-0000-0200-000032030000}"/>
    <hyperlink ref="C412" r:id="rId820" xr:uid="{00000000-0004-0000-0200-000033030000}"/>
    <hyperlink ref="A413" r:id="rId821" xr:uid="{00000000-0004-0000-0200-000034030000}"/>
    <hyperlink ref="B413" r:id="rId822" xr:uid="{00000000-0004-0000-0200-000035030000}"/>
    <hyperlink ref="C413" r:id="rId823" xr:uid="{00000000-0004-0000-0200-000036030000}"/>
    <hyperlink ref="A414" r:id="rId824" xr:uid="{00000000-0004-0000-0200-000037030000}"/>
    <hyperlink ref="B414" r:id="rId825" xr:uid="{00000000-0004-0000-0200-000038030000}"/>
    <hyperlink ref="C414" r:id="rId826" xr:uid="{00000000-0004-0000-0200-000039030000}"/>
    <hyperlink ref="A415" r:id="rId827" xr:uid="{00000000-0004-0000-0200-00003A030000}"/>
    <hyperlink ref="B415" r:id="rId828" xr:uid="{00000000-0004-0000-0200-00003B030000}"/>
    <hyperlink ref="C415" r:id="rId829" xr:uid="{00000000-0004-0000-0200-00003C030000}"/>
    <hyperlink ref="A416" r:id="rId830" xr:uid="{00000000-0004-0000-0200-00003D030000}"/>
    <hyperlink ref="B416" r:id="rId831" xr:uid="{00000000-0004-0000-0200-00003E030000}"/>
    <hyperlink ref="C416" r:id="rId832" xr:uid="{00000000-0004-0000-0200-00003F030000}"/>
    <hyperlink ref="J416" r:id="rId833" xr:uid="{00000000-0004-0000-0200-000040030000}"/>
    <hyperlink ref="A417" r:id="rId834" xr:uid="{00000000-0004-0000-0200-000041030000}"/>
    <hyperlink ref="B417" r:id="rId835" xr:uid="{00000000-0004-0000-0200-000042030000}"/>
    <hyperlink ref="C417" r:id="rId836" xr:uid="{00000000-0004-0000-0200-000043030000}"/>
    <hyperlink ref="A418" r:id="rId837" xr:uid="{00000000-0004-0000-0200-000044030000}"/>
    <hyperlink ref="B418" r:id="rId838" xr:uid="{00000000-0004-0000-0200-000045030000}"/>
    <hyperlink ref="C418" r:id="rId839" xr:uid="{00000000-0004-0000-0200-000046030000}"/>
    <hyperlink ref="A419" r:id="rId840" xr:uid="{00000000-0004-0000-0200-000047030000}"/>
    <hyperlink ref="B419" r:id="rId841" xr:uid="{00000000-0004-0000-0200-000048030000}"/>
    <hyperlink ref="C419" r:id="rId842" xr:uid="{00000000-0004-0000-0200-000049030000}"/>
    <hyperlink ref="A420" r:id="rId843" xr:uid="{00000000-0004-0000-0200-00004A030000}"/>
    <hyperlink ref="B420" r:id="rId844" xr:uid="{00000000-0004-0000-0200-00004B030000}"/>
    <hyperlink ref="C420" r:id="rId845" xr:uid="{00000000-0004-0000-0200-00004C030000}"/>
    <hyperlink ref="A421" r:id="rId846" xr:uid="{00000000-0004-0000-0200-00004D030000}"/>
    <hyperlink ref="B421" r:id="rId847" xr:uid="{00000000-0004-0000-0200-00004E030000}"/>
    <hyperlink ref="C421" r:id="rId848" xr:uid="{00000000-0004-0000-0200-00004F030000}"/>
    <hyperlink ref="A422" r:id="rId849" xr:uid="{00000000-0004-0000-0200-000050030000}"/>
    <hyperlink ref="B422" r:id="rId850" xr:uid="{00000000-0004-0000-0200-000051030000}"/>
    <hyperlink ref="C422" r:id="rId851" xr:uid="{00000000-0004-0000-0200-000052030000}"/>
    <hyperlink ref="A423" r:id="rId852" xr:uid="{00000000-0004-0000-0200-000053030000}"/>
    <hyperlink ref="B423" r:id="rId853" xr:uid="{00000000-0004-0000-0200-000054030000}"/>
    <hyperlink ref="C423" r:id="rId854" xr:uid="{00000000-0004-0000-0200-000055030000}"/>
    <hyperlink ref="A424" r:id="rId855" xr:uid="{00000000-0004-0000-0200-000056030000}"/>
    <hyperlink ref="B424" r:id="rId856" xr:uid="{00000000-0004-0000-0200-000057030000}"/>
    <hyperlink ref="C424" r:id="rId857" xr:uid="{00000000-0004-0000-0200-000058030000}"/>
    <hyperlink ref="A425" r:id="rId858" xr:uid="{00000000-0004-0000-0200-000059030000}"/>
    <hyperlink ref="B425" r:id="rId859" xr:uid="{00000000-0004-0000-0200-00005A030000}"/>
    <hyperlink ref="C425" r:id="rId860" xr:uid="{00000000-0004-0000-0200-00005B030000}"/>
    <hyperlink ref="A426" r:id="rId861" xr:uid="{00000000-0004-0000-0200-00005C030000}"/>
    <hyperlink ref="B426" r:id="rId862" xr:uid="{00000000-0004-0000-0200-00005D030000}"/>
    <hyperlink ref="C426" r:id="rId863" xr:uid="{00000000-0004-0000-0200-00005E030000}"/>
    <hyperlink ref="A427" r:id="rId864" xr:uid="{00000000-0004-0000-0200-00005F030000}"/>
    <hyperlink ref="B427" r:id="rId865" xr:uid="{00000000-0004-0000-0200-000060030000}"/>
    <hyperlink ref="C427" r:id="rId866" xr:uid="{00000000-0004-0000-0200-000061030000}"/>
    <hyperlink ref="A428" r:id="rId867" xr:uid="{00000000-0004-0000-0200-000062030000}"/>
    <hyperlink ref="B428" r:id="rId868" xr:uid="{00000000-0004-0000-0200-000063030000}"/>
    <hyperlink ref="C428" r:id="rId869" xr:uid="{00000000-0004-0000-0200-000064030000}"/>
    <hyperlink ref="A429" r:id="rId870" xr:uid="{00000000-0004-0000-0200-000065030000}"/>
    <hyperlink ref="B429" r:id="rId871" xr:uid="{00000000-0004-0000-0200-000066030000}"/>
    <hyperlink ref="C429" r:id="rId872" xr:uid="{00000000-0004-0000-0200-000067030000}"/>
    <hyperlink ref="A430" r:id="rId873" xr:uid="{00000000-0004-0000-0200-000068030000}"/>
    <hyperlink ref="B430" r:id="rId874" xr:uid="{00000000-0004-0000-0200-000069030000}"/>
    <hyperlink ref="C430" r:id="rId875" xr:uid="{00000000-0004-0000-0200-00006A030000}"/>
    <hyperlink ref="A431" r:id="rId876" xr:uid="{00000000-0004-0000-0200-00006B030000}"/>
    <hyperlink ref="B431" r:id="rId877" xr:uid="{00000000-0004-0000-0200-00006C030000}"/>
    <hyperlink ref="C431" r:id="rId878" xr:uid="{00000000-0004-0000-0200-00006D030000}"/>
    <hyperlink ref="A432" r:id="rId879" xr:uid="{00000000-0004-0000-0200-00006E030000}"/>
    <hyperlink ref="B432" r:id="rId880" xr:uid="{00000000-0004-0000-0200-00006F030000}"/>
    <hyperlink ref="C432" r:id="rId881" xr:uid="{00000000-0004-0000-0200-000070030000}"/>
    <hyperlink ref="A433" r:id="rId882" xr:uid="{00000000-0004-0000-0200-000071030000}"/>
    <hyperlink ref="B433" r:id="rId883" xr:uid="{00000000-0004-0000-0200-000072030000}"/>
    <hyperlink ref="C433" r:id="rId884" xr:uid="{00000000-0004-0000-0200-000073030000}"/>
    <hyperlink ref="A434" r:id="rId885" xr:uid="{00000000-0004-0000-0200-000074030000}"/>
    <hyperlink ref="B434" r:id="rId886" xr:uid="{00000000-0004-0000-0200-000075030000}"/>
    <hyperlink ref="C434" r:id="rId887" xr:uid="{00000000-0004-0000-0200-000076030000}"/>
    <hyperlink ref="A435" r:id="rId888" xr:uid="{00000000-0004-0000-0200-000077030000}"/>
    <hyperlink ref="B435" r:id="rId889" xr:uid="{00000000-0004-0000-0200-000078030000}"/>
    <hyperlink ref="C435" r:id="rId890" xr:uid="{00000000-0004-0000-0200-000079030000}"/>
    <hyperlink ref="A436" r:id="rId891" xr:uid="{00000000-0004-0000-0200-00007A030000}"/>
    <hyperlink ref="B436" r:id="rId892" xr:uid="{00000000-0004-0000-0200-00007B030000}"/>
    <hyperlink ref="C436" r:id="rId893" xr:uid="{00000000-0004-0000-0200-00007C030000}"/>
    <hyperlink ref="A437" r:id="rId894" xr:uid="{00000000-0004-0000-0200-00007D030000}"/>
    <hyperlink ref="B437" r:id="rId895" xr:uid="{00000000-0004-0000-0200-00007E030000}"/>
    <hyperlink ref="C437" r:id="rId896" xr:uid="{00000000-0004-0000-0200-00007F030000}"/>
    <hyperlink ref="A438" r:id="rId897" xr:uid="{00000000-0004-0000-0200-000080030000}"/>
    <hyperlink ref="B438" r:id="rId898" xr:uid="{00000000-0004-0000-0200-000081030000}"/>
    <hyperlink ref="C438" r:id="rId899" xr:uid="{00000000-0004-0000-0200-000082030000}"/>
    <hyperlink ref="A439" r:id="rId900" xr:uid="{00000000-0004-0000-0200-000083030000}"/>
    <hyperlink ref="B439" r:id="rId901" xr:uid="{00000000-0004-0000-0200-000084030000}"/>
    <hyperlink ref="C439" r:id="rId902" xr:uid="{00000000-0004-0000-0200-000085030000}"/>
    <hyperlink ref="A440" r:id="rId903" xr:uid="{00000000-0004-0000-0200-000086030000}"/>
    <hyperlink ref="B440" r:id="rId904" xr:uid="{00000000-0004-0000-0200-000087030000}"/>
    <hyperlink ref="C440" r:id="rId905" xr:uid="{00000000-0004-0000-0200-000088030000}"/>
    <hyperlink ref="A441" r:id="rId906" xr:uid="{00000000-0004-0000-0200-000089030000}"/>
    <hyperlink ref="B441" r:id="rId907" xr:uid="{00000000-0004-0000-0200-00008A030000}"/>
    <hyperlink ref="C441" r:id="rId908" xr:uid="{00000000-0004-0000-0200-00008B030000}"/>
    <hyperlink ref="A442" r:id="rId909" xr:uid="{00000000-0004-0000-0200-00008C030000}"/>
    <hyperlink ref="B442" r:id="rId910" xr:uid="{00000000-0004-0000-0200-00008D030000}"/>
    <hyperlink ref="C442" r:id="rId911" xr:uid="{00000000-0004-0000-0200-00008E030000}"/>
    <hyperlink ref="A443" r:id="rId912" xr:uid="{00000000-0004-0000-0200-00008F030000}"/>
    <hyperlink ref="B443" r:id="rId913" xr:uid="{00000000-0004-0000-0200-000090030000}"/>
    <hyperlink ref="C443" r:id="rId914" xr:uid="{00000000-0004-0000-0200-000091030000}"/>
    <hyperlink ref="A444" r:id="rId915" xr:uid="{00000000-0004-0000-0200-000092030000}"/>
    <hyperlink ref="B444" r:id="rId916" xr:uid="{00000000-0004-0000-0200-000093030000}"/>
    <hyperlink ref="C444" r:id="rId917" xr:uid="{00000000-0004-0000-0200-000094030000}"/>
    <hyperlink ref="A445" r:id="rId918" xr:uid="{00000000-0004-0000-0200-000095030000}"/>
    <hyperlink ref="B445" r:id="rId919" xr:uid="{00000000-0004-0000-0200-000096030000}"/>
    <hyperlink ref="C445" r:id="rId920" xr:uid="{00000000-0004-0000-0200-000097030000}"/>
    <hyperlink ref="A446" r:id="rId921" xr:uid="{00000000-0004-0000-0200-000098030000}"/>
    <hyperlink ref="B446" r:id="rId922" xr:uid="{00000000-0004-0000-0200-000099030000}"/>
    <hyperlink ref="C446" r:id="rId923" xr:uid="{00000000-0004-0000-0200-00009A030000}"/>
    <hyperlink ref="A447" r:id="rId924" xr:uid="{00000000-0004-0000-0200-00009B030000}"/>
    <hyperlink ref="B447" r:id="rId925" xr:uid="{00000000-0004-0000-0200-00009C030000}"/>
    <hyperlink ref="C447" r:id="rId926" xr:uid="{00000000-0004-0000-0200-00009D030000}"/>
    <hyperlink ref="A448" r:id="rId927" xr:uid="{00000000-0004-0000-0200-00009E030000}"/>
    <hyperlink ref="B448" r:id="rId928" xr:uid="{00000000-0004-0000-0200-00009F030000}"/>
    <hyperlink ref="C448" r:id="rId929" xr:uid="{00000000-0004-0000-0200-0000A0030000}"/>
    <hyperlink ref="A449" r:id="rId930" xr:uid="{00000000-0004-0000-0200-0000A1030000}"/>
    <hyperlink ref="B449" r:id="rId931" xr:uid="{00000000-0004-0000-0200-0000A2030000}"/>
    <hyperlink ref="C449" r:id="rId932" xr:uid="{00000000-0004-0000-0200-0000A3030000}"/>
    <hyperlink ref="A450" r:id="rId933" xr:uid="{00000000-0004-0000-0200-0000A4030000}"/>
    <hyperlink ref="B450" r:id="rId934" xr:uid="{00000000-0004-0000-0200-0000A5030000}"/>
    <hyperlink ref="C450" r:id="rId935" xr:uid="{00000000-0004-0000-0200-0000A6030000}"/>
    <hyperlink ref="A451" r:id="rId936" xr:uid="{00000000-0004-0000-0200-0000A7030000}"/>
    <hyperlink ref="B451" r:id="rId937" xr:uid="{00000000-0004-0000-0200-0000A8030000}"/>
    <hyperlink ref="C451" r:id="rId938" xr:uid="{00000000-0004-0000-0200-0000A9030000}"/>
    <hyperlink ref="A452" r:id="rId939" xr:uid="{00000000-0004-0000-0200-0000AA030000}"/>
    <hyperlink ref="B452" r:id="rId940" xr:uid="{00000000-0004-0000-0200-0000AB030000}"/>
    <hyperlink ref="C452" r:id="rId941" xr:uid="{00000000-0004-0000-0200-0000AC030000}"/>
    <hyperlink ref="A453" r:id="rId942" xr:uid="{00000000-0004-0000-0200-0000AD030000}"/>
    <hyperlink ref="B453" r:id="rId943" xr:uid="{00000000-0004-0000-0200-0000AE030000}"/>
    <hyperlink ref="C453" r:id="rId944" xr:uid="{00000000-0004-0000-0200-0000AF030000}"/>
    <hyperlink ref="A454" r:id="rId945" xr:uid="{00000000-0004-0000-0200-0000B0030000}"/>
    <hyperlink ref="B454" r:id="rId946" xr:uid="{00000000-0004-0000-0200-0000B1030000}"/>
    <hyperlink ref="C454" r:id="rId947" xr:uid="{00000000-0004-0000-0200-0000B2030000}"/>
    <hyperlink ref="A455" r:id="rId948" xr:uid="{00000000-0004-0000-0200-0000B3030000}"/>
    <hyperlink ref="B455" r:id="rId949" xr:uid="{00000000-0004-0000-0200-0000B4030000}"/>
    <hyperlink ref="C455" r:id="rId950" xr:uid="{00000000-0004-0000-0200-0000B5030000}"/>
    <hyperlink ref="A456" r:id="rId951" xr:uid="{00000000-0004-0000-0200-0000B6030000}"/>
    <hyperlink ref="B456" r:id="rId952" xr:uid="{00000000-0004-0000-0200-0000B7030000}"/>
    <hyperlink ref="C456" r:id="rId953" xr:uid="{00000000-0004-0000-0200-0000B8030000}"/>
    <hyperlink ref="A457" r:id="rId954" xr:uid="{00000000-0004-0000-0200-0000B9030000}"/>
    <hyperlink ref="B457" r:id="rId955" xr:uid="{00000000-0004-0000-0200-0000BA030000}"/>
    <hyperlink ref="C457" r:id="rId956" xr:uid="{00000000-0004-0000-0200-0000BB030000}"/>
    <hyperlink ref="A458" r:id="rId957" xr:uid="{00000000-0004-0000-0200-0000BC030000}"/>
    <hyperlink ref="B458" r:id="rId958" xr:uid="{00000000-0004-0000-0200-0000BD030000}"/>
    <hyperlink ref="C458" r:id="rId959" xr:uid="{00000000-0004-0000-0200-0000BE030000}"/>
    <hyperlink ref="A459" r:id="rId960" xr:uid="{00000000-0004-0000-0200-0000BF030000}"/>
    <hyperlink ref="B459" r:id="rId961" xr:uid="{00000000-0004-0000-0200-0000C0030000}"/>
    <hyperlink ref="C459" r:id="rId962" xr:uid="{00000000-0004-0000-0200-0000C1030000}"/>
    <hyperlink ref="A460" r:id="rId963" xr:uid="{00000000-0004-0000-0200-0000C2030000}"/>
    <hyperlink ref="B460" r:id="rId964" xr:uid="{00000000-0004-0000-0200-0000C3030000}"/>
    <hyperlink ref="C460" r:id="rId965" xr:uid="{00000000-0004-0000-0200-0000C4030000}"/>
    <hyperlink ref="A461" r:id="rId966" xr:uid="{00000000-0004-0000-0200-0000C5030000}"/>
    <hyperlink ref="B461" r:id="rId967" xr:uid="{00000000-0004-0000-0200-0000C6030000}"/>
    <hyperlink ref="C461" r:id="rId968" xr:uid="{00000000-0004-0000-0200-0000C7030000}"/>
    <hyperlink ref="A462" r:id="rId969" xr:uid="{00000000-0004-0000-0200-0000C8030000}"/>
    <hyperlink ref="B462" r:id="rId970" xr:uid="{00000000-0004-0000-0200-0000C9030000}"/>
    <hyperlink ref="C462" r:id="rId971" xr:uid="{00000000-0004-0000-0200-0000CA030000}"/>
    <hyperlink ref="A463" r:id="rId972" xr:uid="{00000000-0004-0000-0200-0000CB030000}"/>
    <hyperlink ref="B463" r:id="rId973" xr:uid="{00000000-0004-0000-0200-0000CC030000}"/>
    <hyperlink ref="C463" r:id="rId974" xr:uid="{00000000-0004-0000-0200-0000CD030000}"/>
    <hyperlink ref="A464" r:id="rId975" xr:uid="{00000000-0004-0000-0200-0000CE030000}"/>
    <hyperlink ref="B464" r:id="rId976" xr:uid="{00000000-0004-0000-0200-0000CF030000}"/>
    <hyperlink ref="C464" r:id="rId977" xr:uid="{00000000-0004-0000-0200-0000D0030000}"/>
    <hyperlink ref="A465" r:id="rId978" xr:uid="{00000000-0004-0000-0200-0000D1030000}"/>
    <hyperlink ref="B465" r:id="rId979" xr:uid="{00000000-0004-0000-0200-0000D2030000}"/>
    <hyperlink ref="C465" r:id="rId980" xr:uid="{00000000-0004-0000-0200-0000D3030000}"/>
    <hyperlink ref="A466" r:id="rId981" xr:uid="{00000000-0004-0000-0200-0000D4030000}"/>
    <hyperlink ref="B466" r:id="rId982" xr:uid="{00000000-0004-0000-0200-0000D5030000}"/>
    <hyperlink ref="C466" r:id="rId983" xr:uid="{00000000-0004-0000-0200-0000D6030000}"/>
    <hyperlink ref="A467" r:id="rId984" xr:uid="{00000000-0004-0000-0200-0000D7030000}"/>
    <hyperlink ref="B467" r:id="rId985" xr:uid="{00000000-0004-0000-0200-0000D8030000}"/>
    <hyperlink ref="C467" r:id="rId986" xr:uid="{00000000-0004-0000-0200-0000D9030000}"/>
    <hyperlink ref="A468" r:id="rId987" xr:uid="{00000000-0004-0000-0200-0000DA030000}"/>
    <hyperlink ref="B468" r:id="rId988" xr:uid="{00000000-0004-0000-0200-0000DB030000}"/>
    <hyperlink ref="C468" r:id="rId989" xr:uid="{00000000-0004-0000-0200-0000DC030000}"/>
    <hyperlink ref="A469" r:id="rId990" xr:uid="{00000000-0004-0000-0200-0000DD030000}"/>
    <hyperlink ref="B469" r:id="rId991" xr:uid="{00000000-0004-0000-0200-0000DE030000}"/>
    <hyperlink ref="C469" r:id="rId992" xr:uid="{00000000-0004-0000-0200-0000DF030000}"/>
    <hyperlink ref="A470" r:id="rId993" xr:uid="{00000000-0004-0000-0200-0000E0030000}"/>
    <hyperlink ref="B470" r:id="rId994" xr:uid="{00000000-0004-0000-0200-0000E1030000}"/>
    <hyperlink ref="C470" r:id="rId995" xr:uid="{00000000-0004-0000-0200-0000E2030000}"/>
    <hyperlink ref="A471" r:id="rId996" xr:uid="{00000000-0004-0000-0200-0000E3030000}"/>
    <hyperlink ref="B471" r:id="rId997" xr:uid="{00000000-0004-0000-0200-0000E4030000}"/>
    <hyperlink ref="C471" r:id="rId998" xr:uid="{00000000-0004-0000-0200-0000E5030000}"/>
    <hyperlink ref="A472" r:id="rId999" xr:uid="{00000000-0004-0000-0200-0000E6030000}"/>
    <hyperlink ref="B472" r:id="rId1000" xr:uid="{00000000-0004-0000-0200-0000E7030000}"/>
    <hyperlink ref="C472" r:id="rId1001" xr:uid="{00000000-0004-0000-0200-0000E8030000}"/>
    <hyperlink ref="A473" r:id="rId1002" xr:uid="{00000000-0004-0000-0200-0000E9030000}"/>
    <hyperlink ref="B473" r:id="rId1003" xr:uid="{00000000-0004-0000-0200-0000EA030000}"/>
    <hyperlink ref="C473" r:id="rId1004" xr:uid="{00000000-0004-0000-0200-0000EB030000}"/>
    <hyperlink ref="A474" r:id="rId1005" xr:uid="{00000000-0004-0000-0200-0000EC030000}"/>
    <hyperlink ref="B474" r:id="rId1006" xr:uid="{00000000-0004-0000-0200-0000ED030000}"/>
    <hyperlink ref="C474" r:id="rId1007" xr:uid="{00000000-0004-0000-0200-0000EE030000}"/>
    <hyperlink ref="A475" r:id="rId1008" xr:uid="{00000000-0004-0000-0200-0000EF030000}"/>
    <hyperlink ref="B475" r:id="rId1009" xr:uid="{00000000-0004-0000-0200-0000F0030000}"/>
    <hyperlink ref="C475" r:id="rId1010" xr:uid="{00000000-0004-0000-0200-0000F1030000}"/>
    <hyperlink ref="A476" r:id="rId1011" xr:uid="{00000000-0004-0000-0200-0000F2030000}"/>
    <hyperlink ref="B476" r:id="rId1012" xr:uid="{00000000-0004-0000-0200-0000F3030000}"/>
    <hyperlink ref="C476" r:id="rId1013" xr:uid="{00000000-0004-0000-0200-0000F4030000}"/>
    <hyperlink ref="A477" r:id="rId1014" xr:uid="{00000000-0004-0000-0200-0000F5030000}"/>
    <hyperlink ref="B477" r:id="rId1015" xr:uid="{00000000-0004-0000-0200-0000F6030000}"/>
    <hyperlink ref="C477" r:id="rId1016" xr:uid="{00000000-0004-0000-0200-0000F7030000}"/>
    <hyperlink ref="A478" r:id="rId1017" xr:uid="{00000000-0004-0000-0200-0000F8030000}"/>
    <hyperlink ref="B478" r:id="rId1018" xr:uid="{00000000-0004-0000-0200-0000F9030000}"/>
    <hyperlink ref="C478" r:id="rId1019" xr:uid="{00000000-0004-0000-0200-0000FA030000}"/>
    <hyperlink ref="A479" r:id="rId1020" xr:uid="{00000000-0004-0000-0200-0000FB030000}"/>
    <hyperlink ref="B479" r:id="rId1021" xr:uid="{00000000-0004-0000-0200-0000FC030000}"/>
    <hyperlink ref="C479" r:id="rId1022" xr:uid="{00000000-0004-0000-0200-0000FD030000}"/>
    <hyperlink ref="A480" r:id="rId1023" xr:uid="{00000000-0004-0000-0200-0000FE030000}"/>
    <hyperlink ref="B480" r:id="rId1024" xr:uid="{00000000-0004-0000-0200-0000FF030000}"/>
    <hyperlink ref="C480" r:id="rId1025" xr:uid="{00000000-0004-0000-0200-000000040000}"/>
    <hyperlink ref="A481" r:id="rId1026" xr:uid="{00000000-0004-0000-0200-000001040000}"/>
    <hyperlink ref="B481" r:id="rId1027" xr:uid="{00000000-0004-0000-0200-000002040000}"/>
    <hyperlink ref="C481" r:id="rId1028" xr:uid="{00000000-0004-0000-0200-000003040000}"/>
    <hyperlink ref="A482" r:id="rId1029" xr:uid="{00000000-0004-0000-0200-000004040000}"/>
    <hyperlink ref="B482" r:id="rId1030" xr:uid="{00000000-0004-0000-0200-000005040000}"/>
    <hyperlink ref="C482" r:id="rId1031" xr:uid="{00000000-0004-0000-0200-000006040000}"/>
    <hyperlink ref="A483" r:id="rId1032" xr:uid="{00000000-0004-0000-0200-000007040000}"/>
    <hyperlink ref="B483" r:id="rId1033" xr:uid="{00000000-0004-0000-0200-000008040000}"/>
    <hyperlink ref="C483" r:id="rId1034" xr:uid="{00000000-0004-0000-0200-000009040000}"/>
    <hyperlink ref="A484" r:id="rId1035" xr:uid="{00000000-0004-0000-0200-00000A040000}"/>
    <hyperlink ref="B484" r:id="rId1036" xr:uid="{00000000-0004-0000-0200-00000B040000}"/>
    <hyperlink ref="C484" r:id="rId1037" xr:uid="{00000000-0004-0000-0200-00000C040000}"/>
    <hyperlink ref="A485" r:id="rId1038" xr:uid="{00000000-0004-0000-0200-00000D040000}"/>
    <hyperlink ref="B485" r:id="rId1039" xr:uid="{00000000-0004-0000-0200-00000E040000}"/>
    <hyperlink ref="C485" r:id="rId1040" xr:uid="{00000000-0004-0000-0200-00000F040000}"/>
    <hyperlink ref="A486" r:id="rId1041" xr:uid="{00000000-0004-0000-0200-000010040000}"/>
    <hyperlink ref="B486" r:id="rId1042" xr:uid="{00000000-0004-0000-0200-000011040000}"/>
    <hyperlink ref="C486" r:id="rId1043" xr:uid="{00000000-0004-0000-0200-000012040000}"/>
    <hyperlink ref="A487" r:id="rId1044" xr:uid="{00000000-0004-0000-0200-000013040000}"/>
    <hyperlink ref="B487" r:id="rId1045" xr:uid="{00000000-0004-0000-0200-000014040000}"/>
    <hyperlink ref="C487" r:id="rId1046" xr:uid="{00000000-0004-0000-0200-000015040000}"/>
    <hyperlink ref="A488" r:id="rId1047" xr:uid="{00000000-0004-0000-0200-000016040000}"/>
    <hyperlink ref="B488" r:id="rId1048" xr:uid="{00000000-0004-0000-0200-000017040000}"/>
    <hyperlink ref="C488" r:id="rId1049" xr:uid="{00000000-0004-0000-0200-000018040000}"/>
    <hyperlink ref="A489" r:id="rId1050" xr:uid="{00000000-0004-0000-0200-000019040000}"/>
    <hyperlink ref="B489" r:id="rId1051" xr:uid="{00000000-0004-0000-0200-00001A040000}"/>
    <hyperlink ref="C489" r:id="rId1052" xr:uid="{00000000-0004-0000-0200-00001B040000}"/>
    <hyperlink ref="A490" r:id="rId1053" xr:uid="{00000000-0004-0000-0200-00001C040000}"/>
    <hyperlink ref="B490" r:id="rId1054" xr:uid="{00000000-0004-0000-0200-00001D040000}"/>
    <hyperlink ref="C490" r:id="rId1055" xr:uid="{00000000-0004-0000-0200-00001E040000}"/>
    <hyperlink ref="A491" r:id="rId1056" xr:uid="{00000000-0004-0000-0200-00001F040000}"/>
    <hyperlink ref="B491" r:id="rId1057" xr:uid="{00000000-0004-0000-0200-000020040000}"/>
    <hyperlink ref="C491" r:id="rId1058" xr:uid="{00000000-0004-0000-0200-000021040000}"/>
    <hyperlink ref="A492" r:id="rId1059" xr:uid="{00000000-0004-0000-0200-000022040000}"/>
    <hyperlink ref="B492" r:id="rId1060" xr:uid="{00000000-0004-0000-0200-000023040000}"/>
    <hyperlink ref="C492" r:id="rId1061" xr:uid="{00000000-0004-0000-0200-000024040000}"/>
    <hyperlink ref="A493" r:id="rId1062" xr:uid="{00000000-0004-0000-0200-000025040000}"/>
    <hyperlink ref="B493" r:id="rId1063" xr:uid="{00000000-0004-0000-0200-000026040000}"/>
    <hyperlink ref="C493" r:id="rId1064" xr:uid="{00000000-0004-0000-0200-000027040000}"/>
    <hyperlink ref="A494" r:id="rId1065" xr:uid="{00000000-0004-0000-0200-000028040000}"/>
    <hyperlink ref="B494" r:id="rId1066" xr:uid="{00000000-0004-0000-0200-000029040000}"/>
    <hyperlink ref="C494" r:id="rId1067" xr:uid="{00000000-0004-0000-0200-00002A040000}"/>
    <hyperlink ref="A495" r:id="rId1068" xr:uid="{00000000-0004-0000-0200-00002B040000}"/>
    <hyperlink ref="B495" r:id="rId1069" xr:uid="{00000000-0004-0000-0200-00002C040000}"/>
    <hyperlink ref="C495" r:id="rId1070" xr:uid="{00000000-0004-0000-0200-00002D040000}"/>
    <hyperlink ref="A496" r:id="rId1071" xr:uid="{00000000-0004-0000-0200-00002E040000}"/>
    <hyperlink ref="B496" r:id="rId1072" xr:uid="{00000000-0004-0000-0200-00002F040000}"/>
    <hyperlink ref="C496" r:id="rId1073" xr:uid="{00000000-0004-0000-0200-000030040000}"/>
    <hyperlink ref="A497" r:id="rId1074" xr:uid="{00000000-0004-0000-0200-000031040000}"/>
    <hyperlink ref="B497" r:id="rId1075" xr:uid="{00000000-0004-0000-0200-000032040000}"/>
    <hyperlink ref="C497" r:id="rId1076" xr:uid="{00000000-0004-0000-0200-000033040000}"/>
    <hyperlink ref="A498" r:id="rId1077" xr:uid="{00000000-0004-0000-0200-000034040000}"/>
    <hyperlink ref="B498" r:id="rId1078" xr:uid="{00000000-0004-0000-0200-000035040000}"/>
    <hyperlink ref="C498" r:id="rId1079" xr:uid="{00000000-0004-0000-0200-000036040000}"/>
    <hyperlink ref="A499" r:id="rId1080" xr:uid="{00000000-0004-0000-0200-000037040000}"/>
    <hyperlink ref="B499" r:id="rId1081" xr:uid="{00000000-0004-0000-0200-000038040000}"/>
    <hyperlink ref="C499" r:id="rId1082" xr:uid="{00000000-0004-0000-0200-000039040000}"/>
    <hyperlink ref="A500" r:id="rId1083" xr:uid="{00000000-0004-0000-0200-00003A040000}"/>
    <hyperlink ref="B500" r:id="rId1084" xr:uid="{00000000-0004-0000-0200-00003B040000}"/>
    <hyperlink ref="C500" r:id="rId1085" xr:uid="{00000000-0004-0000-0200-00003C040000}"/>
    <hyperlink ref="A501" r:id="rId1086" xr:uid="{00000000-0004-0000-0200-00003D040000}"/>
    <hyperlink ref="B501" r:id="rId1087" xr:uid="{00000000-0004-0000-0200-00003E040000}"/>
    <hyperlink ref="C501" r:id="rId1088" xr:uid="{00000000-0004-0000-0200-00003F040000}"/>
    <hyperlink ref="A502" r:id="rId1089" xr:uid="{00000000-0004-0000-0200-000040040000}"/>
    <hyperlink ref="B502" r:id="rId1090" xr:uid="{00000000-0004-0000-0200-000041040000}"/>
    <hyperlink ref="C502" r:id="rId1091" xr:uid="{00000000-0004-0000-0200-000042040000}"/>
    <hyperlink ref="A503" r:id="rId1092" xr:uid="{00000000-0004-0000-0200-000043040000}"/>
    <hyperlink ref="B503" r:id="rId1093" xr:uid="{00000000-0004-0000-0200-000044040000}"/>
    <hyperlink ref="C503" r:id="rId1094" xr:uid="{00000000-0004-0000-0200-000045040000}"/>
    <hyperlink ref="A504" r:id="rId1095" xr:uid="{00000000-0004-0000-0200-000046040000}"/>
    <hyperlink ref="B504" r:id="rId1096" xr:uid="{00000000-0004-0000-0200-000047040000}"/>
    <hyperlink ref="C504" r:id="rId1097" xr:uid="{00000000-0004-0000-0200-000048040000}"/>
    <hyperlink ref="A505" r:id="rId1098" xr:uid="{00000000-0004-0000-0200-000049040000}"/>
    <hyperlink ref="B505" r:id="rId1099" xr:uid="{00000000-0004-0000-0200-00004A040000}"/>
    <hyperlink ref="C505" r:id="rId1100" xr:uid="{00000000-0004-0000-0200-00004B040000}"/>
    <hyperlink ref="A506" r:id="rId1101" xr:uid="{00000000-0004-0000-0200-00004C040000}"/>
    <hyperlink ref="B506" r:id="rId1102" xr:uid="{00000000-0004-0000-0200-00004D040000}"/>
    <hyperlink ref="C506" r:id="rId1103" xr:uid="{00000000-0004-0000-0200-00004E040000}"/>
    <hyperlink ref="A507" r:id="rId1104" xr:uid="{00000000-0004-0000-0200-00004F040000}"/>
    <hyperlink ref="B507" r:id="rId1105" xr:uid="{00000000-0004-0000-0200-000050040000}"/>
    <hyperlink ref="C507" r:id="rId1106" xr:uid="{00000000-0004-0000-0200-000051040000}"/>
    <hyperlink ref="A508" r:id="rId1107" xr:uid="{00000000-0004-0000-0200-000052040000}"/>
    <hyperlink ref="B508" r:id="rId1108" xr:uid="{00000000-0004-0000-0200-000053040000}"/>
    <hyperlink ref="C508" r:id="rId1109" xr:uid="{00000000-0004-0000-0200-000054040000}"/>
    <hyperlink ref="A509" r:id="rId1110" xr:uid="{00000000-0004-0000-0200-000055040000}"/>
    <hyperlink ref="B509" r:id="rId1111" xr:uid="{00000000-0004-0000-0200-000056040000}"/>
    <hyperlink ref="C509" r:id="rId1112" xr:uid="{00000000-0004-0000-0200-000057040000}"/>
    <hyperlink ref="A510" r:id="rId1113" xr:uid="{00000000-0004-0000-0200-000058040000}"/>
    <hyperlink ref="B510" r:id="rId1114" xr:uid="{00000000-0004-0000-0200-000059040000}"/>
    <hyperlink ref="C510" r:id="rId1115" xr:uid="{00000000-0004-0000-0200-00005A040000}"/>
    <hyperlink ref="A511" r:id="rId1116" xr:uid="{00000000-0004-0000-0200-00005B040000}"/>
    <hyperlink ref="B511" r:id="rId1117" xr:uid="{00000000-0004-0000-0200-00005C040000}"/>
    <hyperlink ref="C511" r:id="rId1118" xr:uid="{00000000-0004-0000-0200-00005D040000}"/>
    <hyperlink ref="A512" r:id="rId1119" xr:uid="{00000000-0004-0000-0200-00005E040000}"/>
    <hyperlink ref="B512" r:id="rId1120" xr:uid="{00000000-0004-0000-0200-00005F040000}"/>
    <hyperlink ref="C512" r:id="rId1121" xr:uid="{00000000-0004-0000-0200-000060040000}"/>
    <hyperlink ref="A513" r:id="rId1122" xr:uid="{00000000-0004-0000-0200-000061040000}"/>
    <hyperlink ref="B513" r:id="rId1123" xr:uid="{00000000-0004-0000-0200-000062040000}"/>
    <hyperlink ref="C513" r:id="rId1124" xr:uid="{00000000-0004-0000-0200-000063040000}"/>
    <hyperlink ref="A514" r:id="rId1125" xr:uid="{00000000-0004-0000-0200-000064040000}"/>
    <hyperlink ref="B514" r:id="rId1126" xr:uid="{00000000-0004-0000-0200-000065040000}"/>
    <hyperlink ref="C514" r:id="rId1127" xr:uid="{00000000-0004-0000-0200-000066040000}"/>
    <hyperlink ref="A515" r:id="rId1128" xr:uid="{00000000-0004-0000-0200-000067040000}"/>
    <hyperlink ref="B515" r:id="rId1129" xr:uid="{00000000-0004-0000-0200-000068040000}"/>
    <hyperlink ref="C515" r:id="rId1130" xr:uid="{00000000-0004-0000-0200-000069040000}"/>
    <hyperlink ref="A516" r:id="rId1131" xr:uid="{00000000-0004-0000-0200-00006A040000}"/>
    <hyperlink ref="B516" r:id="rId1132" xr:uid="{00000000-0004-0000-0200-00006B040000}"/>
    <hyperlink ref="C516" r:id="rId1133" xr:uid="{00000000-0004-0000-0200-00006C040000}"/>
    <hyperlink ref="A517" r:id="rId1134" xr:uid="{00000000-0004-0000-0200-00006D040000}"/>
    <hyperlink ref="B517" r:id="rId1135" xr:uid="{00000000-0004-0000-0200-00006E040000}"/>
    <hyperlink ref="C517" r:id="rId1136" xr:uid="{00000000-0004-0000-0200-00006F040000}"/>
    <hyperlink ref="A518" r:id="rId1137" xr:uid="{00000000-0004-0000-0200-000070040000}"/>
    <hyperlink ref="B518" r:id="rId1138" xr:uid="{00000000-0004-0000-0200-000071040000}"/>
    <hyperlink ref="C518" r:id="rId1139" xr:uid="{00000000-0004-0000-0200-000072040000}"/>
    <hyperlink ref="A519" r:id="rId1140" xr:uid="{00000000-0004-0000-0200-000073040000}"/>
    <hyperlink ref="B519" r:id="rId1141" xr:uid="{00000000-0004-0000-0200-000074040000}"/>
    <hyperlink ref="C519" r:id="rId1142" xr:uid="{00000000-0004-0000-0200-000075040000}"/>
    <hyperlink ref="A520" r:id="rId1143" xr:uid="{00000000-0004-0000-0200-000076040000}"/>
    <hyperlink ref="B520" r:id="rId1144" xr:uid="{00000000-0004-0000-0200-000077040000}"/>
    <hyperlink ref="C520" r:id="rId1145" xr:uid="{00000000-0004-0000-0200-000078040000}"/>
    <hyperlink ref="A521" r:id="rId1146" xr:uid="{00000000-0004-0000-0200-000079040000}"/>
    <hyperlink ref="B521" r:id="rId1147" xr:uid="{00000000-0004-0000-0200-00007A040000}"/>
    <hyperlink ref="C521" r:id="rId1148" xr:uid="{00000000-0004-0000-0200-00007B040000}"/>
    <hyperlink ref="A522" r:id="rId1149" xr:uid="{00000000-0004-0000-0200-00007C040000}"/>
    <hyperlink ref="B522" r:id="rId1150" xr:uid="{00000000-0004-0000-0200-00007D040000}"/>
    <hyperlink ref="C522" r:id="rId1151" xr:uid="{00000000-0004-0000-0200-00007E040000}"/>
    <hyperlink ref="A523" r:id="rId1152" xr:uid="{00000000-0004-0000-0200-00007F040000}"/>
    <hyperlink ref="B523" r:id="rId1153" xr:uid="{00000000-0004-0000-0200-000080040000}"/>
    <hyperlink ref="C523" r:id="rId1154" xr:uid="{00000000-0004-0000-0200-000081040000}"/>
    <hyperlink ref="A524" r:id="rId1155" xr:uid="{00000000-0004-0000-0200-000082040000}"/>
    <hyperlink ref="B524" r:id="rId1156" xr:uid="{00000000-0004-0000-0200-000083040000}"/>
    <hyperlink ref="C524" r:id="rId1157" xr:uid="{00000000-0004-0000-0200-000084040000}"/>
    <hyperlink ref="A525" r:id="rId1158" xr:uid="{00000000-0004-0000-0200-000085040000}"/>
    <hyperlink ref="B525" r:id="rId1159" xr:uid="{00000000-0004-0000-0200-000086040000}"/>
    <hyperlink ref="C525" r:id="rId1160" xr:uid="{00000000-0004-0000-0200-000087040000}"/>
    <hyperlink ref="A526" r:id="rId1161" xr:uid="{00000000-0004-0000-0200-000088040000}"/>
    <hyperlink ref="B526" r:id="rId1162" xr:uid="{00000000-0004-0000-0200-000089040000}"/>
    <hyperlink ref="C526" r:id="rId1163" xr:uid="{00000000-0004-0000-0200-00008A040000}"/>
    <hyperlink ref="A527" r:id="rId1164" xr:uid="{00000000-0004-0000-0200-00008B040000}"/>
    <hyperlink ref="B527" r:id="rId1165" xr:uid="{00000000-0004-0000-0200-00008C040000}"/>
    <hyperlink ref="C527" r:id="rId1166" xr:uid="{00000000-0004-0000-0200-00008D040000}"/>
    <hyperlink ref="A528" r:id="rId1167" xr:uid="{00000000-0004-0000-0200-00008E040000}"/>
    <hyperlink ref="B528" r:id="rId1168" xr:uid="{00000000-0004-0000-0200-00008F040000}"/>
    <hyperlink ref="C528" r:id="rId1169" xr:uid="{00000000-0004-0000-0200-000090040000}"/>
    <hyperlink ref="A529" r:id="rId1170" xr:uid="{00000000-0004-0000-0200-000091040000}"/>
    <hyperlink ref="B529" r:id="rId1171" xr:uid="{00000000-0004-0000-0200-000092040000}"/>
    <hyperlink ref="C529" r:id="rId1172" xr:uid="{00000000-0004-0000-0200-000093040000}"/>
    <hyperlink ref="A530" r:id="rId1173" xr:uid="{00000000-0004-0000-0200-000094040000}"/>
    <hyperlink ref="B530" r:id="rId1174" xr:uid="{00000000-0004-0000-0200-000095040000}"/>
    <hyperlink ref="C530" r:id="rId1175" xr:uid="{00000000-0004-0000-0200-000096040000}"/>
    <hyperlink ref="A531" r:id="rId1176" xr:uid="{00000000-0004-0000-0200-000097040000}"/>
    <hyperlink ref="B531" r:id="rId1177" xr:uid="{00000000-0004-0000-0200-000098040000}"/>
    <hyperlink ref="C531" r:id="rId1178" xr:uid="{00000000-0004-0000-0200-000099040000}"/>
    <hyperlink ref="A532" r:id="rId1179" xr:uid="{00000000-0004-0000-0200-00009A040000}"/>
    <hyperlink ref="B532" r:id="rId1180" xr:uid="{00000000-0004-0000-0200-00009B040000}"/>
    <hyperlink ref="C532" r:id="rId1181" xr:uid="{00000000-0004-0000-0200-00009C040000}"/>
    <hyperlink ref="A533" r:id="rId1182" xr:uid="{00000000-0004-0000-0200-00009D040000}"/>
    <hyperlink ref="B533" r:id="rId1183" xr:uid="{00000000-0004-0000-0200-00009E040000}"/>
    <hyperlink ref="C533" r:id="rId1184" xr:uid="{00000000-0004-0000-0200-00009F040000}"/>
    <hyperlink ref="A534" r:id="rId1185" xr:uid="{00000000-0004-0000-0200-0000A0040000}"/>
    <hyperlink ref="B534" r:id="rId1186" xr:uid="{00000000-0004-0000-0200-0000A1040000}"/>
    <hyperlink ref="C534" r:id="rId1187" xr:uid="{00000000-0004-0000-0200-0000A2040000}"/>
    <hyperlink ref="A535" r:id="rId1188" xr:uid="{00000000-0004-0000-0200-0000A3040000}"/>
    <hyperlink ref="B535" r:id="rId1189" xr:uid="{00000000-0004-0000-0200-0000A4040000}"/>
    <hyperlink ref="C535" r:id="rId1190" xr:uid="{00000000-0004-0000-0200-0000A5040000}"/>
    <hyperlink ref="A536" r:id="rId1191" xr:uid="{00000000-0004-0000-0200-0000A6040000}"/>
    <hyperlink ref="B536" r:id="rId1192" xr:uid="{00000000-0004-0000-0200-0000A7040000}"/>
    <hyperlink ref="C536" r:id="rId1193" xr:uid="{00000000-0004-0000-0200-0000A8040000}"/>
    <hyperlink ref="A537" r:id="rId1194" xr:uid="{00000000-0004-0000-0200-0000A9040000}"/>
    <hyperlink ref="B537" r:id="rId1195" xr:uid="{00000000-0004-0000-0200-0000AA040000}"/>
    <hyperlink ref="C537" r:id="rId1196" xr:uid="{00000000-0004-0000-0200-0000AB040000}"/>
    <hyperlink ref="A538" r:id="rId1197" xr:uid="{00000000-0004-0000-0200-0000AC040000}"/>
    <hyperlink ref="B538" r:id="rId1198" xr:uid="{00000000-0004-0000-0200-0000AD040000}"/>
    <hyperlink ref="C538" r:id="rId1199" xr:uid="{00000000-0004-0000-0200-0000AE040000}"/>
    <hyperlink ref="A539" r:id="rId1200" xr:uid="{00000000-0004-0000-0200-0000AF040000}"/>
    <hyperlink ref="B539" r:id="rId1201" xr:uid="{00000000-0004-0000-0200-0000B0040000}"/>
    <hyperlink ref="C539" r:id="rId1202" xr:uid="{00000000-0004-0000-0200-0000B1040000}"/>
    <hyperlink ref="A540" r:id="rId1203" xr:uid="{00000000-0004-0000-0200-0000B2040000}"/>
    <hyperlink ref="B540" r:id="rId1204" xr:uid="{00000000-0004-0000-0200-0000B3040000}"/>
    <hyperlink ref="C540" r:id="rId1205" xr:uid="{00000000-0004-0000-0200-0000B4040000}"/>
    <hyperlink ref="A541" r:id="rId1206" xr:uid="{00000000-0004-0000-0200-0000B5040000}"/>
    <hyperlink ref="B541" r:id="rId1207" xr:uid="{00000000-0004-0000-0200-0000B6040000}"/>
    <hyperlink ref="C541" r:id="rId1208" xr:uid="{00000000-0004-0000-0200-0000B7040000}"/>
    <hyperlink ref="A542" r:id="rId1209" xr:uid="{00000000-0004-0000-0200-0000B8040000}"/>
    <hyperlink ref="B542" r:id="rId1210" xr:uid="{00000000-0004-0000-0200-0000B9040000}"/>
    <hyperlink ref="C542" r:id="rId1211" xr:uid="{00000000-0004-0000-0200-0000BA040000}"/>
    <hyperlink ref="A543" r:id="rId1212" xr:uid="{00000000-0004-0000-0200-0000BB040000}"/>
    <hyperlink ref="B543" r:id="rId1213" xr:uid="{00000000-0004-0000-0200-0000BC040000}"/>
    <hyperlink ref="C543" r:id="rId1214" xr:uid="{00000000-0004-0000-0200-0000BD040000}"/>
    <hyperlink ref="A544" r:id="rId1215" xr:uid="{00000000-0004-0000-0200-0000BE040000}"/>
    <hyperlink ref="B544" r:id="rId1216" xr:uid="{00000000-0004-0000-0200-0000BF040000}"/>
    <hyperlink ref="C544" r:id="rId1217" xr:uid="{00000000-0004-0000-0200-0000C0040000}"/>
    <hyperlink ref="A545" r:id="rId1218" xr:uid="{00000000-0004-0000-0200-0000C1040000}"/>
    <hyperlink ref="B545" r:id="rId1219" xr:uid="{00000000-0004-0000-0200-0000C2040000}"/>
    <hyperlink ref="C545" r:id="rId1220" xr:uid="{00000000-0004-0000-0200-0000C3040000}"/>
    <hyperlink ref="A546" r:id="rId1221" xr:uid="{00000000-0004-0000-0200-0000C4040000}"/>
    <hyperlink ref="B546" r:id="rId1222" xr:uid="{00000000-0004-0000-0200-0000C5040000}"/>
    <hyperlink ref="C546" r:id="rId1223" xr:uid="{00000000-0004-0000-0200-0000C6040000}"/>
    <hyperlink ref="A547" r:id="rId1224" xr:uid="{00000000-0004-0000-0200-0000C7040000}"/>
    <hyperlink ref="B547" r:id="rId1225" xr:uid="{00000000-0004-0000-0200-0000C8040000}"/>
    <hyperlink ref="C547" r:id="rId1226" xr:uid="{00000000-0004-0000-0200-0000C9040000}"/>
    <hyperlink ref="A548" r:id="rId1227" xr:uid="{00000000-0004-0000-0200-0000CA040000}"/>
    <hyperlink ref="B548" r:id="rId1228" xr:uid="{00000000-0004-0000-0200-0000CB040000}"/>
    <hyperlink ref="C548" r:id="rId1229" xr:uid="{00000000-0004-0000-0200-0000CC040000}"/>
    <hyperlink ref="A549" r:id="rId1230" xr:uid="{00000000-0004-0000-0200-0000CD040000}"/>
    <hyperlink ref="B549" r:id="rId1231" xr:uid="{00000000-0004-0000-0200-0000CE040000}"/>
    <hyperlink ref="C549" r:id="rId1232" xr:uid="{00000000-0004-0000-0200-0000CF040000}"/>
    <hyperlink ref="A550" r:id="rId1233" xr:uid="{00000000-0004-0000-0200-0000D0040000}"/>
    <hyperlink ref="B550" r:id="rId1234" xr:uid="{00000000-0004-0000-0200-0000D1040000}"/>
    <hyperlink ref="C550" r:id="rId1235" xr:uid="{00000000-0004-0000-0200-0000D2040000}"/>
    <hyperlink ref="A551" r:id="rId1236" xr:uid="{00000000-0004-0000-0200-0000D3040000}"/>
    <hyperlink ref="B551" r:id="rId1237" xr:uid="{00000000-0004-0000-0200-0000D4040000}"/>
    <hyperlink ref="C551" r:id="rId1238" xr:uid="{00000000-0004-0000-0200-0000D5040000}"/>
    <hyperlink ref="A552" r:id="rId1239" xr:uid="{00000000-0004-0000-0200-0000D6040000}"/>
    <hyperlink ref="B552" r:id="rId1240" xr:uid="{00000000-0004-0000-0200-0000D7040000}"/>
    <hyperlink ref="C552" r:id="rId1241" xr:uid="{00000000-0004-0000-0200-0000D8040000}"/>
    <hyperlink ref="A553" r:id="rId1242" xr:uid="{00000000-0004-0000-0200-0000D9040000}"/>
    <hyperlink ref="B553" r:id="rId1243" xr:uid="{00000000-0004-0000-0200-0000DA040000}"/>
    <hyperlink ref="C553" r:id="rId1244" xr:uid="{00000000-0004-0000-0200-0000DB040000}"/>
    <hyperlink ref="A554" r:id="rId1245" xr:uid="{00000000-0004-0000-0200-0000DC040000}"/>
    <hyperlink ref="B554" r:id="rId1246" xr:uid="{00000000-0004-0000-0200-0000DD040000}"/>
    <hyperlink ref="C554" r:id="rId1247" xr:uid="{00000000-0004-0000-0200-0000DE040000}"/>
    <hyperlink ref="A555" r:id="rId1248" xr:uid="{00000000-0004-0000-0200-0000DF040000}"/>
    <hyperlink ref="B555" r:id="rId1249" xr:uid="{00000000-0004-0000-0200-0000E0040000}"/>
    <hyperlink ref="C555" r:id="rId1250" xr:uid="{00000000-0004-0000-0200-0000E1040000}"/>
    <hyperlink ref="A556" r:id="rId1251" xr:uid="{00000000-0004-0000-0200-0000E2040000}"/>
    <hyperlink ref="B556" r:id="rId1252" xr:uid="{00000000-0004-0000-0200-0000E3040000}"/>
    <hyperlink ref="C556" r:id="rId1253" xr:uid="{00000000-0004-0000-0200-0000E4040000}"/>
    <hyperlink ref="A557" r:id="rId1254" xr:uid="{00000000-0004-0000-0200-0000E5040000}"/>
    <hyperlink ref="B557" r:id="rId1255" xr:uid="{00000000-0004-0000-0200-0000E6040000}"/>
    <hyperlink ref="C557" r:id="rId1256" xr:uid="{00000000-0004-0000-0200-0000E7040000}"/>
    <hyperlink ref="A558" r:id="rId1257" xr:uid="{00000000-0004-0000-0200-0000E8040000}"/>
    <hyperlink ref="B558" r:id="rId1258" xr:uid="{00000000-0004-0000-0200-0000E9040000}"/>
    <hyperlink ref="C558" r:id="rId1259" xr:uid="{00000000-0004-0000-0200-0000EA040000}"/>
    <hyperlink ref="A559" r:id="rId1260" xr:uid="{00000000-0004-0000-0200-0000EB040000}"/>
    <hyperlink ref="B559" r:id="rId1261" xr:uid="{00000000-0004-0000-0200-0000EC040000}"/>
    <hyperlink ref="C559" r:id="rId1262" xr:uid="{00000000-0004-0000-0200-0000ED040000}"/>
    <hyperlink ref="A560" r:id="rId1263" xr:uid="{00000000-0004-0000-0200-0000EE040000}"/>
    <hyperlink ref="B560" r:id="rId1264" xr:uid="{00000000-0004-0000-0200-0000EF040000}"/>
    <hyperlink ref="C560" r:id="rId1265" xr:uid="{00000000-0004-0000-0200-0000F0040000}"/>
    <hyperlink ref="A561" r:id="rId1266" xr:uid="{00000000-0004-0000-0200-0000F1040000}"/>
    <hyperlink ref="B561" r:id="rId1267" xr:uid="{00000000-0004-0000-0200-0000F2040000}"/>
    <hyperlink ref="C561" r:id="rId1268" xr:uid="{00000000-0004-0000-0200-0000F3040000}"/>
    <hyperlink ref="A562" r:id="rId1269" xr:uid="{00000000-0004-0000-0200-0000F4040000}"/>
    <hyperlink ref="B562" r:id="rId1270" xr:uid="{00000000-0004-0000-0200-0000F5040000}"/>
    <hyperlink ref="C562" r:id="rId1271" xr:uid="{00000000-0004-0000-0200-0000F6040000}"/>
    <hyperlink ref="A563" r:id="rId1272" xr:uid="{00000000-0004-0000-0200-0000F7040000}"/>
    <hyperlink ref="B563" r:id="rId1273" xr:uid="{00000000-0004-0000-0200-0000F8040000}"/>
    <hyperlink ref="C563" r:id="rId1274" xr:uid="{00000000-0004-0000-0200-0000F9040000}"/>
    <hyperlink ref="A564" r:id="rId1275" xr:uid="{00000000-0004-0000-0200-0000FA040000}"/>
    <hyperlink ref="B564" r:id="rId1276" xr:uid="{00000000-0004-0000-0200-0000FB040000}"/>
    <hyperlink ref="C564" r:id="rId1277" xr:uid="{00000000-0004-0000-0200-0000FC040000}"/>
    <hyperlink ref="A565" r:id="rId1278" xr:uid="{00000000-0004-0000-0200-0000FD040000}"/>
    <hyperlink ref="B565" r:id="rId1279" xr:uid="{00000000-0004-0000-0200-0000FE040000}"/>
    <hyperlink ref="C565" r:id="rId1280" xr:uid="{00000000-0004-0000-0200-0000FF040000}"/>
    <hyperlink ref="A566" r:id="rId1281" xr:uid="{00000000-0004-0000-0200-000000050000}"/>
    <hyperlink ref="B566" r:id="rId1282" xr:uid="{00000000-0004-0000-0200-000001050000}"/>
    <hyperlink ref="C566" r:id="rId1283" xr:uid="{00000000-0004-0000-0200-000002050000}"/>
    <hyperlink ref="A567" r:id="rId1284" xr:uid="{00000000-0004-0000-0200-000003050000}"/>
    <hyperlink ref="B567" r:id="rId1285" xr:uid="{00000000-0004-0000-0200-000004050000}"/>
    <hyperlink ref="C567" r:id="rId1286" xr:uid="{00000000-0004-0000-0200-000005050000}"/>
    <hyperlink ref="A568" r:id="rId1287" xr:uid="{00000000-0004-0000-0200-000006050000}"/>
    <hyperlink ref="B568" r:id="rId1288" xr:uid="{00000000-0004-0000-0200-000007050000}"/>
    <hyperlink ref="C568" r:id="rId1289" xr:uid="{00000000-0004-0000-0200-000008050000}"/>
    <hyperlink ref="A569" r:id="rId1290" xr:uid="{00000000-0004-0000-0200-000009050000}"/>
    <hyperlink ref="B569" r:id="rId1291" xr:uid="{00000000-0004-0000-0200-00000A050000}"/>
    <hyperlink ref="C569" r:id="rId1292" xr:uid="{00000000-0004-0000-0200-00000B050000}"/>
    <hyperlink ref="A570" r:id="rId1293" xr:uid="{00000000-0004-0000-0200-00000C050000}"/>
    <hyperlink ref="B570" r:id="rId1294" xr:uid="{00000000-0004-0000-0200-00000D050000}"/>
    <hyperlink ref="C570" r:id="rId1295" xr:uid="{00000000-0004-0000-0200-00000E050000}"/>
    <hyperlink ref="A571" r:id="rId1296" xr:uid="{00000000-0004-0000-0200-00000F050000}"/>
    <hyperlink ref="B571" r:id="rId1297" xr:uid="{00000000-0004-0000-0200-000010050000}"/>
    <hyperlink ref="C571" r:id="rId1298" xr:uid="{00000000-0004-0000-0200-000011050000}"/>
    <hyperlink ref="A572" r:id="rId1299" xr:uid="{00000000-0004-0000-0200-000012050000}"/>
    <hyperlink ref="B572" r:id="rId1300" xr:uid="{00000000-0004-0000-0200-000013050000}"/>
    <hyperlink ref="C572" r:id="rId1301" xr:uid="{00000000-0004-0000-0200-000014050000}"/>
    <hyperlink ref="A573" r:id="rId1302" xr:uid="{00000000-0004-0000-0200-000015050000}"/>
    <hyperlink ref="B573" r:id="rId1303" xr:uid="{00000000-0004-0000-0200-000016050000}"/>
    <hyperlink ref="C573" r:id="rId1304" xr:uid="{00000000-0004-0000-0200-000017050000}"/>
    <hyperlink ref="A574" r:id="rId1305" xr:uid="{00000000-0004-0000-0200-000018050000}"/>
    <hyperlink ref="B574" r:id="rId1306" xr:uid="{00000000-0004-0000-0200-000019050000}"/>
    <hyperlink ref="C574" r:id="rId1307" xr:uid="{00000000-0004-0000-0200-00001A050000}"/>
    <hyperlink ref="A575" r:id="rId1308" xr:uid="{00000000-0004-0000-0200-00001B050000}"/>
    <hyperlink ref="B575" r:id="rId1309" xr:uid="{00000000-0004-0000-0200-00001C050000}"/>
    <hyperlink ref="C575" r:id="rId1310" xr:uid="{00000000-0004-0000-0200-00001D050000}"/>
    <hyperlink ref="A576" r:id="rId1311" xr:uid="{00000000-0004-0000-0200-00001E050000}"/>
    <hyperlink ref="B576" r:id="rId1312" xr:uid="{00000000-0004-0000-0200-00001F050000}"/>
    <hyperlink ref="C576" r:id="rId1313" xr:uid="{00000000-0004-0000-0200-000020050000}"/>
    <hyperlink ref="A577" r:id="rId1314" xr:uid="{00000000-0004-0000-0200-000021050000}"/>
    <hyperlink ref="B577" r:id="rId1315" xr:uid="{00000000-0004-0000-0200-000022050000}"/>
    <hyperlink ref="C577" r:id="rId1316" xr:uid="{00000000-0004-0000-0200-000023050000}"/>
    <hyperlink ref="A578" r:id="rId1317" xr:uid="{00000000-0004-0000-0200-000024050000}"/>
    <hyperlink ref="B578" r:id="rId1318" xr:uid="{00000000-0004-0000-0200-000025050000}"/>
    <hyperlink ref="C578" r:id="rId1319" xr:uid="{00000000-0004-0000-0200-000026050000}"/>
    <hyperlink ref="A579" r:id="rId1320" xr:uid="{00000000-0004-0000-0200-000027050000}"/>
    <hyperlink ref="B579" r:id="rId1321" xr:uid="{00000000-0004-0000-0200-000028050000}"/>
    <hyperlink ref="C579" r:id="rId1322" xr:uid="{00000000-0004-0000-0200-000029050000}"/>
    <hyperlink ref="A580" r:id="rId1323" xr:uid="{00000000-0004-0000-0200-00002A050000}"/>
    <hyperlink ref="B580" r:id="rId1324" xr:uid="{00000000-0004-0000-0200-00002B050000}"/>
    <hyperlink ref="C580" r:id="rId1325" xr:uid="{00000000-0004-0000-0200-00002C050000}"/>
    <hyperlink ref="A581" r:id="rId1326" xr:uid="{00000000-0004-0000-0200-00002D050000}"/>
    <hyperlink ref="B581" r:id="rId1327" xr:uid="{00000000-0004-0000-0200-00002E050000}"/>
    <hyperlink ref="C581" r:id="rId1328" xr:uid="{00000000-0004-0000-0200-00002F050000}"/>
    <hyperlink ref="A582" r:id="rId1329" xr:uid="{00000000-0004-0000-0200-000030050000}"/>
    <hyperlink ref="B582" r:id="rId1330" xr:uid="{00000000-0004-0000-0200-000031050000}"/>
    <hyperlink ref="C582" r:id="rId1331" xr:uid="{00000000-0004-0000-0200-000032050000}"/>
    <hyperlink ref="A583" r:id="rId1332" xr:uid="{00000000-0004-0000-0200-000033050000}"/>
    <hyperlink ref="B583" r:id="rId1333" xr:uid="{00000000-0004-0000-0200-000034050000}"/>
    <hyperlink ref="C583" r:id="rId1334" xr:uid="{00000000-0004-0000-0200-000035050000}"/>
    <hyperlink ref="A584" r:id="rId1335" xr:uid="{00000000-0004-0000-0200-000036050000}"/>
    <hyperlink ref="B584" r:id="rId1336" xr:uid="{00000000-0004-0000-0200-000037050000}"/>
    <hyperlink ref="C584" r:id="rId1337" xr:uid="{00000000-0004-0000-0200-000038050000}"/>
    <hyperlink ref="A585" r:id="rId1338" xr:uid="{00000000-0004-0000-0200-000039050000}"/>
    <hyperlink ref="B585" r:id="rId1339" xr:uid="{00000000-0004-0000-0200-00003A050000}"/>
    <hyperlink ref="C585" r:id="rId1340" xr:uid="{00000000-0004-0000-0200-00003B050000}"/>
    <hyperlink ref="A586" r:id="rId1341" xr:uid="{00000000-0004-0000-0200-00003C050000}"/>
    <hyperlink ref="B586" r:id="rId1342" xr:uid="{00000000-0004-0000-0200-00003D050000}"/>
    <hyperlink ref="C586" r:id="rId1343" xr:uid="{00000000-0004-0000-0200-00003E050000}"/>
    <hyperlink ref="A587" r:id="rId1344" xr:uid="{00000000-0004-0000-0200-00003F050000}"/>
    <hyperlink ref="B587" r:id="rId1345" xr:uid="{00000000-0004-0000-0200-000040050000}"/>
    <hyperlink ref="C587" r:id="rId1346" xr:uid="{00000000-0004-0000-0200-000041050000}"/>
    <hyperlink ref="A588" r:id="rId1347" xr:uid="{00000000-0004-0000-0200-000042050000}"/>
    <hyperlink ref="B588" r:id="rId1348" xr:uid="{00000000-0004-0000-0200-000043050000}"/>
    <hyperlink ref="C588" r:id="rId1349" xr:uid="{00000000-0004-0000-0200-000044050000}"/>
    <hyperlink ref="A589" r:id="rId1350" xr:uid="{00000000-0004-0000-0200-000045050000}"/>
    <hyperlink ref="B589" r:id="rId1351" xr:uid="{00000000-0004-0000-0200-000046050000}"/>
    <hyperlink ref="C589" r:id="rId1352" xr:uid="{00000000-0004-0000-0200-000047050000}"/>
    <hyperlink ref="A590" r:id="rId1353" xr:uid="{00000000-0004-0000-0200-000048050000}"/>
    <hyperlink ref="B590" r:id="rId1354" xr:uid="{00000000-0004-0000-0200-000049050000}"/>
    <hyperlink ref="C590" r:id="rId1355" xr:uid="{00000000-0004-0000-0200-00004A050000}"/>
    <hyperlink ref="A591" r:id="rId1356" xr:uid="{00000000-0004-0000-0200-00004B050000}"/>
    <hyperlink ref="B591" r:id="rId1357" xr:uid="{00000000-0004-0000-0200-00004C050000}"/>
    <hyperlink ref="C591" r:id="rId1358" xr:uid="{00000000-0004-0000-0200-00004D050000}"/>
    <hyperlink ref="A592" r:id="rId1359" xr:uid="{00000000-0004-0000-0200-00004E050000}"/>
    <hyperlink ref="B592" r:id="rId1360" xr:uid="{00000000-0004-0000-0200-00004F050000}"/>
    <hyperlink ref="C592" r:id="rId1361" xr:uid="{00000000-0004-0000-0200-000050050000}"/>
    <hyperlink ref="A593" r:id="rId1362" xr:uid="{00000000-0004-0000-0200-000051050000}"/>
    <hyperlink ref="B593" r:id="rId1363" xr:uid="{00000000-0004-0000-0200-000052050000}"/>
    <hyperlink ref="C593" r:id="rId1364" xr:uid="{00000000-0004-0000-0200-000053050000}"/>
    <hyperlink ref="A594" r:id="rId1365" xr:uid="{00000000-0004-0000-0200-000054050000}"/>
    <hyperlink ref="B594" r:id="rId1366" xr:uid="{00000000-0004-0000-0200-000055050000}"/>
    <hyperlink ref="C594" r:id="rId1367" xr:uid="{00000000-0004-0000-0200-000056050000}"/>
    <hyperlink ref="A595" r:id="rId1368" xr:uid="{00000000-0004-0000-0200-000057050000}"/>
    <hyperlink ref="B595" r:id="rId1369" xr:uid="{00000000-0004-0000-0200-000058050000}"/>
    <hyperlink ref="C595" r:id="rId1370" xr:uid="{00000000-0004-0000-0200-000059050000}"/>
    <hyperlink ref="A596" r:id="rId1371" xr:uid="{00000000-0004-0000-0200-00005A050000}"/>
    <hyperlink ref="B596" r:id="rId1372" xr:uid="{00000000-0004-0000-0200-00005B050000}"/>
    <hyperlink ref="C596" r:id="rId1373" xr:uid="{00000000-0004-0000-0200-00005C050000}"/>
    <hyperlink ref="A597" r:id="rId1374" xr:uid="{00000000-0004-0000-0200-00005D050000}"/>
    <hyperlink ref="B597" r:id="rId1375" xr:uid="{00000000-0004-0000-0200-00005E050000}"/>
    <hyperlink ref="C597" r:id="rId1376" xr:uid="{00000000-0004-0000-0200-00005F050000}"/>
    <hyperlink ref="A598" r:id="rId1377" xr:uid="{00000000-0004-0000-0200-000060050000}"/>
    <hyperlink ref="B598" r:id="rId1378" xr:uid="{00000000-0004-0000-0200-000061050000}"/>
    <hyperlink ref="C598" r:id="rId1379" xr:uid="{00000000-0004-0000-0200-000062050000}"/>
    <hyperlink ref="A599" r:id="rId1380" xr:uid="{00000000-0004-0000-0200-000063050000}"/>
    <hyperlink ref="B599" r:id="rId1381" xr:uid="{00000000-0004-0000-0200-000064050000}"/>
    <hyperlink ref="C599" r:id="rId1382" xr:uid="{00000000-0004-0000-0200-000065050000}"/>
    <hyperlink ref="A600" r:id="rId1383" xr:uid="{00000000-0004-0000-0200-000066050000}"/>
    <hyperlink ref="B600" r:id="rId1384" xr:uid="{00000000-0004-0000-0200-000067050000}"/>
    <hyperlink ref="C600" r:id="rId1385" xr:uid="{00000000-0004-0000-0200-000068050000}"/>
    <hyperlink ref="A601" r:id="rId1386" xr:uid="{00000000-0004-0000-0200-000069050000}"/>
    <hyperlink ref="B601" r:id="rId1387" xr:uid="{00000000-0004-0000-0200-00006A050000}"/>
    <hyperlink ref="C601" r:id="rId1388" xr:uid="{00000000-0004-0000-0200-00006B050000}"/>
    <hyperlink ref="A602" r:id="rId1389" xr:uid="{00000000-0004-0000-0200-00006C050000}"/>
    <hyperlink ref="B602" r:id="rId1390" xr:uid="{00000000-0004-0000-0200-00006D050000}"/>
    <hyperlink ref="C602" r:id="rId1391" xr:uid="{00000000-0004-0000-0200-00006E050000}"/>
    <hyperlink ref="A603" r:id="rId1392" xr:uid="{00000000-0004-0000-0200-00006F050000}"/>
    <hyperlink ref="B603" r:id="rId1393" xr:uid="{00000000-0004-0000-0200-000070050000}"/>
    <hyperlink ref="C603" r:id="rId1394" xr:uid="{00000000-0004-0000-0200-000071050000}"/>
    <hyperlink ref="A604" r:id="rId1395" xr:uid="{00000000-0004-0000-0200-000072050000}"/>
    <hyperlink ref="B604" r:id="rId1396" xr:uid="{00000000-0004-0000-0200-000073050000}"/>
    <hyperlink ref="C604" r:id="rId1397" xr:uid="{00000000-0004-0000-0200-000074050000}"/>
    <hyperlink ref="A605" r:id="rId1398" xr:uid="{00000000-0004-0000-0200-000075050000}"/>
    <hyperlink ref="B605" r:id="rId1399" xr:uid="{00000000-0004-0000-0200-000076050000}"/>
    <hyperlink ref="C605" r:id="rId1400" xr:uid="{00000000-0004-0000-0200-000077050000}"/>
    <hyperlink ref="A606" r:id="rId1401" xr:uid="{00000000-0004-0000-0200-000078050000}"/>
    <hyperlink ref="B606" r:id="rId1402" xr:uid="{00000000-0004-0000-0200-000079050000}"/>
    <hyperlink ref="C606" r:id="rId1403" xr:uid="{00000000-0004-0000-0200-00007A050000}"/>
    <hyperlink ref="A607" r:id="rId1404" xr:uid="{00000000-0004-0000-0200-00007B050000}"/>
    <hyperlink ref="B607" r:id="rId1405" xr:uid="{00000000-0004-0000-0200-00007C050000}"/>
    <hyperlink ref="C607" r:id="rId1406" xr:uid="{00000000-0004-0000-0200-00007D050000}"/>
    <hyperlink ref="A608" r:id="rId1407" xr:uid="{00000000-0004-0000-0200-00007E050000}"/>
    <hyperlink ref="B608" r:id="rId1408" xr:uid="{00000000-0004-0000-0200-00007F050000}"/>
    <hyperlink ref="C608" r:id="rId1409" xr:uid="{00000000-0004-0000-0200-000080050000}"/>
    <hyperlink ref="A609" r:id="rId1410" xr:uid="{00000000-0004-0000-0200-000081050000}"/>
    <hyperlink ref="B609" r:id="rId1411" xr:uid="{00000000-0004-0000-0200-000082050000}"/>
    <hyperlink ref="C609" r:id="rId1412" xr:uid="{00000000-0004-0000-0200-000083050000}"/>
    <hyperlink ref="A610" r:id="rId1413" xr:uid="{00000000-0004-0000-0200-000084050000}"/>
    <hyperlink ref="B610" r:id="rId1414" xr:uid="{00000000-0004-0000-0200-000085050000}"/>
    <hyperlink ref="C610" r:id="rId1415" xr:uid="{00000000-0004-0000-0200-000086050000}"/>
    <hyperlink ref="A611" r:id="rId1416" xr:uid="{00000000-0004-0000-0200-000087050000}"/>
    <hyperlink ref="B611" r:id="rId1417" xr:uid="{00000000-0004-0000-0200-000088050000}"/>
    <hyperlink ref="C611" r:id="rId1418" xr:uid="{00000000-0004-0000-0200-000089050000}"/>
    <hyperlink ref="A612" r:id="rId1419" xr:uid="{00000000-0004-0000-0200-00008A050000}"/>
    <hyperlink ref="B612" r:id="rId1420" xr:uid="{00000000-0004-0000-0200-00008B050000}"/>
    <hyperlink ref="C612" r:id="rId1421" xr:uid="{00000000-0004-0000-0200-00008C050000}"/>
    <hyperlink ref="A613" r:id="rId1422" xr:uid="{00000000-0004-0000-0200-00008D050000}"/>
    <hyperlink ref="B613" r:id="rId1423" xr:uid="{00000000-0004-0000-0200-00008E050000}"/>
    <hyperlink ref="C613" r:id="rId1424" xr:uid="{00000000-0004-0000-0200-00008F050000}"/>
    <hyperlink ref="A614" r:id="rId1425" xr:uid="{00000000-0004-0000-0200-000090050000}"/>
    <hyperlink ref="B614" r:id="rId1426" xr:uid="{00000000-0004-0000-0200-000091050000}"/>
    <hyperlink ref="C614" r:id="rId1427" xr:uid="{00000000-0004-0000-0200-000092050000}"/>
    <hyperlink ref="A615" r:id="rId1428" xr:uid="{00000000-0004-0000-0200-000093050000}"/>
    <hyperlink ref="B615" r:id="rId1429" xr:uid="{00000000-0004-0000-0200-000094050000}"/>
    <hyperlink ref="C615" r:id="rId1430" xr:uid="{00000000-0004-0000-0200-000095050000}"/>
    <hyperlink ref="A616" r:id="rId1431" xr:uid="{00000000-0004-0000-0200-000096050000}"/>
    <hyperlink ref="B616" r:id="rId1432" xr:uid="{00000000-0004-0000-0200-000097050000}"/>
    <hyperlink ref="C616" r:id="rId1433" xr:uid="{00000000-0004-0000-0200-000098050000}"/>
    <hyperlink ref="A617" r:id="rId1434" xr:uid="{00000000-0004-0000-0200-000099050000}"/>
    <hyperlink ref="B617" r:id="rId1435" xr:uid="{00000000-0004-0000-0200-00009A050000}"/>
    <hyperlink ref="C617" r:id="rId1436" xr:uid="{00000000-0004-0000-0200-00009B050000}"/>
    <hyperlink ref="A618" r:id="rId1437" xr:uid="{00000000-0004-0000-0200-00009C050000}"/>
    <hyperlink ref="B618" r:id="rId1438" xr:uid="{00000000-0004-0000-0200-00009D050000}"/>
    <hyperlink ref="C618" r:id="rId1439" xr:uid="{00000000-0004-0000-0200-00009E050000}"/>
    <hyperlink ref="A619" r:id="rId1440" xr:uid="{00000000-0004-0000-0200-00009F050000}"/>
    <hyperlink ref="B619" r:id="rId1441" xr:uid="{00000000-0004-0000-0200-0000A0050000}"/>
    <hyperlink ref="C619" r:id="rId1442" xr:uid="{00000000-0004-0000-0200-0000A1050000}"/>
    <hyperlink ref="A620" r:id="rId1443" xr:uid="{00000000-0004-0000-0200-0000A2050000}"/>
    <hyperlink ref="B620" r:id="rId1444" xr:uid="{00000000-0004-0000-0200-0000A3050000}"/>
    <hyperlink ref="C620" r:id="rId1445" location="6567b7d0ce08b-0" xr:uid="{00000000-0004-0000-0200-0000A4050000}"/>
    <hyperlink ref="A621" r:id="rId1446" xr:uid="{00000000-0004-0000-0200-0000A5050000}"/>
    <hyperlink ref="B621" r:id="rId1447" xr:uid="{00000000-0004-0000-0200-0000A6050000}"/>
    <hyperlink ref="C621" r:id="rId1448" xr:uid="{00000000-0004-0000-0200-0000A7050000}"/>
    <hyperlink ref="A622" r:id="rId1449" xr:uid="{00000000-0004-0000-0200-0000A8050000}"/>
    <hyperlink ref="B622" r:id="rId1450" xr:uid="{00000000-0004-0000-0200-0000A9050000}"/>
    <hyperlink ref="C622" r:id="rId1451" xr:uid="{00000000-0004-0000-0200-0000AA050000}"/>
    <hyperlink ref="A623" r:id="rId1452" xr:uid="{00000000-0004-0000-0200-0000AB050000}"/>
    <hyperlink ref="B623" r:id="rId1453" xr:uid="{00000000-0004-0000-0200-0000AC050000}"/>
    <hyperlink ref="C623" r:id="rId1454" xr:uid="{00000000-0004-0000-0200-0000AD050000}"/>
    <hyperlink ref="A624" r:id="rId1455" xr:uid="{00000000-0004-0000-0200-0000AE050000}"/>
    <hyperlink ref="B624" r:id="rId1456" xr:uid="{00000000-0004-0000-0200-0000AF050000}"/>
    <hyperlink ref="C624" r:id="rId1457" xr:uid="{00000000-0004-0000-0200-0000B0050000}"/>
    <hyperlink ref="A625" r:id="rId1458" xr:uid="{00000000-0004-0000-0200-0000B1050000}"/>
    <hyperlink ref="B625" r:id="rId1459" xr:uid="{00000000-0004-0000-0200-0000B2050000}"/>
    <hyperlink ref="C625" r:id="rId1460" xr:uid="{00000000-0004-0000-0200-0000B3050000}"/>
    <hyperlink ref="A626" r:id="rId1461" xr:uid="{00000000-0004-0000-0200-0000B4050000}"/>
    <hyperlink ref="B626" r:id="rId1462" xr:uid="{00000000-0004-0000-0200-0000B5050000}"/>
    <hyperlink ref="C626" r:id="rId1463" xr:uid="{00000000-0004-0000-0200-0000B6050000}"/>
    <hyperlink ref="A627" r:id="rId1464" xr:uid="{00000000-0004-0000-0200-0000B7050000}"/>
    <hyperlink ref="B627" r:id="rId1465" xr:uid="{00000000-0004-0000-0200-0000B8050000}"/>
    <hyperlink ref="C627" r:id="rId1466" xr:uid="{00000000-0004-0000-0200-0000B9050000}"/>
    <hyperlink ref="A628" r:id="rId1467" xr:uid="{00000000-0004-0000-0200-0000BA050000}"/>
    <hyperlink ref="B628" r:id="rId1468" xr:uid="{00000000-0004-0000-0200-0000BB050000}"/>
    <hyperlink ref="C628" r:id="rId1469" xr:uid="{00000000-0004-0000-0200-0000BC050000}"/>
    <hyperlink ref="A629" r:id="rId1470" xr:uid="{00000000-0004-0000-0200-0000BD050000}"/>
    <hyperlink ref="B629" r:id="rId1471" xr:uid="{00000000-0004-0000-0200-0000BE050000}"/>
    <hyperlink ref="C629" r:id="rId1472" xr:uid="{00000000-0004-0000-0200-0000BF050000}"/>
    <hyperlink ref="A630" r:id="rId1473" xr:uid="{00000000-0004-0000-0200-0000C0050000}"/>
    <hyperlink ref="B630" r:id="rId1474" xr:uid="{00000000-0004-0000-0200-0000C1050000}"/>
    <hyperlink ref="C630" r:id="rId1475" xr:uid="{00000000-0004-0000-0200-0000C2050000}"/>
    <hyperlink ref="A631" r:id="rId1476" xr:uid="{00000000-0004-0000-0200-0000C3050000}"/>
    <hyperlink ref="B631" r:id="rId1477" xr:uid="{00000000-0004-0000-0200-0000C4050000}"/>
    <hyperlink ref="C631" r:id="rId1478" xr:uid="{00000000-0004-0000-0200-0000C5050000}"/>
    <hyperlink ref="A632" r:id="rId1479" xr:uid="{00000000-0004-0000-0200-0000C6050000}"/>
    <hyperlink ref="B632" r:id="rId1480" xr:uid="{00000000-0004-0000-0200-0000C7050000}"/>
    <hyperlink ref="C632" r:id="rId1481" xr:uid="{00000000-0004-0000-0200-0000C8050000}"/>
    <hyperlink ref="A633" r:id="rId1482" xr:uid="{00000000-0004-0000-0200-0000C9050000}"/>
    <hyperlink ref="B633" r:id="rId1483" xr:uid="{00000000-0004-0000-0200-0000CA050000}"/>
    <hyperlink ref="C633" r:id="rId1484" xr:uid="{00000000-0004-0000-0200-0000CB050000}"/>
    <hyperlink ref="A634" r:id="rId1485" xr:uid="{00000000-0004-0000-0200-0000CC050000}"/>
    <hyperlink ref="B634" r:id="rId1486" xr:uid="{00000000-0004-0000-0200-0000CD050000}"/>
    <hyperlink ref="C634" r:id="rId1487" xr:uid="{00000000-0004-0000-0200-0000CE050000}"/>
    <hyperlink ref="A635" r:id="rId1488" xr:uid="{00000000-0004-0000-0200-0000CF050000}"/>
    <hyperlink ref="B635" r:id="rId1489" xr:uid="{00000000-0004-0000-0200-0000D0050000}"/>
    <hyperlink ref="C635" r:id="rId1490" xr:uid="{00000000-0004-0000-0200-0000D1050000}"/>
    <hyperlink ref="A636" r:id="rId1491" xr:uid="{00000000-0004-0000-0200-0000D2050000}"/>
    <hyperlink ref="B636" r:id="rId1492" xr:uid="{00000000-0004-0000-0200-0000D3050000}"/>
    <hyperlink ref="C636" r:id="rId1493" xr:uid="{00000000-0004-0000-0200-0000D4050000}"/>
    <hyperlink ref="A637" r:id="rId1494" xr:uid="{00000000-0004-0000-0200-0000D5050000}"/>
    <hyperlink ref="B637" r:id="rId1495" xr:uid="{00000000-0004-0000-0200-0000D6050000}"/>
    <hyperlink ref="C637" r:id="rId1496" xr:uid="{00000000-0004-0000-0200-0000D7050000}"/>
    <hyperlink ref="A638" r:id="rId1497" xr:uid="{00000000-0004-0000-0200-0000D8050000}"/>
    <hyperlink ref="B638" r:id="rId1498" xr:uid="{00000000-0004-0000-0200-0000D9050000}"/>
    <hyperlink ref="C638" r:id="rId1499" xr:uid="{00000000-0004-0000-0200-0000DA050000}"/>
    <hyperlink ref="A639" r:id="rId1500" xr:uid="{00000000-0004-0000-0200-0000DB050000}"/>
    <hyperlink ref="B639" r:id="rId1501" xr:uid="{00000000-0004-0000-0200-0000DC050000}"/>
    <hyperlink ref="C639" r:id="rId1502" xr:uid="{00000000-0004-0000-0200-0000DD050000}"/>
    <hyperlink ref="A640" r:id="rId1503" xr:uid="{00000000-0004-0000-0200-0000DE050000}"/>
    <hyperlink ref="B640" r:id="rId1504" xr:uid="{00000000-0004-0000-0200-0000DF050000}"/>
    <hyperlink ref="C640" r:id="rId1505" xr:uid="{00000000-0004-0000-0200-0000E0050000}"/>
    <hyperlink ref="A641" r:id="rId1506" xr:uid="{00000000-0004-0000-0200-0000E1050000}"/>
    <hyperlink ref="B641" r:id="rId1507" xr:uid="{00000000-0004-0000-0200-0000E2050000}"/>
    <hyperlink ref="C641" r:id="rId1508" xr:uid="{00000000-0004-0000-0200-0000E3050000}"/>
    <hyperlink ref="A642" r:id="rId1509" xr:uid="{00000000-0004-0000-0200-0000E4050000}"/>
    <hyperlink ref="B642" r:id="rId1510" xr:uid="{00000000-0004-0000-0200-0000E5050000}"/>
    <hyperlink ref="C642" r:id="rId1511" xr:uid="{00000000-0004-0000-0200-0000E6050000}"/>
    <hyperlink ref="A643" r:id="rId1512" xr:uid="{00000000-0004-0000-0200-0000E7050000}"/>
    <hyperlink ref="B643" r:id="rId1513" xr:uid="{00000000-0004-0000-0200-0000E8050000}"/>
    <hyperlink ref="C643" r:id="rId1514" xr:uid="{00000000-0004-0000-0200-0000E9050000}"/>
    <hyperlink ref="A644" r:id="rId1515" xr:uid="{00000000-0004-0000-0200-0000EA050000}"/>
    <hyperlink ref="B644" r:id="rId1516" xr:uid="{00000000-0004-0000-0200-0000EB050000}"/>
    <hyperlink ref="C644" r:id="rId1517" xr:uid="{00000000-0004-0000-0200-0000EC050000}"/>
    <hyperlink ref="A645" r:id="rId1518" xr:uid="{00000000-0004-0000-0200-0000ED050000}"/>
    <hyperlink ref="B645" r:id="rId1519" xr:uid="{00000000-0004-0000-0200-0000EE050000}"/>
    <hyperlink ref="C645" r:id="rId1520" xr:uid="{00000000-0004-0000-0200-0000EF050000}"/>
    <hyperlink ref="A646" r:id="rId1521" xr:uid="{00000000-0004-0000-0200-0000F0050000}"/>
    <hyperlink ref="B646" r:id="rId1522" xr:uid="{00000000-0004-0000-0200-0000F1050000}"/>
    <hyperlink ref="C646" r:id="rId1523" xr:uid="{00000000-0004-0000-0200-0000F2050000}"/>
    <hyperlink ref="A647" r:id="rId1524" xr:uid="{00000000-0004-0000-0200-0000F3050000}"/>
    <hyperlink ref="B647" r:id="rId1525" xr:uid="{00000000-0004-0000-0200-0000F4050000}"/>
    <hyperlink ref="C647" r:id="rId1526" xr:uid="{00000000-0004-0000-0200-0000F5050000}"/>
    <hyperlink ref="A648" r:id="rId1527" xr:uid="{00000000-0004-0000-0200-0000F6050000}"/>
    <hyperlink ref="B648" r:id="rId1528" xr:uid="{00000000-0004-0000-0200-0000F7050000}"/>
    <hyperlink ref="C648" r:id="rId1529" xr:uid="{00000000-0004-0000-0200-0000F8050000}"/>
    <hyperlink ref="A649" r:id="rId1530" xr:uid="{00000000-0004-0000-0200-0000F9050000}"/>
    <hyperlink ref="B649" r:id="rId1531" xr:uid="{00000000-0004-0000-0200-0000FA050000}"/>
    <hyperlink ref="C649" r:id="rId1532" xr:uid="{00000000-0004-0000-0200-0000FB050000}"/>
    <hyperlink ref="A650" r:id="rId1533" xr:uid="{00000000-0004-0000-0200-0000FC050000}"/>
    <hyperlink ref="B650" r:id="rId1534" xr:uid="{00000000-0004-0000-0200-0000FD050000}"/>
    <hyperlink ref="C650" r:id="rId1535" xr:uid="{00000000-0004-0000-0200-0000FE050000}"/>
    <hyperlink ref="A651" r:id="rId1536" xr:uid="{00000000-0004-0000-0200-0000FF050000}"/>
    <hyperlink ref="B651" r:id="rId1537" xr:uid="{00000000-0004-0000-0200-000000060000}"/>
    <hyperlink ref="C651" r:id="rId1538" xr:uid="{00000000-0004-0000-0200-000001060000}"/>
    <hyperlink ref="A652" r:id="rId1539" xr:uid="{00000000-0004-0000-0200-000002060000}"/>
    <hyperlink ref="B652" r:id="rId1540" xr:uid="{00000000-0004-0000-0200-000003060000}"/>
    <hyperlink ref="C652" r:id="rId1541" xr:uid="{00000000-0004-0000-0200-000004060000}"/>
    <hyperlink ref="A653" r:id="rId1542" xr:uid="{00000000-0004-0000-0200-000005060000}"/>
    <hyperlink ref="B653" r:id="rId1543" xr:uid="{00000000-0004-0000-0200-000006060000}"/>
    <hyperlink ref="C653" r:id="rId1544" xr:uid="{00000000-0004-0000-0200-000007060000}"/>
    <hyperlink ref="A654" r:id="rId1545" xr:uid="{00000000-0004-0000-0200-000008060000}"/>
    <hyperlink ref="B654" r:id="rId1546" xr:uid="{00000000-0004-0000-0200-000009060000}"/>
    <hyperlink ref="C654" r:id="rId1547" xr:uid="{00000000-0004-0000-0200-00000A060000}"/>
    <hyperlink ref="A655" r:id="rId1548" xr:uid="{00000000-0004-0000-0200-00000B060000}"/>
    <hyperlink ref="B655" r:id="rId1549" xr:uid="{00000000-0004-0000-0200-00000C060000}"/>
    <hyperlink ref="C655" r:id="rId1550" xr:uid="{00000000-0004-0000-0200-00000D060000}"/>
    <hyperlink ref="A656" r:id="rId1551" xr:uid="{00000000-0004-0000-0200-00000E060000}"/>
    <hyperlink ref="B656" r:id="rId1552" xr:uid="{00000000-0004-0000-0200-00000F060000}"/>
    <hyperlink ref="C656" r:id="rId1553" xr:uid="{00000000-0004-0000-0200-000010060000}"/>
    <hyperlink ref="A657" r:id="rId1554" xr:uid="{00000000-0004-0000-0200-000011060000}"/>
    <hyperlink ref="B657" r:id="rId1555" xr:uid="{00000000-0004-0000-0200-000012060000}"/>
    <hyperlink ref="C657" r:id="rId1556" xr:uid="{00000000-0004-0000-0200-000013060000}"/>
    <hyperlink ref="A658" r:id="rId1557" xr:uid="{00000000-0004-0000-0200-000014060000}"/>
    <hyperlink ref="B658" r:id="rId1558" xr:uid="{00000000-0004-0000-0200-000015060000}"/>
    <hyperlink ref="C658" r:id="rId1559" xr:uid="{00000000-0004-0000-0200-000016060000}"/>
    <hyperlink ref="A659" r:id="rId1560" xr:uid="{00000000-0004-0000-0200-000017060000}"/>
    <hyperlink ref="B659" r:id="rId1561" xr:uid="{00000000-0004-0000-0200-000018060000}"/>
    <hyperlink ref="C659" r:id="rId1562" xr:uid="{00000000-0004-0000-0200-000019060000}"/>
    <hyperlink ref="A660" r:id="rId1563" xr:uid="{00000000-0004-0000-0200-00001A060000}"/>
    <hyperlink ref="B660" r:id="rId1564" xr:uid="{00000000-0004-0000-0200-00001B060000}"/>
    <hyperlink ref="C660" r:id="rId1565" xr:uid="{00000000-0004-0000-0200-00001C060000}"/>
    <hyperlink ref="A661" r:id="rId1566" xr:uid="{00000000-0004-0000-0200-00001D060000}"/>
    <hyperlink ref="B661" r:id="rId1567" xr:uid="{00000000-0004-0000-0200-00001E060000}"/>
    <hyperlink ref="C661" r:id="rId1568" xr:uid="{00000000-0004-0000-0200-00001F060000}"/>
    <hyperlink ref="A662" r:id="rId1569" xr:uid="{00000000-0004-0000-0200-000020060000}"/>
    <hyperlink ref="B662" r:id="rId1570" xr:uid="{00000000-0004-0000-0200-000021060000}"/>
    <hyperlink ref="C662" r:id="rId1571" xr:uid="{00000000-0004-0000-0200-000022060000}"/>
    <hyperlink ref="A663" r:id="rId1572" xr:uid="{00000000-0004-0000-0200-000023060000}"/>
    <hyperlink ref="B663" r:id="rId1573" xr:uid="{00000000-0004-0000-0200-000024060000}"/>
    <hyperlink ref="C663" r:id="rId1574" xr:uid="{00000000-0004-0000-0200-000025060000}"/>
    <hyperlink ref="A664" r:id="rId1575" xr:uid="{00000000-0004-0000-0200-000026060000}"/>
    <hyperlink ref="B664" r:id="rId1576" xr:uid="{00000000-0004-0000-0200-000027060000}"/>
    <hyperlink ref="C664" r:id="rId1577" xr:uid="{00000000-0004-0000-0200-000028060000}"/>
    <hyperlink ref="A665" r:id="rId1578" xr:uid="{00000000-0004-0000-0200-000029060000}"/>
    <hyperlink ref="B665" r:id="rId1579" xr:uid="{00000000-0004-0000-0200-00002A060000}"/>
    <hyperlink ref="C665" r:id="rId1580" xr:uid="{00000000-0004-0000-0200-00002B060000}"/>
    <hyperlink ref="A666" r:id="rId1581" xr:uid="{00000000-0004-0000-0200-00002C060000}"/>
    <hyperlink ref="B666" r:id="rId1582" xr:uid="{00000000-0004-0000-0200-00002D060000}"/>
    <hyperlink ref="C666" r:id="rId1583" xr:uid="{00000000-0004-0000-0200-00002E060000}"/>
    <hyperlink ref="A667" r:id="rId1584" xr:uid="{00000000-0004-0000-0200-00002F060000}"/>
    <hyperlink ref="B667" r:id="rId1585" xr:uid="{00000000-0004-0000-0200-000030060000}"/>
    <hyperlink ref="C667" r:id="rId1586" xr:uid="{00000000-0004-0000-0200-000031060000}"/>
    <hyperlink ref="A668" r:id="rId1587" xr:uid="{00000000-0004-0000-0200-000032060000}"/>
    <hyperlink ref="B668" r:id="rId1588" xr:uid="{00000000-0004-0000-0200-000033060000}"/>
    <hyperlink ref="C668" r:id="rId1589" xr:uid="{00000000-0004-0000-0200-000034060000}"/>
    <hyperlink ref="A669" r:id="rId1590" xr:uid="{00000000-0004-0000-0200-000035060000}"/>
    <hyperlink ref="B669" r:id="rId1591" xr:uid="{00000000-0004-0000-0200-000036060000}"/>
    <hyperlink ref="C669" r:id="rId1592" xr:uid="{00000000-0004-0000-0200-000037060000}"/>
    <hyperlink ref="A670" r:id="rId1593" xr:uid="{00000000-0004-0000-0200-000038060000}"/>
    <hyperlink ref="B670" r:id="rId1594" xr:uid="{00000000-0004-0000-0200-000039060000}"/>
    <hyperlink ref="C670" r:id="rId1595" xr:uid="{00000000-0004-0000-0200-00003A060000}"/>
    <hyperlink ref="A671" r:id="rId1596" xr:uid="{00000000-0004-0000-0200-00003B060000}"/>
    <hyperlink ref="B671" r:id="rId1597" xr:uid="{00000000-0004-0000-0200-00003C060000}"/>
    <hyperlink ref="C671" r:id="rId1598" xr:uid="{00000000-0004-0000-0200-00003D060000}"/>
    <hyperlink ref="A672" r:id="rId1599" xr:uid="{00000000-0004-0000-0200-00003E060000}"/>
    <hyperlink ref="B672" r:id="rId1600" xr:uid="{00000000-0004-0000-0200-00003F060000}"/>
    <hyperlink ref="C672" r:id="rId1601" xr:uid="{00000000-0004-0000-0200-000040060000}"/>
    <hyperlink ref="A673" r:id="rId1602" xr:uid="{00000000-0004-0000-0200-000041060000}"/>
    <hyperlink ref="B673" r:id="rId1603" xr:uid="{00000000-0004-0000-0200-000042060000}"/>
    <hyperlink ref="C673" r:id="rId1604" xr:uid="{00000000-0004-0000-0200-000043060000}"/>
    <hyperlink ref="A674" r:id="rId1605" xr:uid="{00000000-0004-0000-0200-000044060000}"/>
    <hyperlink ref="B674" r:id="rId1606" xr:uid="{00000000-0004-0000-0200-000045060000}"/>
    <hyperlink ref="C674" r:id="rId1607" xr:uid="{00000000-0004-0000-0200-000046060000}"/>
    <hyperlink ref="A675" r:id="rId1608" xr:uid="{00000000-0004-0000-0200-000047060000}"/>
    <hyperlink ref="B675" r:id="rId1609" xr:uid="{00000000-0004-0000-0200-000048060000}"/>
    <hyperlink ref="C675" r:id="rId1610" xr:uid="{00000000-0004-0000-0200-000049060000}"/>
    <hyperlink ref="A676" r:id="rId1611" xr:uid="{00000000-0004-0000-0200-00004A060000}"/>
    <hyperlink ref="B676" r:id="rId1612" xr:uid="{00000000-0004-0000-0200-00004B060000}"/>
    <hyperlink ref="C676" r:id="rId1613" xr:uid="{00000000-0004-0000-0200-00004C060000}"/>
    <hyperlink ref="A677" r:id="rId1614" xr:uid="{00000000-0004-0000-0200-00004D060000}"/>
    <hyperlink ref="B677" r:id="rId1615" xr:uid="{00000000-0004-0000-0200-00004E060000}"/>
    <hyperlink ref="C677" r:id="rId1616" xr:uid="{00000000-0004-0000-0200-00004F060000}"/>
    <hyperlink ref="A678" r:id="rId1617" xr:uid="{00000000-0004-0000-0200-000050060000}"/>
    <hyperlink ref="B678" r:id="rId1618" xr:uid="{00000000-0004-0000-0200-000051060000}"/>
    <hyperlink ref="C678" r:id="rId1619" xr:uid="{00000000-0004-0000-0200-000052060000}"/>
    <hyperlink ref="A679" r:id="rId1620" xr:uid="{00000000-0004-0000-0200-000053060000}"/>
    <hyperlink ref="B679" r:id="rId1621" xr:uid="{00000000-0004-0000-0200-000054060000}"/>
    <hyperlink ref="C679" r:id="rId1622" xr:uid="{00000000-0004-0000-0200-000055060000}"/>
    <hyperlink ref="A680" r:id="rId1623" xr:uid="{00000000-0004-0000-0200-000056060000}"/>
    <hyperlink ref="B680" r:id="rId1624" xr:uid="{00000000-0004-0000-0200-000057060000}"/>
    <hyperlink ref="C680" r:id="rId1625" xr:uid="{00000000-0004-0000-0200-000058060000}"/>
    <hyperlink ref="A681" r:id="rId1626" xr:uid="{00000000-0004-0000-0200-000059060000}"/>
    <hyperlink ref="B681" r:id="rId1627" xr:uid="{00000000-0004-0000-0200-00005A060000}"/>
    <hyperlink ref="C681" r:id="rId1628" xr:uid="{00000000-0004-0000-0200-00005B060000}"/>
    <hyperlink ref="A682" r:id="rId1629" xr:uid="{00000000-0004-0000-0200-00005C060000}"/>
    <hyperlink ref="B682" r:id="rId1630" xr:uid="{00000000-0004-0000-0200-00005D060000}"/>
    <hyperlink ref="C682" r:id="rId1631" xr:uid="{00000000-0004-0000-0200-00005E060000}"/>
    <hyperlink ref="A683" r:id="rId1632" xr:uid="{00000000-0004-0000-0200-00005F060000}"/>
    <hyperlink ref="B683" r:id="rId1633" xr:uid="{00000000-0004-0000-0200-000060060000}"/>
    <hyperlink ref="C683" r:id="rId1634" xr:uid="{00000000-0004-0000-0200-000061060000}"/>
    <hyperlink ref="A684" r:id="rId1635" xr:uid="{00000000-0004-0000-0200-000062060000}"/>
    <hyperlink ref="B684" r:id="rId1636" xr:uid="{00000000-0004-0000-0200-000063060000}"/>
    <hyperlink ref="C684" r:id="rId1637" xr:uid="{00000000-0004-0000-0200-000064060000}"/>
    <hyperlink ref="A685" r:id="rId1638" xr:uid="{00000000-0004-0000-0200-000065060000}"/>
    <hyperlink ref="B685" r:id="rId1639" xr:uid="{00000000-0004-0000-0200-000066060000}"/>
    <hyperlink ref="C685" r:id="rId1640" xr:uid="{00000000-0004-0000-0200-000067060000}"/>
    <hyperlink ref="A686" r:id="rId1641" xr:uid="{00000000-0004-0000-0200-000068060000}"/>
    <hyperlink ref="B686" r:id="rId1642" xr:uid="{00000000-0004-0000-0200-000069060000}"/>
    <hyperlink ref="C686" r:id="rId1643" xr:uid="{00000000-0004-0000-0200-00006A060000}"/>
    <hyperlink ref="A687" r:id="rId1644" xr:uid="{00000000-0004-0000-0200-00006B060000}"/>
    <hyperlink ref="B687" r:id="rId1645" xr:uid="{00000000-0004-0000-0200-00006C060000}"/>
    <hyperlink ref="C687" r:id="rId1646" xr:uid="{00000000-0004-0000-0200-00006D060000}"/>
    <hyperlink ref="A688" r:id="rId1647" xr:uid="{00000000-0004-0000-0200-00006E060000}"/>
    <hyperlink ref="B688" r:id="rId1648" xr:uid="{00000000-0004-0000-0200-00006F060000}"/>
    <hyperlink ref="C688" r:id="rId1649" xr:uid="{00000000-0004-0000-0200-000070060000}"/>
    <hyperlink ref="A689" r:id="rId1650" xr:uid="{00000000-0004-0000-0200-000071060000}"/>
    <hyperlink ref="B689" r:id="rId1651" xr:uid="{00000000-0004-0000-0200-000072060000}"/>
    <hyperlink ref="C689" r:id="rId1652" xr:uid="{00000000-0004-0000-0200-000073060000}"/>
    <hyperlink ref="A690" r:id="rId1653" xr:uid="{00000000-0004-0000-0200-000074060000}"/>
    <hyperlink ref="B690" r:id="rId1654" xr:uid="{00000000-0004-0000-0200-000075060000}"/>
    <hyperlink ref="C690" r:id="rId1655" xr:uid="{00000000-0004-0000-0200-000076060000}"/>
    <hyperlink ref="A691" r:id="rId1656" xr:uid="{00000000-0004-0000-0200-000077060000}"/>
    <hyperlink ref="B691" r:id="rId1657" xr:uid="{00000000-0004-0000-0200-000078060000}"/>
    <hyperlink ref="C691" r:id="rId1658" xr:uid="{00000000-0004-0000-0200-000079060000}"/>
    <hyperlink ref="A692" r:id="rId1659" xr:uid="{00000000-0004-0000-0200-00007A060000}"/>
    <hyperlink ref="B692" r:id="rId1660" xr:uid="{00000000-0004-0000-0200-00007B060000}"/>
    <hyperlink ref="C692" r:id="rId1661" xr:uid="{00000000-0004-0000-0200-00007C060000}"/>
    <hyperlink ref="A693" r:id="rId1662" xr:uid="{00000000-0004-0000-0200-00007D060000}"/>
    <hyperlink ref="B693" r:id="rId1663" xr:uid="{00000000-0004-0000-0200-00007E060000}"/>
    <hyperlink ref="C693" r:id="rId1664" xr:uid="{00000000-0004-0000-0200-00007F060000}"/>
    <hyperlink ref="A694" r:id="rId1665" xr:uid="{00000000-0004-0000-0200-000080060000}"/>
    <hyperlink ref="B694" r:id="rId1666" xr:uid="{00000000-0004-0000-0200-000081060000}"/>
    <hyperlink ref="C694" r:id="rId1667" xr:uid="{00000000-0004-0000-0200-000082060000}"/>
    <hyperlink ref="A695" r:id="rId1668" xr:uid="{00000000-0004-0000-0200-000083060000}"/>
    <hyperlink ref="B695" r:id="rId1669" xr:uid="{00000000-0004-0000-0200-000084060000}"/>
    <hyperlink ref="C695" r:id="rId1670" xr:uid="{00000000-0004-0000-0200-000085060000}"/>
    <hyperlink ref="A696" r:id="rId1671" xr:uid="{00000000-0004-0000-0200-000086060000}"/>
    <hyperlink ref="B696" r:id="rId1672" xr:uid="{00000000-0004-0000-0200-000087060000}"/>
    <hyperlink ref="C696" r:id="rId1673" xr:uid="{00000000-0004-0000-0200-000088060000}"/>
    <hyperlink ref="A697" r:id="rId1674" xr:uid="{00000000-0004-0000-0200-000089060000}"/>
    <hyperlink ref="B697" r:id="rId1675" xr:uid="{00000000-0004-0000-0200-00008A060000}"/>
    <hyperlink ref="C697" r:id="rId1676" xr:uid="{00000000-0004-0000-0200-00008B060000}"/>
    <hyperlink ref="A698" r:id="rId1677" xr:uid="{00000000-0004-0000-0200-00008C060000}"/>
    <hyperlink ref="B698" r:id="rId1678" xr:uid="{00000000-0004-0000-0200-00008D060000}"/>
    <hyperlink ref="C698" r:id="rId1679" xr:uid="{00000000-0004-0000-0200-00008E060000}"/>
    <hyperlink ref="A699" r:id="rId1680" xr:uid="{00000000-0004-0000-0200-00008F060000}"/>
    <hyperlink ref="B699" r:id="rId1681" xr:uid="{00000000-0004-0000-0200-000090060000}"/>
    <hyperlink ref="C699" r:id="rId1682" xr:uid="{00000000-0004-0000-0200-000091060000}"/>
    <hyperlink ref="A700" r:id="rId1683" xr:uid="{00000000-0004-0000-0200-000092060000}"/>
    <hyperlink ref="B700" r:id="rId1684" xr:uid="{00000000-0004-0000-0200-000093060000}"/>
    <hyperlink ref="C700" r:id="rId1685" xr:uid="{00000000-0004-0000-0200-000094060000}"/>
    <hyperlink ref="A701" r:id="rId1686" xr:uid="{00000000-0004-0000-0200-000095060000}"/>
    <hyperlink ref="B701" r:id="rId1687" xr:uid="{00000000-0004-0000-0200-000096060000}"/>
    <hyperlink ref="C701" r:id="rId1688" xr:uid="{00000000-0004-0000-0200-000097060000}"/>
    <hyperlink ref="A702" r:id="rId1689" xr:uid="{00000000-0004-0000-0200-000098060000}"/>
    <hyperlink ref="B702" r:id="rId1690" xr:uid="{00000000-0004-0000-0200-000099060000}"/>
    <hyperlink ref="C702" r:id="rId1691" xr:uid="{00000000-0004-0000-0200-00009A060000}"/>
    <hyperlink ref="A703" r:id="rId1692" xr:uid="{00000000-0004-0000-0200-00009B060000}"/>
    <hyperlink ref="B703" r:id="rId1693" xr:uid="{00000000-0004-0000-0200-00009C060000}"/>
    <hyperlink ref="C703" r:id="rId1694" xr:uid="{00000000-0004-0000-0200-00009D060000}"/>
    <hyperlink ref="A704" r:id="rId1695" xr:uid="{00000000-0004-0000-0200-00009E060000}"/>
    <hyperlink ref="B704" r:id="rId1696" xr:uid="{00000000-0004-0000-0200-00009F060000}"/>
    <hyperlink ref="C704" r:id="rId1697" xr:uid="{00000000-0004-0000-0200-0000A0060000}"/>
    <hyperlink ref="A705" r:id="rId1698" xr:uid="{00000000-0004-0000-0200-0000A1060000}"/>
    <hyperlink ref="B705" r:id="rId1699" xr:uid="{00000000-0004-0000-0200-0000A2060000}"/>
    <hyperlink ref="C705" r:id="rId1700" xr:uid="{00000000-0004-0000-0200-0000A3060000}"/>
    <hyperlink ref="A706" r:id="rId1701" xr:uid="{00000000-0004-0000-0200-0000A4060000}"/>
    <hyperlink ref="B706" r:id="rId1702" xr:uid="{00000000-0004-0000-0200-0000A5060000}"/>
    <hyperlink ref="C706" r:id="rId1703" xr:uid="{00000000-0004-0000-0200-0000A6060000}"/>
    <hyperlink ref="A707" r:id="rId1704" xr:uid="{00000000-0004-0000-0200-0000A7060000}"/>
    <hyperlink ref="B707" r:id="rId1705" xr:uid="{00000000-0004-0000-0200-0000A8060000}"/>
    <hyperlink ref="C707" r:id="rId1706" xr:uid="{00000000-0004-0000-0200-0000A9060000}"/>
    <hyperlink ref="A708" r:id="rId1707" xr:uid="{00000000-0004-0000-0200-0000AA060000}"/>
    <hyperlink ref="B708" r:id="rId1708" xr:uid="{00000000-0004-0000-0200-0000AB060000}"/>
    <hyperlink ref="C708" r:id="rId1709" xr:uid="{00000000-0004-0000-0200-0000AC060000}"/>
    <hyperlink ref="A709" r:id="rId1710" xr:uid="{00000000-0004-0000-0200-0000AD060000}"/>
    <hyperlink ref="B709" r:id="rId1711" xr:uid="{00000000-0004-0000-0200-0000AE060000}"/>
    <hyperlink ref="C709" r:id="rId1712" xr:uid="{00000000-0004-0000-0200-0000AF060000}"/>
    <hyperlink ref="A710" r:id="rId1713" xr:uid="{00000000-0004-0000-0200-0000B0060000}"/>
    <hyperlink ref="B710" r:id="rId1714" xr:uid="{00000000-0004-0000-0200-0000B1060000}"/>
    <hyperlink ref="C710" r:id="rId1715" xr:uid="{00000000-0004-0000-0200-0000B2060000}"/>
    <hyperlink ref="A711" r:id="rId1716" xr:uid="{00000000-0004-0000-0200-0000B3060000}"/>
    <hyperlink ref="B711" r:id="rId1717" xr:uid="{00000000-0004-0000-0200-0000B4060000}"/>
    <hyperlink ref="C711" r:id="rId1718" xr:uid="{00000000-0004-0000-0200-0000B5060000}"/>
    <hyperlink ref="A712" r:id="rId1719" xr:uid="{00000000-0004-0000-0200-0000B6060000}"/>
    <hyperlink ref="B712" r:id="rId1720" xr:uid="{00000000-0004-0000-0200-0000B7060000}"/>
    <hyperlink ref="C712" r:id="rId1721" xr:uid="{00000000-0004-0000-0200-0000B8060000}"/>
    <hyperlink ref="A713" r:id="rId1722" xr:uid="{00000000-0004-0000-0200-0000B9060000}"/>
    <hyperlink ref="B713" r:id="rId1723" xr:uid="{00000000-0004-0000-0200-0000BA060000}"/>
    <hyperlink ref="C713" r:id="rId1724" xr:uid="{00000000-0004-0000-0200-0000BB060000}"/>
    <hyperlink ref="A714" r:id="rId1725" xr:uid="{00000000-0004-0000-0200-0000BC060000}"/>
    <hyperlink ref="B714" r:id="rId1726" xr:uid="{00000000-0004-0000-0200-0000BD060000}"/>
    <hyperlink ref="C714" r:id="rId1727" xr:uid="{00000000-0004-0000-0200-0000BE060000}"/>
    <hyperlink ref="A715" r:id="rId1728" xr:uid="{00000000-0004-0000-0200-0000BF060000}"/>
    <hyperlink ref="B715" r:id="rId1729" xr:uid="{00000000-0004-0000-0200-0000C0060000}"/>
    <hyperlink ref="C715" r:id="rId1730" xr:uid="{00000000-0004-0000-0200-0000C1060000}"/>
    <hyperlink ref="A716" r:id="rId1731" xr:uid="{00000000-0004-0000-0200-0000C2060000}"/>
    <hyperlink ref="B716" r:id="rId1732" xr:uid="{00000000-0004-0000-0200-0000C3060000}"/>
    <hyperlink ref="C716" r:id="rId1733" xr:uid="{00000000-0004-0000-0200-0000C4060000}"/>
    <hyperlink ref="A717" r:id="rId1734" xr:uid="{00000000-0004-0000-0200-0000C5060000}"/>
    <hyperlink ref="B717" r:id="rId1735" xr:uid="{00000000-0004-0000-0200-0000C6060000}"/>
    <hyperlink ref="C717" r:id="rId1736" xr:uid="{00000000-0004-0000-0200-0000C7060000}"/>
    <hyperlink ref="A718" r:id="rId1737" xr:uid="{00000000-0004-0000-0200-0000C8060000}"/>
    <hyperlink ref="B718" r:id="rId1738" xr:uid="{00000000-0004-0000-0200-0000C9060000}"/>
    <hyperlink ref="C718" r:id="rId1739" xr:uid="{00000000-0004-0000-0200-0000CA060000}"/>
    <hyperlink ref="A719" r:id="rId1740" xr:uid="{00000000-0004-0000-0200-0000CB060000}"/>
    <hyperlink ref="B719" r:id="rId1741" xr:uid="{00000000-0004-0000-0200-0000CC060000}"/>
    <hyperlink ref="C719" r:id="rId1742" xr:uid="{00000000-0004-0000-0200-0000CD060000}"/>
    <hyperlink ref="A720" r:id="rId1743" xr:uid="{00000000-0004-0000-0200-0000CE060000}"/>
    <hyperlink ref="B720" r:id="rId1744" xr:uid="{00000000-0004-0000-0200-0000CF060000}"/>
    <hyperlink ref="C720" r:id="rId1745" xr:uid="{00000000-0004-0000-0200-0000D0060000}"/>
    <hyperlink ref="A721" r:id="rId1746" xr:uid="{00000000-0004-0000-0200-0000D1060000}"/>
    <hyperlink ref="B721" r:id="rId1747" xr:uid="{00000000-0004-0000-0200-0000D2060000}"/>
    <hyperlink ref="C721" r:id="rId1748" xr:uid="{00000000-0004-0000-0200-0000D3060000}"/>
    <hyperlink ref="A722" r:id="rId1749" xr:uid="{00000000-0004-0000-0200-0000D4060000}"/>
    <hyperlink ref="B722" r:id="rId1750" xr:uid="{00000000-0004-0000-0200-0000D5060000}"/>
    <hyperlink ref="C722" r:id="rId1751" xr:uid="{00000000-0004-0000-0200-0000D6060000}"/>
    <hyperlink ref="A723" r:id="rId1752" xr:uid="{00000000-0004-0000-0200-0000D7060000}"/>
    <hyperlink ref="B723" r:id="rId1753" xr:uid="{00000000-0004-0000-0200-0000D8060000}"/>
    <hyperlink ref="C723" r:id="rId1754" xr:uid="{00000000-0004-0000-0200-0000D9060000}"/>
    <hyperlink ref="A724" r:id="rId1755" xr:uid="{00000000-0004-0000-0200-0000DA060000}"/>
    <hyperlink ref="B724" r:id="rId1756" xr:uid="{00000000-0004-0000-0200-0000DB060000}"/>
    <hyperlink ref="C724" r:id="rId1757" xr:uid="{00000000-0004-0000-0200-0000DC060000}"/>
    <hyperlink ref="A725" r:id="rId1758" xr:uid="{00000000-0004-0000-0200-0000DD060000}"/>
    <hyperlink ref="B725" r:id="rId1759" xr:uid="{00000000-0004-0000-0200-0000DE060000}"/>
    <hyperlink ref="C725" r:id="rId1760" xr:uid="{00000000-0004-0000-0200-0000DF060000}"/>
    <hyperlink ref="A726" r:id="rId1761" xr:uid="{00000000-0004-0000-0200-0000E0060000}"/>
    <hyperlink ref="B726" r:id="rId1762" xr:uid="{00000000-0004-0000-0200-0000E1060000}"/>
    <hyperlink ref="C726" r:id="rId1763" xr:uid="{00000000-0004-0000-0200-0000E2060000}"/>
    <hyperlink ref="A727" r:id="rId1764" xr:uid="{00000000-0004-0000-0200-0000E3060000}"/>
    <hyperlink ref="B727" r:id="rId1765" xr:uid="{00000000-0004-0000-0200-0000E4060000}"/>
    <hyperlink ref="C727" r:id="rId1766" xr:uid="{00000000-0004-0000-0200-0000E5060000}"/>
    <hyperlink ref="A728" r:id="rId1767" xr:uid="{00000000-0004-0000-0200-0000E6060000}"/>
    <hyperlink ref="B728" r:id="rId1768" xr:uid="{00000000-0004-0000-0200-0000E7060000}"/>
    <hyperlink ref="C728" r:id="rId1769" xr:uid="{00000000-0004-0000-0200-0000E8060000}"/>
    <hyperlink ref="A729" r:id="rId1770" xr:uid="{00000000-0004-0000-0200-0000E9060000}"/>
    <hyperlink ref="B729" r:id="rId1771" xr:uid="{00000000-0004-0000-0200-0000EA060000}"/>
    <hyperlink ref="C729" r:id="rId1772" xr:uid="{00000000-0004-0000-0200-0000EB060000}"/>
    <hyperlink ref="A730" r:id="rId1773" xr:uid="{00000000-0004-0000-0200-0000EC060000}"/>
    <hyperlink ref="B730" r:id="rId1774" xr:uid="{00000000-0004-0000-0200-0000ED060000}"/>
    <hyperlink ref="C730" r:id="rId1775" xr:uid="{00000000-0004-0000-0200-0000EE060000}"/>
    <hyperlink ref="A731" r:id="rId1776" xr:uid="{00000000-0004-0000-0200-0000EF060000}"/>
    <hyperlink ref="B731" r:id="rId1777" xr:uid="{00000000-0004-0000-0200-0000F0060000}"/>
    <hyperlink ref="C731" r:id="rId1778" xr:uid="{00000000-0004-0000-0200-0000F1060000}"/>
    <hyperlink ref="A732" r:id="rId1779" xr:uid="{00000000-0004-0000-0200-0000F2060000}"/>
    <hyperlink ref="B732" r:id="rId1780" xr:uid="{00000000-0004-0000-0200-0000F3060000}"/>
    <hyperlink ref="C732" r:id="rId1781" xr:uid="{00000000-0004-0000-0200-0000F4060000}"/>
    <hyperlink ref="A733" r:id="rId1782" xr:uid="{00000000-0004-0000-0200-0000F5060000}"/>
    <hyperlink ref="B733" r:id="rId1783" xr:uid="{00000000-0004-0000-0200-0000F6060000}"/>
    <hyperlink ref="C733" r:id="rId1784" xr:uid="{00000000-0004-0000-0200-0000F7060000}"/>
    <hyperlink ref="A734" r:id="rId1785" xr:uid="{00000000-0004-0000-0200-0000F8060000}"/>
    <hyperlink ref="B734" r:id="rId1786" xr:uid="{00000000-0004-0000-0200-0000F9060000}"/>
    <hyperlink ref="C734" r:id="rId1787" xr:uid="{00000000-0004-0000-0200-0000FA060000}"/>
    <hyperlink ref="A735" r:id="rId1788" xr:uid="{00000000-0004-0000-0200-0000FB060000}"/>
    <hyperlink ref="B735" r:id="rId1789" xr:uid="{00000000-0004-0000-0200-0000FC060000}"/>
    <hyperlink ref="C735" r:id="rId1790" xr:uid="{00000000-0004-0000-0200-0000FD060000}"/>
    <hyperlink ref="A736" r:id="rId1791" xr:uid="{00000000-0004-0000-0200-0000FE060000}"/>
    <hyperlink ref="B736" r:id="rId1792" xr:uid="{00000000-0004-0000-0200-0000FF060000}"/>
    <hyperlink ref="C736" r:id="rId1793" xr:uid="{00000000-0004-0000-0200-000000070000}"/>
    <hyperlink ref="A737" r:id="rId1794" xr:uid="{00000000-0004-0000-0200-000001070000}"/>
    <hyperlink ref="B737" r:id="rId1795" xr:uid="{00000000-0004-0000-0200-000002070000}"/>
    <hyperlink ref="C737" r:id="rId1796" xr:uid="{00000000-0004-0000-0200-000003070000}"/>
    <hyperlink ref="A738" r:id="rId1797" xr:uid="{00000000-0004-0000-0200-000004070000}"/>
    <hyperlink ref="B738" r:id="rId1798" xr:uid="{00000000-0004-0000-0200-000005070000}"/>
    <hyperlink ref="C738" r:id="rId1799" xr:uid="{00000000-0004-0000-0200-000006070000}"/>
    <hyperlink ref="A739" r:id="rId1800" xr:uid="{00000000-0004-0000-0200-000007070000}"/>
    <hyperlink ref="B739" r:id="rId1801" xr:uid="{00000000-0004-0000-0200-000008070000}"/>
    <hyperlink ref="C739" r:id="rId1802" xr:uid="{00000000-0004-0000-0200-000009070000}"/>
    <hyperlink ref="A740" r:id="rId1803" xr:uid="{00000000-0004-0000-0200-00000A070000}"/>
    <hyperlink ref="B740" r:id="rId1804" xr:uid="{00000000-0004-0000-0200-00000B070000}"/>
    <hyperlink ref="C740" r:id="rId1805" xr:uid="{00000000-0004-0000-0200-00000C070000}"/>
    <hyperlink ref="A741" r:id="rId1806" xr:uid="{00000000-0004-0000-0200-00000D070000}"/>
    <hyperlink ref="B741" r:id="rId1807" xr:uid="{00000000-0004-0000-0200-00000E070000}"/>
    <hyperlink ref="C741" r:id="rId1808" xr:uid="{00000000-0004-0000-0200-00000F070000}"/>
    <hyperlink ref="A742" r:id="rId1809" xr:uid="{00000000-0004-0000-0200-000010070000}"/>
    <hyperlink ref="B742" r:id="rId1810" xr:uid="{00000000-0004-0000-0200-000011070000}"/>
    <hyperlink ref="C742" r:id="rId1811" xr:uid="{00000000-0004-0000-0200-000012070000}"/>
    <hyperlink ref="A743" r:id="rId1812" xr:uid="{00000000-0004-0000-0200-000013070000}"/>
    <hyperlink ref="B743" r:id="rId1813" xr:uid="{00000000-0004-0000-0200-000014070000}"/>
    <hyperlink ref="C743" r:id="rId1814" xr:uid="{00000000-0004-0000-0200-000015070000}"/>
    <hyperlink ref="A744" r:id="rId1815" xr:uid="{00000000-0004-0000-0200-000016070000}"/>
    <hyperlink ref="B744" r:id="rId1816" xr:uid="{00000000-0004-0000-0200-000017070000}"/>
    <hyperlink ref="C744" r:id="rId1817" xr:uid="{00000000-0004-0000-0200-000018070000}"/>
    <hyperlink ref="A745" r:id="rId1818" xr:uid="{00000000-0004-0000-0200-000019070000}"/>
    <hyperlink ref="B745" r:id="rId1819" xr:uid="{00000000-0004-0000-0200-00001A070000}"/>
    <hyperlink ref="C745" r:id="rId1820" xr:uid="{00000000-0004-0000-0200-00001B070000}"/>
    <hyperlink ref="A746" r:id="rId1821" xr:uid="{00000000-0004-0000-0200-00001C070000}"/>
    <hyperlink ref="B746" r:id="rId1822" xr:uid="{00000000-0004-0000-0200-00001D070000}"/>
    <hyperlink ref="C746" r:id="rId1823" xr:uid="{00000000-0004-0000-0200-00001E070000}"/>
    <hyperlink ref="A747" r:id="rId1824" xr:uid="{00000000-0004-0000-0200-00001F070000}"/>
    <hyperlink ref="B747" r:id="rId1825" xr:uid="{00000000-0004-0000-0200-000020070000}"/>
    <hyperlink ref="C747" r:id="rId1826" xr:uid="{00000000-0004-0000-0200-000021070000}"/>
    <hyperlink ref="A748" r:id="rId1827" xr:uid="{00000000-0004-0000-0200-000022070000}"/>
    <hyperlink ref="B748" r:id="rId1828" xr:uid="{00000000-0004-0000-0200-000023070000}"/>
    <hyperlink ref="C748" r:id="rId1829" xr:uid="{00000000-0004-0000-0200-000024070000}"/>
    <hyperlink ref="A749" r:id="rId1830" xr:uid="{00000000-0004-0000-0200-000025070000}"/>
    <hyperlink ref="B749" r:id="rId1831" xr:uid="{00000000-0004-0000-0200-000026070000}"/>
    <hyperlink ref="C749" r:id="rId1832" xr:uid="{00000000-0004-0000-0200-000027070000}"/>
    <hyperlink ref="A750" r:id="rId1833" xr:uid="{00000000-0004-0000-0200-000028070000}"/>
    <hyperlink ref="B750" r:id="rId1834" xr:uid="{00000000-0004-0000-0200-000029070000}"/>
    <hyperlink ref="C750" r:id="rId1835" xr:uid="{00000000-0004-0000-0200-00002A070000}"/>
    <hyperlink ref="A751" r:id="rId1836" xr:uid="{00000000-0004-0000-0200-00002B070000}"/>
    <hyperlink ref="B751" r:id="rId1837" xr:uid="{00000000-0004-0000-0200-00002C070000}"/>
    <hyperlink ref="C751" r:id="rId1838" xr:uid="{00000000-0004-0000-0200-00002D070000}"/>
    <hyperlink ref="A752" r:id="rId1839" xr:uid="{00000000-0004-0000-0200-00002E070000}"/>
    <hyperlink ref="B752" r:id="rId1840" xr:uid="{00000000-0004-0000-0200-00002F070000}"/>
    <hyperlink ref="C752" r:id="rId1841" xr:uid="{00000000-0004-0000-0200-000030070000}"/>
    <hyperlink ref="A753" r:id="rId1842" xr:uid="{00000000-0004-0000-0200-000031070000}"/>
    <hyperlink ref="B753" r:id="rId1843" xr:uid="{00000000-0004-0000-0200-000032070000}"/>
    <hyperlink ref="C753" r:id="rId1844" xr:uid="{00000000-0004-0000-0200-000033070000}"/>
    <hyperlink ref="A754" r:id="rId1845" xr:uid="{00000000-0004-0000-0200-000034070000}"/>
    <hyperlink ref="B754" r:id="rId1846" xr:uid="{00000000-0004-0000-0200-000035070000}"/>
    <hyperlink ref="C754" r:id="rId1847" xr:uid="{00000000-0004-0000-0200-000036070000}"/>
    <hyperlink ref="A755" r:id="rId1848" xr:uid="{00000000-0004-0000-0200-000037070000}"/>
    <hyperlink ref="B755" r:id="rId1849" xr:uid="{00000000-0004-0000-0200-000038070000}"/>
    <hyperlink ref="C755" r:id="rId1850" xr:uid="{00000000-0004-0000-0200-000039070000}"/>
    <hyperlink ref="A756" r:id="rId1851" xr:uid="{00000000-0004-0000-0200-00003A070000}"/>
    <hyperlink ref="B756" r:id="rId1852" xr:uid="{00000000-0004-0000-0200-00003B070000}"/>
    <hyperlink ref="C756" r:id="rId1853" xr:uid="{00000000-0004-0000-0200-00003C070000}"/>
    <hyperlink ref="A757" r:id="rId1854" xr:uid="{00000000-0004-0000-0200-00003D070000}"/>
    <hyperlink ref="B757" r:id="rId1855" xr:uid="{00000000-0004-0000-0200-00003E070000}"/>
    <hyperlink ref="C757" r:id="rId1856" xr:uid="{00000000-0004-0000-0200-00003F070000}"/>
    <hyperlink ref="A758" r:id="rId1857" xr:uid="{00000000-0004-0000-0200-000040070000}"/>
    <hyperlink ref="B758" r:id="rId1858" xr:uid="{00000000-0004-0000-0200-000041070000}"/>
    <hyperlink ref="C758" r:id="rId1859" xr:uid="{00000000-0004-0000-0200-000042070000}"/>
    <hyperlink ref="A759" r:id="rId1860" xr:uid="{00000000-0004-0000-0200-000043070000}"/>
    <hyperlink ref="B759" r:id="rId1861" xr:uid="{00000000-0004-0000-0200-000044070000}"/>
    <hyperlink ref="C759" r:id="rId1862" xr:uid="{00000000-0004-0000-0200-000045070000}"/>
    <hyperlink ref="A760" r:id="rId1863" xr:uid="{00000000-0004-0000-0200-000046070000}"/>
    <hyperlink ref="B760" r:id="rId1864" xr:uid="{00000000-0004-0000-0200-000047070000}"/>
    <hyperlink ref="C760" r:id="rId1865" xr:uid="{00000000-0004-0000-0200-000048070000}"/>
    <hyperlink ref="A761" r:id="rId1866" xr:uid="{00000000-0004-0000-0200-000049070000}"/>
    <hyperlink ref="B761" r:id="rId1867" xr:uid="{00000000-0004-0000-0200-00004A070000}"/>
    <hyperlink ref="C761" r:id="rId1868" xr:uid="{00000000-0004-0000-0200-00004B070000}"/>
    <hyperlink ref="A762" r:id="rId1869" xr:uid="{00000000-0004-0000-0200-00004C070000}"/>
    <hyperlink ref="B762" r:id="rId1870" xr:uid="{00000000-0004-0000-0200-00004D070000}"/>
    <hyperlink ref="C762" r:id="rId1871" xr:uid="{00000000-0004-0000-0200-00004E070000}"/>
    <hyperlink ref="A763" r:id="rId1872" xr:uid="{00000000-0004-0000-0200-00004F070000}"/>
    <hyperlink ref="B763" r:id="rId1873" xr:uid="{00000000-0004-0000-0200-000050070000}"/>
    <hyperlink ref="C763" r:id="rId1874" xr:uid="{00000000-0004-0000-0200-000051070000}"/>
    <hyperlink ref="A764" r:id="rId1875" xr:uid="{00000000-0004-0000-0200-000052070000}"/>
    <hyperlink ref="B764" r:id="rId1876" xr:uid="{00000000-0004-0000-0200-000053070000}"/>
    <hyperlink ref="C764" r:id="rId1877" xr:uid="{00000000-0004-0000-0200-000054070000}"/>
    <hyperlink ref="A765" r:id="rId1878" xr:uid="{00000000-0004-0000-0200-000055070000}"/>
    <hyperlink ref="B765" r:id="rId1879" xr:uid="{00000000-0004-0000-0200-000056070000}"/>
    <hyperlink ref="C765" r:id="rId1880" xr:uid="{00000000-0004-0000-0200-000057070000}"/>
    <hyperlink ref="A766" r:id="rId1881" xr:uid="{00000000-0004-0000-0200-000058070000}"/>
    <hyperlink ref="B766" r:id="rId1882" xr:uid="{00000000-0004-0000-0200-000059070000}"/>
    <hyperlink ref="C766" r:id="rId1883" xr:uid="{00000000-0004-0000-0200-00005A070000}"/>
    <hyperlink ref="A767" r:id="rId1884" xr:uid="{00000000-0004-0000-0200-00005B070000}"/>
    <hyperlink ref="B767" r:id="rId1885" xr:uid="{00000000-0004-0000-0200-00005C070000}"/>
    <hyperlink ref="C767" r:id="rId1886" xr:uid="{00000000-0004-0000-0200-00005D070000}"/>
    <hyperlink ref="A768" r:id="rId1887" xr:uid="{00000000-0004-0000-0200-00005E070000}"/>
    <hyperlink ref="B768" r:id="rId1888" xr:uid="{00000000-0004-0000-0200-00005F070000}"/>
    <hyperlink ref="C768" r:id="rId1889" xr:uid="{00000000-0004-0000-0200-000060070000}"/>
    <hyperlink ref="A769" r:id="rId1890" xr:uid="{00000000-0004-0000-0200-000061070000}"/>
    <hyperlink ref="B769" r:id="rId1891" xr:uid="{00000000-0004-0000-0200-000062070000}"/>
    <hyperlink ref="C769" r:id="rId1892" xr:uid="{00000000-0004-0000-0200-000063070000}"/>
    <hyperlink ref="A770" r:id="rId1893" xr:uid="{00000000-0004-0000-0200-000064070000}"/>
    <hyperlink ref="B770" r:id="rId1894" xr:uid="{00000000-0004-0000-0200-000065070000}"/>
    <hyperlink ref="C770" r:id="rId1895" xr:uid="{00000000-0004-0000-0200-000066070000}"/>
    <hyperlink ref="A771" r:id="rId1896" xr:uid="{00000000-0004-0000-0200-000067070000}"/>
    <hyperlink ref="B771" r:id="rId1897" xr:uid="{00000000-0004-0000-0200-000068070000}"/>
    <hyperlink ref="C771" r:id="rId1898" xr:uid="{00000000-0004-0000-0200-000069070000}"/>
    <hyperlink ref="A772" r:id="rId1899" xr:uid="{00000000-0004-0000-0200-00006A070000}"/>
    <hyperlink ref="B772" r:id="rId1900" xr:uid="{00000000-0004-0000-0200-00006B070000}"/>
    <hyperlink ref="C772" r:id="rId1901" xr:uid="{00000000-0004-0000-0200-00006C070000}"/>
    <hyperlink ref="A773" r:id="rId1902" xr:uid="{00000000-0004-0000-0200-00006D070000}"/>
    <hyperlink ref="B773" r:id="rId1903" xr:uid="{00000000-0004-0000-0200-00006E070000}"/>
    <hyperlink ref="C773" r:id="rId1904" xr:uid="{00000000-0004-0000-0200-00006F070000}"/>
    <hyperlink ref="A774" r:id="rId1905" xr:uid="{00000000-0004-0000-0200-000070070000}"/>
    <hyperlink ref="B774" r:id="rId1906" xr:uid="{00000000-0004-0000-0200-000071070000}"/>
    <hyperlink ref="C774" r:id="rId1907" xr:uid="{00000000-0004-0000-0200-000072070000}"/>
    <hyperlink ref="A775" r:id="rId1908" xr:uid="{00000000-0004-0000-0200-000073070000}"/>
    <hyperlink ref="B775" r:id="rId1909" xr:uid="{00000000-0004-0000-0200-000074070000}"/>
    <hyperlink ref="C775" r:id="rId1910" xr:uid="{00000000-0004-0000-0200-000075070000}"/>
    <hyperlink ref="A776" r:id="rId1911" xr:uid="{00000000-0004-0000-0200-000076070000}"/>
    <hyperlink ref="B776" r:id="rId1912" xr:uid="{00000000-0004-0000-0200-000077070000}"/>
    <hyperlink ref="C776" r:id="rId1913" xr:uid="{00000000-0004-0000-0200-000078070000}"/>
    <hyperlink ref="A777" r:id="rId1914" xr:uid="{00000000-0004-0000-0200-000079070000}"/>
    <hyperlink ref="B777" r:id="rId1915" xr:uid="{00000000-0004-0000-0200-00007A070000}"/>
    <hyperlink ref="C777" r:id="rId1916" xr:uid="{00000000-0004-0000-0200-00007B070000}"/>
    <hyperlink ref="A778" r:id="rId1917" xr:uid="{00000000-0004-0000-0200-00007C070000}"/>
    <hyperlink ref="B778" r:id="rId1918" xr:uid="{00000000-0004-0000-0200-00007D070000}"/>
    <hyperlink ref="C778" r:id="rId1919" xr:uid="{00000000-0004-0000-0200-00007E070000}"/>
    <hyperlink ref="A779" r:id="rId1920" xr:uid="{00000000-0004-0000-0200-00007F070000}"/>
    <hyperlink ref="B779" r:id="rId1921" xr:uid="{00000000-0004-0000-0200-000080070000}"/>
    <hyperlink ref="C779" r:id="rId1922" xr:uid="{00000000-0004-0000-0200-000081070000}"/>
    <hyperlink ref="A780" r:id="rId1923" xr:uid="{00000000-0004-0000-0200-000082070000}"/>
    <hyperlink ref="B780" r:id="rId1924" xr:uid="{00000000-0004-0000-0200-000083070000}"/>
    <hyperlink ref="C780" r:id="rId1925" xr:uid="{00000000-0004-0000-0200-000084070000}"/>
    <hyperlink ref="A781" r:id="rId1926" xr:uid="{00000000-0004-0000-0200-000085070000}"/>
    <hyperlink ref="B781" r:id="rId1927" xr:uid="{00000000-0004-0000-0200-000086070000}"/>
    <hyperlink ref="C781" r:id="rId1928" xr:uid="{00000000-0004-0000-0200-000087070000}"/>
    <hyperlink ref="A782" r:id="rId1929" xr:uid="{00000000-0004-0000-0200-000088070000}"/>
    <hyperlink ref="B782" r:id="rId1930" xr:uid="{00000000-0004-0000-0200-000089070000}"/>
    <hyperlink ref="C782" r:id="rId1931" xr:uid="{00000000-0004-0000-0200-00008A070000}"/>
    <hyperlink ref="A783" r:id="rId1932" xr:uid="{00000000-0004-0000-0200-00008B070000}"/>
    <hyperlink ref="B783" r:id="rId1933" xr:uid="{00000000-0004-0000-0200-00008C070000}"/>
    <hyperlink ref="C783" r:id="rId1934" xr:uid="{00000000-0004-0000-0200-00008D070000}"/>
    <hyperlink ref="A784" r:id="rId1935" xr:uid="{00000000-0004-0000-0200-00008E070000}"/>
    <hyperlink ref="B784" r:id="rId1936" xr:uid="{00000000-0004-0000-0200-00008F070000}"/>
    <hyperlink ref="C784" r:id="rId1937" xr:uid="{00000000-0004-0000-0200-000090070000}"/>
    <hyperlink ref="A785" r:id="rId1938" xr:uid="{00000000-0004-0000-0200-000091070000}"/>
    <hyperlink ref="B785" r:id="rId1939" xr:uid="{00000000-0004-0000-0200-000092070000}"/>
    <hyperlink ref="C785" r:id="rId1940" xr:uid="{00000000-0004-0000-0200-000093070000}"/>
    <hyperlink ref="A786" r:id="rId1941" xr:uid="{00000000-0004-0000-0200-000094070000}"/>
    <hyperlink ref="B786" r:id="rId1942" xr:uid="{00000000-0004-0000-0200-000095070000}"/>
    <hyperlink ref="C786" r:id="rId1943" xr:uid="{00000000-0004-0000-0200-000096070000}"/>
    <hyperlink ref="A787" r:id="rId1944" xr:uid="{00000000-0004-0000-0200-000097070000}"/>
    <hyperlink ref="B787" r:id="rId1945" xr:uid="{00000000-0004-0000-0200-000098070000}"/>
    <hyperlink ref="C787" r:id="rId1946" xr:uid="{00000000-0004-0000-0200-000099070000}"/>
    <hyperlink ref="A788" r:id="rId1947" xr:uid="{00000000-0004-0000-0200-00009A070000}"/>
    <hyperlink ref="B788" r:id="rId1948" xr:uid="{00000000-0004-0000-0200-00009B070000}"/>
    <hyperlink ref="C788" r:id="rId1949" xr:uid="{00000000-0004-0000-0200-00009C070000}"/>
    <hyperlink ref="A789" r:id="rId1950" xr:uid="{00000000-0004-0000-0200-00009D070000}"/>
    <hyperlink ref="B789" r:id="rId1951" xr:uid="{00000000-0004-0000-0200-00009E070000}"/>
    <hyperlink ref="C789" r:id="rId1952" xr:uid="{00000000-0004-0000-0200-00009F070000}"/>
    <hyperlink ref="A790" r:id="rId1953" xr:uid="{00000000-0004-0000-0200-0000A0070000}"/>
    <hyperlink ref="B790" r:id="rId1954" xr:uid="{00000000-0004-0000-0200-0000A1070000}"/>
    <hyperlink ref="C790" r:id="rId1955" xr:uid="{00000000-0004-0000-0200-0000A2070000}"/>
    <hyperlink ref="A791" r:id="rId1956" xr:uid="{00000000-0004-0000-0200-0000A3070000}"/>
    <hyperlink ref="B791" r:id="rId1957" xr:uid="{00000000-0004-0000-0200-0000A4070000}"/>
    <hyperlink ref="C791" r:id="rId1958" xr:uid="{00000000-0004-0000-0200-0000A5070000}"/>
    <hyperlink ref="A792" r:id="rId1959" xr:uid="{00000000-0004-0000-0200-0000A6070000}"/>
    <hyperlink ref="B792" r:id="rId1960" xr:uid="{00000000-0004-0000-0200-0000A7070000}"/>
    <hyperlink ref="C792" r:id="rId1961" xr:uid="{00000000-0004-0000-0200-0000A8070000}"/>
    <hyperlink ref="A793" r:id="rId1962" xr:uid="{00000000-0004-0000-0200-0000A9070000}"/>
    <hyperlink ref="B793" r:id="rId1963" xr:uid="{00000000-0004-0000-0200-0000AA070000}"/>
    <hyperlink ref="C793" r:id="rId1964" xr:uid="{00000000-0004-0000-0200-0000AB070000}"/>
    <hyperlink ref="A794" r:id="rId1965" xr:uid="{00000000-0004-0000-0200-0000AC070000}"/>
    <hyperlink ref="B794" r:id="rId1966" xr:uid="{00000000-0004-0000-0200-0000AD070000}"/>
    <hyperlink ref="C794" r:id="rId1967" xr:uid="{00000000-0004-0000-0200-0000AE070000}"/>
    <hyperlink ref="A795" r:id="rId1968" xr:uid="{00000000-0004-0000-0200-0000AF070000}"/>
    <hyperlink ref="B795" r:id="rId1969" xr:uid="{00000000-0004-0000-0200-0000B0070000}"/>
    <hyperlink ref="C795" r:id="rId1970" xr:uid="{00000000-0004-0000-0200-0000B1070000}"/>
    <hyperlink ref="A796" r:id="rId1971" xr:uid="{00000000-0004-0000-0200-0000B2070000}"/>
    <hyperlink ref="B796" r:id="rId1972" xr:uid="{00000000-0004-0000-0200-0000B3070000}"/>
    <hyperlink ref="C796" r:id="rId1973" xr:uid="{00000000-0004-0000-0200-0000B4070000}"/>
    <hyperlink ref="A797" r:id="rId1974" xr:uid="{00000000-0004-0000-0200-0000B5070000}"/>
    <hyperlink ref="B797" r:id="rId1975" xr:uid="{00000000-0004-0000-0200-0000B6070000}"/>
    <hyperlink ref="C797" r:id="rId1976" xr:uid="{00000000-0004-0000-0200-0000B7070000}"/>
    <hyperlink ref="A798" r:id="rId1977" xr:uid="{00000000-0004-0000-0200-0000B8070000}"/>
    <hyperlink ref="B798" r:id="rId1978" xr:uid="{00000000-0004-0000-0200-0000B9070000}"/>
    <hyperlink ref="C798" r:id="rId1979" xr:uid="{00000000-0004-0000-0200-0000BA070000}"/>
    <hyperlink ref="A799" r:id="rId1980" xr:uid="{00000000-0004-0000-0200-0000BB070000}"/>
    <hyperlink ref="B799" r:id="rId1981" xr:uid="{00000000-0004-0000-0200-0000BC070000}"/>
    <hyperlink ref="C799" r:id="rId1982" xr:uid="{00000000-0004-0000-0200-0000BD070000}"/>
    <hyperlink ref="A800" r:id="rId1983" xr:uid="{00000000-0004-0000-0200-0000BE070000}"/>
    <hyperlink ref="B800" r:id="rId1984" xr:uid="{00000000-0004-0000-0200-0000BF070000}"/>
    <hyperlink ref="C800" r:id="rId1985" xr:uid="{00000000-0004-0000-0200-0000C0070000}"/>
    <hyperlink ref="A801" r:id="rId1986" xr:uid="{00000000-0004-0000-0200-0000C1070000}"/>
    <hyperlink ref="B801" r:id="rId1987" xr:uid="{00000000-0004-0000-0200-0000C2070000}"/>
    <hyperlink ref="C801" r:id="rId1988" xr:uid="{00000000-0004-0000-0200-0000C3070000}"/>
    <hyperlink ref="A802" r:id="rId1989" xr:uid="{00000000-0004-0000-0200-0000C4070000}"/>
    <hyperlink ref="B802" r:id="rId1990" xr:uid="{00000000-0004-0000-0200-0000C5070000}"/>
    <hyperlink ref="C802" r:id="rId1991" xr:uid="{00000000-0004-0000-0200-0000C6070000}"/>
    <hyperlink ref="A803" r:id="rId1992" xr:uid="{00000000-0004-0000-0200-0000C7070000}"/>
    <hyperlink ref="B803" r:id="rId1993" xr:uid="{00000000-0004-0000-0200-0000C8070000}"/>
    <hyperlink ref="C803" r:id="rId1994" xr:uid="{00000000-0004-0000-0200-0000C9070000}"/>
    <hyperlink ref="A804" r:id="rId1995" xr:uid="{00000000-0004-0000-0200-0000CA070000}"/>
    <hyperlink ref="B804" r:id="rId1996" xr:uid="{00000000-0004-0000-0200-0000CB070000}"/>
    <hyperlink ref="C804" r:id="rId1997" xr:uid="{00000000-0004-0000-0200-0000CC070000}"/>
    <hyperlink ref="A805" r:id="rId1998" xr:uid="{00000000-0004-0000-0200-0000CD070000}"/>
    <hyperlink ref="B805" r:id="rId1999" xr:uid="{00000000-0004-0000-0200-0000CE070000}"/>
    <hyperlink ref="C805" r:id="rId2000" xr:uid="{00000000-0004-0000-0200-0000CF070000}"/>
    <hyperlink ref="A806" r:id="rId2001" xr:uid="{00000000-0004-0000-0200-0000D0070000}"/>
    <hyperlink ref="B806" r:id="rId2002" xr:uid="{00000000-0004-0000-0200-0000D1070000}"/>
    <hyperlink ref="C806" r:id="rId2003" xr:uid="{00000000-0004-0000-0200-0000D2070000}"/>
    <hyperlink ref="A807" r:id="rId2004" xr:uid="{00000000-0004-0000-0200-0000D3070000}"/>
    <hyperlink ref="B807" r:id="rId2005" xr:uid="{00000000-0004-0000-0200-0000D4070000}"/>
    <hyperlink ref="C807" r:id="rId2006" xr:uid="{00000000-0004-0000-0200-0000D5070000}"/>
    <hyperlink ref="A808" r:id="rId2007" xr:uid="{00000000-0004-0000-0200-0000D6070000}"/>
    <hyperlink ref="B808" r:id="rId2008" xr:uid="{00000000-0004-0000-0200-0000D7070000}"/>
    <hyperlink ref="C808" r:id="rId2009" xr:uid="{00000000-0004-0000-0200-0000D8070000}"/>
    <hyperlink ref="A809" r:id="rId2010" xr:uid="{00000000-0004-0000-0200-0000D9070000}"/>
    <hyperlink ref="B809" r:id="rId2011" xr:uid="{00000000-0004-0000-0200-0000DA070000}"/>
    <hyperlink ref="C809" r:id="rId2012" xr:uid="{00000000-0004-0000-0200-0000DB070000}"/>
    <hyperlink ref="A810" r:id="rId2013" xr:uid="{00000000-0004-0000-0200-0000DC070000}"/>
    <hyperlink ref="B810" r:id="rId2014" xr:uid="{00000000-0004-0000-0200-0000DD070000}"/>
    <hyperlink ref="C810" r:id="rId2015" xr:uid="{00000000-0004-0000-0200-0000DE070000}"/>
    <hyperlink ref="A811" r:id="rId2016" xr:uid="{00000000-0004-0000-0200-0000DF070000}"/>
    <hyperlink ref="B811" r:id="rId2017" xr:uid="{00000000-0004-0000-0200-0000E0070000}"/>
    <hyperlink ref="C811" r:id="rId2018" xr:uid="{00000000-0004-0000-0200-0000E1070000}"/>
    <hyperlink ref="A812" r:id="rId2019" xr:uid="{00000000-0004-0000-0200-0000E2070000}"/>
    <hyperlink ref="B812" r:id="rId2020" xr:uid="{00000000-0004-0000-0200-0000E3070000}"/>
    <hyperlink ref="C812" r:id="rId2021" xr:uid="{00000000-0004-0000-0200-0000E4070000}"/>
    <hyperlink ref="A813" r:id="rId2022" xr:uid="{00000000-0004-0000-0200-0000E5070000}"/>
    <hyperlink ref="B813" r:id="rId2023" xr:uid="{00000000-0004-0000-0200-0000E6070000}"/>
    <hyperlink ref="C813" r:id="rId2024" xr:uid="{00000000-0004-0000-0200-0000E7070000}"/>
    <hyperlink ref="A814" r:id="rId2025" xr:uid="{00000000-0004-0000-0200-0000E8070000}"/>
    <hyperlink ref="B814" r:id="rId2026" xr:uid="{00000000-0004-0000-0200-0000E9070000}"/>
    <hyperlink ref="C814" r:id="rId2027" xr:uid="{00000000-0004-0000-0200-0000EA070000}"/>
    <hyperlink ref="A815" r:id="rId2028" xr:uid="{00000000-0004-0000-0200-0000EB070000}"/>
    <hyperlink ref="B815" r:id="rId2029" xr:uid="{00000000-0004-0000-0200-0000EC070000}"/>
    <hyperlink ref="C815" r:id="rId2030" xr:uid="{00000000-0004-0000-0200-0000ED070000}"/>
    <hyperlink ref="A816" r:id="rId2031" xr:uid="{00000000-0004-0000-0200-0000EE070000}"/>
    <hyperlink ref="B816" r:id="rId2032" xr:uid="{00000000-0004-0000-0200-0000EF070000}"/>
    <hyperlink ref="C816" r:id="rId2033" xr:uid="{00000000-0004-0000-0200-0000F0070000}"/>
    <hyperlink ref="A817" r:id="rId2034" xr:uid="{00000000-0004-0000-0200-0000F1070000}"/>
    <hyperlink ref="B817" r:id="rId2035" xr:uid="{00000000-0004-0000-0200-0000F2070000}"/>
    <hyperlink ref="C817" r:id="rId2036" xr:uid="{00000000-0004-0000-0200-0000F3070000}"/>
    <hyperlink ref="A818" r:id="rId2037" xr:uid="{00000000-0004-0000-0200-0000F4070000}"/>
    <hyperlink ref="B818" r:id="rId2038" xr:uid="{00000000-0004-0000-0200-0000F5070000}"/>
    <hyperlink ref="C818" r:id="rId2039" xr:uid="{00000000-0004-0000-0200-0000F6070000}"/>
    <hyperlink ref="A819" r:id="rId2040" xr:uid="{00000000-0004-0000-0200-0000F7070000}"/>
    <hyperlink ref="B819" r:id="rId2041" xr:uid="{00000000-0004-0000-0200-0000F8070000}"/>
    <hyperlink ref="C819" r:id="rId2042" xr:uid="{00000000-0004-0000-0200-0000F9070000}"/>
    <hyperlink ref="A820" r:id="rId2043" xr:uid="{00000000-0004-0000-0200-0000FA070000}"/>
    <hyperlink ref="B820" r:id="rId2044" xr:uid="{00000000-0004-0000-0200-0000FB070000}"/>
    <hyperlink ref="C820" r:id="rId2045" xr:uid="{00000000-0004-0000-0200-0000FC070000}"/>
    <hyperlink ref="A821" r:id="rId2046" xr:uid="{00000000-0004-0000-0200-0000FD070000}"/>
    <hyperlink ref="B821" r:id="rId2047" xr:uid="{00000000-0004-0000-0200-0000FE070000}"/>
    <hyperlink ref="C821" r:id="rId2048" xr:uid="{00000000-0004-0000-0200-0000FF070000}"/>
    <hyperlink ref="A822" r:id="rId2049" xr:uid="{00000000-0004-0000-0200-000000080000}"/>
    <hyperlink ref="B822" r:id="rId2050" xr:uid="{00000000-0004-0000-0200-000001080000}"/>
    <hyperlink ref="C822" r:id="rId2051" xr:uid="{00000000-0004-0000-0200-000002080000}"/>
    <hyperlink ref="A823" r:id="rId2052" xr:uid="{00000000-0004-0000-0200-000003080000}"/>
    <hyperlink ref="B823" r:id="rId2053" xr:uid="{00000000-0004-0000-0200-000004080000}"/>
    <hyperlink ref="C823" r:id="rId2054" xr:uid="{00000000-0004-0000-0200-000005080000}"/>
    <hyperlink ref="A824" r:id="rId2055" xr:uid="{00000000-0004-0000-0200-000006080000}"/>
    <hyperlink ref="B824" r:id="rId2056" xr:uid="{00000000-0004-0000-0200-000007080000}"/>
    <hyperlink ref="C824" r:id="rId2057" xr:uid="{00000000-0004-0000-0200-000008080000}"/>
    <hyperlink ref="A825" r:id="rId2058" xr:uid="{00000000-0004-0000-0200-000009080000}"/>
    <hyperlink ref="B825" r:id="rId2059" xr:uid="{00000000-0004-0000-0200-00000A080000}"/>
    <hyperlink ref="C825" r:id="rId2060" xr:uid="{00000000-0004-0000-0200-00000B080000}"/>
    <hyperlink ref="A826" r:id="rId2061" xr:uid="{00000000-0004-0000-0200-00000C080000}"/>
    <hyperlink ref="B826" r:id="rId2062" xr:uid="{00000000-0004-0000-0200-00000D080000}"/>
    <hyperlink ref="C826" r:id="rId2063" xr:uid="{00000000-0004-0000-0200-00000E080000}"/>
    <hyperlink ref="A827" r:id="rId2064" xr:uid="{00000000-0004-0000-0200-00000F080000}"/>
    <hyperlink ref="B827" r:id="rId2065" xr:uid="{00000000-0004-0000-0200-000010080000}"/>
    <hyperlink ref="C827" r:id="rId2066" xr:uid="{00000000-0004-0000-0200-000011080000}"/>
    <hyperlink ref="A828" r:id="rId2067" xr:uid="{00000000-0004-0000-0200-000012080000}"/>
    <hyperlink ref="B828" r:id="rId2068" xr:uid="{00000000-0004-0000-0200-000013080000}"/>
    <hyperlink ref="C828" r:id="rId2069" xr:uid="{00000000-0004-0000-0200-000014080000}"/>
    <hyperlink ref="A829" r:id="rId2070" xr:uid="{00000000-0004-0000-0200-000015080000}"/>
    <hyperlink ref="B829" r:id="rId2071" xr:uid="{00000000-0004-0000-0200-000016080000}"/>
    <hyperlink ref="C829" r:id="rId2072" xr:uid="{00000000-0004-0000-0200-000017080000}"/>
    <hyperlink ref="A830" r:id="rId2073" xr:uid="{00000000-0004-0000-0200-000018080000}"/>
    <hyperlink ref="B830" r:id="rId2074" xr:uid="{00000000-0004-0000-0200-000019080000}"/>
    <hyperlink ref="C830" r:id="rId2075" xr:uid="{00000000-0004-0000-0200-00001A080000}"/>
    <hyperlink ref="A831" r:id="rId2076" xr:uid="{00000000-0004-0000-0200-00001B080000}"/>
    <hyperlink ref="B831" r:id="rId2077" xr:uid="{00000000-0004-0000-0200-00001C080000}"/>
    <hyperlink ref="C831" r:id="rId2078" xr:uid="{00000000-0004-0000-0200-00001D080000}"/>
    <hyperlink ref="A832" r:id="rId2079" xr:uid="{00000000-0004-0000-0200-00001E080000}"/>
    <hyperlink ref="B832" r:id="rId2080" xr:uid="{00000000-0004-0000-0200-00001F080000}"/>
    <hyperlink ref="C832" r:id="rId2081" xr:uid="{00000000-0004-0000-0200-000020080000}"/>
    <hyperlink ref="A833" r:id="rId2082" xr:uid="{00000000-0004-0000-0200-000021080000}"/>
    <hyperlink ref="B833" r:id="rId2083" xr:uid="{00000000-0004-0000-0200-000022080000}"/>
    <hyperlink ref="C833" r:id="rId2084" xr:uid="{00000000-0004-0000-0200-000023080000}"/>
    <hyperlink ref="A834" r:id="rId2085" xr:uid="{00000000-0004-0000-0200-000024080000}"/>
    <hyperlink ref="B834" r:id="rId2086" xr:uid="{00000000-0004-0000-0200-000025080000}"/>
    <hyperlink ref="C834" r:id="rId2087" xr:uid="{00000000-0004-0000-0200-000026080000}"/>
    <hyperlink ref="A835" r:id="rId2088" xr:uid="{00000000-0004-0000-0200-000027080000}"/>
    <hyperlink ref="B835" r:id="rId2089" xr:uid="{00000000-0004-0000-0200-000028080000}"/>
    <hyperlink ref="C835" r:id="rId2090" xr:uid="{00000000-0004-0000-0200-000029080000}"/>
    <hyperlink ref="A836" r:id="rId2091" xr:uid="{00000000-0004-0000-0200-00002A080000}"/>
    <hyperlink ref="B836" r:id="rId2092" xr:uid="{00000000-0004-0000-0200-00002B080000}"/>
    <hyperlink ref="C836" r:id="rId2093" xr:uid="{00000000-0004-0000-0200-00002C080000}"/>
    <hyperlink ref="A837" r:id="rId2094" xr:uid="{00000000-0004-0000-0200-00002D080000}"/>
    <hyperlink ref="B837" r:id="rId2095" xr:uid="{00000000-0004-0000-0200-00002E080000}"/>
    <hyperlink ref="C837" r:id="rId2096" xr:uid="{00000000-0004-0000-0200-00002F080000}"/>
    <hyperlink ref="A838" r:id="rId2097" xr:uid="{00000000-0004-0000-0200-000030080000}"/>
    <hyperlink ref="B838" r:id="rId2098" xr:uid="{00000000-0004-0000-0200-000031080000}"/>
    <hyperlink ref="C838" r:id="rId2099" xr:uid="{00000000-0004-0000-0200-000032080000}"/>
    <hyperlink ref="A839" r:id="rId2100" xr:uid="{00000000-0004-0000-0200-000033080000}"/>
    <hyperlink ref="B839" r:id="rId2101" xr:uid="{00000000-0004-0000-0200-000034080000}"/>
    <hyperlink ref="C839" r:id="rId2102" xr:uid="{00000000-0004-0000-0200-000035080000}"/>
    <hyperlink ref="A840" r:id="rId2103" xr:uid="{00000000-0004-0000-0200-000036080000}"/>
    <hyperlink ref="B840" r:id="rId2104" xr:uid="{00000000-0004-0000-0200-000037080000}"/>
    <hyperlink ref="C840" r:id="rId2105" xr:uid="{00000000-0004-0000-0200-000038080000}"/>
    <hyperlink ref="A841" r:id="rId2106" xr:uid="{00000000-0004-0000-0200-000039080000}"/>
    <hyperlink ref="B841" r:id="rId2107" xr:uid="{00000000-0004-0000-0200-00003A080000}"/>
    <hyperlink ref="C841" r:id="rId2108" xr:uid="{00000000-0004-0000-0200-00003B080000}"/>
    <hyperlink ref="A842" r:id="rId2109" xr:uid="{00000000-0004-0000-0200-00003C080000}"/>
    <hyperlink ref="B842" r:id="rId2110" xr:uid="{00000000-0004-0000-0200-00003D080000}"/>
    <hyperlink ref="C842" r:id="rId2111" xr:uid="{00000000-0004-0000-0200-00003E080000}"/>
    <hyperlink ref="A843" r:id="rId2112" xr:uid="{00000000-0004-0000-0200-00003F080000}"/>
    <hyperlink ref="B843" r:id="rId2113" xr:uid="{00000000-0004-0000-0200-000040080000}"/>
    <hyperlink ref="C843" r:id="rId2114" xr:uid="{00000000-0004-0000-0200-000041080000}"/>
    <hyperlink ref="A844" r:id="rId2115" xr:uid="{00000000-0004-0000-0200-000042080000}"/>
    <hyperlink ref="B844" r:id="rId2116" xr:uid="{00000000-0004-0000-0200-000043080000}"/>
    <hyperlink ref="C844" r:id="rId2117" xr:uid="{00000000-0004-0000-0200-000044080000}"/>
    <hyperlink ref="A845" r:id="rId2118" xr:uid="{00000000-0004-0000-0200-000045080000}"/>
    <hyperlink ref="B845" r:id="rId2119" xr:uid="{00000000-0004-0000-0200-000046080000}"/>
    <hyperlink ref="C845" r:id="rId2120" xr:uid="{00000000-0004-0000-0200-000047080000}"/>
    <hyperlink ref="A846" r:id="rId2121" xr:uid="{00000000-0004-0000-0200-000048080000}"/>
    <hyperlink ref="B846" r:id="rId2122" xr:uid="{00000000-0004-0000-0200-000049080000}"/>
    <hyperlink ref="C846" r:id="rId2123" xr:uid="{00000000-0004-0000-0200-00004A080000}"/>
    <hyperlink ref="A847" r:id="rId2124" xr:uid="{00000000-0004-0000-0200-00004B080000}"/>
    <hyperlink ref="B847" r:id="rId2125" xr:uid="{00000000-0004-0000-0200-00004C080000}"/>
    <hyperlink ref="C847" r:id="rId2126" xr:uid="{00000000-0004-0000-0200-00004D080000}"/>
    <hyperlink ref="A848" r:id="rId2127" xr:uid="{00000000-0004-0000-0200-00004E080000}"/>
    <hyperlink ref="B848" r:id="rId2128" xr:uid="{00000000-0004-0000-0200-00004F080000}"/>
    <hyperlink ref="C848" r:id="rId2129" xr:uid="{00000000-0004-0000-0200-000050080000}"/>
    <hyperlink ref="A849" r:id="rId2130" xr:uid="{00000000-0004-0000-0200-000051080000}"/>
    <hyperlink ref="B849" r:id="rId2131" xr:uid="{00000000-0004-0000-0200-000052080000}"/>
    <hyperlink ref="C849" r:id="rId2132" xr:uid="{00000000-0004-0000-0200-000053080000}"/>
    <hyperlink ref="A850" r:id="rId2133" xr:uid="{00000000-0004-0000-0200-000054080000}"/>
    <hyperlink ref="B850" r:id="rId2134" xr:uid="{00000000-0004-0000-0200-000055080000}"/>
    <hyperlink ref="C850" r:id="rId2135" xr:uid="{00000000-0004-0000-0200-000056080000}"/>
    <hyperlink ref="A851" r:id="rId2136" xr:uid="{00000000-0004-0000-0200-000057080000}"/>
    <hyperlink ref="B851" r:id="rId2137" xr:uid="{00000000-0004-0000-0200-000058080000}"/>
    <hyperlink ref="C851" r:id="rId2138" xr:uid="{00000000-0004-0000-0200-000059080000}"/>
    <hyperlink ref="A852" r:id="rId2139" xr:uid="{00000000-0004-0000-0200-00005A080000}"/>
    <hyperlink ref="B852" r:id="rId2140" xr:uid="{00000000-0004-0000-0200-00005B080000}"/>
    <hyperlink ref="C852" r:id="rId2141" xr:uid="{00000000-0004-0000-0200-00005C080000}"/>
    <hyperlink ref="A853" r:id="rId2142" xr:uid="{00000000-0004-0000-0200-00005D080000}"/>
    <hyperlink ref="B853" r:id="rId2143" xr:uid="{00000000-0004-0000-0200-00005E080000}"/>
    <hyperlink ref="C853" r:id="rId2144" xr:uid="{00000000-0004-0000-0200-00005F080000}"/>
    <hyperlink ref="A854" r:id="rId2145" xr:uid="{00000000-0004-0000-0200-000060080000}"/>
    <hyperlink ref="B854" r:id="rId2146" xr:uid="{00000000-0004-0000-0200-000061080000}"/>
    <hyperlink ref="C854" r:id="rId2147" xr:uid="{00000000-0004-0000-0200-000062080000}"/>
    <hyperlink ref="A855" r:id="rId2148" xr:uid="{00000000-0004-0000-0200-000063080000}"/>
    <hyperlink ref="B855" r:id="rId2149" xr:uid="{00000000-0004-0000-0200-000064080000}"/>
    <hyperlink ref="C855" r:id="rId2150" xr:uid="{00000000-0004-0000-0200-000065080000}"/>
    <hyperlink ref="A856" r:id="rId2151" xr:uid="{00000000-0004-0000-0200-000066080000}"/>
    <hyperlink ref="B856" r:id="rId2152" xr:uid="{00000000-0004-0000-0200-000067080000}"/>
    <hyperlink ref="C856" r:id="rId2153" xr:uid="{00000000-0004-0000-0200-000068080000}"/>
    <hyperlink ref="A857" r:id="rId2154" xr:uid="{00000000-0004-0000-0200-000069080000}"/>
    <hyperlink ref="B857" r:id="rId2155" xr:uid="{00000000-0004-0000-0200-00006A080000}"/>
    <hyperlink ref="C857" r:id="rId2156" xr:uid="{00000000-0004-0000-0200-00006B080000}"/>
    <hyperlink ref="A858" r:id="rId2157" xr:uid="{00000000-0004-0000-0200-00006C080000}"/>
    <hyperlink ref="B858" r:id="rId2158" xr:uid="{00000000-0004-0000-0200-00006D080000}"/>
    <hyperlink ref="C858" r:id="rId2159" xr:uid="{00000000-0004-0000-0200-00006E080000}"/>
    <hyperlink ref="A859" r:id="rId2160" xr:uid="{00000000-0004-0000-0200-00006F080000}"/>
    <hyperlink ref="B859" r:id="rId2161" xr:uid="{00000000-0004-0000-0200-000070080000}"/>
    <hyperlink ref="C859" r:id="rId2162" xr:uid="{00000000-0004-0000-0200-000071080000}"/>
    <hyperlink ref="A860" r:id="rId2163" xr:uid="{00000000-0004-0000-0200-000072080000}"/>
    <hyperlink ref="B860" r:id="rId2164" xr:uid="{00000000-0004-0000-0200-000073080000}"/>
    <hyperlink ref="C860" r:id="rId2165" xr:uid="{00000000-0004-0000-0200-000074080000}"/>
    <hyperlink ref="A861" r:id="rId2166" xr:uid="{00000000-0004-0000-0200-000075080000}"/>
    <hyperlink ref="B861" r:id="rId2167" xr:uid="{00000000-0004-0000-0200-000076080000}"/>
    <hyperlink ref="C861" r:id="rId2168" xr:uid="{00000000-0004-0000-0200-000077080000}"/>
    <hyperlink ref="A862" r:id="rId2169" xr:uid="{00000000-0004-0000-0200-000078080000}"/>
    <hyperlink ref="B862" r:id="rId2170" xr:uid="{00000000-0004-0000-0200-000079080000}"/>
    <hyperlink ref="C862" r:id="rId2171" xr:uid="{00000000-0004-0000-0200-00007A080000}"/>
    <hyperlink ref="A863" r:id="rId2172" xr:uid="{00000000-0004-0000-0200-00007B080000}"/>
    <hyperlink ref="B863" r:id="rId2173" xr:uid="{00000000-0004-0000-0200-00007C080000}"/>
    <hyperlink ref="C863" r:id="rId2174" xr:uid="{00000000-0004-0000-0200-00007D080000}"/>
    <hyperlink ref="A864" r:id="rId2175" xr:uid="{00000000-0004-0000-0200-00007E080000}"/>
    <hyperlink ref="B864" r:id="rId2176" xr:uid="{00000000-0004-0000-0200-00007F080000}"/>
    <hyperlink ref="C864" r:id="rId2177" xr:uid="{00000000-0004-0000-0200-000080080000}"/>
    <hyperlink ref="A865" r:id="rId2178" xr:uid="{00000000-0004-0000-0200-000081080000}"/>
    <hyperlink ref="B865" r:id="rId2179" xr:uid="{00000000-0004-0000-0200-000082080000}"/>
    <hyperlink ref="C865" r:id="rId2180" xr:uid="{00000000-0004-0000-0200-000083080000}"/>
    <hyperlink ref="A866" r:id="rId2181" xr:uid="{00000000-0004-0000-0200-000084080000}"/>
    <hyperlink ref="B866" r:id="rId2182" xr:uid="{00000000-0004-0000-0200-000085080000}"/>
    <hyperlink ref="C866" r:id="rId2183" xr:uid="{00000000-0004-0000-0200-000086080000}"/>
    <hyperlink ref="A867" r:id="rId2184" xr:uid="{00000000-0004-0000-0200-000087080000}"/>
    <hyperlink ref="B867" r:id="rId2185" xr:uid="{00000000-0004-0000-0200-000088080000}"/>
    <hyperlink ref="C867" r:id="rId2186" xr:uid="{00000000-0004-0000-0200-000089080000}"/>
    <hyperlink ref="A868" r:id="rId2187" xr:uid="{00000000-0004-0000-0200-00008A080000}"/>
    <hyperlink ref="B868" r:id="rId2188" xr:uid="{00000000-0004-0000-0200-00008B080000}"/>
    <hyperlink ref="C868" r:id="rId2189" xr:uid="{00000000-0004-0000-0200-00008C080000}"/>
    <hyperlink ref="A869" r:id="rId2190" xr:uid="{00000000-0004-0000-0200-00008D080000}"/>
    <hyperlink ref="B869" r:id="rId2191" xr:uid="{00000000-0004-0000-0200-00008E080000}"/>
    <hyperlink ref="C869" r:id="rId2192" xr:uid="{00000000-0004-0000-0200-00008F080000}"/>
    <hyperlink ref="A870" r:id="rId2193" xr:uid="{00000000-0004-0000-0200-000090080000}"/>
    <hyperlink ref="B870" r:id="rId2194" xr:uid="{00000000-0004-0000-0200-000091080000}"/>
    <hyperlink ref="C870" r:id="rId2195" xr:uid="{00000000-0004-0000-0200-000092080000}"/>
    <hyperlink ref="A871" r:id="rId2196" xr:uid="{00000000-0004-0000-0200-000093080000}"/>
    <hyperlink ref="B871" r:id="rId2197" xr:uid="{00000000-0004-0000-0200-000094080000}"/>
    <hyperlink ref="C871" r:id="rId2198" xr:uid="{00000000-0004-0000-0200-000095080000}"/>
    <hyperlink ref="A872" r:id="rId2199" xr:uid="{00000000-0004-0000-0200-000096080000}"/>
    <hyperlink ref="B872" r:id="rId2200" xr:uid="{00000000-0004-0000-0200-000097080000}"/>
    <hyperlink ref="C872" r:id="rId2201" xr:uid="{00000000-0004-0000-0200-000098080000}"/>
    <hyperlink ref="A873" r:id="rId2202" xr:uid="{00000000-0004-0000-0200-000099080000}"/>
    <hyperlink ref="B873" r:id="rId2203" xr:uid="{00000000-0004-0000-0200-00009A080000}"/>
    <hyperlink ref="C873" r:id="rId2204" xr:uid="{00000000-0004-0000-0200-00009B080000}"/>
    <hyperlink ref="A874" r:id="rId2205" xr:uid="{00000000-0004-0000-0200-00009C080000}"/>
    <hyperlink ref="B874" r:id="rId2206" xr:uid="{00000000-0004-0000-0200-00009D080000}"/>
    <hyperlink ref="C874" r:id="rId2207" xr:uid="{00000000-0004-0000-0200-00009E080000}"/>
    <hyperlink ref="A875" r:id="rId2208" xr:uid="{00000000-0004-0000-0200-00009F080000}"/>
    <hyperlink ref="B875" r:id="rId2209" xr:uid="{00000000-0004-0000-0200-0000A0080000}"/>
    <hyperlink ref="C875" r:id="rId2210" xr:uid="{00000000-0004-0000-0200-0000A1080000}"/>
    <hyperlink ref="A876" r:id="rId2211" xr:uid="{00000000-0004-0000-0200-0000A2080000}"/>
    <hyperlink ref="B876" r:id="rId2212" xr:uid="{00000000-0004-0000-0200-0000A3080000}"/>
    <hyperlink ref="C876" r:id="rId2213" xr:uid="{00000000-0004-0000-0200-0000A4080000}"/>
    <hyperlink ref="A877" r:id="rId2214" xr:uid="{00000000-0004-0000-0200-0000A5080000}"/>
    <hyperlink ref="B877" r:id="rId2215" xr:uid="{00000000-0004-0000-0200-0000A6080000}"/>
    <hyperlink ref="C877" r:id="rId2216" xr:uid="{00000000-0004-0000-0200-0000A7080000}"/>
    <hyperlink ref="A878" r:id="rId2217" xr:uid="{00000000-0004-0000-0200-0000A8080000}"/>
    <hyperlink ref="B878" r:id="rId2218" xr:uid="{00000000-0004-0000-0200-0000A9080000}"/>
    <hyperlink ref="C878" r:id="rId2219" xr:uid="{00000000-0004-0000-0200-0000AA080000}"/>
    <hyperlink ref="A879" r:id="rId2220" xr:uid="{00000000-0004-0000-0200-0000AB080000}"/>
    <hyperlink ref="B879" r:id="rId2221" xr:uid="{00000000-0004-0000-0200-0000AC080000}"/>
    <hyperlink ref="C879" r:id="rId2222" xr:uid="{00000000-0004-0000-0200-0000AD080000}"/>
    <hyperlink ref="A880" r:id="rId2223" xr:uid="{00000000-0004-0000-0200-0000AE080000}"/>
    <hyperlink ref="B880" r:id="rId2224" xr:uid="{00000000-0004-0000-0200-0000AF080000}"/>
    <hyperlink ref="C880" r:id="rId2225" xr:uid="{00000000-0004-0000-0200-0000B0080000}"/>
    <hyperlink ref="A881" r:id="rId2226" xr:uid="{00000000-0004-0000-0200-0000B1080000}"/>
    <hyperlink ref="B881" r:id="rId2227" xr:uid="{00000000-0004-0000-0200-0000B2080000}"/>
    <hyperlink ref="C881" r:id="rId2228" xr:uid="{00000000-0004-0000-0200-0000B3080000}"/>
    <hyperlink ref="A882" r:id="rId2229" xr:uid="{00000000-0004-0000-0200-0000B4080000}"/>
    <hyperlink ref="B882" r:id="rId2230" xr:uid="{00000000-0004-0000-0200-0000B5080000}"/>
    <hyperlink ref="C882" r:id="rId2231" xr:uid="{00000000-0004-0000-0200-0000B6080000}"/>
    <hyperlink ref="A883" r:id="rId2232" xr:uid="{00000000-0004-0000-0200-0000B7080000}"/>
    <hyperlink ref="B883" r:id="rId2233" xr:uid="{00000000-0004-0000-0200-0000B8080000}"/>
    <hyperlink ref="C883" r:id="rId2234" xr:uid="{00000000-0004-0000-0200-0000B9080000}"/>
    <hyperlink ref="A884" r:id="rId2235" xr:uid="{00000000-0004-0000-0200-0000BA080000}"/>
    <hyperlink ref="B884" r:id="rId2236" xr:uid="{00000000-0004-0000-0200-0000BB080000}"/>
    <hyperlink ref="C884" r:id="rId2237" xr:uid="{00000000-0004-0000-0200-0000BC080000}"/>
    <hyperlink ref="A885" r:id="rId2238" xr:uid="{00000000-0004-0000-0200-0000BD080000}"/>
    <hyperlink ref="B885" r:id="rId2239" xr:uid="{00000000-0004-0000-0200-0000BE080000}"/>
    <hyperlink ref="C885" r:id="rId2240" xr:uid="{00000000-0004-0000-0200-0000BF080000}"/>
    <hyperlink ref="A886" r:id="rId2241" xr:uid="{00000000-0004-0000-0200-0000C0080000}"/>
    <hyperlink ref="B886" r:id="rId2242" xr:uid="{00000000-0004-0000-0200-0000C1080000}"/>
    <hyperlink ref="C886" r:id="rId2243" xr:uid="{00000000-0004-0000-0200-0000C2080000}"/>
    <hyperlink ref="A887" r:id="rId2244" xr:uid="{00000000-0004-0000-0200-0000C3080000}"/>
    <hyperlink ref="B887" r:id="rId2245" xr:uid="{00000000-0004-0000-0200-0000C4080000}"/>
    <hyperlink ref="C887" r:id="rId2246" xr:uid="{00000000-0004-0000-0200-0000C5080000}"/>
    <hyperlink ref="A888" r:id="rId2247" xr:uid="{00000000-0004-0000-0200-0000C6080000}"/>
    <hyperlink ref="B888" r:id="rId2248" xr:uid="{00000000-0004-0000-0200-0000C7080000}"/>
    <hyperlink ref="C888" r:id="rId2249" xr:uid="{00000000-0004-0000-0200-0000C8080000}"/>
    <hyperlink ref="A889" r:id="rId2250" xr:uid="{00000000-0004-0000-0200-0000C9080000}"/>
    <hyperlink ref="B889" r:id="rId2251" xr:uid="{00000000-0004-0000-0200-0000CA080000}"/>
    <hyperlink ref="C889" r:id="rId2252" xr:uid="{00000000-0004-0000-0200-0000CB080000}"/>
    <hyperlink ref="A890" r:id="rId2253" xr:uid="{00000000-0004-0000-0200-0000CC080000}"/>
    <hyperlink ref="B890" r:id="rId2254" xr:uid="{00000000-0004-0000-0200-0000CD080000}"/>
    <hyperlink ref="C890" r:id="rId2255" xr:uid="{00000000-0004-0000-0200-0000CE080000}"/>
    <hyperlink ref="A891" r:id="rId2256" xr:uid="{00000000-0004-0000-0200-0000CF080000}"/>
    <hyperlink ref="B891" r:id="rId2257" xr:uid="{00000000-0004-0000-0200-0000D0080000}"/>
    <hyperlink ref="C891" r:id="rId2258" xr:uid="{00000000-0004-0000-0200-0000D1080000}"/>
    <hyperlink ref="A892" r:id="rId2259" xr:uid="{00000000-0004-0000-0200-0000D2080000}"/>
    <hyperlink ref="B892" r:id="rId2260" xr:uid="{00000000-0004-0000-0200-0000D3080000}"/>
    <hyperlink ref="C892" r:id="rId2261" xr:uid="{00000000-0004-0000-0200-0000D4080000}"/>
    <hyperlink ref="A893" r:id="rId2262" xr:uid="{00000000-0004-0000-0200-0000D5080000}"/>
    <hyperlink ref="B893" r:id="rId2263" xr:uid="{00000000-0004-0000-0200-0000D6080000}"/>
    <hyperlink ref="C893" r:id="rId2264" xr:uid="{00000000-0004-0000-0200-0000D7080000}"/>
    <hyperlink ref="A894" r:id="rId2265" xr:uid="{00000000-0004-0000-0200-0000D8080000}"/>
    <hyperlink ref="B894" r:id="rId2266" xr:uid="{00000000-0004-0000-0200-0000D9080000}"/>
    <hyperlink ref="C894" r:id="rId2267" xr:uid="{00000000-0004-0000-0200-0000DA080000}"/>
    <hyperlink ref="A895" r:id="rId2268" xr:uid="{00000000-0004-0000-0200-0000DB080000}"/>
    <hyperlink ref="B895" r:id="rId2269" xr:uid="{00000000-0004-0000-0200-0000DC080000}"/>
    <hyperlink ref="C895" r:id="rId2270" xr:uid="{00000000-0004-0000-0200-0000DD080000}"/>
    <hyperlink ref="A896" r:id="rId2271" xr:uid="{00000000-0004-0000-0200-0000DE080000}"/>
    <hyperlink ref="B896" r:id="rId2272" xr:uid="{00000000-0004-0000-0200-0000DF080000}"/>
    <hyperlink ref="C896" r:id="rId2273" xr:uid="{00000000-0004-0000-0200-0000E0080000}"/>
    <hyperlink ref="A897" r:id="rId2274" xr:uid="{00000000-0004-0000-0200-0000E1080000}"/>
    <hyperlink ref="B897" r:id="rId2275" xr:uid="{00000000-0004-0000-0200-0000E2080000}"/>
    <hyperlink ref="C897" r:id="rId2276" xr:uid="{00000000-0004-0000-0200-0000E3080000}"/>
    <hyperlink ref="A898" r:id="rId2277" xr:uid="{00000000-0004-0000-0200-0000E4080000}"/>
    <hyperlink ref="B898" r:id="rId2278" xr:uid="{00000000-0004-0000-0200-0000E5080000}"/>
    <hyperlink ref="C898" r:id="rId2279" xr:uid="{00000000-0004-0000-0200-0000E6080000}"/>
    <hyperlink ref="A899" r:id="rId2280" xr:uid="{00000000-0004-0000-0200-0000E7080000}"/>
    <hyperlink ref="B899" r:id="rId2281" xr:uid="{00000000-0004-0000-0200-0000E8080000}"/>
    <hyperlink ref="C899" r:id="rId2282" xr:uid="{00000000-0004-0000-0200-0000E9080000}"/>
    <hyperlink ref="A900" r:id="rId2283" xr:uid="{00000000-0004-0000-0200-0000EA080000}"/>
    <hyperlink ref="B900" r:id="rId2284" xr:uid="{00000000-0004-0000-0200-0000EB080000}"/>
    <hyperlink ref="C900" r:id="rId2285" xr:uid="{00000000-0004-0000-0200-0000EC080000}"/>
    <hyperlink ref="A901" r:id="rId2286" xr:uid="{00000000-0004-0000-0200-0000ED080000}"/>
    <hyperlink ref="B901" r:id="rId2287" xr:uid="{00000000-0004-0000-0200-0000EE080000}"/>
    <hyperlink ref="C901" r:id="rId2288" xr:uid="{00000000-0004-0000-0200-0000EF080000}"/>
    <hyperlink ref="A902" r:id="rId2289" xr:uid="{00000000-0004-0000-0200-0000F0080000}"/>
    <hyperlink ref="B902" r:id="rId2290" xr:uid="{00000000-0004-0000-0200-0000F1080000}"/>
    <hyperlink ref="C902" r:id="rId2291" xr:uid="{00000000-0004-0000-0200-0000F2080000}"/>
    <hyperlink ref="A903" r:id="rId2292" xr:uid="{00000000-0004-0000-0200-0000F3080000}"/>
    <hyperlink ref="B903" r:id="rId2293" xr:uid="{00000000-0004-0000-0200-0000F4080000}"/>
    <hyperlink ref="C903" r:id="rId2294" xr:uid="{00000000-0004-0000-0200-0000F5080000}"/>
    <hyperlink ref="A904" r:id="rId2295" xr:uid="{00000000-0004-0000-0200-0000F6080000}"/>
    <hyperlink ref="B904" r:id="rId2296" xr:uid="{00000000-0004-0000-0200-0000F7080000}"/>
    <hyperlink ref="C904" r:id="rId2297" xr:uid="{00000000-0004-0000-0200-0000F8080000}"/>
    <hyperlink ref="A905" r:id="rId2298" xr:uid="{00000000-0004-0000-0200-0000F9080000}"/>
    <hyperlink ref="B905" r:id="rId2299" xr:uid="{00000000-0004-0000-0200-0000FA080000}"/>
    <hyperlink ref="C905" r:id="rId2300" xr:uid="{00000000-0004-0000-0200-0000FB080000}"/>
    <hyperlink ref="A906" r:id="rId2301" xr:uid="{00000000-0004-0000-0200-0000FC080000}"/>
    <hyperlink ref="B906" r:id="rId2302" xr:uid="{00000000-0004-0000-0200-0000FD080000}"/>
    <hyperlink ref="C906" r:id="rId2303" xr:uid="{00000000-0004-0000-0200-0000FE080000}"/>
    <hyperlink ref="A907" r:id="rId2304" xr:uid="{00000000-0004-0000-0200-0000FF080000}"/>
    <hyperlink ref="B907" r:id="rId2305" xr:uid="{00000000-0004-0000-0200-000000090000}"/>
    <hyperlink ref="C907" r:id="rId2306" xr:uid="{00000000-0004-0000-0200-000001090000}"/>
    <hyperlink ref="A908" r:id="rId2307" xr:uid="{00000000-0004-0000-0200-000002090000}"/>
    <hyperlink ref="B908" r:id="rId2308" xr:uid="{00000000-0004-0000-0200-000003090000}"/>
    <hyperlink ref="C908" r:id="rId2309" xr:uid="{00000000-0004-0000-0200-000004090000}"/>
    <hyperlink ref="A909" r:id="rId2310" xr:uid="{00000000-0004-0000-0200-000005090000}"/>
    <hyperlink ref="B909" r:id="rId2311" xr:uid="{00000000-0004-0000-0200-000006090000}"/>
    <hyperlink ref="C909" r:id="rId2312" xr:uid="{00000000-0004-0000-0200-000007090000}"/>
    <hyperlink ref="A910" r:id="rId2313" xr:uid="{00000000-0004-0000-0200-000008090000}"/>
    <hyperlink ref="B910" r:id="rId2314" xr:uid="{00000000-0004-0000-0200-000009090000}"/>
    <hyperlink ref="C910" r:id="rId2315" xr:uid="{00000000-0004-0000-0200-00000A090000}"/>
    <hyperlink ref="A911" r:id="rId2316" xr:uid="{00000000-0004-0000-0200-00000B090000}"/>
    <hyperlink ref="B911" r:id="rId2317" xr:uid="{00000000-0004-0000-0200-00000C090000}"/>
    <hyperlink ref="C911" r:id="rId2318" xr:uid="{00000000-0004-0000-0200-00000D090000}"/>
    <hyperlink ref="A912" r:id="rId2319" xr:uid="{00000000-0004-0000-0200-00000E090000}"/>
    <hyperlink ref="B912" r:id="rId2320" xr:uid="{00000000-0004-0000-0200-00000F090000}"/>
    <hyperlink ref="C912" r:id="rId2321" xr:uid="{00000000-0004-0000-0200-000010090000}"/>
    <hyperlink ref="A913" r:id="rId2322" xr:uid="{00000000-0004-0000-0200-000011090000}"/>
    <hyperlink ref="B913" r:id="rId2323" xr:uid="{00000000-0004-0000-0200-000012090000}"/>
    <hyperlink ref="C913" r:id="rId2324" xr:uid="{00000000-0004-0000-0200-000013090000}"/>
    <hyperlink ref="A914" r:id="rId2325" xr:uid="{00000000-0004-0000-0200-000014090000}"/>
    <hyperlink ref="B914" r:id="rId2326" xr:uid="{00000000-0004-0000-0200-000015090000}"/>
    <hyperlink ref="C914" r:id="rId2327" xr:uid="{00000000-0004-0000-0200-000016090000}"/>
    <hyperlink ref="A915" r:id="rId2328" xr:uid="{00000000-0004-0000-0200-000017090000}"/>
    <hyperlink ref="B915" r:id="rId2329" xr:uid="{00000000-0004-0000-0200-000018090000}"/>
    <hyperlink ref="C915" r:id="rId2330" xr:uid="{00000000-0004-0000-0200-000019090000}"/>
    <hyperlink ref="A916" r:id="rId2331" xr:uid="{00000000-0004-0000-0200-00001A090000}"/>
    <hyperlink ref="B916" r:id="rId2332" xr:uid="{00000000-0004-0000-0200-00001B090000}"/>
    <hyperlink ref="C916" r:id="rId2333" xr:uid="{00000000-0004-0000-0200-00001C090000}"/>
    <hyperlink ref="A917" r:id="rId2334" xr:uid="{00000000-0004-0000-0200-00001D090000}"/>
    <hyperlink ref="B917" r:id="rId2335" xr:uid="{00000000-0004-0000-0200-00001E090000}"/>
    <hyperlink ref="C917" r:id="rId2336" xr:uid="{00000000-0004-0000-0200-00001F090000}"/>
    <hyperlink ref="A918" r:id="rId2337" xr:uid="{00000000-0004-0000-0200-000020090000}"/>
    <hyperlink ref="B918" r:id="rId2338" xr:uid="{00000000-0004-0000-0200-000021090000}"/>
    <hyperlink ref="C918" r:id="rId2339" xr:uid="{00000000-0004-0000-0200-000022090000}"/>
    <hyperlink ref="A919" r:id="rId2340" xr:uid="{00000000-0004-0000-0200-000023090000}"/>
    <hyperlink ref="B919" r:id="rId2341" xr:uid="{00000000-0004-0000-0200-000024090000}"/>
    <hyperlink ref="C919" r:id="rId2342" xr:uid="{00000000-0004-0000-0200-000025090000}"/>
    <hyperlink ref="A920" r:id="rId2343" xr:uid="{00000000-0004-0000-0200-000026090000}"/>
    <hyperlink ref="B920" r:id="rId2344" xr:uid="{00000000-0004-0000-0200-000027090000}"/>
    <hyperlink ref="C920" r:id="rId2345" xr:uid="{00000000-0004-0000-0200-000028090000}"/>
    <hyperlink ref="A921" r:id="rId2346" xr:uid="{00000000-0004-0000-0200-000029090000}"/>
    <hyperlink ref="B921" r:id="rId2347" xr:uid="{00000000-0004-0000-0200-00002A090000}"/>
    <hyperlink ref="C921" r:id="rId2348" xr:uid="{00000000-0004-0000-0200-00002B090000}"/>
    <hyperlink ref="A922" r:id="rId2349" xr:uid="{00000000-0004-0000-0200-00002C090000}"/>
    <hyperlink ref="B922" r:id="rId2350" xr:uid="{00000000-0004-0000-0200-00002D090000}"/>
    <hyperlink ref="C922" r:id="rId2351" xr:uid="{00000000-0004-0000-0200-00002E090000}"/>
    <hyperlink ref="A923" r:id="rId2352" xr:uid="{00000000-0004-0000-0200-00002F090000}"/>
    <hyperlink ref="B923" r:id="rId2353" xr:uid="{00000000-0004-0000-0200-000030090000}"/>
    <hyperlink ref="C923" r:id="rId2354" xr:uid="{00000000-0004-0000-0200-000031090000}"/>
    <hyperlink ref="A924" r:id="rId2355" xr:uid="{00000000-0004-0000-0200-000032090000}"/>
    <hyperlink ref="B924" r:id="rId2356" xr:uid="{00000000-0004-0000-0200-000033090000}"/>
    <hyperlink ref="C924" r:id="rId2357" xr:uid="{00000000-0004-0000-0200-000034090000}"/>
    <hyperlink ref="A925" r:id="rId2358" xr:uid="{00000000-0004-0000-0200-000035090000}"/>
    <hyperlink ref="B925" r:id="rId2359" xr:uid="{00000000-0004-0000-0200-000036090000}"/>
    <hyperlink ref="C925" r:id="rId2360" xr:uid="{00000000-0004-0000-0200-000037090000}"/>
    <hyperlink ref="A926" r:id="rId2361" xr:uid="{00000000-0004-0000-0200-000038090000}"/>
    <hyperlink ref="B926" r:id="rId2362" xr:uid="{00000000-0004-0000-0200-000039090000}"/>
    <hyperlink ref="C926" r:id="rId2363" xr:uid="{00000000-0004-0000-0200-00003A090000}"/>
    <hyperlink ref="A927" r:id="rId2364" xr:uid="{00000000-0004-0000-0200-00003B090000}"/>
    <hyperlink ref="B927" r:id="rId2365" xr:uid="{00000000-0004-0000-0200-00003C090000}"/>
    <hyperlink ref="C927" r:id="rId2366" xr:uid="{00000000-0004-0000-0200-00003D090000}"/>
    <hyperlink ref="A928" r:id="rId2367" xr:uid="{00000000-0004-0000-0200-00003E090000}"/>
    <hyperlink ref="B928" r:id="rId2368" xr:uid="{00000000-0004-0000-0200-00003F090000}"/>
    <hyperlink ref="C928" r:id="rId2369" xr:uid="{00000000-0004-0000-0200-000040090000}"/>
    <hyperlink ref="A929" r:id="rId2370" xr:uid="{00000000-0004-0000-0200-000041090000}"/>
    <hyperlink ref="B929" r:id="rId2371" xr:uid="{00000000-0004-0000-0200-000042090000}"/>
    <hyperlink ref="C929" r:id="rId2372" xr:uid="{00000000-0004-0000-0200-000043090000}"/>
    <hyperlink ref="A930" r:id="rId2373" xr:uid="{00000000-0004-0000-0200-000044090000}"/>
    <hyperlink ref="B930" r:id="rId2374" xr:uid="{00000000-0004-0000-0200-000045090000}"/>
    <hyperlink ref="C930" r:id="rId2375" xr:uid="{00000000-0004-0000-0200-000046090000}"/>
    <hyperlink ref="A931" r:id="rId2376" xr:uid="{00000000-0004-0000-0200-000047090000}"/>
    <hyperlink ref="B931" r:id="rId2377" xr:uid="{00000000-0004-0000-0200-000048090000}"/>
    <hyperlink ref="C931" r:id="rId2378" xr:uid="{00000000-0004-0000-0200-000049090000}"/>
    <hyperlink ref="A932" r:id="rId2379" xr:uid="{00000000-0004-0000-0200-00004A090000}"/>
    <hyperlink ref="B932" r:id="rId2380" xr:uid="{00000000-0004-0000-0200-00004B090000}"/>
    <hyperlink ref="C932" r:id="rId2381" xr:uid="{00000000-0004-0000-0200-00004C090000}"/>
    <hyperlink ref="A933" r:id="rId2382" xr:uid="{00000000-0004-0000-0200-00004D090000}"/>
    <hyperlink ref="B933" r:id="rId2383" xr:uid="{00000000-0004-0000-0200-00004E090000}"/>
    <hyperlink ref="C933" r:id="rId2384" xr:uid="{00000000-0004-0000-0200-00004F090000}"/>
    <hyperlink ref="A934" r:id="rId2385" xr:uid="{00000000-0004-0000-0200-000050090000}"/>
    <hyperlink ref="B934" r:id="rId2386" xr:uid="{00000000-0004-0000-0200-000051090000}"/>
    <hyperlink ref="C934" r:id="rId2387" xr:uid="{00000000-0004-0000-0200-000052090000}"/>
    <hyperlink ref="A935" r:id="rId2388" xr:uid="{00000000-0004-0000-0200-000053090000}"/>
    <hyperlink ref="B935" r:id="rId2389" xr:uid="{00000000-0004-0000-0200-000054090000}"/>
    <hyperlink ref="C935" r:id="rId2390" xr:uid="{00000000-0004-0000-0200-000055090000}"/>
    <hyperlink ref="A936" r:id="rId2391" xr:uid="{00000000-0004-0000-0200-000056090000}"/>
    <hyperlink ref="B936" r:id="rId2392" xr:uid="{00000000-0004-0000-0200-000057090000}"/>
    <hyperlink ref="C936" r:id="rId2393" xr:uid="{00000000-0004-0000-0200-000058090000}"/>
    <hyperlink ref="A937" r:id="rId2394" xr:uid="{00000000-0004-0000-0200-000059090000}"/>
    <hyperlink ref="B937" r:id="rId2395" xr:uid="{00000000-0004-0000-0200-00005A090000}"/>
    <hyperlink ref="C937" r:id="rId2396" xr:uid="{00000000-0004-0000-0200-00005B090000}"/>
    <hyperlink ref="A938" r:id="rId2397" xr:uid="{00000000-0004-0000-0200-00005C090000}"/>
    <hyperlink ref="B938" r:id="rId2398" xr:uid="{00000000-0004-0000-0200-00005D090000}"/>
    <hyperlink ref="C938" r:id="rId2399" xr:uid="{00000000-0004-0000-0200-00005E090000}"/>
    <hyperlink ref="A939" r:id="rId2400" xr:uid="{00000000-0004-0000-0200-00005F090000}"/>
    <hyperlink ref="B939" r:id="rId2401" xr:uid="{00000000-0004-0000-0200-000060090000}"/>
    <hyperlink ref="C939" r:id="rId2402" xr:uid="{00000000-0004-0000-0200-000061090000}"/>
    <hyperlink ref="A940" r:id="rId2403" xr:uid="{00000000-0004-0000-0200-000062090000}"/>
    <hyperlink ref="B940" r:id="rId2404" xr:uid="{00000000-0004-0000-0200-000063090000}"/>
    <hyperlink ref="C940" r:id="rId2405" xr:uid="{00000000-0004-0000-0200-000064090000}"/>
    <hyperlink ref="A941" r:id="rId2406" xr:uid="{00000000-0004-0000-0200-000065090000}"/>
    <hyperlink ref="B941" r:id="rId2407" xr:uid="{00000000-0004-0000-0200-000066090000}"/>
    <hyperlink ref="C941" r:id="rId2408" xr:uid="{00000000-0004-0000-0200-000067090000}"/>
    <hyperlink ref="A942" r:id="rId2409" xr:uid="{00000000-0004-0000-0200-000068090000}"/>
    <hyperlink ref="B942" r:id="rId2410" xr:uid="{00000000-0004-0000-0200-000069090000}"/>
    <hyperlink ref="C942" r:id="rId2411" xr:uid="{00000000-0004-0000-0200-00006A090000}"/>
    <hyperlink ref="A943" r:id="rId2412" xr:uid="{00000000-0004-0000-0200-00006B090000}"/>
    <hyperlink ref="B943" r:id="rId2413" xr:uid="{00000000-0004-0000-0200-00006C090000}"/>
    <hyperlink ref="C943" r:id="rId2414" xr:uid="{00000000-0004-0000-0200-00006D090000}"/>
    <hyperlink ref="A944" r:id="rId2415" xr:uid="{00000000-0004-0000-0200-00006E090000}"/>
    <hyperlink ref="B944" r:id="rId2416" xr:uid="{00000000-0004-0000-0200-00006F090000}"/>
    <hyperlink ref="C944" r:id="rId2417" xr:uid="{00000000-0004-0000-0200-000070090000}"/>
    <hyperlink ref="A945" r:id="rId2418" xr:uid="{00000000-0004-0000-0200-000071090000}"/>
    <hyperlink ref="B945" r:id="rId2419" xr:uid="{00000000-0004-0000-0200-000072090000}"/>
    <hyperlink ref="C945" r:id="rId2420" xr:uid="{00000000-0004-0000-0200-000073090000}"/>
    <hyperlink ref="A946" r:id="rId2421" xr:uid="{00000000-0004-0000-0200-000074090000}"/>
    <hyperlink ref="B946" r:id="rId2422" xr:uid="{00000000-0004-0000-0200-000075090000}"/>
    <hyperlink ref="C946" r:id="rId2423" xr:uid="{00000000-0004-0000-0200-000076090000}"/>
    <hyperlink ref="A947" r:id="rId2424" xr:uid="{00000000-0004-0000-0200-000077090000}"/>
    <hyperlink ref="B947" r:id="rId2425" xr:uid="{00000000-0004-0000-0200-000078090000}"/>
    <hyperlink ref="C947" r:id="rId2426" xr:uid="{00000000-0004-0000-0200-000079090000}"/>
    <hyperlink ref="A948" r:id="rId2427" xr:uid="{00000000-0004-0000-0200-00007A090000}"/>
    <hyperlink ref="B948" r:id="rId2428" xr:uid="{00000000-0004-0000-0200-00007B090000}"/>
    <hyperlink ref="C948" r:id="rId2429" xr:uid="{00000000-0004-0000-0200-00007C090000}"/>
    <hyperlink ref="A949" r:id="rId2430" xr:uid="{00000000-0004-0000-0200-00007D090000}"/>
    <hyperlink ref="B949" r:id="rId2431" xr:uid="{00000000-0004-0000-0200-00007E090000}"/>
    <hyperlink ref="C949" r:id="rId2432" xr:uid="{00000000-0004-0000-0200-00007F090000}"/>
    <hyperlink ref="A950" r:id="rId2433" xr:uid="{00000000-0004-0000-0200-000080090000}"/>
    <hyperlink ref="B950" r:id="rId2434" xr:uid="{00000000-0004-0000-0200-000081090000}"/>
    <hyperlink ref="C950" r:id="rId2435" xr:uid="{00000000-0004-0000-0200-000082090000}"/>
    <hyperlink ref="A951" r:id="rId2436" xr:uid="{00000000-0004-0000-0200-000083090000}"/>
    <hyperlink ref="B951" r:id="rId2437" xr:uid="{00000000-0004-0000-0200-000084090000}"/>
    <hyperlink ref="C951" r:id="rId2438" xr:uid="{00000000-0004-0000-0200-000085090000}"/>
    <hyperlink ref="A952" r:id="rId2439" xr:uid="{00000000-0004-0000-0200-000086090000}"/>
    <hyperlink ref="B952" r:id="rId2440" xr:uid="{00000000-0004-0000-0200-000087090000}"/>
    <hyperlink ref="C952" r:id="rId2441" xr:uid="{00000000-0004-0000-0200-000088090000}"/>
    <hyperlink ref="A953" r:id="rId2442" xr:uid="{00000000-0004-0000-0200-000089090000}"/>
    <hyperlink ref="B953" r:id="rId2443" xr:uid="{00000000-0004-0000-0200-00008A090000}"/>
    <hyperlink ref="C953" r:id="rId2444" xr:uid="{00000000-0004-0000-0200-00008B090000}"/>
    <hyperlink ref="A954" r:id="rId2445" xr:uid="{00000000-0004-0000-0200-00008C090000}"/>
    <hyperlink ref="B954" r:id="rId2446" xr:uid="{00000000-0004-0000-0200-00008D090000}"/>
    <hyperlink ref="C954" r:id="rId2447" xr:uid="{00000000-0004-0000-0200-00008E090000}"/>
    <hyperlink ref="A955" r:id="rId2448" xr:uid="{00000000-0004-0000-0200-00008F090000}"/>
    <hyperlink ref="B955" r:id="rId2449" xr:uid="{00000000-0004-0000-0200-000090090000}"/>
    <hyperlink ref="C955" r:id="rId2450" xr:uid="{00000000-0004-0000-0200-000091090000}"/>
    <hyperlink ref="A956" r:id="rId2451" xr:uid="{00000000-0004-0000-0200-000092090000}"/>
    <hyperlink ref="B956" r:id="rId2452" xr:uid="{00000000-0004-0000-0200-000093090000}"/>
    <hyperlink ref="C956" r:id="rId2453" xr:uid="{00000000-0004-0000-0200-000094090000}"/>
    <hyperlink ref="A957" r:id="rId2454" xr:uid="{00000000-0004-0000-0200-000095090000}"/>
    <hyperlink ref="B957" r:id="rId2455" xr:uid="{00000000-0004-0000-0200-000096090000}"/>
    <hyperlink ref="C957" r:id="rId2456" xr:uid="{00000000-0004-0000-0200-000097090000}"/>
    <hyperlink ref="A958" r:id="rId2457" xr:uid="{00000000-0004-0000-0200-000098090000}"/>
    <hyperlink ref="B958" r:id="rId2458" xr:uid="{00000000-0004-0000-0200-000099090000}"/>
    <hyperlink ref="C958" r:id="rId2459" xr:uid="{00000000-0004-0000-0200-00009A090000}"/>
    <hyperlink ref="A959" r:id="rId2460" xr:uid="{00000000-0004-0000-0200-00009B090000}"/>
    <hyperlink ref="B959" r:id="rId2461" xr:uid="{00000000-0004-0000-0200-00009C090000}"/>
    <hyperlink ref="C959" r:id="rId2462" xr:uid="{00000000-0004-0000-0200-00009D090000}"/>
    <hyperlink ref="A960" r:id="rId2463" xr:uid="{00000000-0004-0000-0200-00009E090000}"/>
    <hyperlink ref="B960" r:id="rId2464" xr:uid="{00000000-0004-0000-0200-00009F090000}"/>
    <hyperlink ref="C960" r:id="rId2465" xr:uid="{00000000-0004-0000-0200-0000A0090000}"/>
    <hyperlink ref="A961" r:id="rId2466" xr:uid="{00000000-0004-0000-0200-0000A1090000}"/>
    <hyperlink ref="B961" r:id="rId2467" xr:uid="{00000000-0004-0000-0200-0000A2090000}"/>
    <hyperlink ref="C961" r:id="rId2468" xr:uid="{00000000-0004-0000-0200-0000A3090000}"/>
    <hyperlink ref="A962" r:id="rId2469" xr:uid="{00000000-0004-0000-0200-0000A4090000}"/>
    <hyperlink ref="B962" r:id="rId2470" xr:uid="{00000000-0004-0000-0200-0000A5090000}"/>
    <hyperlink ref="C962" r:id="rId2471" xr:uid="{00000000-0004-0000-0200-0000A6090000}"/>
    <hyperlink ref="A963" r:id="rId2472" xr:uid="{00000000-0004-0000-0200-0000A7090000}"/>
    <hyperlink ref="B963" r:id="rId2473" xr:uid="{00000000-0004-0000-0200-0000A8090000}"/>
    <hyperlink ref="C963" r:id="rId2474" xr:uid="{00000000-0004-0000-0200-0000A9090000}"/>
    <hyperlink ref="A964" r:id="rId2475" xr:uid="{00000000-0004-0000-0200-0000AA090000}"/>
    <hyperlink ref="B964" r:id="rId2476" xr:uid="{00000000-0004-0000-0200-0000AB090000}"/>
    <hyperlink ref="C964" r:id="rId2477" xr:uid="{00000000-0004-0000-0200-0000AC090000}"/>
    <hyperlink ref="A965" r:id="rId2478" xr:uid="{00000000-0004-0000-0200-0000AD090000}"/>
    <hyperlink ref="B965" r:id="rId2479" xr:uid="{00000000-0004-0000-0200-0000AE090000}"/>
    <hyperlink ref="C965" r:id="rId2480" xr:uid="{00000000-0004-0000-0200-0000AF090000}"/>
    <hyperlink ref="A966" r:id="rId2481" xr:uid="{00000000-0004-0000-0200-0000B0090000}"/>
    <hyperlink ref="B966" r:id="rId2482" xr:uid="{00000000-0004-0000-0200-0000B1090000}"/>
    <hyperlink ref="C966" r:id="rId2483" xr:uid="{00000000-0004-0000-0200-0000B2090000}"/>
    <hyperlink ref="A967" r:id="rId2484" xr:uid="{00000000-0004-0000-0200-0000B3090000}"/>
    <hyperlink ref="B967" r:id="rId2485" xr:uid="{00000000-0004-0000-0200-0000B4090000}"/>
    <hyperlink ref="C967" r:id="rId2486" xr:uid="{00000000-0004-0000-0200-0000B5090000}"/>
    <hyperlink ref="A968" r:id="rId2487" xr:uid="{00000000-0004-0000-0200-0000B6090000}"/>
    <hyperlink ref="B968" r:id="rId2488" xr:uid="{00000000-0004-0000-0200-0000B7090000}"/>
    <hyperlink ref="C968" r:id="rId2489" xr:uid="{00000000-0004-0000-0200-0000B8090000}"/>
    <hyperlink ref="A969" r:id="rId2490" xr:uid="{00000000-0004-0000-0200-0000B9090000}"/>
    <hyperlink ref="B969" r:id="rId2491" xr:uid="{00000000-0004-0000-0200-0000BA090000}"/>
    <hyperlink ref="C969" r:id="rId2492" xr:uid="{00000000-0004-0000-0200-0000BB090000}"/>
    <hyperlink ref="A970" r:id="rId2493" xr:uid="{00000000-0004-0000-0200-0000BC090000}"/>
    <hyperlink ref="B970" r:id="rId2494" xr:uid="{00000000-0004-0000-0200-0000BD090000}"/>
    <hyperlink ref="C970" r:id="rId2495" xr:uid="{00000000-0004-0000-0200-0000BE090000}"/>
    <hyperlink ref="A971" r:id="rId2496" xr:uid="{00000000-0004-0000-0200-0000BF090000}"/>
    <hyperlink ref="B971" r:id="rId2497" xr:uid="{00000000-0004-0000-0200-0000C0090000}"/>
    <hyperlink ref="C971" r:id="rId2498" xr:uid="{00000000-0004-0000-0200-0000C1090000}"/>
    <hyperlink ref="A972" r:id="rId2499" xr:uid="{00000000-0004-0000-0200-0000C2090000}"/>
    <hyperlink ref="B972" r:id="rId2500" xr:uid="{00000000-0004-0000-0200-0000C3090000}"/>
    <hyperlink ref="C972" r:id="rId2501" xr:uid="{00000000-0004-0000-0200-0000C4090000}"/>
    <hyperlink ref="A973" r:id="rId2502" xr:uid="{00000000-0004-0000-0200-0000C5090000}"/>
    <hyperlink ref="B973" r:id="rId2503" xr:uid="{00000000-0004-0000-0200-0000C6090000}"/>
    <hyperlink ref="C973" r:id="rId2504" xr:uid="{00000000-0004-0000-0200-0000C7090000}"/>
    <hyperlink ref="A974" r:id="rId2505" xr:uid="{00000000-0004-0000-0200-0000C8090000}"/>
    <hyperlink ref="B974" r:id="rId2506" xr:uid="{00000000-0004-0000-0200-0000C9090000}"/>
    <hyperlink ref="C974" r:id="rId2507" xr:uid="{00000000-0004-0000-0200-0000CA090000}"/>
    <hyperlink ref="A975" r:id="rId2508" xr:uid="{00000000-0004-0000-0200-0000CB090000}"/>
    <hyperlink ref="B975" r:id="rId2509" xr:uid="{00000000-0004-0000-0200-0000CC090000}"/>
    <hyperlink ref="C975" r:id="rId2510" xr:uid="{00000000-0004-0000-0200-0000CD090000}"/>
    <hyperlink ref="A976" r:id="rId2511" xr:uid="{00000000-0004-0000-0200-0000CE090000}"/>
    <hyperlink ref="B976" r:id="rId2512" xr:uid="{00000000-0004-0000-0200-0000CF090000}"/>
    <hyperlink ref="C976" r:id="rId2513" xr:uid="{00000000-0004-0000-0200-0000D0090000}"/>
    <hyperlink ref="A977" r:id="rId2514" xr:uid="{00000000-0004-0000-0200-0000D1090000}"/>
    <hyperlink ref="B977" r:id="rId2515" xr:uid="{00000000-0004-0000-0200-0000D2090000}"/>
    <hyperlink ref="C977" r:id="rId2516" xr:uid="{00000000-0004-0000-0200-0000D3090000}"/>
    <hyperlink ref="A978" r:id="rId2517" xr:uid="{00000000-0004-0000-0200-0000D4090000}"/>
    <hyperlink ref="B978" r:id="rId2518" xr:uid="{00000000-0004-0000-0200-0000D5090000}"/>
    <hyperlink ref="C978" r:id="rId2519" xr:uid="{00000000-0004-0000-0200-0000D6090000}"/>
    <hyperlink ref="A979" r:id="rId2520" xr:uid="{00000000-0004-0000-0200-0000D7090000}"/>
    <hyperlink ref="B979" r:id="rId2521" xr:uid="{00000000-0004-0000-0200-0000D8090000}"/>
    <hyperlink ref="C979" r:id="rId2522" xr:uid="{00000000-0004-0000-0200-0000D9090000}"/>
    <hyperlink ref="A980" r:id="rId2523" xr:uid="{00000000-0004-0000-0200-0000DA090000}"/>
    <hyperlink ref="B980" r:id="rId2524" xr:uid="{00000000-0004-0000-0200-0000DB090000}"/>
    <hyperlink ref="C980" r:id="rId2525" xr:uid="{00000000-0004-0000-0200-0000DC090000}"/>
    <hyperlink ref="A981" r:id="rId2526" xr:uid="{00000000-0004-0000-0200-0000DD090000}"/>
    <hyperlink ref="B981" r:id="rId2527" xr:uid="{00000000-0004-0000-0200-0000DE090000}"/>
    <hyperlink ref="C981" r:id="rId2528" xr:uid="{00000000-0004-0000-0200-0000DF090000}"/>
    <hyperlink ref="A982" r:id="rId2529" xr:uid="{00000000-0004-0000-0200-0000E0090000}"/>
    <hyperlink ref="B982" r:id="rId2530" xr:uid="{00000000-0004-0000-0200-0000E1090000}"/>
    <hyperlink ref="C982" r:id="rId2531" xr:uid="{00000000-0004-0000-0200-0000E2090000}"/>
    <hyperlink ref="A983" r:id="rId2532" xr:uid="{00000000-0004-0000-0200-0000E3090000}"/>
    <hyperlink ref="B983" r:id="rId2533" xr:uid="{00000000-0004-0000-0200-0000E4090000}"/>
    <hyperlink ref="C983" r:id="rId2534" xr:uid="{00000000-0004-0000-0200-0000E5090000}"/>
    <hyperlink ref="A984" r:id="rId2535" xr:uid="{00000000-0004-0000-0200-0000E6090000}"/>
    <hyperlink ref="B984" r:id="rId2536" xr:uid="{00000000-0004-0000-0200-0000E7090000}"/>
    <hyperlink ref="C984" r:id="rId2537" xr:uid="{00000000-0004-0000-0200-0000E8090000}"/>
    <hyperlink ref="A985" r:id="rId2538" xr:uid="{00000000-0004-0000-0200-0000E9090000}"/>
    <hyperlink ref="B985" r:id="rId2539" xr:uid="{00000000-0004-0000-0200-0000EA090000}"/>
    <hyperlink ref="C985" r:id="rId2540" xr:uid="{00000000-0004-0000-0200-0000EB090000}"/>
    <hyperlink ref="A986" r:id="rId2541" xr:uid="{00000000-0004-0000-0200-0000EC090000}"/>
    <hyperlink ref="B986" r:id="rId2542" xr:uid="{00000000-0004-0000-0200-0000ED090000}"/>
    <hyperlink ref="C986" r:id="rId2543" xr:uid="{00000000-0004-0000-0200-0000EE090000}"/>
    <hyperlink ref="A987" r:id="rId2544" xr:uid="{00000000-0004-0000-0200-0000EF090000}"/>
    <hyperlink ref="B987" r:id="rId2545" xr:uid="{00000000-0004-0000-0200-0000F0090000}"/>
    <hyperlink ref="C987" r:id="rId2546" xr:uid="{00000000-0004-0000-0200-0000F1090000}"/>
    <hyperlink ref="A988" r:id="rId2547" xr:uid="{00000000-0004-0000-0200-0000F2090000}"/>
    <hyperlink ref="B988" r:id="rId2548" xr:uid="{00000000-0004-0000-0200-0000F3090000}"/>
    <hyperlink ref="C988" r:id="rId2549" xr:uid="{00000000-0004-0000-0200-0000F4090000}"/>
    <hyperlink ref="A989" r:id="rId2550" xr:uid="{00000000-0004-0000-0200-0000F5090000}"/>
    <hyperlink ref="B989" r:id="rId2551" xr:uid="{00000000-0004-0000-0200-0000F6090000}"/>
    <hyperlink ref="C989" r:id="rId2552" xr:uid="{00000000-0004-0000-0200-0000F7090000}"/>
    <hyperlink ref="A990" r:id="rId2553" xr:uid="{00000000-0004-0000-0200-0000F8090000}"/>
    <hyperlink ref="B990" r:id="rId2554" xr:uid="{00000000-0004-0000-0200-0000F9090000}"/>
    <hyperlink ref="C990" r:id="rId2555" xr:uid="{00000000-0004-0000-0200-0000FA090000}"/>
    <hyperlink ref="A991" r:id="rId2556" xr:uid="{00000000-0004-0000-0200-0000FB090000}"/>
    <hyperlink ref="B991" r:id="rId2557" xr:uid="{00000000-0004-0000-0200-0000FC090000}"/>
    <hyperlink ref="C991" r:id="rId2558" xr:uid="{00000000-0004-0000-0200-0000FD090000}"/>
    <hyperlink ref="A992" r:id="rId2559" xr:uid="{00000000-0004-0000-0200-0000FE090000}"/>
    <hyperlink ref="B992" r:id="rId2560" xr:uid="{00000000-0004-0000-0200-0000FF090000}"/>
    <hyperlink ref="C992" r:id="rId2561" xr:uid="{00000000-0004-0000-0200-0000000A0000}"/>
    <hyperlink ref="A993" r:id="rId2562" xr:uid="{00000000-0004-0000-0200-0000010A0000}"/>
    <hyperlink ref="B993" r:id="rId2563" xr:uid="{00000000-0004-0000-0200-0000020A0000}"/>
    <hyperlink ref="C993" r:id="rId2564" xr:uid="{00000000-0004-0000-0200-0000030A0000}"/>
    <hyperlink ref="A994" r:id="rId2565" xr:uid="{00000000-0004-0000-0200-0000040A0000}"/>
    <hyperlink ref="B994" r:id="rId2566" xr:uid="{00000000-0004-0000-0200-0000050A0000}"/>
    <hyperlink ref="C994" r:id="rId2567" xr:uid="{00000000-0004-0000-0200-0000060A0000}"/>
    <hyperlink ref="A995" r:id="rId2568" xr:uid="{00000000-0004-0000-0200-0000070A0000}"/>
    <hyperlink ref="B995" r:id="rId2569" xr:uid="{00000000-0004-0000-0200-0000080A0000}"/>
    <hyperlink ref="C995" r:id="rId2570" xr:uid="{00000000-0004-0000-0200-0000090A0000}"/>
    <hyperlink ref="A996" r:id="rId2571" xr:uid="{00000000-0004-0000-0200-00000A0A0000}"/>
    <hyperlink ref="B996" r:id="rId2572" xr:uid="{00000000-0004-0000-0200-00000B0A0000}"/>
    <hyperlink ref="C996" r:id="rId2573" xr:uid="{00000000-0004-0000-0200-00000C0A0000}"/>
    <hyperlink ref="A997" r:id="rId2574" xr:uid="{00000000-0004-0000-0200-00000D0A0000}"/>
    <hyperlink ref="B997" r:id="rId2575" xr:uid="{00000000-0004-0000-0200-00000E0A0000}"/>
    <hyperlink ref="C997" r:id="rId2576" xr:uid="{00000000-0004-0000-0200-00000F0A0000}"/>
    <hyperlink ref="A998" r:id="rId2577" xr:uid="{00000000-0004-0000-0200-0000100A0000}"/>
    <hyperlink ref="B998" r:id="rId2578" xr:uid="{00000000-0004-0000-0200-0000110A0000}"/>
    <hyperlink ref="C998" r:id="rId2579" xr:uid="{00000000-0004-0000-0200-0000120A0000}"/>
    <hyperlink ref="A999" r:id="rId2580" xr:uid="{00000000-0004-0000-0200-0000130A0000}"/>
    <hyperlink ref="B999" r:id="rId2581" xr:uid="{00000000-0004-0000-0200-0000140A0000}"/>
    <hyperlink ref="C999" r:id="rId2582" xr:uid="{00000000-0004-0000-0200-0000150A0000}"/>
    <hyperlink ref="A1000" r:id="rId2583" xr:uid="{00000000-0004-0000-0200-0000160A0000}"/>
    <hyperlink ref="B1000" r:id="rId2584" xr:uid="{00000000-0004-0000-0200-0000170A0000}"/>
    <hyperlink ref="C1000" r:id="rId2585" xr:uid="{00000000-0004-0000-0200-0000180A0000}"/>
    <hyperlink ref="A1001" r:id="rId2586" xr:uid="{00000000-0004-0000-0200-0000190A0000}"/>
    <hyperlink ref="B1001" r:id="rId2587" xr:uid="{00000000-0004-0000-0200-00001A0A0000}"/>
    <hyperlink ref="C1001" r:id="rId2588" xr:uid="{00000000-0004-0000-0200-00001B0A0000}"/>
    <hyperlink ref="A1002" r:id="rId2589" xr:uid="{00000000-0004-0000-0200-00001C0A0000}"/>
    <hyperlink ref="B1002" r:id="rId2590" xr:uid="{00000000-0004-0000-0200-00001D0A0000}"/>
    <hyperlink ref="C1002" r:id="rId2591" xr:uid="{00000000-0004-0000-0200-00001E0A0000}"/>
    <hyperlink ref="A1003" r:id="rId2592" xr:uid="{00000000-0004-0000-0200-00001F0A0000}"/>
    <hyperlink ref="B1003" r:id="rId2593" xr:uid="{00000000-0004-0000-0200-0000200A0000}"/>
    <hyperlink ref="C1003" r:id="rId2594" xr:uid="{00000000-0004-0000-0200-0000210A0000}"/>
    <hyperlink ref="A1004" r:id="rId2595" xr:uid="{00000000-0004-0000-0200-0000220A0000}"/>
    <hyperlink ref="B1004" r:id="rId2596" xr:uid="{00000000-0004-0000-0200-0000230A0000}"/>
    <hyperlink ref="C1004" r:id="rId2597" xr:uid="{00000000-0004-0000-0200-0000240A0000}"/>
    <hyperlink ref="A1005" r:id="rId2598" xr:uid="{00000000-0004-0000-0200-0000250A0000}"/>
    <hyperlink ref="B1005" r:id="rId2599" xr:uid="{00000000-0004-0000-0200-0000260A0000}"/>
    <hyperlink ref="C1005" r:id="rId2600" xr:uid="{00000000-0004-0000-0200-0000270A0000}"/>
    <hyperlink ref="A1006" r:id="rId2601" xr:uid="{00000000-0004-0000-0200-0000280A0000}"/>
    <hyperlink ref="B1006" r:id="rId2602" xr:uid="{00000000-0004-0000-0200-0000290A0000}"/>
    <hyperlink ref="C1006" r:id="rId2603" xr:uid="{00000000-0004-0000-0200-00002A0A0000}"/>
    <hyperlink ref="A1007" r:id="rId2604" xr:uid="{00000000-0004-0000-0200-00002B0A0000}"/>
    <hyperlink ref="B1007" r:id="rId2605" xr:uid="{00000000-0004-0000-0200-00002C0A0000}"/>
    <hyperlink ref="C1007" r:id="rId2606" xr:uid="{00000000-0004-0000-0200-00002D0A0000}"/>
    <hyperlink ref="A1008" r:id="rId2607" xr:uid="{00000000-0004-0000-0200-00002E0A0000}"/>
    <hyperlink ref="B1008" r:id="rId2608" xr:uid="{00000000-0004-0000-0200-00002F0A0000}"/>
    <hyperlink ref="C1008" r:id="rId2609" xr:uid="{00000000-0004-0000-0200-0000300A0000}"/>
    <hyperlink ref="A1009" r:id="rId2610" xr:uid="{00000000-0004-0000-0200-0000310A0000}"/>
    <hyperlink ref="B1009" r:id="rId2611" xr:uid="{00000000-0004-0000-0200-0000320A0000}"/>
    <hyperlink ref="C1009" r:id="rId2612" xr:uid="{00000000-0004-0000-0200-0000330A0000}"/>
    <hyperlink ref="A1010" r:id="rId2613" xr:uid="{00000000-0004-0000-0200-0000340A0000}"/>
    <hyperlink ref="B1010" r:id="rId2614" xr:uid="{00000000-0004-0000-0200-0000350A0000}"/>
    <hyperlink ref="C1010" r:id="rId2615" xr:uid="{00000000-0004-0000-0200-0000360A0000}"/>
    <hyperlink ref="A1011" r:id="rId2616" xr:uid="{00000000-0004-0000-0200-0000370A0000}"/>
    <hyperlink ref="B1011" r:id="rId2617" xr:uid="{00000000-0004-0000-0200-0000380A0000}"/>
    <hyperlink ref="C1011" r:id="rId2618" xr:uid="{00000000-0004-0000-0200-0000390A0000}"/>
    <hyperlink ref="A1012" r:id="rId2619" xr:uid="{00000000-0004-0000-0200-00003A0A0000}"/>
    <hyperlink ref="B1012" r:id="rId2620" xr:uid="{00000000-0004-0000-0200-00003B0A0000}"/>
    <hyperlink ref="C1012" r:id="rId2621" xr:uid="{00000000-0004-0000-0200-00003C0A0000}"/>
    <hyperlink ref="A1013" r:id="rId2622" xr:uid="{00000000-0004-0000-0200-00003D0A0000}"/>
    <hyperlink ref="B1013" r:id="rId2623" xr:uid="{00000000-0004-0000-0200-00003E0A0000}"/>
    <hyperlink ref="C1013" r:id="rId2624" xr:uid="{00000000-0004-0000-0200-00003F0A0000}"/>
    <hyperlink ref="A1014" r:id="rId2625" xr:uid="{00000000-0004-0000-0200-0000400A0000}"/>
    <hyperlink ref="B1014" r:id="rId2626" xr:uid="{00000000-0004-0000-0200-0000410A0000}"/>
    <hyperlink ref="C1014" r:id="rId2627" xr:uid="{00000000-0004-0000-0200-0000420A0000}"/>
    <hyperlink ref="A1015" r:id="rId2628" xr:uid="{00000000-0004-0000-0200-0000430A0000}"/>
    <hyperlink ref="B1015" r:id="rId2629" xr:uid="{00000000-0004-0000-0200-0000440A0000}"/>
    <hyperlink ref="C1015" r:id="rId2630" xr:uid="{00000000-0004-0000-0200-0000450A0000}"/>
    <hyperlink ref="A1016" r:id="rId2631" xr:uid="{00000000-0004-0000-0200-0000460A0000}"/>
    <hyperlink ref="B1016" r:id="rId2632" xr:uid="{00000000-0004-0000-0200-0000470A0000}"/>
    <hyperlink ref="C1016" r:id="rId2633" xr:uid="{00000000-0004-0000-0200-0000480A0000}"/>
    <hyperlink ref="A1017" r:id="rId2634" xr:uid="{00000000-0004-0000-0200-0000490A0000}"/>
    <hyperlink ref="B1017" r:id="rId2635" xr:uid="{00000000-0004-0000-0200-00004A0A0000}"/>
    <hyperlink ref="C1017" r:id="rId2636" xr:uid="{00000000-0004-0000-0200-00004B0A0000}"/>
    <hyperlink ref="A1018" r:id="rId2637" xr:uid="{00000000-0004-0000-0200-00004C0A0000}"/>
    <hyperlink ref="B1018" r:id="rId2638" xr:uid="{00000000-0004-0000-0200-00004D0A0000}"/>
    <hyperlink ref="C1018" r:id="rId2639" xr:uid="{00000000-0004-0000-0200-00004E0A0000}"/>
    <hyperlink ref="A1019" r:id="rId2640" xr:uid="{00000000-0004-0000-0200-00004F0A0000}"/>
    <hyperlink ref="B1019" r:id="rId2641" xr:uid="{00000000-0004-0000-0200-0000500A0000}"/>
    <hyperlink ref="C1019" r:id="rId2642" xr:uid="{00000000-0004-0000-0200-0000510A0000}"/>
    <hyperlink ref="A1020" r:id="rId2643" xr:uid="{00000000-0004-0000-0200-0000520A0000}"/>
    <hyperlink ref="B1020" r:id="rId2644" xr:uid="{00000000-0004-0000-0200-0000530A0000}"/>
    <hyperlink ref="C1020" r:id="rId2645" xr:uid="{00000000-0004-0000-0200-0000540A0000}"/>
    <hyperlink ref="A1021" r:id="rId2646" xr:uid="{00000000-0004-0000-0200-0000550A0000}"/>
    <hyperlink ref="B1021" r:id="rId2647" xr:uid="{00000000-0004-0000-0200-0000560A0000}"/>
    <hyperlink ref="C1021" r:id="rId2648" xr:uid="{00000000-0004-0000-0200-0000570A0000}"/>
    <hyperlink ref="A1022" r:id="rId2649" xr:uid="{00000000-0004-0000-0200-0000580A0000}"/>
    <hyperlink ref="B1022" r:id="rId2650" xr:uid="{00000000-0004-0000-0200-0000590A0000}"/>
    <hyperlink ref="C1022" r:id="rId2651" xr:uid="{00000000-0004-0000-0200-00005A0A0000}"/>
    <hyperlink ref="A1023" r:id="rId2652" xr:uid="{00000000-0004-0000-0200-00005B0A0000}"/>
    <hyperlink ref="B1023" r:id="rId2653" xr:uid="{00000000-0004-0000-0200-00005C0A0000}"/>
    <hyperlink ref="C1023" r:id="rId2654" xr:uid="{00000000-0004-0000-0200-00005D0A0000}"/>
    <hyperlink ref="A1024" r:id="rId2655" xr:uid="{00000000-0004-0000-0200-00005E0A0000}"/>
    <hyperlink ref="B1024" r:id="rId2656" xr:uid="{00000000-0004-0000-0200-00005F0A0000}"/>
    <hyperlink ref="C1024" r:id="rId2657" xr:uid="{00000000-0004-0000-0200-0000600A0000}"/>
    <hyperlink ref="A1025" r:id="rId2658" xr:uid="{00000000-0004-0000-0200-0000610A0000}"/>
    <hyperlink ref="B1025" r:id="rId2659" xr:uid="{00000000-0004-0000-0200-0000620A0000}"/>
    <hyperlink ref="C1025" r:id="rId2660" xr:uid="{00000000-0004-0000-0200-0000630A0000}"/>
    <hyperlink ref="A1026" r:id="rId2661" xr:uid="{00000000-0004-0000-0200-0000640A0000}"/>
    <hyperlink ref="B1026" r:id="rId2662" xr:uid="{00000000-0004-0000-0200-0000650A0000}"/>
    <hyperlink ref="C1026" r:id="rId2663" xr:uid="{00000000-0004-0000-0200-0000660A0000}"/>
    <hyperlink ref="A1027" r:id="rId2664" xr:uid="{00000000-0004-0000-0200-0000670A0000}"/>
    <hyperlink ref="B1027" r:id="rId2665" xr:uid="{00000000-0004-0000-0200-0000680A0000}"/>
    <hyperlink ref="C1027" r:id="rId2666" xr:uid="{00000000-0004-0000-0200-0000690A0000}"/>
    <hyperlink ref="A1028" r:id="rId2667" xr:uid="{00000000-0004-0000-0200-00006A0A0000}"/>
    <hyperlink ref="B1028" r:id="rId2668" xr:uid="{00000000-0004-0000-0200-00006B0A0000}"/>
    <hyperlink ref="C1028" r:id="rId2669" xr:uid="{00000000-0004-0000-0200-00006C0A0000}"/>
    <hyperlink ref="A1029" r:id="rId2670" xr:uid="{00000000-0004-0000-0200-00006D0A0000}"/>
    <hyperlink ref="B1029" r:id="rId2671" xr:uid="{00000000-0004-0000-0200-00006E0A0000}"/>
    <hyperlink ref="C1029" r:id="rId2672" xr:uid="{00000000-0004-0000-0200-00006F0A0000}"/>
    <hyperlink ref="A1030" r:id="rId2673" xr:uid="{00000000-0004-0000-0200-0000700A0000}"/>
    <hyperlink ref="B1030" r:id="rId2674" xr:uid="{00000000-0004-0000-0200-0000710A0000}"/>
    <hyperlink ref="C1030" r:id="rId2675" xr:uid="{00000000-0004-0000-0200-0000720A0000}"/>
    <hyperlink ref="A1031" r:id="rId2676" xr:uid="{00000000-0004-0000-0200-0000730A0000}"/>
    <hyperlink ref="B1031" r:id="rId2677" xr:uid="{00000000-0004-0000-0200-0000740A0000}"/>
    <hyperlink ref="C1031" r:id="rId2678" xr:uid="{00000000-0004-0000-0200-0000750A0000}"/>
    <hyperlink ref="A1032" r:id="rId2679" xr:uid="{00000000-0004-0000-0200-0000760A0000}"/>
    <hyperlink ref="B1032" r:id="rId2680" xr:uid="{00000000-0004-0000-0200-0000770A0000}"/>
    <hyperlink ref="C1032" r:id="rId2681" xr:uid="{00000000-0004-0000-0200-0000780A0000}"/>
    <hyperlink ref="A1033" r:id="rId2682" xr:uid="{00000000-0004-0000-0200-0000790A0000}"/>
    <hyperlink ref="B1033" r:id="rId2683" xr:uid="{00000000-0004-0000-0200-00007A0A0000}"/>
    <hyperlink ref="C1033" r:id="rId2684" xr:uid="{00000000-0004-0000-0200-00007B0A0000}"/>
    <hyperlink ref="A1034" r:id="rId2685" xr:uid="{00000000-0004-0000-0200-00007C0A0000}"/>
    <hyperlink ref="B1034" r:id="rId2686" xr:uid="{00000000-0004-0000-0200-00007D0A0000}"/>
    <hyperlink ref="C1034" r:id="rId2687" xr:uid="{00000000-0004-0000-0200-00007E0A0000}"/>
    <hyperlink ref="A1035" r:id="rId2688" xr:uid="{00000000-0004-0000-0200-00007F0A0000}"/>
    <hyperlink ref="B1035" r:id="rId2689" xr:uid="{00000000-0004-0000-0200-0000800A0000}"/>
    <hyperlink ref="C1035" r:id="rId2690" xr:uid="{00000000-0004-0000-0200-0000810A0000}"/>
    <hyperlink ref="A1036" r:id="rId2691" xr:uid="{00000000-0004-0000-0200-0000820A0000}"/>
    <hyperlink ref="B1036" r:id="rId2692" xr:uid="{00000000-0004-0000-0200-0000830A0000}"/>
    <hyperlink ref="C1036" r:id="rId2693" xr:uid="{00000000-0004-0000-0200-0000840A0000}"/>
    <hyperlink ref="A1037" r:id="rId2694" xr:uid="{00000000-0004-0000-0200-0000850A0000}"/>
    <hyperlink ref="B1037" r:id="rId2695" xr:uid="{00000000-0004-0000-0200-0000860A0000}"/>
    <hyperlink ref="C1037" r:id="rId2696" xr:uid="{00000000-0004-0000-0200-0000870A0000}"/>
    <hyperlink ref="A1038" r:id="rId2697" xr:uid="{00000000-0004-0000-0200-0000880A0000}"/>
    <hyperlink ref="B1038" r:id="rId2698" xr:uid="{00000000-0004-0000-0200-0000890A0000}"/>
    <hyperlink ref="C1038" r:id="rId2699" xr:uid="{00000000-0004-0000-0200-00008A0A0000}"/>
    <hyperlink ref="A1039" r:id="rId2700" xr:uid="{00000000-0004-0000-0200-00008B0A0000}"/>
    <hyperlink ref="B1039" r:id="rId2701" xr:uid="{00000000-0004-0000-0200-00008C0A0000}"/>
    <hyperlink ref="C1039" r:id="rId2702" xr:uid="{00000000-0004-0000-0200-00008D0A0000}"/>
    <hyperlink ref="A1040" r:id="rId2703" xr:uid="{00000000-0004-0000-0200-00008E0A0000}"/>
    <hyperlink ref="B1040" r:id="rId2704" xr:uid="{00000000-0004-0000-0200-00008F0A0000}"/>
    <hyperlink ref="C1040" r:id="rId2705" xr:uid="{00000000-0004-0000-0200-0000900A0000}"/>
    <hyperlink ref="A1041" r:id="rId2706" xr:uid="{00000000-0004-0000-0200-0000910A0000}"/>
    <hyperlink ref="B1041" r:id="rId2707" xr:uid="{00000000-0004-0000-0200-0000920A0000}"/>
    <hyperlink ref="C1041" r:id="rId2708" xr:uid="{00000000-0004-0000-0200-0000930A0000}"/>
    <hyperlink ref="A1042" r:id="rId2709" xr:uid="{00000000-0004-0000-0200-0000940A0000}"/>
    <hyperlink ref="B1042" r:id="rId2710" xr:uid="{00000000-0004-0000-0200-0000950A0000}"/>
    <hyperlink ref="C1042" r:id="rId2711" xr:uid="{00000000-0004-0000-0200-0000960A0000}"/>
    <hyperlink ref="A1043" r:id="rId2712" xr:uid="{00000000-0004-0000-0200-0000970A0000}"/>
    <hyperlink ref="B1043" r:id="rId2713" xr:uid="{00000000-0004-0000-0200-0000980A0000}"/>
    <hyperlink ref="C1043" r:id="rId2714" xr:uid="{00000000-0004-0000-0200-0000990A0000}"/>
    <hyperlink ref="A1044" r:id="rId2715" xr:uid="{00000000-0004-0000-0200-00009A0A0000}"/>
    <hyperlink ref="B1044" r:id="rId2716" xr:uid="{00000000-0004-0000-0200-00009B0A0000}"/>
    <hyperlink ref="C1044" r:id="rId2717" xr:uid="{00000000-0004-0000-0200-00009C0A0000}"/>
    <hyperlink ref="A1045" r:id="rId2718" xr:uid="{00000000-0004-0000-0200-00009D0A0000}"/>
    <hyperlink ref="B1045" r:id="rId2719" xr:uid="{00000000-0004-0000-0200-00009E0A0000}"/>
    <hyperlink ref="C1045" r:id="rId2720" xr:uid="{00000000-0004-0000-0200-00009F0A0000}"/>
    <hyperlink ref="A1046" r:id="rId2721" xr:uid="{00000000-0004-0000-0200-0000A00A0000}"/>
    <hyperlink ref="B1046" r:id="rId2722" xr:uid="{00000000-0004-0000-0200-0000A10A0000}"/>
    <hyperlink ref="C1046" r:id="rId2723" xr:uid="{00000000-0004-0000-0200-0000A20A0000}"/>
    <hyperlink ref="A1047" r:id="rId2724" xr:uid="{00000000-0004-0000-0200-0000A30A0000}"/>
    <hyperlink ref="B1047" r:id="rId2725" xr:uid="{00000000-0004-0000-0200-0000A40A0000}"/>
    <hyperlink ref="C1047" r:id="rId2726" xr:uid="{00000000-0004-0000-0200-0000A50A0000}"/>
    <hyperlink ref="A1048" r:id="rId2727" xr:uid="{00000000-0004-0000-0200-0000A60A0000}"/>
    <hyperlink ref="B1048" r:id="rId2728" xr:uid="{00000000-0004-0000-0200-0000A70A0000}"/>
    <hyperlink ref="C1048" r:id="rId2729" xr:uid="{00000000-0004-0000-0200-0000A80A0000}"/>
    <hyperlink ref="A1049" r:id="rId2730" xr:uid="{00000000-0004-0000-0200-0000A90A0000}"/>
    <hyperlink ref="B1049" r:id="rId2731" xr:uid="{00000000-0004-0000-0200-0000AA0A0000}"/>
    <hyperlink ref="C1049" r:id="rId2732" xr:uid="{00000000-0004-0000-0200-0000AB0A0000}"/>
    <hyperlink ref="A1050" r:id="rId2733" xr:uid="{00000000-0004-0000-0200-0000AC0A0000}"/>
    <hyperlink ref="B1050" r:id="rId2734" xr:uid="{00000000-0004-0000-0200-0000AD0A0000}"/>
    <hyperlink ref="C1050" r:id="rId2735" xr:uid="{00000000-0004-0000-0200-0000AE0A0000}"/>
    <hyperlink ref="A1051" r:id="rId2736" xr:uid="{00000000-0004-0000-0200-0000AF0A0000}"/>
    <hyperlink ref="B1051" r:id="rId2737" xr:uid="{00000000-0004-0000-0200-0000B00A0000}"/>
    <hyperlink ref="C1051" r:id="rId2738" xr:uid="{00000000-0004-0000-0200-0000B10A0000}"/>
    <hyperlink ref="A1052" r:id="rId2739" xr:uid="{00000000-0004-0000-0200-0000B20A0000}"/>
    <hyperlink ref="B1052" r:id="rId2740" xr:uid="{00000000-0004-0000-0200-0000B30A0000}"/>
    <hyperlink ref="C1052" r:id="rId2741" xr:uid="{00000000-0004-0000-0200-0000B40A0000}"/>
    <hyperlink ref="A1053" r:id="rId2742" xr:uid="{00000000-0004-0000-0200-0000B50A0000}"/>
    <hyperlink ref="B1053" r:id="rId2743" xr:uid="{00000000-0004-0000-0200-0000B60A0000}"/>
    <hyperlink ref="C1053" r:id="rId2744" xr:uid="{00000000-0004-0000-0200-0000B70A0000}"/>
    <hyperlink ref="A1054" r:id="rId2745" xr:uid="{00000000-0004-0000-0200-0000B80A0000}"/>
    <hyperlink ref="B1054" r:id="rId2746" xr:uid="{00000000-0004-0000-0200-0000B90A0000}"/>
    <hyperlink ref="C1054" r:id="rId2747" xr:uid="{00000000-0004-0000-0200-0000BA0A0000}"/>
    <hyperlink ref="A1055" r:id="rId2748" xr:uid="{00000000-0004-0000-0200-0000BB0A0000}"/>
    <hyperlink ref="B1055" r:id="rId2749" xr:uid="{00000000-0004-0000-0200-0000BC0A0000}"/>
    <hyperlink ref="C1055" r:id="rId2750" xr:uid="{00000000-0004-0000-0200-0000BD0A0000}"/>
    <hyperlink ref="A1056" r:id="rId2751" xr:uid="{00000000-0004-0000-0200-0000BE0A0000}"/>
    <hyperlink ref="B1056" r:id="rId2752" xr:uid="{00000000-0004-0000-0200-0000BF0A0000}"/>
    <hyperlink ref="C1056" r:id="rId2753" xr:uid="{00000000-0004-0000-0200-0000C00A0000}"/>
    <hyperlink ref="A1057" r:id="rId2754" xr:uid="{00000000-0004-0000-0200-0000C10A0000}"/>
    <hyperlink ref="B1057" r:id="rId2755" xr:uid="{00000000-0004-0000-0200-0000C20A0000}"/>
    <hyperlink ref="C1057" r:id="rId2756" xr:uid="{00000000-0004-0000-0200-0000C30A0000}"/>
    <hyperlink ref="A1058" r:id="rId2757" xr:uid="{00000000-0004-0000-0200-0000C40A0000}"/>
    <hyperlink ref="B1058" r:id="rId2758" xr:uid="{00000000-0004-0000-0200-0000C50A0000}"/>
    <hyperlink ref="C1058" r:id="rId2759" xr:uid="{00000000-0004-0000-0200-0000C60A0000}"/>
    <hyperlink ref="A1059" r:id="rId2760" xr:uid="{00000000-0004-0000-0200-0000C70A0000}"/>
    <hyperlink ref="B1059" r:id="rId2761" xr:uid="{00000000-0004-0000-0200-0000C80A0000}"/>
    <hyperlink ref="C1059" r:id="rId2762" xr:uid="{00000000-0004-0000-0200-0000C90A0000}"/>
    <hyperlink ref="A1060" r:id="rId2763" xr:uid="{00000000-0004-0000-0200-0000CA0A0000}"/>
    <hyperlink ref="B1060" r:id="rId2764" xr:uid="{00000000-0004-0000-0200-0000CB0A0000}"/>
    <hyperlink ref="C1060" r:id="rId2765" xr:uid="{00000000-0004-0000-0200-0000CC0A0000}"/>
    <hyperlink ref="A1061" r:id="rId2766" xr:uid="{00000000-0004-0000-0200-0000CD0A0000}"/>
    <hyperlink ref="B1061" r:id="rId2767" xr:uid="{00000000-0004-0000-0200-0000CE0A0000}"/>
    <hyperlink ref="C1061" r:id="rId2768" xr:uid="{00000000-0004-0000-0200-0000CF0A0000}"/>
    <hyperlink ref="A1062" r:id="rId2769" xr:uid="{00000000-0004-0000-0200-0000D00A0000}"/>
    <hyperlink ref="B1062" r:id="rId2770" xr:uid="{00000000-0004-0000-0200-0000D10A0000}"/>
    <hyperlink ref="C1062" r:id="rId2771" xr:uid="{00000000-0004-0000-0200-0000D20A0000}"/>
    <hyperlink ref="A1063" r:id="rId2772" xr:uid="{00000000-0004-0000-0200-0000D30A0000}"/>
    <hyperlink ref="B1063" r:id="rId2773" xr:uid="{00000000-0004-0000-0200-0000D40A0000}"/>
    <hyperlink ref="C1063" r:id="rId2774" xr:uid="{00000000-0004-0000-0200-0000D50A0000}"/>
    <hyperlink ref="A1064" r:id="rId2775" xr:uid="{00000000-0004-0000-0200-0000D60A0000}"/>
    <hyperlink ref="B1064" r:id="rId2776" xr:uid="{00000000-0004-0000-0200-0000D70A0000}"/>
    <hyperlink ref="C1064" r:id="rId2777" xr:uid="{00000000-0004-0000-0200-0000D80A0000}"/>
    <hyperlink ref="A1065" r:id="rId2778" xr:uid="{00000000-0004-0000-0200-0000D90A0000}"/>
    <hyperlink ref="B1065" r:id="rId2779" xr:uid="{00000000-0004-0000-0200-0000DA0A0000}"/>
    <hyperlink ref="C1065" r:id="rId2780" xr:uid="{00000000-0004-0000-0200-0000DB0A0000}"/>
    <hyperlink ref="A1066" r:id="rId2781" xr:uid="{00000000-0004-0000-0200-0000DC0A0000}"/>
    <hyperlink ref="B1066" r:id="rId2782" xr:uid="{00000000-0004-0000-0200-0000DD0A0000}"/>
    <hyperlink ref="C1066" r:id="rId2783" xr:uid="{00000000-0004-0000-0200-0000DE0A0000}"/>
    <hyperlink ref="A1067" r:id="rId2784" xr:uid="{00000000-0004-0000-0200-0000DF0A0000}"/>
    <hyperlink ref="B1067" r:id="rId2785" xr:uid="{00000000-0004-0000-0200-0000E00A0000}"/>
    <hyperlink ref="C1067" r:id="rId2786" xr:uid="{00000000-0004-0000-0200-0000E10A0000}"/>
    <hyperlink ref="A1068" r:id="rId2787" xr:uid="{00000000-0004-0000-0200-0000E20A0000}"/>
    <hyperlink ref="B1068" r:id="rId2788" xr:uid="{00000000-0004-0000-0200-0000E30A0000}"/>
    <hyperlink ref="C1068" r:id="rId2789" xr:uid="{00000000-0004-0000-0200-0000E40A0000}"/>
    <hyperlink ref="A1069" r:id="rId2790" xr:uid="{00000000-0004-0000-0200-0000E50A0000}"/>
    <hyperlink ref="B1069" r:id="rId2791" xr:uid="{00000000-0004-0000-0200-0000E60A0000}"/>
    <hyperlink ref="C1069" r:id="rId2792" xr:uid="{00000000-0004-0000-0200-0000E70A0000}"/>
    <hyperlink ref="A1070" r:id="rId2793" xr:uid="{00000000-0004-0000-0200-0000E80A0000}"/>
    <hyperlink ref="B1070" r:id="rId2794" xr:uid="{00000000-0004-0000-0200-0000E90A0000}"/>
    <hyperlink ref="C1070" r:id="rId2795" xr:uid="{00000000-0004-0000-0200-0000EA0A0000}"/>
    <hyperlink ref="A1071" r:id="rId2796" xr:uid="{00000000-0004-0000-0200-0000EB0A0000}"/>
    <hyperlink ref="B1071" r:id="rId2797" xr:uid="{00000000-0004-0000-0200-0000EC0A0000}"/>
    <hyperlink ref="C1071" r:id="rId2798" xr:uid="{00000000-0004-0000-0200-0000ED0A0000}"/>
    <hyperlink ref="A1072" r:id="rId2799" xr:uid="{00000000-0004-0000-0200-0000EE0A0000}"/>
    <hyperlink ref="B1072" r:id="rId2800" xr:uid="{00000000-0004-0000-0200-0000EF0A0000}"/>
    <hyperlink ref="C1072" r:id="rId2801" xr:uid="{00000000-0004-0000-0200-0000F00A0000}"/>
    <hyperlink ref="A1073" r:id="rId2802" xr:uid="{00000000-0004-0000-0200-0000F10A0000}"/>
    <hyperlink ref="B1073" r:id="rId2803" xr:uid="{00000000-0004-0000-0200-0000F20A0000}"/>
    <hyperlink ref="C1073" r:id="rId2804" xr:uid="{00000000-0004-0000-0200-0000F30A0000}"/>
    <hyperlink ref="A1074" r:id="rId2805" xr:uid="{00000000-0004-0000-0200-0000F40A0000}"/>
    <hyperlink ref="B1074" r:id="rId2806" xr:uid="{00000000-0004-0000-0200-0000F50A0000}"/>
    <hyperlink ref="C1074" r:id="rId2807" xr:uid="{00000000-0004-0000-0200-0000F60A0000}"/>
    <hyperlink ref="A1075" r:id="rId2808" xr:uid="{00000000-0004-0000-0200-0000F70A0000}"/>
    <hyperlink ref="B1075" r:id="rId2809" xr:uid="{00000000-0004-0000-0200-0000F80A0000}"/>
    <hyperlink ref="C1075" r:id="rId2810" xr:uid="{00000000-0004-0000-0200-0000F90A0000}"/>
    <hyperlink ref="A1076" r:id="rId2811" xr:uid="{00000000-0004-0000-0200-0000FA0A0000}"/>
    <hyperlink ref="B1076" r:id="rId2812" xr:uid="{00000000-0004-0000-0200-0000FB0A0000}"/>
    <hyperlink ref="C1076" r:id="rId2813" xr:uid="{00000000-0004-0000-0200-0000FC0A0000}"/>
    <hyperlink ref="A1077" r:id="rId2814" xr:uid="{00000000-0004-0000-0200-0000FD0A0000}"/>
    <hyperlink ref="B1077" r:id="rId2815" xr:uid="{00000000-0004-0000-0200-0000FE0A0000}"/>
    <hyperlink ref="C1077" r:id="rId2816" xr:uid="{00000000-0004-0000-0200-0000FF0A0000}"/>
    <hyperlink ref="A1078" r:id="rId2817" xr:uid="{00000000-0004-0000-0200-0000000B0000}"/>
    <hyperlink ref="B1078" r:id="rId2818" xr:uid="{00000000-0004-0000-0200-0000010B0000}"/>
    <hyperlink ref="C1078" r:id="rId2819" xr:uid="{00000000-0004-0000-0200-0000020B0000}"/>
    <hyperlink ref="A1079" r:id="rId2820" xr:uid="{00000000-0004-0000-0200-0000030B0000}"/>
    <hyperlink ref="B1079" r:id="rId2821" xr:uid="{00000000-0004-0000-0200-0000040B0000}"/>
    <hyperlink ref="C1079" r:id="rId2822" xr:uid="{00000000-0004-0000-0200-0000050B0000}"/>
    <hyperlink ref="A1080" r:id="rId2823" xr:uid="{00000000-0004-0000-0200-0000060B0000}"/>
    <hyperlink ref="B1080" r:id="rId2824" xr:uid="{00000000-0004-0000-0200-0000070B0000}"/>
    <hyperlink ref="C1080" r:id="rId2825" xr:uid="{00000000-0004-0000-0200-0000080B0000}"/>
    <hyperlink ref="A1081" r:id="rId2826" xr:uid="{00000000-0004-0000-0200-0000090B0000}"/>
    <hyperlink ref="B1081" r:id="rId2827" xr:uid="{00000000-0004-0000-0200-00000A0B0000}"/>
    <hyperlink ref="C1081" r:id="rId2828" xr:uid="{00000000-0004-0000-0200-00000B0B0000}"/>
    <hyperlink ref="A1082" r:id="rId2829" xr:uid="{00000000-0004-0000-0200-00000C0B0000}"/>
    <hyperlink ref="B1082" r:id="rId2830" xr:uid="{00000000-0004-0000-0200-00000D0B0000}"/>
    <hyperlink ref="C1082" r:id="rId2831" xr:uid="{00000000-0004-0000-0200-00000E0B0000}"/>
    <hyperlink ref="A1083" r:id="rId2832" xr:uid="{00000000-0004-0000-0200-00000F0B0000}"/>
    <hyperlink ref="B1083" r:id="rId2833" xr:uid="{00000000-0004-0000-0200-0000100B0000}"/>
    <hyperlink ref="C1083" r:id="rId2834" xr:uid="{00000000-0004-0000-0200-0000110B0000}"/>
    <hyperlink ref="A1084" r:id="rId2835" xr:uid="{00000000-0004-0000-0200-0000120B0000}"/>
    <hyperlink ref="B1084" r:id="rId2836" xr:uid="{00000000-0004-0000-0200-0000130B0000}"/>
    <hyperlink ref="C1084" r:id="rId2837" xr:uid="{00000000-0004-0000-0200-0000140B0000}"/>
    <hyperlink ref="A1085" r:id="rId2838" xr:uid="{00000000-0004-0000-0200-0000150B0000}"/>
    <hyperlink ref="B1085" r:id="rId2839" xr:uid="{00000000-0004-0000-0200-0000160B0000}"/>
    <hyperlink ref="C1085" r:id="rId2840" xr:uid="{00000000-0004-0000-0200-0000170B0000}"/>
    <hyperlink ref="A1086" r:id="rId2841" xr:uid="{00000000-0004-0000-0200-0000180B0000}"/>
    <hyperlink ref="B1086" r:id="rId2842" xr:uid="{00000000-0004-0000-0200-0000190B0000}"/>
    <hyperlink ref="C1086" r:id="rId2843" xr:uid="{00000000-0004-0000-0200-00001A0B0000}"/>
    <hyperlink ref="A1087" r:id="rId2844" xr:uid="{00000000-0004-0000-0200-00001B0B0000}"/>
    <hyperlink ref="B1087" r:id="rId2845" xr:uid="{00000000-0004-0000-0200-00001C0B0000}"/>
    <hyperlink ref="C1087" r:id="rId2846" xr:uid="{00000000-0004-0000-0200-00001D0B0000}"/>
    <hyperlink ref="A1088" r:id="rId2847" xr:uid="{00000000-0004-0000-0200-00001E0B0000}"/>
    <hyperlink ref="B1088" r:id="rId2848" xr:uid="{00000000-0004-0000-0200-00001F0B0000}"/>
    <hyperlink ref="C1088" r:id="rId2849" xr:uid="{00000000-0004-0000-0200-0000200B0000}"/>
    <hyperlink ref="A1089" r:id="rId2850" xr:uid="{00000000-0004-0000-0200-0000210B0000}"/>
    <hyperlink ref="B1089" r:id="rId2851" xr:uid="{00000000-0004-0000-0200-0000220B0000}"/>
    <hyperlink ref="C1089" r:id="rId2852" xr:uid="{00000000-0004-0000-0200-0000230B0000}"/>
    <hyperlink ref="A1090" r:id="rId2853" xr:uid="{00000000-0004-0000-0200-0000240B0000}"/>
    <hyperlink ref="B1090" r:id="rId2854" xr:uid="{00000000-0004-0000-0200-0000250B0000}"/>
    <hyperlink ref="C1090" r:id="rId2855" xr:uid="{00000000-0004-0000-0200-0000260B0000}"/>
    <hyperlink ref="A1091" r:id="rId2856" xr:uid="{00000000-0004-0000-0200-0000270B0000}"/>
    <hyperlink ref="B1091" r:id="rId2857" xr:uid="{00000000-0004-0000-0200-0000280B0000}"/>
    <hyperlink ref="C1091" r:id="rId2858" xr:uid="{00000000-0004-0000-0200-0000290B0000}"/>
    <hyperlink ref="A1092" r:id="rId2859" xr:uid="{00000000-0004-0000-0200-00002A0B0000}"/>
    <hyperlink ref="B1092" r:id="rId2860" xr:uid="{00000000-0004-0000-0200-00002B0B0000}"/>
    <hyperlink ref="C1092" r:id="rId2861" xr:uid="{00000000-0004-0000-0200-00002C0B0000}"/>
    <hyperlink ref="A1093" r:id="rId2862" xr:uid="{00000000-0004-0000-0200-00002D0B0000}"/>
    <hyperlink ref="B1093" r:id="rId2863" xr:uid="{00000000-0004-0000-0200-00002E0B0000}"/>
    <hyperlink ref="C1093" r:id="rId2864" xr:uid="{00000000-0004-0000-0200-00002F0B0000}"/>
    <hyperlink ref="A1094" r:id="rId2865" xr:uid="{00000000-0004-0000-0200-0000300B0000}"/>
    <hyperlink ref="B1094" r:id="rId2866" xr:uid="{00000000-0004-0000-0200-0000310B0000}"/>
    <hyperlink ref="C1094" r:id="rId2867" xr:uid="{00000000-0004-0000-0200-0000320B0000}"/>
    <hyperlink ref="A1095" r:id="rId2868" xr:uid="{00000000-0004-0000-0200-0000330B0000}"/>
    <hyperlink ref="B1095" r:id="rId2869" xr:uid="{00000000-0004-0000-0200-0000340B0000}"/>
    <hyperlink ref="C1095" r:id="rId2870" xr:uid="{00000000-0004-0000-0200-0000350B0000}"/>
    <hyperlink ref="A1096" r:id="rId2871" xr:uid="{00000000-0004-0000-0200-0000360B0000}"/>
    <hyperlink ref="B1096" r:id="rId2872" xr:uid="{00000000-0004-0000-0200-0000370B0000}"/>
    <hyperlink ref="C1096" r:id="rId2873" xr:uid="{00000000-0004-0000-0200-0000380B0000}"/>
    <hyperlink ref="A1097" r:id="rId2874" xr:uid="{00000000-0004-0000-0200-0000390B0000}"/>
    <hyperlink ref="B1097" r:id="rId2875" xr:uid="{00000000-0004-0000-0200-00003A0B0000}"/>
    <hyperlink ref="C1097" r:id="rId2876" xr:uid="{00000000-0004-0000-0200-00003B0B0000}"/>
    <hyperlink ref="A1098" r:id="rId2877" xr:uid="{00000000-0004-0000-0200-00003C0B0000}"/>
    <hyperlink ref="B1098" r:id="rId2878" xr:uid="{00000000-0004-0000-0200-00003D0B0000}"/>
    <hyperlink ref="C1098" r:id="rId2879" xr:uid="{00000000-0004-0000-0200-00003E0B0000}"/>
    <hyperlink ref="A1099" r:id="rId2880" xr:uid="{00000000-0004-0000-0200-00003F0B0000}"/>
    <hyperlink ref="B1099" r:id="rId2881" xr:uid="{00000000-0004-0000-0200-0000400B0000}"/>
    <hyperlink ref="C1099" r:id="rId2882" xr:uid="{00000000-0004-0000-0200-0000410B0000}"/>
    <hyperlink ref="A1100" r:id="rId2883" xr:uid="{00000000-0004-0000-0200-0000420B0000}"/>
    <hyperlink ref="B1100" r:id="rId2884" xr:uid="{00000000-0004-0000-0200-0000430B0000}"/>
    <hyperlink ref="C1100" r:id="rId2885" xr:uid="{00000000-0004-0000-0200-0000440B0000}"/>
    <hyperlink ref="A1101" r:id="rId2886" xr:uid="{00000000-0004-0000-0200-0000450B0000}"/>
    <hyperlink ref="B1101" r:id="rId2887" xr:uid="{00000000-0004-0000-0200-0000460B0000}"/>
    <hyperlink ref="C1101" r:id="rId2888" xr:uid="{00000000-0004-0000-0200-0000470B0000}"/>
    <hyperlink ref="A1102" r:id="rId2889" xr:uid="{00000000-0004-0000-0200-0000480B0000}"/>
    <hyperlink ref="B1102" r:id="rId2890" xr:uid="{00000000-0004-0000-0200-0000490B0000}"/>
    <hyperlink ref="C1102" r:id="rId2891" xr:uid="{00000000-0004-0000-0200-00004A0B0000}"/>
    <hyperlink ref="A1103" r:id="rId2892" xr:uid="{00000000-0004-0000-0200-00004B0B0000}"/>
    <hyperlink ref="B1103" r:id="rId2893" xr:uid="{00000000-0004-0000-0200-00004C0B0000}"/>
    <hyperlink ref="C1103" r:id="rId2894" xr:uid="{00000000-0004-0000-0200-00004D0B0000}"/>
    <hyperlink ref="A1104" r:id="rId2895" xr:uid="{00000000-0004-0000-0200-00004E0B0000}"/>
    <hyperlink ref="B1104" r:id="rId2896" xr:uid="{00000000-0004-0000-0200-00004F0B0000}"/>
    <hyperlink ref="C1104" r:id="rId2897" xr:uid="{00000000-0004-0000-0200-0000500B0000}"/>
    <hyperlink ref="A1105" r:id="rId2898" xr:uid="{00000000-0004-0000-0200-0000510B0000}"/>
    <hyperlink ref="B1105" r:id="rId2899" xr:uid="{00000000-0004-0000-0200-0000520B0000}"/>
    <hyperlink ref="C1105" r:id="rId2900" xr:uid="{00000000-0004-0000-0200-0000530B0000}"/>
    <hyperlink ref="A1106" r:id="rId2901" xr:uid="{00000000-0004-0000-0200-0000540B0000}"/>
    <hyperlink ref="B1106" r:id="rId2902" xr:uid="{00000000-0004-0000-0200-0000550B0000}"/>
    <hyperlink ref="C1106" r:id="rId2903" xr:uid="{00000000-0004-0000-0200-0000560B0000}"/>
    <hyperlink ref="A1107" r:id="rId2904" xr:uid="{00000000-0004-0000-0200-0000570B0000}"/>
    <hyperlink ref="B1107" r:id="rId2905" xr:uid="{00000000-0004-0000-0200-0000580B0000}"/>
    <hyperlink ref="C1107" r:id="rId2906" xr:uid="{00000000-0004-0000-0200-0000590B0000}"/>
    <hyperlink ref="A1108" r:id="rId2907" xr:uid="{00000000-0004-0000-0200-00005A0B0000}"/>
    <hyperlink ref="B1108" r:id="rId2908" xr:uid="{00000000-0004-0000-0200-00005B0B0000}"/>
    <hyperlink ref="C1108" r:id="rId2909" xr:uid="{00000000-0004-0000-0200-00005C0B0000}"/>
    <hyperlink ref="A1109" r:id="rId2910" xr:uid="{00000000-0004-0000-0200-00005D0B0000}"/>
    <hyperlink ref="B1109" r:id="rId2911" xr:uid="{00000000-0004-0000-0200-00005E0B0000}"/>
    <hyperlink ref="C1109" r:id="rId2912" xr:uid="{00000000-0004-0000-0200-00005F0B0000}"/>
    <hyperlink ref="A1110" r:id="rId2913" xr:uid="{00000000-0004-0000-0200-0000600B0000}"/>
    <hyperlink ref="B1110" r:id="rId2914" xr:uid="{00000000-0004-0000-0200-0000610B0000}"/>
    <hyperlink ref="C1110" r:id="rId2915" xr:uid="{00000000-0004-0000-0200-0000620B0000}"/>
    <hyperlink ref="A1111" r:id="rId2916" xr:uid="{00000000-0004-0000-0200-0000630B0000}"/>
    <hyperlink ref="B1111" r:id="rId2917" xr:uid="{00000000-0004-0000-0200-0000640B0000}"/>
    <hyperlink ref="C1111" r:id="rId2918" xr:uid="{00000000-0004-0000-0200-0000650B0000}"/>
    <hyperlink ref="A1112" r:id="rId2919" xr:uid="{00000000-0004-0000-0200-0000660B0000}"/>
    <hyperlink ref="B1112" r:id="rId2920" xr:uid="{00000000-0004-0000-0200-0000670B0000}"/>
    <hyperlink ref="C1112" r:id="rId2921" xr:uid="{00000000-0004-0000-0200-0000680B0000}"/>
    <hyperlink ref="A1113" r:id="rId2922" xr:uid="{00000000-0004-0000-0200-0000690B0000}"/>
    <hyperlink ref="B1113" r:id="rId2923" xr:uid="{00000000-0004-0000-0200-00006A0B0000}"/>
    <hyperlink ref="C1113" r:id="rId2924" xr:uid="{00000000-0004-0000-0200-00006B0B0000}"/>
    <hyperlink ref="A1114" r:id="rId2925" xr:uid="{00000000-0004-0000-0200-00006C0B0000}"/>
    <hyperlink ref="B1114" r:id="rId2926" xr:uid="{00000000-0004-0000-0200-00006D0B0000}"/>
    <hyperlink ref="C1114" r:id="rId2927" xr:uid="{00000000-0004-0000-0200-00006E0B0000}"/>
    <hyperlink ref="A1115" r:id="rId2928" xr:uid="{00000000-0004-0000-0200-00006F0B0000}"/>
    <hyperlink ref="B1115" r:id="rId2929" xr:uid="{00000000-0004-0000-0200-0000700B0000}"/>
    <hyperlink ref="C1115" r:id="rId2930" xr:uid="{00000000-0004-0000-0200-0000710B0000}"/>
    <hyperlink ref="A1116" r:id="rId2931" xr:uid="{00000000-0004-0000-0200-0000720B0000}"/>
    <hyperlink ref="B1116" r:id="rId2932" xr:uid="{00000000-0004-0000-0200-0000730B0000}"/>
    <hyperlink ref="C1116" r:id="rId2933" xr:uid="{00000000-0004-0000-0200-0000740B0000}"/>
    <hyperlink ref="A1117" r:id="rId2934" xr:uid="{00000000-0004-0000-0200-0000750B0000}"/>
    <hyperlink ref="B1117" r:id="rId2935" xr:uid="{00000000-0004-0000-0200-0000760B0000}"/>
    <hyperlink ref="C1117" r:id="rId2936" xr:uid="{00000000-0004-0000-0200-0000770B0000}"/>
    <hyperlink ref="A1118" r:id="rId2937" xr:uid="{00000000-0004-0000-0200-0000780B0000}"/>
    <hyperlink ref="B1118" r:id="rId2938" xr:uid="{00000000-0004-0000-0200-0000790B0000}"/>
    <hyperlink ref="C1118" r:id="rId2939" xr:uid="{00000000-0004-0000-0200-00007A0B0000}"/>
    <hyperlink ref="A1119" r:id="rId2940" xr:uid="{00000000-0004-0000-0200-00007B0B0000}"/>
    <hyperlink ref="B1119" r:id="rId2941" xr:uid="{00000000-0004-0000-0200-00007C0B0000}"/>
    <hyperlink ref="C1119" r:id="rId2942" xr:uid="{00000000-0004-0000-0200-00007D0B0000}"/>
    <hyperlink ref="A1120" r:id="rId2943" xr:uid="{00000000-0004-0000-0200-00007E0B0000}"/>
    <hyperlink ref="B1120" r:id="rId2944" xr:uid="{00000000-0004-0000-0200-00007F0B0000}"/>
    <hyperlink ref="C1120" r:id="rId2945" xr:uid="{00000000-0004-0000-0200-0000800B0000}"/>
    <hyperlink ref="A1121" r:id="rId2946" xr:uid="{00000000-0004-0000-0200-0000810B0000}"/>
    <hyperlink ref="B1121" r:id="rId2947" xr:uid="{00000000-0004-0000-0200-0000820B0000}"/>
    <hyperlink ref="C1121" r:id="rId2948" xr:uid="{00000000-0004-0000-0200-0000830B0000}"/>
    <hyperlink ref="A1122" r:id="rId2949" xr:uid="{00000000-0004-0000-0200-0000840B0000}"/>
    <hyperlink ref="B1122" r:id="rId2950" xr:uid="{00000000-0004-0000-0200-0000850B0000}"/>
    <hyperlink ref="C1122" r:id="rId2951" xr:uid="{00000000-0004-0000-0200-0000860B0000}"/>
    <hyperlink ref="A1123" r:id="rId2952" xr:uid="{00000000-0004-0000-0200-0000870B0000}"/>
    <hyperlink ref="B1123" r:id="rId2953" xr:uid="{00000000-0004-0000-0200-0000880B0000}"/>
    <hyperlink ref="C1123" r:id="rId2954" xr:uid="{00000000-0004-0000-0200-0000890B0000}"/>
    <hyperlink ref="A1124" r:id="rId2955" xr:uid="{00000000-0004-0000-0200-00008A0B0000}"/>
    <hyperlink ref="B1124" r:id="rId2956" xr:uid="{00000000-0004-0000-0200-00008B0B0000}"/>
    <hyperlink ref="C1124" r:id="rId2957" xr:uid="{00000000-0004-0000-0200-00008C0B0000}"/>
    <hyperlink ref="A1125" r:id="rId2958" xr:uid="{00000000-0004-0000-0200-00008D0B0000}"/>
    <hyperlink ref="B1125" r:id="rId2959" xr:uid="{00000000-0004-0000-0200-00008E0B0000}"/>
    <hyperlink ref="C1125" r:id="rId2960" xr:uid="{00000000-0004-0000-0200-00008F0B0000}"/>
    <hyperlink ref="A1126" r:id="rId2961" xr:uid="{00000000-0004-0000-0200-0000900B0000}"/>
    <hyperlink ref="B1126" r:id="rId2962" xr:uid="{00000000-0004-0000-0200-0000910B0000}"/>
    <hyperlink ref="C1126" r:id="rId2963" xr:uid="{00000000-0004-0000-0200-0000920B0000}"/>
    <hyperlink ref="A1127" r:id="rId2964" xr:uid="{00000000-0004-0000-0200-0000930B0000}"/>
    <hyperlink ref="B1127" r:id="rId2965" xr:uid="{00000000-0004-0000-0200-0000940B0000}"/>
    <hyperlink ref="C1127" r:id="rId2966" xr:uid="{00000000-0004-0000-0200-0000950B0000}"/>
    <hyperlink ref="A1128" r:id="rId2967" xr:uid="{00000000-0004-0000-0200-0000960B0000}"/>
    <hyperlink ref="B1128" r:id="rId2968" xr:uid="{00000000-0004-0000-0200-0000970B0000}"/>
    <hyperlink ref="C1128" r:id="rId2969" xr:uid="{00000000-0004-0000-0200-0000980B0000}"/>
    <hyperlink ref="A1129" r:id="rId2970" xr:uid="{00000000-0004-0000-0200-0000990B0000}"/>
    <hyperlink ref="B1129" r:id="rId2971" xr:uid="{00000000-0004-0000-0200-00009A0B0000}"/>
    <hyperlink ref="C1129" r:id="rId2972" xr:uid="{00000000-0004-0000-0200-00009B0B0000}"/>
    <hyperlink ref="A1130" r:id="rId2973" xr:uid="{00000000-0004-0000-0200-00009C0B0000}"/>
    <hyperlink ref="B1130" r:id="rId2974" xr:uid="{00000000-0004-0000-0200-00009D0B0000}"/>
    <hyperlink ref="C1130" r:id="rId2975" xr:uid="{00000000-0004-0000-0200-00009E0B0000}"/>
    <hyperlink ref="A1131" r:id="rId2976" xr:uid="{00000000-0004-0000-0200-00009F0B0000}"/>
    <hyperlink ref="B1131" r:id="rId2977" xr:uid="{00000000-0004-0000-0200-0000A00B0000}"/>
    <hyperlink ref="C1131" r:id="rId2978" xr:uid="{00000000-0004-0000-0200-0000A10B0000}"/>
    <hyperlink ref="A1132" r:id="rId2979" xr:uid="{00000000-0004-0000-0200-0000A20B0000}"/>
    <hyperlink ref="B1132" r:id="rId2980" xr:uid="{00000000-0004-0000-0200-0000A30B0000}"/>
    <hyperlink ref="C1132" r:id="rId2981" xr:uid="{00000000-0004-0000-0200-0000A40B0000}"/>
    <hyperlink ref="A1133" r:id="rId2982" xr:uid="{00000000-0004-0000-0200-0000A50B0000}"/>
    <hyperlink ref="B1133" r:id="rId2983" xr:uid="{00000000-0004-0000-0200-0000A60B0000}"/>
    <hyperlink ref="C1133" r:id="rId2984" xr:uid="{00000000-0004-0000-0200-0000A70B0000}"/>
    <hyperlink ref="A1134" r:id="rId2985" xr:uid="{00000000-0004-0000-0200-0000A80B0000}"/>
    <hyperlink ref="B1134" r:id="rId2986" xr:uid="{00000000-0004-0000-0200-0000A90B0000}"/>
    <hyperlink ref="C1134" r:id="rId2987" xr:uid="{00000000-0004-0000-0200-0000AA0B0000}"/>
    <hyperlink ref="A1135" r:id="rId2988" xr:uid="{00000000-0004-0000-0200-0000AB0B0000}"/>
    <hyperlink ref="B1135" r:id="rId2989" xr:uid="{00000000-0004-0000-0200-0000AC0B0000}"/>
    <hyperlink ref="C1135" r:id="rId2990" xr:uid="{00000000-0004-0000-0200-0000AD0B0000}"/>
    <hyperlink ref="A1136" r:id="rId2991" xr:uid="{00000000-0004-0000-0200-0000AE0B0000}"/>
    <hyperlink ref="B1136" r:id="rId2992" xr:uid="{00000000-0004-0000-0200-0000AF0B0000}"/>
    <hyperlink ref="C1136" r:id="rId2993" xr:uid="{00000000-0004-0000-0200-0000B00B0000}"/>
    <hyperlink ref="A1137" r:id="rId2994" xr:uid="{00000000-0004-0000-0200-0000B10B0000}"/>
    <hyperlink ref="B1137" r:id="rId2995" xr:uid="{00000000-0004-0000-0200-0000B20B0000}"/>
    <hyperlink ref="C1137" r:id="rId2996" xr:uid="{00000000-0004-0000-0200-0000B30B0000}"/>
    <hyperlink ref="A1138" r:id="rId2997" xr:uid="{00000000-0004-0000-0200-0000B40B0000}"/>
    <hyperlink ref="B1138" r:id="rId2998" xr:uid="{00000000-0004-0000-0200-0000B50B0000}"/>
    <hyperlink ref="C1138" r:id="rId2999" xr:uid="{00000000-0004-0000-0200-0000B60B0000}"/>
    <hyperlink ref="A1139" r:id="rId3000" xr:uid="{00000000-0004-0000-0200-0000B70B0000}"/>
    <hyperlink ref="B1139" r:id="rId3001" xr:uid="{00000000-0004-0000-0200-0000B80B0000}"/>
    <hyperlink ref="C1139" r:id="rId3002" xr:uid="{00000000-0004-0000-0200-0000B90B0000}"/>
    <hyperlink ref="A1140" r:id="rId3003" xr:uid="{00000000-0004-0000-0200-0000BA0B0000}"/>
    <hyperlink ref="B1140" r:id="rId3004" xr:uid="{00000000-0004-0000-0200-0000BB0B0000}"/>
    <hyperlink ref="C1140" r:id="rId3005" xr:uid="{00000000-0004-0000-0200-0000BC0B0000}"/>
    <hyperlink ref="A1141" r:id="rId3006" xr:uid="{00000000-0004-0000-0200-0000BD0B0000}"/>
    <hyperlink ref="B1141" r:id="rId3007" xr:uid="{00000000-0004-0000-0200-0000BE0B0000}"/>
    <hyperlink ref="C1141" r:id="rId3008" xr:uid="{00000000-0004-0000-0200-0000BF0B0000}"/>
    <hyperlink ref="A1142" r:id="rId3009" xr:uid="{00000000-0004-0000-0200-0000C00B0000}"/>
    <hyperlink ref="B1142" r:id="rId3010" xr:uid="{00000000-0004-0000-0200-0000C10B0000}"/>
    <hyperlink ref="C1142" r:id="rId3011" xr:uid="{00000000-0004-0000-0200-0000C20B0000}"/>
    <hyperlink ref="A1143" r:id="rId3012" xr:uid="{00000000-0004-0000-0200-0000C30B0000}"/>
    <hyperlink ref="B1143" r:id="rId3013" xr:uid="{00000000-0004-0000-0200-0000C40B0000}"/>
    <hyperlink ref="C1143" r:id="rId3014" xr:uid="{00000000-0004-0000-0200-0000C50B0000}"/>
    <hyperlink ref="A1144" r:id="rId3015" xr:uid="{00000000-0004-0000-0200-0000C60B0000}"/>
    <hyperlink ref="B1144" r:id="rId3016" xr:uid="{00000000-0004-0000-0200-0000C70B0000}"/>
    <hyperlink ref="C1144" r:id="rId3017" xr:uid="{00000000-0004-0000-0200-0000C80B0000}"/>
    <hyperlink ref="A1145" r:id="rId3018" xr:uid="{00000000-0004-0000-0200-0000C90B0000}"/>
    <hyperlink ref="B1145" r:id="rId3019" xr:uid="{00000000-0004-0000-0200-0000CA0B0000}"/>
    <hyperlink ref="C1145" r:id="rId3020" xr:uid="{00000000-0004-0000-0200-0000CB0B0000}"/>
    <hyperlink ref="A1146" r:id="rId3021" xr:uid="{00000000-0004-0000-0200-0000CC0B0000}"/>
    <hyperlink ref="B1146" r:id="rId3022" xr:uid="{00000000-0004-0000-0200-0000CD0B0000}"/>
    <hyperlink ref="C1146" r:id="rId3023" xr:uid="{00000000-0004-0000-0200-0000CE0B0000}"/>
    <hyperlink ref="A1147" r:id="rId3024" xr:uid="{00000000-0004-0000-0200-0000CF0B0000}"/>
    <hyperlink ref="B1147" r:id="rId3025" xr:uid="{00000000-0004-0000-0200-0000D00B0000}"/>
    <hyperlink ref="C1147" r:id="rId3026" xr:uid="{00000000-0004-0000-0200-0000D10B0000}"/>
    <hyperlink ref="A1148" r:id="rId3027" xr:uid="{00000000-0004-0000-0200-0000D20B0000}"/>
    <hyperlink ref="B1148" r:id="rId3028" xr:uid="{00000000-0004-0000-0200-0000D30B0000}"/>
    <hyperlink ref="C1148" r:id="rId3029" xr:uid="{00000000-0004-0000-0200-0000D40B0000}"/>
    <hyperlink ref="A1149" r:id="rId3030" xr:uid="{00000000-0004-0000-0200-0000D50B0000}"/>
    <hyperlink ref="B1149" r:id="rId3031" xr:uid="{00000000-0004-0000-0200-0000D60B0000}"/>
    <hyperlink ref="C1149" r:id="rId3032" xr:uid="{00000000-0004-0000-0200-0000D70B0000}"/>
    <hyperlink ref="A1150" r:id="rId3033" xr:uid="{00000000-0004-0000-0200-0000D80B0000}"/>
    <hyperlink ref="B1150" r:id="rId3034" xr:uid="{00000000-0004-0000-0200-0000D90B0000}"/>
    <hyperlink ref="C1150" r:id="rId3035" xr:uid="{00000000-0004-0000-0200-0000DA0B0000}"/>
    <hyperlink ref="A1151" r:id="rId3036" xr:uid="{00000000-0004-0000-0200-0000DB0B0000}"/>
    <hyperlink ref="B1151" r:id="rId3037" xr:uid="{00000000-0004-0000-0200-0000DC0B0000}"/>
    <hyperlink ref="C1151" r:id="rId3038" xr:uid="{00000000-0004-0000-0200-0000DD0B0000}"/>
    <hyperlink ref="A1152" r:id="rId3039" xr:uid="{00000000-0004-0000-0200-0000DE0B0000}"/>
    <hyperlink ref="B1152" r:id="rId3040" xr:uid="{00000000-0004-0000-0200-0000DF0B0000}"/>
    <hyperlink ref="C1152" r:id="rId3041" xr:uid="{00000000-0004-0000-0200-0000E00B0000}"/>
    <hyperlink ref="A1153" r:id="rId3042" xr:uid="{00000000-0004-0000-0200-0000E10B0000}"/>
    <hyperlink ref="B1153" r:id="rId3043" xr:uid="{00000000-0004-0000-0200-0000E20B0000}"/>
    <hyperlink ref="C1153" r:id="rId3044" xr:uid="{00000000-0004-0000-0200-0000E30B0000}"/>
    <hyperlink ref="A1154" r:id="rId3045" xr:uid="{00000000-0004-0000-0200-0000E40B0000}"/>
    <hyperlink ref="B1154" r:id="rId3046" xr:uid="{00000000-0004-0000-0200-0000E50B0000}"/>
    <hyperlink ref="C1154" r:id="rId3047" xr:uid="{00000000-0004-0000-0200-0000E60B0000}"/>
    <hyperlink ref="A1155" r:id="rId3048" xr:uid="{00000000-0004-0000-0200-0000E70B0000}"/>
    <hyperlink ref="B1155" r:id="rId3049" xr:uid="{00000000-0004-0000-0200-0000E80B0000}"/>
    <hyperlink ref="C1155" r:id="rId3050" xr:uid="{00000000-0004-0000-0200-0000E90B0000}"/>
    <hyperlink ref="A1156" r:id="rId3051" xr:uid="{00000000-0004-0000-0200-0000EA0B0000}"/>
    <hyperlink ref="B1156" r:id="rId3052" xr:uid="{00000000-0004-0000-0200-0000EB0B0000}"/>
    <hyperlink ref="C1156" r:id="rId3053" xr:uid="{00000000-0004-0000-0200-0000EC0B0000}"/>
    <hyperlink ref="A1157" r:id="rId3054" xr:uid="{00000000-0004-0000-0200-0000ED0B0000}"/>
    <hyperlink ref="B1157" r:id="rId3055" xr:uid="{00000000-0004-0000-0200-0000EE0B0000}"/>
    <hyperlink ref="C1157" r:id="rId3056" xr:uid="{00000000-0004-0000-0200-0000EF0B0000}"/>
    <hyperlink ref="A1158" r:id="rId3057" xr:uid="{00000000-0004-0000-0200-0000F00B0000}"/>
    <hyperlink ref="B1158" r:id="rId3058" xr:uid="{00000000-0004-0000-0200-0000F10B0000}"/>
    <hyperlink ref="C1158" r:id="rId3059" xr:uid="{00000000-0004-0000-0200-0000F20B0000}"/>
    <hyperlink ref="A1159" r:id="rId3060" xr:uid="{00000000-0004-0000-0200-0000F30B0000}"/>
    <hyperlink ref="B1159" r:id="rId3061" xr:uid="{00000000-0004-0000-0200-0000F40B0000}"/>
    <hyperlink ref="C1159" r:id="rId3062" xr:uid="{00000000-0004-0000-0200-0000F50B0000}"/>
    <hyperlink ref="A1160" r:id="rId3063" xr:uid="{00000000-0004-0000-0200-0000F60B0000}"/>
    <hyperlink ref="B1160" r:id="rId3064" xr:uid="{00000000-0004-0000-0200-0000F70B0000}"/>
    <hyperlink ref="C1160" r:id="rId3065" xr:uid="{00000000-0004-0000-0200-0000F80B0000}"/>
    <hyperlink ref="A1161" r:id="rId3066" xr:uid="{00000000-0004-0000-0200-0000F90B0000}"/>
    <hyperlink ref="B1161" r:id="rId3067" xr:uid="{00000000-0004-0000-0200-0000FA0B0000}"/>
    <hyperlink ref="C1161" r:id="rId3068" xr:uid="{00000000-0004-0000-0200-0000FB0B0000}"/>
    <hyperlink ref="A1162" r:id="rId3069" xr:uid="{00000000-0004-0000-0200-0000FC0B0000}"/>
    <hyperlink ref="B1162" r:id="rId3070" xr:uid="{00000000-0004-0000-0200-0000FD0B0000}"/>
    <hyperlink ref="C1162" r:id="rId3071" xr:uid="{00000000-0004-0000-0200-0000FE0B0000}"/>
    <hyperlink ref="A1163" r:id="rId3072" xr:uid="{00000000-0004-0000-0200-0000FF0B0000}"/>
    <hyperlink ref="B1163" r:id="rId3073" xr:uid="{00000000-0004-0000-0200-0000000C0000}"/>
    <hyperlink ref="C1163" r:id="rId3074" xr:uid="{00000000-0004-0000-0200-0000010C0000}"/>
    <hyperlink ref="A1164" r:id="rId3075" xr:uid="{00000000-0004-0000-0200-0000020C0000}"/>
    <hyperlink ref="B1164" r:id="rId3076" xr:uid="{00000000-0004-0000-0200-0000030C0000}"/>
    <hyperlink ref="C1164" r:id="rId3077" xr:uid="{00000000-0004-0000-0200-0000040C0000}"/>
    <hyperlink ref="A1165" r:id="rId3078" xr:uid="{00000000-0004-0000-0200-0000050C0000}"/>
    <hyperlink ref="B1165" r:id="rId3079" xr:uid="{00000000-0004-0000-0200-0000060C0000}"/>
    <hyperlink ref="C1165" r:id="rId3080" xr:uid="{00000000-0004-0000-0200-0000070C0000}"/>
    <hyperlink ref="A1166" r:id="rId3081" xr:uid="{00000000-0004-0000-0200-0000080C0000}"/>
    <hyperlink ref="B1166" r:id="rId3082" xr:uid="{00000000-0004-0000-0200-0000090C0000}"/>
    <hyperlink ref="C1166" r:id="rId3083" xr:uid="{00000000-0004-0000-0200-00000A0C0000}"/>
    <hyperlink ref="A1167" r:id="rId3084" xr:uid="{00000000-0004-0000-0200-00000B0C0000}"/>
    <hyperlink ref="B1167" r:id="rId3085" xr:uid="{00000000-0004-0000-0200-00000C0C0000}"/>
    <hyperlink ref="C1167" r:id="rId3086" xr:uid="{00000000-0004-0000-0200-00000D0C0000}"/>
    <hyperlink ref="A1168" r:id="rId3087" xr:uid="{00000000-0004-0000-0200-00000E0C0000}"/>
    <hyperlink ref="B1168" r:id="rId3088" xr:uid="{00000000-0004-0000-0200-00000F0C0000}"/>
    <hyperlink ref="C1168" r:id="rId3089" xr:uid="{00000000-0004-0000-0200-0000100C0000}"/>
    <hyperlink ref="A1169" r:id="rId3090" xr:uid="{00000000-0004-0000-0200-0000110C0000}"/>
    <hyperlink ref="B1169" r:id="rId3091" xr:uid="{00000000-0004-0000-0200-0000120C0000}"/>
    <hyperlink ref="C1169" r:id="rId3092" xr:uid="{00000000-0004-0000-0200-0000130C0000}"/>
    <hyperlink ref="A1170" r:id="rId3093" xr:uid="{00000000-0004-0000-0200-0000140C0000}"/>
    <hyperlink ref="B1170" r:id="rId3094" xr:uid="{00000000-0004-0000-0200-0000150C0000}"/>
    <hyperlink ref="C1170" r:id="rId3095" xr:uid="{00000000-0004-0000-0200-0000160C0000}"/>
    <hyperlink ref="A1171" r:id="rId3096" xr:uid="{00000000-0004-0000-0200-0000170C0000}"/>
    <hyperlink ref="B1171" r:id="rId3097" xr:uid="{00000000-0004-0000-0200-0000180C0000}"/>
    <hyperlink ref="C1171" r:id="rId3098" xr:uid="{00000000-0004-0000-0200-0000190C0000}"/>
    <hyperlink ref="A1172" r:id="rId3099" xr:uid="{00000000-0004-0000-0200-00001A0C0000}"/>
    <hyperlink ref="B1172" r:id="rId3100" xr:uid="{00000000-0004-0000-0200-00001B0C0000}"/>
    <hyperlink ref="C1172" r:id="rId3101" xr:uid="{00000000-0004-0000-0200-00001C0C0000}"/>
    <hyperlink ref="A1173" r:id="rId3102" xr:uid="{00000000-0004-0000-0200-00001D0C0000}"/>
    <hyperlink ref="B1173" r:id="rId3103" xr:uid="{00000000-0004-0000-0200-00001E0C0000}"/>
    <hyperlink ref="C1173" r:id="rId3104" xr:uid="{00000000-0004-0000-0200-00001F0C0000}"/>
    <hyperlink ref="A1174" r:id="rId3105" xr:uid="{00000000-0004-0000-0200-0000200C0000}"/>
    <hyperlink ref="B1174" r:id="rId3106" xr:uid="{00000000-0004-0000-0200-0000210C0000}"/>
    <hyperlink ref="C1174" r:id="rId3107" xr:uid="{00000000-0004-0000-0200-0000220C0000}"/>
    <hyperlink ref="A1175" r:id="rId3108" xr:uid="{00000000-0004-0000-0200-0000230C0000}"/>
    <hyperlink ref="B1175" r:id="rId3109" xr:uid="{00000000-0004-0000-0200-0000240C0000}"/>
    <hyperlink ref="C1175" r:id="rId3110" xr:uid="{00000000-0004-0000-0200-0000250C0000}"/>
    <hyperlink ref="A1176" r:id="rId3111" xr:uid="{00000000-0004-0000-0200-0000260C0000}"/>
    <hyperlink ref="B1176" r:id="rId3112" xr:uid="{00000000-0004-0000-0200-0000270C0000}"/>
    <hyperlink ref="C1176" r:id="rId3113" xr:uid="{00000000-0004-0000-0200-0000280C0000}"/>
    <hyperlink ref="A1177" r:id="rId3114" xr:uid="{00000000-0004-0000-0200-0000290C0000}"/>
    <hyperlink ref="B1177" r:id="rId3115" xr:uid="{00000000-0004-0000-0200-00002A0C0000}"/>
    <hyperlink ref="C1177" r:id="rId3116" xr:uid="{00000000-0004-0000-0200-00002B0C0000}"/>
    <hyperlink ref="A1178" r:id="rId3117" xr:uid="{00000000-0004-0000-0200-00002C0C0000}"/>
    <hyperlink ref="B1178" r:id="rId3118" xr:uid="{00000000-0004-0000-0200-00002D0C0000}"/>
    <hyperlink ref="C1178" r:id="rId3119" xr:uid="{00000000-0004-0000-0200-00002E0C0000}"/>
    <hyperlink ref="A1179" r:id="rId3120" xr:uid="{00000000-0004-0000-0200-00002F0C0000}"/>
    <hyperlink ref="B1179" r:id="rId3121" xr:uid="{00000000-0004-0000-0200-0000300C0000}"/>
    <hyperlink ref="C1179" r:id="rId3122" xr:uid="{00000000-0004-0000-0200-0000310C0000}"/>
    <hyperlink ref="A1180" r:id="rId3123" xr:uid="{00000000-0004-0000-0200-0000320C0000}"/>
    <hyperlink ref="B1180" r:id="rId3124" xr:uid="{00000000-0004-0000-0200-0000330C0000}"/>
    <hyperlink ref="C1180" r:id="rId3125" xr:uid="{00000000-0004-0000-0200-0000340C0000}"/>
    <hyperlink ref="A1181" r:id="rId3126" xr:uid="{00000000-0004-0000-0200-0000350C0000}"/>
    <hyperlink ref="B1181" r:id="rId3127" xr:uid="{00000000-0004-0000-0200-0000360C0000}"/>
    <hyperlink ref="C1181" r:id="rId3128" xr:uid="{00000000-0004-0000-0200-0000370C0000}"/>
    <hyperlink ref="A1182" r:id="rId3129" xr:uid="{00000000-0004-0000-0200-0000380C0000}"/>
    <hyperlink ref="B1182" r:id="rId3130" xr:uid="{00000000-0004-0000-0200-0000390C0000}"/>
    <hyperlink ref="C1182" r:id="rId3131" xr:uid="{00000000-0004-0000-0200-00003A0C0000}"/>
    <hyperlink ref="A1183" r:id="rId3132" xr:uid="{00000000-0004-0000-0200-00003B0C0000}"/>
    <hyperlink ref="B1183" r:id="rId3133" xr:uid="{00000000-0004-0000-0200-00003C0C0000}"/>
    <hyperlink ref="C1183" r:id="rId3134" xr:uid="{00000000-0004-0000-0200-00003D0C0000}"/>
    <hyperlink ref="A1184" r:id="rId3135" xr:uid="{00000000-0004-0000-0200-00003E0C0000}"/>
    <hyperlink ref="B1184" r:id="rId3136" xr:uid="{00000000-0004-0000-0200-00003F0C0000}"/>
    <hyperlink ref="C1184" r:id="rId3137" xr:uid="{00000000-0004-0000-0200-0000400C0000}"/>
    <hyperlink ref="A1185" r:id="rId3138" xr:uid="{00000000-0004-0000-0200-0000410C0000}"/>
    <hyperlink ref="B1185" r:id="rId3139" xr:uid="{00000000-0004-0000-0200-0000420C0000}"/>
    <hyperlink ref="C1185" r:id="rId3140" xr:uid="{00000000-0004-0000-0200-0000430C0000}"/>
    <hyperlink ref="A1186" r:id="rId3141" xr:uid="{00000000-0004-0000-0200-0000440C0000}"/>
    <hyperlink ref="B1186" r:id="rId3142" xr:uid="{00000000-0004-0000-0200-0000450C0000}"/>
    <hyperlink ref="C1186" r:id="rId3143" xr:uid="{00000000-0004-0000-0200-0000460C0000}"/>
    <hyperlink ref="A1187" r:id="rId3144" xr:uid="{00000000-0004-0000-0200-0000470C0000}"/>
    <hyperlink ref="B1187" r:id="rId3145" xr:uid="{00000000-0004-0000-0200-0000480C0000}"/>
    <hyperlink ref="C1187" r:id="rId3146" xr:uid="{00000000-0004-0000-0200-0000490C0000}"/>
    <hyperlink ref="A1188" r:id="rId3147" xr:uid="{00000000-0004-0000-0200-00004A0C0000}"/>
    <hyperlink ref="B1188" r:id="rId3148" xr:uid="{00000000-0004-0000-0200-00004B0C0000}"/>
    <hyperlink ref="C1188" r:id="rId3149" xr:uid="{00000000-0004-0000-0200-00004C0C0000}"/>
    <hyperlink ref="A1189" r:id="rId3150" xr:uid="{00000000-0004-0000-0200-00004D0C0000}"/>
    <hyperlink ref="B1189" r:id="rId3151" xr:uid="{00000000-0004-0000-0200-00004E0C0000}"/>
    <hyperlink ref="C1189" r:id="rId3152" xr:uid="{00000000-0004-0000-0200-00004F0C0000}"/>
    <hyperlink ref="A1190" r:id="rId3153" xr:uid="{00000000-0004-0000-0200-0000500C0000}"/>
    <hyperlink ref="B1190" r:id="rId3154" xr:uid="{00000000-0004-0000-0200-0000510C0000}"/>
    <hyperlink ref="C1190" r:id="rId3155" xr:uid="{00000000-0004-0000-0200-0000520C0000}"/>
    <hyperlink ref="A1191" r:id="rId3156" xr:uid="{00000000-0004-0000-0200-0000530C0000}"/>
    <hyperlink ref="B1191" r:id="rId3157" xr:uid="{00000000-0004-0000-0200-0000540C0000}"/>
    <hyperlink ref="C1191" r:id="rId3158" xr:uid="{00000000-0004-0000-0200-0000550C0000}"/>
    <hyperlink ref="A1192" r:id="rId3159" xr:uid="{00000000-0004-0000-0200-0000560C0000}"/>
    <hyperlink ref="B1192" r:id="rId3160" xr:uid="{00000000-0004-0000-0200-0000570C0000}"/>
    <hyperlink ref="C1192" r:id="rId3161" xr:uid="{00000000-0004-0000-0200-0000580C0000}"/>
    <hyperlink ref="A1193" r:id="rId3162" xr:uid="{00000000-0004-0000-0200-0000590C0000}"/>
    <hyperlink ref="B1193" r:id="rId3163" xr:uid="{00000000-0004-0000-0200-00005A0C0000}"/>
    <hyperlink ref="C1193" r:id="rId3164" xr:uid="{00000000-0004-0000-0200-00005B0C0000}"/>
    <hyperlink ref="A1194" r:id="rId3165" xr:uid="{00000000-0004-0000-0200-00005C0C0000}"/>
    <hyperlink ref="B1194" r:id="rId3166" xr:uid="{00000000-0004-0000-0200-00005D0C0000}"/>
    <hyperlink ref="C1194" r:id="rId3167" xr:uid="{00000000-0004-0000-0200-00005E0C0000}"/>
    <hyperlink ref="A1195" r:id="rId3168" xr:uid="{00000000-0004-0000-0200-00005F0C0000}"/>
    <hyperlink ref="B1195" r:id="rId3169" xr:uid="{00000000-0004-0000-0200-0000600C0000}"/>
    <hyperlink ref="C1195" r:id="rId3170" xr:uid="{00000000-0004-0000-0200-0000610C0000}"/>
    <hyperlink ref="A1196" r:id="rId3171" xr:uid="{00000000-0004-0000-0200-0000620C0000}"/>
    <hyperlink ref="B1196" r:id="rId3172" xr:uid="{00000000-0004-0000-0200-0000630C0000}"/>
    <hyperlink ref="C1196" r:id="rId3173" xr:uid="{00000000-0004-0000-0200-0000640C0000}"/>
    <hyperlink ref="A1197" r:id="rId3174" xr:uid="{00000000-0004-0000-0200-0000650C0000}"/>
    <hyperlink ref="B1197" r:id="rId3175" xr:uid="{00000000-0004-0000-0200-0000660C0000}"/>
    <hyperlink ref="C1197" r:id="rId3176" xr:uid="{00000000-0004-0000-0200-0000670C0000}"/>
    <hyperlink ref="A1198" r:id="rId3177" xr:uid="{00000000-0004-0000-0200-0000680C0000}"/>
    <hyperlink ref="B1198" r:id="rId3178" xr:uid="{00000000-0004-0000-0200-0000690C0000}"/>
    <hyperlink ref="C1198" r:id="rId3179" xr:uid="{00000000-0004-0000-0200-00006A0C0000}"/>
    <hyperlink ref="A1199" r:id="rId3180" xr:uid="{00000000-0004-0000-0200-00006B0C0000}"/>
    <hyperlink ref="B1199" r:id="rId3181" xr:uid="{00000000-0004-0000-0200-00006C0C0000}"/>
    <hyperlink ref="C1199" r:id="rId3182" xr:uid="{00000000-0004-0000-0200-00006D0C0000}"/>
    <hyperlink ref="A1200" r:id="rId3183" xr:uid="{00000000-0004-0000-0200-00006E0C0000}"/>
    <hyperlink ref="B1200" r:id="rId3184" xr:uid="{00000000-0004-0000-0200-00006F0C0000}"/>
    <hyperlink ref="C1200" r:id="rId3185" xr:uid="{00000000-0004-0000-0200-0000700C0000}"/>
    <hyperlink ref="A1201" r:id="rId3186" xr:uid="{00000000-0004-0000-0200-0000710C0000}"/>
    <hyperlink ref="B1201" r:id="rId3187" xr:uid="{00000000-0004-0000-0200-0000720C0000}"/>
    <hyperlink ref="C1201" r:id="rId3188" xr:uid="{00000000-0004-0000-0200-0000730C0000}"/>
    <hyperlink ref="A1202" r:id="rId3189" xr:uid="{00000000-0004-0000-0200-0000740C0000}"/>
    <hyperlink ref="B1202" r:id="rId3190" xr:uid="{00000000-0004-0000-0200-0000750C0000}"/>
    <hyperlink ref="C1202" r:id="rId3191" xr:uid="{00000000-0004-0000-0200-0000760C0000}"/>
    <hyperlink ref="A1203" r:id="rId3192" xr:uid="{00000000-0004-0000-0200-0000770C0000}"/>
    <hyperlink ref="B1203" r:id="rId3193" xr:uid="{00000000-0004-0000-0200-0000780C0000}"/>
    <hyperlink ref="C1203" r:id="rId3194" xr:uid="{00000000-0004-0000-0200-0000790C0000}"/>
    <hyperlink ref="A1204" r:id="rId3195" xr:uid="{00000000-0004-0000-0200-00007A0C0000}"/>
    <hyperlink ref="B1204" r:id="rId3196" xr:uid="{00000000-0004-0000-0200-00007B0C0000}"/>
    <hyperlink ref="C1204" r:id="rId3197" xr:uid="{00000000-0004-0000-0200-00007C0C0000}"/>
    <hyperlink ref="A1205" r:id="rId3198" xr:uid="{00000000-0004-0000-0200-00007D0C0000}"/>
    <hyperlink ref="B1205" r:id="rId3199" xr:uid="{00000000-0004-0000-0200-00007E0C0000}"/>
    <hyperlink ref="C1205" r:id="rId3200" xr:uid="{00000000-0004-0000-0200-00007F0C0000}"/>
    <hyperlink ref="A1206" r:id="rId3201" xr:uid="{00000000-0004-0000-0200-0000800C0000}"/>
    <hyperlink ref="B1206" r:id="rId3202" xr:uid="{00000000-0004-0000-0200-0000810C0000}"/>
    <hyperlink ref="C1206" r:id="rId3203" xr:uid="{00000000-0004-0000-0200-0000820C0000}"/>
    <hyperlink ref="A1207" r:id="rId3204" xr:uid="{00000000-0004-0000-0200-0000830C0000}"/>
    <hyperlink ref="B1207" r:id="rId3205" xr:uid="{00000000-0004-0000-0200-0000840C0000}"/>
    <hyperlink ref="C1207" r:id="rId3206" xr:uid="{00000000-0004-0000-0200-0000850C0000}"/>
    <hyperlink ref="A1208" r:id="rId3207" xr:uid="{00000000-0004-0000-0200-0000860C0000}"/>
    <hyperlink ref="B1208" r:id="rId3208" xr:uid="{00000000-0004-0000-0200-0000870C0000}"/>
    <hyperlink ref="C1208" r:id="rId3209" xr:uid="{00000000-0004-0000-0200-0000880C0000}"/>
    <hyperlink ref="A1209" r:id="rId3210" xr:uid="{00000000-0004-0000-0200-0000890C0000}"/>
    <hyperlink ref="B1209" r:id="rId3211" xr:uid="{00000000-0004-0000-0200-00008A0C0000}"/>
    <hyperlink ref="C1209" r:id="rId3212" xr:uid="{00000000-0004-0000-0200-00008B0C0000}"/>
    <hyperlink ref="A1210" r:id="rId3213" xr:uid="{00000000-0004-0000-0200-00008C0C0000}"/>
    <hyperlink ref="B1210" r:id="rId3214" xr:uid="{00000000-0004-0000-0200-00008D0C0000}"/>
    <hyperlink ref="C1210" r:id="rId3215" xr:uid="{00000000-0004-0000-0200-00008E0C0000}"/>
    <hyperlink ref="A1211" r:id="rId3216" xr:uid="{00000000-0004-0000-0200-00008F0C0000}"/>
    <hyperlink ref="B1211" r:id="rId3217" xr:uid="{00000000-0004-0000-0200-0000900C0000}"/>
    <hyperlink ref="C1211" r:id="rId3218" xr:uid="{00000000-0004-0000-0200-0000910C0000}"/>
    <hyperlink ref="A1212" r:id="rId3219" xr:uid="{00000000-0004-0000-0200-0000920C0000}"/>
    <hyperlink ref="B1212" r:id="rId3220" xr:uid="{00000000-0004-0000-0200-0000930C0000}"/>
    <hyperlink ref="C1212" r:id="rId3221" xr:uid="{00000000-0004-0000-0200-0000940C0000}"/>
    <hyperlink ref="A1213" r:id="rId3222" xr:uid="{00000000-0004-0000-0200-0000950C0000}"/>
    <hyperlink ref="B1213" r:id="rId3223" xr:uid="{00000000-0004-0000-0200-0000960C0000}"/>
    <hyperlink ref="C1213" r:id="rId3224" xr:uid="{00000000-0004-0000-0200-0000970C0000}"/>
    <hyperlink ref="A1214" r:id="rId3225" xr:uid="{00000000-0004-0000-0200-0000980C0000}"/>
    <hyperlink ref="B1214" r:id="rId3226" xr:uid="{00000000-0004-0000-0200-0000990C0000}"/>
    <hyperlink ref="C1214" r:id="rId3227" xr:uid="{00000000-0004-0000-0200-00009A0C0000}"/>
    <hyperlink ref="A1215" r:id="rId3228" xr:uid="{00000000-0004-0000-0200-00009B0C0000}"/>
    <hyperlink ref="B1215" r:id="rId3229" xr:uid="{00000000-0004-0000-0200-00009C0C0000}"/>
    <hyperlink ref="C1215" r:id="rId3230" xr:uid="{00000000-0004-0000-0200-00009D0C0000}"/>
    <hyperlink ref="A1216" r:id="rId3231" xr:uid="{00000000-0004-0000-0200-00009E0C0000}"/>
    <hyperlink ref="B1216" r:id="rId3232" xr:uid="{00000000-0004-0000-0200-00009F0C0000}"/>
    <hyperlink ref="C1216" r:id="rId3233" xr:uid="{00000000-0004-0000-0200-0000A00C0000}"/>
    <hyperlink ref="A1217" r:id="rId3234" xr:uid="{00000000-0004-0000-0200-0000A10C0000}"/>
    <hyperlink ref="B1217" r:id="rId3235" xr:uid="{00000000-0004-0000-0200-0000A20C0000}"/>
    <hyperlink ref="C1217" r:id="rId3236" xr:uid="{00000000-0004-0000-0200-0000A30C0000}"/>
    <hyperlink ref="A1218" r:id="rId3237" xr:uid="{00000000-0004-0000-0200-0000A40C0000}"/>
    <hyperlink ref="B1218" r:id="rId3238" xr:uid="{00000000-0004-0000-0200-0000A50C0000}"/>
    <hyperlink ref="C1218" r:id="rId3239" xr:uid="{00000000-0004-0000-0200-0000A60C0000}"/>
    <hyperlink ref="A1219" r:id="rId3240" xr:uid="{00000000-0004-0000-0200-0000A70C0000}"/>
    <hyperlink ref="B1219" r:id="rId3241" xr:uid="{00000000-0004-0000-0200-0000A80C0000}"/>
    <hyperlink ref="C1219" r:id="rId3242" xr:uid="{00000000-0004-0000-0200-0000A90C0000}"/>
    <hyperlink ref="A1220" r:id="rId3243" xr:uid="{00000000-0004-0000-0200-0000AA0C0000}"/>
    <hyperlink ref="B1220" r:id="rId3244" xr:uid="{00000000-0004-0000-0200-0000AB0C0000}"/>
    <hyperlink ref="C1220" r:id="rId3245" xr:uid="{00000000-0004-0000-0200-0000AC0C0000}"/>
    <hyperlink ref="A1221" r:id="rId3246" xr:uid="{00000000-0004-0000-0200-0000AD0C0000}"/>
    <hyperlink ref="B1221" r:id="rId3247" xr:uid="{00000000-0004-0000-0200-0000AE0C0000}"/>
    <hyperlink ref="C1221" r:id="rId3248" xr:uid="{00000000-0004-0000-0200-0000AF0C0000}"/>
    <hyperlink ref="A1222" r:id="rId3249" xr:uid="{00000000-0004-0000-0200-0000B00C0000}"/>
    <hyperlink ref="B1222" r:id="rId3250" xr:uid="{00000000-0004-0000-0200-0000B10C0000}"/>
    <hyperlink ref="C1222" r:id="rId3251" xr:uid="{00000000-0004-0000-0200-0000B20C0000}"/>
    <hyperlink ref="A1223" r:id="rId3252" xr:uid="{00000000-0004-0000-0200-0000B30C0000}"/>
    <hyperlink ref="B1223" r:id="rId3253" xr:uid="{00000000-0004-0000-0200-0000B40C0000}"/>
    <hyperlink ref="C1223" r:id="rId3254" xr:uid="{00000000-0004-0000-0200-0000B50C0000}"/>
    <hyperlink ref="A1224" r:id="rId3255" xr:uid="{00000000-0004-0000-0200-0000B60C0000}"/>
    <hyperlink ref="B1224" r:id="rId3256" xr:uid="{00000000-0004-0000-0200-0000B70C0000}"/>
    <hyperlink ref="C1224" r:id="rId3257" xr:uid="{00000000-0004-0000-0200-0000B80C0000}"/>
    <hyperlink ref="A1225" r:id="rId3258" xr:uid="{00000000-0004-0000-0200-0000B90C0000}"/>
    <hyperlink ref="B1225" r:id="rId3259" xr:uid="{00000000-0004-0000-0200-0000BA0C0000}"/>
    <hyperlink ref="C1225" r:id="rId3260" xr:uid="{00000000-0004-0000-0200-0000BB0C0000}"/>
    <hyperlink ref="A1226" r:id="rId3261" xr:uid="{00000000-0004-0000-0200-0000BC0C0000}"/>
    <hyperlink ref="B1226" r:id="rId3262" xr:uid="{00000000-0004-0000-0200-0000BD0C0000}"/>
    <hyperlink ref="C1226" r:id="rId3263" xr:uid="{00000000-0004-0000-0200-0000BE0C0000}"/>
    <hyperlink ref="A1227" r:id="rId3264" xr:uid="{00000000-0004-0000-0200-0000BF0C0000}"/>
    <hyperlink ref="B1227" r:id="rId3265" xr:uid="{00000000-0004-0000-0200-0000C00C0000}"/>
    <hyperlink ref="C1227" r:id="rId3266" xr:uid="{00000000-0004-0000-0200-0000C10C0000}"/>
    <hyperlink ref="A1228" r:id="rId3267" xr:uid="{00000000-0004-0000-0200-0000C20C0000}"/>
    <hyperlink ref="B1228" r:id="rId3268" xr:uid="{00000000-0004-0000-0200-0000C30C0000}"/>
    <hyperlink ref="C1228" r:id="rId3269" xr:uid="{00000000-0004-0000-0200-0000C40C0000}"/>
    <hyperlink ref="A1229" r:id="rId3270" xr:uid="{00000000-0004-0000-0200-0000C50C0000}"/>
    <hyperlink ref="B1229" r:id="rId3271" xr:uid="{00000000-0004-0000-0200-0000C60C0000}"/>
    <hyperlink ref="C1229" r:id="rId3272" xr:uid="{00000000-0004-0000-0200-0000C70C0000}"/>
    <hyperlink ref="A1230" r:id="rId3273" xr:uid="{00000000-0004-0000-0200-0000C80C0000}"/>
    <hyperlink ref="B1230" r:id="rId3274" xr:uid="{00000000-0004-0000-0200-0000C90C0000}"/>
    <hyperlink ref="C1230" r:id="rId3275" xr:uid="{00000000-0004-0000-0200-0000CA0C0000}"/>
    <hyperlink ref="A1231" r:id="rId3276" xr:uid="{00000000-0004-0000-0200-0000CB0C0000}"/>
    <hyperlink ref="B1231" r:id="rId3277" xr:uid="{00000000-0004-0000-0200-0000CC0C0000}"/>
    <hyperlink ref="C1231" r:id="rId3278" xr:uid="{00000000-0004-0000-0200-0000CD0C0000}"/>
    <hyperlink ref="A1232" r:id="rId3279" xr:uid="{00000000-0004-0000-0200-0000CE0C0000}"/>
    <hyperlink ref="B1232" r:id="rId3280" xr:uid="{00000000-0004-0000-0200-0000CF0C0000}"/>
    <hyperlink ref="C1232" r:id="rId3281" xr:uid="{00000000-0004-0000-0200-0000D00C0000}"/>
    <hyperlink ref="A1233" r:id="rId3282" xr:uid="{00000000-0004-0000-0200-0000D10C0000}"/>
    <hyperlink ref="B1233" r:id="rId3283" xr:uid="{00000000-0004-0000-0200-0000D20C0000}"/>
    <hyperlink ref="C1233" r:id="rId3284" xr:uid="{00000000-0004-0000-0200-0000D30C0000}"/>
    <hyperlink ref="A1234" r:id="rId3285" xr:uid="{00000000-0004-0000-0200-0000D40C0000}"/>
    <hyperlink ref="B1234" r:id="rId3286" xr:uid="{00000000-0004-0000-0200-0000D50C0000}"/>
    <hyperlink ref="C1234" r:id="rId3287" xr:uid="{00000000-0004-0000-0200-0000D60C0000}"/>
    <hyperlink ref="A1235" r:id="rId3288" xr:uid="{00000000-0004-0000-0200-0000D70C0000}"/>
    <hyperlink ref="B1235" r:id="rId3289" xr:uid="{00000000-0004-0000-0200-0000D80C0000}"/>
    <hyperlink ref="C1235" r:id="rId3290" xr:uid="{00000000-0004-0000-0200-0000D90C0000}"/>
    <hyperlink ref="A1236" r:id="rId3291" xr:uid="{00000000-0004-0000-0200-0000DA0C0000}"/>
    <hyperlink ref="B1236" r:id="rId3292" xr:uid="{00000000-0004-0000-0200-0000DB0C0000}"/>
    <hyperlink ref="C1236" r:id="rId3293" xr:uid="{00000000-0004-0000-0200-0000DC0C0000}"/>
    <hyperlink ref="A1237" r:id="rId3294" xr:uid="{00000000-0004-0000-0200-0000DD0C0000}"/>
    <hyperlink ref="B1237" r:id="rId3295" xr:uid="{00000000-0004-0000-0200-0000DE0C0000}"/>
    <hyperlink ref="C1237" r:id="rId3296" xr:uid="{00000000-0004-0000-0200-0000DF0C0000}"/>
    <hyperlink ref="A1238" r:id="rId3297" xr:uid="{00000000-0004-0000-0200-0000E00C0000}"/>
    <hyperlink ref="B1238" r:id="rId3298" xr:uid="{00000000-0004-0000-0200-0000E10C0000}"/>
    <hyperlink ref="C1238" r:id="rId3299" xr:uid="{00000000-0004-0000-0200-0000E20C0000}"/>
    <hyperlink ref="A1239" r:id="rId3300" xr:uid="{00000000-0004-0000-0200-0000E30C0000}"/>
    <hyperlink ref="B1239" r:id="rId3301" xr:uid="{00000000-0004-0000-0200-0000E40C0000}"/>
    <hyperlink ref="C1239" r:id="rId3302" xr:uid="{00000000-0004-0000-0200-0000E50C0000}"/>
    <hyperlink ref="A1240" r:id="rId3303" xr:uid="{00000000-0004-0000-0200-0000E60C0000}"/>
    <hyperlink ref="B1240" r:id="rId3304" xr:uid="{00000000-0004-0000-0200-0000E70C0000}"/>
    <hyperlink ref="C1240" r:id="rId3305" xr:uid="{00000000-0004-0000-0200-0000E80C0000}"/>
    <hyperlink ref="A1241" r:id="rId3306" xr:uid="{00000000-0004-0000-0200-0000E90C0000}"/>
    <hyperlink ref="B1241" r:id="rId3307" xr:uid="{00000000-0004-0000-0200-0000EA0C0000}"/>
    <hyperlink ref="C1241" r:id="rId3308" xr:uid="{00000000-0004-0000-0200-0000EB0C0000}"/>
    <hyperlink ref="A1242" r:id="rId3309" xr:uid="{00000000-0004-0000-0200-0000EC0C0000}"/>
    <hyperlink ref="B1242" r:id="rId3310" xr:uid="{00000000-0004-0000-0200-0000ED0C0000}"/>
    <hyperlink ref="C1242" r:id="rId3311" xr:uid="{00000000-0004-0000-0200-0000EE0C0000}"/>
    <hyperlink ref="A1243" r:id="rId3312" xr:uid="{00000000-0004-0000-0200-0000EF0C0000}"/>
    <hyperlink ref="B1243" r:id="rId3313" xr:uid="{00000000-0004-0000-0200-0000F00C0000}"/>
    <hyperlink ref="C1243" r:id="rId3314" xr:uid="{00000000-0004-0000-0200-0000F10C0000}"/>
    <hyperlink ref="A1244" r:id="rId3315" xr:uid="{00000000-0004-0000-0200-0000F20C0000}"/>
    <hyperlink ref="B1244" r:id="rId3316" xr:uid="{00000000-0004-0000-0200-0000F30C0000}"/>
    <hyperlink ref="C1244" r:id="rId3317" xr:uid="{00000000-0004-0000-0200-0000F40C0000}"/>
    <hyperlink ref="A1245" r:id="rId3318" xr:uid="{00000000-0004-0000-0200-0000F50C0000}"/>
    <hyperlink ref="B1245" r:id="rId3319" xr:uid="{00000000-0004-0000-0200-0000F60C0000}"/>
    <hyperlink ref="C1245" r:id="rId3320" xr:uid="{00000000-0004-0000-0200-0000F70C0000}"/>
    <hyperlink ref="A1246" r:id="rId3321" xr:uid="{00000000-0004-0000-0200-0000F80C0000}"/>
    <hyperlink ref="B1246" r:id="rId3322" xr:uid="{00000000-0004-0000-0200-0000F90C0000}"/>
    <hyperlink ref="C1246" r:id="rId3323" xr:uid="{00000000-0004-0000-0200-0000FA0C0000}"/>
    <hyperlink ref="A1247" r:id="rId3324" xr:uid="{00000000-0004-0000-0200-0000FB0C0000}"/>
    <hyperlink ref="B1247" r:id="rId3325" xr:uid="{00000000-0004-0000-0200-0000FC0C0000}"/>
    <hyperlink ref="C1247" r:id="rId3326" xr:uid="{00000000-0004-0000-0200-0000FD0C0000}"/>
    <hyperlink ref="A1248" r:id="rId3327" xr:uid="{00000000-0004-0000-0200-0000FE0C0000}"/>
    <hyperlink ref="B1248" r:id="rId3328" xr:uid="{00000000-0004-0000-0200-0000FF0C0000}"/>
    <hyperlink ref="C1248" r:id="rId3329" xr:uid="{00000000-0004-0000-0200-0000000D0000}"/>
    <hyperlink ref="A1249" r:id="rId3330" xr:uid="{00000000-0004-0000-0200-0000010D0000}"/>
    <hyperlink ref="B1249" r:id="rId3331" xr:uid="{00000000-0004-0000-0200-0000020D0000}"/>
    <hyperlink ref="C1249" r:id="rId3332" xr:uid="{00000000-0004-0000-0200-0000030D0000}"/>
    <hyperlink ref="A1250" r:id="rId3333" xr:uid="{00000000-0004-0000-0200-0000040D0000}"/>
    <hyperlink ref="B1250" r:id="rId3334" xr:uid="{00000000-0004-0000-0200-0000050D0000}"/>
    <hyperlink ref="C1250" r:id="rId3335" xr:uid="{00000000-0004-0000-0200-0000060D0000}"/>
    <hyperlink ref="A1251" r:id="rId3336" xr:uid="{00000000-0004-0000-0200-0000070D0000}"/>
    <hyperlink ref="B1251" r:id="rId3337" xr:uid="{00000000-0004-0000-0200-0000080D0000}"/>
    <hyperlink ref="C1251" r:id="rId3338" xr:uid="{00000000-0004-0000-0200-0000090D0000}"/>
    <hyperlink ref="A1252" r:id="rId3339" xr:uid="{00000000-0004-0000-0200-00000A0D0000}"/>
    <hyperlink ref="B1252" r:id="rId3340" xr:uid="{00000000-0004-0000-0200-00000B0D0000}"/>
    <hyperlink ref="C1252" r:id="rId3341" xr:uid="{00000000-0004-0000-0200-00000C0D0000}"/>
    <hyperlink ref="A1253" r:id="rId3342" xr:uid="{00000000-0004-0000-0200-00000D0D0000}"/>
    <hyperlink ref="B1253" r:id="rId3343" xr:uid="{00000000-0004-0000-0200-00000E0D0000}"/>
    <hyperlink ref="C1253" r:id="rId3344" xr:uid="{00000000-0004-0000-0200-00000F0D0000}"/>
    <hyperlink ref="A1254" r:id="rId3345" xr:uid="{00000000-0004-0000-0200-0000100D0000}"/>
    <hyperlink ref="B1254" r:id="rId3346" xr:uid="{00000000-0004-0000-0200-0000110D0000}"/>
    <hyperlink ref="C1254" r:id="rId3347" xr:uid="{00000000-0004-0000-0200-0000120D0000}"/>
    <hyperlink ref="A1255" r:id="rId3348" xr:uid="{00000000-0004-0000-0200-0000130D0000}"/>
    <hyperlink ref="B1255" r:id="rId3349" xr:uid="{00000000-0004-0000-0200-0000140D0000}"/>
    <hyperlink ref="C1255" r:id="rId3350" xr:uid="{00000000-0004-0000-0200-0000150D0000}"/>
    <hyperlink ref="A1256" r:id="rId3351" xr:uid="{00000000-0004-0000-0200-0000160D0000}"/>
    <hyperlink ref="B1256" r:id="rId3352" xr:uid="{00000000-0004-0000-0200-0000170D0000}"/>
    <hyperlink ref="C1256" r:id="rId3353" xr:uid="{00000000-0004-0000-0200-0000180D0000}"/>
    <hyperlink ref="A1257" r:id="rId3354" xr:uid="{00000000-0004-0000-0200-0000190D0000}"/>
    <hyperlink ref="B1257" r:id="rId3355" xr:uid="{00000000-0004-0000-0200-00001A0D0000}"/>
    <hyperlink ref="C1257" r:id="rId3356" xr:uid="{00000000-0004-0000-0200-00001B0D0000}"/>
    <hyperlink ref="A1258" r:id="rId3357" xr:uid="{00000000-0004-0000-0200-00001C0D0000}"/>
    <hyperlink ref="B1258" r:id="rId3358" xr:uid="{00000000-0004-0000-0200-00001D0D0000}"/>
    <hyperlink ref="C1258" r:id="rId3359" xr:uid="{00000000-0004-0000-0200-00001E0D0000}"/>
    <hyperlink ref="A1259" r:id="rId3360" xr:uid="{00000000-0004-0000-0200-00001F0D0000}"/>
    <hyperlink ref="B1259" r:id="rId3361" xr:uid="{00000000-0004-0000-0200-0000200D0000}"/>
    <hyperlink ref="C1259" r:id="rId3362" xr:uid="{00000000-0004-0000-0200-0000210D0000}"/>
    <hyperlink ref="A1260" r:id="rId3363" xr:uid="{00000000-0004-0000-0200-0000220D0000}"/>
    <hyperlink ref="B1260" r:id="rId3364" xr:uid="{00000000-0004-0000-0200-0000230D0000}"/>
    <hyperlink ref="C1260" r:id="rId3365" xr:uid="{00000000-0004-0000-0200-0000240D0000}"/>
    <hyperlink ref="A1261" r:id="rId3366" xr:uid="{00000000-0004-0000-0200-0000250D0000}"/>
    <hyperlink ref="B1261" r:id="rId3367" xr:uid="{00000000-0004-0000-0200-0000260D0000}"/>
    <hyperlink ref="C1261" r:id="rId3368" xr:uid="{00000000-0004-0000-0200-0000270D0000}"/>
    <hyperlink ref="A1262" r:id="rId3369" xr:uid="{00000000-0004-0000-0200-0000280D0000}"/>
    <hyperlink ref="B1262" r:id="rId3370" xr:uid="{00000000-0004-0000-0200-0000290D0000}"/>
    <hyperlink ref="C1262" r:id="rId3371" xr:uid="{00000000-0004-0000-0200-00002A0D0000}"/>
    <hyperlink ref="A1263" r:id="rId3372" xr:uid="{00000000-0004-0000-0200-00002B0D0000}"/>
    <hyperlink ref="B1263" r:id="rId3373" xr:uid="{00000000-0004-0000-0200-00002C0D0000}"/>
    <hyperlink ref="C1263" r:id="rId3374" xr:uid="{00000000-0004-0000-0200-00002D0D0000}"/>
    <hyperlink ref="A1264" r:id="rId3375" xr:uid="{00000000-0004-0000-0200-00002E0D0000}"/>
    <hyperlink ref="B1264" r:id="rId3376" xr:uid="{00000000-0004-0000-0200-00002F0D0000}"/>
    <hyperlink ref="C1264" r:id="rId3377" xr:uid="{00000000-0004-0000-0200-0000300D0000}"/>
    <hyperlink ref="A1265" r:id="rId3378" xr:uid="{00000000-0004-0000-0200-0000310D0000}"/>
    <hyperlink ref="B1265" r:id="rId3379" xr:uid="{00000000-0004-0000-0200-0000320D0000}"/>
    <hyperlink ref="C1265" r:id="rId3380" xr:uid="{00000000-0004-0000-0200-0000330D0000}"/>
    <hyperlink ref="A1266" r:id="rId3381" xr:uid="{00000000-0004-0000-0200-0000340D0000}"/>
    <hyperlink ref="B1266" r:id="rId3382" xr:uid="{00000000-0004-0000-0200-0000350D0000}"/>
    <hyperlink ref="C1266" r:id="rId3383" xr:uid="{00000000-0004-0000-0200-0000360D0000}"/>
    <hyperlink ref="A1267" r:id="rId3384" xr:uid="{00000000-0004-0000-0200-0000370D0000}"/>
    <hyperlink ref="B1267" r:id="rId3385" xr:uid="{00000000-0004-0000-0200-0000380D0000}"/>
    <hyperlink ref="C1267" r:id="rId3386" xr:uid="{00000000-0004-0000-0200-0000390D0000}"/>
    <hyperlink ref="A1268" r:id="rId3387" xr:uid="{00000000-0004-0000-0200-00003A0D0000}"/>
    <hyperlink ref="B1268" r:id="rId3388" xr:uid="{00000000-0004-0000-0200-00003B0D0000}"/>
    <hyperlink ref="C1268" r:id="rId3389" xr:uid="{00000000-0004-0000-0200-00003C0D0000}"/>
    <hyperlink ref="A1269" r:id="rId3390" xr:uid="{00000000-0004-0000-0200-00003D0D0000}"/>
    <hyperlink ref="B1269" r:id="rId3391" xr:uid="{00000000-0004-0000-0200-00003E0D0000}"/>
    <hyperlink ref="C1269" r:id="rId3392" xr:uid="{00000000-0004-0000-0200-00003F0D0000}"/>
    <hyperlink ref="A1270" r:id="rId3393" xr:uid="{00000000-0004-0000-0200-0000400D0000}"/>
    <hyperlink ref="B1270" r:id="rId3394" xr:uid="{00000000-0004-0000-0200-0000410D0000}"/>
    <hyperlink ref="C1270" r:id="rId3395" xr:uid="{00000000-0004-0000-0200-0000420D0000}"/>
    <hyperlink ref="A1271" r:id="rId3396" xr:uid="{00000000-0004-0000-0200-0000430D0000}"/>
    <hyperlink ref="B1271" r:id="rId3397" xr:uid="{00000000-0004-0000-0200-0000440D0000}"/>
    <hyperlink ref="C1271" r:id="rId3398" xr:uid="{00000000-0004-0000-0200-0000450D0000}"/>
    <hyperlink ref="A1272" r:id="rId3399" xr:uid="{00000000-0004-0000-0200-0000460D0000}"/>
    <hyperlink ref="B1272" r:id="rId3400" xr:uid="{00000000-0004-0000-0200-0000470D0000}"/>
    <hyperlink ref="C1272" r:id="rId3401" xr:uid="{00000000-0004-0000-0200-0000480D0000}"/>
    <hyperlink ref="A1273" r:id="rId3402" xr:uid="{00000000-0004-0000-0200-0000490D0000}"/>
    <hyperlink ref="B1273" r:id="rId3403" xr:uid="{00000000-0004-0000-0200-00004A0D0000}"/>
    <hyperlink ref="C1273" r:id="rId3404" xr:uid="{00000000-0004-0000-0200-00004B0D0000}"/>
    <hyperlink ref="A1274" r:id="rId3405" xr:uid="{00000000-0004-0000-0200-00004C0D0000}"/>
    <hyperlink ref="B1274" r:id="rId3406" xr:uid="{00000000-0004-0000-0200-00004D0D0000}"/>
    <hyperlink ref="C1274" r:id="rId3407" xr:uid="{00000000-0004-0000-0200-00004E0D0000}"/>
    <hyperlink ref="A1275" r:id="rId3408" xr:uid="{00000000-0004-0000-0200-00004F0D0000}"/>
    <hyperlink ref="B1275" r:id="rId3409" xr:uid="{00000000-0004-0000-0200-0000500D0000}"/>
    <hyperlink ref="C1275" r:id="rId3410" xr:uid="{00000000-0004-0000-0200-0000510D0000}"/>
    <hyperlink ref="A1276" r:id="rId3411" xr:uid="{00000000-0004-0000-0200-0000520D0000}"/>
    <hyperlink ref="B1276" r:id="rId3412" xr:uid="{00000000-0004-0000-0200-0000530D0000}"/>
    <hyperlink ref="C1276" r:id="rId3413" xr:uid="{00000000-0004-0000-0200-0000540D0000}"/>
    <hyperlink ref="A1277" r:id="rId3414" xr:uid="{00000000-0004-0000-0200-0000550D0000}"/>
    <hyperlink ref="B1277" r:id="rId3415" xr:uid="{00000000-0004-0000-0200-0000560D0000}"/>
    <hyperlink ref="C1277" r:id="rId3416" xr:uid="{00000000-0004-0000-0200-0000570D0000}"/>
    <hyperlink ref="A1278" r:id="rId3417" xr:uid="{00000000-0004-0000-0200-0000580D0000}"/>
    <hyperlink ref="B1278" r:id="rId3418" xr:uid="{00000000-0004-0000-0200-0000590D0000}"/>
    <hyperlink ref="C1278" r:id="rId3419" xr:uid="{00000000-0004-0000-0200-00005A0D0000}"/>
    <hyperlink ref="A1279" r:id="rId3420" xr:uid="{00000000-0004-0000-0200-00005B0D0000}"/>
    <hyperlink ref="B1279" r:id="rId3421" xr:uid="{00000000-0004-0000-0200-00005C0D0000}"/>
    <hyperlink ref="C1279" r:id="rId3422" xr:uid="{00000000-0004-0000-0200-00005D0D0000}"/>
    <hyperlink ref="A1280" r:id="rId3423" xr:uid="{00000000-0004-0000-0200-00005E0D0000}"/>
    <hyperlink ref="B1280" r:id="rId3424" xr:uid="{00000000-0004-0000-0200-00005F0D0000}"/>
    <hyperlink ref="C1280" r:id="rId3425" xr:uid="{00000000-0004-0000-0200-0000600D0000}"/>
    <hyperlink ref="A1281" r:id="rId3426" xr:uid="{00000000-0004-0000-0200-0000610D0000}"/>
    <hyperlink ref="B1281" r:id="rId3427" xr:uid="{00000000-0004-0000-0200-0000620D0000}"/>
    <hyperlink ref="C1281" r:id="rId3428" xr:uid="{00000000-0004-0000-0200-0000630D0000}"/>
    <hyperlink ref="A1282" r:id="rId3429" xr:uid="{00000000-0004-0000-0200-0000640D0000}"/>
    <hyperlink ref="B1282" r:id="rId3430" xr:uid="{00000000-0004-0000-0200-0000650D0000}"/>
    <hyperlink ref="C1282" r:id="rId3431" xr:uid="{00000000-0004-0000-0200-0000660D0000}"/>
    <hyperlink ref="A1283" r:id="rId3432" xr:uid="{00000000-0004-0000-0200-0000670D0000}"/>
    <hyperlink ref="B1283" r:id="rId3433" xr:uid="{00000000-0004-0000-0200-0000680D0000}"/>
    <hyperlink ref="C1283" r:id="rId3434" xr:uid="{00000000-0004-0000-0200-0000690D0000}"/>
    <hyperlink ref="A1284" r:id="rId3435" xr:uid="{00000000-0004-0000-0200-00006A0D0000}"/>
    <hyperlink ref="B1284" r:id="rId3436" xr:uid="{00000000-0004-0000-0200-00006B0D0000}"/>
    <hyperlink ref="C1284" r:id="rId3437" xr:uid="{00000000-0004-0000-0200-00006C0D0000}"/>
    <hyperlink ref="A1285" r:id="rId3438" xr:uid="{00000000-0004-0000-0200-00006D0D0000}"/>
    <hyperlink ref="B1285" r:id="rId3439" xr:uid="{00000000-0004-0000-0200-00006E0D0000}"/>
    <hyperlink ref="C1285" r:id="rId3440" xr:uid="{00000000-0004-0000-0200-00006F0D0000}"/>
    <hyperlink ref="A1286" r:id="rId3441" xr:uid="{00000000-0004-0000-0200-0000700D0000}"/>
    <hyperlink ref="B1286" r:id="rId3442" xr:uid="{00000000-0004-0000-0200-0000710D0000}"/>
    <hyperlink ref="C1286" r:id="rId3443" xr:uid="{00000000-0004-0000-0200-0000720D0000}"/>
    <hyperlink ref="A1287" r:id="rId3444" xr:uid="{00000000-0004-0000-0200-0000730D0000}"/>
    <hyperlink ref="B1287" r:id="rId3445" xr:uid="{00000000-0004-0000-0200-0000740D0000}"/>
    <hyperlink ref="C1287" r:id="rId3446" xr:uid="{00000000-0004-0000-0200-0000750D0000}"/>
    <hyperlink ref="A1288" r:id="rId3447" xr:uid="{00000000-0004-0000-0200-0000760D0000}"/>
    <hyperlink ref="B1288" r:id="rId3448" xr:uid="{00000000-0004-0000-0200-0000770D0000}"/>
    <hyperlink ref="C1288" r:id="rId3449" xr:uid="{00000000-0004-0000-0200-0000780D0000}"/>
    <hyperlink ref="A1289" r:id="rId3450" xr:uid="{00000000-0004-0000-0200-0000790D0000}"/>
    <hyperlink ref="B1289" r:id="rId3451" xr:uid="{00000000-0004-0000-0200-00007A0D0000}"/>
    <hyperlink ref="C1289" r:id="rId3452" xr:uid="{00000000-0004-0000-0200-00007B0D0000}"/>
    <hyperlink ref="A1290" r:id="rId3453" xr:uid="{00000000-0004-0000-0200-00007C0D0000}"/>
    <hyperlink ref="B1290" r:id="rId3454" xr:uid="{00000000-0004-0000-0200-00007D0D0000}"/>
    <hyperlink ref="C1290" r:id="rId3455" xr:uid="{00000000-0004-0000-0200-00007E0D0000}"/>
    <hyperlink ref="A1291" r:id="rId3456" xr:uid="{00000000-0004-0000-0200-00007F0D0000}"/>
    <hyperlink ref="B1291" r:id="rId3457" xr:uid="{00000000-0004-0000-0200-0000800D0000}"/>
    <hyperlink ref="C1291" r:id="rId3458" xr:uid="{00000000-0004-0000-0200-0000810D0000}"/>
    <hyperlink ref="A1292" r:id="rId3459" xr:uid="{00000000-0004-0000-0200-0000820D0000}"/>
    <hyperlink ref="B1292" r:id="rId3460" xr:uid="{00000000-0004-0000-0200-0000830D0000}"/>
    <hyperlink ref="C1292" r:id="rId3461" xr:uid="{00000000-0004-0000-0200-0000840D0000}"/>
    <hyperlink ref="A1293" r:id="rId3462" xr:uid="{00000000-0004-0000-0200-0000850D0000}"/>
    <hyperlink ref="B1293" r:id="rId3463" xr:uid="{00000000-0004-0000-0200-0000860D0000}"/>
    <hyperlink ref="C1293" r:id="rId3464" xr:uid="{00000000-0004-0000-0200-0000870D0000}"/>
    <hyperlink ref="A1294" r:id="rId3465" xr:uid="{00000000-0004-0000-0200-0000880D0000}"/>
    <hyperlink ref="B1294" r:id="rId3466" xr:uid="{00000000-0004-0000-0200-0000890D0000}"/>
    <hyperlink ref="C1294" r:id="rId3467" xr:uid="{00000000-0004-0000-0200-00008A0D0000}"/>
    <hyperlink ref="A1295" r:id="rId3468" xr:uid="{00000000-0004-0000-0200-00008B0D0000}"/>
    <hyperlink ref="B1295" r:id="rId3469" xr:uid="{00000000-0004-0000-0200-00008C0D0000}"/>
    <hyperlink ref="C1295" r:id="rId3470" xr:uid="{00000000-0004-0000-0200-00008D0D0000}"/>
    <hyperlink ref="A1296" r:id="rId3471" xr:uid="{00000000-0004-0000-0200-00008E0D0000}"/>
    <hyperlink ref="B1296" r:id="rId3472" xr:uid="{00000000-0004-0000-0200-00008F0D0000}"/>
    <hyperlink ref="C1296" r:id="rId3473" xr:uid="{00000000-0004-0000-0200-0000900D0000}"/>
    <hyperlink ref="A1297" r:id="rId3474" xr:uid="{00000000-0004-0000-0200-0000910D0000}"/>
    <hyperlink ref="B1297" r:id="rId3475" xr:uid="{00000000-0004-0000-0200-0000920D0000}"/>
    <hyperlink ref="C1297" r:id="rId3476" xr:uid="{00000000-0004-0000-0200-0000930D0000}"/>
    <hyperlink ref="A1298" r:id="rId3477" xr:uid="{00000000-0004-0000-0200-0000940D0000}"/>
    <hyperlink ref="B1298" r:id="rId3478" xr:uid="{00000000-0004-0000-0200-0000950D0000}"/>
    <hyperlink ref="C1298" r:id="rId3479" xr:uid="{00000000-0004-0000-0200-0000960D0000}"/>
    <hyperlink ref="A1299" r:id="rId3480" xr:uid="{00000000-0004-0000-0200-0000970D0000}"/>
    <hyperlink ref="B1299" r:id="rId3481" xr:uid="{00000000-0004-0000-0200-0000980D0000}"/>
    <hyperlink ref="C1299" r:id="rId3482" xr:uid="{00000000-0004-0000-0200-0000990D0000}"/>
    <hyperlink ref="A1300" r:id="rId3483" xr:uid="{00000000-0004-0000-0200-00009A0D0000}"/>
    <hyperlink ref="B1300" r:id="rId3484" xr:uid="{00000000-0004-0000-0200-00009B0D0000}"/>
    <hyperlink ref="C1300" r:id="rId3485" xr:uid="{00000000-0004-0000-0200-00009C0D0000}"/>
    <hyperlink ref="A1301" r:id="rId3486" xr:uid="{00000000-0004-0000-0200-00009D0D0000}"/>
    <hyperlink ref="B1301" r:id="rId3487" xr:uid="{00000000-0004-0000-0200-00009E0D0000}"/>
    <hyperlink ref="C1301" r:id="rId3488" xr:uid="{00000000-0004-0000-0200-00009F0D0000}"/>
    <hyperlink ref="A1302" r:id="rId3489" xr:uid="{00000000-0004-0000-0200-0000A00D0000}"/>
    <hyperlink ref="B1302" r:id="rId3490" xr:uid="{00000000-0004-0000-0200-0000A10D0000}"/>
    <hyperlink ref="C1302" r:id="rId3491" xr:uid="{00000000-0004-0000-0200-0000A20D0000}"/>
    <hyperlink ref="A1303" r:id="rId3492" xr:uid="{00000000-0004-0000-0200-0000A30D0000}"/>
    <hyperlink ref="B1303" r:id="rId3493" xr:uid="{00000000-0004-0000-0200-0000A40D0000}"/>
    <hyperlink ref="C1303" r:id="rId3494" xr:uid="{00000000-0004-0000-0200-0000A50D0000}"/>
    <hyperlink ref="A1304" r:id="rId3495" xr:uid="{00000000-0004-0000-0200-0000A60D0000}"/>
    <hyperlink ref="B1304" r:id="rId3496" xr:uid="{00000000-0004-0000-0200-0000A70D0000}"/>
    <hyperlink ref="C1304" r:id="rId3497" xr:uid="{00000000-0004-0000-0200-0000A80D0000}"/>
    <hyperlink ref="A1305" r:id="rId3498" xr:uid="{00000000-0004-0000-0200-0000A90D0000}"/>
    <hyperlink ref="B1305" r:id="rId3499" xr:uid="{00000000-0004-0000-0200-0000AA0D0000}"/>
    <hyperlink ref="C1305" r:id="rId3500" xr:uid="{00000000-0004-0000-0200-0000AB0D0000}"/>
    <hyperlink ref="A1306" r:id="rId3501" xr:uid="{00000000-0004-0000-0200-0000AC0D0000}"/>
    <hyperlink ref="B1306" r:id="rId3502" xr:uid="{00000000-0004-0000-0200-0000AD0D0000}"/>
    <hyperlink ref="C1306" r:id="rId3503" xr:uid="{00000000-0004-0000-0200-0000AE0D0000}"/>
    <hyperlink ref="A1307" r:id="rId3504" xr:uid="{00000000-0004-0000-0200-0000AF0D0000}"/>
    <hyperlink ref="B1307" r:id="rId3505" xr:uid="{00000000-0004-0000-0200-0000B00D0000}"/>
    <hyperlink ref="C1307" r:id="rId3506" xr:uid="{00000000-0004-0000-0200-0000B10D0000}"/>
    <hyperlink ref="A1308" r:id="rId3507" xr:uid="{00000000-0004-0000-0200-0000B20D0000}"/>
    <hyperlink ref="B1308" r:id="rId3508" xr:uid="{00000000-0004-0000-0200-0000B30D0000}"/>
    <hyperlink ref="C1308" r:id="rId3509" xr:uid="{00000000-0004-0000-0200-0000B40D0000}"/>
    <hyperlink ref="A1309" r:id="rId3510" xr:uid="{00000000-0004-0000-0200-0000B50D0000}"/>
    <hyperlink ref="B1309" r:id="rId3511" xr:uid="{00000000-0004-0000-0200-0000B60D0000}"/>
    <hyperlink ref="C1309" r:id="rId3512" xr:uid="{00000000-0004-0000-0200-0000B70D0000}"/>
    <hyperlink ref="A1310" r:id="rId3513" xr:uid="{00000000-0004-0000-0200-0000B80D0000}"/>
    <hyperlink ref="B1310" r:id="rId3514" xr:uid="{00000000-0004-0000-0200-0000B90D0000}"/>
    <hyperlink ref="C1310" r:id="rId3515" xr:uid="{00000000-0004-0000-0200-0000BA0D0000}"/>
    <hyperlink ref="A1311" r:id="rId3516" xr:uid="{00000000-0004-0000-0200-0000BB0D0000}"/>
    <hyperlink ref="B1311" r:id="rId3517" xr:uid="{00000000-0004-0000-0200-0000BC0D0000}"/>
    <hyperlink ref="C1311" r:id="rId3518" xr:uid="{00000000-0004-0000-0200-0000BD0D0000}"/>
    <hyperlink ref="A1312" r:id="rId3519" xr:uid="{00000000-0004-0000-0200-0000BE0D0000}"/>
    <hyperlink ref="B1312" r:id="rId3520" xr:uid="{00000000-0004-0000-0200-0000BF0D0000}"/>
    <hyperlink ref="C1312" r:id="rId3521" xr:uid="{00000000-0004-0000-0200-0000C00D0000}"/>
    <hyperlink ref="A1313" r:id="rId3522" xr:uid="{00000000-0004-0000-0200-0000C10D0000}"/>
    <hyperlink ref="B1313" r:id="rId3523" xr:uid="{00000000-0004-0000-0200-0000C20D0000}"/>
    <hyperlink ref="C1313" r:id="rId3524" xr:uid="{00000000-0004-0000-0200-0000C30D0000}"/>
    <hyperlink ref="A1314" r:id="rId3525" xr:uid="{00000000-0004-0000-0200-0000C40D0000}"/>
    <hyperlink ref="B1314" r:id="rId3526" xr:uid="{00000000-0004-0000-0200-0000C50D0000}"/>
    <hyperlink ref="C1314" r:id="rId3527" xr:uid="{00000000-0004-0000-0200-0000C60D0000}"/>
    <hyperlink ref="A1315" r:id="rId3528" xr:uid="{00000000-0004-0000-0200-0000C70D0000}"/>
    <hyperlink ref="B1315" r:id="rId3529" xr:uid="{00000000-0004-0000-0200-0000C80D0000}"/>
    <hyperlink ref="C1315" r:id="rId3530" xr:uid="{00000000-0004-0000-0200-0000C90D0000}"/>
    <hyperlink ref="A1316" r:id="rId3531" xr:uid="{00000000-0004-0000-0200-0000CA0D0000}"/>
    <hyperlink ref="B1316" r:id="rId3532" xr:uid="{00000000-0004-0000-0200-0000CB0D0000}"/>
    <hyperlink ref="C1316" r:id="rId3533" xr:uid="{00000000-0004-0000-0200-0000CC0D0000}"/>
    <hyperlink ref="A1317" r:id="rId3534" xr:uid="{00000000-0004-0000-0200-0000CD0D0000}"/>
    <hyperlink ref="B1317" r:id="rId3535" xr:uid="{00000000-0004-0000-0200-0000CE0D0000}"/>
    <hyperlink ref="C1317" r:id="rId3536" xr:uid="{00000000-0004-0000-0200-0000CF0D0000}"/>
    <hyperlink ref="A1318" r:id="rId3537" xr:uid="{00000000-0004-0000-0200-0000D00D0000}"/>
    <hyperlink ref="B1318" r:id="rId3538" xr:uid="{00000000-0004-0000-0200-0000D10D0000}"/>
    <hyperlink ref="C1318" r:id="rId3539" xr:uid="{00000000-0004-0000-0200-0000D20D0000}"/>
    <hyperlink ref="A1319" r:id="rId3540" xr:uid="{00000000-0004-0000-0200-0000D30D0000}"/>
    <hyperlink ref="B1319" r:id="rId3541" xr:uid="{00000000-0004-0000-0200-0000D40D0000}"/>
    <hyperlink ref="C1319" r:id="rId3542" xr:uid="{00000000-0004-0000-0200-0000D50D0000}"/>
    <hyperlink ref="A1320" r:id="rId3543" xr:uid="{00000000-0004-0000-0200-0000D60D0000}"/>
    <hyperlink ref="B1320" r:id="rId3544" xr:uid="{00000000-0004-0000-0200-0000D70D0000}"/>
    <hyperlink ref="C1320" r:id="rId3545" xr:uid="{00000000-0004-0000-0200-0000D80D0000}"/>
    <hyperlink ref="A1321" r:id="rId3546" xr:uid="{00000000-0004-0000-0200-0000D90D0000}"/>
    <hyperlink ref="B1321" r:id="rId3547" xr:uid="{00000000-0004-0000-0200-0000DA0D0000}"/>
    <hyperlink ref="C1321" r:id="rId3548" xr:uid="{00000000-0004-0000-0200-0000DB0D0000}"/>
    <hyperlink ref="A1322" r:id="rId3549" xr:uid="{00000000-0004-0000-0200-0000DC0D0000}"/>
    <hyperlink ref="B1322" r:id="rId3550" xr:uid="{00000000-0004-0000-0200-0000DD0D0000}"/>
    <hyperlink ref="C1322" r:id="rId3551" xr:uid="{00000000-0004-0000-0200-0000DE0D0000}"/>
    <hyperlink ref="A1323" r:id="rId3552" xr:uid="{00000000-0004-0000-0200-0000DF0D0000}"/>
    <hyperlink ref="B1323" r:id="rId3553" xr:uid="{00000000-0004-0000-0200-0000E00D0000}"/>
    <hyperlink ref="C1323" r:id="rId3554" location="Benefits_of_Living_in_Columbus_Retirement_Communities" xr:uid="{00000000-0004-0000-0200-0000E10D0000}"/>
    <hyperlink ref="A1324" r:id="rId3555" xr:uid="{00000000-0004-0000-0200-0000E20D0000}"/>
    <hyperlink ref="B1324" r:id="rId3556" xr:uid="{00000000-0004-0000-0200-0000E30D0000}"/>
    <hyperlink ref="C1324" r:id="rId3557" xr:uid="{00000000-0004-0000-0200-0000E40D0000}"/>
    <hyperlink ref="A1325" r:id="rId3558" xr:uid="{00000000-0004-0000-0200-0000E50D0000}"/>
    <hyperlink ref="B1325" r:id="rId3559" xr:uid="{00000000-0004-0000-0200-0000E60D0000}"/>
    <hyperlink ref="C1325" r:id="rId3560" xr:uid="{00000000-0004-0000-0200-0000E70D0000}"/>
    <hyperlink ref="A1326" r:id="rId3561" xr:uid="{00000000-0004-0000-0200-0000E80D0000}"/>
    <hyperlink ref="B1326" r:id="rId3562" xr:uid="{00000000-0004-0000-0200-0000E90D0000}"/>
    <hyperlink ref="C1326" r:id="rId3563" xr:uid="{00000000-0004-0000-0200-0000EA0D0000}"/>
    <hyperlink ref="A1327" r:id="rId3564" xr:uid="{00000000-0004-0000-0200-0000EB0D0000}"/>
    <hyperlink ref="B1327" r:id="rId3565" xr:uid="{00000000-0004-0000-0200-0000EC0D0000}"/>
    <hyperlink ref="C1327" r:id="rId3566" xr:uid="{00000000-0004-0000-0200-0000ED0D0000}"/>
    <hyperlink ref="A1328" r:id="rId3567" xr:uid="{00000000-0004-0000-0200-0000EE0D0000}"/>
    <hyperlink ref="B1328" r:id="rId3568" xr:uid="{00000000-0004-0000-0200-0000EF0D0000}"/>
    <hyperlink ref="C1328" r:id="rId3569" xr:uid="{00000000-0004-0000-0200-0000F00D0000}"/>
    <hyperlink ref="A1329" r:id="rId3570" xr:uid="{00000000-0004-0000-0200-0000F10D0000}"/>
    <hyperlink ref="B1329" r:id="rId3571" xr:uid="{00000000-0004-0000-0200-0000F20D0000}"/>
    <hyperlink ref="C1329" r:id="rId3572" xr:uid="{00000000-0004-0000-0200-0000F30D0000}"/>
    <hyperlink ref="A1330" r:id="rId3573" xr:uid="{00000000-0004-0000-0200-0000F40D0000}"/>
    <hyperlink ref="B1330" r:id="rId3574" xr:uid="{00000000-0004-0000-0200-0000F50D0000}"/>
    <hyperlink ref="C1330" r:id="rId3575" xr:uid="{00000000-0004-0000-0200-0000F60D0000}"/>
    <hyperlink ref="A1331" r:id="rId3576" xr:uid="{00000000-0004-0000-0200-0000F70D0000}"/>
    <hyperlink ref="B1331" r:id="rId3577" xr:uid="{00000000-0004-0000-0200-0000F80D0000}"/>
    <hyperlink ref="C1331" r:id="rId3578" xr:uid="{00000000-0004-0000-0200-0000F90D0000}"/>
    <hyperlink ref="A1332" r:id="rId3579" xr:uid="{00000000-0004-0000-0200-0000FA0D0000}"/>
    <hyperlink ref="B1332" r:id="rId3580" xr:uid="{00000000-0004-0000-0200-0000FB0D0000}"/>
    <hyperlink ref="C1332" r:id="rId3581" xr:uid="{00000000-0004-0000-0200-0000FC0D0000}"/>
    <hyperlink ref="A1333" r:id="rId3582" xr:uid="{00000000-0004-0000-0200-0000FD0D0000}"/>
    <hyperlink ref="B1333" r:id="rId3583" xr:uid="{00000000-0004-0000-0200-0000FE0D0000}"/>
    <hyperlink ref="C1333" r:id="rId3584" xr:uid="{00000000-0004-0000-0200-0000FF0D0000}"/>
    <hyperlink ref="A1334" r:id="rId3585" xr:uid="{00000000-0004-0000-0200-0000000E0000}"/>
    <hyperlink ref="B1334" r:id="rId3586" xr:uid="{00000000-0004-0000-0200-0000010E0000}"/>
    <hyperlink ref="C1334" r:id="rId3587" xr:uid="{00000000-0004-0000-0200-0000020E0000}"/>
    <hyperlink ref="A1335" r:id="rId3588" xr:uid="{00000000-0004-0000-0200-0000030E0000}"/>
    <hyperlink ref="B1335" r:id="rId3589" xr:uid="{00000000-0004-0000-0200-0000040E0000}"/>
    <hyperlink ref="C1335" r:id="rId3590" xr:uid="{00000000-0004-0000-0200-0000050E0000}"/>
    <hyperlink ref="A1336" r:id="rId3591" xr:uid="{00000000-0004-0000-0200-0000060E0000}"/>
    <hyperlink ref="B1336" r:id="rId3592" xr:uid="{00000000-0004-0000-0200-0000070E0000}"/>
    <hyperlink ref="C1336" r:id="rId3593" xr:uid="{00000000-0004-0000-0200-0000080E0000}"/>
    <hyperlink ref="A1337" r:id="rId3594" xr:uid="{00000000-0004-0000-0200-0000090E0000}"/>
    <hyperlink ref="B1337" r:id="rId3595" xr:uid="{00000000-0004-0000-0200-00000A0E0000}"/>
    <hyperlink ref="C1337" r:id="rId3596" xr:uid="{00000000-0004-0000-0200-00000B0E0000}"/>
    <hyperlink ref="A1338" r:id="rId3597" xr:uid="{00000000-0004-0000-0200-00000C0E0000}"/>
    <hyperlink ref="B1338" r:id="rId3598" xr:uid="{00000000-0004-0000-0200-00000D0E0000}"/>
    <hyperlink ref="C1338" r:id="rId3599" xr:uid="{00000000-0004-0000-0200-00000E0E0000}"/>
    <hyperlink ref="A1339" r:id="rId3600" xr:uid="{00000000-0004-0000-0200-00000F0E0000}"/>
    <hyperlink ref="B1339" r:id="rId3601" xr:uid="{00000000-0004-0000-0200-0000100E0000}"/>
    <hyperlink ref="C1339" r:id="rId3602" xr:uid="{00000000-0004-0000-0200-0000110E0000}"/>
    <hyperlink ref="A1340" r:id="rId3603" xr:uid="{00000000-0004-0000-0200-0000120E0000}"/>
    <hyperlink ref="B1340" r:id="rId3604" xr:uid="{00000000-0004-0000-0200-0000130E0000}"/>
    <hyperlink ref="C1340" r:id="rId3605" xr:uid="{00000000-0004-0000-0200-0000140E0000}"/>
    <hyperlink ref="A1341" r:id="rId3606" xr:uid="{00000000-0004-0000-0200-0000150E0000}"/>
    <hyperlink ref="B1341" r:id="rId3607" xr:uid="{00000000-0004-0000-0200-0000160E0000}"/>
    <hyperlink ref="C1341" r:id="rId3608" xr:uid="{00000000-0004-0000-0200-0000170E0000}"/>
    <hyperlink ref="A1342" r:id="rId3609" xr:uid="{00000000-0004-0000-0200-0000180E0000}"/>
    <hyperlink ref="B1342" r:id="rId3610" xr:uid="{00000000-0004-0000-0200-0000190E0000}"/>
    <hyperlink ref="C1342" r:id="rId3611" xr:uid="{00000000-0004-0000-0200-00001A0E0000}"/>
    <hyperlink ref="A1343" r:id="rId3612" xr:uid="{00000000-0004-0000-0200-00001B0E0000}"/>
    <hyperlink ref="B1343" r:id="rId3613" xr:uid="{00000000-0004-0000-0200-00001C0E0000}"/>
    <hyperlink ref="C1343" r:id="rId3614" xr:uid="{00000000-0004-0000-0200-00001D0E0000}"/>
    <hyperlink ref="A1344" r:id="rId3615" xr:uid="{00000000-0004-0000-0200-00001E0E0000}"/>
    <hyperlink ref="B1344" r:id="rId3616" xr:uid="{00000000-0004-0000-0200-00001F0E0000}"/>
    <hyperlink ref="C1344" r:id="rId3617" xr:uid="{00000000-0004-0000-0200-0000200E0000}"/>
    <hyperlink ref="A1345" r:id="rId3618" xr:uid="{00000000-0004-0000-0200-0000210E0000}"/>
    <hyperlink ref="B1345" r:id="rId3619" xr:uid="{00000000-0004-0000-0200-0000220E0000}"/>
    <hyperlink ref="C1345" r:id="rId3620" xr:uid="{00000000-0004-0000-0200-0000230E0000}"/>
    <hyperlink ref="A1346" r:id="rId3621" xr:uid="{00000000-0004-0000-0200-0000240E0000}"/>
    <hyperlink ref="B1346" r:id="rId3622" xr:uid="{00000000-0004-0000-0200-0000250E0000}"/>
    <hyperlink ref="C1346" r:id="rId3623" xr:uid="{00000000-0004-0000-0200-0000260E0000}"/>
    <hyperlink ref="A1347" r:id="rId3624" xr:uid="{00000000-0004-0000-0200-0000270E0000}"/>
    <hyperlink ref="B1347" r:id="rId3625" xr:uid="{00000000-0004-0000-0200-0000280E0000}"/>
    <hyperlink ref="C1347" r:id="rId3626" xr:uid="{00000000-0004-0000-0200-0000290E0000}"/>
    <hyperlink ref="A1348" r:id="rId3627" xr:uid="{00000000-0004-0000-0200-00002A0E0000}"/>
    <hyperlink ref="B1348" r:id="rId3628" xr:uid="{00000000-0004-0000-0200-00002B0E0000}"/>
    <hyperlink ref="C1348" r:id="rId3629" xr:uid="{00000000-0004-0000-0200-00002C0E0000}"/>
    <hyperlink ref="A1349" r:id="rId3630" xr:uid="{00000000-0004-0000-0200-00002D0E0000}"/>
    <hyperlink ref="B1349" r:id="rId3631" xr:uid="{00000000-0004-0000-0200-00002E0E0000}"/>
    <hyperlink ref="C1349" r:id="rId3632" xr:uid="{00000000-0004-0000-0200-00002F0E0000}"/>
    <hyperlink ref="A1350" r:id="rId3633" xr:uid="{00000000-0004-0000-0200-0000300E0000}"/>
    <hyperlink ref="B1350" r:id="rId3634" xr:uid="{00000000-0004-0000-0200-0000310E0000}"/>
    <hyperlink ref="C1350" r:id="rId3635" xr:uid="{00000000-0004-0000-0200-0000320E0000}"/>
    <hyperlink ref="A1351" r:id="rId3636" xr:uid="{00000000-0004-0000-0200-0000330E0000}"/>
    <hyperlink ref="B1351" r:id="rId3637" xr:uid="{00000000-0004-0000-0200-0000340E0000}"/>
    <hyperlink ref="C1351" r:id="rId3638" xr:uid="{00000000-0004-0000-0200-0000350E0000}"/>
    <hyperlink ref="A1352" r:id="rId3639" xr:uid="{00000000-0004-0000-0200-0000360E0000}"/>
    <hyperlink ref="B1352" r:id="rId3640" xr:uid="{00000000-0004-0000-0200-0000370E0000}"/>
    <hyperlink ref="C1352" r:id="rId3641" xr:uid="{00000000-0004-0000-0200-0000380E0000}"/>
    <hyperlink ref="A1353" r:id="rId3642" xr:uid="{00000000-0004-0000-0200-0000390E0000}"/>
    <hyperlink ref="B1353" r:id="rId3643" xr:uid="{00000000-0004-0000-0200-00003A0E0000}"/>
    <hyperlink ref="C1353" r:id="rId3644" xr:uid="{00000000-0004-0000-0200-00003B0E0000}"/>
    <hyperlink ref="A1354" r:id="rId3645" xr:uid="{00000000-0004-0000-0200-00003C0E0000}"/>
    <hyperlink ref="B1354" r:id="rId3646" xr:uid="{00000000-0004-0000-0200-00003D0E0000}"/>
    <hyperlink ref="C1354" r:id="rId3647" xr:uid="{00000000-0004-0000-0200-00003E0E0000}"/>
    <hyperlink ref="A1355" r:id="rId3648" xr:uid="{00000000-0004-0000-0200-00003F0E0000}"/>
    <hyperlink ref="B1355" r:id="rId3649" xr:uid="{00000000-0004-0000-0200-0000400E0000}"/>
    <hyperlink ref="C1355" r:id="rId3650" xr:uid="{00000000-0004-0000-0200-0000410E0000}"/>
    <hyperlink ref="A1356" r:id="rId3651" xr:uid="{00000000-0004-0000-0200-0000420E0000}"/>
    <hyperlink ref="B1356" r:id="rId3652" xr:uid="{00000000-0004-0000-0200-0000430E0000}"/>
    <hyperlink ref="C1356" r:id="rId3653" xr:uid="{00000000-0004-0000-0200-0000440E0000}"/>
    <hyperlink ref="A1357" r:id="rId3654" xr:uid="{00000000-0004-0000-0200-0000450E0000}"/>
    <hyperlink ref="B1357" r:id="rId3655" xr:uid="{00000000-0004-0000-0200-0000460E0000}"/>
    <hyperlink ref="C1357" r:id="rId3656" xr:uid="{00000000-0004-0000-0200-0000470E0000}"/>
    <hyperlink ref="A1358" r:id="rId3657" xr:uid="{00000000-0004-0000-0200-0000480E0000}"/>
    <hyperlink ref="B1358" r:id="rId3658" xr:uid="{00000000-0004-0000-0200-0000490E0000}"/>
    <hyperlink ref="C1358" r:id="rId3659" xr:uid="{00000000-0004-0000-0200-00004A0E0000}"/>
    <hyperlink ref="A1359" r:id="rId3660" xr:uid="{00000000-0004-0000-0200-00004B0E0000}"/>
    <hyperlink ref="B1359" r:id="rId3661" xr:uid="{00000000-0004-0000-0200-00004C0E0000}"/>
    <hyperlink ref="C1359" r:id="rId3662" xr:uid="{00000000-0004-0000-0200-00004D0E0000}"/>
    <hyperlink ref="A1360" r:id="rId3663" xr:uid="{00000000-0004-0000-0200-00004E0E0000}"/>
    <hyperlink ref="B1360" r:id="rId3664" xr:uid="{00000000-0004-0000-0200-00004F0E0000}"/>
    <hyperlink ref="C1360" r:id="rId3665" xr:uid="{00000000-0004-0000-0200-0000500E0000}"/>
    <hyperlink ref="A1361" r:id="rId3666" xr:uid="{00000000-0004-0000-0200-0000510E0000}"/>
    <hyperlink ref="B1361" r:id="rId3667" xr:uid="{00000000-0004-0000-0200-0000520E0000}"/>
    <hyperlink ref="C1361" r:id="rId3668" xr:uid="{00000000-0004-0000-0200-0000530E0000}"/>
    <hyperlink ref="A1362" r:id="rId3669" xr:uid="{00000000-0004-0000-0200-0000540E0000}"/>
    <hyperlink ref="B1362" r:id="rId3670" xr:uid="{00000000-0004-0000-0200-0000550E0000}"/>
    <hyperlink ref="C1362" r:id="rId3671" xr:uid="{00000000-0004-0000-0200-0000560E0000}"/>
    <hyperlink ref="A1363" r:id="rId3672" xr:uid="{00000000-0004-0000-0200-0000570E0000}"/>
    <hyperlink ref="B1363" r:id="rId3673" xr:uid="{00000000-0004-0000-0200-0000580E0000}"/>
    <hyperlink ref="C1363" r:id="rId3674" xr:uid="{00000000-0004-0000-0200-0000590E0000}"/>
    <hyperlink ref="A1364" r:id="rId3675" xr:uid="{00000000-0004-0000-0200-00005A0E0000}"/>
    <hyperlink ref="B1364" r:id="rId3676" xr:uid="{00000000-0004-0000-0200-00005B0E0000}"/>
    <hyperlink ref="C1364" r:id="rId3677" xr:uid="{00000000-0004-0000-0200-00005C0E0000}"/>
    <hyperlink ref="A1365" r:id="rId3678" xr:uid="{00000000-0004-0000-0200-00005D0E0000}"/>
    <hyperlink ref="B1365" r:id="rId3679" xr:uid="{00000000-0004-0000-0200-00005E0E0000}"/>
    <hyperlink ref="C1365" r:id="rId3680" xr:uid="{00000000-0004-0000-0200-00005F0E0000}"/>
    <hyperlink ref="A1366" r:id="rId3681" xr:uid="{00000000-0004-0000-0200-0000600E0000}"/>
    <hyperlink ref="B1366" r:id="rId3682" xr:uid="{00000000-0004-0000-0200-0000610E0000}"/>
    <hyperlink ref="C1366" r:id="rId3683" xr:uid="{00000000-0004-0000-0200-0000620E0000}"/>
    <hyperlink ref="A1367" r:id="rId3684" xr:uid="{00000000-0004-0000-0200-0000630E0000}"/>
    <hyperlink ref="B1367" r:id="rId3685" xr:uid="{00000000-0004-0000-0200-0000640E0000}"/>
    <hyperlink ref="C1367" r:id="rId3686" xr:uid="{00000000-0004-0000-0200-0000650E0000}"/>
    <hyperlink ref="A1368" r:id="rId3687" xr:uid="{00000000-0004-0000-0200-0000660E0000}"/>
    <hyperlink ref="B1368" r:id="rId3688" xr:uid="{00000000-0004-0000-0200-0000670E0000}"/>
    <hyperlink ref="C1368" r:id="rId3689" xr:uid="{00000000-0004-0000-0200-0000680E0000}"/>
    <hyperlink ref="A1369" r:id="rId3690" xr:uid="{00000000-0004-0000-0200-0000690E0000}"/>
    <hyperlink ref="B1369" r:id="rId3691" xr:uid="{00000000-0004-0000-0200-00006A0E0000}"/>
    <hyperlink ref="C1369" r:id="rId3692" xr:uid="{00000000-0004-0000-0200-00006B0E0000}"/>
    <hyperlink ref="A1370" r:id="rId3693" xr:uid="{00000000-0004-0000-0200-00006C0E0000}"/>
    <hyperlink ref="B1370" r:id="rId3694" xr:uid="{00000000-0004-0000-0200-00006D0E0000}"/>
    <hyperlink ref="C1370" r:id="rId3695" xr:uid="{00000000-0004-0000-0200-00006E0E0000}"/>
    <hyperlink ref="A1371" r:id="rId3696" xr:uid="{00000000-0004-0000-0200-00006F0E0000}"/>
    <hyperlink ref="B1371" r:id="rId3697" xr:uid="{00000000-0004-0000-0200-0000700E0000}"/>
    <hyperlink ref="C1371" r:id="rId3698" xr:uid="{00000000-0004-0000-0200-0000710E0000}"/>
    <hyperlink ref="A1372" r:id="rId3699" xr:uid="{00000000-0004-0000-0200-0000720E0000}"/>
    <hyperlink ref="B1372" r:id="rId3700" xr:uid="{00000000-0004-0000-0200-0000730E0000}"/>
    <hyperlink ref="C1372" r:id="rId3701" xr:uid="{00000000-0004-0000-0200-0000740E0000}"/>
    <hyperlink ref="A1373" r:id="rId3702" xr:uid="{00000000-0004-0000-0200-0000750E0000}"/>
    <hyperlink ref="B1373" r:id="rId3703" xr:uid="{00000000-0004-0000-0200-0000760E0000}"/>
    <hyperlink ref="C1373" r:id="rId3704" xr:uid="{00000000-0004-0000-0200-0000770E0000}"/>
    <hyperlink ref="A1374" r:id="rId3705" xr:uid="{00000000-0004-0000-0200-0000780E0000}"/>
    <hyperlink ref="B1374" r:id="rId3706" xr:uid="{00000000-0004-0000-0200-0000790E0000}"/>
    <hyperlink ref="C1374" r:id="rId3707" xr:uid="{00000000-0004-0000-0200-00007A0E0000}"/>
    <hyperlink ref="A1375" r:id="rId3708" xr:uid="{00000000-0004-0000-0200-00007B0E0000}"/>
    <hyperlink ref="B1375" r:id="rId3709" xr:uid="{00000000-0004-0000-0200-00007C0E0000}"/>
    <hyperlink ref="C1375" r:id="rId3710" xr:uid="{00000000-0004-0000-0200-00007D0E0000}"/>
    <hyperlink ref="A1376" r:id="rId3711" xr:uid="{00000000-0004-0000-0200-00007E0E0000}"/>
    <hyperlink ref="B1376" r:id="rId3712" xr:uid="{00000000-0004-0000-0200-00007F0E0000}"/>
    <hyperlink ref="C1376" r:id="rId3713" xr:uid="{00000000-0004-0000-0200-0000800E0000}"/>
    <hyperlink ref="A1377" r:id="rId3714" xr:uid="{00000000-0004-0000-0200-0000810E0000}"/>
    <hyperlink ref="B1377" r:id="rId3715" xr:uid="{00000000-0004-0000-0200-0000820E0000}"/>
    <hyperlink ref="C1377" r:id="rId3716" xr:uid="{00000000-0004-0000-0200-0000830E0000}"/>
    <hyperlink ref="A1378" r:id="rId3717" xr:uid="{00000000-0004-0000-0200-0000840E0000}"/>
    <hyperlink ref="B1378" r:id="rId3718" xr:uid="{00000000-0004-0000-0200-0000850E0000}"/>
    <hyperlink ref="C1378" r:id="rId3719" xr:uid="{00000000-0004-0000-0200-0000860E0000}"/>
    <hyperlink ref="A1379" r:id="rId3720" xr:uid="{00000000-0004-0000-0200-0000870E0000}"/>
    <hyperlink ref="B1379" r:id="rId3721" xr:uid="{00000000-0004-0000-0200-0000880E0000}"/>
    <hyperlink ref="C1379" r:id="rId3722" xr:uid="{00000000-0004-0000-0200-0000890E0000}"/>
    <hyperlink ref="A1380" r:id="rId3723" xr:uid="{00000000-0004-0000-0200-00008A0E0000}"/>
    <hyperlink ref="B1380" r:id="rId3724" xr:uid="{00000000-0004-0000-0200-00008B0E0000}"/>
    <hyperlink ref="C1380" r:id="rId3725" xr:uid="{00000000-0004-0000-0200-00008C0E0000}"/>
    <hyperlink ref="A1381" r:id="rId3726" xr:uid="{00000000-0004-0000-0200-00008D0E0000}"/>
    <hyperlink ref="B1381" r:id="rId3727" xr:uid="{00000000-0004-0000-0200-00008E0E0000}"/>
    <hyperlink ref="C1381" r:id="rId3728" xr:uid="{00000000-0004-0000-0200-00008F0E0000}"/>
    <hyperlink ref="A1382" r:id="rId3729" xr:uid="{00000000-0004-0000-0200-0000900E0000}"/>
    <hyperlink ref="B1382" r:id="rId3730" xr:uid="{00000000-0004-0000-0200-0000910E0000}"/>
    <hyperlink ref="C1382" r:id="rId3731" xr:uid="{00000000-0004-0000-0200-0000920E0000}"/>
    <hyperlink ref="A1383" r:id="rId3732" xr:uid="{00000000-0004-0000-0200-0000930E0000}"/>
    <hyperlink ref="B1383" r:id="rId3733" xr:uid="{00000000-0004-0000-0200-0000940E0000}"/>
    <hyperlink ref="C1383" r:id="rId3734" xr:uid="{00000000-0004-0000-0200-0000950E0000}"/>
    <hyperlink ref="A1384" r:id="rId3735" xr:uid="{00000000-0004-0000-0200-0000960E0000}"/>
    <hyperlink ref="B1384" r:id="rId3736" xr:uid="{00000000-0004-0000-0200-0000970E0000}"/>
    <hyperlink ref="C1384" r:id="rId3737" xr:uid="{00000000-0004-0000-0200-0000980E0000}"/>
    <hyperlink ref="A1385" r:id="rId3738" xr:uid="{00000000-0004-0000-0200-0000990E0000}"/>
    <hyperlink ref="B1385" r:id="rId3739" xr:uid="{00000000-0004-0000-0200-00009A0E0000}"/>
    <hyperlink ref="C1385" r:id="rId3740" xr:uid="{00000000-0004-0000-0200-00009B0E0000}"/>
    <hyperlink ref="A1386" r:id="rId3741" xr:uid="{00000000-0004-0000-0200-00009C0E0000}"/>
    <hyperlink ref="B1386" r:id="rId3742" xr:uid="{00000000-0004-0000-0200-00009D0E0000}"/>
    <hyperlink ref="C1386" r:id="rId3743" xr:uid="{00000000-0004-0000-0200-00009E0E0000}"/>
    <hyperlink ref="A1387" r:id="rId3744" xr:uid="{00000000-0004-0000-0200-00009F0E0000}"/>
    <hyperlink ref="B1387" r:id="rId3745" xr:uid="{00000000-0004-0000-0200-0000A00E0000}"/>
    <hyperlink ref="C1387" r:id="rId3746" xr:uid="{00000000-0004-0000-0200-0000A10E0000}"/>
    <hyperlink ref="A1388" r:id="rId3747" xr:uid="{00000000-0004-0000-0200-0000A20E0000}"/>
    <hyperlink ref="B1388" r:id="rId3748" xr:uid="{00000000-0004-0000-0200-0000A30E0000}"/>
    <hyperlink ref="C1388" r:id="rId3749" xr:uid="{00000000-0004-0000-0200-0000A40E0000}"/>
    <hyperlink ref="A1389" r:id="rId3750" xr:uid="{00000000-0004-0000-0200-0000A50E0000}"/>
    <hyperlink ref="B1389" r:id="rId3751" xr:uid="{00000000-0004-0000-0200-0000A60E0000}"/>
    <hyperlink ref="C1389" r:id="rId3752" xr:uid="{00000000-0004-0000-0200-0000A70E0000}"/>
    <hyperlink ref="A1390" r:id="rId3753" xr:uid="{00000000-0004-0000-0200-0000A80E0000}"/>
    <hyperlink ref="B1390" r:id="rId3754" xr:uid="{00000000-0004-0000-0200-0000A90E0000}"/>
    <hyperlink ref="C1390" r:id="rId3755" xr:uid="{00000000-0004-0000-0200-0000AA0E0000}"/>
    <hyperlink ref="A1391" r:id="rId3756" xr:uid="{00000000-0004-0000-0200-0000AB0E0000}"/>
    <hyperlink ref="B1391" r:id="rId3757" xr:uid="{00000000-0004-0000-0200-0000AC0E0000}"/>
    <hyperlink ref="C1391" r:id="rId3758" xr:uid="{00000000-0004-0000-0200-0000AD0E0000}"/>
    <hyperlink ref="A1392" r:id="rId3759" xr:uid="{00000000-0004-0000-0200-0000AE0E0000}"/>
    <hyperlink ref="B1392" r:id="rId3760" xr:uid="{00000000-0004-0000-0200-0000AF0E0000}"/>
    <hyperlink ref="C1392" r:id="rId3761" xr:uid="{00000000-0004-0000-0200-0000B00E0000}"/>
    <hyperlink ref="A1393" r:id="rId3762" xr:uid="{00000000-0004-0000-0200-0000B10E0000}"/>
    <hyperlink ref="B1393" r:id="rId3763" xr:uid="{00000000-0004-0000-0200-0000B20E0000}"/>
    <hyperlink ref="C1393" r:id="rId3764" xr:uid="{00000000-0004-0000-0200-0000B30E0000}"/>
    <hyperlink ref="A1394" r:id="rId3765" xr:uid="{00000000-0004-0000-0200-0000B40E0000}"/>
    <hyperlink ref="B1394" r:id="rId3766" xr:uid="{00000000-0004-0000-0200-0000B50E0000}"/>
    <hyperlink ref="C1394" r:id="rId3767" xr:uid="{00000000-0004-0000-0200-0000B60E0000}"/>
    <hyperlink ref="A1395" r:id="rId3768" xr:uid="{00000000-0004-0000-0200-0000B70E0000}"/>
    <hyperlink ref="B1395" r:id="rId3769" xr:uid="{00000000-0004-0000-0200-0000B80E0000}"/>
    <hyperlink ref="C1395" r:id="rId3770" xr:uid="{00000000-0004-0000-0200-0000B90E0000}"/>
    <hyperlink ref="A1396" r:id="rId3771" xr:uid="{00000000-0004-0000-0200-0000BA0E0000}"/>
    <hyperlink ref="B1396" r:id="rId3772" xr:uid="{00000000-0004-0000-0200-0000BB0E0000}"/>
    <hyperlink ref="C1396" r:id="rId3773" xr:uid="{00000000-0004-0000-0200-0000BC0E0000}"/>
    <hyperlink ref="A1397" r:id="rId3774" xr:uid="{00000000-0004-0000-0200-0000BD0E0000}"/>
    <hyperlink ref="B1397" r:id="rId3775" xr:uid="{00000000-0004-0000-0200-0000BE0E0000}"/>
    <hyperlink ref="C1397" r:id="rId3776" xr:uid="{00000000-0004-0000-0200-0000BF0E0000}"/>
    <hyperlink ref="A1398" r:id="rId3777" xr:uid="{00000000-0004-0000-0200-0000C00E0000}"/>
    <hyperlink ref="B1398" r:id="rId3778" xr:uid="{00000000-0004-0000-0200-0000C10E0000}"/>
    <hyperlink ref="C1398" r:id="rId3779" xr:uid="{00000000-0004-0000-0200-0000C20E0000}"/>
    <hyperlink ref="A1399" r:id="rId3780" xr:uid="{00000000-0004-0000-0200-0000C30E0000}"/>
    <hyperlink ref="B1399" r:id="rId3781" xr:uid="{00000000-0004-0000-0200-0000C40E0000}"/>
    <hyperlink ref="C1399" r:id="rId3782" xr:uid="{00000000-0004-0000-0200-0000C50E0000}"/>
    <hyperlink ref="A1400" r:id="rId3783" xr:uid="{00000000-0004-0000-0200-0000C60E0000}"/>
    <hyperlink ref="B1400" r:id="rId3784" xr:uid="{00000000-0004-0000-0200-0000C70E0000}"/>
    <hyperlink ref="C1400" r:id="rId3785" xr:uid="{00000000-0004-0000-0200-0000C80E0000}"/>
    <hyperlink ref="A1401" r:id="rId3786" xr:uid="{00000000-0004-0000-0200-0000C90E0000}"/>
    <hyperlink ref="B1401" r:id="rId3787" xr:uid="{00000000-0004-0000-0200-0000CA0E0000}"/>
    <hyperlink ref="C1401" r:id="rId3788" xr:uid="{00000000-0004-0000-0200-0000CB0E0000}"/>
    <hyperlink ref="A1402" r:id="rId3789" xr:uid="{00000000-0004-0000-0200-0000CC0E0000}"/>
    <hyperlink ref="B1402" r:id="rId3790" xr:uid="{00000000-0004-0000-0200-0000CD0E0000}"/>
    <hyperlink ref="C1402" r:id="rId3791" xr:uid="{00000000-0004-0000-0200-0000CE0E0000}"/>
    <hyperlink ref="A1403" r:id="rId3792" xr:uid="{00000000-0004-0000-0200-0000CF0E0000}"/>
    <hyperlink ref="B1403" r:id="rId3793" xr:uid="{00000000-0004-0000-0200-0000D00E0000}"/>
    <hyperlink ref="C1403" r:id="rId3794" xr:uid="{00000000-0004-0000-0200-0000D10E0000}"/>
    <hyperlink ref="A1404" r:id="rId3795" xr:uid="{00000000-0004-0000-0200-0000D20E0000}"/>
    <hyperlink ref="B1404" r:id="rId3796" xr:uid="{00000000-0004-0000-0200-0000D30E0000}"/>
    <hyperlink ref="C1404" r:id="rId3797" xr:uid="{00000000-0004-0000-0200-0000D40E0000}"/>
    <hyperlink ref="A1405" r:id="rId3798" xr:uid="{00000000-0004-0000-0200-0000D50E0000}"/>
    <hyperlink ref="B1405" r:id="rId3799" xr:uid="{00000000-0004-0000-0200-0000D60E0000}"/>
    <hyperlink ref="C1405" r:id="rId3800" xr:uid="{00000000-0004-0000-0200-0000D70E0000}"/>
    <hyperlink ref="A1406" r:id="rId3801" xr:uid="{00000000-0004-0000-0200-0000D80E0000}"/>
    <hyperlink ref="B1406" r:id="rId3802" xr:uid="{00000000-0004-0000-0200-0000D90E0000}"/>
    <hyperlink ref="C1406" r:id="rId3803" xr:uid="{00000000-0004-0000-0200-0000DA0E0000}"/>
    <hyperlink ref="A1407" r:id="rId3804" xr:uid="{00000000-0004-0000-0200-0000DB0E0000}"/>
    <hyperlink ref="B1407" r:id="rId3805" xr:uid="{00000000-0004-0000-0200-0000DC0E0000}"/>
    <hyperlink ref="C1407" r:id="rId3806" xr:uid="{00000000-0004-0000-0200-0000DD0E0000}"/>
    <hyperlink ref="A1408" r:id="rId3807" xr:uid="{00000000-0004-0000-0200-0000DE0E0000}"/>
    <hyperlink ref="B1408" r:id="rId3808" xr:uid="{00000000-0004-0000-0200-0000DF0E0000}"/>
    <hyperlink ref="C1408" r:id="rId3809" xr:uid="{00000000-0004-0000-0200-0000E00E0000}"/>
    <hyperlink ref="A1409" r:id="rId3810" xr:uid="{00000000-0004-0000-0200-0000E10E0000}"/>
    <hyperlink ref="B1409" r:id="rId3811" xr:uid="{00000000-0004-0000-0200-0000E20E0000}"/>
    <hyperlink ref="C1409" r:id="rId3812" xr:uid="{00000000-0004-0000-0200-0000E30E0000}"/>
    <hyperlink ref="A1410" r:id="rId3813" xr:uid="{00000000-0004-0000-0200-0000E40E0000}"/>
    <hyperlink ref="B1410" r:id="rId3814" xr:uid="{00000000-0004-0000-0200-0000E50E0000}"/>
    <hyperlink ref="C1410" r:id="rId3815" xr:uid="{00000000-0004-0000-0200-0000E60E0000}"/>
    <hyperlink ref="A1411" r:id="rId3816" xr:uid="{00000000-0004-0000-0200-0000E70E0000}"/>
    <hyperlink ref="B1411" r:id="rId3817" xr:uid="{00000000-0004-0000-0200-0000E80E0000}"/>
    <hyperlink ref="C1411" r:id="rId3818" xr:uid="{00000000-0004-0000-0200-0000E90E0000}"/>
    <hyperlink ref="A1412" r:id="rId3819" xr:uid="{00000000-0004-0000-0200-0000EA0E0000}"/>
    <hyperlink ref="B1412" r:id="rId3820" xr:uid="{00000000-0004-0000-0200-0000EB0E0000}"/>
    <hyperlink ref="C1412" r:id="rId3821" xr:uid="{00000000-0004-0000-0200-0000EC0E0000}"/>
    <hyperlink ref="A1413" r:id="rId3822" xr:uid="{00000000-0004-0000-0200-0000ED0E0000}"/>
    <hyperlink ref="B1413" r:id="rId3823" xr:uid="{00000000-0004-0000-0200-0000EE0E0000}"/>
    <hyperlink ref="C1413" r:id="rId3824" xr:uid="{00000000-0004-0000-0200-0000EF0E0000}"/>
    <hyperlink ref="A1414" r:id="rId3825" xr:uid="{00000000-0004-0000-0200-0000F00E0000}"/>
    <hyperlink ref="B1414" r:id="rId3826" xr:uid="{00000000-0004-0000-0200-0000F10E0000}"/>
    <hyperlink ref="C1414" r:id="rId3827" xr:uid="{00000000-0004-0000-0200-0000F20E0000}"/>
    <hyperlink ref="A1415" r:id="rId3828" xr:uid="{00000000-0004-0000-0200-0000F30E0000}"/>
    <hyperlink ref="B1415" r:id="rId3829" xr:uid="{00000000-0004-0000-0200-0000F40E0000}"/>
    <hyperlink ref="C1415" r:id="rId3830" xr:uid="{00000000-0004-0000-0200-0000F50E0000}"/>
    <hyperlink ref="A1416" r:id="rId3831" xr:uid="{00000000-0004-0000-0200-0000F60E0000}"/>
    <hyperlink ref="B1416" r:id="rId3832" xr:uid="{00000000-0004-0000-0200-0000F70E0000}"/>
    <hyperlink ref="C1416" r:id="rId3833" xr:uid="{00000000-0004-0000-0200-0000F80E0000}"/>
    <hyperlink ref="A1417" r:id="rId3834" xr:uid="{00000000-0004-0000-0200-0000F90E0000}"/>
    <hyperlink ref="B1417" r:id="rId3835" xr:uid="{00000000-0004-0000-0200-0000FA0E0000}"/>
    <hyperlink ref="C1417" r:id="rId3836" xr:uid="{00000000-0004-0000-0200-0000FB0E0000}"/>
    <hyperlink ref="A1418" r:id="rId3837" xr:uid="{00000000-0004-0000-0200-0000FC0E0000}"/>
    <hyperlink ref="B1418" r:id="rId3838" xr:uid="{00000000-0004-0000-0200-0000FD0E0000}"/>
    <hyperlink ref="C1418" r:id="rId3839" xr:uid="{00000000-0004-0000-0200-0000FE0E0000}"/>
    <hyperlink ref="A1419" r:id="rId3840" xr:uid="{00000000-0004-0000-0200-0000FF0E0000}"/>
    <hyperlink ref="B1419" r:id="rId3841" xr:uid="{00000000-0004-0000-0200-0000000F0000}"/>
    <hyperlink ref="C1419" r:id="rId3842" xr:uid="{00000000-0004-0000-0200-0000010F0000}"/>
    <hyperlink ref="A1420" r:id="rId3843" xr:uid="{00000000-0004-0000-0200-0000020F0000}"/>
    <hyperlink ref="B1420" r:id="rId3844" xr:uid="{00000000-0004-0000-0200-0000030F0000}"/>
    <hyperlink ref="C1420" r:id="rId3845" xr:uid="{00000000-0004-0000-0200-0000040F0000}"/>
    <hyperlink ref="A1421" r:id="rId3846" xr:uid="{00000000-0004-0000-0200-0000050F0000}"/>
    <hyperlink ref="B1421" r:id="rId3847" xr:uid="{00000000-0004-0000-0200-0000060F0000}"/>
    <hyperlink ref="C1421" r:id="rId3848" xr:uid="{00000000-0004-0000-0200-0000070F0000}"/>
    <hyperlink ref="A1422" r:id="rId3849" xr:uid="{00000000-0004-0000-0200-0000080F0000}"/>
    <hyperlink ref="B1422" r:id="rId3850" xr:uid="{00000000-0004-0000-0200-0000090F0000}"/>
    <hyperlink ref="C1422" r:id="rId3851" xr:uid="{00000000-0004-0000-0200-00000A0F0000}"/>
    <hyperlink ref="A1423" r:id="rId3852" xr:uid="{00000000-0004-0000-0200-00000B0F0000}"/>
    <hyperlink ref="B1423" r:id="rId3853" xr:uid="{00000000-0004-0000-0200-00000C0F0000}"/>
    <hyperlink ref="C1423" r:id="rId3854" xr:uid="{00000000-0004-0000-0200-00000D0F0000}"/>
    <hyperlink ref="A1424" r:id="rId3855" xr:uid="{00000000-0004-0000-0200-00000E0F0000}"/>
    <hyperlink ref="B1424" r:id="rId3856" xr:uid="{00000000-0004-0000-0200-00000F0F0000}"/>
    <hyperlink ref="C1424" r:id="rId3857" xr:uid="{00000000-0004-0000-0200-0000100F0000}"/>
    <hyperlink ref="A1425" r:id="rId3858" xr:uid="{00000000-0004-0000-0200-0000110F0000}"/>
    <hyperlink ref="B1425" r:id="rId3859" xr:uid="{00000000-0004-0000-0200-0000120F0000}"/>
    <hyperlink ref="C1425" r:id="rId3860" xr:uid="{00000000-0004-0000-0200-0000130F0000}"/>
    <hyperlink ref="A1426" r:id="rId3861" xr:uid="{00000000-0004-0000-0200-0000140F0000}"/>
    <hyperlink ref="B1426" r:id="rId3862" xr:uid="{00000000-0004-0000-0200-0000150F0000}"/>
    <hyperlink ref="C1426" r:id="rId3863" xr:uid="{00000000-0004-0000-0200-0000160F0000}"/>
    <hyperlink ref="A1427" r:id="rId3864" xr:uid="{00000000-0004-0000-0200-0000170F0000}"/>
    <hyperlink ref="B1427" r:id="rId3865" xr:uid="{00000000-0004-0000-0200-0000180F0000}"/>
    <hyperlink ref="C1427" r:id="rId3866" xr:uid="{00000000-0004-0000-0200-0000190F0000}"/>
    <hyperlink ref="A1428" r:id="rId3867" xr:uid="{00000000-0004-0000-0200-00001A0F0000}"/>
    <hyperlink ref="B1428" r:id="rId3868" xr:uid="{00000000-0004-0000-0200-00001B0F0000}"/>
    <hyperlink ref="C1428" r:id="rId3869" xr:uid="{00000000-0004-0000-0200-00001C0F0000}"/>
    <hyperlink ref="A1429" r:id="rId3870" xr:uid="{00000000-0004-0000-0200-00001D0F0000}"/>
    <hyperlink ref="B1429" r:id="rId3871" xr:uid="{00000000-0004-0000-0200-00001E0F0000}"/>
    <hyperlink ref="C1429" r:id="rId3872" xr:uid="{00000000-0004-0000-0200-00001F0F0000}"/>
    <hyperlink ref="A1430" r:id="rId3873" xr:uid="{00000000-0004-0000-0200-0000200F0000}"/>
    <hyperlink ref="B1430" r:id="rId3874" xr:uid="{00000000-0004-0000-0200-0000210F0000}"/>
    <hyperlink ref="C1430" r:id="rId3875" xr:uid="{00000000-0004-0000-0200-0000220F0000}"/>
    <hyperlink ref="A1431" r:id="rId3876" xr:uid="{00000000-0004-0000-0200-0000230F0000}"/>
    <hyperlink ref="B1431" r:id="rId3877" xr:uid="{00000000-0004-0000-0200-0000240F0000}"/>
    <hyperlink ref="C1431" r:id="rId3878" xr:uid="{00000000-0004-0000-0200-0000250F0000}"/>
    <hyperlink ref="A1432" r:id="rId3879" xr:uid="{00000000-0004-0000-0200-0000260F0000}"/>
    <hyperlink ref="B1432" r:id="rId3880" xr:uid="{00000000-0004-0000-0200-0000270F0000}"/>
    <hyperlink ref="C1432" r:id="rId3881" xr:uid="{00000000-0004-0000-0200-0000280F0000}"/>
    <hyperlink ref="A1433" r:id="rId3882" xr:uid="{00000000-0004-0000-0200-0000290F0000}"/>
    <hyperlink ref="B1433" r:id="rId3883" xr:uid="{00000000-0004-0000-0200-00002A0F0000}"/>
    <hyperlink ref="C1433" r:id="rId3884" xr:uid="{00000000-0004-0000-0200-00002B0F0000}"/>
    <hyperlink ref="A1434" r:id="rId3885" xr:uid="{00000000-0004-0000-0200-00002C0F0000}"/>
    <hyperlink ref="B1434" r:id="rId3886" xr:uid="{00000000-0004-0000-0200-00002D0F0000}"/>
    <hyperlink ref="C1434" r:id="rId3887" xr:uid="{00000000-0004-0000-0200-00002E0F0000}"/>
    <hyperlink ref="A1435" r:id="rId3888" xr:uid="{00000000-0004-0000-0200-00002F0F0000}"/>
    <hyperlink ref="B1435" r:id="rId3889" xr:uid="{00000000-0004-0000-0200-0000300F0000}"/>
    <hyperlink ref="C1435" r:id="rId3890" xr:uid="{00000000-0004-0000-0200-0000310F0000}"/>
    <hyperlink ref="A1436" r:id="rId3891" xr:uid="{00000000-0004-0000-0200-0000320F0000}"/>
    <hyperlink ref="B1436" r:id="rId3892" xr:uid="{00000000-0004-0000-0200-0000330F0000}"/>
    <hyperlink ref="C1436" r:id="rId3893" xr:uid="{00000000-0004-0000-0200-0000340F0000}"/>
    <hyperlink ref="A1437" r:id="rId3894" xr:uid="{00000000-0004-0000-0200-0000350F0000}"/>
    <hyperlink ref="B1437" r:id="rId3895" xr:uid="{00000000-0004-0000-0200-0000360F0000}"/>
    <hyperlink ref="C1437" r:id="rId3896" xr:uid="{00000000-0004-0000-0200-0000370F0000}"/>
    <hyperlink ref="A1438" r:id="rId3897" xr:uid="{00000000-0004-0000-0200-0000380F0000}"/>
    <hyperlink ref="B1438" r:id="rId3898" xr:uid="{00000000-0004-0000-0200-0000390F0000}"/>
    <hyperlink ref="C1438" r:id="rId3899" xr:uid="{00000000-0004-0000-0200-00003A0F0000}"/>
    <hyperlink ref="A1439" r:id="rId3900" xr:uid="{00000000-0004-0000-0200-00003B0F0000}"/>
    <hyperlink ref="B1439" r:id="rId3901" xr:uid="{00000000-0004-0000-0200-00003C0F0000}"/>
    <hyperlink ref="C1439" r:id="rId3902" xr:uid="{00000000-0004-0000-0200-00003D0F0000}"/>
    <hyperlink ref="A1440" r:id="rId3903" xr:uid="{00000000-0004-0000-0200-00003E0F0000}"/>
    <hyperlink ref="B1440" r:id="rId3904" xr:uid="{00000000-0004-0000-0200-00003F0F0000}"/>
    <hyperlink ref="C1440" r:id="rId3905" xr:uid="{00000000-0004-0000-0200-0000400F0000}"/>
    <hyperlink ref="A1441" r:id="rId3906" xr:uid="{00000000-0004-0000-0200-0000410F0000}"/>
    <hyperlink ref="B1441" r:id="rId3907" xr:uid="{00000000-0004-0000-0200-0000420F0000}"/>
    <hyperlink ref="C1441" r:id="rId3908" xr:uid="{00000000-0004-0000-0200-0000430F0000}"/>
    <hyperlink ref="A1442" r:id="rId3909" xr:uid="{00000000-0004-0000-0200-0000440F0000}"/>
    <hyperlink ref="B1442" r:id="rId3910" xr:uid="{00000000-0004-0000-0200-0000450F0000}"/>
    <hyperlink ref="C1442" r:id="rId3911" xr:uid="{00000000-0004-0000-0200-0000460F0000}"/>
    <hyperlink ref="A1443" r:id="rId3912" xr:uid="{00000000-0004-0000-0200-0000470F0000}"/>
    <hyperlink ref="B1443" r:id="rId3913" xr:uid="{00000000-0004-0000-0200-0000480F0000}"/>
    <hyperlink ref="C1443" r:id="rId3914" xr:uid="{00000000-0004-0000-0200-0000490F0000}"/>
    <hyperlink ref="A1444" r:id="rId3915" xr:uid="{00000000-0004-0000-0200-00004A0F0000}"/>
    <hyperlink ref="B1444" r:id="rId3916" xr:uid="{00000000-0004-0000-0200-00004B0F0000}"/>
    <hyperlink ref="C1444" r:id="rId3917" xr:uid="{00000000-0004-0000-0200-00004C0F0000}"/>
    <hyperlink ref="A1445" r:id="rId3918" xr:uid="{00000000-0004-0000-0200-00004D0F0000}"/>
    <hyperlink ref="B1445" r:id="rId3919" xr:uid="{00000000-0004-0000-0200-00004E0F0000}"/>
    <hyperlink ref="C1445" r:id="rId3920" xr:uid="{00000000-0004-0000-0200-00004F0F0000}"/>
    <hyperlink ref="A1446" r:id="rId3921" xr:uid="{00000000-0004-0000-0200-0000500F0000}"/>
    <hyperlink ref="B1446" r:id="rId3922" xr:uid="{00000000-0004-0000-0200-0000510F0000}"/>
    <hyperlink ref="C1446" r:id="rId3923" xr:uid="{00000000-0004-0000-0200-0000520F0000}"/>
    <hyperlink ref="A1447" r:id="rId3924" xr:uid="{00000000-0004-0000-0200-0000530F0000}"/>
    <hyperlink ref="B1447" r:id="rId3925" xr:uid="{00000000-0004-0000-0200-0000540F0000}"/>
    <hyperlink ref="C1447" r:id="rId3926" xr:uid="{00000000-0004-0000-0200-0000550F0000}"/>
    <hyperlink ref="A1448" r:id="rId3927" xr:uid="{00000000-0004-0000-0200-0000560F0000}"/>
    <hyperlink ref="B1448" r:id="rId3928" xr:uid="{00000000-0004-0000-0200-0000570F0000}"/>
    <hyperlink ref="C1448" r:id="rId3929" xr:uid="{00000000-0004-0000-0200-0000580F0000}"/>
    <hyperlink ref="A1449" r:id="rId3930" xr:uid="{00000000-0004-0000-0200-0000590F0000}"/>
    <hyperlink ref="B1449" r:id="rId3931" xr:uid="{00000000-0004-0000-0200-00005A0F0000}"/>
    <hyperlink ref="C1449" r:id="rId3932" xr:uid="{00000000-0004-0000-0200-00005B0F0000}"/>
    <hyperlink ref="A1450" r:id="rId3933" xr:uid="{00000000-0004-0000-0200-00005C0F0000}"/>
    <hyperlink ref="B1450" r:id="rId3934" xr:uid="{00000000-0004-0000-0200-00005D0F0000}"/>
    <hyperlink ref="C1450" r:id="rId3935" xr:uid="{00000000-0004-0000-0200-00005E0F0000}"/>
    <hyperlink ref="A1451" r:id="rId3936" xr:uid="{00000000-0004-0000-0200-00005F0F0000}"/>
    <hyperlink ref="B1451" r:id="rId3937" xr:uid="{00000000-0004-0000-0200-0000600F0000}"/>
    <hyperlink ref="C1451" r:id="rId3938" xr:uid="{00000000-0004-0000-0200-0000610F0000}"/>
    <hyperlink ref="A1452" r:id="rId3939" xr:uid="{00000000-0004-0000-0200-0000620F0000}"/>
    <hyperlink ref="B1452" r:id="rId3940" xr:uid="{00000000-0004-0000-0200-0000630F0000}"/>
    <hyperlink ref="C1452" r:id="rId3941" xr:uid="{00000000-0004-0000-0200-0000640F0000}"/>
    <hyperlink ref="A1453" r:id="rId3942" xr:uid="{00000000-0004-0000-0200-0000650F0000}"/>
    <hyperlink ref="B1453" r:id="rId3943" xr:uid="{00000000-0004-0000-0200-0000660F0000}"/>
    <hyperlink ref="C1453" r:id="rId3944" xr:uid="{00000000-0004-0000-0200-0000670F0000}"/>
    <hyperlink ref="A1454" r:id="rId3945" xr:uid="{00000000-0004-0000-0200-0000680F0000}"/>
    <hyperlink ref="B1454" r:id="rId3946" xr:uid="{00000000-0004-0000-0200-0000690F0000}"/>
    <hyperlink ref="C1454" r:id="rId3947" xr:uid="{00000000-0004-0000-0200-00006A0F0000}"/>
    <hyperlink ref="A1455" r:id="rId3948" xr:uid="{00000000-0004-0000-0200-00006B0F0000}"/>
    <hyperlink ref="B1455" r:id="rId3949" xr:uid="{00000000-0004-0000-0200-00006C0F0000}"/>
    <hyperlink ref="C1455" r:id="rId3950" xr:uid="{00000000-0004-0000-0200-00006D0F0000}"/>
    <hyperlink ref="A1456" r:id="rId3951" xr:uid="{00000000-0004-0000-0200-00006E0F0000}"/>
    <hyperlink ref="B1456" r:id="rId3952" xr:uid="{00000000-0004-0000-0200-00006F0F0000}"/>
    <hyperlink ref="C1456" r:id="rId3953" xr:uid="{00000000-0004-0000-0200-0000700F0000}"/>
    <hyperlink ref="A1457" r:id="rId3954" xr:uid="{00000000-0004-0000-0200-0000710F0000}"/>
    <hyperlink ref="B1457" r:id="rId3955" xr:uid="{00000000-0004-0000-0200-0000720F0000}"/>
    <hyperlink ref="C1457" r:id="rId3956" xr:uid="{00000000-0004-0000-0200-0000730F0000}"/>
    <hyperlink ref="A1458" r:id="rId3957" xr:uid="{00000000-0004-0000-0200-0000740F0000}"/>
    <hyperlink ref="B1458" r:id="rId3958" xr:uid="{00000000-0004-0000-0200-0000750F0000}"/>
    <hyperlink ref="C1458" r:id="rId3959" xr:uid="{00000000-0004-0000-0200-0000760F0000}"/>
    <hyperlink ref="A1459" r:id="rId3960" xr:uid="{00000000-0004-0000-0200-0000770F0000}"/>
    <hyperlink ref="B1459" r:id="rId3961" xr:uid="{00000000-0004-0000-0200-0000780F0000}"/>
    <hyperlink ref="C1459" r:id="rId3962" xr:uid="{00000000-0004-0000-0200-0000790F0000}"/>
    <hyperlink ref="A1460" r:id="rId3963" xr:uid="{00000000-0004-0000-0200-00007A0F0000}"/>
    <hyperlink ref="B1460" r:id="rId3964" xr:uid="{00000000-0004-0000-0200-00007B0F0000}"/>
    <hyperlink ref="C1460" r:id="rId3965" xr:uid="{00000000-0004-0000-0200-00007C0F0000}"/>
    <hyperlink ref="A1461" r:id="rId3966" xr:uid="{00000000-0004-0000-0200-00007D0F0000}"/>
    <hyperlink ref="B1461" r:id="rId3967" xr:uid="{00000000-0004-0000-0200-00007E0F0000}"/>
    <hyperlink ref="C1461" r:id="rId3968" xr:uid="{00000000-0004-0000-0200-00007F0F0000}"/>
    <hyperlink ref="A1462" r:id="rId3969" xr:uid="{00000000-0004-0000-0200-0000800F0000}"/>
    <hyperlink ref="B1462" r:id="rId3970" xr:uid="{00000000-0004-0000-0200-0000810F0000}"/>
    <hyperlink ref="C1462" r:id="rId3971" xr:uid="{00000000-0004-0000-0200-0000820F0000}"/>
    <hyperlink ref="A1463" r:id="rId3972" xr:uid="{00000000-0004-0000-0200-0000830F0000}"/>
    <hyperlink ref="B1463" r:id="rId3973" xr:uid="{00000000-0004-0000-0200-0000840F0000}"/>
    <hyperlink ref="C1463" r:id="rId3974" xr:uid="{00000000-0004-0000-0200-0000850F0000}"/>
    <hyperlink ref="A1464" r:id="rId3975" xr:uid="{00000000-0004-0000-0200-0000860F0000}"/>
    <hyperlink ref="B1464" r:id="rId3976" xr:uid="{00000000-0004-0000-0200-0000870F0000}"/>
    <hyperlink ref="C1464" r:id="rId3977" xr:uid="{00000000-0004-0000-0200-0000880F0000}"/>
    <hyperlink ref="A1465" r:id="rId3978" xr:uid="{00000000-0004-0000-0200-0000890F0000}"/>
    <hyperlink ref="B1465" r:id="rId3979" xr:uid="{00000000-0004-0000-0200-00008A0F0000}"/>
    <hyperlink ref="C1465" r:id="rId3980" xr:uid="{00000000-0004-0000-0200-00008B0F0000}"/>
    <hyperlink ref="A1466" r:id="rId3981" xr:uid="{00000000-0004-0000-0200-00008C0F0000}"/>
    <hyperlink ref="B1466" r:id="rId3982" xr:uid="{00000000-0004-0000-0200-00008D0F0000}"/>
    <hyperlink ref="C1466" r:id="rId3983" xr:uid="{00000000-0004-0000-0200-00008E0F0000}"/>
    <hyperlink ref="A1467" r:id="rId3984" xr:uid="{00000000-0004-0000-0200-00008F0F0000}"/>
    <hyperlink ref="B1467" r:id="rId3985" xr:uid="{00000000-0004-0000-0200-0000900F0000}"/>
    <hyperlink ref="C1467" r:id="rId3986" xr:uid="{00000000-0004-0000-0200-0000910F0000}"/>
    <hyperlink ref="A1468" r:id="rId3987" xr:uid="{00000000-0004-0000-0200-0000920F0000}"/>
    <hyperlink ref="B1468" r:id="rId3988" xr:uid="{00000000-0004-0000-0200-0000930F0000}"/>
    <hyperlink ref="C1468" r:id="rId3989" xr:uid="{00000000-0004-0000-0200-0000940F0000}"/>
    <hyperlink ref="A1469" r:id="rId3990" xr:uid="{00000000-0004-0000-0200-0000950F0000}"/>
    <hyperlink ref="B1469" r:id="rId3991" xr:uid="{00000000-0004-0000-0200-0000960F0000}"/>
    <hyperlink ref="C1469" r:id="rId3992" xr:uid="{00000000-0004-0000-0200-0000970F0000}"/>
    <hyperlink ref="A1470" r:id="rId3993" xr:uid="{00000000-0004-0000-0200-0000980F0000}"/>
    <hyperlink ref="B1470" r:id="rId3994" xr:uid="{00000000-0004-0000-0200-0000990F0000}"/>
    <hyperlink ref="C1470" r:id="rId3995" xr:uid="{00000000-0004-0000-0200-00009A0F0000}"/>
    <hyperlink ref="A1471" r:id="rId3996" xr:uid="{00000000-0004-0000-0200-00009B0F0000}"/>
    <hyperlink ref="B1471" r:id="rId3997" xr:uid="{00000000-0004-0000-0200-00009C0F0000}"/>
    <hyperlink ref="C1471" r:id="rId3998" xr:uid="{00000000-0004-0000-0200-00009D0F0000}"/>
    <hyperlink ref="A1472" r:id="rId3999" xr:uid="{00000000-0004-0000-0200-00009E0F0000}"/>
    <hyperlink ref="B1472" r:id="rId4000" xr:uid="{00000000-0004-0000-0200-00009F0F0000}"/>
    <hyperlink ref="C1472" r:id="rId4001" xr:uid="{00000000-0004-0000-0200-0000A00F0000}"/>
    <hyperlink ref="A1473" r:id="rId4002" xr:uid="{00000000-0004-0000-0200-0000A10F0000}"/>
    <hyperlink ref="B1473" r:id="rId4003" xr:uid="{00000000-0004-0000-0200-0000A20F0000}"/>
    <hyperlink ref="C1473" r:id="rId4004" xr:uid="{00000000-0004-0000-0200-0000A30F0000}"/>
    <hyperlink ref="A1474" r:id="rId4005" xr:uid="{00000000-0004-0000-0200-0000A40F0000}"/>
    <hyperlink ref="B1474" r:id="rId4006" xr:uid="{00000000-0004-0000-0200-0000A50F0000}"/>
    <hyperlink ref="C1474" r:id="rId4007" xr:uid="{00000000-0004-0000-0200-0000A60F0000}"/>
    <hyperlink ref="A1475" r:id="rId4008" xr:uid="{00000000-0004-0000-0200-0000A70F0000}"/>
    <hyperlink ref="B1475" r:id="rId4009" xr:uid="{00000000-0004-0000-0200-0000A80F0000}"/>
    <hyperlink ref="C1475" r:id="rId4010" xr:uid="{00000000-0004-0000-0200-0000A90F0000}"/>
    <hyperlink ref="A1476" r:id="rId4011" xr:uid="{00000000-0004-0000-0200-0000AA0F0000}"/>
    <hyperlink ref="B1476" r:id="rId4012" xr:uid="{00000000-0004-0000-0200-0000AB0F0000}"/>
    <hyperlink ref="C1476" r:id="rId4013" xr:uid="{00000000-0004-0000-0200-0000AC0F0000}"/>
    <hyperlink ref="A1477" r:id="rId4014" xr:uid="{00000000-0004-0000-0200-0000AD0F0000}"/>
    <hyperlink ref="B1477" r:id="rId4015" xr:uid="{00000000-0004-0000-0200-0000AE0F0000}"/>
    <hyperlink ref="C1477" r:id="rId4016" xr:uid="{00000000-0004-0000-0200-0000AF0F0000}"/>
    <hyperlink ref="A1478" r:id="rId4017" xr:uid="{00000000-0004-0000-0200-0000B00F0000}"/>
    <hyperlink ref="B1478" r:id="rId4018" xr:uid="{00000000-0004-0000-0200-0000B10F0000}"/>
    <hyperlink ref="C1478" r:id="rId4019" xr:uid="{00000000-0004-0000-0200-0000B20F0000}"/>
    <hyperlink ref="A1479" r:id="rId4020" xr:uid="{00000000-0004-0000-0200-0000B30F0000}"/>
    <hyperlink ref="B1479" r:id="rId4021" xr:uid="{00000000-0004-0000-0200-0000B40F0000}"/>
    <hyperlink ref="C1479" r:id="rId4022" xr:uid="{00000000-0004-0000-0200-0000B50F0000}"/>
    <hyperlink ref="A1480" r:id="rId4023" xr:uid="{00000000-0004-0000-0200-0000B60F0000}"/>
    <hyperlink ref="B1480" r:id="rId4024" xr:uid="{00000000-0004-0000-0200-0000B70F0000}"/>
    <hyperlink ref="C1480" r:id="rId4025" xr:uid="{00000000-0004-0000-0200-0000B80F0000}"/>
    <hyperlink ref="A1481" r:id="rId4026" xr:uid="{00000000-0004-0000-0200-0000B90F0000}"/>
    <hyperlink ref="B1481" r:id="rId4027" xr:uid="{00000000-0004-0000-0200-0000BA0F0000}"/>
    <hyperlink ref="C1481" r:id="rId4028" xr:uid="{00000000-0004-0000-0200-0000BB0F0000}"/>
    <hyperlink ref="A1482" r:id="rId4029" xr:uid="{00000000-0004-0000-0200-0000BC0F0000}"/>
    <hyperlink ref="B1482" r:id="rId4030" xr:uid="{00000000-0004-0000-0200-0000BD0F0000}"/>
    <hyperlink ref="C1482" r:id="rId4031" xr:uid="{00000000-0004-0000-0200-0000BE0F0000}"/>
    <hyperlink ref="A1483" r:id="rId4032" xr:uid="{00000000-0004-0000-0200-0000BF0F0000}"/>
    <hyperlink ref="B1483" r:id="rId4033" xr:uid="{00000000-0004-0000-0200-0000C00F0000}"/>
    <hyperlink ref="C1483" r:id="rId4034" xr:uid="{00000000-0004-0000-0200-0000C10F0000}"/>
    <hyperlink ref="A1484" r:id="rId4035" xr:uid="{00000000-0004-0000-0200-0000C20F0000}"/>
    <hyperlink ref="B1484" r:id="rId4036" xr:uid="{00000000-0004-0000-0200-0000C30F0000}"/>
    <hyperlink ref="C1484" r:id="rId4037" xr:uid="{00000000-0004-0000-0200-0000C40F0000}"/>
    <hyperlink ref="A1485" r:id="rId4038" xr:uid="{00000000-0004-0000-0200-0000C50F0000}"/>
    <hyperlink ref="B1485" r:id="rId4039" xr:uid="{00000000-0004-0000-0200-0000C60F0000}"/>
    <hyperlink ref="C1485" r:id="rId4040" xr:uid="{00000000-0004-0000-0200-0000C70F0000}"/>
    <hyperlink ref="A1486" r:id="rId4041" xr:uid="{00000000-0004-0000-0200-0000C80F0000}"/>
    <hyperlink ref="B1486" r:id="rId4042" xr:uid="{00000000-0004-0000-0200-0000C90F0000}"/>
    <hyperlink ref="C1486" r:id="rId4043" xr:uid="{00000000-0004-0000-0200-0000CA0F0000}"/>
    <hyperlink ref="A1487" r:id="rId4044" xr:uid="{00000000-0004-0000-0200-0000CB0F0000}"/>
    <hyperlink ref="B1487" r:id="rId4045" xr:uid="{00000000-0004-0000-0200-0000CC0F0000}"/>
    <hyperlink ref="C1487" r:id="rId4046" xr:uid="{00000000-0004-0000-0200-0000CD0F0000}"/>
    <hyperlink ref="A1488" r:id="rId4047" xr:uid="{00000000-0004-0000-0200-0000CE0F0000}"/>
    <hyperlink ref="B1488" r:id="rId4048" xr:uid="{00000000-0004-0000-0200-0000CF0F0000}"/>
    <hyperlink ref="C1488" r:id="rId4049" xr:uid="{00000000-0004-0000-0200-0000D00F0000}"/>
    <hyperlink ref="A1489" r:id="rId4050" xr:uid="{00000000-0004-0000-0200-0000D10F0000}"/>
    <hyperlink ref="B1489" r:id="rId4051" xr:uid="{00000000-0004-0000-0200-0000D20F0000}"/>
    <hyperlink ref="C1489" r:id="rId4052" xr:uid="{00000000-0004-0000-0200-0000D30F0000}"/>
    <hyperlink ref="A1490" r:id="rId4053" xr:uid="{00000000-0004-0000-0200-0000D40F0000}"/>
    <hyperlink ref="B1490" r:id="rId4054" xr:uid="{00000000-0004-0000-0200-0000D50F0000}"/>
    <hyperlink ref="C1490" r:id="rId4055" xr:uid="{00000000-0004-0000-0200-0000D60F0000}"/>
    <hyperlink ref="M1490" r:id="rId4056" xr:uid="{00000000-0004-0000-0200-0000D70F0000}"/>
    <hyperlink ref="A1491" r:id="rId4057" xr:uid="{00000000-0004-0000-0200-0000D80F0000}"/>
    <hyperlink ref="B1491" r:id="rId4058" xr:uid="{00000000-0004-0000-0200-0000D90F0000}"/>
    <hyperlink ref="C1491" r:id="rId4059" xr:uid="{00000000-0004-0000-0200-0000DA0F0000}"/>
    <hyperlink ref="A1492" r:id="rId4060" xr:uid="{00000000-0004-0000-0200-0000DB0F0000}"/>
    <hyperlink ref="B1492" r:id="rId4061" xr:uid="{00000000-0004-0000-0200-0000DC0F0000}"/>
    <hyperlink ref="C1492" r:id="rId4062" xr:uid="{00000000-0004-0000-0200-0000DD0F0000}"/>
    <hyperlink ref="M1492" r:id="rId4063" xr:uid="{00000000-0004-0000-0200-0000DE0F0000}"/>
    <hyperlink ref="A1493" r:id="rId4064" xr:uid="{00000000-0004-0000-0200-0000DF0F0000}"/>
    <hyperlink ref="B1493" r:id="rId4065" xr:uid="{00000000-0004-0000-0200-0000E00F0000}"/>
    <hyperlink ref="C1493" r:id="rId4066" xr:uid="{00000000-0004-0000-0200-0000E10F0000}"/>
    <hyperlink ref="A1494" r:id="rId4067" xr:uid="{00000000-0004-0000-0200-0000E20F0000}"/>
    <hyperlink ref="B1494" r:id="rId4068" xr:uid="{00000000-0004-0000-0200-0000E30F0000}"/>
    <hyperlink ref="C1494" r:id="rId4069" xr:uid="{00000000-0004-0000-0200-0000E40F0000}"/>
    <hyperlink ref="A1495" r:id="rId4070" xr:uid="{00000000-0004-0000-0200-0000E50F0000}"/>
    <hyperlink ref="B1495" r:id="rId4071" xr:uid="{00000000-0004-0000-0200-0000E60F0000}"/>
    <hyperlink ref="C1495" r:id="rId4072" xr:uid="{00000000-0004-0000-0200-0000E70F0000}"/>
    <hyperlink ref="M1495" r:id="rId4073" xr:uid="{00000000-0004-0000-0200-0000E80F0000}"/>
    <hyperlink ref="A1496" r:id="rId4074" xr:uid="{00000000-0004-0000-0200-0000E90F0000}"/>
    <hyperlink ref="B1496" r:id="rId4075" xr:uid="{00000000-0004-0000-0200-0000EA0F0000}"/>
    <hyperlink ref="C1496" r:id="rId4076" xr:uid="{00000000-0004-0000-0200-0000EB0F0000}"/>
    <hyperlink ref="A1497" r:id="rId4077" xr:uid="{00000000-0004-0000-0200-0000EC0F0000}"/>
    <hyperlink ref="B1497" r:id="rId4078" xr:uid="{00000000-0004-0000-0200-0000ED0F0000}"/>
    <hyperlink ref="C1497" r:id="rId4079" xr:uid="{00000000-0004-0000-0200-0000EE0F0000}"/>
    <hyperlink ref="A1498" r:id="rId4080" xr:uid="{00000000-0004-0000-0200-0000EF0F0000}"/>
    <hyperlink ref="B1498" r:id="rId4081" xr:uid="{00000000-0004-0000-0200-0000F00F0000}"/>
    <hyperlink ref="C1498" r:id="rId4082" xr:uid="{00000000-0004-0000-0200-0000F10F0000}"/>
    <hyperlink ref="M1498" r:id="rId4083" xr:uid="{00000000-0004-0000-0200-0000F20F0000}"/>
    <hyperlink ref="A1499" r:id="rId4084" xr:uid="{00000000-0004-0000-0200-0000F30F0000}"/>
    <hyperlink ref="B1499" r:id="rId4085" xr:uid="{00000000-0004-0000-0200-0000F40F0000}"/>
    <hyperlink ref="C1499" r:id="rId4086" xr:uid="{00000000-0004-0000-0200-0000F50F0000}"/>
    <hyperlink ref="A1500" r:id="rId4087" xr:uid="{00000000-0004-0000-0200-0000F60F0000}"/>
    <hyperlink ref="B1500" r:id="rId4088" xr:uid="{00000000-0004-0000-0200-0000F70F0000}"/>
    <hyperlink ref="C1500" r:id="rId4089" xr:uid="{00000000-0004-0000-0200-0000F80F0000}"/>
    <hyperlink ref="A1501" r:id="rId4090" xr:uid="{00000000-0004-0000-0200-0000F90F0000}"/>
    <hyperlink ref="B1501" r:id="rId4091" xr:uid="{00000000-0004-0000-0200-0000FA0F0000}"/>
    <hyperlink ref="C1501" r:id="rId4092" xr:uid="{00000000-0004-0000-0200-0000FB0F0000}"/>
    <hyperlink ref="A1502" r:id="rId4093" xr:uid="{00000000-0004-0000-0200-0000FC0F0000}"/>
    <hyperlink ref="B1502" r:id="rId4094" xr:uid="{00000000-0004-0000-0200-0000FD0F0000}"/>
    <hyperlink ref="C1502" r:id="rId4095" xr:uid="{00000000-0004-0000-0200-0000FE0F0000}"/>
    <hyperlink ref="A1503" r:id="rId4096" xr:uid="{00000000-0004-0000-0200-0000FF0F0000}"/>
    <hyperlink ref="B1503" r:id="rId4097" xr:uid="{00000000-0004-0000-0200-000000100000}"/>
    <hyperlink ref="C1503" r:id="rId4098" xr:uid="{00000000-0004-0000-0200-000001100000}"/>
    <hyperlink ref="A1504" r:id="rId4099" xr:uid="{00000000-0004-0000-0200-000002100000}"/>
    <hyperlink ref="B1504" r:id="rId4100" xr:uid="{00000000-0004-0000-0200-000003100000}"/>
    <hyperlink ref="C1504" r:id="rId4101" xr:uid="{00000000-0004-0000-0200-000004100000}"/>
    <hyperlink ref="A1505" r:id="rId4102" xr:uid="{00000000-0004-0000-0200-000005100000}"/>
    <hyperlink ref="B1505" r:id="rId4103" xr:uid="{00000000-0004-0000-0200-000006100000}"/>
    <hyperlink ref="C1505" r:id="rId4104" xr:uid="{00000000-0004-0000-0200-000007100000}"/>
    <hyperlink ref="A1506" r:id="rId4105" xr:uid="{00000000-0004-0000-0200-000008100000}"/>
    <hyperlink ref="B1506" r:id="rId4106" xr:uid="{00000000-0004-0000-0200-000009100000}"/>
    <hyperlink ref="C1506" r:id="rId4107" xr:uid="{00000000-0004-0000-0200-00000A100000}"/>
    <hyperlink ref="A1507" r:id="rId4108" xr:uid="{00000000-0004-0000-0200-00000B100000}"/>
    <hyperlink ref="B1507" r:id="rId4109" xr:uid="{00000000-0004-0000-0200-00000C100000}"/>
    <hyperlink ref="C1507" r:id="rId4110" xr:uid="{00000000-0004-0000-0200-00000D100000}"/>
    <hyperlink ref="M1507" r:id="rId4111" xr:uid="{00000000-0004-0000-0200-00000E100000}"/>
    <hyperlink ref="A1508" r:id="rId4112" xr:uid="{00000000-0004-0000-0200-00000F100000}"/>
    <hyperlink ref="B1508" r:id="rId4113" xr:uid="{00000000-0004-0000-0200-000010100000}"/>
    <hyperlink ref="C1508" r:id="rId4114" xr:uid="{00000000-0004-0000-0200-000011100000}"/>
    <hyperlink ref="A1509" r:id="rId4115" xr:uid="{00000000-0004-0000-0200-000012100000}"/>
    <hyperlink ref="B1509" r:id="rId4116" xr:uid="{00000000-0004-0000-0200-000013100000}"/>
    <hyperlink ref="C1509" r:id="rId4117" xr:uid="{00000000-0004-0000-0200-000014100000}"/>
    <hyperlink ref="M1509" r:id="rId4118" xr:uid="{00000000-0004-0000-0200-000015100000}"/>
    <hyperlink ref="A1510" r:id="rId4119" xr:uid="{00000000-0004-0000-0200-000016100000}"/>
    <hyperlink ref="B1510" r:id="rId4120" xr:uid="{00000000-0004-0000-0200-000017100000}"/>
    <hyperlink ref="C1510" r:id="rId4121" xr:uid="{00000000-0004-0000-0200-000018100000}"/>
    <hyperlink ref="M1510" r:id="rId4122" xr:uid="{00000000-0004-0000-0200-000019100000}"/>
    <hyperlink ref="A1511" r:id="rId4123" xr:uid="{00000000-0004-0000-0200-00001A100000}"/>
    <hyperlink ref="B1511" r:id="rId4124" xr:uid="{00000000-0004-0000-0200-00001B100000}"/>
    <hyperlink ref="C1511" r:id="rId4125" xr:uid="{00000000-0004-0000-0200-00001C100000}"/>
    <hyperlink ref="A1512" r:id="rId4126" xr:uid="{00000000-0004-0000-0200-00001D100000}"/>
    <hyperlink ref="B1512" r:id="rId4127" xr:uid="{00000000-0004-0000-0200-00001E100000}"/>
    <hyperlink ref="C1512" r:id="rId4128" xr:uid="{00000000-0004-0000-0200-00001F100000}"/>
    <hyperlink ref="A1513" r:id="rId4129" xr:uid="{00000000-0004-0000-0200-000020100000}"/>
    <hyperlink ref="B1513" r:id="rId4130" xr:uid="{00000000-0004-0000-0200-000021100000}"/>
    <hyperlink ref="C1513" r:id="rId4131" xr:uid="{00000000-0004-0000-0200-000022100000}"/>
    <hyperlink ref="A1514" r:id="rId4132" xr:uid="{00000000-0004-0000-0200-000023100000}"/>
    <hyperlink ref="B1514" r:id="rId4133" xr:uid="{00000000-0004-0000-0200-000024100000}"/>
    <hyperlink ref="C1514" r:id="rId4134" xr:uid="{00000000-0004-0000-0200-000025100000}"/>
    <hyperlink ref="M1514" r:id="rId4135" xr:uid="{00000000-0004-0000-0200-000026100000}"/>
    <hyperlink ref="A1515" r:id="rId4136" xr:uid="{00000000-0004-0000-0200-000027100000}"/>
    <hyperlink ref="B1515" r:id="rId4137" xr:uid="{00000000-0004-0000-0200-000028100000}"/>
    <hyperlink ref="C1515" r:id="rId4138" xr:uid="{00000000-0004-0000-0200-000029100000}"/>
    <hyperlink ref="M1515" r:id="rId4139" xr:uid="{00000000-0004-0000-0200-00002A100000}"/>
    <hyperlink ref="A1516" r:id="rId4140" xr:uid="{00000000-0004-0000-0200-00002B100000}"/>
    <hyperlink ref="B1516" r:id="rId4141" xr:uid="{00000000-0004-0000-0200-00002C100000}"/>
    <hyperlink ref="C1516" r:id="rId4142" xr:uid="{00000000-0004-0000-0200-00002D100000}"/>
    <hyperlink ref="A1517" r:id="rId4143" xr:uid="{00000000-0004-0000-0200-00002E100000}"/>
    <hyperlink ref="B1517" r:id="rId4144" xr:uid="{00000000-0004-0000-0200-00002F100000}"/>
    <hyperlink ref="C1517" r:id="rId4145" xr:uid="{00000000-0004-0000-0200-000030100000}"/>
    <hyperlink ref="A1518" r:id="rId4146" xr:uid="{00000000-0004-0000-0200-000031100000}"/>
    <hyperlink ref="B1518" r:id="rId4147" xr:uid="{00000000-0004-0000-0200-000032100000}"/>
    <hyperlink ref="C1518" r:id="rId4148" xr:uid="{00000000-0004-0000-0200-000033100000}"/>
    <hyperlink ref="A1519" r:id="rId4149" xr:uid="{00000000-0004-0000-0200-000034100000}"/>
    <hyperlink ref="B1519" r:id="rId4150" xr:uid="{00000000-0004-0000-0200-000035100000}"/>
    <hyperlink ref="C1519" r:id="rId4151" xr:uid="{00000000-0004-0000-0200-000036100000}"/>
    <hyperlink ref="A1520" r:id="rId4152" xr:uid="{00000000-0004-0000-0200-000037100000}"/>
    <hyperlink ref="B1520" r:id="rId4153" xr:uid="{00000000-0004-0000-0200-000038100000}"/>
    <hyperlink ref="C1520" r:id="rId4154" xr:uid="{00000000-0004-0000-0200-000039100000}"/>
    <hyperlink ref="M1520" r:id="rId4155" xr:uid="{00000000-0004-0000-0200-00003A100000}"/>
    <hyperlink ref="A1521" r:id="rId4156" xr:uid="{00000000-0004-0000-0200-00003B100000}"/>
    <hyperlink ref="B1521" r:id="rId4157" xr:uid="{00000000-0004-0000-0200-00003C100000}"/>
    <hyperlink ref="C1521" r:id="rId4158" xr:uid="{00000000-0004-0000-0200-00003D100000}"/>
    <hyperlink ref="A1522" r:id="rId4159" xr:uid="{00000000-0004-0000-0200-00003E100000}"/>
    <hyperlink ref="B1522" r:id="rId4160" xr:uid="{00000000-0004-0000-0200-00003F100000}"/>
    <hyperlink ref="C1522" r:id="rId4161" xr:uid="{00000000-0004-0000-0200-000040100000}"/>
    <hyperlink ref="A1523" r:id="rId4162" xr:uid="{00000000-0004-0000-0200-000041100000}"/>
    <hyperlink ref="B1523" r:id="rId4163" xr:uid="{00000000-0004-0000-0200-000042100000}"/>
    <hyperlink ref="C1523" r:id="rId4164" xr:uid="{00000000-0004-0000-0200-000043100000}"/>
    <hyperlink ref="A1524" r:id="rId4165" xr:uid="{00000000-0004-0000-0200-000044100000}"/>
    <hyperlink ref="B1524" r:id="rId4166" xr:uid="{00000000-0004-0000-0200-000045100000}"/>
    <hyperlink ref="C1524" r:id="rId4167" xr:uid="{00000000-0004-0000-0200-000046100000}"/>
    <hyperlink ref="A1525" r:id="rId4168" xr:uid="{00000000-0004-0000-0200-000047100000}"/>
    <hyperlink ref="B1525" r:id="rId4169" xr:uid="{00000000-0004-0000-0200-000048100000}"/>
    <hyperlink ref="C1525" r:id="rId4170" xr:uid="{00000000-0004-0000-0200-000049100000}"/>
    <hyperlink ref="A1526" r:id="rId4171" xr:uid="{00000000-0004-0000-0200-00004A100000}"/>
    <hyperlink ref="B1526" r:id="rId4172" xr:uid="{00000000-0004-0000-0200-00004B100000}"/>
    <hyperlink ref="C1526" r:id="rId4173" xr:uid="{00000000-0004-0000-0200-00004C100000}"/>
    <hyperlink ref="A1527" r:id="rId4174" xr:uid="{00000000-0004-0000-0200-00004D100000}"/>
    <hyperlink ref="B1527" r:id="rId4175" xr:uid="{00000000-0004-0000-0200-00004E100000}"/>
    <hyperlink ref="C1527" r:id="rId4176" xr:uid="{00000000-0004-0000-0200-00004F100000}"/>
    <hyperlink ref="A1528" r:id="rId4177" xr:uid="{00000000-0004-0000-0200-000050100000}"/>
    <hyperlink ref="B1528" r:id="rId4178" xr:uid="{00000000-0004-0000-0200-000051100000}"/>
    <hyperlink ref="C1528" r:id="rId4179" xr:uid="{00000000-0004-0000-0200-000052100000}"/>
    <hyperlink ref="A1529" r:id="rId4180" xr:uid="{00000000-0004-0000-0200-000053100000}"/>
    <hyperlink ref="B1529" r:id="rId4181" xr:uid="{00000000-0004-0000-0200-000054100000}"/>
    <hyperlink ref="C1529" r:id="rId4182" xr:uid="{00000000-0004-0000-0200-000055100000}"/>
    <hyperlink ref="A1530" r:id="rId4183" xr:uid="{00000000-0004-0000-0200-000056100000}"/>
    <hyperlink ref="B1530" r:id="rId4184" xr:uid="{00000000-0004-0000-0200-000057100000}"/>
    <hyperlink ref="C1530" r:id="rId4185" xr:uid="{00000000-0004-0000-0200-000058100000}"/>
    <hyperlink ref="A1531" r:id="rId4186" xr:uid="{00000000-0004-0000-0200-000059100000}"/>
    <hyperlink ref="B1531" r:id="rId4187" xr:uid="{00000000-0004-0000-0200-00005A100000}"/>
    <hyperlink ref="C1531" r:id="rId4188" xr:uid="{00000000-0004-0000-0200-00005B100000}"/>
    <hyperlink ref="A1532" r:id="rId4189" xr:uid="{00000000-0004-0000-0200-00005C100000}"/>
    <hyperlink ref="B1532" r:id="rId4190" xr:uid="{00000000-0004-0000-0200-00005D100000}"/>
    <hyperlink ref="C1532" r:id="rId4191" xr:uid="{00000000-0004-0000-0200-00005E100000}"/>
    <hyperlink ref="A1533" r:id="rId4192" xr:uid="{00000000-0004-0000-0200-00005F100000}"/>
    <hyperlink ref="B1533" r:id="rId4193" xr:uid="{00000000-0004-0000-0200-000060100000}"/>
    <hyperlink ref="C1533" r:id="rId4194" xr:uid="{00000000-0004-0000-0200-000061100000}"/>
    <hyperlink ref="A1534" r:id="rId4195" xr:uid="{00000000-0004-0000-0200-000062100000}"/>
    <hyperlink ref="B1534" r:id="rId4196" xr:uid="{00000000-0004-0000-0200-000063100000}"/>
    <hyperlink ref="C1534" r:id="rId4197" xr:uid="{00000000-0004-0000-0200-000064100000}"/>
    <hyperlink ref="A1535" r:id="rId4198" xr:uid="{00000000-0004-0000-0200-000065100000}"/>
    <hyperlink ref="B1535" r:id="rId4199" xr:uid="{00000000-0004-0000-0200-000066100000}"/>
    <hyperlink ref="C1535" r:id="rId4200" xr:uid="{00000000-0004-0000-0200-000067100000}"/>
    <hyperlink ref="A1536" r:id="rId4201" xr:uid="{00000000-0004-0000-0200-000068100000}"/>
    <hyperlink ref="B1536" r:id="rId4202" xr:uid="{00000000-0004-0000-0200-000069100000}"/>
    <hyperlink ref="C1536" r:id="rId4203" xr:uid="{00000000-0004-0000-0200-00006A100000}"/>
    <hyperlink ref="A1537" r:id="rId4204" xr:uid="{00000000-0004-0000-0200-00006B100000}"/>
    <hyperlink ref="B1537" r:id="rId4205" xr:uid="{00000000-0004-0000-0200-00006C100000}"/>
    <hyperlink ref="C1537" r:id="rId4206" xr:uid="{00000000-0004-0000-0200-00006D100000}"/>
    <hyperlink ref="A1538" r:id="rId4207" xr:uid="{00000000-0004-0000-0200-00006E100000}"/>
    <hyperlink ref="B1538" r:id="rId4208" xr:uid="{00000000-0004-0000-0200-00006F100000}"/>
    <hyperlink ref="C1538" r:id="rId4209" xr:uid="{00000000-0004-0000-0200-000070100000}"/>
    <hyperlink ref="A1539" r:id="rId4210" xr:uid="{00000000-0004-0000-0200-000071100000}"/>
    <hyperlink ref="B1539" r:id="rId4211" xr:uid="{00000000-0004-0000-0200-000072100000}"/>
    <hyperlink ref="C1539" r:id="rId4212" xr:uid="{00000000-0004-0000-0200-000073100000}"/>
    <hyperlink ref="A1540" r:id="rId4213" xr:uid="{00000000-0004-0000-0200-000074100000}"/>
    <hyperlink ref="B1540" r:id="rId4214" xr:uid="{00000000-0004-0000-0200-000075100000}"/>
    <hyperlink ref="C1540" r:id="rId4215" xr:uid="{00000000-0004-0000-0200-000076100000}"/>
    <hyperlink ref="A1541" r:id="rId4216" xr:uid="{00000000-0004-0000-0200-000077100000}"/>
    <hyperlink ref="B1541" r:id="rId4217" xr:uid="{00000000-0004-0000-0200-000078100000}"/>
    <hyperlink ref="C1541" r:id="rId4218" xr:uid="{00000000-0004-0000-0200-000079100000}"/>
    <hyperlink ref="A1542" r:id="rId4219" xr:uid="{00000000-0004-0000-0200-00007A100000}"/>
    <hyperlink ref="B1542" r:id="rId4220" xr:uid="{00000000-0004-0000-0200-00007B100000}"/>
    <hyperlink ref="C1542" r:id="rId4221" xr:uid="{00000000-0004-0000-0200-00007C100000}"/>
    <hyperlink ref="A1543" r:id="rId4222" xr:uid="{00000000-0004-0000-0200-00007D100000}"/>
    <hyperlink ref="B1543" r:id="rId4223" xr:uid="{00000000-0004-0000-0200-00007E100000}"/>
    <hyperlink ref="C1543" r:id="rId4224" xr:uid="{00000000-0004-0000-0200-00007F100000}"/>
    <hyperlink ref="A1544" r:id="rId4225" xr:uid="{00000000-0004-0000-0200-000080100000}"/>
    <hyperlink ref="B1544" r:id="rId4226" xr:uid="{00000000-0004-0000-0200-000081100000}"/>
    <hyperlink ref="C1544" r:id="rId4227" xr:uid="{00000000-0004-0000-0200-000082100000}"/>
    <hyperlink ref="A1545" r:id="rId4228" xr:uid="{00000000-0004-0000-0200-000083100000}"/>
    <hyperlink ref="B1545" r:id="rId4229" xr:uid="{00000000-0004-0000-0200-000084100000}"/>
    <hyperlink ref="C1545" r:id="rId4230" xr:uid="{00000000-0004-0000-0200-000085100000}"/>
    <hyperlink ref="A1546" r:id="rId4231" xr:uid="{00000000-0004-0000-0200-000086100000}"/>
    <hyperlink ref="B1546" r:id="rId4232" xr:uid="{00000000-0004-0000-0200-000087100000}"/>
    <hyperlink ref="C1546" r:id="rId4233" xr:uid="{00000000-0004-0000-0200-000088100000}"/>
    <hyperlink ref="A1547" r:id="rId4234" xr:uid="{00000000-0004-0000-0200-000089100000}"/>
    <hyperlink ref="B1547" r:id="rId4235" xr:uid="{00000000-0004-0000-0200-00008A100000}"/>
    <hyperlink ref="C1547" r:id="rId4236" xr:uid="{00000000-0004-0000-0200-00008B100000}"/>
    <hyperlink ref="A1548" r:id="rId4237" xr:uid="{00000000-0004-0000-0200-00008C100000}"/>
    <hyperlink ref="B1548" r:id="rId4238" xr:uid="{00000000-0004-0000-0200-00008D100000}"/>
    <hyperlink ref="C1548" r:id="rId4239" xr:uid="{00000000-0004-0000-0200-00008E100000}"/>
    <hyperlink ref="A1549" r:id="rId4240" xr:uid="{00000000-0004-0000-0200-00008F100000}"/>
    <hyperlink ref="B1549" r:id="rId4241" xr:uid="{00000000-0004-0000-0200-000090100000}"/>
    <hyperlink ref="C1549" r:id="rId4242" xr:uid="{00000000-0004-0000-0200-000091100000}"/>
    <hyperlink ref="A1550" r:id="rId4243" xr:uid="{00000000-0004-0000-0200-000092100000}"/>
    <hyperlink ref="B1550" r:id="rId4244" xr:uid="{00000000-0004-0000-0200-000093100000}"/>
    <hyperlink ref="C1550" r:id="rId4245" xr:uid="{00000000-0004-0000-0200-000094100000}"/>
    <hyperlink ref="A1551" r:id="rId4246" xr:uid="{00000000-0004-0000-0200-000095100000}"/>
    <hyperlink ref="B1551" r:id="rId4247" xr:uid="{00000000-0004-0000-0200-000096100000}"/>
    <hyperlink ref="C1551" r:id="rId4248" xr:uid="{00000000-0004-0000-0200-000097100000}"/>
    <hyperlink ref="A1552" r:id="rId4249" xr:uid="{00000000-0004-0000-0200-000098100000}"/>
    <hyperlink ref="B1552" r:id="rId4250" xr:uid="{00000000-0004-0000-0200-000099100000}"/>
    <hyperlink ref="C1552" r:id="rId4251" xr:uid="{00000000-0004-0000-0200-00009A100000}"/>
    <hyperlink ref="A1553" r:id="rId4252" xr:uid="{00000000-0004-0000-0200-00009B100000}"/>
    <hyperlink ref="B1553" r:id="rId4253" xr:uid="{00000000-0004-0000-0200-00009C100000}"/>
    <hyperlink ref="C1553" r:id="rId4254" xr:uid="{00000000-0004-0000-0200-00009D100000}"/>
    <hyperlink ref="A1554" r:id="rId4255" xr:uid="{00000000-0004-0000-0200-00009E100000}"/>
    <hyperlink ref="B1554" r:id="rId4256" xr:uid="{00000000-0004-0000-0200-00009F100000}"/>
    <hyperlink ref="C1554" r:id="rId4257" xr:uid="{00000000-0004-0000-0200-0000A0100000}"/>
    <hyperlink ref="A1555" r:id="rId4258" xr:uid="{00000000-0004-0000-0200-0000A1100000}"/>
    <hyperlink ref="B1555" r:id="rId4259" xr:uid="{00000000-0004-0000-0200-0000A2100000}"/>
    <hyperlink ref="C1555" r:id="rId4260" xr:uid="{00000000-0004-0000-0200-0000A3100000}"/>
    <hyperlink ref="A1556" r:id="rId4261" xr:uid="{00000000-0004-0000-0200-0000A4100000}"/>
    <hyperlink ref="B1556" r:id="rId4262" xr:uid="{00000000-0004-0000-0200-0000A5100000}"/>
    <hyperlink ref="C1556" r:id="rId4263" xr:uid="{00000000-0004-0000-0200-0000A6100000}"/>
    <hyperlink ref="A1557" r:id="rId4264" xr:uid="{00000000-0004-0000-0200-0000A7100000}"/>
    <hyperlink ref="B1557" r:id="rId4265" xr:uid="{00000000-0004-0000-0200-0000A8100000}"/>
    <hyperlink ref="C1557" r:id="rId4266" xr:uid="{00000000-0004-0000-0200-0000A9100000}"/>
    <hyperlink ref="A1558" r:id="rId4267" xr:uid="{00000000-0004-0000-0200-0000AA100000}"/>
    <hyperlink ref="B1558" r:id="rId4268" xr:uid="{00000000-0004-0000-0200-0000AB100000}"/>
    <hyperlink ref="C1558" r:id="rId4269" xr:uid="{00000000-0004-0000-0200-0000AC100000}"/>
    <hyperlink ref="A1559" r:id="rId4270" xr:uid="{00000000-0004-0000-0200-0000AD100000}"/>
    <hyperlink ref="B1559" r:id="rId4271" xr:uid="{00000000-0004-0000-0200-0000AE100000}"/>
    <hyperlink ref="C1559" r:id="rId4272" xr:uid="{00000000-0004-0000-0200-0000AF100000}"/>
    <hyperlink ref="A1560" r:id="rId4273" xr:uid="{00000000-0004-0000-0200-0000B0100000}"/>
    <hyperlink ref="B1560" r:id="rId4274" xr:uid="{00000000-0004-0000-0200-0000B1100000}"/>
    <hyperlink ref="C1560" r:id="rId4275" xr:uid="{00000000-0004-0000-0200-0000B2100000}"/>
    <hyperlink ref="A1561" r:id="rId4276" xr:uid="{00000000-0004-0000-0200-0000B3100000}"/>
    <hyperlink ref="B1561" r:id="rId4277" xr:uid="{00000000-0004-0000-0200-0000B4100000}"/>
    <hyperlink ref="C1561" r:id="rId4278" xr:uid="{00000000-0004-0000-0200-0000B5100000}"/>
    <hyperlink ref="A1562" r:id="rId4279" xr:uid="{00000000-0004-0000-0200-0000B6100000}"/>
    <hyperlink ref="B1562" r:id="rId4280" xr:uid="{00000000-0004-0000-0200-0000B7100000}"/>
    <hyperlink ref="C1562" r:id="rId4281" xr:uid="{00000000-0004-0000-0200-0000B8100000}"/>
    <hyperlink ref="A1563" r:id="rId4282" xr:uid="{00000000-0004-0000-0200-0000B9100000}"/>
    <hyperlink ref="B1563" r:id="rId4283" xr:uid="{00000000-0004-0000-0200-0000BA100000}"/>
    <hyperlink ref="C1563" r:id="rId4284" xr:uid="{00000000-0004-0000-0200-0000BB100000}"/>
    <hyperlink ref="A1564" r:id="rId4285" xr:uid="{00000000-0004-0000-0200-0000BC100000}"/>
    <hyperlink ref="B1564" r:id="rId4286" xr:uid="{00000000-0004-0000-0200-0000BD100000}"/>
    <hyperlink ref="C1564" r:id="rId4287" xr:uid="{00000000-0004-0000-0200-0000BE100000}"/>
    <hyperlink ref="A1565" r:id="rId4288" xr:uid="{00000000-0004-0000-0200-0000BF100000}"/>
    <hyperlink ref="B1565" r:id="rId4289" xr:uid="{00000000-0004-0000-0200-0000C0100000}"/>
    <hyperlink ref="C1565" r:id="rId4290" xr:uid="{00000000-0004-0000-0200-0000C1100000}"/>
    <hyperlink ref="A1566" r:id="rId4291" xr:uid="{00000000-0004-0000-0200-0000C2100000}"/>
    <hyperlink ref="B1566" r:id="rId4292" xr:uid="{00000000-0004-0000-0200-0000C3100000}"/>
    <hyperlink ref="C1566" r:id="rId4293" xr:uid="{00000000-0004-0000-0200-0000C4100000}"/>
    <hyperlink ref="A1567" r:id="rId4294" xr:uid="{00000000-0004-0000-0200-0000C5100000}"/>
    <hyperlink ref="B1567" r:id="rId4295" xr:uid="{00000000-0004-0000-0200-0000C6100000}"/>
    <hyperlink ref="C1567" r:id="rId4296" xr:uid="{00000000-0004-0000-0200-0000C7100000}"/>
    <hyperlink ref="A1568" r:id="rId4297" xr:uid="{00000000-0004-0000-0200-0000C8100000}"/>
    <hyperlink ref="B1568" r:id="rId4298" xr:uid="{00000000-0004-0000-0200-0000C9100000}"/>
    <hyperlink ref="C1568" r:id="rId4299" xr:uid="{00000000-0004-0000-0200-0000CA100000}"/>
    <hyperlink ref="A1569" r:id="rId4300" xr:uid="{00000000-0004-0000-0200-0000CB100000}"/>
    <hyperlink ref="B1569" r:id="rId4301" xr:uid="{00000000-0004-0000-0200-0000CC100000}"/>
    <hyperlink ref="C1569" r:id="rId4302" xr:uid="{00000000-0004-0000-0200-0000CD100000}"/>
    <hyperlink ref="A1570" r:id="rId4303" xr:uid="{00000000-0004-0000-0200-0000CE100000}"/>
    <hyperlink ref="B1570" r:id="rId4304" xr:uid="{00000000-0004-0000-0200-0000CF100000}"/>
    <hyperlink ref="C1570" r:id="rId4305" xr:uid="{00000000-0004-0000-0200-0000D0100000}"/>
    <hyperlink ref="A1571" r:id="rId4306" xr:uid="{00000000-0004-0000-0200-0000D1100000}"/>
    <hyperlink ref="B1571" r:id="rId4307" xr:uid="{00000000-0004-0000-0200-0000D2100000}"/>
    <hyperlink ref="C1571" r:id="rId4308" xr:uid="{00000000-0004-0000-0200-0000D3100000}"/>
    <hyperlink ref="A1572" r:id="rId4309" xr:uid="{00000000-0004-0000-0200-0000D4100000}"/>
    <hyperlink ref="B1572" r:id="rId4310" xr:uid="{00000000-0004-0000-0200-0000D5100000}"/>
    <hyperlink ref="C1572" r:id="rId4311" xr:uid="{00000000-0004-0000-0200-0000D6100000}"/>
    <hyperlink ref="A1573" r:id="rId4312" xr:uid="{00000000-0004-0000-0200-0000D7100000}"/>
    <hyperlink ref="B1573" r:id="rId4313" xr:uid="{00000000-0004-0000-0200-0000D8100000}"/>
    <hyperlink ref="C1573" r:id="rId4314" xr:uid="{00000000-0004-0000-0200-0000D9100000}"/>
    <hyperlink ref="A1574" r:id="rId4315" xr:uid="{00000000-0004-0000-0200-0000DA100000}"/>
    <hyperlink ref="B1574" r:id="rId4316" xr:uid="{00000000-0004-0000-0200-0000DB100000}"/>
    <hyperlink ref="C1574" r:id="rId4317" xr:uid="{00000000-0004-0000-0200-0000DC100000}"/>
    <hyperlink ref="A1575" r:id="rId4318" xr:uid="{00000000-0004-0000-0200-0000DD100000}"/>
    <hyperlink ref="B1575" r:id="rId4319" xr:uid="{00000000-0004-0000-0200-0000DE100000}"/>
    <hyperlink ref="C1575" r:id="rId4320" xr:uid="{00000000-0004-0000-0200-0000DF100000}"/>
    <hyperlink ref="A1576" r:id="rId4321" xr:uid="{00000000-0004-0000-0200-0000E0100000}"/>
    <hyperlink ref="B1576" r:id="rId4322" xr:uid="{00000000-0004-0000-0200-0000E1100000}"/>
    <hyperlink ref="C1576" r:id="rId4323" xr:uid="{00000000-0004-0000-0200-0000E2100000}"/>
    <hyperlink ref="A1577" r:id="rId4324" xr:uid="{00000000-0004-0000-0200-0000E3100000}"/>
    <hyperlink ref="B1577" r:id="rId4325" xr:uid="{00000000-0004-0000-0200-0000E4100000}"/>
    <hyperlink ref="C1577" r:id="rId4326" xr:uid="{00000000-0004-0000-0200-0000E5100000}"/>
    <hyperlink ref="A1578" r:id="rId4327" xr:uid="{00000000-0004-0000-0200-0000E6100000}"/>
    <hyperlink ref="B1578" r:id="rId4328" xr:uid="{00000000-0004-0000-0200-0000E7100000}"/>
    <hyperlink ref="C1578" r:id="rId4329" xr:uid="{00000000-0004-0000-0200-0000E8100000}"/>
    <hyperlink ref="A1579" r:id="rId4330" xr:uid="{00000000-0004-0000-0200-0000E9100000}"/>
    <hyperlink ref="B1579" r:id="rId4331" xr:uid="{00000000-0004-0000-0200-0000EA100000}"/>
    <hyperlink ref="C1579" r:id="rId4332" xr:uid="{00000000-0004-0000-0200-0000EB100000}"/>
    <hyperlink ref="A1580" r:id="rId4333" xr:uid="{00000000-0004-0000-0200-0000EC100000}"/>
    <hyperlink ref="B1580" r:id="rId4334" xr:uid="{00000000-0004-0000-0200-0000ED100000}"/>
    <hyperlink ref="C1580" r:id="rId4335" xr:uid="{00000000-0004-0000-0200-0000EE100000}"/>
    <hyperlink ref="A1581" r:id="rId4336" xr:uid="{00000000-0004-0000-0200-0000EF100000}"/>
    <hyperlink ref="B1581" r:id="rId4337" xr:uid="{00000000-0004-0000-0200-0000F0100000}"/>
    <hyperlink ref="C1581" r:id="rId4338" xr:uid="{00000000-0004-0000-0200-0000F1100000}"/>
    <hyperlink ref="A1582" r:id="rId4339" xr:uid="{00000000-0004-0000-0200-0000F2100000}"/>
    <hyperlink ref="B1582" r:id="rId4340" xr:uid="{00000000-0004-0000-0200-0000F3100000}"/>
    <hyperlink ref="C1582" r:id="rId4341" xr:uid="{00000000-0004-0000-0200-0000F4100000}"/>
    <hyperlink ref="A1583" r:id="rId4342" xr:uid="{00000000-0004-0000-0200-0000F5100000}"/>
    <hyperlink ref="B1583" r:id="rId4343" xr:uid="{00000000-0004-0000-0200-0000F6100000}"/>
    <hyperlink ref="C1583" r:id="rId4344" xr:uid="{00000000-0004-0000-0200-0000F7100000}"/>
    <hyperlink ref="A1584" r:id="rId4345" xr:uid="{00000000-0004-0000-0200-0000F8100000}"/>
    <hyperlink ref="B1584" r:id="rId4346" xr:uid="{00000000-0004-0000-0200-0000F9100000}"/>
    <hyperlink ref="C1584" r:id="rId4347" xr:uid="{00000000-0004-0000-0200-0000FA100000}"/>
    <hyperlink ref="A1585" r:id="rId4348" xr:uid="{00000000-0004-0000-0200-0000FB100000}"/>
    <hyperlink ref="B1585" r:id="rId4349" xr:uid="{00000000-0004-0000-0200-0000FC100000}"/>
    <hyperlink ref="C1585" r:id="rId4350" xr:uid="{00000000-0004-0000-0200-0000FD100000}"/>
    <hyperlink ref="A1586" r:id="rId4351" xr:uid="{00000000-0004-0000-0200-0000FE100000}"/>
    <hyperlink ref="B1586" r:id="rId4352" xr:uid="{00000000-0004-0000-0200-0000FF100000}"/>
    <hyperlink ref="C1586" r:id="rId4353" xr:uid="{00000000-0004-0000-0200-000000110000}"/>
    <hyperlink ref="A1587" r:id="rId4354" xr:uid="{00000000-0004-0000-0200-000001110000}"/>
    <hyperlink ref="B1587" r:id="rId4355" xr:uid="{00000000-0004-0000-0200-000002110000}"/>
    <hyperlink ref="C1587" r:id="rId4356" xr:uid="{00000000-0004-0000-0200-000003110000}"/>
    <hyperlink ref="A1588" r:id="rId4357" xr:uid="{00000000-0004-0000-0200-000004110000}"/>
    <hyperlink ref="B1588" r:id="rId4358" xr:uid="{00000000-0004-0000-0200-000005110000}"/>
    <hyperlink ref="C1588" r:id="rId4359" xr:uid="{00000000-0004-0000-0200-000006110000}"/>
    <hyperlink ref="A1589" r:id="rId4360" xr:uid="{00000000-0004-0000-0200-000007110000}"/>
    <hyperlink ref="B1589" r:id="rId4361" xr:uid="{00000000-0004-0000-0200-000008110000}"/>
    <hyperlink ref="C1589" r:id="rId4362" xr:uid="{00000000-0004-0000-0200-000009110000}"/>
    <hyperlink ref="A1590" r:id="rId4363" xr:uid="{00000000-0004-0000-0200-00000A110000}"/>
    <hyperlink ref="B1590" r:id="rId4364" xr:uid="{00000000-0004-0000-0200-00000B110000}"/>
    <hyperlink ref="C1590" r:id="rId4365" xr:uid="{00000000-0004-0000-0200-00000C110000}"/>
    <hyperlink ref="A1591" r:id="rId4366" xr:uid="{00000000-0004-0000-0200-00000D110000}"/>
    <hyperlink ref="B1591" r:id="rId4367" xr:uid="{00000000-0004-0000-0200-00000E110000}"/>
    <hyperlink ref="C1591" r:id="rId4368" xr:uid="{00000000-0004-0000-0200-00000F110000}"/>
    <hyperlink ref="A1592" r:id="rId4369" xr:uid="{00000000-0004-0000-0200-000010110000}"/>
    <hyperlink ref="B1592" r:id="rId4370" xr:uid="{00000000-0004-0000-0200-000011110000}"/>
    <hyperlink ref="C1592" r:id="rId4371" xr:uid="{00000000-0004-0000-0200-000012110000}"/>
    <hyperlink ref="A1593" r:id="rId4372" xr:uid="{00000000-0004-0000-0200-000013110000}"/>
    <hyperlink ref="B1593" r:id="rId4373" xr:uid="{00000000-0004-0000-0200-000014110000}"/>
    <hyperlink ref="C1593" r:id="rId4374" xr:uid="{00000000-0004-0000-0200-000015110000}"/>
    <hyperlink ref="A1594" r:id="rId4375" xr:uid="{00000000-0004-0000-0200-000016110000}"/>
    <hyperlink ref="B1594" r:id="rId4376" xr:uid="{00000000-0004-0000-0200-000017110000}"/>
    <hyperlink ref="C1594" r:id="rId4377" xr:uid="{00000000-0004-0000-0200-000018110000}"/>
    <hyperlink ref="A1595" r:id="rId4378" xr:uid="{00000000-0004-0000-0200-000019110000}"/>
    <hyperlink ref="B1595" r:id="rId4379" xr:uid="{00000000-0004-0000-0200-00001A110000}"/>
    <hyperlink ref="C1595" r:id="rId4380" xr:uid="{00000000-0004-0000-0200-00001B110000}"/>
    <hyperlink ref="A1596" r:id="rId4381" xr:uid="{00000000-0004-0000-0200-00001C110000}"/>
    <hyperlink ref="B1596" r:id="rId4382" xr:uid="{00000000-0004-0000-0200-00001D110000}"/>
    <hyperlink ref="C1596" r:id="rId4383" xr:uid="{00000000-0004-0000-0200-00001E110000}"/>
    <hyperlink ref="A1597" r:id="rId4384" xr:uid="{00000000-0004-0000-0200-00001F110000}"/>
    <hyperlink ref="B1597" r:id="rId4385" xr:uid="{00000000-0004-0000-0200-000020110000}"/>
    <hyperlink ref="C1597" r:id="rId4386" xr:uid="{00000000-0004-0000-0200-000021110000}"/>
    <hyperlink ref="A1598" r:id="rId4387" xr:uid="{00000000-0004-0000-0200-000022110000}"/>
    <hyperlink ref="B1598" r:id="rId4388" xr:uid="{00000000-0004-0000-0200-000023110000}"/>
    <hyperlink ref="C1598" r:id="rId4389" xr:uid="{00000000-0004-0000-0200-000024110000}"/>
    <hyperlink ref="A1599" r:id="rId4390" xr:uid="{00000000-0004-0000-0200-000025110000}"/>
    <hyperlink ref="B1599" r:id="rId4391" xr:uid="{00000000-0004-0000-0200-000026110000}"/>
    <hyperlink ref="C1599" r:id="rId4392" xr:uid="{00000000-0004-0000-0200-000027110000}"/>
    <hyperlink ref="A1600" r:id="rId4393" xr:uid="{00000000-0004-0000-0200-000028110000}"/>
    <hyperlink ref="B1600" r:id="rId4394" xr:uid="{00000000-0004-0000-0200-000029110000}"/>
    <hyperlink ref="C1600" r:id="rId4395" xr:uid="{00000000-0004-0000-0200-00002A110000}"/>
    <hyperlink ref="A1601" r:id="rId4396" xr:uid="{00000000-0004-0000-0200-00002B110000}"/>
    <hyperlink ref="B1601" r:id="rId4397" xr:uid="{00000000-0004-0000-0200-00002C110000}"/>
    <hyperlink ref="C1601" r:id="rId4398" xr:uid="{00000000-0004-0000-0200-00002D110000}"/>
    <hyperlink ref="A1602" r:id="rId4399" xr:uid="{00000000-0004-0000-0200-00002E110000}"/>
    <hyperlink ref="B1602" r:id="rId4400" xr:uid="{00000000-0004-0000-0200-00002F110000}"/>
    <hyperlink ref="C1602" r:id="rId4401" xr:uid="{00000000-0004-0000-0200-000030110000}"/>
    <hyperlink ref="A1603" r:id="rId4402" xr:uid="{00000000-0004-0000-0200-000031110000}"/>
    <hyperlink ref="B1603" r:id="rId4403" xr:uid="{00000000-0004-0000-0200-000032110000}"/>
    <hyperlink ref="C1603" r:id="rId4404" xr:uid="{00000000-0004-0000-0200-000033110000}"/>
    <hyperlink ref="A1604" r:id="rId4405" xr:uid="{00000000-0004-0000-0200-000034110000}"/>
    <hyperlink ref="B1604" r:id="rId4406" xr:uid="{00000000-0004-0000-0200-000035110000}"/>
    <hyperlink ref="C1604" r:id="rId4407" xr:uid="{00000000-0004-0000-0200-000036110000}"/>
    <hyperlink ref="A1605" r:id="rId4408" xr:uid="{00000000-0004-0000-0200-000037110000}"/>
    <hyperlink ref="B1605" r:id="rId4409" xr:uid="{00000000-0004-0000-0200-000038110000}"/>
    <hyperlink ref="C1605" r:id="rId4410" xr:uid="{00000000-0004-0000-0200-000039110000}"/>
    <hyperlink ref="A1606" r:id="rId4411" xr:uid="{00000000-0004-0000-0200-00003A110000}"/>
    <hyperlink ref="B1606" r:id="rId4412" xr:uid="{00000000-0004-0000-0200-00003B110000}"/>
    <hyperlink ref="C1606" r:id="rId4413" xr:uid="{00000000-0004-0000-0200-00003C110000}"/>
    <hyperlink ref="A1607" r:id="rId4414" xr:uid="{00000000-0004-0000-0200-00003D110000}"/>
    <hyperlink ref="B1607" r:id="rId4415" xr:uid="{00000000-0004-0000-0200-00003E110000}"/>
    <hyperlink ref="C1607" r:id="rId4416" xr:uid="{00000000-0004-0000-0200-00003F110000}"/>
    <hyperlink ref="A1608" r:id="rId4417" xr:uid="{00000000-0004-0000-0200-000040110000}"/>
    <hyperlink ref="B1608" r:id="rId4418" xr:uid="{00000000-0004-0000-0200-000041110000}"/>
    <hyperlink ref="C1608" r:id="rId4419" xr:uid="{00000000-0004-0000-0200-000042110000}"/>
    <hyperlink ref="A1609" r:id="rId4420" xr:uid="{00000000-0004-0000-0200-000043110000}"/>
    <hyperlink ref="B1609" r:id="rId4421" xr:uid="{00000000-0004-0000-0200-000044110000}"/>
    <hyperlink ref="C1609" r:id="rId4422" xr:uid="{00000000-0004-0000-0200-000045110000}"/>
    <hyperlink ref="A1610" r:id="rId4423" xr:uid="{00000000-0004-0000-0200-000046110000}"/>
    <hyperlink ref="B1610" r:id="rId4424" xr:uid="{00000000-0004-0000-0200-000047110000}"/>
    <hyperlink ref="C1610" r:id="rId4425" xr:uid="{00000000-0004-0000-0200-000048110000}"/>
    <hyperlink ref="A1611" r:id="rId4426" xr:uid="{00000000-0004-0000-0200-000049110000}"/>
    <hyperlink ref="B1611" r:id="rId4427" xr:uid="{00000000-0004-0000-0200-00004A110000}"/>
    <hyperlink ref="C1611" r:id="rId4428" xr:uid="{00000000-0004-0000-0200-00004B110000}"/>
    <hyperlink ref="A1612" r:id="rId4429" xr:uid="{00000000-0004-0000-0200-00004C110000}"/>
    <hyperlink ref="B1612" r:id="rId4430" xr:uid="{00000000-0004-0000-0200-00004D110000}"/>
    <hyperlink ref="C1612" r:id="rId4431" xr:uid="{00000000-0004-0000-0200-00004E110000}"/>
    <hyperlink ref="A1613" r:id="rId4432" xr:uid="{00000000-0004-0000-0200-00004F110000}"/>
    <hyperlink ref="B1613" r:id="rId4433" xr:uid="{00000000-0004-0000-0200-000050110000}"/>
    <hyperlink ref="C1613" r:id="rId4434" xr:uid="{00000000-0004-0000-0200-000051110000}"/>
    <hyperlink ref="A1614" r:id="rId4435" xr:uid="{00000000-0004-0000-0200-000052110000}"/>
    <hyperlink ref="B1614" r:id="rId4436" xr:uid="{00000000-0004-0000-0200-000053110000}"/>
    <hyperlink ref="C1614" r:id="rId4437" xr:uid="{00000000-0004-0000-0200-000054110000}"/>
    <hyperlink ref="A1615" r:id="rId4438" xr:uid="{00000000-0004-0000-0200-000055110000}"/>
    <hyperlink ref="B1615" r:id="rId4439" xr:uid="{00000000-0004-0000-0200-000056110000}"/>
    <hyperlink ref="C1615" r:id="rId4440" xr:uid="{00000000-0004-0000-0200-000057110000}"/>
    <hyperlink ref="A1616" r:id="rId4441" xr:uid="{00000000-0004-0000-0200-000058110000}"/>
    <hyperlink ref="B1616" r:id="rId4442" xr:uid="{00000000-0004-0000-0200-000059110000}"/>
    <hyperlink ref="C1616" r:id="rId4443" xr:uid="{00000000-0004-0000-0200-00005A110000}"/>
    <hyperlink ref="A1617" r:id="rId4444" xr:uid="{00000000-0004-0000-0200-00005B110000}"/>
    <hyperlink ref="B1617" r:id="rId4445" xr:uid="{00000000-0004-0000-0200-00005C110000}"/>
    <hyperlink ref="C1617" r:id="rId4446" xr:uid="{00000000-0004-0000-0200-00005D110000}"/>
    <hyperlink ref="A1618" r:id="rId4447" xr:uid="{00000000-0004-0000-0200-00005E110000}"/>
    <hyperlink ref="B1618" r:id="rId4448" xr:uid="{00000000-0004-0000-0200-00005F110000}"/>
    <hyperlink ref="C1618" r:id="rId4449" xr:uid="{00000000-0004-0000-0200-000060110000}"/>
    <hyperlink ref="A1619" r:id="rId4450" xr:uid="{00000000-0004-0000-0200-000061110000}"/>
    <hyperlink ref="B1619" r:id="rId4451" xr:uid="{00000000-0004-0000-0200-000062110000}"/>
    <hyperlink ref="C1619" r:id="rId4452" xr:uid="{00000000-0004-0000-0200-000063110000}"/>
    <hyperlink ref="A1620" r:id="rId4453" xr:uid="{00000000-0004-0000-0200-000064110000}"/>
    <hyperlink ref="B1620" r:id="rId4454" xr:uid="{00000000-0004-0000-0200-000065110000}"/>
    <hyperlink ref="C1620" r:id="rId4455" xr:uid="{00000000-0004-0000-0200-000066110000}"/>
    <hyperlink ref="A1621" r:id="rId4456" xr:uid="{00000000-0004-0000-0200-000067110000}"/>
    <hyperlink ref="B1621" r:id="rId4457" xr:uid="{00000000-0004-0000-0200-000068110000}"/>
    <hyperlink ref="C1621" r:id="rId4458" xr:uid="{00000000-0004-0000-0200-000069110000}"/>
    <hyperlink ref="A1622" r:id="rId4459" xr:uid="{00000000-0004-0000-0200-00006A110000}"/>
    <hyperlink ref="B1622" r:id="rId4460" xr:uid="{00000000-0004-0000-0200-00006B110000}"/>
    <hyperlink ref="C1622" r:id="rId4461" xr:uid="{00000000-0004-0000-0200-00006C110000}"/>
    <hyperlink ref="A1623" r:id="rId4462" xr:uid="{00000000-0004-0000-0200-00006D110000}"/>
    <hyperlink ref="B1623" r:id="rId4463" xr:uid="{00000000-0004-0000-0200-00006E110000}"/>
    <hyperlink ref="C1623" r:id="rId4464" xr:uid="{00000000-0004-0000-0200-00006F110000}"/>
    <hyperlink ref="A1624" r:id="rId4465" xr:uid="{00000000-0004-0000-0200-000070110000}"/>
    <hyperlink ref="B1624" r:id="rId4466" xr:uid="{00000000-0004-0000-0200-000071110000}"/>
    <hyperlink ref="C1624" r:id="rId4467" xr:uid="{00000000-0004-0000-0200-000072110000}"/>
    <hyperlink ref="A1625" r:id="rId4468" xr:uid="{00000000-0004-0000-0200-000073110000}"/>
    <hyperlink ref="B1625" r:id="rId4469" xr:uid="{00000000-0004-0000-0200-000074110000}"/>
    <hyperlink ref="C1625" r:id="rId4470" xr:uid="{00000000-0004-0000-0200-000075110000}"/>
    <hyperlink ref="A1626" r:id="rId4471" xr:uid="{00000000-0004-0000-0200-000076110000}"/>
    <hyperlink ref="B1626" r:id="rId4472" xr:uid="{00000000-0004-0000-0200-000077110000}"/>
    <hyperlink ref="C1626" r:id="rId4473" xr:uid="{00000000-0004-0000-0200-000078110000}"/>
    <hyperlink ref="A1627" r:id="rId4474" xr:uid="{00000000-0004-0000-0200-000079110000}"/>
    <hyperlink ref="B1627" r:id="rId4475" xr:uid="{00000000-0004-0000-0200-00007A110000}"/>
    <hyperlink ref="C1627" r:id="rId4476" xr:uid="{00000000-0004-0000-0200-00007B110000}"/>
    <hyperlink ref="A1628" r:id="rId4477" xr:uid="{00000000-0004-0000-0200-00007C110000}"/>
    <hyperlink ref="B1628" r:id="rId4478" xr:uid="{00000000-0004-0000-0200-00007D110000}"/>
    <hyperlink ref="C1628" r:id="rId4479" xr:uid="{00000000-0004-0000-0200-00007E110000}"/>
    <hyperlink ref="A1629" r:id="rId4480" xr:uid="{00000000-0004-0000-0200-00007F110000}"/>
    <hyperlink ref="B1629" r:id="rId4481" xr:uid="{00000000-0004-0000-0200-000080110000}"/>
    <hyperlink ref="C1629" r:id="rId4482" xr:uid="{00000000-0004-0000-0200-000081110000}"/>
    <hyperlink ref="A1630" r:id="rId4483" xr:uid="{00000000-0004-0000-0200-000082110000}"/>
    <hyperlink ref="B1630" r:id="rId4484" xr:uid="{00000000-0004-0000-0200-000083110000}"/>
    <hyperlink ref="C1630" r:id="rId4485" xr:uid="{00000000-0004-0000-0200-000084110000}"/>
    <hyperlink ref="A1631" r:id="rId4486" xr:uid="{00000000-0004-0000-0200-000085110000}"/>
    <hyperlink ref="B1631" r:id="rId4487" xr:uid="{00000000-0004-0000-0200-000086110000}"/>
    <hyperlink ref="C1631" r:id="rId4488" xr:uid="{00000000-0004-0000-0200-000087110000}"/>
    <hyperlink ref="A1632" r:id="rId4489" xr:uid="{00000000-0004-0000-0200-000088110000}"/>
    <hyperlink ref="B1632" r:id="rId4490" xr:uid="{00000000-0004-0000-0200-000089110000}"/>
    <hyperlink ref="C1632" r:id="rId4491" xr:uid="{00000000-0004-0000-0200-00008A110000}"/>
    <hyperlink ref="A1633" r:id="rId4492" xr:uid="{00000000-0004-0000-0200-00008B110000}"/>
    <hyperlink ref="B1633" r:id="rId4493" xr:uid="{00000000-0004-0000-0200-00008C110000}"/>
    <hyperlink ref="C1633" r:id="rId4494" xr:uid="{00000000-0004-0000-0200-00008D110000}"/>
    <hyperlink ref="A1634" r:id="rId4495" xr:uid="{00000000-0004-0000-0200-00008E110000}"/>
    <hyperlink ref="B1634" r:id="rId4496" xr:uid="{00000000-0004-0000-0200-00008F110000}"/>
    <hyperlink ref="C1634" r:id="rId4497" xr:uid="{00000000-0004-0000-0200-000090110000}"/>
    <hyperlink ref="A1635" r:id="rId4498" xr:uid="{00000000-0004-0000-0200-000091110000}"/>
    <hyperlink ref="B1635" r:id="rId4499" xr:uid="{00000000-0004-0000-0200-000092110000}"/>
    <hyperlink ref="C1635" r:id="rId4500" xr:uid="{00000000-0004-0000-0200-000093110000}"/>
    <hyperlink ref="A1636" r:id="rId4501" xr:uid="{00000000-0004-0000-0200-000094110000}"/>
    <hyperlink ref="B1636" r:id="rId4502" xr:uid="{00000000-0004-0000-0200-000095110000}"/>
    <hyperlink ref="C1636" r:id="rId4503" xr:uid="{00000000-0004-0000-0200-000096110000}"/>
    <hyperlink ref="A1637" r:id="rId4504" xr:uid="{00000000-0004-0000-0200-000097110000}"/>
    <hyperlink ref="B1637" r:id="rId4505" xr:uid="{00000000-0004-0000-0200-000098110000}"/>
    <hyperlink ref="C1637" r:id="rId4506" xr:uid="{00000000-0004-0000-0200-000099110000}"/>
    <hyperlink ref="A1638" r:id="rId4507" xr:uid="{00000000-0004-0000-0200-00009A110000}"/>
    <hyperlink ref="B1638" r:id="rId4508" xr:uid="{00000000-0004-0000-0200-00009B110000}"/>
    <hyperlink ref="C1638" r:id="rId4509" xr:uid="{00000000-0004-0000-0200-00009C110000}"/>
    <hyperlink ref="A1639" r:id="rId4510" xr:uid="{00000000-0004-0000-0200-00009D110000}"/>
    <hyperlink ref="B1639" r:id="rId4511" xr:uid="{00000000-0004-0000-0200-00009E110000}"/>
    <hyperlink ref="C1639" r:id="rId4512" xr:uid="{00000000-0004-0000-0200-00009F110000}"/>
    <hyperlink ref="A1640" r:id="rId4513" xr:uid="{00000000-0004-0000-0200-0000A0110000}"/>
    <hyperlink ref="B1640" r:id="rId4514" xr:uid="{00000000-0004-0000-0200-0000A1110000}"/>
    <hyperlink ref="C1640" r:id="rId4515" xr:uid="{00000000-0004-0000-0200-0000A2110000}"/>
    <hyperlink ref="A1641" r:id="rId4516" xr:uid="{00000000-0004-0000-0200-0000A3110000}"/>
    <hyperlink ref="B1641" r:id="rId4517" xr:uid="{00000000-0004-0000-0200-0000A4110000}"/>
    <hyperlink ref="C1641" r:id="rId4518" xr:uid="{00000000-0004-0000-0200-0000A5110000}"/>
    <hyperlink ref="A1642" r:id="rId4519" xr:uid="{00000000-0004-0000-0200-0000A6110000}"/>
    <hyperlink ref="B1642" r:id="rId4520" xr:uid="{00000000-0004-0000-0200-0000A7110000}"/>
    <hyperlink ref="C1642" r:id="rId4521" xr:uid="{00000000-0004-0000-0200-0000A8110000}"/>
    <hyperlink ref="A1643" r:id="rId4522" xr:uid="{00000000-0004-0000-0200-0000A9110000}"/>
    <hyperlink ref="B1643" r:id="rId4523" xr:uid="{00000000-0004-0000-0200-0000AA110000}"/>
    <hyperlink ref="C1643" r:id="rId4524" xr:uid="{00000000-0004-0000-0200-0000AB110000}"/>
    <hyperlink ref="A1644" r:id="rId4525" xr:uid="{00000000-0004-0000-0200-0000AC110000}"/>
    <hyperlink ref="B1644" r:id="rId4526" xr:uid="{00000000-0004-0000-0200-0000AD110000}"/>
    <hyperlink ref="C1644" r:id="rId4527" xr:uid="{00000000-0004-0000-0200-0000AE110000}"/>
    <hyperlink ref="A1645" r:id="rId4528" xr:uid="{00000000-0004-0000-0200-0000AF110000}"/>
    <hyperlink ref="B1645" r:id="rId4529" xr:uid="{00000000-0004-0000-0200-0000B0110000}"/>
    <hyperlink ref="C1645" r:id="rId4530" xr:uid="{00000000-0004-0000-0200-0000B1110000}"/>
    <hyperlink ref="A1646" r:id="rId4531" xr:uid="{00000000-0004-0000-0200-0000B2110000}"/>
    <hyperlink ref="B1646" r:id="rId4532" xr:uid="{00000000-0004-0000-0200-0000B3110000}"/>
    <hyperlink ref="C1646" r:id="rId4533" xr:uid="{00000000-0004-0000-0200-0000B4110000}"/>
    <hyperlink ref="A1647" r:id="rId4534" xr:uid="{00000000-0004-0000-0200-0000B5110000}"/>
    <hyperlink ref="B1647" r:id="rId4535" xr:uid="{00000000-0004-0000-0200-0000B6110000}"/>
    <hyperlink ref="C1647" r:id="rId4536" xr:uid="{00000000-0004-0000-0200-0000B7110000}"/>
    <hyperlink ref="A1648" r:id="rId4537" xr:uid="{00000000-0004-0000-0200-0000B8110000}"/>
    <hyperlink ref="B1648" r:id="rId4538" xr:uid="{00000000-0004-0000-0200-0000B9110000}"/>
    <hyperlink ref="C1648" r:id="rId4539" xr:uid="{00000000-0004-0000-0200-0000BA110000}"/>
    <hyperlink ref="A1649" r:id="rId4540" xr:uid="{00000000-0004-0000-0200-0000BB110000}"/>
    <hyperlink ref="B1649" r:id="rId4541" xr:uid="{00000000-0004-0000-0200-0000BC110000}"/>
    <hyperlink ref="C1649" r:id="rId4542" xr:uid="{00000000-0004-0000-0200-0000BD110000}"/>
    <hyperlink ref="A1650" r:id="rId4543" xr:uid="{00000000-0004-0000-0200-0000BE110000}"/>
    <hyperlink ref="B1650" r:id="rId4544" xr:uid="{00000000-0004-0000-0200-0000BF110000}"/>
    <hyperlink ref="C1650" r:id="rId4545" xr:uid="{00000000-0004-0000-0200-0000C0110000}"/>
    <hyperlink ref="A1651" r:id="rId4546" xr:uid="{00000000-0004-0000-0200-0000C1110000}"/>
    <hyperlink ref="B1651" r:id="rId4547" xr:uid="{00000000-0004-0000-0200-0000C2110000}"/>
    <hyperlink ref="C1651" r:id="rId4548" xr:uid="{00000000-0004-0000-0200-0000C3110000}"/>
    <hyperlink ref="A1652" r:id="rId4549" xr:uid="{00000000-0004-0000-0200-0000C4110000}"/>
    <hyperlink ref="B1652" r:id="rId4550" xr:uid="{00000000-0004-0000-0200-0000C5110000}"/>
    <hyperlink ref="C1652" r:id="rId4551" xr:uid="{00000000-0004-0000-0200-0000C6110000}"/>
    <hyperlink ref="A1653" r:id="rId4552" xr:uid="{00000000-0004-0000-0200-0000C7110000}"/>
    <hyperlink ref="B1653" r:id="rId4553" xr:uid="{00000000-0004-0000-0200-0000C8110000}"/>
    <hyperlink ref="C1653" r:id="rId4554" xr:uid="{00000000-0004-0000-0200-0000C9110000}"/>
    <hyperlink ref="A1654" r:id="rId4555" xr:uid="{00000000-0004-0000-0200-0000CA110000}"/>
    <hyperlink ref="B1654" r:id="rId4556" xr:uid="{00000000-0004-0000-0200-0000CB110000}"/>
    <hyperlink ref="C1654" r:id="rId4557" xr:uid="{00000000-0004-0000-0200-0000CC110000}"/>
    <hyperlink ref="A1655" r:id="rId4558" xr:uid="{00000000-0004-0000-0200-0000CD110000}"/>
    <hyperlink ref="B1655" r:id="rId4559" xr:uid="{00000000-0004-0000-0200-0000CE110000}"/>
    <hyperlink ref="C1655" r:id="rId4560" xr:uid="{00000000-0004-0000-0200-0000CF110000}"/>
    <hyperlink ref="A1656" r:id="rId4561" xr:uid="{00000000-0004-0000-0200-0000D0110000}"/>
    <hyperlink ref="B1656" r:id="rId4562" xr:uid="{00000000-0004-0000-0200-0000D1110000}"/>
    <hyperlink ref="C1656" r:id="rId4563" xr:uid="{00000000-0004-0000-0200-0000D2110000}"/>
    <hyperlink ref="A1657" r:id="rId4564" xr:uid="{00000000-0004-0000-0200-0000D3110000}"/>
    <hyperlink ref="B1657" r:id="rId4565" xr:uid="{00000000-0004-0000-0200-0000D4110000}"/>
    <hyperlink ref="C1657" r:id="rId4566" xr:uid="{00000000-0004-0000-0200-0000D5110000}"/>
    <hyperlink ref="A1658" r:id="rId4567" xr:uid="{00000000-0004-0000-0200-0000D6110000}"/>
    <hyperlink ref="B1658" r:id="rId4568" xr:uid="{00000000-0004-0000-0200-0000D7110000}"/>
    <hyperlink ref="C1658" r:id="rId4569" xr:uid="{00000000-0004-0000-0200-0000D8110000}"/>
    <hyperlink ref="A1659" r:id="rId4570" xr:uid="{00000000-0004-0000-0200-0000D9110000}"/>
    <hyperlink ref="B1659" r:id="rId4571" xr:uid="{00000000-0004-0000-0200-0000DA110000}"/>
    <hyperlink ref="C1659" r:id="rId4572" xr:uid="{00000000-0004-0000-0200-0000DB110000}"/>
    <hyperlink ref="A1660" r:id="rId4573" xr:uid="{00000000-0004-0000-0200-0000DC110000}"/>
    <hyperlink ref="B1660" r:id="rId4574" xr:uid="{00000000-0004-0000-0200-0000DD110000}"/>
    <hyperlink ref="C1660" r:id="rId4575" xr:uid="{00000000-0004-0000-0200-0000DE110000}"/>
    <hyperlink ref="A1661" r:id="rId4576" xr:uid="{00000000-0004-0000-0200-0000DF110000}"/>
    <hyperlink ref="B1661" r:id="rId4577" xr:uid="{00000000-0004-0000-0200-0000E0110000}"/>
    <hyperlink ref="C1661" r:id="rId4578" xr:uid="{00000000-0004-0000-0200-0000E1110000}"/>
    <hyperlink ref="A1662" r:id="rId4579" xr:uid="{00000000-0004-0000-0200-0000E2110000}"/>
    <hyperlink ref="B1662" r:id="rId4580" xr:uid="{00000000-0004-0000-0200-0000E3110000}"/>
    <hyperlink ref="C1662" r:id="rId4581" xr:uid="{00000000-0004-0000-0200-0000E4110000}"/>
    <hyperlink ref="A1663" r:id="rId4582" xr:uid="{00000000-0004-0000-0200-0000E5110000}"/>
    <hyperlink ref="B1663" r:id="rId4583" xr:uid="{00000000-0004-0000-0200-0000E6110000}"/>
    <hyperlink ref="C1663" r:id="rId4584" xr:uid="{00000000-0004-0000-0200-0000E7110000}"/>
    <hyperlink ref="A1664" r:id="rId4585" xr:uid="{00000000-0004-0000-0200-0000E8110000}"/>
    <hyperlink ref="B1664" r:id="rId4586" xr:uid="{00000000-0004-0000-0200-0000E9110000}"/>
    <hyperlink ref="C1664" r:id="rId4587" xr:uid="{00000000-0004-0000-0200-0000EA110000}"/>
    <hyperlink ref="A1665" r:id="rId4588" xr:uid="{00000000-0004-0000-0200-0000EB110000}"/>
    <hyperlink ref="B1665" r:id="rId4589" xr:uid="{00000000-0004-0000-0200-0000EC110000}"/>
    <hyperlink ref="C1665" r:id="rId4590" xr:uid="{00000000-0004-0000-0200-0000ED110000}"/>
    <hyperlink ref="A1666" r:id="rId4591" xr:uid="{00000000-0004-0000-0200-0000EE110000}"/>
    <hyperlink ref="B1666" r:id="rId4592" xr:uid="{00000000-0004-0000-0200-0000EF110000}"/>
    <hyperlink ref="C1666" r:id="rId4593" xr:uid="{00000000-0004-0000-0200-0000F0110000}"/>
    <hyperlink ref="A1667" r:id="rId4594" xr:uid="{00000000-0004-0000-0200-0000F1110000}"/>
    <hyperlink ref="B1667" r:id="rId4595" xr:uid="{00000000-0004-0000-0200-0000F2110000}"/>
    <hyperlink ref="C1667" r:id="rId4596" xr:uid="{00000000-0004-0000-0200-0000F3110000}"/>
    <hyperlink ref="A1668" r:id="rId4597" xr:uid="{00000000-0004-0000-0200-0000F4110000}"/>
    <hyperlink ref="B1668" r:id="rId4598" xr:uid="{00000000-0004-0000-0200-0000F5110000}"/>
    <hyperlink ref="C1668" r:id="rId4599" xr:uid="{00000000-0004-0000-0200-0000F6110000}"/>
    <hyperlink ref="A1669" r:id="rId4600" xr:uid="{00000000-0004-0000-0200-0000F7110000}"/>
    <hyperlink ref="B1669" r:id="rId4601" xr:uid="{00000000-0004-0000-0200-0000F8110000}"/>
    <hyperlink ref="C1669" r:id="rId4602" xr:uid="{00000000-0004-0000-0200-0000F9110000}"/>
    <hyperlink ref="A1670" r:id="rId4603" xr:uid="{00000000-0004-0000-0200-0000FA110000}"/>
    <hyperlink ref="B1670" r:id="rId4604" xr:uid="{00000000-0004-0000-0200-0000FB110000}"/>
    <hyperlink ref="C1670" r:id="rId4605" xr:uid="{00000000-0004-0000-0200-0000FC110000}"/>
    <hyperlink ref="A1671" r:id="rId4606" xr:uid="{00000000-0004-0000-0200-0000FD110000}"/>
    <hyperlink ref="B1671" r:id="rId4607" xr:uid="{00000000-0004-0000-0200-0000FE110000}"/>
    <hyperlink ref="C1671" r:id="rId4608" xr:uid="{00000000-0004-0000-0200-0000FF110000}"/>
    <hyperlink ref="A1672" r:id="rId4609" xr:uid="{00000000-0004-0000-0200-000000120000}"/>
    <hyperlink ref="B1672" r:id="rId4610" xr:uid="{00000000-0004-0000-0200-000001120000}"/>
    <hyperlink ref="C1672" r:id="rId4611" xr:uid="{00000000-0004-0000-0200-000002120000}"/>
    <hyperlink ref="A1673" r:id="rId4612" xr:uid="{00000000-0004-0000-0200-000003120000}"/>
    <hyperlink ref="B1673" r:id="rId4613" xr:uid="{00000000-0004-0000-0200-000004120000}"/>
    <hyperlink ref="C1673" r:id="rId4614" xr:uid="{00000000-0004-0000-0200-000005120000}"/>
    <hyperlink ref="A1674" r:id="rId4615" xr:uid="{00000000-0004-0000-0200-000006120000}"/>
    <hyperlink ref="B1674" r:id="rId4616" xr:uid="{00000000-0004-0000-0200-000007120000}"/>
    <hyperlink ref="C1674" r:id="rId4617" xr:uid="{00000000-0004-0000-0200-000008120000}"/>
    <hyperlink ref="A1675" r:id="rId4618" xr:uid="{00000000-0004-0000-0200-000009120000}"/>
    <hyperlink ref="B1675" r:id="rId4619" xr:uid="{00000000-0004-0000-0200-00000A120000}"/>
    <hyperlink ref="C1675" r:id="rId4620" xr:uid="{00000000-0004-0000-0200-00000B120000}"/>
    <hyperlink ref="A1676" r:id="rId4621" xr:uid="{00000000-0004-0000-0200-00000C120000}"/>
    <hyperlink ref="B1676" r:id="rId4622" xr:uid="{00000000-0004-0000-0200-00000D120000}"/>
    <hyperlink ref="C1676" r:id="rId4623" xr:uid="{00000000-0004-0000-0200-00000E120000}"/>
    <hyperlink ref="A1677" r:id="rId4624" xr:uid="{00000000-0004-0000-0200-00000F120000}"/>
    <hyperlink ref="B1677" r:id="rId4625" xr:uid="{00000000-0004-0000-0200-000010120000}"/>
    <hyperlink ref="C1677" r:id="rId4626" xr:uid="{00000000-0004-0000-0200-000011120000}"/>
    <hyperlink ref="A1678" r:id="rId4627" xr:uid="{00000000-0004-0000-0200-000012120000}"/>
    <hyperlink ref="B1678" r:id="rId4628" xr:uid="{00000000-0004-0000-0200-000013120000}"/>
    <hyperlink ref="C1678" r:id="rId4629" xr:uid="{00000000-0004-0000-0200-000014120000}"/>
    <hyperlink ref="A1679" r:id="rId4630" xr:uid="{00000000-0004-0000-0200-000015120000}"/>
    <hyperlink ref="B1679" r:id="rId4631" xr:uid="{00000000-0004-0000-0200-000016120000}"/>
    <hyperlink ref="C1679" r:id="rId4632" xr:uid="{00000000-0004-0000-0200-000017120000}"/>
    <hyperlink ref="A1680" r:id="rId4633" xr:uid="{00000000-0004-0000-0200-000018120000}"/>
    <hyperlink ref="B1680" r:id="rId4634" xr:uid="{00000000-0004-0000-0200-000019120000}"/>
    <hyperlink ref="C1680" r:id="rId4635" xr:uid="{00000000-0004-0000-0200-00001A120000}"/>
    <hyperlink ref="A1681" r:id="rId4636" xr:uid="{00000000-0004-0000-0200-00001B120000}"/>
    <hyperlink ref="B1681" r:id="rId4637" xr:uid="{00000000-0004-0000-0200-00001C120000}"/>
    <hyperlink ref="C1681" r:id="rId4638" xr:uid="{00000000-0004-0000-0200-00001D120000}"/>
    <hyperlink ref="A1682" r:id="rId4639" xr:uid="{00000000-0004-0000-0200-00001E120000}"/>
    <hyperlink ref="B1682" r:id="rId4640" xr:uid="{00000000-0004-0000-0200-00001F120000}"/>
    <hyperlink ref="C1682" r:id="rId4641" xr:uid="{00000000-0004-0000-0200-000020120000}"/>
    <hyperlink ref="A1683" r:id="rId4642" xr:uid="{00000000-0004-0000-0200-000021120000}"/>
    <hyperlink ref="B1683" r:id="rId4643" xr:uid="{00000000-0004-0000-0200-000022120000}"/>
    <hyperlink ref="C1683" r:id="rId4644" xr:uid="{00000000-0004-0000-0200-000023120000}"/>
    <hyperlink ref="A1684" r:id="rId4645" xr:uid="{00000000-0004-0000-0200-000024120000}"/>
    <hyperlink ref="B1684" r:id="rId4646" xr:uid="{00000000-0004-0000-0200-000025120000}"/>
    <hyperlink ref="C1684" r:id="rId4647" xr:uid="{00000000-0004-0000-0200-000026120000}"/>
    <hyperlink ref="A1685" r:id="rId4648" xr:uid="{00000000-0004-0000-0200-000027120000}"/>
    <hyperlink ref="B1685" r:id="rId4649" xr:uid="{00000000-0004-0000-0200-000028120000}"/>
    <hyperlink ref="C1685" r:id="rId4650" xr:uid="{00000000-0004-0000-0200-000029120000}"/>
    <hyperlink ref="A1686" r:id="rId4651" xr:uid="{00000000-0004-0000-0200-00002A120000}"/>
    <hyperlink ref="B1686" r:id="rId4652" xr:uid="{00000000-0004-0000-0200-00002B120000}"/>
    <hyperlink ref="C1686" r:id="rId4653" xr:uid="{00000000-0004-0000-0200-00002C120000}"/>
    <hyperlink ref="A1687" r:id="rId4654" xr:uid="{00000000-0004-0000-0200-00002D120000}"/>
    <hyperlink ref="B1687" r:id="rId4655" xr:uid="{00000000-0004-0000-0200-00002E120000}"/>
    <hyperlink ref="C1687" r:id="rId4656" xr:uid="{00000000-0004-0000-0200-00002F120000}"/>
    <hyperlink ref="A1688" r:id="rId4657" xr:uid="{00000000-0004-0000-0200-000030120000}"/>
    <hyperlink ref="B1688" r:id="rId4658" xr:uid="{00000000-0004-0000-0200-000031120000}"/>
    <hyperlink ref="C1688" r:id="rId4659" xr:uid="{00000000-0004-0000-0200-000032120000}"/>
    <hyperlink ref="A1689" r:id="rId4660" xr:uid="{00000000-0004-0000-0200-000033120000}"/>
    <hyperlink ref="B1689" r:id="rId4661" xr:uid="{00000000-0004-0000-0200-000034120000}"/>
    <hyperlink ref="C1689" r:id="rId4662" xr:uid="{00000000-0004-0000-0200-000035120000}"/>
    <hyperlink ref="A1690" r:id="rId4663" xr:uid="{00000000-0004-0000-0200-000036120000}"/>
    <hyperlink ref="B1690" r:id="rId4664" xr:uid="{00000000-0004-0000-0200-000037120000}"/>
    <hyperlink ref="C1690" r:id="rId4665" xr:uid="{00000000-0004-0000-0200-000038120000}"/>
    <hyperlink ref="A1691" r:id="rId4666" xr:uid="{00000000-0004-0000-0200-000039120000}"/>
    <hyperlink ref="B1691" r:id="rId4667" xr:uid="{00000000-0004-0000-0200-00003A120000}"/>
    <hyperlink ref="C1691" r:id="rId4668" xr:uid="{00000000-0004-0000-0200-00003B120000}"/>
    <hyperlink ref="A1692" r:id="rId4669" xr:uid="{00000000-0004-0000-0200-00003C120000}"/>
    <hyperlink ref="B1692" r:id="rId4670" xr:uid="{00000000-0004-0000-0200-00003D120000}"/>
    <hyperlink ref="C1692" r:id="rId4671" xr:uid="{00000000-0004-0000-0200-00003E120000}"/>
    <hyperlink ref="A1693" r:id="rId4672" xr:uid="{00000000-0004-0000-0200-00003F120000}"/>
    <hyperlink ref="B1693" r:id="rId4673" xr:uid="{00000000-0004-0000-0200-000040120000}"/>
    <hyperlink ref="C1693" r:id="rId4674" xr:uid="{00000000-0004-0000-0200-000041120000}"/>
    <hyperlink ref="A1694" r:id="rId4675" xr:uid="{00000000-0004-0000-0200-000042120000}"/>
    <hyperlink ref="B1694" r:id="rId4676" xr:uid="{00000000-0004-0000-0200-000043120000}"/>
    <hyperlink ref="C1694" r:id="rId4677" xr:uid="{00000000-0004-0000-0200-000044120000}"/>
    <hyperlink ref="A1695" r:id="rId4678" xr:uid="{00000000-0004-0000-0200-000045120000}"/>
    <hyperlink ref="B1695" r:id="rId4679" xr:uid="{00000000-0004-0000-0200-000046120000}"/>
    <hyperlink ref="C1695" r:id="rId4680" xr:uid="{00000000-0004-0000-0200-000047120000}"/>
    <hyperlink ref="A1696" r:id="rId4681" xr:uid="{00000000-0004-0000-0200-000048120000}"/>
    <hyperlink ref="B1696" r:id="rId4682" xr:uid="{00000000-0004-0000-0200-000049120000}"/>
    <hyperlink ref="C1696" r:id="rId4683" xr:uid="{00000000-0004-0000-0200-00004A120000}"/>
    <hyperlink ref="A1697" r:id="rId4684" xr:uid="{00000000-0004-0000-0200-00004B120000}"/>
    <hyperlink ref="B1697" r:id="rId4685" xr:uid="{00000000-0004-0000-0200-00004C120000}"/>
    <hyperlink ref="C1697" r:id="rId4686" xr:uid="{00000000-0004-0000-0200-00004D120000}"/>
    <hyperlink ref="A1698" r:id="rId4687" xr:uid="{00000000-0004-0000-0200-00004E120000}"/>
    <hyperlink ref="B1698" r:id="rId4688" xr:uid="{00000000-0004-0000-0200-00004F120000}"/>
    <hyperlink ref="C1698" r:id="rId4689" xr:uid="{00000000-0004-0000-0200-000050120000}"/>
    <hyperlink ref="A1699" r:id="rId4690" xr:uid="{00000000-0004-0000-0200-000051120000}"/>
    <hyperlink ref="B1699" r:id="rId4691" xr:uid="{00000000-0004-0000-0200-000052120000}"/>
    <hyperlink ref="C1699" r:id="rId4692" xr:uid="{00000000-0004-0000-0200-000053120000}"/>
    <hyperlink ref="A1700" r:id="rId4693" xr:uid="{00000000-0004-0000-0200-000054120000}"/>
    <hyperlink ref="B1700" r:id="rId4694" xr:uid="{00000000-0004-0000-0200-000055120000}"/>
    <hyperlink ref="C1700" r:id="rId4695" xr:uid="{00000000-0004-0000-0200-000056120000}"/>
    <hyperlink ref="A1701" r:id="rId4696" xr:uid="{00000000-0004-0000-0200-000057120000}"/>
    <hyperlink ref="B1701" r:id="rId4697" xr:uid="{00000000-0004-0000-0200-000058120000}"/>
    <hyperlink ref="C1701" r:id="rId4698" xr:uid="{00000000-0004-0000-0200-000059120000}"/>
    <hyperlink ref="A1702" r:id="rId4699" xr:uid="{00000000-0004-0000-0200-00005A120000}"/>
    <hyperlink ref="B1702" r:id="rId4700" xr:uid="{00000000-0004-0000-0200-00005B120000}"/>
    <hyperlink ref="C1702" r:id="rId4701" xr:uid="{00000000-0004-0000-0200-00005C120000}"/>
    <hyperlink ref="A1703" r:id="rId4702" xr:uid="{00000000-0004-0000-0200-00005D120000}"/>
    <hyperlink ref="B1703" r:id="rId4703" xr:uid="{00000000-0004-0000-0200-00005E120000}"/>
    <hyperlink ref="C1703" r:id="rId4704" xr:uid="{00000000-0004-0000-0200-00005F120000}"/>
    <hyperlink ref="A1704" r:id="rId4705" xr:uid="{00000000-0004-0000-0200-000060120000}"/>
    <hyperlink ref="B1704" r:id="rId4706" xr:uid="{00000000-0004-0000-0200-000061120000}"/>
    <hyperlink ref="C1704" r:id="rId4707" xr:uid="{00000000-0004-0000-0200-000062120000}"/>
    <hyperlink ref="A1705" r:id="rId4708" xr:uid="{00000000-0004-0000-0200-000063120000}"/>
    <hyperlink ref="B1705" r:id="rId4709" xr:uid="{00000000-0004-0000-0200-000064120000}"/>
    <hyperlink ref="C1705" r:id="rId4710" xr:uid="{00000000-0004-0000-0200-000065120000}"/>
    <hyperlink ref="A1706" r:id="rId4711" xr:uid="{00000000-0004-0000-0200-000066120000}"/>
    <hyperlink ref="B1706" r:id="rId4712" xr:uid="{00000000-0004-0000-0200-000067120000}"/>
    <hyperlink ref="C1706" r:id="rId4713" xr:uid="{00000000-0004-0000-0200-000068120000}"/>
    <hyperlink ref="A1707" r:id="rId4714" xr:uid="{00000000-0004-0000-0200-000069120000}"/>
    <hyperlink ref="B1707" r:id="rId4715" xr:uid="{00000000-0004-0000-0200-00006A120000}"/>
    <hyperlink ref="C1707" r:id="rId4716" xr:uid="{00000000-0004-0000-0200-00006B120000}"/>
    <hyperlink ref="A1708" r:id="rId4717" xr:uid="{00000000-0004-0000-0200-00006C120000}"/>
    <hyperlink ref="B1708" r:id="rId4718" xr:uid="{00000000-0004-0000-0200-00006D120000}"/>
    <hyperlink ref="C1708" r:id="rId4719" xr:uid="{00000000-0004-0000-0200-00006E120000}"/>
    <hyperlink ref="A1709" r:id="rId4720" xr:uid="{00000000-0004-0000-0200-00006F120000}"/>
    <hyperlink ref="B1709" r:id="rId4721" xr:uid="{00000000-0004-0000-0200-000070120000}"/>
    <hyperlink ref="C1709" r:id="rId4722" location="marketing-and-tools" xr:uid="{00000000-0004-0000-0200-000071120000}"/>
    <hyperlink ref="A1710" r:id="rId4723" xr:uid="{00000000-0004-0000-0200-000072120000}"/>
    <hyperlink ref="B1710" r:id="rId4724" xr:uid="{00000000-0004-0000-0200-000073120000}"/>
    <hyperlink ref="C1710" r:id="rId4725" xr:uid="{00000000-0004-0000-0200-000074120000}"/>
    <hyperlink ref="A1711" r:id="rId4726" xr:uid="{00000000-0004-0000-0200-000075120000}"/>
    <hyperlink ref="B1711" r:id="rId4727" xr:uid="{00000000-0004-0000-0200-000076120000}"/>
    <hyperlink ref="C1711" r:id="rId4728" xr:uid="{00000000-0004-0000-0200-000077120000}"/>
    <hyperlink ref="A1712" r:id="rId4729" xr:uid="{00000000-0004-0000-0200-000078120000}"/>
    <hyperlink ref="B1712" r:id="rId4730" xr:uid="{00000000-0004-0000-0200-000079120000}"/>
    <hyperlink ref="C1712" r:id="rId4731" xr:uid="{00000000-0004-0000-0200-00007A120000}"/>
    <hyperlink ref="A1713" r:id="rId4732" xr:uid="{00000000-0004-0000-0200-00007B120000}"/>
    <hyperlink ref="B1713" r:id="rId4733" xr:uid="{00000000-0004-0000-0200-00007C120000}"/>
    <hyperlink ref="C1713" r:id="rId4734" xr:uid="{00000000-0004-0000-0200-00007D120000}"/>
    <hyperlink ref="A1714" r:id="rId4735" xr:uid="{00000000-0004-0000-0200-00007E120000}"/>
    <hyperlink ref="B1714" r:id="rId4736" xr:uid="{00000000-0004-0000-0200-00007F120000}"/>
    <hyperlink ref="C1714" r:id="rId4737" xr:uid="{00000000-0004-0000-0200-000080120000}"/>
    <hyperlink ref="A1715" r:id="rId4738" xr:uid="{00000000-0004-0000-0200-000081120000}"/>
    <hyperlink ref="B1715" r:id="rId4739" xr:uid="{00000000-0004-0000-0200-000082120000}"/>
    <hyperlink ref="C1715" r:id="rId4740" xr:uid="{00000000-0004-0000-0200-000083120000}"/>
    <hyperlink ref="A1716" r:id="rId4741" xr:uid="{00000000-0004-0000-0200-000084120000}"/>
    <hyperlink ref="B1716" r:id="rId4742" xr:uid="{00000000-0004-0000-0200-000085120000}"/>
    <hyperlink ref="C1716" r:id="rId4743" xr:uid="{00000000-0004-0000-0200-000086120000}"/>
    <hyperlink ref="A1717" r:id="rId4744" xr:uid="{00000000-0004-0000-0200-000087120000}"/>
    <hyperlink ref="B1717" r:id="rId4745" xr:uid="{00000000-0004-0000-0200-000088120000}"/>
    <hyperlink ref="C1717" r:id="rId4746" xr:uid="{00000000-0004-0000-0200-000089120000}"/>
    <hyperlink ref="A1718" r:id="rId4747" xr:uid="{00000000-0004-0000-0200-00008A120000}"/>
    <hyperlink ref="B1718" r:id="rId4748" xr:uid="{00000000-0004-0000-0200-00008B120000}"/>
    <hyperlink ref="C1718" r:id="rId4749" xr:uid="{00000000-0004-0000-0200-00008C120000}"/>
    <hyperlink ref="A1719" r:id="rId4750" xr:uid="{00000000-0004-0000-0200-00008D120000}"/>
    <hyperlink ref="B1719" r:id="rId4751" xr:uid="{00000000-0004-0000-0200-00008E120000}"/>
    <hyperlink ref="C1719" r:id="rId4752" xr:uid="{00000000-0004-0000-0200-00008F120000}"/>
    <hyperlink ref="A1720" r:id="rId4753" xr:uid="{00000000-0004-0000-0200-000090120000}"/>
    <hyperlink ref="B1720" r:id="rId4754" xr:uid="{00000000-0004-0000-0200-000091120000}"/>
    <hyperlink ref="C1720" r:id="rId4755" xr:uid="{00000000-0004-0000-0200-000092120000}"/>
    <hyperlink ref="A1721" r:id="rId4756" xr:uid="{00000000-0004-0000-0200-000093120000}"/>
    <hyperlink ref="B1721" r:id="rId4757" xr:uid="{00000000-0004-0000-0200-000094120000}"/>
    <hyperlink ref="C1721" r:id="rId4758" xr:uid="{00000000-0004-0000-0200-000095120000}"/>
    <hyperlink ref="A1722" r:id="rId4759" xr:uid="{00000000-0004-0000-0200-000096120000}"/>
    <hyperlink ref="B1722" r:id="rId4760" xr:uid="{00000000-0004-0000-0200-000097120000}"/>
    <hyperlink ref="C1722" r:id="rId4761" xr:uid="{00000000-0004-0000-0200-000098120000}"/>
    <hyperlink ref="A1723" r:id="rId4762" xr:uid="{00000000-0004-0000-0200-000099120000}"/>
    <hyperlink ref="B1723" r:id="rId4763" xr:uid="{00000000-0004-0000-0200-00009A120000}"/>
    <hyperlink ref="C1723" r:id="rId4764" xr:uid="{00000000-0004-0000-0200-00009B120000}"/>
    <hyperlink ref="A1724" r:id="rId4765" xr:uid="{00000000-0004-0000-0200-00009C120000}"/>
    <hyperlink ref="B1724" r:id="rId4766" xr:uid="{00000000-0004-0000-0200-00009D120000}"/>
    <hyperlink ref="C1724" r:id="rId4767" xr:uid="{00000000-0004-0000-0200-00009E120000}"/>
    <hyperlink ref="A1725" r:id="rId4768" xr:uid="{00000000-0004-0000-0200-00009F120000}"/>
    <hyperlink ref="B1725" r:id="rId4769" xr:uid="{00000000-0004-0000-0200-0000A0120000}"/>
    <hyperlink ref="C1725" r:id="rId4770" xr:uid="{00000000-0004-0000-0200-0000A1120000}"/>
    <hyperlink ref="A1726" r:id="rId4771" xr:uid="{00000000-0004-0000-0200-0000A2120000}"/>
    <hyperlink ref="B1726" r:id="rId4772" xr:uid="{00000000-0004-0000-0200-0000A3120000}"/>
    <hyperlink ref="C1726" r:id="rId4773" xr:uid="{00000000-0004-0000-0200-0000A4120000}"/>
    <hyperlink ref="A1727" r:id="rId4774" xr:uid="{00000000-0004-0000-0200-0000A5120000}"/>
    <hyperlink ref="B1727" r:id="rId4775" xr:uid="{00000000-0004-0000-0200-0000A6120000}"/>
    <hyperlink ref="C1727" r:id="rId4776" xr:uid="{00000000-0004-0000-0200-0000A7120000}"/>
    <hyperlink ref="A1728" r:id="rId4777" xr:uid="{00000000-0004-0000-0200-0000A8120000}"/>
    <hyperlink ref="B1728" r:id="rId4778" xr:uid="{00000000-0004-0000-0200-0000A9120000}"/>
    <hyperlink ref="C1728" r:id="rId4779" xr:uid="{00000000-0004-0000-0200-0000AA120000}"/>
    <hyperlink ref="A1729" r:id="rId4780" xr:uid="{00000000-0004-0000-0200-0000AB120000}"/>
    <hyperlink ref="B1729" r:id="rId4781" xr:uid="{00000000-0004-0000-0200-0000AC120000}"/>
    <hyperlink ref="C1729" r:id="rId4782" xr:uid="{00000000-0004-0000-0200-0000AD120000}"/>
    <hyperlink ref="A1730" r:id="rId4783" xr:uid="{00000000-0004-0000-0200-0000AE120000}"/>
    <hyperlink ref="B1730" r:id="rId4784" xr:uid="{00000000-0004-0000-0200-0000AF120000}"/>
    <hyperlink ref="C1730" r:id="rId4785" xr:uid="{00000000-0004-0000-0200-0000B0120000}"/>
    <hyperlink ref="A1731" r:id="rId4786" xr:uid="{00000000-0004-0000-0200-0000B1120000}"/>
    <hyperlink ref="B1731" r:id="rId4787" xr:uid="{00000000-0004-0000-0200-0000B2120000}"/>
    <hyperlink ref="C1731" r:id="rId4788" xr:uid="{00000000-0004-0000-0200-0000B3120000}"/>
    <hyperlink ref="A1732" r:id="rId4789" xr:uid="{00000000-0004-0000-0200-0000B4120000}"/>
    <hyperlink ref="B1732" r:id="rId4790" xr:uid="{00000000-0004-0000-0200-0000B5120000}"/>
    <hyperlink ref="C1732" r:id="rId4791" xr:uid="{00000000-0004-0000-0200-0000B6120000}"/>
    <hyperlink ref="A1733" r:id="rId4792" xr:uid="{00000000-0004-0000-0200-0000B7120000}"/>
    <hyperlink ref="B1733" r:id="rId4793" xr:uid="{00000000-0004-0000-0200-0000B8120000}"/>
    <hyperlink ref="C1733" r:id="rId4794" xr:uid="{00000000-0004-0000-0200-0000B9120000}"/>
    <hyperlink ref="A1734" r:id="rId4795" xr:uid="{00000000-0004-0000-0200-0000BA120000}"/>
    <hyperlink ref="B1734" r:id="rId4796" xr:uid="{00000000-0004-0000-0200-0000BB120000}"/>
    <hyperlink ref="C1734" r:id="rId4797" xr:uid="{00000000-0004-0000-0200-0000BC120000}"/>
    <hyperlink ref="A1735" r:id="rId4798" xr:uid="{00000000-0004-0000-0200-0000BD120000}"/>
    <hyperlink ref="B1735" r:id="rId4799" xr:uid="{00000000-0004-0000-0200-0000BE120000}"/>
    <hyperlink ref="C1735" r:id="rId4800" xr:uid="{00000000-0004-0000-0200-0000BF120000}"/>
    <hyperlink ref="A1736" r:id="rId4801" xr:uid="{00000000-0004-0000-0200-0000C0120000}"/>
    <hyperlink ref="B1736" r:id="rId4802" xr:uid="{00000000-0004-0000-0200-0000C1120000}"/>
    <hyperlink ref="C1736" r:id="rId4803" xr:uid="{00000000-0004-0000-0200-0000C2120000}"/>
    <hyperlink ref="A1737" r:id="rId4804" xr:uid="{00000000-0004-0000-0200-0000C3120000}"/>
    <hyperlink ref="B1737" r:id="rId4805" xr:uid="{00000000-0004-0000-0200-0000C4120000}"/>
    <hyperlink ref="C1737" r:id="rId4806" xr:uid="{00000000-0004-0000-0200-0000C5120000}"/>
    <hyperlink ref="A1738" r:id="rId4807" xr:uid="{00000000-0004-0000-0200-0000C6120000}"/>
    <hyperlink ref="B1738" r:id="rId4808" xr:uid="{00000000-0004-0000-0200-0000C7120000}"/>
    <hyperlink ref="C1738" r:id="rId4809" xr:uid="{00000000-0004-0000-0200-0000C8120000}"/>
    <hyperlink ref="A1739" r:id="rId4810" xr:uid="{00000000-0004-0000-0200-0000C9120000}"/>
    <hyperlink ref="B1739" r:id="rId4811" xr:uid="{00000000-0004-0000-0200-0000CA120000}"/>
    <hyperlink ref="C1739" r:id="rId4812" xr:uid="{00000000-0004-0000-0200-0000CB120000}"/>
    <hyperlink ref="A1740" r:id="rId4813" xr:uid="{00000000-0004-0000-0200-0000CC120000}"/>
    <hyperlink ref="B1740" r:id="rId4814" xr:uid="{00000000-0004-0000-0200-0000CD120000}"/>
    <hyperlink ref="C1740" r:id="rId4815" xr:uid="{00000000-0004-0000-0200-0000CE120000}"/>
    <hyperlink ref="A1741" r:id="rId4816" xr:uid="{00000000-0004-0000-0200-0000CF120000}"/>
    <hyperlink ref="B1741" r:id="rId4817" xr:uid="{00000000-0004-0000-0200-0000D0120000}"/>
    <hyperlink ref="C1741" r:id="rId4818" xr:uid="{00000000-0004-0000-0200-0000D1120000}"/>
    <hyperlink ref="A1742" r:id="rId4819" xr:uid="{00000000-0004-0000-0200-0000D2120000}"/>
    <hyperlink ref="B1742" r:id="rId4820" xr:uid="{00000000-0004-0000-0200-0000D3120000}"/>
    <hyperlink ref="C1742" r:id="rId4821" xr:uid="{00000000-0004-0000-0200-0000D4120000}"/>
    <hyperlink ref="A1743" r:id="rId4822" xr:uid="{00000000-0004-0000-0200-0000D5120000}"/>
    <hyperlink ref="B1743" r:id="rId4823" xr:uid="{00000000-0004-0000-0200-0000D6120000}"/>
    <hyperlink ref="C1743" r:id="rId4824" xr:uid="{00000000-0004-0000-0200-0000D7120000}"/>
    <hyperlink ref="A1744" r:id="rId4825" xr:uid="{00000000-0004-0000-0200-0000D8120000}"/>
    <hyperlink ref="B1744" r:id="rId4826" xr:uid="{00000000-0004-0000-0200-0000D9120000}"/>
    <hyperlink ref="C1744" r:id="rId4827" xr:uid="{00000000-0004-0000-0200-0000DA120000}"/>
    <hyperlink ref="A1745" r:id="rId4828" xr:uid="{00000000-0004-0000-0200-0000DB120000}"/>
    <hyperlink ref="B1745" r:id="rId4829" xr:uid="{00000000-0004-0000-0200-0000DC120000}"/>
    <hyperlink ref="C1745" r:id="rId4830" xr:uid="{00000000-0004-0000-0200-0000DD120000}"/>
    <hyperlink ref="A1746" r:id="rId4831" xr:uid="{00000000-0004-0000-0200-0000DE120000}"/>
    <hyperlink ref="B1746" r:id="rId4832" xr:uid="{00000000-0004-0000-0200-0000DF120000}"/>
    <hyperlink ref="C1746" r:id="rId4833" xr:uid="{00000000-0004-0000-0200-0000E0120000}"/>
    <hyperlink ref="A1747" r:id="rId4834" xr:uid="{00000000-0004-0000-0200-0000E1120000}"/>
    <hyperlink ref="B1747" r:id="rId4835" xr:uid="{00000000-0004-0000-0200-0000E2120000}"/>
    <hyperlink ref="C1747" r:id="rId4836" xr:uid="{00000000-0004-0000-0200-0000E3120000}"/>
    <hyperlink ref="A1748" r:id="rId4837" xr:uid="{00000000-0004-0000-0200-0000E4120000}"/>
    <hyperlink ref="B1748" r:id="rId4838" xr:uid="{00000000-0004-0000-0200-0000E5120000}"/>
    <hyperlink ref="C1748" r:id="rId4839" xr:uid="{00000000-0004-0000-0200-0000E6120000}"/>
    <hyperlink ref="A1749" r:id="rId4840" xr:uid="{00000000-0004-0000-0200-0000E7120000}"/>
    <hyperlink ref="B1749" r:id="rId4841" xr:uid="{00000000-0004-0000-0200-0000E8120000}"/>
    <hyperlink ref="C1749" r:id="rId4842" xr:uid="{00000000-0004-0000-0200-0000E9120000}"/>
    <hyperlink ref="A1750" r:id="rId4843" xr:uid="{00000000-0004-0000-0200-0000EA120000}"/>
    <hyperlink ref="B1750" r:id="rId4844" xr:uid="{00000000-0004-0000-0200-0000EB120000}"/>
    <hyperlink ref="C1750" r:id="rId4845" xr:uid="{00000000-0004-0000-0200-0000EC120000}"/>
    <hyperlink ref="A1751" r:id="rId4846" xr:uid="{00000000-0004-0000-0200-0000ED120000}"/>
    <hyperlink ref="C1751" r:id="rId4847" xr:uid="{00000000-0004-0000-0200-0000EE120000}"/>
    <hyperlink ref="A1752" r:id="rId4848" xr:uid="{00000000-0004-0000-0200-0000EF120000}"/>
    <hyperlink ref="C1752" r:id="rId4849" xr:uid="{00000000-0004-0000-0200-0000F0120000}"/>
    <hyperlink ref="A1753" r:id="rId4850" xr:uid="{00000000-0004-0000-0200-0000F1120000}"/>
    <hyperlink ref="C1753" r:id="rId4851" xr:uid="{00000000-0004-0000-0200-0000F2120000}"/>
    <hyperlink ref="A1754" r:id="rId4852" xr:uid="{00000000-0004-0000-0200-0000F3120000}"/>
    <hyperlink ref="C1754" r:id="rId4853" xr:uid="{00000000-0004-0000-0200-0000F4120000}"/>
    <hyperlink ref="A1755" r:id="rId4854" xr:uid="{00000000-0004-0000-0200-0000F5120000}"/>
    <hyperlink ref="C1755" r:id="rId4855" xr:uid="{00000000-0004-0000-0200-0000F6120000}"/>
    <hyperlink ref="A1756" r:id="rId4856" xr:uid="{00000000-0004-0000-0200-0000F7120000}"/>
    <hyperlink ref="C1756" r:id="rId4857" xr:uid="{00000000-0004-0000-0200-0000F8120000}"/>
    <hyperlink ref="A1757" r:id="rId4858" xr:uid="{00000000-0004-0000-0200-0000F9120000}"/>
    <hyperlink ref="C1757" r:id="rId4859" xr:uid="{00000000-0004-0000-0200-0000FA120000}"/>
    <hyperlink ref="A1758" r:id="rId4860" xr:uid="{00000000-0004-0000-0200-0000FB120000}"/>
    <hyperlink ref="C1758" r:id="rId4861" xr:uid="{00000000-0004-0000-0200-0000FC120000}"/>
    <hyperlink ref="A1759" r:id="rId4862" xr:uid="{00000000-0004-0000-0200-0000FD120000}"/>
    <hyperlink ref="C1759" r:id="rId4863" xr:uid="{00000000-0004-0000-0200-0000FE120000}"/>
    <hyperlink ref="A1760" r:id="rId4864" xr:uid="{00000000-0004-0000-0200-0000FF120000}"/>
    <hyperlink ref="C1760" r:id="rId4865" xr:uid="{00000000-0004-0000-0200-000000130000}"/>
    <hyperlink ref="A1761" r:id="rId4866" xr:uid="{00000000-0004-0000-0200-000001130000}"/>
    <hyperlink ref="C1761" r:id="rId4867" xr:uid="{00000000-0004-0000-0200-000002130000}"/>
    <hyperlink ref="A1762" r:id="rId4868" xr:uid="{00000000-0004-0000-0200-000003130000}"/>
    <hyperlink ref="C1762" r:id="rId4869" xr:uid="{00000000-0004-0000-0200-000004130000}"/>
    <hyperlink ref="A1763" r:id="rId4870" xr:uid="{00000000-0004-0000-0200-000005130000}"/>
    <hyperlink ref="C1763" r:id="rId4871" xr:uid="{00000000-0004-0000-0200-000006130000}"/>
    <hyperlink ref="A1764" r:id="rId4872" xr:uid="{00000000-0004-0000-0200-000007130000}"/>
    <hyperlink ref="C1764" r:id="rId4873" xr:uid="{00000000-0004-0000-0200-000008130000}"/>
    <hyperlink ref="A1765" r:id="rId4874" xr:uid="{00000000-0004-0000-0200-000009130000}"/>
    <hyperlink ref="C1765" r:id="rId4875" xr:uid="{00000000-0004-0000-0200-00000A130000}"/>
    <hyperlink ref="A1766" r:id="rId4876" xr:uid="{00000000-0004-0000-0200-00000B130000}"/>
    <hyperlink ref="C1766" r:id="rId4877" xr:uid="{00000000-0004-0000-0200-00000C130000}"/>
    <hyperlink ref="A1767" r:id="rId4878" xr:uid="{00000000-0004-0000-0200-00000D130000}"/>
    <hyperlink ref="C1767" r:id="rId4879" xr:uid="{00000000-0004-0000-0200-00000E130000}"/>
    <hyperlink ref="A1768" r:id="rId4880" xr:uid="{00000000-0004-0000-0200-00000F130000}"/>
    <hyperlink ref="C1768" r:id="rId4881" xr:uid="{00000000-0004-0000-0200-000010130000}"/>
    <hyperlink ref="A1769" r:id="rId4882" xr:uid="{00000000-0004-0000-0200-000011130000}"/>
    <hyperlink ref="C1769" r:id="rId4883" xr:uid="{00000000-0004-0000-0200-000012130000}"/>
    <hyperlink ref="A1770" r:id="rId4884" xr:uid="{00000000-0004-0000-0200-000013130000}"/>
    <hyperlink ref="C1770" r:id="rId4885" xr:uid="{00000000-0004-0000-0200-000014130000}"/>
    <hyperlink ref="A1771" r:id="rId4886" xr:uid="{00000000-0004-0000-0200-000015130000}"/>
    <hyperlink ref="C1771" r:id="rId4887" xr:uid="{00000000-0004-0000-0200-000016130000}"/>
    <hyperlink ref="A1772" r:id="rId4888" xr:uid="{00000000-0004-0000-0200-000017130000}"/>
    <hyperlink ref="C1772" r:id="rId4889" xr:uid="{00000000-0004-0000-0200-000018130000}"/>
    <hyperlink ref="A1773" r:id="rId4890" xr:uid="{00000000-0004-0000-0200-000019130000}"/>
    <hyperlink ref="C1773" r:id="rId4891" xr:uid="{00000000-0004-0000-0200-00001A130000}"/>
    <hyperlink ref="A1774" r:id="rId4892" xr:uid="{00000000-0004-0000-0200-00001B130000}"/>
    <hyperlink ref="C1774" r:id="rId4893" xr:uid="{00000000-0004-0000-0200-00001C130000}"/>
    <hyperlink ref="A1775" r:id="rId4894" xr:uid="{00000000-0004-0000-0200-00001D130000}"/>
    <hyperlink ref="C1775" r:id="rId4895" xr:uid="{00000000-0004-0000-0200-00001E130000}"/>
    <hyperlink ref="A1776" r:id="rId4896" xr:uid="{00000000-0004-0000-0200-00001F130000}"/>
    <hyperlink ref="C1776" r:id="rId4897" xr:uid="{00000000-0004-0000-0200-000020130000}"/>
    <hyperlink ref="A1777" r:id="rId4898" xr:uid="{00000000-0004-0000-0200-000021130000}"/>
    <hyperlink ref="C1777" r:id="rId4899" xr:uid="{00000000-0004-0000-0200-000022130000}"/>
    <hyperlink ref="A1778" r:id="rId4900" xr:uid="{00000000-0004-0000-0200-000023130000}"/>
    <hyperlink ref="C1778" r:id="rId4901" xr:uid="{00000000-0004-0000-0200-000024130000}"/>
    <hyperlink ref="A1779" r:id="rId4902" xr:uid="{00000000-0004-0000-0200-000025130000}"/>
    <hyperlink ref="C1779" r:id="rId4903" xr:uid="{00000000-0004-0000-0200-000026130000}"/>
    <hyperlink ref="A1780" r:id="rId4904" xr:uid="{00000000-0004-0000-0200-000027130000}"/>
    <hyperlink ref="C1780" r:id="rId4905" xr:uid="{00000000-0004-0000-0200-000028130000}"/>
    <hyperlink ref="A1781" r:id="rId4906" xr:uid="{00000000-0004-0000-0200-000029130000}"/>
    <hyperlink ref="C1781" r:id="rId4907" xr:uid="{00000000-0004-0000-0200-00002A130000}"/>
    <hyperlink ref="A1782" r:id="rId4908" xr:uid="{00000000-0004-0000-0200-00002B130000}"/>
    <hyperlink ref="C1782" r:id="rId4909" xr:uid="{00000000-0004-0000-0200-00002C130000}"/>
    <hyperlink ref="A1783" r:id="rId4910" xr:uid="{00000000-0004-0000-0200-00002D130000}"/>
    <hyperlink ref="C1783" r:id="rId4911" xr:uid="{00000000-0004-0000-0200-00002E130000}"/>
    <hyperlink ref="A1784" r:id="rId4912" xr:uid="{00000000-0004-0000-0200-00002F130000}"/>
    <hyperlink ref="C1784" r:id="rId4913" xr:uid="{00000000-0004-0000-0200-000030130000}"/>
    <hyperlink ref="A1785" r:id="rId4914" xr:uid="{00000000-0004-0000-0200-000031130000}"/>
    <hyperlink ref="C1785" r:id="rId4915" xr:uid="{00000000-0004-0000-0200-000032130000}"/>
    <hyperlink ref="A1786" r:id="rId4916" xr:uid="{00000000-0004-0000-0200-000033130000}"/>
    <hyperlink ref="C1786" r:id="rId4917" xr:uid="{00000000-0004-0000-0200-000034130000}"/>
    <hyperlink ref="A1787" r:id="rId4918" xr:uid="{00000000-0004-0000-0200-000035130000}"/>
    <hyperlink ref="C1787" r:id="rId4919" xr:uid="{00000000-0004-0000-0200-000036130000}"/>
    <hyperlink ref="A1788" r:id="rId4920" xr:uid="{00000000-0004-0000-0200-000037130000}"/>
    <hyperlink ref="C1788" r:id="rId4921" xr:uid="{00000000-0004-0000-0200-000038130000}"/>
    <hyperlink ref="A1789" r:id="rId4922" xr:uid="{00000000-0004-0000-0200-000039130000}"/>
    <hyperlink ref="C1789" r:id="rId4923" xr:uid="{00000000-0004-0000-0200-00003A130000}"/>
    <hyperlink ref="A1790" r:id="rId4924" xr:uid="{00000000-0004-0000-0200-00003B130000}"/>
    <hyperlink ref="C1790" r:id="rId4925" xr:uid="{00000000-0004-0000-0200-00003C130000}"/>
    <hyperlink ref="A1791" r:id="rId4926" xr:uid="{00000000-0004-0000-0200-00003D130000}"/>
    <hyperlink ref="C1791" r:id="rId4927" xr:uid="{00000000-0004-0000-0200-00003E130000}"/>
    <hyperlink ref="A1792" r:id="rId4928" xr:uid="{00000000-0004-0000-0200-00003F130000}"/>
    <hyperlink ref="C1792" r:id="rId4929" xr:uid="{00000000-0004-0000-0200-000040130000}"/>
    <hyperlink ref="A1793" r:id="rId4930" xr:uid="{00000000-0004-0000-0200-000041130000}"/>
    <hyperlink ref="C1793" r:id="rId4931" xr:uid="{00000000-0004-0000-0200-000042130000}"/>
    <hyperlink ref="A1794" r:id="rId4932" xr:uid="{00000000-0004-0000-0200-000043130000}"/>
    <hyperlink ref="C1794" r:id="rId4933" xr:uid="{00000000-0004-0000-0200-000044130000}"/>
    <hyperlink ref="A1795" r:id="rId4934" xr:uid="{00000000-0004-0000-0200-000045130000}"/>
    <hyperlink ref="C1795" r:id="rId4935" xr:uid="{00000000-0004-0000-0200-000046130000}"/>
    <hyperlink ref="A1796" r:id="rId4936" xr:uid="{00000000-0004-0000-0200-000047130000}"/>
    <hyperlink ref="C1796" r:id="rId4937" xr:uid="{00000000-0004-0000-0200-000048130000}"/>
    <hyperlink ref="A1797" r:id="rId4938" xr:uid="{00000000-0004-0000-0200-000049130000}"/>
    <hyperlink ref="C1797" r:id="rId4939" xr:uid="{00000000-0004-0000-0200-00004A130000}"/>
    <hyperlink ref="A1798" r:id="rId4940" xr:uid="{00000000-0004-0000-0200-00004B130000}"/>
    <hyperlink ref="C1798" r:id="rId4941" xr:uid="{00000000-0004-0000-0200-00004C130000}"/>
    <hyperlink ref="A1799" r:id="rId4942" xr:uid="{00000000-0004-0000-0200-00004D130000}"/>
    <hyperlink ref="C1799" r:id="rId4943" xr:uid="{00000000-0004-0000-0200-00004E130000}"/>
    <hyperlink ref="A1800" r:id="rId4944" xr:uid="{00000000-0004-0000-0200-00004F130000}"/>
    <hyperlink ref="C1800" r:id="rId4945" xr:uid="{00000000-0004-0000-0200-000050130000}"/>
    <hyperlink ref="A1801" r:id="rId4946" xr:uid="{00000000-0004-0000-0200-000051130000}"/>
    <hyperlink ref="C1801" r:id="rId4947" xr:uid="{00000000-0004-0000-0200-000052130000}"/>
    <hyperlink ref="A1802" r:id="rId4948" xr:uid="{00000000-0004-0000-0200-000053130000}"/>
    <hyperlink ref="C1802" r:id="rId4949" xr:uid="{00000000-0004-0000-0200-000054130000}"/>
    <hyperlink ref="A1803" r:id="rId4950" xr:uid="{00000000-0004-0000-0200-000055130000}"/>
    <hyperlink ref="C1803" r:id="rId4951" xr:uid="{00000000-0004-0000-0200-000056130000}"/>
    <hyperlink ref="A1804" r:id="rId4952" xr:uid="{00000000-0004-0000-0200-000057130000}"/>
    <hyperlink ref="C1804" r:id="rId4953" xr:uid="{00000000-0004-0000-0200-000058130000}"/>
    <hyperlink ref="A1805" r:id="rId4954" xr:uid="{00000000-0004-0000-0200-000059130000}"/>
    <hyperlink ref="C1805" r:id="rId4955" xr:uid="{00000000-0004-0000-0200-00005A130000}"/>
    <hyperlink ref="A1806" r:id="rId4956" xr:uid="{00000000-0004-0000-0200-00005B130000}"/>
    <hyperlink ref="C1806" r:id="rId4957" xr:uid="{00000000-0004-0000-0200-00005C130000}"/>
    <hyperlink ref="A1807" r:id="rId4958" xr:uid="{00000000-0004-0000-0200-00005D130000}"/>
    <hyperlink ref="C1807" r:id="rId4959" xr:uid="{00000000-0004-0000-0200-00005E130000}"/>
    <hyperlink ref="A1808" r:id="rId4960" xr:uid="{00000000-0004-0000-0200-00005F130000}"/>
    <hyperlink ref="C1808" r:id="rId4961" xr:uid="{00000000-0004-0000-0200-000060130000}"/>
    <hyperlink ref="A1809" r:id="rId4962" xr:uid="{00000000-0004-0000-0200-000061130000}"/>
    <hyperlink ref="C1809" r:id="rId4963" xr:uid="{00000000-0004-0000-0200-000062130000}"/>
    <hyperlink ref="A1810" r:id="rId4964" xr:uid="{00000000-0004-0000-0200-000063130000}"/>
    <hyperlink ref="C1810" r:id="rId4965" xr:uid="{00000000-0004-0000-0200-000064130000}"/>
    <hyperlink ref="A1811" r:id="rId4966" xr:uid="{00000000-0004-0000-0200-000065130000}"/>
    <hyperlink ref="C1811" r:id="rId4967" xr:uid="{00000000-0004-0000-0200-000066130000}"/>
    <hyperlink ref="A1812" r:id="rId4968" xr:uid="{00000000-0004-0000-0200-000067130000}"/>
    <hyperlink ref="C1812" r:id="rId4969" xr:uid="{00000000-0004-0000-0200-000068130000}"/>
    <hyperlink ref="A1813" r:id="rId4970" xr:uid="{00000000-0004-0000-0200-000069130000}"/>
    <hyperlink ref="C1813" r:id="rId4971" xr:uid="{00000000-0004-0000-0200-00006A130000}"/>
    <hyperlink ref="A1814" r:id="rId4972" xr:uid="{00000000-0004-0000-0200-00006B130000}"/>
    <hyperlink ref="C1814" r:id="rId4973" xr:uid="{00000000-0004-0000-0200-00006C130000}"/>
    <hyperlink ref="A1815" r:id="rId4974" xr:uid="{00000000-0004-0000-0200-00006D130000}"/>
    <hyperlink ref="C1815" r:id="rId4975" location="What_are_The_Best_Practices_for_Writing_Ad_Copy_for_Listings_on_Europe_Classified_Ads" xr:uid="{00000000-0004-0000-0200-00006E130000}"/>
    <hyperlink ref="A1816" r:id="rId4976" xr:uid="{00000000-0004-0000-0200-00006F130000}"/>
    <hyperlink ref="C1816" r:id="rId4977" xr:uid="{00000000-0004-0000-0200-000070130000}"/>
    <hyperlink ref="A1817" r:id="rId4978" xr:uid="{00000000-0004-0000-0200-000071130000}"/>
    <hyperlink ref="C1817" r:id="rId4979" xr:uid="{00000000-0004-0000-0200-000072130000}"/>
    <hyperlink ref="A1818" r:id="rId4980" xr:uid="{00000000-0004-0000-0200-000073130000}"/>
    <hyperlink ref="C1818" r:id="rId4981" xr:uid="{00000000-0004-0000-0200-000074130000}"/>
    <hyperlink ref="A1819" r:id="rId4982" xr:uid="{00000000-0004-0000-0200-000075130000}"/>
    <hyperlink ref="C1819" r:id="rId4983" location="website-platforms" xr:uid="{00000000-0004-0000-0200-000076130000}"/>
    <hyperlink ref="A1820" r:id="rId4984" xr:uid="{00000000-0004-0000-0200-000077130000}"/>
    <hyperlink ref="C1820" r:id="rId4985" xr:uid="{00000000-0004-0000-0200-000078130000}"/>
    <hyperlink ref="A1821" r:id="rId4986" xr:uid="{00000000-0004-0000-0200-000079130000}"/>
    <hyperlink ref="C1821" r:id="rId4987" xr:uid="{00000000-0004-0000-0200-00007A130000}"/>
    <hyperlink ref="A1822" r:id="rId4988" xr:uid="{00000000-0004-0000-0200-00007B130000}"/>
    <hyperlink ref="C1822" r:id="rId4989" xr:uid="{00000000-0004-0000-0200-00007C130000}"/>
    <hyperlink ref="A1823" r:id="rId4990" xr:uid="{00000000-0004-0000-0200-00007D130000}"/>
    <hyperlink ref="C1823" r:id="rId4991" xr:uid="{00000000-0004-0000-0200-00007E130000}"/>
    <hyperlink ref="A1824" r:id="rId4992" xr:uid="{00000000-0004-0000-0200-00007F130000}"/>
    <hyperlink ref="C1824" r:id="rId4993" xr:uid="{00000000-0004-0000-0200-000080130000}"/>
    <hyperlink ref="A1825" r:id="rId4994" xr:uid="{00000000-0004-0000-0200-000081130000}"/>
    <hyperlink ref="C1825" r:id="rId4995" xr:uid="{00000000-0004-0000-0200-000082130000}"/>
    <hyperlink ref="A1826" r:id="rId4996" xr:uid="{00000000-0004-0000-0200-000083130000}"/>
    <hyperlink ref="C1826" r:id="rId4997" xr:uid="{00000000-0004-0000-0200-000084130000}"/>
    <hyperlink ref="A1827" r:id="rId4998" xr:uid="{00000000-0004-0000-0200-000085130000}"/>
    <hyperlink ref="C1827" r:id="rId4999" xr:uid="{00000000-0004-0000-0200-000086130000}"/>
    <hyperlink ref="A1828" r:id="rId5000" xr:uid="{00000000-0004-0000-0200-000087130000}"/>
    <hyperlink ref="C1828" r:id="rId5001" xr:uid="{00000000-0004-0000-0200-000088130000}"/>
    <hyperlink ref="A1829" r:id="rId5002" xr:uid="{00000000-0004-0000-0200-000089130000}"/>
    <hyperlink ref="C1829" r:id="rId5003" xr:uid="{00000000-0004-0000-0200-00008A130000}"/>
    <hyperlink ref="A1830" r:id="rId5004" xr:uid="{00000000-0004-0000-0200-00008B130000}"/>
    <hyperlink ref="C1830" r:id="rId5005" xr:uid="{00000000-0004-0000-0200-00008C130000}"/>
    <hyperlink ref="A1831" r:id="rId5006" xr:uid="{00000000-0004-0000-0200-00008D130000}"/>
    <hyperlink ref="C1831" r:id="rId5007" xr:uid="{00000000-0004-0000-0200-00008E130000}"/>
    <hyperlink ref="A1832" r:id="rId5008" xr:uid="{00000000-0004-0000-0200-00008F130000}"/>
    <hyperlink ref="C1832" r:id="rId5009" xr:uid="{00000000-0004-0000-0200-000090130000}"/>
    <hyperlink ref="A1833" r:id="rId5010" xr:uid="{00000000-0004-0000-0200-000091130000}"/>
    <hyperlink ref="C1833" r:id="rId5011" xr:uid="{00000000-0004-0000-0200-000092130000}"/>
    <hyperlink ref="A1834" r:id="rId5012" xr:uid="{00000000-0004-0000-0200-000093130000}"/>
    <hyperlink ref="C1834" r:id="rId5013" xr:uid="{00000000-0004-0000-0200-000094130000}"/>
    <hyperlink ref="A1835" r:id="rId5014" xr:uid="{00000000-0004-0000-0200-000095130000}"/>
    <hyperlink ref="C1835" r:id="rId5015" xr:uid="{00000000-0004-0000-0200-000096130000}"/>
    <hyperlink ref="A1836" r:id="rId5016" xr:uid="{00000000-0004-0000-0200-000097130000}"/>
    <hyperlink ref="C1836" r:id="rId5017" xr:uid="{00000000-0004-0000-0200-000098130000}"/>
    <hyperlink ref="A1837" r:id="rId5018" xr:uid="{00000000-0004-0000-0200-000099130000}"/>
    <hyperlink ref="C1837" r:id="rId5019" xr:uid="{00000000-0004-0000-0200-00009A130000}"/>
    <hyperlink ref="A1838" r:id="rId5020" xr:uid="{00000000-0004-0000-0200-00009B130000}"/>
    <hyperlink ref="C1838" r:id="rId5021" xr:uid="{00000000-0004-0000-0200-00009C130000}"/>
    <hyperlink ref="A1839" r:id="rId5022" xr:uid="{00000000-0004-0000-0200-00009D130000}"/>
    <hyperlink ref="C1839" r:id="rId5023" xr:uid="{00000000-0004-0000-0200-00009E130000}"/>
    <hyperlink ref="A1840" r:id="rId5024" xr:uid="{00000000-0004-0000-0200-00009F130000}"/>
    <hyperlink ref="C1840" r:id="rId5025" xr:uid="{00000000-0004-0000-0200-0000A0130000}"/>
    <hyperlink ref="A1841" r:id="rId5026" xr:uid="{00000000-0004-0000-0200-0000A1130000}"/>
    <hyperlink ref="C1841" r:id="rId5027" xr:uid="{00000000-0004-0000-0200-0000A2130000}"/>
    <hyperlink ref="A1842" r:id="rId5028" xr:uid="{00000000-0004-0000-0200-0000A3130000}"/>
    <hyperlink ref="C1842" r:id="rId5029" xr:uid="{00000000-0004-0000-0200-0000A4130000}"/>
    <hyperlink ref="A1843" r:id="rId5030" xr:uid="{00000000-0004-0000-0200-0000A5130000}"/>
    <hyperlink ref="C1843" r:id="rId5031" xr:uid="{00000000-0004-0000-0200-0000A6130000}"/>
    <hyperlink ref="A1844" r:id="rId5032" xr:uid="{00000000-0004-0000-0200-0000A7130000}"/>
    <hyperlink ref="C1844" r:id="rId5033" xr:uid="{00000000-0004-0000-0200-0000A8130000}"/>
    <hyperlink ref="A1845" r:id="rId5034" xr:uid="{00000000-0004-0000-0200-0000A9130000}"/>
    <hyperlink ref="C1845" r:id="rId5035" xr:uid="{00000000-0004-0000-0200-0000AA130000}"/>
    <hyperlink ref="A1846" r:id="rId5036" xr:uid="{00000000-0004-0000-0200-0000AB130000}"/>
    <hyperlink ref="C1846" r:id="rId5037" xr:uid="{00000000-0004-0000-0200-0000AC130000}"/>
    <hyperlink ref="A1847" r:id="rId5038" xr:uid="{00000000-0004-0000-0200-0000AD130000}"/>
    <hyperlink ref="C1847" r:id="rId5039" xr:uid="{00000000-0004-0000-0200-0000AE130000}"/>
    <hyperlink ref="A1848" r:id="rId5040" xr:uid="{00000000-0004-0000-0200-0000AF130000}"/>
    <hyperlink ref="C1848" r:id="rId5041" xr:uid="{00000000-0004-0000-0200-0000B0130000}"/>
    <hyperlink ref="A1849" r:id="rId5042" xr:uid="{00000000-0004-0000-0200-0000B1130000}"/>
    <hyperlink ref="C1849" r:id="rId5043" xr:uid="{00000000-0004-0000-0200-0000B2130000}"/>
    <hyperlink ref="A1850" r:id="rId5044" xr:uid="{00000000-0004-0000-0200-0000B3130000}"/>
    <hyperlink ref="C1850" r:id="rId5045" xr:uid="{00000000-0004-0000-0200-0000B4130000}"/>
    <hyperlink ref="A1851" r:id="rId5046" xr:uid="{00000000-0004-0000-0200-0000B5130000}"/>
    <hyperlink ref="C1851" r:id="rId5047" xr:uid="{00000000-0004-0000-0200-0000B6130000}"/>
    <hyperlink ref="A1852" r:id="rId5048" xr:uid="{00000000-0004-0000-0200-0000B7130000}"/>
    <hyperlink ref="C1852" r:id="rId5049" xr:uid="{00000000-0004-0000-0200-0000B8130000}"/>
    <hyperlink ref="A1853" r:id="rId5050" xr:uid="{00000000-0004-0000-0200-0000B9130000}"/>
    <hyperlink ref="C1853" r:id="rId5051" xr:uid="{00000000-0004-0000-0200-0000BA130000}"/>
    <hyperlink ref="A1854" r:id="rId5052" xr:uid="{00000000-0004-0000-0200-0000BB130000}"/>
    <hyperlink ref="C1854" r:id="rId5053" xr:uid="{00000000-0004-0000-0200-0000BC130000}"/>
    <hyperlink ref="A1855" r:id="rId5054" xr:uid="{00000000-0004-0000-0200-0000BD130000}"/>
    <hyperlink ref="C1855" r:id="rId5055" xr:uid="{00000000-0004-0000-0200-0000BE130000}"/>
    <hyperlink ref="A1856" r:id="rId5056" xr:uid="{00000000-0004-0000-0200-0000BF130000}"/>
    <hyperlink ref="C1856" r:id="rId5057" xr:uid="{00000000-0004-0000-0200-0000C0130000}"/>
    <hyperlink ref="A1857" r:id="rId5058" xr:uid="{00000000-0004-0000-0200-0000C1130000}"/>
    <hyperlink ref="C1857" r:id="rId5059" xr:uid="{00000000-0004-0000-0200-0000C2130000}"/>
    <hyperlink ref="A1858" r:id="rId5060" xr:uid="{00000000-0004-0000-0200-0000C3130000}"/>
    <hyperlink ref="C1858" r:id="rId5061" xr:uid="{00000000-0004-0000-0200-0000C4130000}"/>
    <hyperlink ref="A1859" r:id="rId5062" xr:uid="{00000000-0004-0000-0200-0000C5130000}"/>
    <hyperlink ref="C1859" r:id="rId5063" xr:uid="{00000000-0004-0000-0200-0000C6130000}"/>
    <hyperlink ref="A1860" r:id="rId5064" xr:uid="{00000000-0004-0000-0200-0000C7130000}"/>
    <hyperlink ref="C1860" r:id="rId5065" xr:uid="{00000000-0004-0000-0200-0000C8130000}"/>
    <hyperlink ref="A1861" r:id="rId5066" xr:uid="{00000000-0004-0000-0200-0000C9130000}"/>
    <hyperlink ref="C1861" r:id="rId5067" xr:uid="{00000000-0004-0000-0200-0000CA130000}"/>
    <hyperlink ref="A1862" r:id="rId5068" xr:uid="{00000000-0004-0000-0200-0000CB130000}"/>
    <hyperlink ref="C1862" r:id="rId5069" xr:uid="{00000000-0004-0000-0200-0000CC130000}"/>
    <hyperlink ref="A1863" r:id="rId5070" xr:uid="{00000000-0004-0000-0200-0000CD130000}"/>
    <hyperlink ref="C1863" r:id="rId5071" xr:uid="{00000000-0004-0000-0200-0000CE130000}"/>
    <hyperlink ref="A1864" r:id="rId5072" xr:uid="{00000000-0004-0000-0200-0000CF130000}"/>
    <hyperlink ref="C1864" r:id="rId5073" xr:uid="{00000000-0004-0000-0200-0000D0130000}"/>
    <hyperlink ref="A1865" r:id="rId5074" xr:uid="{00000000-0004-0000-0200-0000D1130000}"/>
    <hyperlink ref="C1865" r:id="rId5075" xr:uid="{00000000-0004-0000-0200-0000D2130000}"/>
    <hyperlink ref="A1866" r:id="rId5076" xr:uid="{00000000-0004-0000-0200-0000D3130000}"/>
    <hyperlink ref="C1866" r:id="rId5077" xr:uid="{00000000-0004-0000-0200-0000D4130000}"/>
    <hyperlink ref="A1867" r:id="rId5078" xr:uid="{00000000-0004-0000-0200-0000D5130000}"/>
    <hyperlink ref="C1867" r:id="rId5079" xr:uid="{00000000-0004-0000-0200-0000D6130000}"/>
    <hyperlink ref="A1868" r:id="rId5080" xr:uid="{00000000-0004-0000-0200-0000D7130000}"/>
    <hyperlink ref="C1868" r:id="rId5081" xr:uid="{00000000-0004-0000-0200-0000D8130000}"/>
    <hyperlink ref="A1869" r:id="rId5082" xr:uid="{00000000-0004-0000-0200-0000D9130000}"/>
    <hyperlink ref="C1869" r:id="rId5083" xr:uid="{00000000-0004-0000-0200-0000DA130000}"/>
    <hyperlink ref="A1870" r:id="rId5084" xr:uid="{00000000-0004-0000-0200-0000DB130000}"/>
    <hyperlink ref="C1870" r:id="rId5085" xr:uid="{00000000-0004-0000-0200-0000DC130000}"/>
    <hyperlink ref="A1871" r:id="rId5086" xr:uid="{00000000-0004-0000-0200-0000DD130000}"/>
    <hyperlink ref="C1871" r:id="rId5087" xr:uid="{00000000-0004-0000-0200-0000DE130000}"/>
    <hyperlink ref="A1872" r:id="rId5088" xr:uid="{00000000-0004-0000-0200-0000DF130000}"/>
    <hyperlink ref="C1872" r:id="rId5089" xr:uid="{00000000-0004-0000-0200-0000E0130000}"/>
    <hyperlink ref="A1873" r:id="rId5090" xr:uid="{00000000-0004-0000-0200-0000E1130000}"/>
    <hyperlink ref="C1873" r:id="rId5091" xr:uid="{00000000-0004-0000-0200-0000E2130000}"/>
    <hyperlink ref="A1874" r:id="rId5092" xr:uid="{00000000-0004-0000-0200-0000E3130000}"/>
    <hyperlink ref="C1874" r:id="rId5093" xr:uid="{00000000-0004-0000-0200-0000E4130000}"/>
    <hyperlink ref="A1875" r:id="rId5094" xr:uid="{00000000-0004-0000-0200-0000E5130000}"/>
    <hyperlink ref="C1875" r:id="rId5095" xr:uid="{00000000-0004-0000-0200-0000E6130000}"/>
    <hyperlink ref="A1876" r:id="rId5096" xr:uid="{00000000-0004-0000-0200-0000E7130000}"/>
    <hyperlink ref="C1876" r:id="rId5097" xr:uid="{00000000-0004-0000-0200-0000E8130000}"/>
    <hyperlink ref="A1877" r:id="rId5098" xr:uid="{00000000-0004-0000-0200-0000E9130000}"/>
    <hyperlink ref="C1877" r:id="rId5099" xr:uid="{00000000-0004-0000-0200-0000EA130000}"/>
    <hyperlink ref="A1878" r:id="rId5100" xr:uid="{00000000-0004-0000-0200-0000EB130000}"/>
    <hyperlink ref="C1878" r:id="rId5101" xr:uid="{00000000-0004-0000-0200-0000EC130000}"/>
    <hyperlink ref="A1879" r:id="rId5102" xr:uid="{00000000-0004-0000-0200-0000ED130000}"/>
    <hyperlink ref="C1879" r:id="rId5103" xr:uid="{00000000-0004-0000-0200-0000EE130000}"/>
    <hyperlink ref="A1880" r:id="rId5104" xr:uid="{00000000-0004-0000-0200-0000EF130000}"/>
    <hyperlink ref="C1880" r:id="rId5105" xr:uid="{00000000-0004-0000-0200-0000F0130000}"/>
    <hyperlink ref="A1881" r:id="rId5106" xr:uid="{00000000-0004-0000-0200-0000F1130000}"/>
    <hyperlink ref="C1881" r:id="rId5107" xr:uid="{00000000-0004-0000-0200-0000F2130000}"/>
    <hyperlink ref="A1882" r:id="rId5108" xr:uid="{00000000-0004-0000-0200-0000F3130000}"/>
    <hyperlink ref="C1882" r:id="rId5109" xr:uid="{00000000-0004-0000-0200-0000F4130000}"/>
    <hyperlink ref="A1883" r:id="rId5110" xr:uid="{00000000-0004-0000-0200-0000F5130000}"/>
    <hyperlink ref="C1883" r:id="rId5111" xr:uid="{00000000-0004-0000-0200-0000F6130000}"/>
    <hyperlink ref="A1884" r:id="rId5112" xr:uid="{00000000-0004-0000-0200-0000F7130000}"/>
    <hyperlink ref="C1884" r:id="rId5113" xr:uid="{00000000-0004-0000-0200-0000F8130000}"/>
    <hyperlink ref="A1885" r:id="rId5114" xr:uid="{00000000-0004-0000-0200-0000F9130000}"/>
    <hyperlink ref="C1885" r:id="rId5115" xr:uid="{00000000-0004-0000-0200-0000FA130000}"/>
    <hyperlink ref="A1886" r:id="rId5116" xr:uid="{00000000-0004-0000-0200-0000FB130000}"/>
    <hyperlink ref="C1886" r:id="rId5117" xr:uid="{00000000-0004-0000-0200-0000FC130000}"/>
    <hyperlink ref="A1887" r:id="rId5118" xr:uid="{00000000-0004-0000-0200-0000FD130000}"/>
    <hyperlink ref="C1887" r:id="rId5119" xr:uid="{00000000-0004-0000-0200-0000FE130000}"/>
    <hyperlink ref="A1888" r:id="rId5120" xr:uid="{00000000-0004-0000-0200-0000FF130000}"/>
    <hyperlink ref="C1888" r:id="rId5121" xr:uid="{00000000-0004-0000-0200-000000140000}"/>
    <hyperlink ref="A1889" r:id="rId5122" xr:uid="{00000000-0004-0000-0200-000001140000}"/>
    <hyperlink ref="C1889" r:id="rId5123" xr:uid="{00000000-0004-0000-0200-000002140000}"/>
    <hyperlink ref="A1890" r:id="rId5124" xr:uid="{00000000-0004-0000-0200-000003140000}"/>
    <hyperlink ref="C1890" r:id="rId5125" xr:uid="{00000000-0004-0000-0200-000004140000}"/>
    <hyperlink ref="A1891" r:id="rId5126" xr:uid="{00000000-0004-0000-0200-000005140000}"/>
    <hyperlink ref="C1891" r:id="rId5127" xr:uid="{00000000-0004-0000-0200-000006140000}"/>
    <hyperlink ref="A1892" r:id="rId5128" xr:uid="{00000000-0004-0000-0200-000007140000}"/>
    <hyperlink ref="C1892" r:id="rId5129" xr:uid="{00000000-0004-0000-0200-000008140000}"/>
    <hyperlink ref="A1893" r:id="rId5130" xr:uid="{00000000-0004-0000-0200-000009140000}"/>
    <hyperlink ref="C1893" r:id="rId5131" xr:uid="{00000000-0004-0000-0200-00000A140000}"/>
    <hyperlink ref="A1894" r:id="rId5132" xr:uid="{00000000-0004-0000-0200-00000B140000}"/>
    <hyperlink ref="C1894" r:id="rId5133" xr:uid="{00000000-0004-0000-0200-00000C140000}"/>
    <hyperlink ref="A1895" r:id="rId5134" xr:uid="{00000000-0004-0000-0200-00000D140000}"/>
    <hyperlink ref="C1895" r:id="rId5135" xr:uid="{00000000-0004-0000-0200-00000E140000}"/>
    <hyperlink ref="A1896" r:id="rId5136" xr:uid="{00000000-0004-0000-0200-00000F140000}"/>
    <hyperlink ref="C1896" r:id="rId5137" xr:uid="{00000000-0004-0000-0200-000010140000}"/>
    <hyperlink ref="A1897" r:id="rId5138" xr:uid="{00000000-0004-0000-0200-000011140000}"/>
    <hyperlink ref="C1897" r:id="rId5139" xr:uid="{00000000-0004-0000-0200-000012140000}"/>
    <hyperlink ref="A1898" r:id="rId5140" xr:uid="{00000000-0004-0000-0200-000013140000}"/>
    <hyperlink ref="C1898" r:id="rId5141" xr:uid="{00000000-0004-0000-0200-000014140000}"/>
    <hyperlink ref="A1899" r:id="rId5142" xr:uid="{00000000-0004-0000-0200-000015140000}"/>
    <hyperlink ref="C1899" r:id="rId5143" xr:uid="{00000000-0004-0000-0200-000016140000}"/>
    <hyperlink ref="A1900" r:id="rId5144" xr:uid="{00000000-0004-0000-0200-000017140000}"/>
    <hyperlink ref="C1900" r:id="rId5145" xr:uid="{00000000-0004-0000-0200-000018140000}"/>
    <hyperlink ref="A1901" r:id="rId5146" xr:uid="{00000000-0004-0000-0200-000019140000}"/>
    <hyperlink ref="C1901" r:id="rId5147" xr:uid="{00000000-0004-0000-0200-00001A140000}"/>
    <hyperlink ref="A1902" r:id="rId5148" xr:uid="{00000000-0004-0000-0200-00001B140000}"/>
    <hyperlink ref="C1902" r:id="rId5149" xr:uid="{00000000-0004-0000-0200-00001C140000}"/>
    <hyperlink ref="A1903" r:id="rId5150" xr:uid="{00000000-0004-0000-0200-00001D140000}"/>
    <hyperlink ref="C1903" r:id="rId5151" xr:uid="{00000000-0004-0000-0200-00001E140000}"/>
    <hyperlink ref="A1904" r:id="rId5152" xr:uid="{00000000-0004-0000-0200-00001F140000}"/>
    <hyperlink ref="C1904" r:id="rId5153" xr:uid="{00000000-0004-0000-0200-000020140000}"/>
    <hyperlink ref="A1905" r:id="rId5154" xr:uid="{00000000-0004-0000-0200-000021140000}"/>
    <hyperlink ref="C1905" r:id="rId5155" xr:uid="{00000000-0004-0000-0200-000022140000}"/>
    <hyperlink ref="A1906" r:id="rId5156" xr:uid="{00000000-0004-0000-0200-000023140000}"/>
    <hyperlink ref="C1906" r:id="rId5157" xr:uid="{00000000-0004-0000-0200-000024140000}"/>
    <hyperlink ref="A1907" r:id="rId5158" xr:uid="{00000000-0004-0000-0200-000025140000}"/>
    <hyperlink ref="C1907" r:id="rId5159" xr:uid="{00000000-0004-0000-0200-000026140000}"/>
    <hyperlink ref="A1908" r:id="rId5160" xr:uid="{00000000-0004-0000-0200-000027140000}"/>
    <hyperlink ref="C1908" r:id="rId5161" xr:uid="{00000000-0004-0000-0200-000028140000}"/>
    <hyperlink ref="A1909" r:id="rId5162" xr:uid="{00000000-0004-0000-0200-000029140000}"/>
    <hyperlink ref="C1909" r:id="rId5163" xr:uid="{00000000-0004-0000-0200-00002A140000}"/>
    <hyperlink ref="A1910" r:id="rId5164" xr:uid="{00000000-0004-0000-0200-00002B140000}"/>
    <hyperlink ref="C1910" r:id="rId5165" xr:uid="{00000000-0004-0000-0200-00002C140000}"/>
    <hyperlink ref="A1911" r:id="rId5166" xr:uid="{00000000-0004-0000-0200-00002D140000}"/>
    <hyperlink ref="C1911" r:id="rId5167" xr:uid="{00000000-0004-0000-0200-00002E140000}"/>
    <hyperlink ref="A1912" r:id="rId5168" xr:uid="{00000000-0004-0000-0200-00002F140000}"/>
    <hyperlink ref="C1912" r:id="rId5169" xr:uid="{00000000-0004-0000-0200-000030140000}"/>
    <hyperlink ref="A1913" r:id="rId5170" xr:uid="{00000000-0004-0000-0200-000031140000}"/>
    <hyperlink ref="C1913" r:id="rId5171" xr:uid="{00000000-0004-0000-0200-000032140000}"/>
    <hyperlink ref="A1914" r:id="rId5172" xr:uid="{00000000-0004-0000-0200-000033140000}"/>
    <hyperlink ref="C1914" r:id="rId5173" xr:uid="{00000000-0004-0000-0200-000034140000}"/>
    <hyperlink ref="A1915" r:id="rId5174" xr:uid="{00000000-0004-0000-0200-000035140000}"/>
    <hyperlink ref="C1915" r:id="rId5175" xr:uid="{00000000-0004-0000-0200-000036140000}"/>
    <hyperlink ref="A1916" r:id="rId5176" xr:uid="{00000000-0004-0000-0200-000037140000}"/>
    <hyperlink ref="C1916" r:id="rId5177" xr:uid="{00000000-0004-0000-0200-000038140000}"/>
    <hyperlink ref="A1917" r:id="rId5178" xr:uid="{00000000-0004-0000-0200-000039140000}"/>
    <hyperlink ref="C1917" r:id="rId5179" xr:uid="{00000000-0004-0000-0200-00003A140000}"/>
    <hyperlink ref="A1918" r:id="rId5180" xr:uid="{00000000-0004-0000-0200-00003B140000}"/>
    <hyperlink ref="C1918" r:id="rId5181" xr:uid="{00000000-0004-0000-0200-00003C140000}"/>
    <hyperlink ref="A1919" r:id="rId5182" xr:uid="{00000000-0004-0000-0200-00003D140000}"/>
    <hyperlink ref="C1919" r:id="rId5183" xr:uid="{00000000-0004-0000-0200-00003E140000}"/>
    <hyperlink ref="A1920" r:id="rId5184" xr:uid="{00000000-0004-0000-0200-00003F140000}"/>
    <hyperlink ref="C1920" r:id="rId5185" xr:uid="{00000000-0004-0000-0200-000040140000}"/>
    <hyperlink ref="A1921" r:id="rId5186" xr:uid="{00000000-0004-0000-0200-000041140000}"/>
    <hyperlink ref="C1921" r:id="rId5187" xr:uid="{00000000-0004-0000-0200-000042140000}"/>
    <hyperlink ref="A1922" r:id="rId5188" xr:uid="{00000000-0004-0000-0200-000043140000}"/>
    <hyperlink ref="C1922" r:id="rId5189" xr:uid="{00000000-0004-0000-0200-000044140000}"/>
    <hyperlink ref="A1923" r:id="rId5190" xr:uid="{00000000-0004-0000-0200-000045140000}"/>
    <hyperlink ref="C1923" r:id="rId5191" xr:uid="{00000000-0004-0000-0200-000046140000}"/>
    <hyperlink ref="A1924" r:id="rId5192" xr:uid="{00000000-0004-0000-0200-000047140000}"/>
    <hyperlink ref="C1924" r:id="rId5193" xr:uid="{00000000-0004-0000-0200-000048140000}"/>
    <hyperlink ref="A1925" r:id="rId5194" xr:uid="{00000000-0004-0000-0200-000049140000}"/>
    <hyperlink ref="C1925" r:id="rId5195" xr:uid="{00000000-0004-0000-0200-00004A140000}"/>
    <hyperlink ref="A1926" r:id="rId5196" xr:uid="{00000000-0004-0000-0200-00004B140000}"/>
    <hyperlink ref="C1926" r:id="rId5197" xr:uid="{00000000-0004-0000-0200-00004C140000}"/>
    <hyperlink ref="A1927" r:id="rId5198" xr:uid="{00000000-0004-0000-0200-00004D140000}"/>
    <hyperlink ref="C1927" r:id="rId5199" xr:uid="{00000000-0004-0000-0200-00004E140000}"/>
    <hyperlink ref="A1928" r:id="rId5200" xr:uid="{00000000-0004-0000-0200-00004F140000}"/>
    <hyperlink ref="C1928" r:id="rId5201" xr:uid="{00000000-0004-0000-0200-000050140000}"/>
    <hyperlink ref="A1929" r:id="rId5202" xr:uid="{00000000-0004-0000-0200-000051140000}"/>
    <hyperlink ref="C1929" r:id="rId5203" xr:uid="{00000000-0004-0000-0200-000052140000}"/>
    <hyperlink ref="A1930" r:id="rId5204" xr:uid="{00000000-0004-0000-0200-000053140000}"/>
    <hyperlink ref="C1930" r:id="rId5205" xr:uid="{00000000-0004-0000-0200-000054140000}"/>
    <hyperlink ref="A1931" r:id="rId5206" xr:uid="{00000000-0004-0000-0200-000055140000}"/>
    <hyperlink ref="C1931" r:id="rId5207" xr:uid="{00000000-0004-0000-0200-000056140000}"/>
    <hyperlink ref="A1932" r:id="rId5208" xr:uid="{00000000-0004-0000-0200-000057140000}"/>
    <hyperlink ref="C1932" r:id="rId5209" xr:uid="{00000000-0004-0000-0200-000058140000}"/>
    <hyperlink ref="A1933" r:id="rId5210" xr:uid="{00000000-0004-0000-0200-000059140000}"/>
    <hyperlink ref="C1933" r:id="rId5211" xr:uid="{00000000-0004-0000-0200-00005A140000}"/>
    <hyperlink ref="A1934" r:id="rId5212" xr:uid="{00000000-0004-0000-0200-00005B140000}"/>
    <hyperlink ref="C1934" r:id="rId5213" xr:uid="{00000000-0004-0000-0200-00005C140000}"/>
    <hyperlink ref="A1935" r:id="rId5214" xr:uid="{00000000-0004-0000-0200-00005D140000}"/>
    <hyperlink ref="C1935" r:id="rId5215" xr:uid="{00000000-0004-0000-0200-00005E140000}"/>
    <hyperlink ref="A1936" r:id="rId5216" xr:uid="{00000000-0004-0000-0200-00005F140000}"/>
    <hyperlink ref="C1936" r:id="rId5217" xr:uid="{00000000-0004-0000-0200-000060140000}"/>
    <hyperlink ref="A1937" r:id="rId5218" xr:uid="{00000000-0004-0000-0200-000061140000}"/>
    <hyperlink ref="C1937" r:id="rId5219" xr:uid="{00000000-0004-0000-0200-000062140000}"/>
    <hyperlink ref="A1938" r:id="rId5220" xr:uid="{00000000-0004-0000-0200-000063140000}"/>
    <hyperlink ref="C1938" r:id="rId5221" xr:uid="{00000000-0004-0000-0200-000064140000}"/>
    <hyperlink ref="A1939" r:id="rId5222" xr:uid="{00000000-0004-0000-0200-000065140000}"/>
    <hyperlink ref="C1939" r:id="rId5223" xr:uid="{00000000-0004-0000-0200-000066140000}"/>
    <hyperlink ref="A1940" r:id="rId5224" xr:uid="{00000000-0004-0000-0200-000067140000}"/>
    <hyperlink ref="C1940" r:id="rId5225" xr:uid="{00000000-0004-0000-0200-000068140000}"/>
    <hyperlink ref="A1941" r:id="rId5226" xr:uid="{00000000-0004-0000-0200-000069140000}"/>
    <hyperlink ref="C1941" r:id="rId5227" xr:uid="{00000000-0004-0000-0200-00006A140000}"/>
    <hyperlink ref="A1942" r:id="rId5228" xr:uid="{00000000-0004-0000-0200-00006B140000}"/>
    <hyperlink ref="C1942" r:id="rId5229" xr:uid="{00000000-0004-0000-0200-00006C140000}"/>
    <hyperlink ref="A1943" r:id="rId5230" xr:uid="{00000000-0004-0000-0200-00006D140000}"/>
    <hyperlink ref="C1943" r:id="rId5231" xr:uid="{00000000-0004-0000-0200-00006E140000}"/>
    <hyperlink ref="A1944" r:id="rId5232" xr:uid="{00000000-0004-0000-0200-00006F140000}"/>
    <hyperlink ref="C1944" r:id="rId5233" xr:uid="{00000000-0004-0000-0200-000070140000}"/>
    <hyperlink ref="A1945" r:id="rId5234" xr:uid="{00000000-0004-0000-0200-000071140000}"/>
    <hyperlink ref="C1945" r:id="rId5235" xr:uid="{00000000-0004-0000-0200-000072140000}"/>
    <hyperlink ref="A1946" r:id="rId5236" xr:uid="{00000000-0004-0000-0200-000073140000}"/>
    <hyperlink ref="C1946" r:id="rId5237" xr:uid="{00000000-0004-0000-0200-000074140000}"/>
    <hyperlink ref="A1947" r:id="rId5238" xr:uid="{00000000-0004-0000-0200-000075140000}"/>
    <hyperlink ref="C1947" r:id="rId5239" xr:uid="{00000000-0004-0000-0200-000076140000}"/>
    <hyperlink ref="A1948" r:id="rId5240" xr:uid="{00000000-0004-0000-0200-000077140000}"/>
    <hyperlink ref="C1948" r:id="rId5241" xr:uid="{00000000-0004-0000-0200-000078140000}"/>
    <hyperlink ref="A1949" r:id="rId5242" xr:uid="{00000000-0004-0000-0200-000079140000}"/>
    <hyperlink ref="C1949" r:id="rId5243" xr:uid="{00000000-0004-0000-0200-00007A140000}"/>
    <hyperlink ref="A1950" r:id="rId5244" xr:uid="{00000000-0004-0000-0200-00007B140000}"/>
    <hyperlink ref="C1950" r:id="rId5245" xr:uid="{00000000-0004-0000-0200-00007C140000}"/>
    <hyperlink ref="A1951" r:id="rId5246" xr:uid="{00000000-0004-0000-0200-00007D140000}"/>
    <hyperlink ref="C1951" r:id="rId5247" xr:uid="{00000000-0004-0000-0200-00007E140000}"/>
    <hyperlink ref="A1952" r:id="rId5248" xr:uid="{00000000-0004-0000-0200-00007F140000}"/>
    <hyperlink ref="C1952" r:id="rId5249" xr:uid="{00000000-0004-0000-0200-000080140000}"/>
    <hyperlink ref="A1953" r:id="rId5250" xr:uid="{00000000-0004-0000-0200-000081140000}"/>
    <hyperlink ref="C1953" r:id="rId5251" xr:uid="{00000000-0004-0000-0200-000082140000}"/>
    <hyperlink ref="A1954" r:id="rId5252" xr:uid="{00000000-0004-0000-0200-000083140000}"/>
    <hyperlink ref="C1954" r:id="rId5253" xr:uid="{00000000-0004-0000-0200-000084140000}"/>
    <hyperlink ref="A1955" r:id="rId5254" xr:uid="{00000000-0004-0000-0200-000085140000}"/>
    <hyperlink ref="C1955" r:id="rId5255" xr:uid="{00000000-0004-0000-0200-000086140000}"/>
    <hyperlink ref="A1956" r:id="rId5256" xr:uid="{00000000-0004-0000-0200-000087140000}"/>
    <hyperlink ref="C1956" r:id="rId5257" xr:uid="{00000000-0004-0000-0200-000088140000}"/>
    <hyperlink ref="A1957" r:id="rId5258" xr:uid="{00000000-0004-0000-0200-000089140000}"/>
    <hyperlink ref="C1957" r:id="rId5259" xr:uid="{00000000-0004-0000-0200-00008A140000}"/>
    <hyperlink ref="A1958" r:id="rId5260" xr:uid="{00000000-0004-0000-0200-00008B140000}"/>
    <hyperlink ref="C1958" r:id="rId5261" xr:uid="{00000000-0004-0000-0200-00008C140000}"/>
    <hyperlink ref="A1959" r:id="rId5262" xr:uid="{00000000-0004-0000-0200-00008D140000}"/>
    <hyperlink ref="C1959" r:id="rId5263" xr:uid="{00000000-0004-0000-0200-00008E140000}"/>
    <hyperlink ref="A1960" r:id="rId5264" xr:uid="{00000000-0004-0000-0200-00008F140000}"/>
    <hyperlink ref="C1960" r:id="rId5265" xr:uid="{00000000-0004-0000-0200-000090140000}"/>
    <hyperlink ref="A1961" r:id="rId5266" xr:uid="{00000000-0004-0000-0200-000091140000}"/>
    <hyperlink ref="C1961" r:id="rId5267" xr:uid="{00000000-0004-0000-0200-000092140000}"/>
    <hyperlink ref="A1962" r:id="rId5268" xr:uid="{00000000-0004-0000-0200-000093140000}"/>
    <hyperlink ref="C1962" r:id="rId5269" xr:uid="{00000000-0004-0000-0200-000094140000}"/>
    <hyperlink ref="A1963" r:id="rId5270" xr:uid="{00000000-0004-0000-0200-000095140000}"/>
    <hyperlink ref="C1963" r:id="rId5271" xr:uid="{00000000-0004-0000-0200-000096140000}"/>
    <hyperlink ref="A1964" r:id="rId5272" xr:uid="{00000000-0004-0000-0200-000097140000}"/>
    <hyperlink ref="C1964" r:id="rId5273" xr:uid="{00000000-0004-0000-0200-000098140000}"/>
    <hyperlink ref="A1965" r:id="rId5274" xr:uid="{00000000-0004-0000-0200-000099140000}"/>
    <hyperlink ref="C1965" r:id="rId5275" xr:uid="{00000000-0004-0000-0200-00009A140000}"/>
    <hyperlink ref="A1966" r:id="rId5276" xr:uid="{00000000-0004-0000-0200-00009B140000}"/>
    <hyperlink ref="C1966" r:id="rId5277" xr:uid="{00000000-0004-0000-0200-00009C140000}"/>
    <hyperlink ref="A1967" r:id="rId5278" xr:uid="{00000000-0004-0000-0200-00009D140000}"/>
    <hyperlink ref="C1967" r:id="rId5279" xr:uid="{00000000-0004-0000-0200-00009E140000}"/>
    <hyperlink ref="A1968" r:id="rId5280" xr:uid="{00000000-0004-0000-0200-00009F140000}"/>
    <hyperlink ref="C1968" r:id="rId5281" xr:uid="{00000000-0004-0000-0200-0000A0140000}"/>
    <hyperlink ref="A1969" r:id="rId5282" xr:uid="{00000000-0004-0000-0200-0000A1140000}"/>
    <hyperlink ref="C1969" r:id="rId5283" xr:uid="{00000000-0004-0000-0200-0000A2140000}"/>
    <hyperlink ref="A1970" r:id="rId5284" xr:uid="{00000000-0004-0000-0200-0000A3140000}"/>
    <hyperlink ref="C1970" r:id="rId5285" xr:uid="{00000000-0004-0000-0200-0000A4140000}"/>
    <hyperlink ref="A1971" r:id="rId5286" xr:uid="{00000000-0004-0000-0200-0000A5140000}"/>
    <hyperlink ref="C1971" r:id="rId5287" xr:uid="{00000000-0004-0000-0200-0000A6140000}"/>
    <hyperlink ref="A1972" r:id="rId5288" xr:uid="{00000000-0004-0000-0200-0000A7140000}"/>
    <hyperlink ref="C1972" r:id="rId5289" xr:uid="{00000000-0004-0000-0200-0000A8140000}"/>
    <hyperlink ref="A1973" r:id="rId5290" xr:uid="{00000000-0004-0000-0200-0000A9140000}"/>
    <hyperlink ref="C1973" r:id="rId5291" xr:uid="{00000000-0004-0000-0200-0000AA140000}"/>
    <hyperlink ref="A1974" r:id="rId5292" xr:uid="{00000000-0004-0000-0200-0000AB140000}"/>
    <hyperlink ref="C1974" r:id="rId5293" xr:uid="{00000000-0004-0000-0200-0000AC140000}"/>
    <hyperlink ref="A1975" r:id="rId5294" xr:uid="{00000000-0004-0000-0200-0000AD140000}"/>
    <hyperlink ref="C1975" r:id="rId5295" xr:uid="{00000000-0004-0000-0200-0000AE140000}"/>
    <hyperlink ref="A1976" r:id="rId5296" xr:uid="{00000000-0004-0000-0200-0000AF140000}"/>
    <hyperlink ref="C1976" r:id="rId5297" xr:uid="{00000000-0004-0000-0200-0000B0140000}"/>
    <hyperlink ref="A1977" r:id="rId5298" xr:uid="{00000000-0004-0000-0200-0000B1140000}"/>
    <hyperlink ref="C1977" r:id="rId5299" xr:uid="{00000000-0004-0000-0200-0000B2140000}"/>
    <hyperlink ref="A1978" r:id="rId5300" xr:uid="{00000000-0004-0000-0200-0000B3140000}"/>
    <hyperlink ref="C1978" r:id="rId5301" xr:uid="{00000000-0004-0000-0200-0000B4140000}"/>
    <hyperlink ref="A1979" r:id="rId5302" xr:uid="{00000000-0004-0000-0200-0000B5140000}"/>
    <hyperlink ref="C1979" r:id="rId5303" xr:uid="{00000000-0004-0000-0200-0000B6140000}"/>
    <hyperlink ref="A1980" r:id="rId5304" xr:uid="{00000000-0004-0000-0200-0000B7140000}"/>
    <hyperlink ref="C1980" r:id="rId5305" xr:uid="{00000000-0004-0000-0200-0000B8140000}"/>
    <hyperlink ref="A1981" r:id="rId5306" xr:uid="{00000000-0004-0000-0200-0000B9140000}"/>
    <hyperlink ref="C1981" r:id="rId5307" xr:uid="{00000000-0004-0000-0200-0000BA140000}"/>
    <hyperlink ref="A1982" r:id="rId5308" xr:uid="{00000000-0004-0000-0200-0000BB140000}"/>
    <hyperlink ref="C1982" r:id="rId5309" xr:uid="{00000000-0004-0000-0200-0000BC140000}"/>
    <hyperlink ref="A1983" r:id="rId5310" xr:uid="{00000000-0004-0000-0200-0000BD140000}"/>
    <hyperlink ref="C1983" r:id="rId5311" xr:uid="{00000000-0004-0000-0200-0000BE140000}"/>
    <hyperlink ref="A1984" r:id="rId5312" xr:uid="{00000000-0004-0000-0200-0000BF140000}"/>
    <hyperlink ref="C1984" r:id="rId5313" xr:uid="{00000000-0004-0000-0200-0000C0140000}"/>
    <hyperlink ref="A1985" r:id="rId5314" xr:uid="{00000000-0004-0000-0200-0000C1140000}"/>
    <hyperlink ref="C1985" r:id="rId5315" xr:uid="{00000000-0004-0000-0200-0000C2140000}"/>
    <hyperlink ref="A1986" r:id="rId5316" xr:uid="{00000000-0004-0000-0200-0000C3140000}"/>
    <hyperlink ref="C1986" r:id="rId5317" xr:uid="{00000000-0004-0000-0200-0000C4140000}"/>
    <hyperlink ref="A1987" r:id="rId5318" xr:uid="{00000000-0004-0000-0200-0000C5140000}"/>
    <hyperlink ref="C1987" r:id="rId5319" xr:uid="{00000000-0004-0000-0200-0000C6140000}"/>
    <hyperlink ref="A1988" r:id="rId5320" xr:uid="{00000000-0004-0000-0200-0000C7140000}"/>
    <hyperlink ref="C1988" r:id="rId5321" xr:uid="{00000000-0004-0000-0200-0000C8140000}"/>
    <hyperlink ref="A1989" r:id="rId5322" xr:uid="{00000000-0004-0000-0200-0000C9140000}"/>
    <hyperlink ref="C1989" r:id="rId5323" xr:uid="{00000000-0004-0000-0200-0000CA140000}"/>
    <hyperlink ref="A1990" r:id="rId5324" xr:uid="{00000000-0004-0000-0200-0000CB140000}"/>
    <hyperlink ref="C1990" r:id="rId5325" xr:uid="{00000000-0004-0000-0200-0000CC140000}"/>
    <hyperlink ref="A1991" r:id="rId5326" xr:uid="{00000000-0004-0000-0200-0000CD140000}"/>
    <hyperlink ref="C1991" r:id="rId5327" xr:uid="{00000000-0004-0000-0200-0000CE140000}"/>
    <hyperlink ref="A1992" r:id="rId5328" xr:uid="{00000000-0004-0000-0200-0000CF140000}"/>
    <hyperlink ref="C1992" r:id="rId5329" xr:uid="{00000000-0004-0000-0200-0000D0140000}"/>
    <hyperlink ref="A1993" r:id="rId5330" xr:uid="{00000000-0004-0000-0200-0000D1140000}"/>
    <hyperlink ref="C1993" r:id="rId5331" xr:uid="{00000000-0004-0000-0200-0000D2140000}"/>
    <hyperlink ref="A1994" r:id="rId5332" xr:uid="{00000000-0004-0000-0200-0000D3140000}"/>
    <hyperlink ref="C1994" r:id="rId5333" xr:uid="{00000000-0004-0000-0200-0000D4140000}"/>
    <hyperlink ref="A1995" r:id="rId5334" xr:uid="{00000000-0004-0000-0200-0000D5140000}"/>
    <hyperlink ref="C1995" r:id="rId5335" xr:uid="{00000000-0004-0000-0200-0000D6140000}"/>
    <hyperlink ref="A1996" r:id="rId5336" xr:uid="{00000000-0004-0000-0200-0000D7140000}"/>
    <hyperlink ref="C1996" r:id="rId5337" xr:uid="{00000000-0004-0000-0200-0000D8140000}"/>
    <hyperlink ref="A1997" r:id="rId5338" xr:uid="{00000000-0004-0000-0200-0000D9140000}"/>
    <hyperlink ref="C1997" r:id="rId5339" xr:uid="{00000000-0004-0000-0200-0000DA140000}"/>
    <hyperlink ref="A1998" r:id="rId5340" xr:uid="{00000000-0004-0000-0200-0000DB140000}"/>
    <hyperlink ref="C1998" r:id="rId5341" xr:uid="{00000000-0004-0000-0200-0000DC140000}"/>
    <hyperlink ref="A1999" r:id="rId5342" xr:uid="{00000000-0004-0000-0200-0000DD140000}"/>
    <hyperlink ref="C1999" r:id="rId5343" xr:uid="{00000000-0004-0000-0200-0000DE140000}"/>
    <hyperlink ref="A2000" r:id="rId5344" xr:uid="{00000000-0004-0000-0200-0000DF140000}"/>
    <hyperlink ref="C2000" r:id="rId5345" xr:uid="{00000000-0004-0000-0200-0000E0140000}"/>
    <hyperlink ref="A2001" r:id="rId5346" xr:uid="{00000000-0004-0000-0200-0000E1140000}"/>
    <hyperlink ref="C2001" r:id="rId5347" xr:uid="{00000000-0004-0000-0200-0000E2140000}"/>
    <hyperlink ref="A2002" r:id="rId5348" xr:uid="{00000000-0004-0000-0200-0000E3140000}"/>
    <hyperlink ref="C2002" r:id="rId5349" xr:uid="{00000000-0004-0000-0200-0000E4140000}"/>
    <hyperlink ref="A2003" r:id="rId5350" xr:uid="{00000000-0004-0000-0200-0000E5140000}"/>
    <hyperlink ref="C2003" r:id="rId5351" xr:uid="{00000000-0004-0000-0200-0000E6140000}"/>
    <hyperlink ref="A2004" r:id="rId5352" xr:uid="{00000000-0004-0000-0200-0000E7140000}"/>
    <hyperlink ref="C2004" r:id="rId5353" xr:uid="{00000000-0004-0000-0200-0000E8140000}"/>
    <hyperlink ref="A2005" r:id="rId5354" xr:uid="{00000000-0004-0000-0200-0000E9140000}"/>
    <hyperlink ref="C2005" r:id="rId5355" xr:uid="{00000000-0004-0000-0200-0000EA140000}"/>
    <hyperlink ref="A2006" r:id="rId5356" xr:uid="{00000000-0004-0000-0200-0000EB140000}"/>
    <hyperlink ref="C2006" r:id="rId5357" xr:uid="{00000000-0004-0000-0200-0000EC140000}"/>
    <hyperlink ref="A2007" r:id="rId5358" xr:uid="{00000000-0004-0000-0200-0000ED140000}"/>
    <hyperlink ref="C2007" r:id="rId5359" xr:uid="{00000000-0004-0000-0200-0000EE140000}"/>
    <hyperlink ref="A2008" r:id="rId5360" xr:uid="{00000000-0004-0000-0200-0000EF140000}"/>
    <hyperlink ref="C2008" r:id="rId5361" xr:uid="{00000000-0004-0000-0200-0000F0140000}"/>
    <hyperlink ref="A2009" r:id="rId5362" xr:uid="{00000000-0004-0000-0200-0000F1140000}"/>
    <hyperlink ref="C2009" r:id="rId5363" xr:uid="{00000000-0004-0000-0200-0000F2140000}"/>
    <hyperlink ref="A2010" r:id="rId5364" xr:uid="{00000000-0004-0000-0200-0000F3140000}"/>
    <hyperlink ref="C2010" r:id="rId5365" xr:uid="{00000000-0004-0000-0200-0000F4140000}"/>
    <hyperlink ref="A2011" r:id="rId5366" xr:uid="{00000000-0004-0000-0200-0000F5140000}"/>
    <hyperlink ref="C2011" r:id="rId5367" xr:uid="{00000000-0004-0000-0200-0000F6140000}"/>
    <hyperlink ref="A2012" r:id="rId5368" xr:uid="{00000000-0004-0000-0200-0000F7140000}"/>
    <hyperlink ref="C2012" r:id="rId5369" xr:uid="{00000000-0004-0000-0200-0000F8140000}"/>
    <hyperlink ref="A2013" r:id="rId5370" xr:uid="{00000000-0004-0000-0200-0000F9140000}"/>
    <hyperlink ref="C2013" r:id="rId5371" xr:uid="{00000000-0004-0000-0200-0000FA140000}"/>
    <hyperlink ref="A2014" r:id="rId5372" xr:uid="{00000000-0004-0000-0200-0000FB140000}"/>
    <hyperlink ref="C2014" r:id="rId5373" xr:uid="{00000000-0004-0000-0200-0000FC140000}"/>
    <hyperlink ref="A2015" r:id="rId5374" xr:uid="{00000000-0004-0000-0200-0000FD140000}"/>
    <hyperlink ref="C2015" r:id="rId5375" xr:uid="{00000000-0004-0000-0200-0000FE140000}"/>
    <hyperlink ref="A2016" r:id="rId5376" xr:uid="{00000000-0004-0000-0200-0000FF140000}"/>
    <hyperlink ref="C2016" r:id="rId5377" xr:uid="{00000000-0004-0000-0200-000000150000}"/>
    <hyperlink ref="A2017" r:id="rId5378" xr:uid="{00000000-0004-0000-0200-000001150000}"/>
    <hyperlink ref="C2017" r:id="rId5379" xr:uid="{00000000-0004-0000-0200-000002150000}"/>
    <hyperlink ref="A2018" r:id="rId5380" xr:uid="{00000000-0004-0000-0200-000003150000}"/>
    <hyperlink ref="C2018" r:id="rId5381" xr:uid="{00000000-0004-0000-0200-000004150000}"/>
    <hyperlink ref="A2019" r:id="rId5382" xr:uid="{00000000-0004-0000-0200-000005150000}"/>
    <hyperlink ref="C2019" r:id="rId5383" xr:uid="{00000000-0004-0000-0200-000006150000}"/>
    <hyperlink ref="A2020" r:id="rId5384" xr:uid="{00000000-0004-0000-0200-000007150000}"/>
    <hyperlink ref="C2020" r:id="rId5385" xr:uid="{00000000-0004-0000-0200-000008150000}"/>
    <hyperlink ref="A2021" r:id="rId5386" xr:uid="{00000000-0004-0000-0200-000009150000}"/>
    <hyperlink ref="C2021" r:id="rId5387" xr:uid="{00000000-0004-0000-0200-00000A150000}"/>
    <hyperlink ref="A2022" r:id="rId5388" xr:uid="{00000000-0004-0000-0200-00000B150000}"/>
    <hyperlink ref="C2022" r:id="rId5389" xr:uid="{00000000-0004-0000-0200-00000C150000}"/>
    <hyperlink ref="A2023" r:id="rId5390" xr:uid="{00000000-0004-0000-0200-00000D150000}"/>
    <hyperlink ref="C2023" r:id="rId5391" xr:uid="{00000000-0004-0000-0200-00000E150000}"/>
    <hyperlink ref="A2024" r:id="rId5392" xr:uid="{00000000-0004-0000-0200-00000F150000}"/>
    <hyperlink ref="C2024" r:id="rId5393" xr:uid="{00000000-0004-0000-0200-000010150000}"/>
    <hyperlink ref="A2025" r:id="rId5394" xr:uid="{00000000-0004-0000-0200-000011150000}"/>
    <hyperlink ref="C2025" r:id="rId5395" xr:uid="{00000000-0004-0000-0200-000012150000}"/>
    <hyperlink ref="A2026" r:id="rId5396" xr:uid="{00000000-0004-0000-0200-000013150000}"/>
    <hyperlink ref="C2026" r:id="rId5397" xr:uid="{00000000-0004-0000-0200-000014150000}"/>
    <hyperlink ref="A2027" r:id="rId5398" xr:uid="{00000000-0004-0000-0200-000015150000}"/>
    <hyperlink ref="C2027" r:id="rId5399" xr:uid="{00000000-0004-0000-0200-000016150000}"/>
    <hyperlink ref="A2028" r:id="rId5400" xr:uid="{00000000-0004-0000-0200-000017150000}"/>
    <hyperlink ref="C2028" r:id="rId5401" xr:uid="{00000000-0004-0000-0200-000018150000}"/>
    <hyperlink ref="A2029" r:id="rId5402" xr:uid="{00000000-0004-0000-0200-000019150000}"/>
    <hyperlink ref="C2029" r:id="rId5403" xr:uid="{00000000-0004-0000-0200-00001A150000}"/>
    <hyperlink ref="A2030" r:id="rId5404" xr:uid="{00000000-0004-0000-0200-00001B150000}"/>
    <hyperlink ref="C2030" r:id="rId5405" xr:uid="{00000000-0004-0000-0200-00001C150000}"/>
    <hyperlink ref="A2031" r:id="rId5406" xr:uid="{00000000-0004-0000-0200-00001D150000}"/>
    <hyperlink ref="C2031" r:id="rId5407" xr:uid="{00000000-0004-0000-0200-00001E150000}"/>
    <hyperlink ref="A2032" r:id="rId5408" xr:uid="{00000000-0004-0000-0200-00001F150000}"/>
    <hyperlink ref="C2032" r:id="rId5409" xr:uid="{00000000-0004-0000-0200-000020150000}"/>
    <hyperlink ref="A2033" r:id="rId5410" xr:uid="{00000000-0004-0000-0200-000021150000}"/>
    <hyperlink ref="C2033" r:id="rId5411" xr:uid="{00000000-0004-0000-0200-000022150000}"/>
    <hyperlink ref="A2034" r:id="rId5412" xr:uid="{00000000-0004-0000-0200-000023150000}"/>
    <hyperlink ref="C2034" r:id="rId5413" xr:uid="{00000000-0004-0000-0200-000024150000}"/>
    <hyperlink ref="A2035" r:id="rId5414" xr:uid="{00000000-0004-0000-0200-000025150000}"/>
    <hyperlink ref="C2035" r:id="rId5415" xr:uid="{00000000-0004-0000-0200-000026150000}"/>
    <hyperlink ref="A2036" r:id="rId5416" xr:uid="{00000000-0004-0000-0200-000027150000}"/>
    <hyperlink ref="C2036" r:id="rId5417" xr:uid="{00000000-0004-0000-0200-000028150000}"/>
    <hyperlink ref="A2037" r:id="rId5418" xr:uid="{00000000-0004-0000-0200-000029150000}"/>
    <hyperlink ref="C2037" r:id="rId5419" xr:uid="{00000000-0004-0000-0200-00002A150000}"/>
    <hyperlink ref="A2038" r:id="rId5420" xr:uid="{00000000-0004-0000-0200-00002B150000}"/>
    <hyperlink ref="C2038" r:id="rId5421" xr:uid="{00000000-0004-0000-0200-00002C150000}"/>
    <hyperlink ref="A2039" r:id="rId5422" xr:uid="{00000000-0004-0000-0200-00002D150000}"/>
    <hyperlink ref="C2039" r:id="rId5423" xr:uid="{00000000-0004-0000-0200-00002E150000}"/>
    <hyperlink ref="A2040" r:id="rId5424" xr:uid="{00000000-0004-0000-0200-00002F150000}"/>
    <hyperlink ref="C2040" r:id="rId5425" xr:uid="{00000000-0004-0000-0200-000030150000}"/>
    <hyperlink ref="A2041" r:id="rId5426" xr:uid="{00000000-0004-0000-0200-000031150000}"/>
    <hyperlink ref="C2041" r:id="rId5427" xr:uid="{00000000-0004-0000-0200-000032150000}"/>
    <hyperlink ref="A2042" r:id="rId5428" xr:uid="{00000000-0004-0000-0200-000033150000}"/>
    <hyperlink ref="C2042" r:id="rId5429" xr:uid="{00000000-0004-0000-0200-000034150000}"/>
    <hyperlink ref="A2043" r:id="rId5430" xr:uid="{00000000-0004-0000-0200-000035150000}"/>
    <hyperlink ref="C2043" r:id="rId5431" xr:uid="{00000000-0004-0000-0200-000036150000}"/>
    <hyperlink ref="A2044" r:id="rId5432" xr:uid="{00000000-0004-0000-0200-000037150000}"/>
    <hyperlink ref="C2044" r:id="rId5433" xr:uid="{00000000-0004-0000-0200-000038150000}"/>
    <hyperlink ref="A2045" r:id="rId5434" xr:uid="{00000000-0004-0000-0200-000039150000}"/>
    <hyperlink ref="C2045" r:id="rId5435" xr:uid="{00000000-0004-0000-0200-00003A150000}"/>
    <hyperlink ref="A2046" r:id="rId5436" xr:uid="{00000000-0004-0000-0200-00003B150000}"/>
    <hyperlink ref="C2046" r:id="rId5437" xr:uid="{00000000-0004-0000-0200-00003C150000}"/>
    <hyperlink ref="A2047" r:id="rId5438" xr:uid="{00000000-0004-0000-0200-00003D150000}"/>
    <hyperlink ref="C2047" r:id="rId5439" xr:uid="{00000000-0004-0000-0200-00003E150000}"/>
    <hyperlink ref="A2048" r:id="rId5440" xr:uid="{00000000-0004-0000-0200-00003F150000}"/>
    <hyperlink ref="C2048" r:id="rId5441" xr:uid="{00000000-0004-0000-0200-000040150000}"/>
    <hyperlink ref="A2049" r:id="rId5442" xr:uid="{00000000-0004-0000-0200-000041150000}"/>
    <hyperlink ref="C2049" r:id="rId5443" xr:uid="{00000000-0004-0000-0200-000042150000}"/>
    <hyperlink ref="A2050" r:id="rId5444" xr:uid="{00000000-0004-0000-0200-000043150000}"/>
    <hyperlink ref="C2050" r:id="rId5445" xr:uid="{00000000-0004-0000-0200-000044150000}"/>
    <hyperlink ref="A2051" r:id="rId5446" xr:uid="{00000000-0004-0000-0200-000045150000}"/>
    <hyperlink ref="C2051" r:id="rId5447" xr:uid="{00000000-0004-0000-0200-000046150000}"/>
    <hyperlink ref="A2052" r:id="rId5448" xr:uid="{00000000-0004-0000-0200-000047150000}"/>
    <hyperlink ref="C2052" r:id="rId5449" xr:uid="{00000000-0004-0000-0200-000048150000}"/>
    <hyperlink ref="A2053" r:id="rId5450" xr:uid="{00000000-0004-0000-0200-000049150000}"/>
    <hyperlink ref="C2053" r:id="rId5451" xr:uid="{00000000-0004-0000-0200-00004A150000}"/>
    <hyperlink ref="A2054" r:id="rId5452" xr:uid="{00000000-0004-0000-0200-00004B150000}"/>
    <hyperlink ref="C2054" r:id="rId5453" xr:uid="{00000000-0004-0000-0200-00004C150000}"/>
    <hyperlink ref="A2055" r:id="rId5454" xr:uid="{00000000-0004-0000-0200-00004D150000}"/>
    <hyperlink ref="C2055" r:id="rId5455" xr:uid="{00000000-0004-0000-0200-00004E150000}"/>
    <hyperlink ref="A2056" r:id="rId5456" xr:uid="{00000000-0004-0000-0200-00004F150000}"/>
    <hyperlink ref="C2056" r:id="rId5457" xr:uid="{00000000-0004-0000-0200-000050150000}"/>
    <hyperlink ref="A2057" r:id="rId5458" xr:uid="{00000000-0004-0000-0200-000051150000}"/>
    <hyperlink ref="C2057" r:id="rId5459" xr:uid="{00000000-0004-0000-0200-000052150000}"/>
    <hyperlink ref="A2058" r:id="rId5460" xr:uid="{00000000-0004-0000-0200-000053150000}"/>
    <hyperlink ref="C2058" r:id="rId5461" xr:uid="{00000000-0004-0000-0200-000054150000}"/>
    <hyperlink ref="A2059" r:id="rId5462" xr:uid="{00000000-0004-0000-0200-000055150000}"/>
    <hyperlink ref="C2059" r:id="rId5463" xr:uid="{00000000-0004-0000-0200-000056150000}"/>
    <hyperlink ref="A2060" r:id="rId5464" xr:uid="{00000000-0004-0000-0200-000057150000}"/>
    <hyperlink ref="C2060" r:id="rId5465" xr:uid="{00000000-0004-0000-0200-000058150000}"/>
    <hyperlink ref="A2061" r:id="rId5466" xr:uid="{00000000-0004-0000-0200-000059150000}"/>
    <hyperlink ref="C2061" r:id="rId5467" xr:uid="{00000000-0004-0000-0200-00005A150000}"/>
    <hyperlink ref="A2062" r:id="rId5468" xr:uid="{00000000-0004-0000-0200-00005B150000}"/>
    <hyperlink ref="C2062" r:id="rId5469" xr:uid="{00000000-0004-0000-0200-00005C150000}"/>
    <hyperlink ref="A2063" r:id="rId5470" xr:uid="{00000000-0004-0000-0200-00005D150000}"/>
    <hyperlink ref="C2063" r:id="rId5471" xr:uid="{00000000-0004-0000-0200-00005E150000}"/>
    <hyperlink ref="A2064" r:id="rId5472" xr:uid="{00000000-0004-0000-0200-00005F150000}"/>
    <hyperlink ref="C2064" r:id="rId5473" xr:uid="{00000000-0004-0000-0200-000060150000}"/>
    <hyperlink ref="A2065" r:id="rId5474" xr:uid="{00000000-0004-0000-0200-000061150000}"/>
    <hyperlink ref="C2065" r:id="rId5475" xr:uid="{00000000-0004-0000-0200-000062150000}"/>
    <hyperlink ref="A2066" r:id="rId5476" xr:uid="{00000000-0004-0000-0200-000063150000}"/>
    <hyperlink ref="C2066" r:id="rId5477" xr:uid="{00000000-0004-0000-0200-000064150000}"/>
    <hyperlink ref="A2067" r:id="rId5478" xr:uid="{00000000-0004-0000-0200-000065150000}"/>
    <hyperlink ref="C2067" r:id="rId5479" xr:uid="{00000000-0004-0000-0200-000066150000}"/>
    <hyperlink ref="A2068" r:id="rId5480" xr:uid="{00000000-0004-0000-0200-000067150000}"/>
    <hyperlink ref="C2068" r:id="rId5481" xr:uid="{00000000-0004-0000-0200-000068150000}"/>
    <hyperlink ref="A2069" r:id="rId5482" xr:uid="{00000000-0004-0000-0200-000069150000}"/>
    <hyperlink ref="C2069" r:id="rId5483" xr:uid="{00000000-0004-0000-0200-00006A150000}"/>
    <hyperlink ref="A2070" r:id="rId5484" xr:uid="{00000000-0004-0000-0200-00006B150000}"/>
    <hyperlink ref="C2070" r:id="rId5485" xr:uid="{00000000-0004-0000-0200-00006C150000}"/>
    <hyperlink ref="A2071" r:id="rId5486" xr:uid="{00000000-0004-0000-0200-00006D150000}"/>
    <hyperlink ref="C2071" r:id="rId5487" xr:uid="{00000000-0004-0000-0200-00006E150000}"/>
    <hyperlink ref="A2072" r:id="rId5488" xr:uid="{00000000-0004-0000-0200-00006F150000}"/>
    <hyperlink ref="C2072" r:id="rId5489" xr:uid="{00000000-0004-0000-0200-000070150000}"/>
    <hyperlink ref="A2073" r:id="rId5490" xr:uid="{00000000-0004-0000-0200-000071150000}"/>
    <hyperlink ref="C2073" r:id="rId5491" xr:uid="{00000000-0004-0000-0200-000072150000}"/>
    <hyperlink ref="A2074" r:id="rId5492" xr:uid="{00000000-0004-0000-0200-000073150000}"/>
    <hyperlink ref="C2074" r:id="rId5493" xr:uid="{00000000-0004-0000-0200-000074150000}"/>
    <hyperlink ref="A2075" r:id="rId5494" xr:uid="{00000000-0004-0000-0200-000075150000}"/>
    <hyperlink ref="C2075" r:id="rId5495" xr:uid="{00000000-0004-0000-0200-000076150000}"/>
    <hyperlink ref="A2076" r:id="rId5496" xr:uid="{00000000-0004-0000-0200-000077150000}"/>
    <hyperlink ref="C2076" r:id="rId5497" xr:uid="{00000000-0004-0000-0200-000078150000}"/>
    <hyperlink ref="A2077" r:id="rId5498" xr:uid="{00000000-0004-0000-0200-000079150000}"/>
    <hyperlink ref="C2077" r:id="rId5499" xr:uid="{00000000-0004-0000-0200-00007A150000}"/>
    <hyperlink ref="A2078" r:id="rId5500" xr:uid="{00000000-0004-0000-0200-00007B150000}"/>
    <hyperlink ref="C2078" r:id="rId5501" xr:uid="{00000000-0004-0000-0200-00007C150000}"/>
    <hyperlink ref="A2079" r:id="rId5502" xr:uid="{00000000-0004-0000-0200-00007D150000}"/>
    <hyperlink ref="C2079" r:id="rId5503" xr:uid="{00000000-0004-0000-0200-00007E150000}"/>
    <hyperlink ref="A2080" r:id="rId5504" xr:uid="{00000000-0004-0000-0200-00007F150000}"/>
    <hyperlink ref="C2080" r:id="rId5505" xr:uid="{00000000-0004-0000-0200-000080150000}"/>
    <hyperlink ref="A2081" r:id="rId5506" xr:uid="{00000000-0004-0000-0200-000081150000}"/>
    <hyperlink ref="C2081" r:id="rId5507" xr:uid="{00000000-0004-0000-0200-000082150000}"/>
    <hyperlink ref="A2082" r:id="rId5508" xr:uid="{00000000-0004-0000-0200-000083150000}"/>
    <hyperlink ref="C2082" r:id="rId5509" xr:uid="{00000000-0004-0000-0200-000084150000}"/>
    <hyperlink ref="A2083" r:id="rId5510" xr:uid="{00000000-0004-0000-0200-000085150000}"/>
    <hyperlink ref="C2083" r:id="rId5511" xr:uid="{00000000-0004-0000-0200-000086150000}"/>
    <hyperlink ref="A2084" r:id="rId5512" xr:uid="{00000000-0004-0000-0200-000087150000}"/>
    <hyperlink ref="C2084" r:id="rId5513" xr:uid="{00000000-0004-0000-0200-000088150000}"/>
    <hyperlink ref="A2085" r:id="rId5514" xr:uid="{00000000-0004-0000-0200-000089150000}"/>
    <hyperlink ref="C2085" r:id="rId5515" xr:uid="{00000000-0004-0000-0200-00008A150000}"/>
    <hyperlink ref="A2086" r:id="rId5516" xr:uid="{00000000-0004-0000-0200-00008B150000}"/>
    <hyperlink ref="C2086" r:id="rId5517" xr:uid="{00000000-0004-0000-0200-00008C150000}"/>
    <hyperlink ref="A2087" r:id="rId5518" xr:uid="{00000000-0004-0000-0200-00008D150000}"/>
    <hyperlink ref="C2087" r:id="rId5519" xr:uid="{00000000-0004-0000-0200-00008E150000}"/>
    <hyperlink ref="A2088" r:id="rId5520" xr:uid="{00000000-0004-0000-0200-00008F150000}"/>
    <hyperlink ref="C2088" r:id="rId5521" xr:uid="{00000000-0004-0000-0200-000090150000}"/>
    <hyperlink ref="A2089" r:id="rId5522" xr:uid="{00000000-0004-0000-0200-000091150000}"/>
    <hyperlink ref="C2089" r:id="rId5523" xr:uid="{00000000-0004-0000-0200-000092150000}"/>
    <hyperlink ref="A2090" r:id="rId5524" xr:uid="{00000000-0004-0000-0200-000093150000}"/>
    <hyperlink ref="C2090" r:id="rId5525" xr:uid="{00000000-0004-0000-0200-000094150000}"/>
    <hyperlink ref="A2091" r:id="rId5526" xr:uid="{00000000-0004-0000-0200-000095150000}"/>
    <hyperlink ref="C2091" r:id="rId5527" xr:uid="{00000000-0004-0000-0200-000096150000}"/>
    <hyperlink ref="A2092" r:id="rId5528" xr:uid="{00000000-0004-0000-0200-000097150000}"/>
    <hyperlink ref="C2092" r:id="rId5529" xr:uid="{00000000-0004-0000-0200-000098150000}"/>
    <hyperlink ref="A2093" r:id="rId5530" xr:uid="{00000000-0004-0000-0200-000099150000}"/>
    <hyperlink ref="C2093" r:id="rId5531" xr:uid="{00000000-0004-0000-0200-00009A150000}"/>
    <hyperlink ref="A2094" r:id="rId5532" xr:uid="{00000000-0004-0000-0200-00009B150000}"/>
    <hyperlink ref="C2094" r:id="rId5533" xr:uid="{00000000-0004-0000-0200-00009C150000}"/>
    <hyperlink ref="A2095" r:id="rId5534" xr:uid="{00000000-0004-0000-0200-00009D150000}"/>
    <hyperlink ref="C2095" r:id="rId5535" xr:uid="{00000000-0004-0000-0200-00009E150000}"/>
    <hyperlink ref="A2096" r:id="rId5536" xr:uid="{00000000-0004-0000-0200-00009F150000}"/>
    <hyperlink ref="C2096" r:id="rId5537" xr:uid="{00000000-0004-0000-0200-0000A0150000}"/>
    <hyperlink ref="A2097" r:id="rId5538" xr:uid="{00000000-0004-0000-0200-0000A1150000}"/>
    <hyperlink ref="C2097" r:id="rId5539" xr:uid="{00000000-0004-0000-0200-0000A2150000}"/>
    <hyperlink ref="A2098" r:id="rId5540" xr:uid="{00000000-0004-0000-0200-0000A3150000}"/>
    <hyperlink ref="C2098" r:id="rId5541" xr:uid="{00000000-0004-0000-0200-0000A4150000}"/>
    <hyperlink ref="A2099" r:id="rId5542" xr:uid="{00000000-0004-0000-0200-0000A5150000}"/>
    <hyperlink ref="C2099" r:id="rId5543" xr:uid="{00000000-0004-0000-0200-0000A6150000}"/>
    <hyperlink ref="A2100" r:id="rId5544" xr:uid="{00000000-0004-0000-0200-0000A7150000}"/>
    <hyperlink ref="C2100" r:id="rId5545" xr:uid="{00000000-0004-0000-0200-0000A8150000}"/>
    <hyperlink ref="A2101" r:id="rId5546" xr:uid="{00000000-0004-0000-0200-0000A9150000}"/>
    <hyperlink ref="C2101" r:id="rId5547" xr:uid="{00000000-0004-0000-0200-0000AA150000}"/>
    <hyperlink ref="A2102" r:id="rId5548" xr:uid="{00000000-0004-0000-0200-0000AB150000}"/>
    <hyperlink ref="C2102" r:id="rId5549" xr:uid="{00000000-0004-0000-0200-0000AC150000}"/>
    <hyperlink ref="A2103" r:id="rId5550" xr:uid="{00000000-0004-0000-0200-0000AD150000}"/>
    <hyperlink ref="C2103" r:id="rId5551" xr:uid="{00000000-0004-0000-0200-0000AE150000}"/>
    <hyperlink ref="A2104" r:id="rId5552" xr:uid="{00000000-0004-0000-0200-0000AF150000}"/>
    <hyperlink ref="C2104" r:id="rId5553" xr:uid="{00000000-0004-0000-0200-0000B0150000}"/>
    <hyperlink ref="A2105" r:id="rId5554" xr:uid="{00000000-0004-0000-0200-0000B1150000}"/>
    <hyperlink ref="C2105" r:id="rId5555" xr:uid="{00000000-0004-0000-0200-0000B2150000}"/>
    <hyperlink ref="A2106" r:id="rId5556" xr:uid="{00000000-0004-0000-0200-0000B3150000}"/>
    <hyperlink ref="C2106" r:id="rId5557" xr:uid="{00000000-0004-0000-0200-0000B4150000}"/>
    <hyperlink ref="A2107" r:id="rId5558" xr:uid="{00000000-0004-0000-0200-0000B5150000}"/>
    <hyperlink ref="C2107" r:id="rId5559" xr:uid="{00000000-0004-0000-0200-0000B6150000}"/>
    <hyperlink ref="A2108" r:id="rId5560" xr:uid="{00000000-0004-0000-0200-0000B7150000}"/>
    <hyperlink ref="C2108" r:id="rId5561" xr:uid="{00000000-0004-0000-0200-0000B8150000}"/>
    <hyperlink ref="A2109" r:id="rId5562" xr:uid="{00000000-0004-0000-0200-0000B9150000}"/>
    <hyperlink ref="C2109" r:id="rId5563" xr:uid="{00000000-0004-0000-0200-0000BA150000}"/>
    <hyperlink ref="A2110" r:id="rId5564" xr:uid="{00000000-0004-0000-0200-0000BB150000}"/>
    <hyperlink ref="C2110" r:id="rId5565" xr:uid="{00000000-0004-0000-0200-0000BC150000}"/>
    <hyperlink ref="A2111" r:id="rId5566" xr:uid="{00000000-0004-0000-0200-0000BD150000}"/>
    <hyperlink ref="C2111" r:id="rId5567" xr:uid="{00000000-0004-0000-0200-0000BE150000}"/>
    <hyperlink ref="A2112" r:id="rId5568" xr:uid="{00000000-0004-0000-0200-0000BF150000}"/>
    <hyperlink ref="C2112" r:id="rId5569" xr:uid="{00000000-0004-0000-0200-0000C0150000}"/>
    <hyperlink ref="A2113" r:id="rId5570" xr:uid="{00000000-0004-0000-0200-0000C1150000}"/>
    <hyperlink ref="C2113" r:id="rId5571" xr:uid="{00000000-0004-0000-0200-0000C2150000}"/>
    <hyperlink ref="A2114" r:id="rId5572" xr:uid="{00000000-0004-0000-0200-0000C3150000}"/>
    <hyperlink ref="C2114" r:id="rId5573" xr:uid="{00000000-0004-0000-0200-0000C4150000}"/>
    <hyperlink ref="A2115" r:id="rId5574" xr:uid="{00000000-0004-0000-0200-0000C5150000}"/>
    <hyperlink ref="C2115" r:id="rId5575" xr:uid="{00000000-0004-0000-0200-0000C6150000}"/>
    <hyperlink ref="A2116" r:id="rId5576" xr:uid="{00000000-0004-0000-0200-0000C7150000}"/>
    <hyperlink ref="C2116" r:id="rId5577" xr:uid="{00000000-0004-0000-0200-0000C8150000}"/>
    <hyperlink ref="A2117" r:id="rId5578" xr:uid="{00000000-0004-0000-0200-0000C9150000}"/>
    <hyperlink ref="C2117" r:id="rId5579" xr:uid="{00000000-0004-0000-0200-0000CA150000}"/>
    <hyperlink ref="A2118" r:id="rId5580" xr:uid="{00000000-0004-0000-0200-0000CB150000}"/>
    <hyperlink ref="C2118" r:id="rId5581" xr:uid="{00000000-0004-0000-0200-0000CC150000}"/>
    <hyperlink ref="A2119" r:id="rId5582" xr:uid="{00000000-0004-0000-0200-0000CD150000}"/>
    <hyperlink ref="C2119" r:id="rId5583" xr:uid="{00000000-0004-0000-0200-0000CE150000}"/>
    <hyperlink ref="A2120" r:id="rId5584" xr:uid="{00000000-0004-0000-0200-0000CF150000}"/>
    <hyperlink ref="C2120" r:id="rId5585" xr:uid="{00000000-0004-0000-0200-0000D0150000}"/>
    <hyperlink ref="A2121" r:id="rId5586" xr:uid="{00000000-0004-0000-0200-0000D1150000}"/>
    <hyperlink ref="C2121" r:id="rId5587" xr:uid="{00000000-0004-0000-0200-0000D2150000}"/>
    <hyperlink ref="A2122" r:id="rId5588" xr:uid="{00000000-0004-0000-0200-0000D3150000}"/>
    <hyperlink ref="C2122" r:id="rId5589" xr:uid="{00000000-0004-0000-0200-0000D4150000}"/>
    <hyperlink ref="A2123" r:id="rId5590" xr:uid="{00000000-0004-0000-0200-0000D5150000}"/>
    <hyperlink ref="C2123" r:id="rId5591" xr:uid="{00000000-0004-0000-0200-0000D6150000}"/>
    <hyperlink ref="A2124" r:id="rId5592" xr:uid="{00000000-0004-0000-0200-0000D7150000}"/>
    <hyperlink ref="C2124" r:id="rId5593" xr:uid="{00000000-0004-0000-0200-0000D8150000}"/>
    <hyperlink ref="A2125" r:id="rId5594" xr:uid="{00000000-0004-0000-0200-0000D9150000}"/>
    <hyperlink ref="C2125" r:id="rId5595" xr:uid="{00000000-0004-0000-0200-0000DA150000}"/>
    <hyperlink ref="A2126" r:id="rId5596" xr:uid="{00000000-0004-0000-0200-0000DB150000}"/>
    <hyperlink ref="C2126" r:id="rId5597" xr:uid="{00000000-0004-0000-0200-0000DC150000}"/>
    <hyperlink ref="A2127" r:id="rId5598" xr:uid="{00000000-0004-0000-0200-0000DD150000}"/>
    <hyperlink ref="C2127" r:id="rId5599" xr:uid="{00000000-0004-0000-0200-0000DE150000}"/>
    <hyperlink ref="A2128" r:id="rId5600" xr:uid="{00000000-0004-0000-0200-0000DF150000}"/>
    <hyperlink ref="C2128" r:id="rId5601" xr:uid="{00000000-0004-0000-0200-0000E0150000}"/>
    <hyperlink ref="A2129" r:id="rId5602" xr:uid="{00000000-0004-0000-0200-0000E1150000}"/>
    <hyperlink ref="C2129" r:id="rId5603" xr:uid="{00000000-0004-0000-0200-0000E2150000}"/>
    <hyperlink ref="A2130" r:id="rId5604" xr:uid="{00000000-0004-0000-0200-0000E3150000}"/>
    <hyperlink ref="C2130" r:id="rId5605" xr:uid="{00000000-0004-0000-0200-0000E4150000}"/>
    <hyperlink ref="A2131" r:id="rId5606" xr:uid="{00000000-0004-0000-0200-0000E5150000}"/>
    <hyperlink ref="C2131" r:id="rId5607" xr:uid="{00000000-0004-0000-0200-0000E6150000}"/>
    <hyperlink ref="A2132" r:id="rId5608" xr:uid="{00000000-0004-0000-0200-0000E7150000}"/>
    <hyperlink ref="C2132" r:id="rId5609" xr:uid="{00000000-0004-0000-0200-0000E8150000}"/>
    <hyperlink ref="A2133" r:id="rId5610" xr:uid="{00000000-0004-0000-0200-0000E9150000}"/>
    <hyperlink ref="C2133" r:id="rId5611" xr:uid="{00000000-0004-0000-0200-0000EA150000}"/>
    <hyperlink ref="A2134" r:id="rId5612" xr:uid="{00000000-0004-0000-0200-0000EB150000}"/>
    <hyperlink ref="C2134" r:id="rId5613" xr:uid="{00000000-0004-0000-0200-0000EC150000}"/>
    <hyperlink ref="A2135" r:id="rId5614" xr:uid="{00000000-0004-0000-0200-0000ED150000}"/>
    <hyperlink ref="C2135" r:id="rId5615" xr:uid="{00000000-0004-0000-0200-0000EE150000}"/>
    <hyperlink ref="A2136" r:id="rId5616" xr:uid="{00000000-0004-0000-0200-0000EF150000}"/>
    <hyperlink ref="C2136" r:id="rId5617" xr:uid="{00000000-0004-0000-0200-0000F0150000}"/>
    <hyperlink ref="A2137" r:id="rId5618" xr:uid="{00000000-0004-0000-0200-0000F1150000}"/>
    <hyperlink ref="C2137" r:id="rId5619" xr:uid="{00000000-0004-0000-0200-0000F2150000}"/>
    <hyperlink ref="A2138" r:id="rId5620" xr:uid="{00000000-0004-0000-0200-0000F3150000}"/>
    <hyperlink ref="C2138" r:id="rId5621" xr:uid="{00000000-0004-0000-0200-0000F4150000}"/>
    <hyperlink ref="A2139" r:id="rId5622" xr:uid="{00000000-0004-0000-0200-0000F5150000}"/>
    <hyperlink ref="C2139" r:id="rId5623" xr:uid="{00000000-0004-0000-0200-0000F6150000}"/>
    <hyperlink ref="A2140" r:id="rId5624" xr:uid="{00000000-0004-0000-0200-0000F7150000}"/>
    <hyperlink ref="C2140" r:id="rId5625" xr:uid="{00000000-0004-0000-0200-0000F8150000}"/>
    <hyperlink ref="A2141" r:id="rId5626" xr:uid="{00000000-0004-0000-0200-0000F9150000}"/>
    <hyperlink ref="C2141" r:id="rId5627" xr:uid="{00000000-0004-0000-0200-0000FA150000}"/>
    <hyperlink ref="A2142" r:id="rId5628" xr:uid="{00000000-0004-0000-0200-0000FB150000}"/>
    <hyperlink ref="C2142" r:id="rId5629" xr:uid="{00000000-0004-0000-0200-0000FC150000}"/>
    <hyperlink ref="A2143" r:id="rId5630" xr:uid="{00000000-0004-0000-0200-0000FD150000}"/>
    <hyperlink ref="C2143" r:id="rId5631" xr:uid="{00000000-0004-0000-0200-0000FE150000}"/>
    <hyperlink ref="A2144" r:id="rId5632" xr:uid="{00000000-0004-0000-0200-0000FF150000}"/>
    <hyperlink ref="C2144" r:id="rId5633" xr:uid="{00000000-0004-0000-0200-000000160000}"/>
    <hyperlink ref="A2145" r:id="rId5634" xr:uid="{00000000-0004-0000-0200-000001160000}"/>
    <hyperlink ref="C2145" r:id="rId5635" xr:uid="{00000000-0004-0000-0200-000002160000}"/>
    <hyperlink ref="A2146" r:id="rId5636" xr:uid="{00000000-0004-0000-0200-000003160000}"/>
    <hyperlink ref="C2146" r:id="rId5637" xr:uid="{00000000-0004-0000-0200-000004160000}"/>
    <hyperlink ref="A2147" r:id="rId5638" xr:uid="{00000000-0004-0000-0200-000005160000}"/>
    <hyperlink ref="C2147" r:id="rId5639" xr:uid="{00000000-0004-0000-0200-000006160000}"/>
    <hyperlink ref="A2148" r:id="rId5640" xr:uid="{00000000-0004-0000-0200-000007160000}"/>
    <hyperlink ref="C2148" r:id="rId5641" xr:uid="{00000000-0004-0000-0200-000008160000}"/>
    <hyperlink ref="A2149" r:id="rId5642" xr:uid="{00000000-0004-0000-0200-000009160000}"/>
    <hyperlink ref="C2149" r:id="rId5643" xr:uid="{00000000-0004-0000-0200-00000A160000}"/>
    <hyperlink ref="A2150" r:id="rId5644" xr:uid="{00000000-0004-0000-0200-00000B160000}"/>
    <hyperlink ref="C2150" r:id="rId5645" xr:uid="{00000000-0004-0000-0200-00000C160000}"/>
    <hyperlink ref="A2151" r:id="rId5646" xr:uid="{00000000-0004-0000-0200-00000D160000}"/>
    <hyperlink ref="C2151" r:id="rId5647" xr:uid="{00000000-0004-0000-0200-00000E160000}"/>
    <hyperlink ref="A2152" r:id="rId5648" xr:uid="{00000000-0004-0000-0200-00000F160000}"/>
    <hyperlink ref="C2152" r:id="rId5649" xr:uid="{00000000-0004-0000-0200-000010160000}"/>
    <hyperlink ref="A2153" r:id="rId5650" xr:uid="{00000000-0004-0000-0200-000011160000}"/>
    <hyperlink ref="C2153" r:id="rId5651" xr:uid="{00000000-0004-0000-0200-000012160000}"/>
    <hyperlink ref="A2154" r:id="rId5652" xr:uid="{00000000-0004-0000-0200-000013160000}"/>
    <hyperlink ref="C2154" r:id="rId5653" xr:uid="{00000000-0004-0000-0200-000014160000}"/>
    <hyperlink ref="A2155" r:id="rId5654" xr:uid="{00000000-0004-0000-0200-000015160000}"/>
    <hyperlink ref="C2155" r:id="rId5655" xr:uid="{00000000-0004-0000-0200-000016160000}"/>
    <hyperlink ref="A2156" r:id="rId5656" xr:uid="{00000000-0004-0000-0200-000017160000}"/>
    <hyperlink ref="C2156" r:id="rId5657" xr:uid="{00000000-0004-0000-0200-000018160000}"/>
    <hyperlink ref="A2157" r:id="rId5658" xr:uid="{00000000-0004-0000-0200-000019160000}"/>
    <hyperlink ref="C2157" r:id="rId5659" xr:uid="{00000000-0004-0000-0200-00001A160000}"/>
    <hyperlink ref="A2158" r:id="rId5660" xr:uid="{00000000-0004-0000-0200-00001B160000}"/>
    <hyperlink ref="C2158" r:id="rId5661" xr:uid="{00000000-0004-0000-0200-00001C160000}"/>
    <hyperlink ref="A2159" r:id="rId5662" xr:uid="{00000000-0004-0000-0200-00001D160000}"/>
    <hyperlink ref="C2159" r:id="rId5663" xr:uid="{00000000-0004-0000-0200-00001E160000}"/>
    <hyperlink ref="A2160" r:id="rId5664" xr:uid="{00000000-0004-0000-0200-00001F160000}"/>
    <hyperlink ref="C2160" r:id="rId5665" xr:uid="{00000000-0004-0000-0200-000020160000}"/>
    <hyperlink ref="A2161" r:id="rId5666" xr:uid="{00000000-0004-0000-0200-000021160000}"/>
    <hyperlink ref="C2161" r:id="rId5667" xr:uid="{00000000-0004-0000-0200-000022160000}"/>
    <hyperlink ref="A2162" r:id="rId5668" xr:uid="{00000000-0004-0000-0200-000023160000}"/>
    <hyperlink ref="C2162" r:id="rId5669" xr:uid="{00000000-0004-0000-0200-000024160000}"/>
    <hyperlink ref="A2163" r:id="rId5670" xr:uid="{00000000-0004-0000-0200-000025160000}"/>
    <hyperlink ref="C2163" r:id="rId5671" xr:uid="{00000000-0004-0000-0200-000026160000}"/>
    <hyperlink ref="A2164" r:id="rId5672" xr:uid="{00000000-0004-0000-0200-000027160000}"/>
    <hyperlink ref="C2164" r:id="rId5673" xr:uid="{00000000-0004-0000-0200-000028160000}"/>
    <hyperlink ref="A2165" r:id="rId5674" xr:uid="{00000000-0004-0000-0200-000029160000}"/>
    <hyperlink ref="C2165" r:id="rId5675" xr:uid="{00000000-0004-0000-0200-00002A160000}"/>
    <hyperlink ref="A2166" r:id="rId5676" xr:uid="{00000000-0004-0000-0200-00002B160000}"/>
    <hyperlink ref="C2166" r:id="rId5677" xr:uid="{00000000-0004-0000-0200-00002C160000}"/>
    <hyperlink ref="A2167" r:id="rId5678" xr:uid="{00000000-0004-0000-0200-00002D160000}"/>
    <hyperlink ref="C2167" r:id="rId5679" xr:uid="{00000000-0004-0000-0200-00002E160000}"/>
    <hyperlink ref="A2168" r:id="rId5680" xr:uid="{00000000-0004-0000-0200-00002F160000}"/>
    <hyperlink ref="C2168" r:id="rId5681" xr:uid="{00000000-0004-0000-0200-000030160000}"/>
    <hyperlink ref="A2169" r:id="rId5682" xr:uid="{00000000-0004-0000-0200-000031160000}"/>
    <hyperlink ref="C2169" r:id="rId5683" xr:uid="{00000000-0004-0000-0200-000032160000}"/>
    <hyperlink ref="A2170" r:id="rId5684" xr:uid="{00000000-0004-0000-0200-000033160000}"/>
    <hyperlink ref="C2170" r:id="rId5685" xr:uid="{00000000-0004-0000-0200-000034160000}"/>
    <hyperlink ref="A2171" r:id="rId5686" xr:uid="{00000000-0004-0000-0200-000035160000}"/>
    <hyperlink ref="C2171" r:id="rId5687" xr:uid="{00000000-0004-0000-0200-000036160000}"/>
    <hyperlink ref="A2172" r:id="rId5688" xr:uid="{00000000-0004-0000-0200-000037160000}"/>
    <hyperlink ref="C2172" r:id="rId5689" xr:uid="{00000000-0004-0000-0200-000038160000}"/>
    <hyperlink ref="A2173" r:id="rId5690" xr:uid="{00000000-0004-0000-0200-000039160000}"/>
    <hyperlink ref="C2173" r:id="rId5691" xr:uid="{00000000-0004-0000-0200-00003A160000}"/>
    <hyperlink ref="A2174" r:id="rId5692" xr:uid="{00000000-0004-0000-0200-00003B160000}"/>
    <hyperlink ref="C2174" r:id="rId5693" xr:uid="{00000000-0004-0000-0200-00003C160000}"/>
    <hyperlink ref="A2175" r:id="rId5694" xr:uid="{00000000-0004-0000-0200-00003D160000}"/>
    <hyperlink ref="C2175" r:id="rId5695" xr:uid="{00000000-0004-0000-0200-00003E160000}"/>
    <hyperlink ref="A2176" r:id="rId5696" xr:uid="{00000000-0004-0000-0200-00003F160000}"/>
    <hyperlink ref="C2176" r:id="rId5697" xr:uid="{00000000-0004-0000-0200-000040160000}"/>
    <hyperlink ref="A2177" r:id="rId5698" xr:uid="{00000000-0004-0000-0200-000041160000}"/>
    <hyperlink ref="C2177" r:id="rId5699" xr:uid="{00000000-0004-0000-0200-000042160000}"/>
    <hyperlink ref="A2178" r:id="rId5700" xr:uid="{00000000-0004-0000-0200-000043160000}"/>
    <hyperlink ref="C2178" r:id="rId5701" xr:uid="{00000000-0004-0000-0200-000044160000}"/>
    <hyperlink ref="A2179" r:id="rId5702" xr:uid="{00000000-0004-0000-0200-000045160000}"/>
    <hyperlink ref="C2179" r:id="rId5703" xr:uid="{00000000-0004-0000-0200-000046160000}"/>
    <hyperlink ref="A2180" r:id="rId5704" xr:uid="{00000000-0004-0000-0200-000047160000}"/>
    <hyperlink ref="C2180" r:id="rId5705" xr:uid="{00000000-0004-0000-0200-000048160000}"/>
    <hyperlink ref="A2181" r:id="rId5706" xr:uid="{00000000-0004-0000-0200-000049160000}"/>
    <hyperlink ref="C2181" r:id="rId5707" xr:uid="{00000000-0004-0000-0200-00004A160000}"/>
    <hyperlink ref="A2182" r:id="rId5708" xr:uid="{00000000-0004-0000-0200-00004B160000}"/>
    <hyperlink ref="C2182" r:id="rId5709" xr:uid="{00000000-0004-0000-0200-00004C160000}"/>
    <hyperlink ref="A2183" r:id="rId5710" xr:uid="{00000000-0004-0000-0200-00004D160000}"/>
    <hyperlink ref="C2183" r:id="rId5711" xr:uid="{00000000-0004-0000-0200-00004E160000}"/>
    <hyperlink ref="A2184" r:id="rId5712" xr:uid="{00000000-0004-0000-0200-00004F160000}"/>
    <hyperlink ref="C2184" r:id="rId5713" xr:uid="{00000000-0004-0000-0200-000050160000}"/>
    <hyperlink ref="A2185" r:id="rId5714" xr:uid="{00000000-0004-0000-0200-000051160000}"/>
    <hyperlink ref="C2185" r:id="rId5715" xr:uid="{00000000-0004-0000-0200-000052160000}"/>
    <hyperlink ref="A2186" r:id="rId5716" xr:uid="{00000000-0004-0000-0200-000053160000}"/>
    <hyperlink ref="C2186" r:id="rId5717" xr:uid="{00000000-0004-0000-0200-000054160000}"/>
    <hyperlink ref="A2187" r:id="rId5718" xr:uid="{00000000-0004-0000-0200-000055160000}"/>
    <hyperlink ref="C2187" r:id="rId5719" xr:uid="{00000000-0004-0000-0200-000056160000}"/>
    <hyperlink ref="A2188" r:id="rId5720" xr:uid="{00000000-0004-0000-0200-000057160000}"/>
    <hyperlink ref="C2188" r:id="rId5721" xr:uid="{00000000-0004-0000-0200-000058160000}"/>
    <hyperlink ref="A2189" r:id="rId5722" xr:uid="{00000000-0004-0000-0200-000059160000}"/>
    <hyperlink ref="C2189" r:id="rId5723" xr:uid="{00000000-0004-0000-0200-00005A160000}"/>
    <hyperlink ref="A2190" r:id="rId5724" xr:uid="{00000000-0004-0000-0200-00005B160000}"/>
    <hyperlink ref="C2190" r:id="rId5725" xr:uid="{00000000-0004-0000-0200-00005C160000}"/>
    <hyperlink ref="A2191" r:id="rId5726" xr:uid="{00000000-0004-0000-0200-00005D160000}"/>
    <hyperlink ref="C2191" r:id="rId5727" xr:uid="{00000000-0004-0000-0200-00005E160000}"/>
    <hyperlink ref="A2192" r:id="rId5728" xr:uid="{00000000-0004-0000-0200-00005F160000}"/>
    <hyperlink ref="C2192" r:id="rId5729" xr:uid="{00000000-0004-0000-0200-000060160000}"/>
    <hyperlink ref="A2193" r:id="rId5730" xr:uid="{00000000-0004-0000-0200-000061160000}"/>
    <hyperlink ref="C2193" r:id="rId5731" xr:uid="{00000000-0004-0000-0200-000062160000}"/>
    <hyperlink ref="A2194" r:id="rId5732" xr:uid="{00000000-0004-0000-0200-000063160000}"/>
    <hyperlink ref="C2194" r:id="rId5733" xr:uid="{00000000-0004-0000-0200-000064160000}"/>
    <hyperlink ref="A2195" r:id="rId5734" xr:uid="{00000000-0004-0000-0200-000065160000}"/>
    <hyperlink ref="C2195" r:id="rId5735" xr:uid="{00000000-0004-0000-0200-000066160000}"/>
    <hyperlink ref="A2196" r:id="rId5736" xr:uid="{00000000-0004-0000-0200-000067160000}"/>
    <hyperlink ref="C2196" r:id="rId5737" xr:uid="{00000000-0004-0000-0200-000068160000}"/>
    <hyperlink ref="A2197" r:id="rId5738" xr:uid="{00000000-0004-0000-0200-000069160000}"/>
    <hyperlink ref="C2197" r:id="rId5739" xr:uid="{00000000-0004-0000-0200-00006A160000}"/>
    <hyperlink ref="A2198" r:id="rId5740" xr:uid="{00000000-0004-0000-0200-00006B160000}"/>
    <hyperlink ref="C2198" r:id="rId5741" xr:uid="{00000000-0004-0000-0200-00006C160000}"/>
    <hyperlink ref="A2199" r:id="rId5742" xr:uid="{00000000-0004-0000-0200-00006D160000}"/>
    <hyperlink ref="C2199" r:id="rId5743" xr:uid="{00000000-0004-0000-0200-00006E160000}"/>
    <hyperlink ref="A2200" r:id="rId5744" xr:uid="{00000000-0004-0000-0200-00006F160000}"/>
    <hyperlink ref="C2200" r:id="rId5745" xr:uid="{00000000-0004-0000-0200-000070160000}"/>
    <hyperlink ref="A2201" r:id="rId5746" xr:uid="{00000000-0004-0000-0200-000071160000}"/>
    <hyperlink ref="C2201" r:id="rId5747" xr:uid="{00000000-0004-0000-0200-000072160000}"/>
    <hyperlink ref="A2202" r:id="rId5748" xr:uid="{00000000-0004-0000-0200-000073160000}"/>
    <hyperlink ref="C2202" r:id="rId5749" xr:uid="{00000000-0004-0000-0200-000074160000}"/>
    <hyperlink ref="A2203" r:id="rId5750" xr:uid="{00000000-0004-0000-0200-000075160000}"/>
    <hyperlink ref="C2203" r:id="rId5751" xr:uid="{00000000-0004-0000-0200-000076160000}"/>
    <hyperlink ref="A2204" r:id="rId5752" xr:uid="{00000000-0004-0000-0200-000077160000}"/>
    <hyperlink ref="C2204" r:id="rId5753" xr:uid="{00000000-0004-0000-0200-000078160000}"/>
    <hyperlink ref="A2205" r:id="rId5754" xr:uid="{00000000-0004-0000-0200-000079160000}"/>
    <hyperlink ref="C2205" r:id="rId5755" xr:uid="{00000000-0004-0000-0200-00007A160000}"/>
    <hyperlink ref="A2206" r:id="rId5756" xr:uid="{00000000-0004-0000-0200-00007B160000}"/>
    <hyperlink ref="C2206" r:id="rId5757" xr:uid="{00000000-0004-0000-0200-00007C160000}"/>
    <hyperlink ref="A2207" r:id="rId5758" xr:uid="{00000000-0004-0000-0200-00007D160000}"/>
    <hyperlink ref="C2207" r:id="rId5759" xr:uid="{00000000-0004-0000-0200-00007E160000}"/>
    <hyperlink ref="A2208" r:id="rId5760" xr:uid="{00000000-0004-0000-0200-00007F160000}"/>
    <hyperlink ref="C2208" r:id="rId5761" xr:uid="{00000000-0004-0000-0200-000080160000}"/>
    <hyperlink ref="A2209" r:id="rId5762" xr:uid="{00000000-0004-0000-0200-000081160000}"/>
    <hyperlink ref="C2209" r:id="rId5763" xr:uid="{00000000-0004-0000-0200-000082160000}"/>
    <hyperlink ref="A2210" r:id="rId5764" xr:uid="{00000000-0004-0000-0200-000083160000}"/>
    <hyperlink ref="C2210" r:id="rId5765" xr:uid="{00000000-0004-0000-0200-000084160000}"/>
    <hyperlink ref="A2211" r:id="rId5766" xr:uid="{00000000-0004-0000-0200-000085160000}"/>
    <hyperlink ref="C2211" r:id="rId5767" xr:uid="{00000000-0004-0000-0200-000086160000}"/>
    <hyperlink ref="A2212" r:id="rId5768" xr:uid="{00000000-0004-0000-0200-000087160000}"/>
    <hyperlink ref="C2212" r:id="rId5769" xr:uid="{00000000-0004-0000-0200-000088160000}"/>
    <hyperlink ref="A2213" r:id="rId5770" xr:uid="{00000000-0004-0000-0200-000089160000}"/>
    <hyperlink ref="C2213" r:id="rId5771" xr:uid="{00000000-0004-0000-0200-00008A160000}"/>
    <hyperlink ref="A2214" r:id="rId5772" xr:uid="{00000000-0004-0000-0200-00008B160000}"/>
    <hyperlink ref="C2214" r:id="rId5773" xr:uid="{00000000-0004-0000-0200-00008C160000}"/>
    <hyperlink ref="A2215" r:id="rId5774" xr:uid="{00000000-0004-0000-0200-00008D160000}"/>
    <hyperlink ref="C2215" r:id="rId5775" xr:uid="{00000000-0004-0000-0200-00008E160000}"/>
    <hyperlink ref="A2216" r:id="rId5776" xr:uid="{00000000-0004-0000-0200-00008F160000}"/>
    <hyperlink ref="C2216" r:id="rId5777" xr:uid="{00000000-0004-0000-0200-000090160000}"/>
    <hyperlink ref="A2217" r:id="rId5778" xr:uid="{00000000-0004-0000-0200-000091160000}"/>
    <hyperlink ref="C2217" r:id="rId5779" xr:uid="{00000000-0004-0000-0200-000092160000}"/>
    <hyperlink ref="A2218" r:id="rId5780" xr:uid="{00000000-0004-0000-0200-000093160000}"/>
    <hyperlink ref="C2218" r:id="rId5781" xr:uid="{00000000-0004-0000-0200-000094160000}"/>
    <hyperlink ref="A2219" r:id="rId5782" xr:uid="{00000000-0004-0000-0200-000095160000}"/>
    <hyperlink ref="C2219" r:id="rId5783" xr:uid="{00000000-0004-0000-0200-000096160000}"/>
    <hyperlink ref="A2220" r:id="rId5784" xr:uid="{00000000-0004-0000-0200-000097160000}"/>
    <hyperlink ref="C2220" r:id="rId5785" xr:uid="{00000000-0004-0000-0200-000098160000}"/>
    <hyperlink ref="A2221" r:id="rId5786" xr:uid="{00000000-0004-0000-0200-000099160000}"/>
    <hyperlink ref="C2221" r:id="rId5787" xr:uid="{00000000-0004-0000-0200-00009A160000}"/>
    <hyperlink ref="A2222" r:id="rId5788" xr:uid="{00000000-0004-0000-0200-00009B160000}"/>
    <hyperlink ref="C2222" r:id="rId5789" xr:uid="{00000000-0004-0000-0200-00009C160000}"/>
    <hyperlink ref="A2223" r:id="rId5790" xr:uid="{00000000-0004-0000-0200-00009D160000}"/>
    <hyperlink ref="C2223" r:id="rId5791" xr:uid="{00000000-0004-0000-0200-00009E160000}"/>
    <hyperlink ref="A2224" r:id="rId5792" xr:uid="{00000000-0004-0000-0200-00009F160000}"/>
    <hyperlink ref="C2224" r:id="rId5793" xr:uid="{00000000-0004-0000-0200-0000A0160000}"/>
    <hyperlink ref="A2225" r:id="rId5794" xr:uid="{00000000-0004-0000-0200-0000A1160000}"/>
    <hyperlink ref="C2225" r:id="rId5795" xr:uid="{00000000-0004-0000-0200-0000A2160000}"/>
    <hyperlink ref="A2226" r:id="rId5796" xr:uid="{00000000-0004-0000-0200-0000A3160000}"/>
    <hyperlink ref="C2226" r:id="rId5797" xr:uid="{00000000-0004-0000-0200-0000A4160000}"/>
    <hyperlink ref="A2227" r:id="rId5798" xr:uid="{00000000-0004-0000-0200-0000A5160000}"/>
    <hyperlink ref="C2227" r:id="rId5799" xr:uid="{00000000-0004-0000-0200-0000A6160000}"/>
    <hyperlink ref="A2228" r:id="rId5800" xr:uid="{00000000-0004-0000-0200-0000A7160000}"/>
    <hyperlink ref="C2228" r:id="rId5801" xr:uid="{00000000-0004-0000-0200-0000A8160000}"/>
    <hyperlink ref="A2229" r:id="rId5802" xr:uid="{00000000-0004-0000-0200-0000A9160000}"/>
    <hyperlink ref="C2229" r:id="rId5803" xr:uid="{00000000-0004-0000-0200-0000AA160000}"/>
    <hyperlink ref="A2230" r:id="rId5804" xr:uid="{00000000-0004-0000-0200-0000AB160000}"/>
    <hyperlink ref="C2230" r:id="rId5805" xr:uid="{00000000-0004-0000-0200-0000AC160000}"/>
    <hyperlink ref="A2231" r:id="rId5806" xr:uid="{00000000-0004-0000-0200-0000AD160000}"/>
    <hyperlink ref="C2231" r:id="rId5807" xr:uid="{00000000-0004-0000-0200-0000AE160000}"/>
    <hyperlink ref="A2232" r:id="rId5808" xr:uid="{00000000-0004-0000-0200-0000AF160000}"/>
    <hyperlink ref="C2232" r:id="rId5809" xr:uid="{00000000-0004-0000-0200-0000B0160000}"/>
    <hyperlink ref="A2233" r:id="rId5810" xr:uid="{00000000-0004-0000-0200-0000B1160000}"/>
    <hyperlink ref="C2233" r:id="rId5811" xr:uid="{00000000-0004-0000-0200-0000B2160000}"/>
    <hyperlink ref="A2234" r:id="rId5812" xr:uid="{00000000-0004-0000-0200-0000B3160000}"/>
    <hyperlink ref="C2234" r:id="rId5813" xr:uid="{00000000-0004-0000-0200-0000B4160000}"/>
    <hyperlink ref="A2235" r:id="rId5814" xr:uid="{00000000-0004-0000-0200-0000B5160000}"/>
    <hyperlink ref="C2235" r:id="rId5815" xr:uid="{00000000-0004-0000-0200-0000B6160000}"/>
    <hyperlink ref="A2236" r:id="rId5816" xr:uid="{00000000-0004-0000-0200-0000B7160000}"/>
    <hyperlink ref="C2236" r:id="rId5817" xr:uid="{00000000-0004-0000-0200-0000B8160000}"/>
    <hyperlink ref="A2237" r:id="rId5818" xr:uid="{00000000-0004-0000-0200-0000B9160000}"/>
    <hyperlink ref="C2237" r:id="rId5819" xr:uid="{00000000-0004-0000-0200-0000BA160000}"/>
    <hyperlink ref="A2238" r:id="rId5820" xr:uid="{00000000-0004-0000-0200-0000BB160000}"/>
    <hyperlink ref="C2238" r:id="rId5821" xr:uid="{00000000-0004-0000-0200-0000BC160000}"/>
    <hyperlink ref="A2239" r:id="rId5822" xr:uid="{00000000-0004-0000-0200-0000BD160000}"/>
    <hyperlink ref="C2239" r:id="rId5823" xr:uid="{00000000-0004-0000-0200-0000BE160000}"/>
    <hyperlink ref="A2240" r:id="rId5824" xr:uid="{00000000-0004-0000-0200-0000BF160000}"/>
    <hyperlink ref="C2240" r:id="rId5825" xr:uid="{00000000-0004-0000-0200-0000C0160000}"/>
    <hyperlink ref="A2241" r:id="rId5826" xr:uid="{00000000-0004-0000-0200-0000C1160000}"/>
    <hyperlink ref="C2241" r:id="rId5827" xr:uid="{00000000-0004-0000-0200-0000C2160000}"/>
    <hyperlink ref="A2242" r:id="rId5828" xr:uid="{00000000-0004-0000-0200-0000C3160000}"/>
    <hyperlink ref="C2242" r:id="rId5829" xr:uid="{00000000-0004-0000-0200-0000C4160000}"/>
    <hyperlink ref="A2243" r:id="rId5830" xr:uid="{00000000-0004-0000-0200-0000C5160000}"/>
    <hyperlink ref="C2243" r:id="rId5831" xr:uid="{00000000-0004-0000-0200-0000C6160000}"/>
    <hyperlink ref="A2244" r:id="rId5832" xr:uid="{00000000-0004-0000-0200-0000C7160000}"/>
    <hyperlink ref="C2244" r:id="rId5833" xr:uid="{00000000-0004-0000-0200-0000C8160000}"/>
    <hyperlink ref="A2245" r:id="rId5834" xr:uid="{00000000-0004-0000-0200-0000C9160000}"/>
    <hyperlink ref="C2245" r:id="rId5835" xr:uid="{00000000-0004-0000-0200-0000CA160000}"/>
    <hyperlink ref="A2246" r:id="rId5836" xr:uid="{00000000-0004-0000-0200-0000CB160000}"/>
    <hyperlink ref="C2246" r:id="rId5837" xr:uid="{00000000-0004-0000-0200-0000CC160000}"/>
    <hyperlink ref="A2247" r:id="rId5838" xr:uid="{00000000-0004-0000-0200-0000CD160000}"/>
    <hyperlink ref="C2247" r:id="rId5839" xr:uid="{00000000-0004-0000-0200-0000CE160000}"/>
    <hyperlink ref="A2248" r:id="rId5840" xr:uid="{00000000-0004-0000-0200-0000CF160000}"/>
    <hyperlink ref="C2248" r:id="rId5841" xr:uid="{00000000-0004-0000-0200-0000D0160000}"/>
    <hyperlink ref="A2249" r:id="rId5842" xr:uid="{00000000-0004-0000-0200-0000D1160000}"/>
    <hyperlink ref="C2249" r:id="rId5843" xr:uid="{00000000-0004-0000-0200-0000D2160000}"/>
    <hyperlink ref="A2250" r:id="rId5844" xr:uid="{00000000-0004-0000-0200-0000D3160000}"/>
    <hyperlink ref="C2250" r:id="rId5845" xr:uid="{00000000-0004-0000-0200-0000D4160000}"/>
    <hyperlink ref="A2251" r:id="rId5846" xr:uid="{00000000-0004-0000-0200-0000D5160000}"/>
    <hyperlink ref="C2251" r:id="rId5847" xr:uid="{00000000-0004-0000-0200-0000D6160000}"/>
    <hyperlink ref="A2252" r:id="rId5848" xr:uid="{00000000-0004-0000-0200-0000D7160000}"/>
    <hyperlink ref="C2252" r:id="rId5849" xr:uid="{00000000-0004-0000-0200-0000D8160000}"/>
    <hyperlink ref="A2253" r:id="rId5850" xr:uid="{00000000-0004-0000-0200-0000D9160000}"/>
    <hyperlink ref="C2253" r:id="rId5851" xr:uid="{00000000-0004-0000-0200-0000DA160000}"/>
    <hyperlink ref="A2254" r:id="rId5852" xr:uid="{00000000-0004-0000-0200-0000DB160000}"/>
    <hyperlink ref="C2254" r:id="rId5853" xr:uid="{00000000-0004-0000-0200-0000DC160000}"/>
    <hyperlink ref="A2255" r:id="rId5854" xr:uid="{00000000-0004-0000-0200-0000DD160000}"/>
    <hyperlink ref="C2255" r:id="rId5855" xr:uid="{00000000-0004-0000-0200-0000DE160000}"/>
    <hyperlink ref="A2256" r:id="rId5856" xr:uid="{00000000-0004-0000-0200-0000DF160000}"/>
    <hyperlink ref="C2256" r:id="rId5857" xr:uid="{00000000-0004-0000-0200-0000E0160000}"/>
    <hyperlink ref="A2257" r:id="rId5858" xr:uid="{00000000-0004-0000-0200-0000E1160000}"/>
    <hyperlink ref="C2257" r:id="rId5859" xr:uid="{00000000-0004-0000-0200-0000E2160000}"/>
    <hyperlink ref="A2258" r:id="rId5860" xr:uid="{00000000-0004-0000-0200-0000E3160000}"/>
    <hyperlink ref="C2258" r:id="rId5861" xr:uid="{00000000-0004-0000-0200-0000E4160000}"/>
    <hyperlink ref="A2259" r:id="rId5862" xr:uid="{00000000-0004-0000-0200-0000E5160000}"/>
    <hyperlink ref="C2259" r:id="rId5863" xr:uid="{00000000-0004-0000-0200-0000E6160000}"/>
    <hyperlink ref="A2260" r:id="rId5864" xr:uid="{00000000-0004-0000-0200-0000E7160000}"/>
    <hyperlink ref="C2260" r:id="rId5865" xr:uid="{00000000-0004-0000-0200-0000E8160000}"/>
    <hyperlink ref="A2261" r:id="rId5866" xr:uid="{00000000-0004-0000-0200-0000E9160000}"/>
    <hyperlink ref="C2261" r:id="rId5867" xr:uid="{00000000-0004-0000-0200-0000EA160000}"/>
    <hyperlink ref="A2262" r:id="rId5868" xr:uid="{00000000-0004-0000-0200-0000EB160000}"/>
    <hyperlink ref="C2262" r:id="rId5869" xr:uid="{00000000-0004-0000-0200-0000EC160000}"/>
    <hyperlink ref="A2263" r:id="rId5870" xr:uid="{00000000-0004-0000-0200-0000ED160000}"/>
    <hyperlink ref="C2263" r:id="rId5871" xr:uid="{00000000-0004-0000-0200-0000EE160000}"/>
    <hyperlink ref="A2264" r:id="rId5872" xr:uid="{00000000-0004-0000-0200-0000EF160000}"/>
    <hyperlink ref="C2264" r:id="rId5873" xr:uid="{00000000-0004-0000-0200-0000F0160000}"/>
    <hyperlink ref="A2265" r:id="rId5874" xr:uid="{00000000-0004-0000-0200-0000F1160000}"/>
    <hyperlink ref="C2265" r:id="rId5875" xr:uid="{00000000-0004-0000-0200-0000F2160000}"/>
    <hyperlink ref="A2266" r:id="rId5876" xr:uid="{00000000-0004-0000-0200-0000F3160000}"/>
    <hyperlink ref="C2266" r:id="rId5877" xr:uid="{00000000-0004-0000-0200-0000F4160000}"/>
    <hyperlink ref="A2267" r:id="rId5878" xr:uid="{00000000-0004-0000-0200-0000F5160000}"/>
    <hyperlink ref="C2267" r:id="rId5879" xr:uid="{00000000-0004-0000-0200-0000F6160000}"/>
    <hyperlink ref="A2268" r:id="rId5880" xr:uid="{00000000-0004-0000-0200-0000F7160000}"/>
    <hyperlink ref="C2268" r:id="rId5881" xr:uid="{00000000-0004-0000-0200-0000F8160000}"/>
    <hyperlink ref="A2269" r:id="rId5882" xr:uid="{00000000-0004-0000-0200-0000F9160000}"/>
    <hyperlink ref="C2269" r:id="rId5883" xr:uid="{00000000-0004-0000-0200-0000FA160000}"/>
    <hyperlink ref="A2270" r:id="rId5884" xr:uid="{00000000-0004-0000-0200-0000FB160000}"/>
    <hyperlink ref="C2270" r:id="rId5885" xr:uid="{00000000-0004-0000-0200-0000FC160000}"/>
    <hyperlink ref="A2271" r:id="rId5886" xr:uid="{00000000-0004-0000-0200-0000FD160000}"/>
    <hyperlink ref="C2271" r:id="rId5887" xr:uid="{00000000-0004-0000-0200-0000FE160000}"/>
    <hyperlink ref="A2272" r:id="rId5888" xr:uid="{00000000-0004-0000-0200-0000FF160000}"/>
    <hyperlink ref="C2272" r:id="rId5889" xr:uid="{00000000-0004-0000-0200-000000170000}"/>
    <hyperlink ref="A2273" r:id="rId5890" xr:uid="{00000000-0004-0000-0200-000001170000}"/>
    <hyperlink ref="C2273" r:id="rId5891" xr:uid="{00000000-0004-0000-0200-000002170000}"/>
    <hyperlink ref="A2274" r:id="rId5892" xr:uid="{00000000-0004-0000-0200-000003170000}"/>
    <hyperlink ref="C2274" r:id="rId5893" xr:uid="{00000000-0004-0000-0200-000004170000}"/>
    <hyperlink ref="A2275" r:id="rId5894" xr:uid="{00000000-0004-0000-0200-000005170000}"/>
    <hyperlink ref="C2275" r:id="rId5895" xr:uid="{00000000-0004-0000-0200-000006170000}"/>
    <hyperlink ref="A2276" r:id="rId5896" xr:uid="{00000000-0004-0000-0200-000007170000}"/>
    <hyperlink ref="C2276" r:id="rId5897" xr:uid="{00000000-0004-0000-0200-000008170000}"/>
    <hyperlink ref="A2277" r:id="rId5898" xr:uid="{00000000-0004-0000-0200-000009170000}"/>
    <hyperlink ref="C2277" r:id="rId5899" xr:uid="{00000000-0004-0000-0200-00000A170000}"/>
    <hyperlink ref="A2278" r:id="rId5900" xr:uid="{00000000-0004-0000-0200-00000B170000}"/>
    <hyperlink ref="C2278" r:id="rId5901" xr:uid="{00000000-0004-0000-0200-00000C170000}"/>
    <hyperlink ref="A2279" r:id="rId5902" xr:uid="{00000000-0004-0000-0200-00000D170000}"/>
    <hyperlink ref="C2279" r:id="rId5903" xr:uid="{00000000-0004-0000-0200-00000E170000}"/>
    <hyperlink ref="A2280" r:id="rId5904" xr:uid="{00000000-0004-0000-0200-00000F170000}"/>
    <hyperlink ref="C2280" r:id="rId5905" xr:uid="{00000000-0004-0000-0200-000010170000}"/>
    <hyperlink ref="A2281" r:id="rId5906" xr:uid="{00000000-0004-0000-0200-000011170000}"/>
    <hyperlink ref="C2281" r:id="rId5907" xr:uid="{00000000-0004-0000-0200-000012170000}"/>
    <hyperlink ref="A2282" r:id="rId5908" xr:uid="{00000000-0004-0000-0200-000013170000}"/>
    <hyperlink ref="C2282" r:id="rId5909" xr:uid="{00000000-0004-0000-0200-000014170000}"/>
    <hyperlink ref="A2283" r:id="rId5910" xr:uid="{00000000-0004-0000-0200-000015170000}"/>
    <hyperlink ref="C2283" r:id="rId5911" xr:uid="{00000000-0004-0000-0200-000016170000}"/>
    <hyperlink ref="A2284" r:id="rId5912" xr:uid="{00000000-0004-0000-0200-000017170000}"/>
    <hyperlink ref="C2284" r:id="rId5913" xr:uid="{00000000-0004-0000-0200-000018170000}"/>
    <hyperlink ref="A2285" r:id="rId5914" xr:uid="{00000000-0004-0000-0200-000019170000}"/>
    <hyperlink ref="C2285" r:id="rId5915" xr:uid="{00000000-0004-0000-0200-00001A170000}"/>
    <hyperlink ref="A2286" r:id="rId5916" xr:uid="{00000000-0004-0000-0200-00001B170000}"/>
    <hyperlink ref="C2286" r:id="rId5917" xr:uid="{00000000-0004-0000-0200-00001C170000}"/>
    <hyperlink ref="A2287" r:id="rId5918" xr:uid="{00000000-0004-0000-0200-00001D170000}"/>
    <hyperlink ref="C2287" r:id="rId5919" xr:uid="{00000000-0004-0000-0200-00001E170000}"/>
    <hyperlink ref="A2288" r:id="rId5920" xr:uid="{00000000-0004-0000-0200-00001F170000}"/>
    <hyperlink ref="C2288" r:id="rId5921" xr:uid="{00000000-0004-0000-0200-000020170000}"/>
    <hyperlink ref="A2289" r:id="rId5922" xr:uid="{00000000-0004-0000-0200-000021170000}"/>
    <hyperlink ref="C2289" r:id="rId5923" xr:uid="{00000000-0004-0000-0200-000022170000}"/>
    <hyperlink ref="A2290" r:id="rId5924" xr:uid="{00000000-0004-0000-0200-000023170000}"/>
    <hyperlink ref="C2290" r:id="rId5925" xr:uid="{00000000-0004-0000-0200-000024170000}"/>
    <hyperlink ref="A2291" r:id="rId5926" xr:uid="{00000000-0004-0000-0200-000025170000}"/>
    <hyperlink ref="C2291" r:id="rId5927" xr:uid="{00000000-0004-0000-0200-000026170000}"/>
    <hyperlink ref="A2292" r:id="rId5928" xr:uid="{00000000-0004-0000-0200-000027170000}"/>
    <hyperlink ref="C2292" r:id="rId5929" xr:uid="{00000000-0004-0000-0200-000028170000}"/>
    <hyperlink ref="A2293" r:id="rId5930" xr:uid="{00000000-0004-0000-0200-000029170000}"/>
    <hyperlink ref="C2293" r:id="rId5931" xr:uid="{00000000-0004-0000-0200-00002A170000}"/>
    <hyperlink ref="A2294" r:id="rId5932" xr:uid="{00000000-0004-0000-0200-00002B170000}"/>
    <hyperlink ref="C2294" r:id="rId5933" xr:uid="{00000000-0004-0000-0200-00002C170000}"/>
    <hyperlink ref="A2295" r:id="rId5934" xr:uid="{00000000-0004-0000-0200-00002D170000}"/>
    <hyperlink ref="C2295" r:id="rId5935" xr:uid="{00000000-0004-0000-0200-00002E170000}"/>
    <hyperlink ref="A2296" r:id="rId5936" xr:uid="{00000000-0004-0000-0200-00002F170000}"/>
    <hyperlink ref="C2296" r:id="rId5937" xr:uid="{00000000-0004-0000-0200-000030170000}"/>
    <hyperlink ref="A2297" r:id="rId5938" xr:uid="{00000000-0004-0000-0200-000031170000}"/>
    <hyperlink ref="C2297" r:id="rId5939" xr:uid="{00000000-0004-0000-0200-000032170000}"/>
    <hyperlink ref="A2298" r:id="rId5940" xr:uid="{00000000-0004-0000-0200-000033170000}"/>
    <hyperlink ref="C2298" r:id="rId5941" xr:uid="{00000000-0004-0000-0200-000034170000}"/>
    <hyperlink ref="A2299" r:id="rId5942" xr:uid="{00000000-0004-0000-0200-000035170000}"/>
    <hyperlink ref="C2299" r:id="rId5943" xr:uid="{00000000-0004-0000-0200-000036170000}"/>
    <hyperlink ref="A2300" r:id="rId5944" xr:uid="{00000000-0004-0000-0200-000037170000}"/>
    <hyperlink ref="C2300" r:id="rId5945" xr:uid="{00000000-0004-0000-0200-000038170000}"/>
    <hyperlink ref="A2301" r:id="rId5946" xr:uid="{00000000-0004-0000-0200-000039170000}"/>
    <hyperlink ref="C2301" r:id="rId5947" xr:uid="{00000000-0004-0000-0200-00003A170000}"/>
    <hyperlink ref="A2302" r:id="rId5948" xr:uid="{00000000-0004-0000-0200-00003B170000}"/>
    <hyperlink ref="C2302" r:id="rId5949" xr:uid="{00000000-0004-0000-0200-00003C170000}"/>
    <hyperlink ref="A2303" r:id="rId5950" xr:uid="{00000000-0004-0000-0200-00003D170000}"/>
    <hyperlink ref="C2303" r:id="rId5951" xr:uid="{00000000-0004-0000-0200-00003E170000}"/>
    <hyperlink ref="A2304" r:id="rId5952" xr:uid="{00000000-0004-0000-0200-00003F170000}"/>
    <hyperlink ref="C2304" r:id="rId5953" xr:uid="{00000000-0004-0000-0200-000040170000}"/>
    <hyperlink ref="A2305" r:id="rId5954" xr:uid="{00000000-0004-0000-0200-000041170000}"/>
    <hyperlink ref="C2305" r:id="rId5955" xr:uid="{00000000-0004-0000-0200-000042170000}"/>
    <hyperlink ref="A2306" r:id="rId5956" xr:uid="{00000000-0004-0000-0200-000043170000}"/>
    <hyperlink ref="C2306" r:id="rId5957" xr:uid="{00000000-0004-0000-0200-000044170000}"/>
    <hyperlink ref="A2307" r:id="rId5958" xr:uid="{00000000-0004-0000-0200-000045170000}"/>
    <hyperlink ref="C2307" r:id="rId5959" xr:uid="{00000000-0004-0000-0200-000046170000}"/>
    <hyperlink ref="A2308" r:id="rId5960" xr:uid="{00000000-0004-0000-0200-000047170000}"/>
    <hyperlink ref="C2308" r:id="rId5961" xr:uid="{00000000-0004-0000-0200-000048170000}"/>
    <hyperlink ref="A2309" r:id="rId5962" xr:uid="{00000000-0004-0000-0200-000049170000}"/>
    <hyperlink ref="C2309" r:id="rId5963" xr:uid="{00000000-0004-0000-0200-00004A170000}"/>
    <hyperlink ref="A2310" r:id="rId5964" xr:uid="{00000000-0004-0000-0200-00004B170000}"/>
    <hyperlink ref="C2310" r:id="rId5965" xr:uid="{00000000-0004-0000-0200-00004C170000}"/>
    <hyperlink ref="A2311" r:id="rId5966" xr:uid="{00000000-0004-0000-0200-00004D170000}"/>
    <hyperlink ref="C2311" r:id="rId5967" xr:uid="{00000000-0004-0000-0200-00004E170000}"/>
    <hyperlink ref="A2312" r:id="rId5968" xr:uid="{00000000-0004-0000-0200-00004F170000}"/>
    <hyperlink ref="C2312" r:id="rId5969" xr:uid="{00000000-0004-0000-0200-000050170000}"/>
    <hyperlink ref="A2313" r:id="rId5970" xr:uid="{00000000-0004-0000-0200-000051170000}"/>
    <hyperlink ref="C2313" r:id="rId5971" xr:uid="{00000000-0004-0000-0200-000052170000}"/>
    <hyperlink ref="A2314" r:id="rId5972" xr:uid="{00000000-0004-0000-0200-000053170000}"/>
    <hyperlink ref="C2314" r:id="rId5973" xr:uid="{00000000-0004-0000-0200-000054170000}"/>
    <hyperlink ref="A2315" r:id="rId5974" xr:uid="{00000000-0004-0000-0200-000055170000}"/>
    <hyperlink ref="C2315" r:id="rId5975" xr:uid="{00000000-0004-0000-0200-000056170000}"/>
    <hyperlink ref="A2316" r:id="rId5976" xr:uid="{00000000-0004-0000-0200-000057170000}"/>
    <hyperlink ref="C2316" r:id="rId5977" xr:uid="{00000000-0004-0000-0200-000058170000}"/>
    <hyperlink ref="A2317" r:id="rId5978" xr:uid="{00000000-0004-0000-0200-000059170000}"/>
    <hyperlink ref="C2317" r:id="rId5979" xr:uid="{00000000-0004-0000-0200-00005A170000}"/>
    <hyperlink ref="A2318" r:id="rId5980" xr:uid="{00000000-0004-0000-0200-00005B170000}"/>
    <hyperlink ref="C2318" r:id="rId5981" xr:uid="{00000000-0004-0000-0200-00005C170000}"/>
    <hyperlink ref="A2319" r:id="rId5982" xr:uid="{00000000-0004-0000-0200-00005D170000}"/>
    <hyperlink ref="C2319" r:id="rId5983" xr:uid="{00000000-0004-0000-0200-00005E170000}"/>
    <hyperlink ref="A2320" r:id="rId5984" xr:uid="{00000000-0004-0000-0200-00005F170000}"/>
    <hyperlink ref="C2320" r:id="rId5985" xr:uid="{00000000-0004-0000-0200-000060170000}"/>
    <hyperlink ref="A2321" r:id="rId5986" xr:uid="{00000000-0004-0000-0200-000061170000}"/>
    <hyperlink ref="C2321" r:id="rId5987" xr:uid="{00000000-0004-0000-0200-000062170000}"/>
    <hyperlink ref="A2322" r:id="rId5988" xr:uid="{00000000-0004-0000-0200-000063170000}"/>
    <hyperlink ref="C2322" r:id="rId5989" xr:uid="{00000000-0004-0000-0200-000064170000}"/>
    <hyperlink ref="A2323" r:id="rId5990" xr:uid="{00000000-0004-0000-0200-000065170000}"/>
    <hyperlink ref="C2323" r:id="rId5991" xr:uid="{00000000-0004-0000-0200-000066170000}"/>
    <hyperlink ref="A2324" r:id="rId5992" xr:uid="{00000000-0004-0000-0200-000067170000}"/>
    <hyperlink ref="C2324" r:id="rId5993" xr:uid="{00000000-0004-0000-0200-000068170000}"/>
    <hyperlink ref="A2325" r:id="rId5994" xr:uid="{00000000-0004-0000-0200-000069170000}"/>
    <hyperlink ref="C2325" r:id="rId5995" xr:uid="{00000000-0004-0000-0200-00006A170000}"/>
    <hyperlink ref="A2326" r:id="rId5996" xr:uid="{00000000-0004-0000-0200-00006B170000}"/>
    <hyperlink ref="C2326" r:id="rId5997" xr:uid="{00000000-0004-0000-0200-00006C170000}"/>
    <hyperlink ref="A2327" r:id="rId5998" xr:uid="{00000000-0004-0000-0200-00006D170000}"/>
    <hyperlink ref="C2327" r:id="rId5999" xr:uid="{00000000-0004-0000-0200-00006E170000}"/>
    <hyperlink ref="A2328" r:id="rId6000" xr:uid="{00000000-0004-0000-0200-00006F170000}"/>
    <hyperlink ref="C2328" r:id="rId6001" xr:uid="{00000000-0004-0000-0200-000070170000}"/>
    <hyperlink ref="A2329" r:id="rId6002" xr:uid="{00000000-0004-0000-0200-000071170000}"/>
    <hyperlink ref="C2329" r:id="rId6003" xr:uid="{00000000-0004-0000-0200-000072170000}"/>
    <hyperlink ref="A2330" r:id="rId6004" xr:uid="{00000000-0004-0000-0200-000073170000}"/>
    <hyperlink ref="C2330" r:id="rId6005" xr:uid="{00000000-0004-0000-0200-000074170000}"/>
    <hyperlink ref="A2331" r:id="rId6006" xr:uid="{00000000-0004-0000-0200-000075170000}"/>
    <hyperlink ref="C2331" r:id="rId6007" xr:uid="{00000000-0004-0000-0200-000076170000}"/>
    <hyperlink ref="A2332" r:id="rId6008" xr:uid="{00000000-0004-0000-0200-000077170000}"/>
    <hyperlink ref="C2332" r:id="rId6009" xr:uid="{00000000-0004-0000-0200-000078170000}"/>
    <hyperlink ref="A2333" r:id="rId6010" xr:uid="{00000000-0004-0000-0200-000079170000}"/>
    <hyperlink ref="C2333" r:id="rId6011" xr:uid="{00000000-0004-0000-0200-00007A170000}"/>
    <hyperlink ref="A2334" r:id="rId6012" xr:uid="{00000000-0004-0000-0200-00007B170000}"/>
    <hyperlink ref="C2334" r:id="rId6013" xr:uid="{00000000-0004-0000-0200-00007C170000}"/>
    <hyperlink ref="A2335" r:id="rId6014" xr:uid="{00000000-0004-0000-0200-00007D170000}"/>
    <hyperlink ref="C2335" r:id="rId6015" xr:uid="{00000000-0004-0000-0200-00007E170000}"/>
    <hyperlink ref="A2336" r:id="rId6016" xr:uid="{00000000-0004-0000-0200-00007F170000}"/>
    <hyperlink ref="C2336" r:id="rId6017" xr:uid="{00000000-0004-0000-0200-000080170000}"/>
    <hyperlink ref="A2337" r:id="rId6018" xr:uid="{00000000-0004-0000-0200-000081170000}"/>
    <hyperlink ref="C2337" r:id="rId6019" xr:uid="{00000000-0004-0000-0200-000082170000}"/>
    <hyperlink ref="A2338" r:id="rId6020" xr:uid="{00000000-0004-0000-0200-000083170000}"/>
    <hyperlink ref="C2338" r:id="rId6021" xr:uid="{00000000-0004-0000-0200-000084170000}"/>
    <hyperlink ref="A2339" r:id="rId6022" xr:uid="{00000000-0004-0000-0200-000085170000}"/>
    <hyperlink ref="C2339" r:id="rId6023" xr:uid="{00000000-0004-0000-0200-000086170000}"/>
    <hyperlink ref="A2340" r:id="rId6024" xr:uid="{00000000-0004-0000-0200-000087170000}"/>
    <hyperlink ref="C2340" r:id="rId6025" xr:uid="{00000000-0004-0000-0200-000088170000}"/>
    <hyperlink ref="A2341" r:id="rId6026" xr:uid="{00000000-0004-0000-0200-000089170000}"/>
    <hyperlink ref="C2341" r:id="rId6027" xr:uid="{00000000-0004-0000-0200-00008A170000}"/>
    <hyperlink ref="A2342" r:id="rId6028" xr:uid="{00000000-0004-0000-0200-00008B170000}"/>
    <hyperlink ref="C2342" r:id="rId6029" xr:uid="{00000000-0004-0000-0200-00008C170000}"/>
    <hyperlink ref="A2343" r:id="rId6030" xr:uid="{00000000-0004-0000-0200-00008D170000}"/>
    <hyperlink ref="C2343" r:id="rId6031" xr:uid="{00000000-0004-0000-0200-00008E170000}"/>
    <hyperlink ref="A2344" r:id="rId6032" xr:uid="{00000000-0004-0000-0200-00008F170000}"/>
    <hyperlink ref="C2344" r:id="rId6033" xr:uid="{00000000-0004-0000-0200-000090170000}"/>
    <hyperlink ref="A2345" r:id="rId6034" xr:uid="{00000000-0004-0000-0200-000091170000}"/>
    <hyperlink ref="C2345" r:id="rId6035" xr:uid="{00000000-0004-0000-0200-000092170000}"/>
    <hyperlink ref="A2346" r:id="rId6036" xr:uid="{00000000-0004-0000-0200-000093170000}"/>
    <hyperlink ref="C2346" r:id="rId6037" xr:uid="{00000000-0004-0000-0200-000094170000}"/>
    <hyperlink ref="A2347" r:id="rId6038" xr:uid="{00000000-0004-0000-0200-000095170000}"/>
    <hyperlink ref="C2347" r:id="rId6039" xr:uid="{00000000-0004-0000-0200-000096170000}"/>
    <hyperlink ref="A2348" r:id="rId6040" xr:uid="{00000000-0004-0000-0200-000097170000}"/>
    <hyperlink ref="C2348" r:id="rId6041" xr:uid="{00000000-0004-0000-0200-000098170000}"/>
    <hyperlink ref="A2349" r:id="rId6042" xr:uid="{00000000-0004-0000-0200-000099170000}"/>
    <hyperlink ref="C2349" r:id="rId6043" xr:uid="{00000000-0004-0000-0200-00009A170000}"/>
    <hyperlink ref="A2350" r:id="rId6044" xr:uid="{00000000-0004-0000-0200-00009B170000}"/>
    <hyperlink ref="C2350" r:id="rId6045" xr:uid="{00000000-0004-0000-0200-00009C170000}"/>
    <hyperlink ref="A2351" r:id="rId6046" xr:uid="{00000000-0004-0000-0200-00009D170000}"/>
    <hyperlink ref="C2351" r:id="rId6047" xr:uid="{00000000-0004-0000-0200-00009E170000}"/>
    <hyperlink ref="A2352" r:id="rId6048" xr:uid="{00000000-0004-0000-0200-00009F170000}"/>
    <hyperlink ref="C2352" r:id="rId6049" xr:uid="{00000000-0004-0000-0200-0000A0170000}"/>
    <hyperlink ref="A2353" r:id="rId6050" xr:uid="{00000000-0004-0000-0200-0000A1170000}"/>
    <hyperlink ref="C2353" r:id="rId6051" xr:uid="{00000000-0004-0000-0200-0000A2170000}"/>
    <hyperlink ref="A2354" r:id="rId6052" xr:uid="{00000000-0004-0000-0200-0000A3170000}"/>
    <hyperlink ref="C2354" r:id="rId6053" xr:uid="{00000000-0004-0000-0200-0000A4170000}"/>
    <hyperlink ref="A2355" r:id="rId6054" xr:uid="{00000000-0004-0000-0200-0000A5170000}"/>
    <hyperlink ref="C2355" r:id="rId6055" xr:uid="{00000000-0004-0000-0200-0000A6170000}"/>
    <hyperlink ref="A2356" r:id="rId6056" xr:uid="{00000000-0004-0000-0200-0000A7170000}"/>
    <hyperlink ref="C2356" r:id="rId6057" xr:uid="{00000000-0004-0000-0200-0000A8170000}"/>
    <hyperlink ref="A2357" r:id="rId6058" xr:uid="{00000000-0004-0000-0200-0000A9170000}"/>
    <hyperlink ref="C2357" r:id="rId6059" xr:uid="{00000000-0004-0000-0200-0000AA170000}"/>
    <hyperlink ref="A2358" r:id="rId6060" xr:uid="{00000000-0004-0000-0200-0000AB170000}"/>
    <hyperlink ref="C2358" r:id="rId6061" xr:uid="{00000000-0004-0000-0200-0000AC170000}"/>
    <hyperlink ref="A2359" r:id="rId6062" xr:uid="{00000000-0004-0000-0200-0000AD170000}"/>
    <hyperlink ref="C2359" r:id="rId6063" xr:uid="{00000000-0004-0000-0200-0000AE170000}"/>
    <hyperlink ref="A2360" r:id="rId6064" xr:uid="{00000000-0004-0000-0200-0000AF170000}"/>
    <hyperlink ref="C2360" r:id="rId6065" xr:uid="{00000000-0004-0000-0200-0000B0170000}"/>
    <hyperlink ref="A2361" r:id="rId6066" xr:uid="{00000000-0004-0000-0200-0000B1170000}"/>
    <hyperlink ref="C2361" r:id="rId6067" xr:uid="{00000000-0004-0000-0200-0000B2170000}"/>
    <hyperlink ref="A2362" r:id="rId6068" xr:uid="{00000000-0004-0000-0200-0000B3170000}"/>
    <hyperlink ref="C2362" r:id="rId6069" xr:uid="{00000000-0004-0000-0200-0000B4170000}"/>
    <hyperlink ref="A2363" r:id="rId6070" xr:uid="{00000000-0004-0000-0200-0000B5170000}"/>
    <hyperlink ref="C2363" r:id="rId6071" xr:uid="{00000000-0004-0000-0200-0000B6170000}"/>
    <hyperlink ref="A2364" r:id="rId6072" xr:uid="{00000000-0004-0000-0200-0000B7170000}"/>
    <hyperlink ref="C2364" r:id="rId6073" xr:uid="{00000000-0004-0000-0200-0000B8170000}"/>
    <hyperlink ref="A2365" r:id="rId6074" xr:uid="{00000000-0004-0000-0200-0000B9170000}"/>
    <hyperlink ref="C2365" r:id="rId6075" xr:uid="{00000000-0004-0000-0200-0000BA170000}"/>
    <hyperlink ref="A2366" r:id="rId6076" xr:uid="{00000000-0004-0000-0200-0000BB170000}"/>
    <hyperlink ref="C2366" r:id="rId6077" xr:uid="{00000000-0004-0000-0200-0000BC170000}"/>
    <hyperlink ref="A2367" r:id="rId6078" xr:uid="{00000000-0004-0000-0200-0000BD170000}"/>
    <hyperlink ref="C2367" r:id="rId6079" xr:uid="{00000000-0004-0000-0200-0000BE170000}"/>
    <hyperlink ref="A2368" r:id="rId6080" xr:uid="{00000000-0004-0000-0200-0000BF170000}"/>
    <hyperlink ref="C2368" r:id="rId6081" xr:uid="{00000000-0004-0000-0200-0000C0170000}"/>
    <hyperlink ref="A2369" r:id="rId6082" xr:uid="{00000000-0004-0000-0200-0000C1170000}"/>
    <hyperlink ref="C2369" r:id="rId6083" xr:uid="{00000000-0004-0000-0200-0000C2170000}"/>
    <hyperlink ref="A2370" r:id="rId6084" xr:uid="{00000000-0004-0000-0200-0000C3170000}"/>
    <hyperlink ref="C2370" r:id="rId6085" xr:uid="{00000000-0004-0000-0200-0000C4170000}"/>
    <hyperlink ref="A2371" r:id="rId6086" xr:uid="{00000000-0004-0000-0200-0000C5170000}"/>
    <hyperlink ref="C2371" r:id="rId6087" xr:uid="{00000000-0004-0000-0200-0000C6170000}"/>
    <hyperlink ref="A2372" r:id="rId6088" xr:uid="{00000000-0004-0000-0200-0000C7170000}"/>
    <hyperlink ref="C2372" r:id="rId6089" xr:uid="{00000000-0004-0000-0200-0000C8170000}"/>
    <hyperlink ref="A2373" r:id="rId6090" xr:uid="{00000000-0004-0000-0200-0000C9170000}"/>
    <hyperlink ref="C2373" r:id="rId6091" xr:uid="{00000000-0004-0000-0200-0000CA170000}"/>
    <hyperlink ref="A2374" r:id="rId6092" xr:uid="{00000000-0004-0000-0200-0000CB170000}"/>
    <hyperlink ref="C2374" r:id="rId6093" xr:uid="{00000000-0004-0000-0200-0000CC170000}"/>
    <hyperlink ref="A2375" r:id="rId6094" xr:uid="{00000000-0004-0000-0200-0000CD170000}"/>
    <hyperlink ref="C2375" r:id="rId6095" xr:uid="{00000000-0004-0000-0200-0000CE170000}"/>
    <hyperlink ref="A2376" r:id="rId6096" xr:uid="{00000000-0004-0000-0200-0000CF170000}"/>
    <hyperlink ref="C2376" r:id="rId6097" xr:uid="{00000000-0004-0000-0200-0000D0170000}"/>
    <hyperlink ref="A2377" r:id="rId6098" xr:uid="{00000000-0004-0000-0200-0000D1170000}"/>
    <hyperlink ref="C2377" r:id="rId6099" xr:uid="{00000000-0004-0000-0200-0000D2170000}"/>
    <hyperlink ref="A2378" r:id="rId6100" xr:uid="{00000000-0004-0000-0200-0000D3170000}"/>
    <hyperlink ref="C2378" r:id="rId6101" xr:uid="{00000000-0004-0000-0200-0000D4170000}"/>
    <hyperlink ref="A2379" r:id="rId6102" xr:uid="{00000000-0004-0000-0200-0000D5170000}"/>
    <hyperlink ref="C2379" r:id="rId6103" xr:uid="{00000000-0004-0000-0200-0000D6170000}"/>
    <hyperlink ref="A2380" r:id="rId6104" xr:uid="{00000000-0004-0000-0200-0000D7170000}"/>
    <hyperlink ref="C2380" r:id="rId6105" xr:uid="{00000000-0004-0000-0200-0000D8170000}"/>
    <hyperlink ref="A2381" r:id="rId6106" xr:uid="{00000000-0004-0000-0200-0000D9170000}"/>
    <hyperlink ref="C2381" r:id="rId6107" xr:uid="{00000000-0004-0000-0200-0000DA170000}"/>
    <hyperlink ref="A2382" r:id="rId6108" xr:uid="{00000000-0004-0000-0200-0000DB170000}"/>
    <hyperlink ref="C2382" r:id="rId6109" xr:uid="{00000000-0004-0000-0200-0000DC170000}"/>
    <hyperlink ref="A2383" r:id="rId6110" xr:uid="{00000000-0004-0000-0200-0000DD170000}"/>
    <hyperlink ref="C2383" r:id="rId6111" xr:uid="{00000000-0004-0000-0200-0000DE170000}"/>
    <hyperlink ref="A2384" r:id="rId6112" xr:uid="{00000000-0004-0000-0200-0000DF170000}"/>
    <hyperlink ref="C2384" r:id="rId6113" xr:uid="{00000000-0004-0000-0200-0000E0170000}"/>
    <hyperlink ref="A2385" r:id="rId6114" xr:uid="{00000000-0004-0000-0200-0000E1170000}"/>
    <hyperlink ref="C2385" r:id="rId6115" xr:uid="{00000000-0004-0000-0200-0000E2170000}"/>
    <hyperlink ref="A2386" r:id="rId6116" xr:uid="{00000000-0004-0000-0200-0000E3170000}"/>
    <hyperlink ref="C2386" r:id="rId6117" xr:uid="{00000000-0004-0000-0200-0000E4170000}"/>
    <hyperlink ref="A2387" r:id="rId6118" xr:uid="{00000000-0004-0000-0200-0000E5170000}"/>
    <hyperlink ref="C2387" r:id="rId6119" xr:uid="{00000000-0004-0000-0200-0000E6170000}"/>
    <hyperlink ref="A2388" r:id="rId6120" xr:uid="{00000000-0004-0000-0200-0000E7170000}"/>
    <hyperlink ref="C2388" r:id="rId6121" xr:uid="{00000000-0004-0000-0200-0000E8170000}"/>
    <hyperlink ref="A2389" r:id="rId6122" xr:uid="{00000000-0004-0000-0200-0000E9170000}"/>
    <hyperlink ref="C2389" r:id="rId6123" xr:uid="{00000000-0004-0000-0200-0000EA170000}"/>
    <hyperlink ref="A2390" r:id="rId6124" xr:uid="{00000000-0004-0000-0200-0000EB170000}"/>
    <hyperlink ref="C2390" r:id="rId6125" xr:uid="{00000000-0004-0000-0200-0000EC170000}"/>
    <hyperlink ref="A2391" r:id="rId6126" xr:uid="{00000000-0004-0000-0200-0000ED170000}"/>
    <hyperlink ref="C2391" r:id="rId6127" xr:uid="{00000000-0004-0000-0200-0000EE170000}"/>
    <hyperlink ref="A2392" r:id="rId6128" xr:uid="{00000000-0004-0000-0200-0000EF170000}"/>
    <hyperlink ref="C2392" r:id="rId6129" xr:uid="{00000000-0004-0000-0200-0000F0170000}"/>
    <hyperlink ref="A2393" r:id="rId6130" xr:uid="{00000000-0004-0000-0200-0000F1170000}"/>
    <hyperlink ref="C2393" r:id="rId6131" xr:uid="{00000000-0004-0000-0200-0000F2170000}"/>
    <hyperlink ref="A2394" r:id="rId6132" xr:uid="{00000000-0004-0000-0200-0000F3170000}"/>
    <hyperlink ref="C2394" r:id="rId6133" xr:uid="{00000000-0004-0000-0200-0000F4170000}"/>
    <hyperlink ref="A2395" r:id="rId6134" xr:uid="{00000000-0004-0000-0200-0000F5170000}"/>
    <hyperlink ref="C2395" r:id="rId6135" xr:uid="{00000000-0004-0000-0200-0000F6170000}"/>
    <hyperlink ref="A2396" r:id="rId6136" xr:uid="{00000000-0004-0000-0200-0000F7170000}"/>
    <hyperlink ref="C2396" r:id="rId6137" xr:uid="{00000000-0004-0000-0200-0000F8170000}"/>
    <hyperlink ref="A2397" r:id="rId6138" xr:uid="{00000000-0004-0000-0200-0000F9170000}"/>
    <hyperlink ref="C2397" r:id="rId6139" xr:uid="{00000000-0004-0000-0200-0000FA170000}"/>
    <hyperlink ref="A2398" r:id="rId6140" xr:uid="{00000000-0004-0000-0200-0000FB170000}"/>
    <hyperlink ref="C2398" r:id="rId6141" xr:uid="{00000000-0004-0000-0200-0000FC170000}"/>
    <hyperlink ref="A2399" r:id="rId6142" xr:uid="{00000000-0004-0000-0200-0000FD170000}"/>
    <hyperlink ref="C2399" r:id="rId6143" xr:uid="{00000000-0004-0000-0200-0000FE170000}"/>
    <hyperlink ref="A2400" r:id="rId6144" xr:uid="{00000000-0004-0000-0200-0000FF170000}"/>
    <hyperlink ref="C2400" r:id="rId6145" xr:uid="{00000000-0004-0000-0200-000000180000}"/>
    <hyperlink ref="A2401" r:id="rId6146" xr:uid="{00000000-0004-0000-0200-000001180000}"/>
    <hyperlink ref="C2401" r:id="rId6147" xr:uid="{00000000-0004-0000-0200-000002180000}"/>
    <hyperlink ref="A2402" r:id="rId6148" xr:uid="{00000000-0004-0000-0200-000003180000}"/>
    <hyperlink ref="C2402" r:id="rId6149" xr:uid="{00000000-0004-0000-0200-000004180000}"/>
    <hyperlink ref="A2403" r:id="rId6150" xr:uid="{00000000-0004-0000-0200-000005180000}"/>
    <hyperlink ref="C2403" r:id="rId6151" xr:uid="{00000000-0004-0000-0200-000006180000}"/>
    <hyperlink ref="A2404" r:id="rId6152" xr:uid="{00000000-0004-0000-0200-000007180000}"/>
    <hyperlink ref="C2404" r:id="rId6153" xr:uid="{00000000-0004-0000-0200-000008180000}"/>
    <hyperlink ref="A2405" r:id="rId6154" xr:uid="{00000000-0004-0000-0200-000009180000}"/>
    <hyperlink ref="C2405" r:id="rId6155" xr:uid="{00000000-0004-0000-0200-00000A180000}"/>
    <hyperlink ref="A2406" r:id="rId6156" xr:uid="{00000000-0004-0000-0200-00000B180000}"/>
    <hyperlink ref="C2406" r:id="rId6157" xr:uid="{00000000-0004-0000-0200-00000C180000}"/>
    <hyperlink ref="A2407" r:id="rId6158" xr:uid="{00000000-0004-0000-0200-00000D180000}"/>
    <hyperlink ref="C2407" r:id="rId6159" xr:uid="{00000000-0004-0000-0200-00000E180000}"/>
    <hyperlink ref="A2408" r:id="rId6160" xr:uid="{00000000-0004-0000-0200-00000F180000}"/>
    <hyperlink ref="C2408" r:id="rId6161" xr:uid="{00000000-0004-0000-0200-000010180000}"/>
    <hyperlink ref="A2409" r:id="rId6162" xr:uid="{00000000-0004-0000-0200-000011180000}"/>
    <hyperlink ref="C2409" r:id="rId6163" xr:uid="{00000000-0004-0000-0200-000012180000}"/>
    <hyperlink ref="A2410" r:id="rId6164" xr:uid="{00000000-0004-0000-0200-000013180000}"/>
    <hyperlink ref="C2410" r:id="rId6165" xr:uid="{00000000-0004-0000-0200-000014180000}"/>
    <hyperlink ref="A2411" r:id="rId6166" xr:uid="{00000000-0004-0000-0200-000015180000}"/>
    <hyperlink ref="C2411" r:id="rId6167" xr:uid="{00000000-0004-0000-0200-000016180000}"/>
    <hyperlink ref="A2412" r:id="rId6168" xr:uid="{00000000-0004-0000-0200-000017180000}"/>
    <hyperlink ref="C2412" r:id="rId6169" xr:uid="{00000000-0004-0000-0200-000018180000}"/>
    <hyperlink ref="A2413" r:id="rId6170" xr:uid="{00000000-0004-0000-0200-000019180000}"/>
    <hyperlink ref="C2413" r:id="rId6171" xr:uid="{00000000-0004-0000-0200-00001A180000}"/>
    <hyperlink ref="A2414" r:id="rId6172" xr:uid="{00000000-0004-0000-0200-00001B180000}"/>
    <hyperlink ref="C2414" r:id="rId6173" xr:uid="{00000000-0004-0000-0200-00001C180000}"/>
    <hyperlink ref="A2415" r:id="rId6174" xr:uid="{00000000-0004-0000-0200-00001D180000}"/>
    <hyperlink ref="C2415" r:id="rId6175" xr:uid="{00000000-0004-0000-0200-00001E180000}"/>
    <hyperlink ref="A2416" r:id="rId6176" xr:uid="{00000000-0004-0000-0200-00001F180000}"/>
    <hyperlink ref="C2416" r:id="rId6177" xr:uid="{00000000-0004-0000-0200-000020180000}"/>
    <hyperlink ref="A2417" r:id="rId6178" xr:uid="{00000000-0004-0000-0200-000021180000}"/>
    <hyperlink ref="C2417" r:id="rId6179" xr:uid="{00000000-0004-0000-0200-000022180000}"/>
    <hyperlink ref="A2418" r:id="rId6180" xr:uid="{00000000-0004-0000-0200-000023180000}"/>
    <hyperlink ref="C2418" r:id="rId6181" xr:uid="{00000000-0004-0000-0200-000024180000}"/>
    <hyperlink ref="A2419" r:id="rId6182" xr:uid="{00000000-0004-0000-0200-000025180000}"/>
    <hyperlink ref="C2419" r:id="rId6183" xr:uid="{00000000-0004-0000-0200-000026180000}"/>
    <hyperlink ref="A2420" r:id="rId6184" xr:uid="{00000000-0004-0000-0200-000027180000}"/>
    <hyperlink ref="C2420" r:id="rId6185" xr:uid="{00000000-0004-0000-0200-000028180000}"/>
    <hyperlink ref="A2421" r:id="rId6186" xr:uid="{00000000-0004-0000-0200-000029180000}"/>
    <hyperlink ref="C2421" r:id="rId6187" xr:uid="{00000000-0004-0000-0200-00002A180000}"/>
    <hyperlink ref="A2422" r:id="rId6188" xr:uid="{00000000-0004-0000-0200-00002B180000}"/>
    <hyperlink ref="C2422" r:id="rId6189" xr:uid="{00000000-0004-0000-0200-00002C180000}"/>
    <hyperlink ref="A2423" r:id="rId6190" xr:uid="{00000000-0004-0000-0200-00002D180000}"/>
    <hyperlink ref="C2423" r:id="rId6191" xr:uid="{00000000-0004-0000-0200-00002E180000}"/>
    <hyperlink ref="A2424" r:id="rId6192" xr:uid="{00000000-0004-0000-0200-00002F180000}"/>
    <hyperlink ref="C2424" r:id="rId6193" xr:uid="{00000000-0004-0000-0200-000030180000}"/>
    <hyperlink ref="A2425" r:id="rId6194" xr:uid="{00000000-0004-0000-0200-000031180000}"/>
    <hyperlink ref="C2425" r:id="rId6195" xr:uid="{00000000-0004-0000-0200-000032180000}"/>
    <hyperlink ref="A2426" r:id="rId6196" xr:uid="{00000000-0004-0000-0200-000033180000}"/>
    <hyperlink ref="C2426" r:id="rId6197" xr:uid="{00000000-0004-0000-0200-000034180000}"/>
    <hyperlink ref="A2427" r:id="rId6198" xr:uid="{00000000-0004-0000-0200-000035180000}"/>
    <hyperlink ref="C2427" r:id="rId6199" xr:uid="{00000000-0004-0000-0200-000036180000}"/>
    <hyperlink ref="A2428" r:id="rId6200" xr:uid="{00000000-0004-0000-0200-000037180000}"/>
    <hyperlink ref="C2428" r:id="rId6201" xr:uid="{00000000-0004-0000-0200-000038180000}"/>
    <hyperlink ref="A2429" r:id="rId6202" xr:uid="{00000000-0004-0000-0200-000039180000}"/>
    <hyperlink ref="C2429" r:id="rId6203" xr:uid="{00000000-0004-0000-0200-00003A180000}"/>
    <hyperlink ref="A2430" r:id="rId6204" xr:uid="{00000000-0004-0000-0200-00003B180000}"/>
    <hyperlink ref="C2430" r:id="rId6205" xr:uid="{00000000-0004-0000-0200-00003C180000}"/>
    <hyperlink ref="A2431" r:id="rId6206" xr:uid="{00000000-0004-0000-0200-00003D180000}"/>
    <hyperlink ref="C2431" r:id="rId6207" xr:uid="{00000000-0004-0000-0200-00003E180000}"/>
    <hyperlink ref="A2432" r:id="rId6208" xr:uid="{00000000-0004-0000-0200-00003F180000}"/>
    <hyperlink ref="C2432" r:id="rId6209" xr:uid="{00000000-0004-0000-0200-000040180000}"/>
    <hyperlink ref="A2433" r:id="rId6210" xr:uid="{00000000-0004-0000-0200-000041180000}"/>
    <hyperlink ref="C2433" r:id="rId6211" xr:uid="{00000000-0004-0000-0200-000042180000}"/>
    <hyperlink ref="A2434" r:id="rId6212" xr:uid="{00000000-0004-0000-0200-000043180000}"/>
    <hyperlink ref="C2434" r:id="rId6213" xr:uid="{00000000-0004-0000-0200-000044180000}"/>
    <hyperlink ref="A2435" r:id="rId6214" xr:uid="{00000000-0004-0000-0200-000045180000}"/>
    <hyperlink ref="C2435" r:id="rId6215" xr:uid="{00000000-0004-0000-0200-000046180000}"/>
    <hyperlink ref="A2436" r:id="rId6216" xr:uid="{00000000-0004-0000-0200-000047180000}"/>
    <hyperlink ref="C2436" r:id="rId6217" xr:uid="{00000000-0004-0000-0200-000048180000}"/>
    <hyperlink ref="A2437" r:id="rId6218" xr:uid="{00000000-0004-0000-0200-000049180000}"/>
    <hyperlink ref="C2437" r:id="rId6219" xr:uid="{00000000-0004-0000-0200-00004A180000}"/>
    <hyperlink ref="A2438" r:id="rId6220" xr:uid="{00000000-0004-0000-0200-00004B180000}"/>
    <hyperlink ref="C2438" r:id="rId6221" xr:uid="{00000000-0004-0000-0200-00004C180000}"/>
    <hyperlink ref="A2439" r:id="rId6222" xr:uid="{00000000-0004-0000-0200-00004D180000}"/>
    <hyperlink ref="C2439" r:id="rId6223" xr:uid="{00000000-0004-0000-0200-00004E180000}"/>
    <hyperlink ref="A2440" r:id="rId6224" xr:uid="{00000000-0004-0000-0200-00004F180000}"/>
    <hyperlink ref="C2440" r:id="rId6225" xr:uid="{00000000-0004-0000-0200-000050180000}"/>
    <hyperlink ref="A2441" r:id="rId6226" xr:uid="{00000000-0004-0000-0200-000051180000}"/>
    <hyperlink ref="C2441" r:id="rId6227" xr:uid="{00000000-0004-0000-0200-000052180000}"/>
    <hyperlink ref="A2442" r:id="rId6228" xr:uid="{00000000-0004-0000-0200-000053180000}"/>
    <hyperlink ref="C2442" r:id="rId6229" xr:uid="{00000000-0004-0000-0200-000054180000}"/>
    <hyperlink ref="A2443" r:id="rId6230" xr:uid="{00000000-0004-0000-0200-000055180000}"/>
    <hyperlink ref="C2443" r:id="rId6231" xr:uid="{00000000-0004-0000-0200-000056180000}"/>
    <hyperlink ref="A2444" r:id="rId6232" xr:uid="{00000000-0004-0000-0200-000057180000}"/>
    <hyperlink ref="C2444" r:id="rId6233" xr:uid="{00000000-0004-0000-0200-000058180000}"/>
    <hyperlink ref="A2445" r:id="rId6234" xr:uid="{00000000-0004-0000-0200-000059180000}"/>
    <hyperlink ref="C2445" r:id="rId6235" xr:uid="{00000000-0004-0000-0200-00005A180000}"/>
    <hyperlink ref="A2446" r:id="rId6236" xr:uid="{00000000-0004-0000-0200-00005B180000}"/>
    <hyperlink ref="C2446" r:id="rId6237" xr:uid="{00000000-0004-0000-0200-00005C180000}"/>
    <hyperlink ref="A2447" r:id="rId6238" xr:uid="{00000000-0004-0000-0200-00005D180000}"/>
    <hyperlink ref="C2447" r:id="rId6239" xr:uid="{00000000-0004-0000-0200-00005E180000}"/>
    <hyperlink ref="A2448" r:id="rId6240" xr:uid="{00000000-0004-0000-0200-00005F180000}"/>
    <hyperlink ref="C2448" r:id="rId6241" xr:uid="{00000000-0004-0000-0200-000060180000}"/>
    <hyperlink ref="A2449" r:id="rId6242" xr:uid="{00000000-0004-0000-0200-000061180000}"/>
    <hyperlink ref="C2449" r:id="rId6243" xr:uid="{00000000-0004-0000-0200-000062180000}"/>
    <hyperlink ref="A2450" r:id="rId6244" xr:uid="{00000000-0004-0000-0200-000063180000}"/>
    <hyperlink ref="C2450" r:id="rId6245" xr:uid="{00000000-0004-0000-0200-000064180000}"/>
    <hyperlink ref="A2451" r:id="rId6246" xr:uid="{00000000-0004-0000-0200-000065180000}"/>
    <hyperlink ref="C2451" r:id="rId6247" xr:uid="{00000000-0004-0000-0200-000066180000}"/>
    <hyperlink ref="A2452" r:id="rId6248" xr:uid="{00000000-0004-0000-0200-000067180000}"/>
    <hyperlink ref="C2452" r:id="rId6249" xr:uid="{00000000-0004-0000-0200-000068180000}"/>
    <hyperlink ref="A2453" r:id="rId6250" xr:uid="{00000000-0004-0000-0200-000069180000}"/>
    <hyperlink ref="C2453" r:id="rId6251" xr:uid="{00000000-0004-0000-0200-00006A180000}"/>
    <hyperlink ref="A2454" r:id="rId6252" xr:uid="{00000000-0004-0000-0200-00006B180000}"/>
    <hyperlink ref="C2454" r:id="rId6253" xr:uid="{00000000-0004-0000-0200-00006C180000}"/>
    <hyperlink ref="A2455" r:id="rId6254" xr:uid="{00000000-0004-0000-0200-00006D180000}"/>
    <hyperlink ref="C2455" r:id="rId6255" xr:uid="{00000000-0004-0000-0200-00006E180000}"/>
    <hyperlink ref="A2456" r:id="rId6256" xr:uid="{00000000-0004-0000-0200-00006F180000}"/>
    <hyperlink ref="C2456" r:id="rId6257" xr:uid="{00000000-0004-0000-0200-000070180000}"/>
    <hyperlink ref="A2457" r:id="rId6258" xr:uid="{00000000-0004-0000-0200-000071180000}"/>
    <hyperlink ref="C2457" r:id="rId6259" xr:uid="{00000000-0004-0000-0200-000072180000}"/>
    <hyperlink ref="A2458" r:id="rId6260" xr:uid="{00000000-0004-0000-0200-000073180000}"/>
    <hyperlink ref="C2458" r:id="rId6261" xr:uid="{00000000-0004-0000-0200-000074180000}"/>
    <hyperlink ref="A2459" r:id="rId6262" xr:uid="{00000000-0004-0000-0200-000075180000}"/>
    <hyperlink ref="C2459" r:id="rId6263" xr:uid="{00000000-0004-0000-0200-000076180000}"/>
    <hyperlink ref="A2460" r:id="rId6264" xr:uid="{00000000-0004-0000-0200-000077180000}"/>
    <hyperlink ref="C2460" r:id="rId6265" xr:uid="{00000000-0004-0000-0200-000078180000}"/>
    <hyperlink ref="A2461" r:id="rId6266" xr:uid="{00000000-0004-0000-0200-000079180000}"/>
    <hyperlink ref="C2461" r:id="rId6267" xr:uid="{00000000-0004-0000-0200-00007A180000}"/>
    <hyperlink ref="A2462" r:id="rId6268" xr:uid="{00000000-0004-0000-0200-00007B180000}"/>
    <hyperlink ref="C2462" r:id="rId6269" xr:uid="{00000000-0004-0000-0200-00007C180000}"/>
    <hyperlink ref="A2463" r:id="rId6270" xr:uid="{00000000-0004-0000-0200-00007D180000}"/>
    <hyperlink ref="C2463" r:id="rId6271" xr:uid="{00000000-0004-0000-0200-00007E180000}"/>
    <hyperlink ref="A2464" r:id="rId6272" xr:uid="{00000000-0004-0000-0200-00007F180000}"/>
    <hyperlink ref="C2464" r:id="rId6273" xr:uid="{00000000-0004-0000-0200-000080180000}"/>
    <hyperlink ref="A2465" r:id="rId6274" xr:uid="{00000000-0004-0000-0200-000081180000}"/>
    <hyperlink ref="C2465" r:id="rId6275" xr:uid="{00000000-0004-0000-0200-000082180000}"/>
    <hyperlink ref="A2466" r:id="rId6276" xr:uid="{00000000-0004-0000-0200-000083180000}"/>
    <hyperlink ref="C2466" r:id="rId6277" xr:uid="{00000000-0004-0000-0200-000084180000}"/>
    <hyperlink ref="A2467" r:id="rId6278" xr:uid="{00000000-0004-0000-0200-000085180000}"/>
    <hyperlink ref="C2467" r:id="rId6279" xr:uid="{00000000-0004-0000-0200-000086180000}"/>
    <hyperlink ref="A2468" r:id="rId6280" xr:uid="{00000000-0004-0000-0200-000087180000}"/>
    <hyperlink ref="C2468" r:id="rId6281" xr:uid="{00000000-0004-0000-0200-000088180000}"/>
    <hyperlink ref="A2469" r:id="rId6282" xr:uid="{00000000-0004-0000-0200-000089180000}"/>
    <hyperlink ref="C2469" r:id="rId6283" xr:uid="{00000000-0004-0000-0200-00008A180000}"/>
    <hyperlink ref="A2470" r:id="rId6284" xr:uid="{00000000-0004-0000-0200-00008B180000}"/>
    <hyperlink ref="C2470" r:id="rId6285" xr:uid="{00000000-0004-0000-0200-00008C180000}"/>
    <hyperlink ref="A2471" r:id="rId6286" xr:uid="{00000000-0004-0000-0200-00008D180000}"/>
    <hyperlink ref="C2471" r:id="rId6287" xr:uid="{00000000-0004-0000-0200-00008E180000}"/>
    <hyperlink ref="A2472" r:id="rId6288" xr:uid="{00000000-0004-0000-0200-00008F180000}"/>
    <hyperlink ref="C2472" r:id="rId6289" xr:uid="{00000000-0004-0000-0200-000090180000}"/>
    <hyperlink ref="A2473" r:id="rId6290" xr:uid="{00000000-0004-0000-0200-000091180000}"/>
    <hyperlink ref="C2473" r:id="rId6291" xr:uid="{00000000-0004-0000-0200-000092180000}"/>
    <hyperlink ref="A2474" r:id="rId6292" xr:uid="{00000000-0004-0000-0200-000093180000}"/>
    <hyperlink ref="C2474" r:id="rId6293" xr:uid="{00000000-0004-0000-0200-000094180000}"/>
    <hyperlink ref="A2475" r:id="rId6294" xr:uid="{00000000-0004-0000-0200-000095180000}"/>
    <hyperlink ref="C2475" r:id="rId6295" xr:uid="{00000000-0004-0000-0200-000096180000}"/>
    <hyperlink ref="A2476" r:id="rId6296" xr:uid="{00000000-0004-0000-0200-000097180000}"/>
    <hyperlink ref="C2476" r:id="rId6297" xr:uid="{00000000-0004-0000-0200-000098180000}"/>
    <hyperlink ref="A2477" r:id="rId6298" xr:uid="{00000000-0004-0000-0200-000099180000}"/>
    <hyperlink ref="C2477" r:id="rId6299" xr:uid="{00000000-0004-0000-0200-00009A180000}"/>
    <hyperlink ref="A2478" r:id="rId6300" xr:uid="{00000000-0004-0000-0200-00009B180000}"/>
    <hyperlink ref="C2478" r:id="rId6301" xr:uid="{00000000-0004-0000-0200-00009C180000}"/>
    <hyperlink ref="A2479" r:id="rId6302" xr:uid="{00000000-0004-0000-0200-00009D180000}"/>
    <hyperlink ref="C2479" r:id="rId6303" xr:uid="{00000000-0004-0000-0200-00009E180000}"/>
    <hyperlink ref="A2480" r:id="rId6304" xr:uid="{00000000-0004-0000-0200-00009F180000}"/>
    <hyperlink ref="C2480" r:id="rId6305" xr:uid="{00000000-0004-0000-0200-0000A0180000}"/>
    <hyperlink ref="A2481" r:id="rId6306" xr:uid="{00000000-0004-0000-0200-0000A1180000}"/>
    <hyperlink ref="C2481" r:id="rId6307" xr:uid="{00000000-0004-0000-0200-0000A2180000}"/>
    <hyperlink ref="A2482" r:id="rId6308" xr:uid="{00000000-0004-0000-0200-0000A3180000}"/>
    <hyperlink ref="C2482" r:id="rId6309" xr:uid="{00000000-0004-0000-0200-0000A4180000}"/>
    <hyperlink ref="A2483" r:id="rId6310" xr:uid="{00000000-0004-0000-0200-0000A5180000}"/>
    <hyperlink ref="C2483" r:id="rId6311" xr:uid="{00000000-0004-0000-0200-0000A6180000}"/>
    <hyperlink ref="A2484" r:id="rId6312" xr:uid="{00000000-0004-0000-0200-0000A7180000}"/>
    <hyperlink ref="C2484" r:id="rId6313" xr:uid="{00000000-0004-0000-0200-0000A8180000}"/>
    <hyperlink ref="A2485" r:id="rId6314" xr:uid="{00000000-0004-0000-0200-0000A9180000}"/>
    <hyperlink ref="C2485" r:id="rId6315" xr:uid="{00000000-0004-0000-0200-0000AA180000}"/>
    <hyperlink ref="A2486" r:id="rId6316" xr:uid="{00000000-0004-0000-0200-0000AB180000}"/>
    <hyperlink ref="C2486" r:id="rId6317" xr:uid="{00000000-0004-0000-0200-0000AC180000}"/>
    <hyperlink ref="A2487" r:id="rId6318" xr:uid="{00000000-0004-0000-0200-0000AD180000}"/>
    <hyperlink ref="C2487" r:id="rId6319" xr:uid="{00000000-0004-0000-0200-0000AE180000}"/>
    <hyperlink ref="A2488" r:id="rId6320" xr:uid="{00000000-0004-0000-0200-0000AF180000}"/>
    <hyperlink ref="C2488" r:id="rId6321" xr:uid="{00000000-0004-0000-0200-0000B0180000}"/>
    <hyperlink ref="A2489" r:id="rId6322" xr:uid="{00000000-0004-0000-0200-0000B1180000}"/>
    <hyperlink ref="C2489" r:id="rId6323" xr:uid="{00000000-0004-0000-0200-0000B2180000}"/>
    <hyperlink ref="A2490" r:id="rId6324" xr:uid="{00000000-0004-0000-0200-0000B3180000}"/>
    <hyperlink ref="C2490" r:id="rId6325" xr:uid="{00000000-0004-0000-0200-0000B4180000}"/>
    <hyperlink ref="A2491" r:id="rId6326" xr:uid="{00000000-0004-0000-0200-0000B5180000}"/>
    <hyperlink ref="C2491" r:id="rId6327" xr:uid="{00000000-0004-0000-0200-0000B6180000}"/>
    <hyperlink ref="A2492" r:id="rId6328" xr:uid="{00000000-0004-0000-0200-0000B7180000}"/>
    <hyperlink ref="C2492" r:id="rId6329" xr:uid="{00000000-0004-0000-0200-0000B8180000}"/>
    <hyperlink ref="A2493" r:id="rId6330" xr:uid="{00000000-0004-0000-0200-0000B9180000}"/>
    <hyperlink ref="C2493" r:id="rId6331" xr:uid="{00000000-0004-0000-0200-0000BA180000}"/>
    <hyperlink ref="A2494" r:id="rId6332" xr:uid="{00000000-0004-0000-0200-0000BB180000}"/>
    <hyperlink ref="C2494" r:id="rId6333" xr:uid="{00000000-0004-0000-0200-0000BC180000}"/>
    <hyperlink ref="A2495" r:id="rId6334" xr:uid="{00000000-0004-0000-0200-0000BD180000}"/>
    <hyperlink ref="C2495" r:id="rId6335" xr:uid="{00000000-0004-0000-0200-0000BE180000}"/>
    <hyperlink ref="A2496" r:id="rId6336" xr:uid="{00000000-0004-0000-0200-0000BF180000}"/>
    <hyperlink ref="C2496" r:id="rId6337" xr:uid="{00000000-0004-0000-0200-0000C0180000}"/>
    <hyperlink ref="A2497" r:id="rId6338" xr:uid="{00000000-0004-0000-0200-0000C1180000}"/>
    <hyperlink ref="C2497" r:id="rId6339" xr:uid="{00000000-0004-0000-0200-0000C2180000}"/>
    <hyperlink ref="A2498" r:id="rId6340" xr:uid="{00000000-0004-0000-0200-0000C3180000}"/>
    <hyperlink ref="C2498" r:id="rId6341" xr:uid="{00000000-0004-0000-0200-0000C4180000}"/>
    <hyperlink ref="A2499" r:id="rId6342" xr:uid="{00000000-0004-0000-0200-0000C5180000}"/>
    <hyperlink ref="C2499" r:id="rId6343" xr:uid="{00000000-0004-0000-0200-0000C6180000}"/>
    <hyperlink ref="A2500" r:id="rId6344" xr:uid="{00000000-0004-0000-0200-0000C7180000}"/>
    <hyperlink ref="C2500" r:id="rId6345" xr:uid="{00000000-0004-0000-0200-0000C8180000}"/>
    <hyperlink ref="A2501" r:id="rId6346" xr:uid="{00000000-0004-0000-0200-0000C9180000}"/>
    <hyperlink ref="C2501" r:id="rId6347" xr:uid="{00000000-0004-0000-0200-0000CA180000}"/>
    <hyperlink ref="A2502" r:id="rId6348" xr:uid="{00000000-0004-0000-0200-0000CB180000}"/>
    <hyperlink ref="C2502" r:id="rId6349" xr:uid="{00000000-0004-0000-0200-0000CC180000}"/>
    <hyperlink ref="A2503" r:id="rId6350" xr:uid="{00000000-0004-0000-0200-0000CD180000}"/>
    <hyperlink ref="C2503" r:id="rId6351" xr:uid="{00000000-0004-0000-0200-0000CE180000}"/>
    <hyperlink ref="A2504" r:id="rId6352" xr:uid="{00000000-0004-0000-0200-0000CF180000}"/>
    <hyperlink ref="C2504" r:id="rId6353" xr:uid="{00000000-0004-0000-0200-0000D0180000}"/>
    <hyperlink ref="A2505" r:id="rId6354" xr:uid="{00000000-0004-0000-0200-0000D1180000}"/>
    <hyperlink ref="C2505" r:id="rId6355" xr:uid="{00000000-0004-0000-0200-0000D2180000}"/>
    <hyperlink ref="A2506" r:id="rId6356" xr:uid="{00000000-0004-0000-0200-0000D3180000}"/>
    <hyperlink ref="C2506" r:id="rId6357" xr:uid="{00000000-0004-0000-0200-0000D4180000}"/>
    <hyperlink ref="A2507" r:id="rId6358" xr:uid="{00000000-0004-0000-0200-0000D5180000}"/>
    <hyperlink ref="C2507" r:id="rId6359" xr:uid="{00000000-0004-0000-0200-0000D6180000}"/>
    <hyperlink ref="A2508" r:id="rId6360" xr:uid="{00000000-0004-0000-0200-0000D7180000}"/>
    <hyperlink ref="C2508" r:id="rId6361" xr:uid="{00000000-0004-0000-0200-0000D8180000}"/>
    <hyperlink ref="A2509" r:id="rId6362" xr:uid="{00000000-0004-0000-0200-0000D9180000}"/>
    <hyperlink ref="C2509" r:id="rId6363" xr:uid="{00000000-0004-0000-0200-0000DA180000}"/>
    <hyperlink ref="A2510" r:id="rId6364" xr:uid="{00000000-0004-0000-0200-0000DB180000}"/>
    <hyperlink ref="C2510" r:id="rId6365" xr:uid="{00000000-0004-0000-0200-0000DC180000}"/>
    <hyperlink ref="A2511" r:id="rId6366" xr:uid="{00000000-0004-0000-0200-0000DD180000}"/>
    <hyperlink ref="C2511" r:id="rId6367" xr:uid="{00000000-0004-0000-0200-0000DE180000}"/>
    <hyperlink ref="A2512" r:id="rId6368" xr:uid="{00000000-0004-0000-0200-0000DF180000}"/>
    <hyperlink ref="C2512" r:id="rId6369" xr:uid="{00000000-0004-0000-0200-0000E0180000}"/>
    <hyperlink ref="A2513" r:id="rId6370" xr:uid="{00000000-0004-0000-0200-0000E1180000}"/>
    <hyperlink ref="C2513" r:id="rId6371" xr:uid="{00000000-0004-0000-0200-0000E2180000}"/>
    <hyperlink ref="A2514" r:id="rId6372" xr:uid="{00000000-0004-0000-0200-0000E3180000}"/>
    <hyperlink ref="C2514" r:id="rId6373" xr:uid="{00000000-0004-0000-0200-0000E4180000}"/>
    <hyperlink ref="A2515" r:id="rId6374" xr:uid="{00000000-0004-0000-0200-0000E5180000}"/>
    <hyperlink ref="C2515" r:id="rId6375" xr:uid="{00000000-0004-0000-0200-0000E6180000}"/>
    <hyperlink ref="A2516" r:id="rId6376" xr:uid="{00000000-0004-0000-0200-0000E7180000}"/>
    <hyperlink ref="C2516" r:id="rId6377" xr:uid="{00000000-0004-0000-0200-0000E8180000}"/>
    <hyperlink ref="A2517" r:id="rId6378" xr:uid="{00000000-0004-0000-0200-0000E9180000}"/>
    <hyperlink ref="C2517" r:id="rId6379" xr:uid="{00000000-0004-0000-0200-0000EA180000}"/>
    <hyperlink ref="A2518" r:id="rId6380" xr:uid="{00000000-0004-0000-0200-0000EB180000}"/>
    <hyperlink ref="C2518" r:id="rId6381" xr:uid="{00000000-0004-0000-0200-0000EC180000}"/>
    <hyperlink ref="A2519" r:id="rId6382" xr:uid="{00000000-0004-0000-0200-0000ED180000}"/>
    <hyperlink ref="C2519" r:id="rId6383" xr:uid="{00000000-0004-0000-0200-0000EE180000}"/>
    <hyperlink ref="A2520" r:id="rId6384" xr:uid="{00000000-0004-0000-0200-0000EF180000}"/>
    <hyperlink ref="C2520" r:id="rId6385" xr:uid="{00000000-0004-0000-0200-0000F0180000}"/>
    <hyperlink ref="A2521" r:id="rId6386" xr:uid="{00000000-0004-0000-0200-0000F1180000}"/>
    <hyperlink ref="C2521" r:id="rId6387" xr:uid="{00000000-0004-0000-0200-0000F2180000}"/>
    <hyperlink ref="A2522" r:id="rId6388" xr:uid="{00000000-0004-0000-0200-0000F3180000}"/>
    <hyperlink ref="C2522" r:id="rId6389" xr:uid="{00000000-0004-0000-0200-0000F4180000}"/>
    <hyperlink ref="A2523" r:id="rId6390" xr:uid="{00000000-0004-0000-0200-0000F5180000}"/>
    <hyperlink ref="C2523" r:id="rId6391" xr:uid="{00000000-0004-0000-0200-0000F6180000}"/>
    <hyperlink ref="A2524" r:id="rId6392" xr:uid="{00000000-0004-0000-0200-0000F7180000}"/>
    <hyperlink ref="C2524" r:id="rId6393" xr:uid="{00000000-0004-0000-0200-0000F8180000}"/>
    <hyperlink ref="A2525" r:id="rId6394" xr:uid="{00000000-0004-0000-0200-0000F9180000}"/>
    <hyperlink ref="C2525" r:id="rId6395" xr:uid="{00000000-0004-0000-0200-0000FA180000}"/>
    <hyperlink ref="A2526" r:id="rId6396" xr:uid="{00000000-0004-0000-0200-0000FB180000}"/>
    <hyperlink ref="C2526" r:id="rId6397" location="understanding-amone%E2%80%99s-business-model" xr:uid="{00000000-0004-0000-0200-0000FC180000}"/>
    <hyperlink ref="A2527" r:id="rId6398" xr:uid="{00000000-0004-0000-0200-0000FD180000}"/>
    <hyperlink ref="C2527" r:id="rId6399" xr:uid="{00000000-0004-0000-0200-0000FE180000}"/>
    <hyperlink ref="A2528" r:id="rId6400" xr:uid="{00000000-0004-0000-0200-0000FF180000}"/>
    <hyperlink ref="C2528" r:id="rId6401" xr:uid="{00000000-0004-0000-0200-000000190000}"/>
    <hyperlink ref="A2529" r:id="rId6402" xr:uid="{00000000-0004-0000-0200-000001190000}"/>
    <hyperlink ref="C2529" r:id="rId6403" xr:uid="{00000000-0004-0000-0200-000002190000}"/>
    <hyperlink ref="A2530" r:id="rId6404" xr:uid="{00000000-0004-0000-0200-000003190000}"/>
    <hyperlink ref="C2530" r:id="rId6405" xr:uid="{00000000-0004-0000-0200-000004190000}"/>
    <hyperlink ref="A2531" r:id="rId6406" xr:uid="{00000000-0004-0000-0200-000005190000}"/>
    <hyperlink ref="C2531" r:id="rId6407" xr:uid="{00000000-0004-0000-0200-000006190000}"/>
    <hyperlink ref="A2532" r:id="rId6408" xr:uid="{00000000-0004-0000-0200-000007190000}"/>
    <hyperlink ref="C2532" r:id="rId6409" xr:uid="{00000000-0004-0000-0200-000008190000}"/>
    <hyperlink ref="A2533" r:id="rId6410" xr:uid="{00000000-0004-0000-0200-000009190000}"/>
    <hyperlink ref="C2533" r:id="rId6411" xr:uid="{00000000-0004-0000-0200-00000A190000}"/>
    <hyperlink ref="A2534" r:id="rId6412" xr:uid="{00000000-0004-0000-0200-00000B190000}"/>
    <hyperlink ref="C2534" r:id="rId6413" xr:uid="{00000000-0004-0000-0200-00000C190000}"/>
    <hyperlink ref="A2535" r:id="rId6414" xr:uid="{00000000-0004-0000-0200-00000D190000}"/>
    <hyperlink ref="C2535" r:id="rId6415" xr:uid="{00000000-0004-0000-0200-00000E190000}"/>
    <hyperlink ref="A2536" r:id="rId6416" xr:uid="{00000000-0004-0000-0200-00000F190000}"/>
    <hyperlink ref="C2536" r:id="rId6417" xr:uid="{00000000-0004-0000-0200-000010190000}"/>
    <hyperlink ref="A2537" r:id="rId6418" xr:uid="{00000000-0004-0000-0200-000011190000}"/>
    <hyperlink ref="B2537" r:id="rId6419" xr:uid="{00000000-0004-0000-0200-000012190000}"/>
    <hyperlink ref="C2537" r:id="rId6420" xr:uid="{00000000-0004-0000-0200-000013190000}"/>
    <hyperlink ref="A2538" r:id="rId6421" xr:uid="{00000000-0004-0000-0200-000014190000}"/>
    <hyperlink ref="B2538" r:id="rId6422" xr:uid="{00000000-0004-0000-0200-000015190000}"/>
    <hyperlink ref="C2538" r:id="rId6423" xr:uid="{00000000-0004-0000-0200-000016190000}"/>
    <hyperlink ref="A2539" r:id="rId6424" xr:uid="{00000000-0004-0000-0200-000017190000}"/>
    <hyperlink ref="B2539" r:id="rId6425" xr:uid="{00000000-0004-0000-0200-000018190000}"/>
    <hyperlink ref="C2539" r:id="rId6426" xr:uid="{00000000-0004-0000-0200-000019190000}"/>
    <hyperlink ref="A2540" r:id="rId6427" xr:uid="{00000000-0004-0000-0200-00001A190000}"/>
    <hyperlink ref="B2540" r:id="rId6428" xr:uid="{00000000-0004-0000-0200-00001B190000}"/>
    <hyperlink ref="C2540" r:id="rId6429" xr:uid="{00000000-0004-0000-0200-00001C190000}"/>
    <hyperlink ref="A2541" r:id="rId6430" xr:uid="{00000000-0004-0000-0200-00001D190000}"/>
    <hyperlink ref="B2541" r:id="rId6431" xr:uid="{00000000-0004-0000-0200-00001E190000}"/>
    <hyperlink ref="C2541" r:id="rId6432" xr:uid="{00000000-0004-0000-0200-00001F190000}"/>
    <hyperlink ref="A2542" r:id="rId6433" xr:uid="{00000000-0004-0000-0200-000020190000}"/>
    <hyperlink ref="B2542" r:id="rId6434" xr:uid="{00000000-0004-0000-0200-000021190000}"/>
    <hyperlink ref="C2542" r:id="rId6435" xr:uid="{00000000-0004-0000-0200-000022190000}"/>
    <hyperlink ref="A2543" r:id="rId6436" xr:uid="{00000000-0004-0000-0200-000023190000}"/>
    <hyperlink ref="B2543" r:id="rId6437" xr:uid="{00000000-0004-0000-0200-000024190000}"/>
    <hyperlink ref="C2543" r:id="rId6438" xr:uid="{00000000-0004-0000-0200-000025190000}"/>
    <hyperlink ref="A2544" r:id="rId6439" xr:uid="{00000000-0004-0000-0200-000026190000}"/>
    <hyperlink ref="B2544" r:id="rId6440" xr:uid="{00000000-0004-0000-0200-000027190000}"/>
    <hyperlink ref="C2544" r:id="rId6441" xr:uid="{00000000-0004-0000-0200-000028190000}"/>
    <hyperlink ref="A2545" r:id="rId6442" xr:uid="{00000000-0004-0000-0200-000029190000}"/>
    <hyperlink ref="B2545" r:id="rId6443" xr:uid="{00000000-0004-0000-0200-00002A190000}"/>
    <hyperlink ref="C2545" r:id="rId6444" xr:uid="{00000000-0004-0000-0200-00002B190000}"/>
    <hyperlink ref="A2546" r:id="rId6445" xr:uid="{00000000-0004-0000-0200-00002C190000}"/>
    <hyperlink ref="B2546" r:id="rId6446" xr:uid="{00000000-0004-0000-0200-00002D190000}"/>
    <hyperlink ref="C2546" r:id="rId6447" xr:uid="{00000000-0004-0000-0200-00002E190000}"/>
    <hyperlink ref="A2547" r:id="rId6448" xr:uid="{00000000-0004-0000-0200-00002F190000}"/>
    <hyperlink ref="B2547" r:id="rId6449" xr:uid="{00000000-0004-0000-0200-000030190000}"/>
    <hyperlink ref="C2547" r:id="rId6450" xr:uid="{00000000-0004-0000-0200-000031190000}"/>
    <hyperlink ref="A2548" r:id="rId6451" xr:uid="{00000000-0004-0000-0200-000032190000}"/>
    <hyperlink ref="B2548" r:id="rId6452" xr:uid="{00000000-0004-0000-0200-000033190000}"/>
    <hyperlink ref="C2548" r:id="rId6453" xr:uid="{00000000-0004-0000-0200-000034190000}"/>
    <hyperlink ref="B2549" r:id="rId6454" xr:uid="{00000000-0004-0000-0200-000035190000}"/>
    <hyperlink ref="C2549" r:id="rId6455" xr:uid="{00000000-0004-0000-0200-000036190000}"/>
    <hyperlink ref="A2550" r:id="rId6456" xr:uid="{00000000-0004-0000-0200-000037190000}"/>
    <hyperlink ref="B2550" r:id="rId6457" xr:uid="{00000000-0004-0000-0200-000038190000}"/>
    <hyperlink ref="C2550" r:id="rId6458" xr:uid="{00000000-0004-0000-0200-000039190000}"/>
    <hyperlink ref="A2551" r:id="rId6459" xr:uid="{00000000-0004-0000-0200-00003A190000}"/>
    <hyperlink ref="B2551" r:id="rId6460" xr:uid="{00000000-0004-0000-0200-00003B190000}"/>
    <hyperlink ref="C2551" r:id="rId6461" xr:uid="{00000000-0004-0000-0200-00003C190000}"/>
    <hyperlink ref="A2552" r:id="rId6462" xr:uid="{00000000-0004-0000-0200-00003D190000}"/>
    <hyperlink ref="B2552" r:id="rId6463" xr:uid="{00000000-0004-0000-0200-00003E190000}"/>
    <hyperlink ref="C2552" r:id="rId6464" xr:uid="{00000000-0004-0000-0200-00003F190000}"/>
    <hyperlink ref="A2553" r:id="rId6465" xr:uid="{00000000-0004-0000-0200-000040190000}"/>
    <hyperlink ref="B2553" r:id="rId6466" xr:uid="{00000000-0004-0000-0200-000041190000}"/>
    <hyperlink ref="C2553" r:id="rId6467" xr:uid="{00000000-0004-0000-0200-000042190000}"/>
    <hyperlink ref="A2554" r:id="rId6468" xr:uid="{00000000-0004-0000-0200-000043190000}"/>
    <hyperlink ref="B2554" r:id="rId6469" xr:uid="{00000000-0004-0000-0200-000044190000}"/>
    <hyperlink ref="C2554" r:id="rId6470" xr:uid="{00000000-0004-0000-0200-000045190000}"/>
    <hyperlink ref="A2555" r:id="rId6471" xr:uid="{00000000-0004-0000-0200-000046190000}"/>
    <hyperlink ref="B2555" r:id="rId6472" xr:uid="{00000000-0004-0000-0200-000047190000}"/>
    <hyperlink ref="C2555" r:id="rId6473" xr:uid="{00000000-0004-0000-0200-000048190000}"/>
    <hyperlink ref="B2556" r:id="rId6474" xr:uid="{00000000-0004-0000-0200-000049190000}"/>
    <hyperlink ref="C2556" r:id="rId6475" xr:uid="{00000000-0004-0000-0200-00004A190000}"/>
    <hyperlink ref="A2557" r:id="rId6476" xr:uid="{00000000-0004-0000-0200-00004B190000}"/>
    <hyperlink ref="B2557" r:id="rId6477" xr:uid="{00000000-0004-0000-0200-00004C190000}"/>
    <hyperlink ref="C2557" r:id="rId6478" xr:uid="{00000000-0004-0000-0200-00004D190000}"/>
    <hyperlink ref="B2558" r:id="rId6479" xr:uid="{00000000-0004-0000-0200-00004E190000}"/>
    <hyperlink ref="C2558" r:id="rId6480" xr:uid="{00000000-0004-0000-0200-00004F190000}"/>
    <hyperlink ref="B2559" r:id="rId6481" xr:uid="{00000000-0004-0000-0200-000050190000}"/>
    <hyperlink ref="C2559" r:id="rId6482" xr:uid="{00000000-0004-0000-0200-000051190000}"/>
    <hyperlink ref="A2560" r:id="rId6483" xr:uid="{00000000-0004-0000-0200-000052190000}"/>
    <hyperlink ref="B2560" r:id="rId6484" xr:uid="{00000000-0004-0000-0200-000053190000}"/>
    <hyperlink ref="C2560" r:id="rId6485" xr:uid="{00000000-0004-0000-0200-000054190000}"/>
    <hyperlink ref="A2561" r:id="rId6486" xr:uid="{00000000-0004-0000-0200-000055190000}"/>
    <hyperlink ref="B2561" r:id="rId6487" xr:uid="{00000000-0004-0000-0200-000056190000}"/>
    <hyperlink ref="C2561" r:id="rId6488" xr:uid="{00000000-0004-0000-0200-000057190000}"/>
    <hyperlink ref="A2562" r:id="rId6489" xr:uid="{00000000-0004-0000-0200-000058190000}"/>
    <hyperlink ref="B2562" r:id="rId6490" xr:uid="{00000000-0004-0000-0200-000059190000}"/>
    <hyperlink ref="C2562" r:id="rId6491" xr:uid="{00000000-0004-0000-0200-00005A190000}"/>
    <hyperlink ref="A2563" r:id="rId6492" xr:uid="{00000000-0004-0000-0200-00005B190000}"/>
    <hyperlink ref="B2563" r:id="rId6493" xr:uid="{00000000-0004-0000-0200-00005C190000}"/>
    <hyperlink ref="C2563" r:id="rId6494" xr:uid="{00000000-0004-0000-0200-00005D190000}"/>
    <hyperlink ref="A2564" r:id="rId6495" xr:uid="{00000000-0004-0000-0200-00005E190000}"/>
    <hyperlink ref="B2564" r:id="rId6496" xr:uid="{00000000-0004-0000-0200-00005F190000}"/>
    <hyperlink ref="C2564" r:id="rId6497" xr:uid="{00000000-0004-0000-0200-000060190000}"/>
    <hyperlink ref="A2565" r:id="rId6498" xr:uid="{00000000-0004-0000-0200-000061190000}"/>
    <hyperlink ref="B2565" r:id="rId6499" xr:uid="{00000000-0004-0000-0200-000062190000}"/>
    <hyperlink ref="C2565" r:id="rId6500" xr:uid="{00000000-0004-0000-0200-000063190000}"/>
    <hyperlink ref="B2566" r:id="rId6501" xr:uid="{00000000-0004-0000-0200-000064190000}"/>
    <hyperlink ref="C2566" r:id="rId6502" xr:uid="{00000000-0004-0000-0200-000065190000}"/>
    <hyperlink ref="A2567" r:id="rId6503" xr:uid="{00000000-0004-0000-0200-000066190000}"/>
    <hyperlink ref="B2567" r:id="rId6504" xr:uid="{00000000-0004-0000-0200-000067190000}"/>
    <hyperlink ref="C2567" r:id="rId6505" xr:uid="{00000000-0004-0000-0200-000068190000}"/>
    <hyperlink ref="B2568" r:id="rId6506" xr:uid="{00000000-0004-0000-0200-000069190000}"/>
    <hyperlink ref="C2568" r:id="rId6507" xr:uid="{00000000-0004-0000-0200-00006A190000}"/>
    <hyperlink ref="A2569" r:id="rId6508" xr:uid="{00000000-0004-0000-0200-00006B190000}"/>
    <hyperlink ref="B2569" r:id="rId6509" xr:uid="{00000000-0004-0000-0200-00006C190000}"/>
    <hyperlink ref="C2569" r:id="rId6510" xr:uid="{00000000-0004-0000-0200-00006D190000}"/>
    <hyperlink ref="A2570" r:id="rId6511" xr:uid="{00000000-0004-0000-0200-00006E190000}"/>
    <hyperlink ref="B2570" r:id="rId6512" xr:uid="{00000000-0004-0000-0200-00006F190000}"/>
    <hyperlink ref="C2570" r:id="rId6513" xr:uid="{00000000-0004-0000-0200-000070190000}"/>
    <hyperlink ref="A2571" r:id="rId6514" xr:uid="{00000000-0004-0000-0200-000071190000}"/>
    <hyperlink ref="B2571" r:id="rId6515" xr:uid="{00000000-0004-0000-0200-000072190000}"/>
    <hyperlink ref="C2571" r:id="rId6516" xr:uid="{00000000-0004-0000-0200-000073190000}"/>
    <hyperlink ref="B2572" r:id="rId6517" xr:uid="{00000000-0004-0000-0200-000074190000}"/>
    <hyperlink ref="C2572" r:id="rId6518" xr:uid="{00000000-0004-0000-0200-000075190000}"/>
    <hyperlink ref="B2573" r:id="rId6519" xr:uid="{00000000-0004-0000-0200-000076190000}"/>
    <hyperlink ref="C2573" r:id="rId6520" xr:uid="{00000000-0004-0000-0200-000077190000}"/>
    <hyperlink ref="A2574" r:id="rId6521" xr:uid="{00000000-0004-0000-0200-000078190000}"/>
    <hyperlink ref="B2574" r:id="rId6522" xr:uid="{00000000-0004-0000-0200-000079190000}"/>
    <hyperlink ref="C2574" r:id="rId6523" xr:uid="{00000000-0004-0000-0200-00007A190000}"/>
    <hyperlink ref="B2575" r:id="rId6524" xr:uid="{00000000-0004-0000-0200-00007B190000}"/>
    <hyperlink ref="C2575" r:id="rId6525" xr:uid="{00000000-0004-0000-0200-00007C190000}"/>
    <hyperlink ref="A2576" r:id="rId6526" xr:uid="{00000000-0004-0000-0200-00007D190000}"/>
    <hyperlink ref="B2576" r:id="rId6527" xr:uid="{00000000-0004-0000-0200-00007E190000}"/>
    <hyperlink ref="C2576" r:id="rId6528" xr:uid="{00000000-0004-0000-0200-00007F190000}"/>
    <hyperlink ref="A2577" r:id="rId6529" xr:uid="{00000000-0004-0000-0200-000080190000}"/>
    <hyperlink ref="B2577" r:id="rId6530" xr:uid="{00000000-0004-0000-0200-000081190000}"/>
    <hyperlink ref="C2577" r:id="rId6531" xr:uid="{00000000-0004-0000-0200-000082190000}"/>
    <hyperlink ref="A2578" r:id="rId6532" xr:uid="{00000000-0004-0000-0200-000083190000}"/>
    <hyperlink ref="B2578" r:id="rId6533" xr:uid="{00000000-0004-0000-0200-000084190000}"/>
    <hyperlink ref="C2578" r:id="rId6534" xr:uid="{00000000-0004-0000-0200-000085190000}"/>
    <hyperlink ref="A2579" r:id="rId6535" xr:uid="{00000000-0004-0000-0200-000086190000}"/>
    <hyperlink ref="B2579" r:id="rId6536" xr:uid="{00000000-0004-0000-0200-000087190000}"/>
    <hyperlink ref="C2579" r:id="rId6537" xr:uid="{00000000-0004-0000-0200-000088190000}"/>
    <hyperlink ref="A2580" r:id="rId6538" xr:uid="{00000000-0004-0000-0200-000089190000}"/>
    <hyperlink ref="B2580" r:id="rId6539" xr:uid="{00000000-0004-0000-0200-00008A190000}"/>
    <hyperlink ref="C2580" r:id="rId6540" xr:uid="{00000000-0004-0000-0200-00008B190000}"/>
    <hyperlink ref="A2581" r:id="rId6541" xr:uid="{00000000-0004-0000-0200-00008C190000}"/>
    <hyperlink ref="B2581" r:id="rId6542" xr:uid="{00000000-0004-0000-0200-00008D190000}"/>
    <hyperlink ref="C2581" r:id="rId6543" xr:uid="{00000000-0004-0000-0200-00008E190000}"/>
    <hyperlink ref="A2582" r:id="rId6544" xr:uid="{00000000-0004-0000-0200-00008F190000}"/>
    <hyperlink ref="B2582" r:id="rId6545" xr:uid="{00000000-0004-0000-0200-000090190000}"/>
    <hyperlink ref="C2582" r:id="rId6546" xr:uid="{00000000-0004-0000-0200-000091190000}"/>
    <hyperlink ref="A2583" r:id="rId6547" xr:uid="{00000000-0004-0000-0200-000092190000}"/>
    <hyperlink ref="B2583" r:id="rId6548" xr:uid="{00000000-0004-0000-0200-000093190000}"/>
    <hyperlink ref="C2583" r:id="rId6549" xr:uid="{00000000-0004-0000-0200-000094190000}"/>
    <hyperlink ref="B2584" r:id="rId6550" xr:uid="{00000000-0004-0000-0200-000095190000}"/>
    <hyperlink ref="C2584" r:id="rId6551" xr:uid="{00000000-0004-0000-0200-000096190000}"/>
    <hyperlink ref="A2585" r:id="rId6552" xr:uid="{00000000-0004-0000-0200-000097190000}"/>
    <hyperlink ref="B2585" r:id="rId6553" xr:uid="{00000000-0004-0000-0200-000098190000}"/>
    <hyperlink ref="C2585" r:id="rId6554" xr:uid="{00000000-0004-0000-0200-000099190000}"/>
    <hyperlink ref="A2586" r:id="rId6555" xr:uid="{00000000-0004-0000-0200-00009A190000}"/>
    <hyperlink ref="B2586" r:id="rId6556" xr:uid="{00000000-0004-0000-0200-00009B190000}"/>
    <hyperlink ref="C2586" r:id="rId6557" xr:uid="{00000000-0004-0000-0200-00009C190000}"/>
    <hyperlink ref="A2587" r:id="rId6558" xr:uid="{00000000-0004-0000-0200-00009D190000}"/>
    <hyperlink ref="B2587" r:id="rId6559" xr:uid="{00000000-0004-0000-0200-00009E190000}"/>
    <hyperlink ref="C2587" r:id="rId6560" xr:uid="{00000000-0004-0000-0200-00009F190000}"/>
    <hyperlink ref="B2588" r:id="rId6561" xr:uid="{00000000-0004-0000-0200-0000A0190000}"/>
    <hyperlink ref="C2588" r:id="rId6562" xr:uid="{00000000-0004-0000-0200-0000A1190000}"/>
    <hyperlink ref="A2589" r:id="rId6563" xr:uid="{00000000-0004-0000-0200-0000A2190000}"/>
    <hyperlink ref="B2589" r:id="rId6564" xr:uid="{00000000-0004-0000-0200-0000A3190000}"/>
    <hyperlink ref="C2589" r:id="rId6565" xr:uid="{00000000-0004-0000-0200-0000A4190000}"/>
    <hyperlink ref="A2590" r:id="rId6566" xr:uid="{00000000-0004-0000-0200-0000A5190000}"/>
    <hyperlink ref="B2590" r:id="rId6567" xr:uid="{00000000-0004-0000-0200-0000A6190000}"/>
    <hyperlink ref="C2590" r:id="rId6568" xr:uid="{00000000-0004-0000-0200-0000A7190000}"/>
    <hyperlink ref="B2591" r:id="rId6569" xr:uid="{00000000-0004-0000-0200-0000A8190000}"/>
    <hyperlink ref="C2591" r:id="rId6570" xr:uid="{00000000-0004-0000-0200-0000A9190000}"/>
    <hyperlink ref="A2592" r:id="rId6571" xr:uid="{00000000-0004-0000-0200-0000AA190000}"/>
    <hyperlink ref="B2592" r:id="rId6572" xr:uid="{00000000-0004-0000-0200-0000AB190000}"/>
    <hyperlink ref="C2592" r:id="rId6573" xr:uid="{00000000-0004-0000-0200-0000AC190000}"/>
    <hyperlink ref="A2593" r:id="rId6574" xr:uid="{00000000-0004-0000-0200-0000AD190000}"/>
    <hyperlink ref="B2593" r:id="rId6575" xr:uid="{00000000-0004-0000-0200-0000AE190000}"/>
    <hyperlink ref="C2593" r:id="rId6576" xr:uid="{00000000-0004-0000-0200-0000AF190000}"/>
    <hyperlink ref="A2594" r:id="rId6577" xr:uid="{00000000-0004-0000-0200-0000B0190000}"/>
    <hyperlink ref="B2594" r:id="rId6578" xr:uid="{00000000-0004-0000-0200-0000B1190000}"/>
    <hyperlink ref="C2594" r:id="rId6579" xr:uid="{00000000-0004-0000-0200-0000B2190000}"/>
    <hyperlink ref="B2595" r:id="rId6580" xr:uid="{00000000-0004-0000-0200-0000B3190000}"/>
    <hyperlink ref="C2595" r:id="rId6581" xr:uid="{00000000-0004-0000-0200-0000B4190000}"/>
    <hyperlink ref="B2596" r:id="rId6582" xr:uid="{00000000-0004-0000-0200-0000B5190000}"/>
    <hyperlink ref="C2596" r:id="rId6583" xr:uid="{00000000-0004-0000-0200-0000B6190000}"/>
    <hyperlink ref="A2597" r:id="rId6584" xr:uid="{00000000-0004-0000-0200-0000B7190000}"/>
    <hyperlink ref="B2597" r:id="rId6585" xr:uid="{00000000-0004-0000-0200-0000B8190000}"/>
    <hyperlink ref="C2597" r:id="rId6586" xr:uid="{00000000-0004-0000-0200-0000B9190000}"/>
    <hyperlink ref="A2598" r:id="rId6587" xr:uid="{00000000-0004-0000-0200-0000BA190000}"/>
    <hyperlink ref="B2598" r:id="rId6588" xr:uid="{00000000-0004-0000-0200-0000BB190000}"/>
    <hyperlink ref="C2598" r:id="rId6589" xr:uid="{00000000-0004-0000-0200-0000BC190000}"/>
    <hyperlink ref="A2599" r:id="rId6590" xr:uid="{00000000-0004-0000-0200-0000BD190000}"/>
    <hyperlink ref="B2599" r:id="rId6591" xr:uid="{00000000-0004-0000-0200-0000BE190000}"/>
    <hyperlink ref="C2599" r:id="rId6592" xr:uid="{00000000-0004-0000-0200-0000BF190000}"/>
    <hyperlink ref="A2600" r:id="rId6593" xr:uid="{00000000-0004-0000-0200-0000C0190000}"/>
    <hyperlink ref="B2600" r:id="rId6594" xr:uid="{00000000-0004-0000-0200-0000C1190000}"/>
    <hyperlink ref="C2600" r:id="rId6595" xr:uid="{00000000-0004-0000-0200-0000C2190000}"/>
    <hyperlink ref="A2601" r:id="rId6596" xr:uid="{00000000-0004-0000-0200-0000C3190000}"/>
    <hyperlink ref="B2601" r:id="rId6597" xr:uid="{00000000-0004-0000-0200-0000C4190000}"/>
    <hyperlink ref="C2601" r:id="rId6598" xr:uid="{00000000-0004-0000-0200-0000C5190000}"/>
    <hyperlink ref="A2602" r:id="rId6599" xr:uid="{00000000-0004-0000-0200-0000C6190000}"/>
    <hyperlink ref="B2602" r:id="rId6600" xr:uid="{00000000-0004-0000-0200-0000C7190000}"/>
    <hyperlink ref="C2602" r:id="rId6601" xr:uid="{00000000-0004-0000-0200-0000C8190000}"/>
    <hyperlink ref="A2603" r:id="rId6602" xr:uid="{00000000-0004-0000-0200-0000C9190000}"/>
    <hyperlink ref="B2603" r:id="rId6603" xr:uid="{00000000-0004-0000-0200-0000CA190000}"/>
    <hyperlink ref="C2603" r:id="rId6604" xr:uid="{00000000-0004-0000-0200-0000CB190000}"/>
    <hyperlink ref="A2604" r:id="rId6605" xr:uid="{00000000-0004-0000-0200-0000CC190000}"/>
    <hyperlink ref="B2604" r:id="rId6606" xr:uid="{00000000-0004-0000-0200-0000CD190000}"/>
    <hyperlink ref="C2604" r:id="rId6607" xr:uid="{00000000-0004-0000-0200-0000CE190000}"/>
    <hyperlink ref="A2605" r:id="rId6608" xr:uid="{00000000-0004-0000-0200-0000CF190000}"/>
    <hyperlink ref="B2605" r:id="rId6609" xr:uid="{00000000-0004-0000-0200-0000D0190000}"/>
    <hyperlink ref="C2605" r:id="rId6610" xr:uid="{00000000-0004-0000-0200-0000D1190000}"/>
    <hyperlink ref="A2606" r:id="rId6611" xr:uid="{00000000-0004-0000-0200-0000D2190000}"/>
    <hyperlink ref="B2606" r:id="rId6612" xr:uid="{00000000-0004-0000-0200-0000D3190000}"/>
    <hyperlink ref="C2606" r:id="rId6613" xr:uid="{00000000-0004-0000-0200-0000D4190000}"/>
    <hyperlink ref="A2607" r:id="rId6614" xr:uid="{00000000-0004-0000-0200-0000D5190000}"/>
    <hyperlink ref="B2607" r:id="rId6615" xr:uid="{00000000-0004-0000-0200-0000D6190000}"/>
    <hyperlink ref="C2607" r:id="rId6616" xr:uid="{00000000-0004-0000-0200-0000D7190000}"/>
    <hyperlink ref="A2608" r:id="rId6617" xr:uid="{00000000-0004-0000-0200-0000D8190000}"/>
    <hyperlink ref="B2608" r:id="rId6618" xr:uid="{00000000-0004-0000-0200-0000D9190000}"/>
    <hyperlink ref="C2608" r:id="rId6619" xr:uid="{00000000-0004-0000-0200-0000DA190000}"/>
    <hyperlink ref="A2609" r:id="rId6620" xr:uid="{00000000-0004-0000-0200-0000DB190000}"/>
    <hyperlink ref="B2609" r:id="rId6621" xr:uid="{00000000-0004-0000-0200-0000DC190000}"/>
    <hyperlink ref="C2609" r:id="rId6622" xr:uid="{00000000-0004-0000-0200-0000DD190000}"/>
    <hyperlink ref="A2610" r:id="rId6623" xr:uid="{00000000-0004-0000-0200-0000DE190000}"/>
    <hyperlink ref="B2610" r:id="rId6624" xr:uid="{00000000-0004-0000-0200-0000DF190000}"/>
    <hyperlink ref="C2610" r:id="rId6625" xr:uid="{00000000-0004-0000-0200-0000E0190000}"/>
    <hyperlink ref="B2611" r:id="rId6626" xr:uid="{00000000-0004-0000-0200-0000E1190000}"/>
    <hyperlink ref="C2611" r:id="rId6627" xr:uid="{00000000-0004-0000-0200-0000E2190000}"/>
    <hyperlink ref="A2612" r:id="rId6628" xr:uid="{00000000-0004-0000-0200-0000E3190000}"/>
    <hyperlink ref="B2612" r:id="rId6629" xr:uid="{00000000-0004-0000-0200-0000E4190000}"/>
    <hyperlink ref="C2612" r:id="rId6630" xr:uid="{00000000-0004-0000-0200-0000E5190000}"/>
    <hyperlink ref="A2613" r:id="rId6631" xr:uid="{00000000-0004-0000-0200-0000E6190000}"/>
    <hyperlink ref="B2613" r:id="rId6632" xr:uid="{00000000-0004-0000-0200-0000E7190000}"/>
    <hyperlink ref="C2613" r:id="rId6633" xr:uid="{00000000-0004-0000-0200-0000E8190000}"/>
    <hyperlink ref="A2614" r:id="rId6634" xr:uid="{00000000-0004-0000-0200-0000E9190000}"/>
    <hyperlink ref="B2614" r:id="rId6635" xr:uid="{00000000-0004-0000-0200-0000EA190000}"/>
    <hyperlink ref="C2614" r:id="rId6636" xr:uid="{00000000-0004-0000-0200-0000EB190000}"/>
    <hyperlink ref="A2615" r:id="rId6637" xr:uid="{00000000-0004-0000-0200-0000EC190000}"/>
    <hyperlink ref="B2615" r:id="rId6638" xr:uid="{00000000-0004-0000-0200-0000ED190000}"/>
    <hyperlink ref="C2615" r:id="rId6639" xr:uid="{00000000-0004-0000-0200-0000EE190000}"/>
    <hyperlink ref="A2616" r:id="rId6640" xr:uid="{00000000-0004-0000-0200-0000EF190000}"/>
    <hyperlink ref="B2616" r:id="rId6641" xr:uid="{00000000-0004-0000-0200-0000F0190000}"/>
    <hyperlink ref="C2616" r:id="rId6642" xr:uid="{00000000-0004-0000-0200-0000F1190000}"/>
    <hyperlink ref="A2617" r:id="rId6643" xr:uid="{00000000-0004-0000-0200-0000F2190000}"/>
    <hyperlink ref="B2617" r:id="rId6644" xr:uid="{00000000-0004-0000-0200-0000F3190000}"/>
    <hyperlink ref="C2617" r:id="rId6645" xr:uid="{00000000-0004-0000-0200-0000F4190000}"/>
    <hyperlink ref="A2618" r:id="rId6646" xr:uid="{00000000-0004-0000-0200-0000F5190000}"/>
    <hyperlink ref="B2618" r:id="rId6647" xr:uid="{00000000-0004-0000-0200-0000F6190000}"/>
    <hyperlink ref="C2618" r:id="rId6648" xr:uid="{00000000-0004-0000-0200-0000F7190000}"/>
    <hyperlink ref="A2619" r:id="rId6649" xr:uid="{00000000-0004-0000-0200-0000F8190000}"/>
    <hyperlink ref="B2619" r:id="rId6650" xr:uid="{00000000-0004-0000-0200-0000F9190000}"/>
    <hyperlink ref="C2619" r:id="rId6651" xr:uid="{00000000-0004-0000-0200-0000FA190000}"/>
    <hyperlink ref="A2620" r:id="rId6652" xr:uid="{00000000-0004-0000-0200-0000FB190000}"/>
    <hyperlink ref="B2620" r:id="rId6653" xr:uid="{00000000-0004-0000-0200-0000FC190000}"/>
    <hyperlink ref="C2620" r:id="rId6654" xr:uid="{00000000-0004-0000-0200-0000FD190000}"/>
    <hyperlink ref="A2621" r:id="rId6655" xr:uid="{00000000-0004-0000-0200-0000FE190000}"/>
    <hyperlink ref="B2621" r:id="rId6656" xr:uid="{00000000-0004-0000-0200-0000FF190000}"/>
    <hyperlink ref="C2621" r:id="rId6657" xr:uid="{00000000-0004-0000-0200-0000001A0000}"/>
    <hyperlink ref="A2622" r:id="rId6658" xr:uid="{00000000-0004-0000-0200-0000011A0000}"/>
    <hyperlink ref="B2622" r:id="rId6659" xr:uid="{00000000-0004-0000-0200-0000021A0000}"/>
    <hyperlink ref="C2622" r:id="rId6660" xr:uid="{00000000-0004-0000-0200-0000031A0000}"/>
    <hyperlink ref="A2623" r:id="rId6661" xr:uid="{00000000-0004-0000-0200-0000041A0000}"/>
    <hyperlink ref="B2623" r:id="rId6662" xr:uid="{00000000-0004-0000-0200-0000051A0000}"/>
    <hyperlink ref="C2623" r:id="rId6663" xr:uid="{00000000-0004-0000-0200-0000061A0000}"/>
    <hyperlink ref="A2624" r:id="rId6664" xr:uid="{00000000-0004-0000-0200-0000071A0000}"/>
    <hyperlink ref="B2624" r:id="rId6665" xr:uid="{00000000-0004-0000-0200-0000081A0000}"/>
    <hyperlink ref="C2624" r:id="rId6666" xr:uid="{00000000-0004-0000-0200-0000091A0000}"/>
    <hyperlink ref="A2625" r:id="rId6667" xr:uid="{00000000-0004-0000-0200-00000A1A0000}"/>
    <hyperlink ref="B2625" r:id="rId6668" xr:uid="{00000000-0004-0000-0200-00000B1A0000}"/>
    <hyperlink ref="C2625" r:id="rId6669" xr:uid="{00000000-0004-0000-0200-00000C1A0000}"/>
    <hyperlink ref="A2626" r:id="rId6670" xr:uid="{00000000-0004-0000-0200-00000D1A0000}"/>
    <hyperlink ref="B2626" r:id="rId6671" xr:uid="{00000000-0004-0000-0200-00000E1A0000}"/>
    <hyperlink ref="C2626" r:id="rId6672" xr:uid="{00000000-0004-0000-0200-00000F1A0000}"/>
    <hyperlink ref="A2627" r:id="rId6673" xr:uid="{00000000-0004-0000-0200-0000101A0000}"/>
    <hyperlink ref="B2627" r:id="rId6674" xr:uid="{00000000-0004-0000-0200-0000111A0000}"/>
    <hyperlink ref="C2627" r:id="rId6675" xr:uid="{00000000-0004-0000-0200-0000121A0000}"/>
    <hyperlink ref="A2628" r:id="rId6676" xr:uid="{00000000-0004-0000-0200-0000131A0000}"/>
    <hyperlink ref="B2628" r:id="rId6677" xr:uid="{00000000-0004-0000-0200-0000141A0000}"/>
    <hyperlink ref="C2628" r:id="rId6678" xr:uid="{00000000-0004-0000-0200-0000151A0000}"/>
    <hyperlink ref="A2629" r:id="rId6679" xr:uid="{00000000-0004-0000-0200-0000161A0000}"/>
    <hyperlink ref="B2629" r:id="rId6680" xr:uid="{00000000-0004-0000-0200-0000171A0000}"/>
    <hyperlink ref="C2629" r:id="rId6681" xr:uid="{00000000-0004-0000-0200-0000181A0000}"/>
    <hyperlink ref="A2630" r:id="rId6682" xr:uid="{00000000-0004-0000-0200-0000191A0000}"/>
    <hyperlink ref="B2630" r:id="rId6683" xr:uid="{00000000-0004-0000-0200-00001A1A0000}"/>
    <hyperlink ref="C2630" r:id="rId6684" xr:uid="{00000000-0004-0000-0200-00001B1A0000}"/>
    <hyperlink ref="A2631" r:id="rId6685" xr:uid="{00000000-0004-0000-0200-00001C1A0000}"/>
    <hyperlink ref="B2631" r:id="rId6686" xr:uid="{00000000-0004-0000-0200-00001D1A0000}"/>
    <hyperlink ref="C2631" r:id="rId6687" xr:uid="{00000000-0004-0000-0200-00001E1A0000}"/>
    <hyperlink ref="B2632" r:id="rId6688" xr:uid="{00000000-0004-0000-0200-00001F1A0000}"/>
    <hyperlink ref="C2632" r:id="rId6689" xr:uid="{00000000-0004-0000-0200-0000201A0000}"/>
    <hyperlink ref="A2633" r:id="rId6690" xr:uid="{00000000-0004-0000-0200-0000211A0000}"/>
    <hyperlink ref="B2633" r:id="rId6691" xr:uid="{00000000-0004-0000-0200-0000221A0000}"/>
    <hyperlink ref="C2633" r:id="rId6692" xr:uid="{00000000-0004-0000-0200-0000231A0000}"/>
    <hyperlink ref="A2634" r:id="rId6693" xr:uid="{00000000-0004-0000-0200-0000241A0000}"/>
    <hyperlink ref="B2634" r:id="rId6694" xr:uid="{00000000-0004-0000-0200-0000251A0000}"/>
    <hyperlink ref="C2634" r:id="rId6695" xr:uid="{00000000-0004-0000-0200-0000261A0000}"/>
    <hyperlink ref="A2635" r:id="rId6696" xr:uid="{00000000-0004-0000-0200-0000271A0000}"/>
    <hyperlink ref="B2635" r:id="rId6697" xr:uid="{00000000-0004-0000-0200-0000281A0000}"/>
    <hyperlink ref="C2635" r:id="rId6698" xr:uid="{00000000-0004-0000-0200-0000291A0000}"/>
    <hyperlink ref="A2636" r:id="rId6699" xr:uid="{00000000-0004-0000-0200-00002A1A0000}"/>
    <hyperlink ref="B2636" r:id="rId6700" xr:uid="{00000000-0004-0000-0200-00002B1A0000}"/>
    <hyperlink ref="C2636" r:id="rId6701" xr:uid="{00000000-0004-0000-0200-00002C1A0000}"/>
    <hyperlink ref="A2637" r:id="rId6702" xr:uid="{00000000-0004-0000-0200-00002D1A0000}"/>
    <hyperlink ref="B2637" r:id="rId6703" xr:uid="{00000000-0004-0000-0200-00002E1A0000}"/>
    <hyperlink ref="C2637" r:id="rId6704" xr:uid="{00000000-0004-0000-0200-00002F1A0000}"/>
    <hyperlink ref="A2638" r:id="rId6705" xr:uid="{00000000-0004-0000-0200-0000301A0000}"/>
    <hyperlink ref="B2638" r:id="rId6706" xr:uid="{00000000-0004-0000-0200-0000311A0000}"/>
    <hyperlink ref="C2638" r:id="rId6707" xr:uid="{00000000-0004-0000-0200-0000321A0000}"/>
    <hyperlink ref="A2639" r:id="rId6708" xr:uid="{00000000-0004-0000-0200-0000331A0000}"/>
    <hyperlink ref="B2639" r:id="rId6709" xr:uid="{00000000-0004-0000-0200-0000341A0000}"/>
    <hyperlink ref="C2639" r:id="rId6710" xr:uid="{00000000-0004-0000-0200-0000351A0000}"/>
    <hyperlink ref="A2640" r:id="rId6711" xr:uid="{00000000-0004-0000-0200-0000361A0000}"/>
    <hyperlink ref="B2640" r:id="rId6712" xr:uid="{00000000-0004-0000-0200-0000371A0000}"/>
    <hyperlink ref="C2640" r:id="rId6713" xr:uid="{00000000-0004-0000-0200-0000381A0000}"/>
    <hyperlink ref="A2641" r:id="rId6714" xr:uid="{00000000-0004-0000-0200-0000391A0000}"/>
    <hyperlink ref="B2641" r:id="rId6715" xr:uid="{00000000-0004-0000-0200-00003A1A0000}"/>
    <hyperlink ref="C2641" r:id="rId6716" xr:uid="{00000000-0004-0000-0200-00003B1A0000}"/>
    <hyperlink ref="A2642" r:id="rId6717" xr:uid="{00000000-0004-0000-0200-00003C1A0000}"/>
    <hyperlink ref="B2642" r:id="rId6718" xr:uid="{00000000-0004-0000-0200-00003D1A0000}"/>
    <hyperlink ref="C2642" r:id="rId6719" xr:uid="{00000000-0004-0000-0200-00003E1A0000}"/>
    <hyperlink ref="A2643" r:id="rId6720" xr:uid="{00000000-0004-0000-0200-00003F1A0000}"/>
    <hyperlink ref="B2643" r:id="rId6721" xr:uid="{00000000-0004-0000-0200-0000401A0000}"/>
    <hyperlink ref="C2643" r:id="rId6722" xr:uid="{00000000-0004-0000-0200-0000411A0000}"/>
    <hyperlink ref="A2644" r:id="rId6723" xr:uid="{00000000-0004-0000-0200-0000421A0000}"/>
    <hyperlink ref="B2644" r:id="rId6724" xr:uid="{00000000-0004-0000-0200-0000431A0000}"/>
    <hyperlink ref="C2644" r:id="rId6725" xr:uid="{00000000-0004-0000-0200-0000441A0000}"/>
    <hyperlink ref="A2645" r:id="rId6726" xr:uid="{00000000-0004-0000-0200-0000451A0000}"/>
    <hyperlink ref="B2645" r:id="rId6727" xr:uid="{00000000-0004-0000-0200-0000461A0000}"/>
    <hyperlink ref="C2645" r:id="rId6728" xr:uid="{00000000-0004-0000-0200-0000471A0000}"/>
    <hyperlink ref="A2646" r:id="rId6729" xr:uid="{00000000-0004-0000-0200-0000481A0000}"/>
    <hyperlink ref="B2646" r:id="rId6730" xr:uid="{00000000-0004-0000-0200-0000491A0000}"/>
    <hyperlink ref="C2646" r:id="rId6731" xr:uid="{00000000-0004-0000-0200-00004A1A0000}"/>
    <hyperlink ref="A2647" r:id="rId6732" xr:uid="{00000000-0004-0000-0200-00004B1A0000}"/>
    <hyperlink ref="B2647" r:id="rId6733" xr:uid="{00000000-0004-0000-0200-00004C1A0000}"/>
    <hyperlink ref="C2647" r:id="rId6734" xr:uid="{00000000-0004-0000-0200-00004D1A0000}"/>
    <hyperlink ref="A2648" r:id="rId6735" xr:uid="{00000000-0004-0000-0200-00004E1A0000}"/>
    <hyperlink ref="B2648" r:id="rId6736" xr:uid="{00000000-0004-0000-0200-00004F1A0000}"/>
    <hyperlink ref="C2648" r:id="rId6737" xr:uid="{00000000-0004-0000-0200-0000501A0000}"/>
    <hyperlink ref="A2649" r:id="rId6738" xr:uid="{00000000-0004-0000-0200-0000511A0000}"/>
    <hyperlink ref="B2649" r:id="rId6739" xr:uid="{00000000-0004-0000-0200-0000521A0000}"/>
    <hyperlink ref="C2649" r:id="rId6740" xr:uid="{00000000-0004-0000-0200-0000531A0000}"/>
    <hyperlink ref="A2650" r:id="rId6741" xr:uid="{00000000-0004-0000-0200-0000541A0000}"/>
    <hyperlink ref="B2650" r:id="rId6742" xr:uid="{00000000-0004-0000-0200-0000551A0000}"/>
    <hyperlink ref="C2650" r:id="rId6743" xr:uid="{00000000-0004-0000-0200-0000561A0000}"/>
    <hyperlink ref="A2651" r:id="rId6744" xr:uid="{00000000-0004-0000-0200-0000571A0000}"/>
    <hyperlink ref="B2651" r:id="rId6745" xr:uid="{00000000-0004-0000-0200-0000581A0000}"/>
    <hyperlink ref="C2651" r:id="rId6746" xr:uid="{00000000-0004-0000-0200-0000591A0000}"/>
    <hyperlink ref="A2652" r:id="rId6747" xr:uid="{00000000-0004-0000-0200-00005A1A0000}"/>
    <hyperlink ref="B2652" r:id="rId6748" xr:uid="{00000000-0004-0000-0200-00005B1A0000}"/>
    <hyperlink ref="C2652" r:id="rId6749" xr:uid="{00000000-0004-0000-0200-00005C1A0000}"/>
    <hyperlink ref="A2653" r:id="rId6750" xr:uid="{00000000-0004-0000-0200-00005D1A0000}"/>
    <hyperlink ref="B2653" r:id="rId6751" xr:uid="{00000000-0004-0000-0200-00005E1A0000}"/>
    <hyperlink ref="C2653" r:id="rId6752" xr:uid="{00000000-0004-0000-0200-00005F1A0000}"/>
    <hyperlink ref="A2654" r:id="rId6753" xr:uid="{00000000-0004-0000-0200-0000601A0000}"/>
    <hyperlink ref="B2654" r:id="rId6754" xr:uid="{00000000-0004-0000-0200-0000611A0000}"/>
    <hyperlink ref="C2654" r:id="rId6755" xr:uid="{00000000-0004-0000-0200-0000621A0000}"/>
    <hyperlink ref="A2655" r:id="rId6756" xr:uid="{00000000-0004-0000-0200-0000631A0000}"/>
    <hyperlink ref="B2655" r:id="rId6757" xr:uid="{00000000-0004-0000-0200-0000641A0000}"/>
    <hyperlink ref="C2655" r:id="rId6758" xr:uid="{00000000-0004-0000-0200-0000651A0000}"/>
    <hyperlink ref="A2656" r:id="rId6759" xr:uid="{00000000-0004-0000-0200-0000661A0000}"/>
    <hyperlink ref="B2656" r:id="rId6760" xr:uid="{00000000-0004-0000-0200-0000671A0000}"/>
    <hyperlink ref="C2656" r:id="rId6761" xr:uid="{00000000-0004-0000-0200-0000681A0000}"/>
    <hyperlink ref="A2657" r:id="rId6762" xr:uid="{00000000-0004-0000-0200-0000691A0000}"/>
    <hyperlink ref="B2657" r:id="rId6763" xr:uid="{00000000-0004-0000-0200-00006A1A0000}"/>
    <hyperlink ref="C2657" r:id="rId6764" xr:uid="{00000000-0004-0000-0200-00006B1A0000}"/>
    <hyperlink ref="A2658" r:id="rId6765" xr:uid="{00000000-0004-0000-0200-00006C1A0000}"/>
    <hyperlink ref="B2658" r:id="rId6766" xr:uid="{00000000-0004-0000-0200-00006D1A0000}"/>
    <hyperlink ref="C2658" r:id="rId6767" xr:uid="{00000000-0004-0000-0200-00006E1A0000}"/>
    <hyperlink ref="A2659" r:id="rId6768" xr:uid="{00000000-0004-0000-0200-00006F1A0000}"/>
    <hyperlink ref="B2659" r:id="rId6769" xr:uid="{00000000-0004-0000-0200-0000701A0000}"/>
    <hyperlink ref="C2659" r:id="rId6770" xr:uid="{00000000-0004-0000-0200-0000711A0000}"/>
    <hyperlink ref="A2660" r:id="rId6771" xr:uid="{00000000-0004-0000-0200-0000721A0000}"/>
    <hyperlink ref="B2660" r:id="rId6772" xr:uid="{00000000-0004-0000-0200-0000731A0000}"/>
    <hyperlink ref="C2660" r:id="rId6773" xr:uid="{00000000-0004-0000-0200-0000741A0000}"/>
    <hyperlink ref="A2661" r:id="rId6774" xr:uid="{00000000-0004-0000-0200-0000751A0000}"/>
    <hyperlink ref="B2661" r:id="rId6775" xr:uid="{00000000-0004-0000-0200-0000761A0000}"/>
    <hyperlink ref="C2661" r:id="rId6776" xr:uid="{00000000-0004-0000-0200-0000771A0000}"/>
    <hyperlink ref="A2662" r:id="rId6777" xr:uid="{00000000-0004-0000-0200-0000781A0000}"/>
    <hyperlink ref="B2662" r:id="rId6778" xr:uid="{00000000-0004-0000-0200-0000791A0000}"/>
    <hyperlink ref="C2662" r:id="rId6779" xr:uid="{00000000-0004-0000-0200-00007A1A0000}"/>
    <hyperlink ref="A2663" r:id="rId6780" xr:uid="{00000000-0004-0000-0200-00007B1A0000}"/>
    <hyperlink ref="B2663" r:id="rId6781" xr:uid="{00000000-0004-0000-0200-00007C1A0000}"/>
    <hyperlink ref="C2663" r:id="rId6782" xr:uid="{00000000-0004-0000-0200-00007D1A0000}"/>
    <hyperlink ref="A2664" r:id="rId6783" xr:uid="{00000000-0004-0000-0200-00007E1A0000}"/>
    <hyperlink ref="B2664" r:id="rId6784" xr:uid="{00000000-0004-0000-0200-00007F1A0000}"/>
    <hyperlink ref="C2664" r:id="rId6785" xr:uid="{00000000-0004-0000-0200-0000801A0000}"/>
    <hyperlink ref="A2665" r:id="rId6786" xr:uid="{00000000-0004-0000-0200-0000811A0000}"/>
    <hyperlink ref="B2665" r:id="rId6787" xr:uid="{00000000-0004-0000-0200-0000821A0000}"/>
    <hyperlink ref="C2665" r:id="rId6788" xr:uid="{00000000-0004-0000-0200-0000831A0000}"/>
    <hyperlink ref="A2666" r:id="rId6789" xr:uid="{00000000-0004-0000-0200-0000841A0000}"/>
    <hyperlink ref="B2666" r:id="rId6790" xr:uid="{00000000-0004-0000-0200-0000851A0000}"/>
    <hyperlink ref="C2666" r:id="rId6791" xr:uid="{00000000-0004-0000-0200-0000861A0000}"/>
    <hyperlink ref="A2667" r:id="rId6792" xr:uid="{00000000-0004-0000-0200-0000871A0000}"/>
    <hyperlink ref="B2667" r:id="rId6793" xr:uid="{00000000-0004-0000-0200-0000881A0000}"/>
    <hyperlink ref="C2667" r:id="rId6794" xr:uid="{00000000-0004-0000-0200-0000891A0000}"/>
    <hyperlink ref="A2668" r:id="rId6795" xr:uid="{00000000-0004-0000-0200-00008A1A0000}"/>
    <hyperlink ref="B2668" r:id="rId6796" xr:uid="{00000000-0004-0000-0200-00008B1A0000}"/>
    <hyperlink ref="C2668" r:id="rId6797" xr:uid="{00000000-0004-0000-0200-00008C1A0000}"/>
    <hyperlink ref="A2669" r:id="rId6798" xr:uid="{00000000-0004-0000-0200-00008D1A0000}"/>
    <hyperlink ref="B2669" r:id="rId6799" xr:uid="{00000000-0004-0000-0200-00008E1A0000}"/>
    <hyperlink ref="C2669" r:id="rId6800" xr:uid="{00000000-0004-0000-0200-00008F1A0000}"/>
    <hyperlink ref="A2670" r:id="rId6801" xr:uid="{00000000-0004-0000-0200-0000901A0000}"/>
    <hyperlink ref="B2670" r:id="rId6802" xr:uid="{00000000-0004-0000-0200-0000911A0000}"/>
    <hyperlink ref="C2670" r:id="rId6803" xr:uid="{00000000-0004-0000-0200-0000921A0000}"/>
    <hyperlink ref="A2671" r:id="rId6804" xr:uid="{00000000-0004-0000-0200-0000931A0000}"/>
    <hyperlink ref="B2671" r:id="rId6805" xr:uid="{00000000-0004-0000-0200-0000941A0000}"/>
    <hyperlink ref="C2671" r:id="rId6806" xr:uid="{00000000-0004-0000-0200-0000951A0000}"/>
    <hyperlink ref="A2672" r:id="rId6807" xr:uid="{00000000-0004-0000-0200-0000961A0000}"/>
    <hyperlink ref="B2672" r:id="rId6808" xr:uid="{00000000-0004-0000-0200-0000971A0000}"/>
    <hyperlink ref="C2672" r:id="rId6809" xr:uid="{00000000-0004-0000-0200-0000981A0000}"/>
    <hyperlink ref="A2673" r:id="rId6810" xr:uid="{00000000-0004-0000-0200-0000991A0000}"/>
    <hyperlink ref="B2673" r:id="rId6811" xr:uid="{00000000-0004-0000-0200-00009A1A0000}"/>
    <hyperlink ref="C2673" r:id="rId6812" xr:uid="{00000000-0004-0000-0200-00009B1A0000}"/>
    <hyperlink ref="A2674" r:id="rId6813" xr:uid="{00000000-0004-0000-0200-00009C1A0000}"/>
    <hyperlink ref="B2674" r:id="rId6814" xr:uid="{00000000-0004-0000-0200-00009D1A0000}"/>
    <hyperlink ref="C2674" r:id="rId6815" xr:uid="{00000000-0004-0000-0200-00009E1A0000}"/>
    <hyperlink ref="A2675" r:id="rId6816" xr:uid="{00000000-0004-0000-0200-00009F1A0000}"/>
    <hyperlink ref="B2675" r:id="rId6817" xr:uid="{00000000-0004-0000-0200-0000A01A0000}"/>
    <hyperlink ref="C2675" r:id="rId6818" xr:uid="{00000000-0004-0000-0200-0000A11A0000}"/>
    <hyperlink ref="A2676" r:id="rId6819" xr:uid="{00000000-0004-0000-0200-0000A21A0000}"/>
    <hyperlink ref="B2676" r:id="rId6820" xr:uid="{00000000-0004-0000-0200-0000A31A0000}"/>
    <hyperlink ref="C2676" r:id="rId6821" xr:uid="{00000000-0004-0000-0200-0000A41A0000}"/>
    <hyperlink ref="A2677" r:id="rId6822" xr:uid="{00000000-0004-0000-0200-0000A51A0000}"/>
    <hyperlink ref="B2677" r:id="rId6823" xr:uid="{00000000-0004-0000-0200-0000A61A0000}"/>
    <hyperlink ref="C2677" r:id="rId6824" xr:uid="{00000000-0004-0000-0200-0000A71A0000}"/>
    <hyperlink ref="A2678" r:id="rId6825" xr:uid="{00000000-0004-0000-0200-0000A81A0000}"/>
    <hyperlink ref="B2678" r:id="rId6826" xr:uid="{00000000-0004-0000-0200-0000A91A0000}"/>
    <hyperlink ref="C2678" r:id="rId6827" xr:uid="{00000000-0004-0000-0200-0000AA1A0000}"/>
    <hyperlink ref="A2679" r:id="rId6828" xr:uid="{00000000-0004-0000-0200-0000AB1A0000}"/>
    <hyperlink ref="B2679" r:id="rId6829" xr:uid="{00000000-0004-0000-0200-0000AC1A0000}"/>
    <hyperlink ref="C2679" r:id="rId6830" xr:uid="{00000000-0004-0000-0200-0000AD1A0000}"/>
    <hyperlink ref="A2680" r:id="rId6831" xr:uid="{00000000-0004-0000-0200-0000AE1A0000}"/>
    <hyperlink ref="B2680" r:id="rId6832" xr:uid="{00000000-0004-0000-0200-0000AF1A0000}"/>
    <hyperlink ref="C2680" r:id="rId6833" xr:uid="{00000000-0004-0000-0200-0000B01A0000}"/>
    <hyperlink ref="A2681" r:id="rId6834" xr:uid="{00000000-0004-0000-0200-0000B11A0000}"/>
    <hyperlink ref="B2681" r:id="rId6835" xr:uid="{00000000-0004-0000-0200-0000B21A0000}"/>
    <hyperlink ref="C2681" r:id="rId6836" xr:uid="{00000000-0004-0000-0200-0000B31A0000}"/>
    <hyperlink ref="A2682" r:id="rId6837" xr:uid="{00000000-0004-0000-0200-0000B41A0000}"/>
    <hyperlink ref="B2682" r:id="rId6838" xr:uid="{00000000-0004-0000-0200-0000B51A0000}"/>
    <hyperlink ref="C2682" r:id="rId6839" xr:uid="{00000000-0004-0000-0200-0000B61A0000}"/>
    <hyperlink ref="A2683" r:id="rId6840" xr:uid="{00000000-0004-0000-0200-0000B71A0000}"/>
    <hyperlink ref="B2683" r:id="rId6841" xr:uid="{00000000-0004-0000-0200-0000B81A0000}"/>
    <hyperlink ref="C2683" r:id="rId6842" xr:uid="{00000000-0004-0000-0200-0000B91A0000}"/>
    <hyperlink ref="A2684" r:id="rId6843" xr:uid="{00000000-0004-0000-0200-0000BA1A0000}"/>
    <hyperlink ref="B2684" r:id="rId6844" xr:uid="{00000000-0004-0000-0200-0000BB1A0000}"/>
    <hyperlink ref="C2684" r:id="rId6845" xr:uid="{00000000-0004-0000-0200-0000BC1A0000}"/>
    <hyperlink ref="A2685" r:id="rId6846" xr:uid="{00000000-0004-0000-0200-0000BD1A0000}"/>
    <hyperlink ref="B2685" r:id="rId6847" xr:uid="{00000000-0004-0000-0200-0000BE1A0000}"/>
    <hyperlink ref="C2685" r:id="rId6848" xr:uid="{00000000-0004-0000-0200-0000BF1A0000}"/>
    <hyperlink ref="A2686" r:id="rId6849" xr:uid="{00000000-0004-0000-0200-0000C01A0000}"/>
    <hyperlink ref="B2686" r:id="rId6850" xr:uid="{00000000-0004-0000-0200-0000C11A0000}"/>
    <hyperlink ref="C2686" r:id="rId6851" xr:uid="{00000000-0004-0000-0200-0000C21A0000}"/>
    <hyperlink ref="A2687" r:id="rId6852" xr:uid="{00000000-0004-0000-0200-0000C31A0000}"/>
    <hyperlink ref="B2687" r:id="rId6853" xr:uid="{00000000-0004-0000-0200-0000C41A0000}"/>
    <hyperlink ref="C2687" r:id="rId6854" xr:uid="{00000000-0004-0000-0200-0000C51A0000}"/>
    <hyperlink ref="A2688" r:id="rId6855" xr:uid="{00000000-0004-0000-0200-0000C61A0000}"/>
    <hyperlink ref="B2688" r:id="rId6856" xr:uid="{00000000-0004-0000-0200-0000C71A0000}"/>
    <hyperlink ref="C2688" r:id="rId6857" xr:uid="{00000000-0004-0000-0200-0000C81A0000}"/>
    <hyperlink ref="A2689" r:id="rId6858" xr:uid="{00000000-0004-0000-0200-0000C91A0000}"/>
    <hyperlink ref="B2689" r:id="rId6859" xr:uid="{00000000-0004-0000-0200-0000CA1A0000}"/>
    <hyperlink ref="C2689" r:id="rId6860" xr:uid="{00000000-0004-0000-0200-0000CB1A0000}"/>
    <hyperlink ref="A2690" r:id="rId6861" xr:uid="{00000000-0004-0000-0200-0000CC1A0000}"/>
    <hyperlink ref="B2690" r:id="rId6862" xr:uid="{00000000-0004-0000-0200-0000CD1A0000}"/>
    <hyperlink ref="C2690" r:id="rId6863" xr:uid="{00000000-0004-0000-0200-0000CE1A0000}"/>
    <hyperlink ref="A2691" r:id="rId6864" xr:uid="{00000000-0004-0000-0200-0000CF1A0000}"/>
    <hyperlink ref="B2691" r:id="rId6865" xr:uid="{00000000-0004-0000-0200-0000D01A0000}"/>
    <hyperlink ref="C2691" r:id="rId6866" xr:uid="{00000000-0004-0000-0200-0000D11A0000}"/>
    <hyperlink ref="A2692" r:id="rId6867" xr:uid="{00000000-0004-0000-0200-0000D21A0000}"/>
    <hyperlink ref="B2692" r:id="rId6868" xr:uid="{00000000-0004-0000-0200-0000D31A0000}"/>
    <hyperlink ref="C2692" r:id="rId6869" xr:uid="{00000000-0004-0000-0200-0000D41A0000}"/>
    <hyperlink ref="A2693" r:id="rId6870" xr:uid="{00000000-0004-0000-0200-0000D51A0000}"/>
    <hyperlink ref="B2693" r:id="rId6871" xr:uid="{00000000-0004-0000-0200-0000D61A0000}"/>
    <hyperlink ref="C2693" r:id="rId6872" xr:uid="{00000000-0004-0000-0200-0000D71A0000}"/>
    <hyperlink ref="A2694" r:id="rId6873" xr:uid="{00000000-0004-0000-0200-0000D81A0000}"/>
    <hyperlink ref="B2694" r:id="rId6874" xr:uid="{00000000-0004-0000-0200-0000D91A0000}"/>
    <hyperlink ref="C2694" r:id="rId6875" xr:uid="{00000000-0004-0000-0200-0000DA1A0000}"/>
    <hyperlink ref="A2695" r:id="rId6876" xr:uid="{00000000-0004-0000-0200-0000DB1A0000}"/>
    <hyperlink ref="B2695" r:id="rId6877" xr:uid="{00000000-0004-0000-0200-0000DC1A0000}"/>
    <hyperlink ref="C2695" r:id="rId6878" xr:uid="{00000000-0004-0000-0200-0000DD1A0000}"/>
    <hyperlink ref="A2696" r:id="rId6879" xr:uid="{00000000-0004-0000-0200-0000DE1A0000}"/>
    <hyperlink ref="B2696" r:id="rId6880" xr:uid="{00000000-0004-0000-0200-0000DF1A0000}"/>
    <hyperlink ref="C2696" r:id="rId6881" xr:uid="{00000000-0004-0000-0200-0000E01A0000}"/>
    <hyperlink ref="A2697" r:id="rId6882" xr:uid="{00000000-0004-0000-0200-0000E11A0000}"/>
    <hyperlink ref="B2697" r:id="rId6883" xr:uid="{00000000-0004-0000-0200-0000E21A0000}"/>
    <hyperlink ref="C2697" r:id="rId6884" xr:uid="{00000000-0004-0000-0200-0000E31A0000}"/>
    <hyperlink ref="A2698" r:id="rId6885" xr:uid="{00000000-0004-0000-0200-0000E41A0000}"/>
    <hyperlink ref="B2698" r:id="rId6886" xr:uid="{00000000-0004-0000-0200-0000E51A0000}"/>
    <hyperlink ref="C2698" r:id="rId6887" xr:uid="{00000000-0004-0000-0200-0000E61A0000}"/>
    <hyperlink ref="A2699" r:id="rId6888" xr:uid="{00000000-0004-0000-0200-0000E71A0000}"/>
    <hyperlink ref="B2699" r:id="rId6889" xr:uid="{00000000-0004-0000-0200-0000E81A0000}"/>
    <hyperlink ref="C2699" r:id="rId6890" xr:uid="{00000000-0004-0000-0200-0000E91A0000}"/>
    <hyperlink ref="A2700" r:id="rId6891" xr:uid="{00000000-0004-0000-0200-0000EA1A0000}"/>
    <hyperlink ref="B2700" r:id="rId6892" xr:uid="{00000000-0004-0000-0200-0000EB1A0000}"/>
    <hyperlink ref="C2700" r:id="rId6893" xr:uid="{00000000-0004-0000-0200-0000EC1A0000}"/>
    <hyperlink ref="A2701" r:id="rId6894" xr:uid="{00000000-0004-0000-0200-0000ED1A0000}"/>
    <hyperlink ref="B2701" r:id="rId6895" xr:uid="{00000000-0004-0000-0200-0000EE1A0000}"/>
    <hyperlink ref="C2701" r:id="rId6896" xr:uid="{00000000-0004-0000-0200-0000EF1A0000}"/>
    <hyperlink ref="A2702" r:id="rId6897" xr:uid="{00000000-0004-0000-0200-0000F01A0000}"/>
    <hyperlink ref="B2702" r:id="rId6898" xr:uid="{00000000-0004-0000-0200-0000F11A0000}"/>
    <hyperlink ref="C2702" r:id="rId6899" xr:uid="{00000000-0004-0000-0200-0000F21A0000}"/>
    <hyperlink ref="A2703" r:id="rId6900" xr:uid="{00000000-0004-0000-0200-0000F31A0000}"/>
    <hyperlink ref="B2703" r:id="rId6901" xr:uid="{00000000-0004-0000-0200-0000F41A0000}"/>
    <hyperlink ref="C2703" r:id="rId6902" xr:uid="{00000000-0004-0000-0200-0000F51A0000}"/>
    <hyperlink ref="B2704" r:id="rId6903" xr:uid="{00000000-0004-0000-0200-0000F61A0000}"/>
    <hyperlink ref="C2704" r:id="rId6904" xr:uid="{00000000-0004-0000-0200-0000F71A0000}"/>
    <hyperlink ref="A2705" r:id="rId6905" xr:uid="{00000000-0004-0000-0200-0000F81A0000}"/>
    <hyperlink ref="B2705" r:id="rId6906" xr:uid="{00000000-0004-0000-0200-0000F91A0000}"/>
    <hyperlink ref="C2705" r:id="rId6907" xr:uid="{00000000-0004-0000-0200-0000FA1A0000}"/>
    <hyperlink ref="A2706" r:id="rId6908" xr:uid="{00000000-0004-0000-0200-0000FB1A0000}"/>
    <hyperlink ref="B2706" r:id="rId6909" xr:uid="{00000000-0004-0000-0200-0000FC1A0000}"/>
    <hyperlink ref="C2706" r:id="rId6910" xr:uid="{00000000-0004-0000-0200-0000FD1A0000}"/>
    <hyperlink ref="A2707" r:id="rId6911" xr:uid="{00000000-0004-0000-0200-0000FE1A0000}"/>
    <hyperlink ref="B2707" r:id="rId6912" xr:uid="{00000000-0004-0000-0200-0000FF1A0000}"/>
    <hyperlink ref="C2707" r:id="rId6913" xr:uid="{00000000-0004-0000-0200-0000001B0000}"/>
    <hyperlink ref="A2708" r:id="rId6914" xr:uid="{00000000-0004-0000-0200-0000011B0000}"/>
    <hyperlink ref="B2708" r:id="rId6915" xr:uid="{00000000-0004-0000-0200-0000021B0000}"/>
    <hyperlink ref="C2708" r:id="rId6916" xr:uid="{00000000-0004-0000-0200-0000031B0000}"/>
    <hyperlink ref="B2709" r:id="rId6917" xr:uid="{00000000-0004-0000-0200-0000041B0000}"/>
    <hyperlink ref="C2709" r:id="rId6918" xr:uid="{00000000-0004-0000-0200-0000051B0000}"/>
    <hyperlink ref="A2710" r:id="rId6919" xr:uid="{00000000-0004-0000-0200-0000061B0000}"/>
    <hyperlink ref="B2710" r:id="rId6920" xr:uid="{00000000-0004-0000-0200-0000071B0000}"/>
    <hyperlink ref="C2710" r:id="rId6921" xr:uid="{00000000-0004-0000-0200-0000081B0000}"/>
    <hyperlink ref="A2711" r:id="rId6922" xr:uid="{00000000-0004-0000-0200-0000091B0000}"/>
    <hyperlink ref="B2711" r:id="rId6923" xr:uid="{00000000-0004-0000-0200-00000A1B0000}"/>
    <hyperlink ref="C2711" r:id="rId6924" xr:uid="{00000000-0004-0000-0200-00000B1B0000}"/>
    <hyperlink ref="A2712" r:id="rId6925" xr:uid="{00000000-0004-0000-0200-00000C1B0000}"/>
    <hyperlink ref="B2712" r:id="rId6926" xr:uid="{00000000-0004-0000-0200-00000D1B0000}"/>
    <hyperlink ref="C2712" r:id="rId6927" xr:uid="{00000000-0004-0000-0200-00000E1B0000}"/>
    <hyperlink ref="A2713" r:id="rId6928" xr:uid="{00000000-0004-0000-0200-00000F1B0000}"/>
    <hyperlink ref="B2713" r:id="rId6929" xr:uid="{00000000-0004-0000-0200-0000101B0000}"/>
    <hyperlink ref="C2713" r:id="rId6930" xr:uid="{00000000-0004-0000-0200-0000111B0000}"/>
    <hyperlink ref="A2714" r:id="rId6931" xr:uid="{00000000-0004-0000-0200-0000121B0000}"/>
    <hyperlink ref="B2714" r:id="rId6932" xr:uid="{00000000-0004-0000-0200-0000131B0000}"/>
    <hyperlink ref="C2714" r:id="rId6933" xr:uid="{00000000-0004-0000-0200-0000141B0000}"/>
    <hyperlink ref="A2715" r:id="rId6934" xr:uid="{00000000-0004-0000-0200-0000151B0000}"/>
    <hyperlink ref="B2715" r:id="rId6935" xr:uid="{00000000-0004-0000-0200-0000161B0000}"/>
    <hyperlink ref="C2715" r:id="rId6936" xr:uid="{00000000-0004-0000-0200-0000171B0000}"/>
    <hyperlink ref="A2716" r:id="rId6937" xr:uid="{00000000-0004-0000-0200-0000181B0000}"/>
    <hyperlink ref="B2716" r:id="rId6938" xr:uid="{00000000-0004-0000-0200-0000191B0000}"/>
    <hyperlink ref="C2716" r:id="rId6939" xr:uid="{00000000-0004-0000-0200-00001A1B0000}"/>
    <hyperlink ref="A2717" r:id="rId6940" xr:uid="{00000000-0004-0000-0200-00001B1B0000}"/>
    <hyperlink ref="B2717" r:id="rId6941" xr:uid="{00000000-0004-0000-0200-00001C1B0000}"/>
    <hyperlink ref="C2717" r:id="rId6942" xr:uid="{00000000-0004-0000-0200-00001D1B0000}"/>
    <hyperlink ref="A2718" r:id="rId6943" xr:uid="{00000000-0004-0000-0200-00001E1B0000}"/>
    <hyperlink ref="B2718" r:id="rId6944" xr:uid="{00000000-0004-0000-0200-00001F1B0000}"/>
    <hyperlink ref="C2718" r:id="rId6945" xr:uid="{00000000-0004-0000-0200-0000201B0000}"/>
    <hyperlink ref="A2719" r:id="rId6946" xr:uid="{00000000-0004-0000-0200-0000211B0000}"/>
    <hyperlink ref="B2719" r:id="rId6947" xr:uid="{00000000-0004-0000-0200-0000221B0000}"/>
    <hyperlink ref="C2719" r:id="rId6948" xr:uid="{00000000-0004-0000-0200-0000231B0000}"/>
    <hyperlink ref="A2720" r:id="rId6949" xr:uid="{00000000-0004-0000-0200-0000241B0000}"/>
    <hyperlink ref="B2720" r:id="rId6950" xr:uid="{00000000-0004-0000-0200-0000251B0000}"/>
    <hyperlink ref="C2720" r:id="rId6951" xr:uid="{00000000-0004-0000-0200-0000261B0000}"/>
    <hyperlink ref="A2721" r:id="rId6952" xr:uid="{00000000-0004-0000-0200-0000271B0000}"/>
    <hyperlink ref="B2721" r:id="rId6953" xr:uid="{00000000-0004-0000-0200-0000281B0000}"/>
    <hyperlink ref="C2721" r:id="rId6954" xr:uid="{00000000-0004-0000-0200-0000291B0000}"/>
    <hyperlink ref="A2722" r:id="rId6955" xr:uid="{00000000-0004-0000-0200-00002A1B0000}"/>
    <hyperlink ref="B2722" r:id="rId6956" xr:uid="{00000000-0004-0000-0200-00002B1B0000}"/>
    <hyperlink ref="C2722" r:id="rId6957" xr:uid="{00000000-0004-0000-0200-00002C1B0000}"/>
    <hyperlink ref="A2723" r:id="rId6958" xr:uid="{00000000-0004-0000-0200-00002D1B0000}"/>
    <hyperlink ref="B2723" r:id="rId6959" xr:uid="{00000000-0004-0000-0200-00002E1B0000}"/>
    <hyperlink ref="C2723" r:id="rId6960" xr:uid="{00000000-0004-0000-0200-00002F1B0000}"/>
    <hyperlink ref="A2724" r:id="rId6961" xr:uid="{00000000-0004-0000-0200-0000301B0000}"/>
    <hyperlink ref="B2724" r:id="rId6962" xr:uid="{00000000-0004-0000-0200-0000311B0000}"/>
    <hyperlink ref="C2724" r:id="rId6963" xr:uid="{00000000-0004-0000-0200-0000321B0000}"/>
    <hyperlink ref="A2725" r:id="rId6964" xr:uid="{00000000-0004-0000-0200-0000331B0000}"/>
    <hyperlink ref="B2725" r:id="rId6965" xr:uid="{00000000-0004-0000-0200-0000341B0000}"/>
    <hyperlink ref="C2725" r:id="rId6966" xr:uid="{00000000-0004-0000-0200-0000351B0000}"/>
    <hyperlink ref="A2726" r:id="rId6967" xr:uid="{00000000-0004-0000-0200-0000361B0000}"/>
    <hyperlink ref="B2726" r:id="rId6968" xr:uid="{00000000-0004-0000-0200-0000371B0000}"/>
    <hyperlink ref="C2726" r:id="rId6969" xr:uid="{00000000-0004-0000-0200-0000381B0000}"/>
    <hyperlink ref="A2727" r:id="rId6970" xr:uid="{00000000-0004-0000-0200-0000391B0000}"/>
    <hyperlink ref="B2727" r:id="rId6971" xr:uid="{00000000-0004-0000-0200-00003A1B0000}"/>
    <hyperlink ref="C2727" r:id="rId6972" xr:uid="{00000000-0004-0000-0200-00003B1B0000}"/>
    <hyperlink ref="A2728" r:id="rId6973" xr:uid="{00000000-0004-0000-0200-00003C1B0000}"/>
    <hyperlink ref="B2728" r:id="rId6974" xr:uid="{00000000-0004-0000-0200-00003D1B0000}"/>
    <hyperlink ref="C2728" r:id="rId6975" xr:uid="{00000000-0004-0000-0200-00003E1B0000}"/>
    <hyperlink ref="A2729" r:id="rId6976" xr:uid="{00000000-0004-0000-0200-00003F1B0000}"/>
    <hyperlink ref="B2729" r:id="rId6977" xr:uid="{00000000-0004-0000-0200-0000401B0000}"/>
    <hyperlink ref="C2729" r:id="rId6978" xr:uid="{00000000-0004-0000-0200-0000411B0000}"/>
    <hyperlink ref="A2730" r:id="rId6979" xr:uid="{00000000-0004-0000-0200-0000421B0000}"/>
    <hyperlink ref="B2730" r:id="rId6980" xr:uid="{00000000-0004-0000-0200-0000431B0000}"/>
    <hyperlink ref="C2730" r:id="rId6981" xr:uid="{00000000-0004-0000-0200-0000441B0000}"/>
    <hyperlink ref="A2731" r:id="rId6982" xr:uid="{00000000-0004-0000-0200-0000451B0000}"/>
    <hyperlink ref="B2731" r:id="rId6983" xr:uid="{00000000-0004-0000-0200-0000461B0000}"/>
    <hyperlink ref="C2731" r:id="rId6984" xr:uid="{00000000-0004-0000-0200-0000471B0000}"/>
    <hyperlink ref="A2732" r:id="rId6985" xr:uid="{00000000-0004-0000-0200-0000481B0000}"/>
    <hyperlink ref="B2732" r:id="rId6986" xr:uid="{00000000-0004-0000-0200-0000491B0000}"/>
    <hyperlink ref="C2732" r:id="rId6987" xr:uid="{00000000-0004-0000-0200-00004A1B0000}"/>
    <hyperlink ref="A2733" r:id="rId6988" xr:uid="{00000000-0004-0000-0200-00004B1B0000}"/>
    <hyperlink ref="B2733" r:id="rId6989" xr:uid="{00000000-0004-0000-0200-00004C1B0000}"/>
    <hyperlink ref="C2733" r:id="rId6990" xr:uid="{00000000-0004-0000-0200-00004D1B0000}"/>
    <hyperlink ref="A2734" r:id="rId6991" xr:uid="{00000000-0004-0000-0200-00004E1B0000}"/>
    <hyperlink ref="B2734" r:id="rId6992" xr:uid="{00000000-0004-0000-0200-00004F1B0000}"/>
    <hyperlink ref="C2734" r:id="rId6993" xr:uid="{00000000-0004-0000-0200-0000501B0000}"/>
    <hyperlink ref="A2735" r:id="rId6994" xr:uid="{00000000-0004-0000-0200-0000511B0000}"/>
    <hyperlink ref="B2735" r:id="rId6995" xr:uid="{00000000-0004-0000-0200-0000521B0000}"/>
    <hyperlink ref="C2735" r:id="rId6996" xr:uid="{00000000-0004-0000-0200-0000531B0000}"/>
    <hyperlink ref="A2736" r:id="rId6997" xr:uid="{00000000-0004-0000-0200-0000541B0000}"/>
    <hyperlink ref="B2736" r:id="rId6998" xr:uid="{00000000-0004-0000-0200-0000551B0000}"/>
    <hyperlink ref="C2736" r:id="rId6999" xr:uid="{00000000-0004-0000-0200-0000561B0000}"/>
    <hyperlink ref="A2737" r:id="rId7000" xr:uid="{00000000-0004-0000-0200-0000571B0000}"/>
    <hyperlink ref="B2737" r:id="rId7001" xr:uid="{00000000-0004-0000-0200-0000581B0000}"/>
    <hyperlink ref="C2737" r:id="rId7002" xr:uid="{00000000-0004-0000-0200-0000591B0000}"/>
    <hyperlink ref="A2738" r:id="rId7003" xr:uid="{00000000-0004-0000-0200-00005A1B0000}"/>
    <hyperlink ref="B2738" r:id="rId7004" xr:uid="{00000000-0004-0000-0200-00005B1B0000}"/>
    <hyperlink ref="C2738" r:id="rId7005" xr:uid="{00000000-0004-0000-0200-00005C1B0000}"/>
    <hyperlink ref="A2739" r:id="rId7006" xr:uid="{00000000-0004-0000-0200-00005D1B0000}"/>
    <hyperlink ref="B2739" r:id="rId7007" xr:uid="{00000000-0004-0000-0200-00005E1B0000}"/>
    <hyperlink ref="C2739" r:id="rId7008" xr:uid="{00000000-0004-0000-0200-00005F1B0000}"/>
    <hyperlink ref="A2740" r:id="rId7009" xr:uid="{00000000-0004-0000-0200-0000601B0000}"/>
    <hyperlink ref="B2740" r:id="rId7010" xr:uid="{00000000-0004-0000-0200-0000611B0000}"/>
    <hyperlink ref="C2740" r:id="rId7011" xr:uid="{00000000-0004-0000-0200-0000621B0000}"/>
    <hyperlink ref="A2741" r:id="rId7012" xr:uid="{00000000-0004-0000-0200-0000631B0000}"/>
    <hyperlink ref="B2741" r:id="rId7013" xr:uid="{00000000-0004-0000-0200-0000641B0000}"/>
    <hyperlink ref="C2741" r:id="rId7014" xr:uid="{00000000-0004-0000-0200-0000651B0000}"/>
    <hyperlink ref="A2742" r:id="rId7015" xr:uid="{00000000-0004-0000-0200-0000661B0000}"/>
    <hyperlink ref="B2742" r:id="rId7016" xr:uid="{00000000-0004-0000-0200-0000671B0000}"/>
    <hyperlink ref="C2742" r:id="rId7017" xr:uid="{00000000-0004-0000-0200-0000681B0000}"/>
    <hyperlink ref="A2743" r:id="rId7018" xr:uid="{00000000-0004-0000-0200-0000691B0000}"/>
    <hyperlink ref="B2743" r:id="rId7019" xr:uid="{00000000-0004-0000-0200-00006A1B0000}"/>
    <hyperlink ref="C2743" r:id="rId7020" xr:uid="{00000000-0004-0000-0200-00006B1B0000}"/>
    <hyperlink ref="A2744" r:id="rId7021" xr:uid="{00000000-0004-0000-0200-00006C1B0000}"/>
    <hyperlink ref="B2744" r:id="rId7022" xr:uid="{00000000-0004-0000-0200-00006D1B0000}"/>
    <hyperlink ref="C2744" r:id="rId7023" xr:uid="{00000000-0004-0000-0200-00006E1B0000}"/>
    <hyperlink ref="A2745" r:id="rId7024" xr:uid="{00000000-0004-0000-0200-00006F1B0000}"/>
    <hyperlink ref="B2745" r:id="rId7025" xr:uid="{00000000-0004-0000-0200-0000701B0000}"/>
    <hyperlink ref="C2745" r:id="rId7026" xr:uid="{00000000-0004-0000-0200-0000711B0000}"/>
    <hyperlink ref="A2746" r:id="rId7027" xr:uid="{00000000-0004-0000-0200-0000721B0000}"/>
    <hyperlink ref="B2746" r:id="rId7028" xr:uid="{00000000-0004-0000-0200-0000731B0000}"/>
    <hyperlink ref="C2746" r:id="rId7029" xr:uid="{00000000-0004-0000-0200-0000741B0000}"/>
    <hyperlink ref="A2747" r:id="rId7030" xr:uid="{00000000-0004-0000-0200-0000751B0000}"/>
    <hyperlink ref="B2747" r:id="rId7031" xr:uid="{00000000-0004-0000-0200-0000761B0000}"/>
    <hyperlink ref="C2747" r:id="rId7032" xr:uid="{00000000-0004-0000-0200-0000771B0000}"/>
    <hyperlink ref="A2748" r:id="rId7033" xr:uid="{00000000-0004-0000-0200-0000781B0000}"/>
    <hyperlink ref="B2748" r:id="rId7034" xr:uid="{00000000-0004-0000-0200-0000791B0000}"/>
    <hyperlink ref="C2748" r:id="rId7035" xr:uid="{00000000-0004-0000-0200-00007A1B0000}"/>
    <hyperlink ref="A2749" r:id="rId7036" xr:uid="{00000000-0004-0000-0200-00007B1B0000}"/>
    <hyperlink ref="B2749" r:id="rId7037" xr:uid="{00000000-0004-0000-0200-00007C1B0000}"/>
    <hyperlink ref="C2749" r:id="rId7038" xr:uid="{00000000-0004-0000-0200-00007D1B0000}"/>
    <hyperlink ref="A2750" r:id="rId7039" xr:uid="{00000000-0004-0000-0200-00007E1B0000}"/>
    <hyperlink ref="B2750" r:id="rId7040" xr:uid="{00000000-0004-0000-0200-00007F1B0000}"/>
    <hyperlink ref="C2750" r:id="rId7041" xr:uid="{00000000-0004-0000-0200-0000801B0000}"/>
    <hyperlink ref="A2751" r:id="rId7042" xr:uid="{00000000-0004-0000-0200-0000811B0000}"/>
    <hyperlink ref="B2751" r:id="rId7043" xr:uid="{00000000-0004-0000-0200-0000821B0000}"/>
    <hyperlink ref="C2751" r:id="rId7044" xr:uid="{00000000-0004-0000-0200-0000831B0000}"/>
    <hyperlink ref="A2752" r:id="rId7045" xr:uid="{00000000-0004-0000-0200-0000841B0000}"/>
    <hyperlink ref="B2752" r:id="rId7046" xr:uid="{00000000-0004-0000-0200-0000851B0000}"/>
    <hyperlink ref="C2752" r:id="rId7047" xr:uid="{00000000-0004-0000-0200-0000861B0000}"/>
    <hyperlink ref="A2753" r:id="rId7048" xr:uid="{00000000-0004-0000-0200-0000871B0000}"/>
    <hyperlink ref="B2753" r:id="rId7049" xr:uid="{00000000-0004-0000-0200-0000881B0000}"/>
    <hyperlink ref="C2753" r:id="rId7050" xr:uid="{00000000-0004-0000-0200-0000891B0000}"/>
    <hyperlink ref="A2754" r:id="rId7051" xr:uid="{00000000-0004-0000-0200-00008A1B0000}"/>
    <hyperlink ref="B2754" r:id="rId7052" xr:uid="{00000000-0004-0000-0200-00008B1B0000}"/>
    <hyperlink ref="C2754" r:id="rId7053" xr:uid="{00000000-0004-0000-0200-00008C1B0000}"/>
    <hyperlink ref="A2755" r:id="rId7054" xr:uid="{00000000-0004-0000-0200-00008D1B0000}"/>
    <hyperlink ref="B2755" r:id="rId7055" xr:uid="{00000000-0004-0000-0200-00008E1B0000}"/>
    <hyperlink ref="C2755" r:id="rId7056" xr:uid="{00000000-0004-0000-0200-00008F1B0000}"/>
    <hyperlink ref="A2756" r:id="rId7057" xr:uid="{00000000-0004-0000-0200-0000901B0000}"/>
    <hyperlink ref="B2756" r:id="rId7058" xr:uid="{00000000-0004-0000-0200-0000911B0000}"/>
    <hyperlink ref="C2756" r:id="rId7059" xr:uid="{00000000-0004-0000-0200-0000921B0000}"/>
    <hyperlink ref="A2757" r:id="rId7060" xr:uid="{00000000-0004-0000-0200-0000931B0000}"/>
    <hyperlink ref="B2757" r:id="rId7061" xr:uid="{00000000-0004-0000-0200-0000941B0000}"/>
    <hyperlink ref="C2757" r:id="rId7062" xr:uid="{00000000-0004-0000-0200-0000951B0000}"/>
    <hyperlink ref="A2758" r:id="rId7063" xr:uid="{00000000-0004-0000-0200-0000961B0000}"/>
    <hyperlink ref="B2758" r:id="rId7064" xr:uid="{00000000-0004-0000-0200-0000971B0000}"/>
    <hyperlink ref="C2758" r:id="rId7065" xr:uid="{00000000-0004-0000-0200-0000981B0000}"/>
    <hyperlink ref="A2759" r:id="rId7066" xr:uid="{00000000-0004-0000-0200-0000991B0000}"/>
    <hyperlink ref="B2759" r:id="rId7067" xr:uid="{00000000-0004-0000-0200-00009A1B0000}"/>
    <hyperlink ref="C2759" r:id="rId7068" xr:uid="{00000000-0004-0000-0200-00009B1B0000}"/>
    <hyperlink ref="A2760" r:id="rId7069" xr:uid="{00000000-0004-0000-0200-00009C1B0000}"/>
    <hyperlink ref="B2760" r:id="rId7070" xr:uid="{00000000-0004-0000-0200-00009D1B0000}"/>
    <hyperlink ref="C2760" r:id="rId7071" xr:uid="{00000000-0004-0000-0200-00009E1B0000}"/>
    <hyperlink ref="A2761" r:id="rId7072" xr:uid="{00000000-0004-0000-0200-00009F1B0000}"/>
    <hyperlink ref="B2761" r:id="rId7073" xr:uid="{00000000-0004-0000-0200-0000A01B0000}"/>
    <hyperlink ref="C2761" r:id="rId7074" xr:uid="{00000000-0004-0000-0200-0000A11B0000}"/>
    <hyperlink ref="A2762" r:id="rId7075" xr:uid="{00000000-0004-0000-0200-0000A21B0000}"/>
    <hyperlink ref="B2762" r:id="rId7076" xr:uid="{00000000-0004-0000-0200-0000A31B0000}"/>
    <hyperlink ref="C2762" r:id="rId7077" xr:uid="{00000000-0004-0000-0200-0000A41B0000}"/>
    <hyperlink ref="A2763" r:id="rId7078" xr:uid="{00000000-0004-0000-0200-0000A51B0000}"/>
    <hyperlink ref="B2763" r:id="rId7079" xr:uid="{00000000-0004-0000-0200-0000A61B0000}"/>
    <hyperlink ref="C2763" r:id="rId7080" xr:uid="{00000000-0004-0000-0200-0000A71B0000}"/>
    <hyperlink ref="A2764" r:id="rId7081" xr:uid="{00000000-0004-0000-0200-0000A81B0000}"/>
    <hyperlink ref="B2764" r:id="rId7082" xr:uid="{00000000-0004-0000-0200-0000A91B0000}"/>
    <hyperlink ref="C2764" r:id="rId7083" xr:uid="{00000000-0004-0000-0200-0000AA1B0000}"/>
    <hyperlink ref="A2765" r:id="rId7084" xr:uid="{00000000-0004-0000-0200-0000AB1B0000}"/>
    <hyperlink ref="B2765" r:id="rId7085" xr:uid="{00000000-0004-0000-0200-0000AC1B0000}"/>
    <hyperlink ref="C2765" r:id="rId7086" xr:uid="{00000000-0004-0000-0200-0000AD1B0000}"/>
    <hyperlink ref="A2766" r:id="rId7087" xr:uid="{00000000-0004-0000-0200-0000AE1B0000}"/>
    <hyperlink ref="B2766" r:id="rId7088" xr:uid="{00000000-0004-0000-0200-0000AF1B0000}"/>
    <hyperlink ref="C2766" r:id="rId7089" xr:uid="{00000000-0004-0000-0200-0000B01B0000}"/>
    <hyperlink ref="A2767" r:id="rId7090" xr:uid="{00000000-0004-0000-0200-0000B11B0000}"/>
    <hyperlink ref="B2767" r:id="rId7091" xr:uid="{00000000-0004-0000-0200-0000B21B0000}"/>
    <hyperlink ref="C2767" r:id="rId7092" xr:uid="{00000000-0004-0000-0200-0000B31B0000}"/>
    <hyperlink ref="A2768" r:id="rId7093" xr:uid="{00000000-0004-0000-0200-0000B41B0000}"/>
    <hyperlink ref="B2768" r:id="rId7094" xr:uid="{00000000-0004-0000-0200-0000B51B0000}"/>
    <hyperlink ref="C2768" r:id="rId7095" xr:uid="{00000000-0004-0000-0200-0000B61B0000}"/>
    <hyperlink ref="A2769" r:id="rId7096" xr:uid="{00000000-0004-0000-0200-0000B71B0000}"/>
    <hyperlink ref="B2769" r:id="rId7097" xr:uid="{00000000-0004-0000-0200-0000B81B0000}"/>
    <hyperlink ref="C2769" r:id="rId7098" xr:uid="{00000000-0004-0000-0200-0000B91B0000}"/>
    <hyperlink ref="A2770" r:id="rId7099" xr:uid="{00000000-0004-0000-0200-0000BA1B0000}"/>
    <hyperlink ref="B2770" r:id="rId7100" xr:uid="{00000000-0004-0000-0200-0000BB1B0000}"/>
    <hyperlink ref="C2770" r:id="rId7101" xr:uid="{00000000-0004-0000-0200-0000BC1B0000}"/>
    <hyperlink ref="A2771" r:id="rId7102" xr:uid="{00000000-0004-0000-0200-0000BD1B0000}"/>
    <hyperlink ref="B2771" r:id="rId7103" xr:uid="{00000000-0004-0000-0200-0000BE1B0000}"/>
    <hyperlink ref="C2771" r:id="rId7104" xr:uid="{00000000-0004-0000-0200-0000BF1B0000}"/>
    <hyperlink ref="B2772" r:id="rId7105" xr:uid="{00000000-0004-0000-0200-0000C01B0000}"/>
    <hyperlink ref="C2772" r:id="rId7106" xr:uid="{00000000-0004-0000-0200-0000C11B0000}"/>
    <hyperlink ref="A2773" r:id="rId7107" xr:uid="{00000000-0004-0000-0200-0000C21B0000}"/>
    <hyperlink ref="B2773" r:id="rId7108" xr:uid="{00000000-0004-0000-0200-0000C31B0000}"/>
    <hyperlink ref="C2773" r:id="rId7109" xr:uid="{00000000-0004-0000-0200-0000C41B0000}"/>
    <hyperlink ref="A2774" r:id="rId7110" xr:uid="{00000000-0004-0000-0200-0000C51B0000}"/>
    <hyperlink ref="B2774" r:id="rId7111" xr:uid="{00000000-0004-0000-0200-0000C61B0000}"/>
    <hyperlink ref="C2774" r:id="rId7112" xr:uid="{00000000-0004-0000-0200-0000C71B0000}"/>
    <hyperlink ref="B2775" r:id="rId7113" xr:uid="{00000000-0004-0000-0200-0000C81B0000}"/>
    <hyperlink ref="C2775" r:id="rId7114" xr:uid="{00000000-0004-0000-0200-0000C91B0000}"/>
    <hyperlink ref="A2776" r:id="rId7115" xr:uid="{00000000-0004-0000-0200-0000CA1B0000}"/>
    <hyperlink ref="B2776" r:id="rId7116" xr:uid="{00000000-0004-0000-0200-0000CB1B0000}"/>
    <hyperlink ref="C2776" r:id="rId7117" xr:uid="{00000000-0004-0000-0200-0000CC1B0000}"/>
    <hyperlink ref="A2777" r:id="rId7118" xr:uid="{00000000-0004-0000-0200-0000CD1B0000}"/>
    <hyperlink ref="B2777" r:id="rId7119" xr:uid="{00000000-0004-0000-0200-0000CE1B0000}"/>
    <hyperlink ref="C2777" r:id="rId7120" xr:uid="{00000000-0004-0000-0200-0000CF1B0000}"/>
    <hyperlink ref="A2778" r:id="rId7121" xr:uid="{00000000-0004-0000-0200-0000D01B0000}"/>
    <hyperlink ref="B2778" r:id="rId7122" xr:uid="{00000000-0004-0000-0200-0000D11B0000}"/>
    <hyperlink ref="C2778" r:id="rId7123" xr:uid="{00000000-0004-0000-0200-0000D21B0000}"/>
    <hyperlink ref="A2779" r:id="rId7124" xr:uid="{00000000-0004-0000-0200-0000D31B0000}"/>
    <hyperlink ref="B2779" r:id="rId7125" xr:uid="{00000000-0004-0000-0200-0000D41B0000}"/>
    <hyperlink ref="C2779" r:id="rId7126" xr:uid="{00000000-0004-0000-0200-0000D51B0000}"/>
    <hyperlink ref="A2780" r:id="rId7127" xr:uid="{00000000-0004-0000-0200-0000D61B0000}"/>
    <hyperlink ref="B2780" r:id="rId7128" xr:uid="{00000000-0004-0000-0200-0000D71B0000}"/>
    <hyperlink ref="C2780" r:id="rId7129" xr:uid="{00000000-0004-0000-0200-0000D81B0000}"/>
    <hyperlink ref="A2781" r:id="rId7130" xr:uid="{00000000-0004-0000-0200-0000D91B0000}"/>
    <hyperlink ref="B2781" r:id="rId7131" xr:uid="{00000000-0004-0000-0200-0000DA1B0000}"/>
    <hyperlink ref="C2781" r:id="rId7132" xr:uid="{00000000-0004-0000-0200-0000DB1B0000}"/>
    <hyperlink ref="A2782" r:id="rId7133" xr:uid="{00000000-0004-0000-0200-0000DC1B0000}"/>
    <hyperlink ref="B2782" r:id="rId7134" xr:uid="{00000000-0004-0000-0200-0000DD1B0000}"/>
    <hyperlink ref="C2782" r:id="rId7135" xr:uid="{00000000-0004-0000-0200-0000DE1B0000}"/>
    <hyperlink ref="A2783" r:id="rId7136" xr:uid="{00000000-0004-0000-0200-0000DF1B0000}"/>
    <hyperlink ref="B2783" r:id="rId7137" xr:uid="{00000000-0004-0000-0200-0000E01B0000}"/>
    <hyperlink ref="C2783" r:id="rId7138" xr:uid="{00000000-0004-0000-0200-0000E11B0000}"/>
    <hyperlink ref="A2784" r:id="rId7139" xr:uid="{00000000-0004-0000-0200-0000E21B0000}"/>
    <hyperlink ref="B2784" r:id="rId7140" xr:uid="{00000000-0004-0000-0200-0000E31B0000}"/>
    <hyperlink ref="C2784" r:id="rId7141" xr:uid="{00000000-0004-0000-0200-0000E41B0000}"/>
    <hyperlink ref="B2785" r:id="rId7142" xr:uid="{00000000-0004-0000-0200-0000E51B0000}"/>
    <hyperlink ref="C2785" r:id="rId7143" xr:uid="{00000000-0004-0000-0200-0000E61B0000}"/>
    <hyperlink ref="A2786" r:id="rId7144" xr:uid="{00000000-0004-0000-0200-0000E71B0000}"/>
    <hyperlink ref="B2786" r:id="rId7145" xr:uid="{00000000-0004-0000-0200-0000E81B0000}"/>
    <hyperlink ref="C2786" r:id="rId7146" xr:uid="{00000000-0004-0000-0200-0000E91B0000}"/>
    <hyperlink ref="A2787" r:id="rId7147" xr:uid="{00000000-0004-0000-0200-0000EA1B0000}"/>
    <hyperlink ref="B2787" r:id="rId7148" xr:uid="{00000000-0004-0000-0200-0000EB1B0000}"/>
    <hyperlink ref="C2787" r:id="rId7149" xr:uid="{00000000-0004-0000-0200-0000EC1B0000}"/>
    <hyperlink ref="A2788" r:id="rId7150" xr:uid="{00000000-0004-0000-0200-0000ED1B0000}"/>
    <hyperlink ref="B2788" r:id="rId7151" xr:uid="{00000000-0004-0000-0200-0000EE1B0000}"/>
    <hyperlink ref="C2788" r:id="rId7152" xr:uid="{00000000-0004-0000-0200-0000EF1B0000}"/>
    <hyperlink ref="A2789" r:id="rId7153" xr:uid="{00000000-0004-0000-0200-0000F01B0000}"/>
    <hyperlink ref="B2789" r:id="rId7154" xr:uid="{00000000-0004-0000-0200-0000F11B0000}"/>
    <hyperlink ref="C2789" r:id="rId7155" xr:uid="{00000000-0004-0000-0200-0000F21B0000}"/>
    <hyperlink ref="A2790" r:id="rId7156" xr:uid="{00000000-0004-0000-0200-0000F31B0000}"/>
    <hyperlink ref="B2790" r:id="rId7157" xr:uid="{00000000-0004-0000-0200-0000F41B0000}"/>
    <hyperlink ref="C2790" r:id="rId7158" xr:uid="{00000000-0004-0000-0200-0000F51B0000}"/>
    <hyperlink ref="A2791" r:id="rId7159" xr:uid="{00000000-0004-0000-0200-0000F61B0000}"/>
    <hyperlink ref="B2791" r:id="rId7160" xr:uid="{00000000-0004-0000-0200-0000F71B0000}"/>
    <hyperlink ref="C2791" r:id="rId7161" xr:uid="{00000000-0004-0000-0200-0000F81B0000}"/>
    <hyperlink ref="A2792" r:id="rId7162" xr:uid="{00000000-0004-0000-0200-0000F91B0000}"/>
    <hyperlink ref="B2792" r:id="rId7163" xr:uid="{00000000-0004-0000-0200-0000FA1B0000}"/>
    <hyperlink ref="C2792" r:id="rId7164" xr:uid="{00000000-0004-0000-0200-0000FB1B0000}"/>
    <hyperlink ref="A2793" r:id="rId7165" xr:uid="{00000000-0004-0000-0200-0000FC1B0000}"/>
    <hyperlink ref="B2793" r:id="rId7166" xr:uid="{00000000-0004-0000-0200-0000FD1B0000}"/>
    <hyperlink ref="C2793" r:id="rId7167" xr:uid="{00000000-0004-0000-0200-0000FE1B0000}"/>
    <hyperlink ref="A2794" r:id="rId7168" xr:uid="{00000000-0004-0000-0200-0000FF1B0000}"/>
    <hyperlink ref="B2794" r:id="rId7169" xr:uid="{00000000-0004-0000-0200-0000001C0000}"/>
    <hyperlink ref="C2794" r:id="rId7170" xr:uid="{00000000-0004-0000-0200-0000011C0000}"/>
    <hyperlink ref="A2795" r:id="rId7171" xr:uid="{00000000-0004-0000-0200-0000021C0000}"/>
    <hyperlink ref="B2795" r:id="rId7172" xr:uid="{00000000-0004-0000-0200-0000031C0000}"/>
    <hyperlink ref="C2795" r:id="rId7173" xr:uid="{00000000-0004-0000-0200-0000041C0000}"/>
    <hyperlink ref="A2796" r:id="rId7174" xr:uid="{00000000-0004-0000-0200-0000051C0000}"/>
    <hyperlink ref="B2796" r:id="rId7175" xr:uid="{00000000-0004-0000-0200-0000061C0000}"/>
    <hyperlink ref="C2796" r:id="rId7176" xr:uid="{00000000-0004-0000-0200-0000071C0000}"/>
    <hyperlink ref="A2797" r:id="rId7177" xr:uid="{00000000-0004-0000-0200-0000081C0000}"/>
    <hyperlink ref="B2797" r:id="rId7178" xr:uid="{00000000-0004-0000-0200-0000091C0000}"/>
    <hyperlink ref="C2797" r:id="rId7179" xr:uid="{00000000-0004-0000-0200-00000A1C0000}"/>
    <hyperlink ref="A2798" r:id="rId7180" xr:uid="{00000000-0004-0000-0200-00000B1C0000}"/>
    <hyperlink ref="B2798" r:id="rId7181" xr:uid="{00000000-0004-0000-0200-00000C1C0000}"/>
    <hyperlink ref="C2798" r:id="rId7182" xr:uid="{00000000-0004-0000-0200-00000D1C0000}"/>
    <hyperlink ref="A2799" r:id="rId7183" xr:uid="{00000000-0004-0000-0200-00000E1C0000}"/>
    <hyperlink ref="B2799" r:id="rId7184" xr:uid="{00000000-0004-0000-0200-00000F1C0000}"/>
    <hyperlink ref="C2799" r:id="rId7185" xr:uid="{00000000-0004-0000-0200-0000101C0000}"/>
    <hyperlink ref="B2800" r:id="rId7186" xr:uid="{00000000-0004-0000-0200-0000111C0000}"/>
    <hyperlink ref="C2800" r:id="rId7187" xr:uid="{00000000-0004-0000-0200-0000121C0000}"/>
    <hyperlink ref="A2801" r:id="rId7188" xr:uid="{00000000-0004-0000-0200-0000131C0000}"/>
    <hyperlink ref="B2801" r:id="rId7189" xr:uid="{00000000-0004-0000-0200-0000141C0000}"/>
    <hyperlink ref="C2801" r:id="rId7190" xr:uid="{00000000-0004-0000-0200-0000151C0000}"/>
    <hyperlink ref="A2802" r:id="rId7191" xr:uid="{00000000-0004-0000-0200-0000161C0000}"/>
    <hyperlink ref="B2802" r:id="rId7192" xr:uid="{00000000-0004-0000-0200-0000171C0000}"/>
    <hyperlink ref="C2802" r:id="rId7193" xr:uid="{00000000-0004-0000-0200-0000181C0000}"/>
    <hyperlink ref="A2803" r:id="rId7194" xr:uid="{00000000-0004-0000-0200-0000191C0000}"/>
    <hyperlink ref="B2803" r:id="rId7195" xr:uid="{00000000-0004-0000-0200-00001A1C0000}"/>
    <hyperlink ref="C2803" r:id="rId7196" xr:uid="{00000000-0004-0000-0200-00001B1C0000}"/>
    <hyperlink ref="A2804" r:id="rId7197" xr:uid="{00000000-0004-0000-0200-00001C1C0000}"/>
    <hyperlink ref="B2804" r:id="rId7198" xr:uid="{00000000-0004-0000-0200-00001D1C0000}"/>
    <hyperlink ref="C2804" r:id="rId7199" xr:uid="{00000000-0004-0000-0200-00001E1C0000}"/>
    <hyperlink ref="A2805" r:id="rId7200" xr:uid="{00000000-0004-0000-0200-00001F1C0000}"/>
    <hyperlink ref="B2805" r:id="rId7201" xr:uid="{00000000-0004-0000-0200-0000201C0000}"/>
    <hyperlink ref="C2805" r:id="rId7202" xr:uid="{00000000-0004-0000-0200-0000211C0000}"/>
    <hyperlink ref="A2806" r:id="rId7203" xr:uid="{00000000-0004-0000-0200-0000221C0000}"/>
    <hyperlink ref="B2806" r:id="rId7204" xr:uid="{00000000-0004-0000-0200-0000231C0000}"/>
    <hyperlink ref="C2806" r:id="rId7205" xr:uid="{00000000-0004-0000-0200-0000241C0000}"/>
    <hyperlink ref="A2807" r:id="rId7206" xr:uid="{00000000-0004-0000-0200-0000251C0000}"/>
    <hyperlink ref="B2807" r:id="rId7207" xr:uid="{00000000-0004-0000-0200-0000261C0000}"/>
    <hyperlink ref="C2807" r:id="rId7208" xr:uid="{00000000-0004-0000-0200-0000271C0000}"/>
    <hyperlink ref="A2808" r:id="rId7209" xr:uid="{00000000-0004-0000-0200-0000281C0000}"/>
    <hyperlink ref="B2808" r:id="rId7210" xr:uid="{00000000-0004-0000-0200-0000291C0000}"/>
    <hyperlink ref="C2808" r:id="rId7211" xr:uid="{00000000-0004-0000-0200-00002A1C0000}"/>
    <hyperlink ref="A2809" r:id="rId7212" xr:uid="{00000000-0004-0000-0200-00002B1C0000}"/>
    <hyperlink ref="B2809" r:id="rId7213" xr:uid="{00000000-0004-0000-0200-00002C1C0000}"/>
    <hyperlink ref="C2809" r:id="rId7214" xr:uid="{00000000-0004-0000-0200-00002D1C0000}"/>
    <hyperlink ref="A2810" r:id="rId7215" xr:uid="{00000000-0004-0000-0200-00002E1C0000}"/>
    <hyperlink ref="B2810" r:id="rId7216" xr:uid="{00000000-0004-0000-0200-00002F1C0000}"/>
    <hyperlink ref="C2810" r:id="rId7217" xr:uid="{00000000-0004-0000-0200-0000301C0000}"/>
    <hyperlink ref="A2811" r:id="rId7218" xr:uid="{00000000-0004-0000-0200-0000311C0000}"/>
    <hyperlink ref="B2811" r:id="rId7219" xr:uid="{00000000-0004-0000-0200-0000321C0000}"/>
    <hyperlink ref="C2811" r:id="rId7220" xr:uid="{00000000-0004-0000-0200-0000331C0000}"/>
    <hyperlink ref="A2812" r:id="rId7221" xr:uid="{00000000-0004-0000-0200-0000341C0000}"/>
    <hyperlink ref="B2812" r:id="rId7222" xr:uid="{00000000-0004-0000-0200-0000351C0000}"/>
    <hyperlink ref="C2812" r:id="rId7223" xr:uid="{00000000-0004-0000-0200-0000361C0000}"/>
    <hyperlink ref="A2813" r:id="rId7224" xr:uid="{00000000-0004-0000-0200-0000371C0000}"/>
    <hyperlink ref="B2813" r:id="rId7225" xr:uid="{00000000-0004-0000-0200-0000381C0000}"/>
    <hyperlink ref="C2813" r:id="rId7226" xr:uid="{00000000-0004-0000-0200-0000391C0000}"/>
    <hyperlink ref="A2814" r:id="rId7227" xr:uid="{00000000-0004-0000-0200-00003A1C0000}"/>
    <hyperlink ref="B2814" r:id="rId7228" xr:uid="{00000000-0004-0000-0200-00003B1C0000}"/>
    <hyperlink ref="C2814" r:id="rId7229" xr:uid="{00000000-0004-0000-0200-00003C1C0000}"/>
    <hyperlink ref="A2815" r:id="rId7230" xr:uid="{00000000-0004-0000-0200-00003D1C0000}"/>
    <hyperlink ref="B2815" r:id="rId7231" xr:uid="{00000000-0004-0000-0200-00003E1C0000}"/>
    <hyperlink ref="C2815" r:id="rId7232" xr:uid="{00000000-0004-0000-0200-00003F1C0000}"/>
    <hyperlink ref="A2816" r:id="rId7233" xr:uid="{00000000-0004-0000-0200-0000401C0000}"/>
    <hyperlink ref="B2816" r:id="rId7234" xr:uid="{00000000-0004-0000-0200-0000411C0000}"/>
    <hyperlink ref="C2816" r:id="rId7235" xr:uid="{00000000-0004-0000-0200-0000421C0000}"/>
    <hyperlink ref="A2817" r:id="rId7236" xr:uid="{00000000-0004-0000-0200-0000431C0000}"/>
    <hyperlink ref="B2817" r:id="rId7237" xr:uid="{00000000-0004-0000-0200-0000441C0000}"/>
    <hyperlink ref="C2817" r:id="rId7238" xr:uid="{00000000-0004-0000-0200-0000451C0000}"/>
    <hyperlink ref="A2818" r:id="rId7239" xr:uid="{00000000-0004-0000-0200-0000461C0000}"/>
    <hyperlink ref="B2818" r:id="rId7240" xr:uid="{00000000-0004-0000-0200-0000471C0000}"/>
    <hyperlink ref="C2818" r:id="rId7241" xr:uid="{00000000-0004-0000-0200-0000481C0000}"/>
    <hyperlink ref="A2819" r:id="rId7242" xr:uid="{00000000-0004-0000-0200-0000491C0000}"/>
    <hyperlink ref="B2819" r:id="rId7243" xr:uid="{00000000-0004-0000-0200-00004A1C0000}"/>
    <hyperlink ref="C2819" r:id="rId7244" xr:uid="{00000000-0004-0000-0200-00004B1C0000}"/>
    <hyperlink ref="A2820" r:id="rId7245" xr:uid="{00000000-0004-0000-0200-00004C1C0000}"/>
    <hyperlink ref="B2820" r:id="rId7246" xr:uid="{00000000-0004-0000-0200-00004D1C0000}"/>
    <hyperlink ref="C2820" r:id="rId7247" xr:uid="{00000000-0004-0000-0200-00004E1C0000}"/>
    <hyperlink ref="B2821" r:id="rId7248" xr:uid="{00000000-0004-0000-0200-00004F1C0000}"/>
    <hyperlink ref="C2821" r:id="rId7249" xr:uid="{00000000-0004-0000-0200-0000501C0000}"/>
    <hyperlink ref="A2822" r:id="rId7250" xr:uid="{00000000-0004-0000-0200-0000511C0000}"/>
    <hyperlink ref="B2822" r:id="rId7251" xr:uid="{00000000-0004-0000-0200-0000521C0000}"/>
    <hyperlink ref="C2822" r:id="rId7252" xr:uid="{00000000-0004-0000-0200-0000531C0000}"/>
    <hyperlink ref="A2823" r:id="rId7253" xr:uid="{00000000-0004-0000-0200-0000541C0000}"/>
    <hyperlink ref="B2823" r:id="rId7254" xr:uid="{00000000-0004-0000-0200-0000551C0000}"/>
    <hyperlink ref="C2823" r:id="rId7255" xr:uid="{00000000-0004-0000-0200-0000561C0000}"/>
    <hyperlink ref="A2824" r:id="rId7256" xr:uid="{00000000-0004-0000-0200-0000571C0000}"/>
    <hyperlink ref="B2824" r:id="rId7257" xr:uid="{00000000-0004-0000-0200-0000581C0000}"/>
    <hyperlink ref="C2824" r:id="rId7258" xr:uid="{00000000-0004-0000-0200-0000591C0000}"/>
    <hyperlink ref="A2825" r:id="rId7259" xr:uid="{00000000-0004-0000-0200-00005A1C0000}"/>
    <hyperlink ref="B2825" r:id="rId7260" xr:uid="{00000000-0004-0000-0200-00005B1C0000}"/>
    <hyperlink ref="C2825" r:id="rId7261" xr:uid="{00000000-0004-0000-0200-00005C1C0000}"/>
    <hyperlink ref="A2826" r:id="rId7262" xr:uid="{00000000-0004-0000-0200-00005D1C0000}"/>
    <hyperlink ref="B2826" r:id="rId7263" xr:uid="{00000000-0004-0000-0200-00005E1C0000}"/>
    <hyperlink ref="C2826" r:id="rId7264" xr:uid="{00000000-0004-0000-0200-00005F1C0000}"/>
    <hyperlink ref="A2827" r:id="rId7265" xr:uid="{00000000-0004-0000-0200-0000601C0000}"/>
    <hyperlink ref="B2827" r:id="rId7266" xr:uid="{00000000-0004-0000-0200-0000611C0000}"/>
    <hyperlink ref="C2827" r:id="rId7267" xr:uid="{00000000-0004-0000-0200-0000621C0000}"/>
    <hyperlink ref="A2828" r:id="rId7268" xr:uid="{00000000-0004-0000-0200-0000631C0000}"/>
    <hyperlink ref="B2828" r:id="rId7269" xr:uid="{00000000-0004-0000-0200-0000641C0000}"/>
    <hyperlink ref="C2828" r:id="rId7270" xr:uid="{00000000-0004-0000-0200-0000651C0000}"/>
    <hyperlink ref="A2829" r:id="rId7271" xr:uid="{00000000-0004-0000-0200-0000661C0000}"/>
    <hyperlink ref="B2829" r:id="rId7272" xr:uid="{00000000-0004-0000-0200-0000671C0000}"/>
    <hyperlink ref="C2829" r:id="rId7273" xr:uid="{00000000-0004-0000-0200-0000681C0000}"/>
    <hyperlink ref="A2830" r:id="rId7274" xr:uid="{00000000-0004-0000-0200-0000691C0000}"/>
    <hyperlink ref="B2830" r:id="rId7275" xr:uid="{00000000-0004-0000-0200-00006A1C0000}"/>
    <hyperlink ref="C2830" r:id="rId7276" xr:uid="{00000000-0004-0000-0200-00006B1C0000}"/>
    <hyperlink ref="A2831" r:id="rId7277" xr:uid="{00000000-0004-0000-0200-00006C1C0000}"/>
    <hyperlink ref="B2831" r:id="rId7278" xr:uid="{00000000-0004-0000-0200-00006D1C0000}"/>
    <hyperlink ref="C2831" r:id="rId7279" xr:uid="{00000000-0004-0000-0200-00006E1C0000}"/>
    <hyperlink ref="A2832" r:id="rId7280" xr:uid="{00000000-0004-0000-0200-00006F1C0000}"/>
    <hyperlink ref="B2832" r:id="rId7281" xr:uid="{00000000-0004-0000-0200-0000701C0000}"/>
    <hyperlink ref="C2832" r:id="rId7282" xr:uid="{00000000-0004-0000-0200-0000711C0000}"/>
    <hyperlink ref="A2833" r:id="rId7283" xr:uid="{00000000-0004-0000-0200-0000721C0000}"/>
    <hyperlink ref="B2833" r:id="rId7284" xr:uid="{00000000-0004-0000-0200-0000731C0000}"/>
    <hyperlink ref="C2833" r:id="rId7285" xr:uid="{00000000-0004-0000-0200-0000741C0000}"/>
    <hyperlink ref="A2834" r:id="rId7286" xr:uid="{00000000-0004-0000-0200-0000751C0000}"/>
    <hyperlink ref="B2834" r:id="rId7287" xr:uid="{00000000-0004-0000-0200-0000761C0000}"/>
    <hyperlink ref="C2834" r:id="rId7288" xr:uid="{00000000-0004-0000-0200-0000771C0000}"/>
    <hyperlink ref="B2835" r:id="rId7289" xr:uid="{00000000-0004-0000-0200-0000781C0000}"/>
    <hyperlink ref="C2835" r:id="rId7290" xr:uid="{00000000-0004-0000-0200-0000791C0000}"/>
    <hyperlink ref="A2836" r:id="rId7291" xr:uid="{00000000-0004-0000-0200-00007A1C0000}"/>
    <hyperlink ref="B2836" r:id="rId7292" xr:uid="{00000000-0004-0000-0200-00007B1C0000}"/>
    <hyperlink ref="C2836" r:id="rId7293" xr:uid="{00000000-0004-0000-0200-00007C1C0000}"/>
    <hyperlink ref="A2837" r:id="rId7294" xr:uid="{00000000-0004-0000-0200-00007D1C0000}"/>
    <hyperlink ref="B2837" r:id="rId7295" xr:uid="{00000000-0004-0000-0200-00007E1C0000}"/>
    <hyperlink ref="C2837" r:id="rId7296" xr:uid="{00000000-0004-0000-0200-00007F1C0000}"/>
    <hyperlink ref="A2838" r:id="rId7297" xr:uid="{00000000-0004-0000-0200-0000801C0000}"/>
    <hyperlink ref="B2838" r:id="rId7298" xr:uid="{00000000-0004-0000-0200-0000811C0000}"/>
    <hyperlink ref="C2838" r:id="rId7299" xr:uid="{00000000-0004-0000-0200-0000821C0000}"/>
    <hyperlink ref="B2839" r:id="rId7300" xr:uid="{00000000-0004-0000-0200-0000831C0000}"/>
    <hyperlink ref="C2839" r:id="rId7301" xr:uid="{00000000-0004-0000-0200-0000841C0000}"/>
    <hyperlink ref="A2840" r:id="rId7302" xr:uid="{00000000-0004-0000-0200-0000851C0000}"/>
    <hyperlink ref="B2840" r:id="rId7303" xr:uid="{00000000-0004-0000-0200-0000861C0000}"/>
    <hyperlink ref="C2840" r:id="rId7304" xr:uid="{00000000-0004-0000-0200-0000871C0000}"/>
    <hyperlink ref="A2841" r:id="rId7305" xr:uid="{00000000-0004-0000-0200-0000881C0000}"/>
    <hyperlink ref="B2841" r:id="rId7306" xr:uid="{00000000-0004-0000-0200-0000891C0000}"/>
    <hyperlink ref="C2841" r:id="rId7307" xr:uid="{00000000-0004-0000-0200-00008A1C0000}"/>
    <hyperlink ref="A2842" r:id="rId7308" xr:uid="{00000000-0004-0000-0200-00008B1C0000}"/>
    <hyperlink ref="B2842" r:id="rId7309" xr:uid="{00000000-0004-0000-0200-00008C1C0000}"/>
    <hyperlink ref="C2842" r:id="rId7310" xr:uid="{00000000-0004-0000-0200-00008D1C0000}"/>
    <hyperlink ref="A2843" r:id="rId7311" xr:uid="{00000000-0004-0000-0200-00008E1C0000}"/>
    <hyperlink ref="B2843" r:id="rId7312" xr:uid="{00000000-0004-0000-0200-00008F1C0000}"/>
    <hyperlink ref="C2843" r:id="rId7313" xr:uid="{00000000-0004-0000-0200-0000901C0000}"/>
    <hyperlink ref="A2844" r:id="rId7314" xr:uid="{00000000-0004-0000-0200-0000911C0000}"/>
    <hyperlink ref="B2844" r:id="rId7315" xr:uid="{00000000-0004-0000-0200-0000921C0000}"/>
    <hyperlink ref="C2844" r:id="rId7316" xr:uid="{00000000-0004-0000-0200-0000931C0000}"/>
    <hyperlink ref="A2845" r:id="rId7317" xr:uid="{00000000-0004-0000-0200-0000941C0000}"/>
    <hyperlink ref="B2845" r:id="rId7318" xr:uid="{00000000-0004-0000-0200-0000951C0000}"/>
    <hyperlink ref="C2845" r:id="rId7319" xr:uid="{00000000-0004-0000-0200-0000961C0000}"/>
    <hyperlink ref="A2846" r:id="rId7320" xr:uid="{00000000-0004-0000-0200-0000971C0000}"/>
    <hyperlink ref="B2846" r:id="rId7321" xr:uid="{00000000-0004-0000-0200-0000981C0000}"/>
    <hyperlink ref="C2846" r:id="rId7322" xr:uid="{00000000-0004-0000-0200-0000991C0000}"/>
    <hyperlink ref="A2847" r:id="rId7323" xr:uid="{00000000-0004-0000-0200-00009A1C0000}"/>
    <hyperlink ref="B2847" r:id="rId7324" xr:uid="{00000000-0004-0000-0200-00009B1C0000}"/>
    <hyperlink ref="C2847" r:id="rId7325" xr:uid="{00000000-0004-0000-0200-00009C1C0000}"/>
    <hyperlink ref="A2848" r:id="rId7326" xr:uid="{00000000-0004-0000-0200-00009D1C0000}"/>
    <hyperlink ref="B2848" r:id="rId7327" xr:uid="{00000000-0004-0000-0200-00009E1C0000}"/>
    <hyperlink ref="C2848" r:id="rId7328" xr:uid="{00000000-0004-0000-0200-00009F1C0000}"/>
    <hyperlink ref="A2849" r:id="rId7329" xr:uid="{00000000-0004-0000-0200-0000A01C0000}"/>
    <hyperlink ref="B2849" r:id="rId7330" xr:uid="{00000000-0004-0000-0200-0000A11C0000}"/>
    <hyperlink ref="C2849" r:id="rId7331" xr:uid="{00000000-0004-0000-0200-0000A21C0000}"/>
    <hyperlink ref="A2850" r:id="rId7332" xr:uid="{00000000-0004-0000-0200-0000A31C0000}"/>
    <hyperlink ref="B2850" r:id="rId7333" xr:uid="{00000000-0004-0000-0200-0000A41C0000}"/>
    <hyperlink ref="C2850" r:id="rId7334" xr:uid="{00000000-0004-0000-0200-0000A51C0000}"/>
    <hyperlink ref="B2851" r:id="rId7335" xr:uid="{00000000-0004-0000-0200-0000A61C0000}"/>
    <hyperlink ref="C2851" r:id="rId7336" xr:uid="{00000000-0004-0000-0200-0000A71C0000}"/>
    <hyperlink ref="A2852" r:id="rId7337" xr:uid="{00000000-0004-0000-0200-0000A81C0000}"/>
    <hyperlink ref="B2852" r:id="rId7338" xr:uid="{00000000-0004-0000-0200-0000A91C0000}"/>
    <hyperlink ref="C2852" r:id="rId7339" xr:uid="{00000000-0004-0000-0200-0000AA1C0000}"/>
    <hyperlink ref="A2853" r:id="rId7340" xr:uid="{00000000-0004-0000-0200-0000AB1C0000}"/>
    <hyperlink ref="B2853" r:id="rId7341" xr:uid="{00000000-0004-0000-0200-0000AC1C0000}"/>
    <hyperlink ref="C2853" r:id="rId7342" xr:uid="{00000000-0004-0000-0200-0000AD1C0000}"/>
    <hyperlink ref="A2854" r:id="rId7343" xr:uid="{00000000-0004-0000-0200-0000AE1C0000}"/>
    <hyperlink ref="B2854" r:id="rId7344" xr:uid="{00000000-0004-0000-0200-0000AF1C0000}"/>
    <hyperlink ref="C2854" r:id="rId7345" xr:uid="{00000000-0004-0000-0200-0000B01C0000}"/>
    <hyperlink ref="A2855" r:id="rId7346" xr:uid="{00000000-0004-0000-0200-0000B11C0000}"/>
    <hyperlink ref="B2855" r:id="rId7347" xr:uid="{00000000-0004-0000-0200-0000B21C0000}"/>
    <hyperlink ref="C2855" r:id="rId7348" xr:uid="{00000000-0004-0000-0200-0000B31C0000}"/>
    <hyperlink ref="A2856" r:id="rId7349" xr:uid="{00000000-0004-0000-0200-0000B41C0000}"/>
    <hyperlink ref="B2856" r:id="rId7350" xr:uid="{00000000-0004-0000-0200-0000B51C0000}"/>
    <hyperlink ref="C2856" r:id="rId7351" xr:uid="{00000000-0004-0000-0200-0000B61C0000}"/>
    <hyperlink ref="A2857" r:id="rId7352" xr:uid="{00000000-0004-0000-0200-0000B71C0000}"/>
    <hyperlink ref="B2857" r:id="rId7353" xr:uid="{00000000-0004-0000-0200-0000B81C0000}"/>
    <hyperlink ref="C2857" r:id="rId7354" xr:uid="{00000000-0004-0000-0200-0000B91C0000}"/>
    <hyperlink ref="A2858" r:id="rId7355" xr:uid="{00000000-0004-0000-0200-0000BA1C0000}"/>
    <hyperlink ref="B2858" r:id="rId7356" xr:uid="{00000000-0004-0000-0200-0000BB1C0000}"/>
    <hyperlink ref="C2858" r:id="rId7357" xr:uid="{00000000-0004-0000-0200-0000BC1C0000}"/>
    <hyperlink ref="A2859" r:id="rId7358" xr:uid="{00000000-0004-0000-0200-0000BD1C0000}"/>
    <hyperlink ref="B2859" r:id="rId7359" xr:uid="{00000000-0004-0000-0200-0000BE1C0000}"/>
    <hyperlink ref="C2859" r:id="rId7360" xr:uid="{00000000-0004-0000-0200-0000BF1C0000}"/>
    <hyperlink ref="A2860" r:id="rId7361" xr:uid="{00000000-0004-0000-0200-0000C01C0000}"/>
    <hyperlink ref="B2860" r:id="rId7362" xr:uid="{00000000-0004-0000-0200-0000C11C0000}"/>
    <hyperlink ref="C2860" r:id="rId7363" xr:uid="{00000000-0004-0000-0200-0000C21C0000}"/>
    <hyperlink ref="A2861" r:id="rId7364" xr:uid="{00000000-0004-0000-0200-0000C31C0000}"/>
    <hyperlink ref="B2861" r:id="rId7365" xr:uid="{00000000-0004-0000-0200-0000C41C0000}"/>
    <hyperlink ref="C2861" r:id="rId7366" xr:uid="{00000000-0004-0000-0200-0000C51C0000}"/>
    <hyperlink ref="A2862" r:id="rId7367" xr:uid="{00000000-0004-0000-0200-0000C61C0000}"/>
    <hyperlink ref="B2862" r:id="rId7368" xr:uid="{00000000-0004-0000-0200-0000C71C0000}"/>
    <hyperlink ref="C2862" r:id="rId7369" xr:uid="{00000000-0004-0000-0200-0000C81C0000}"/>
    <hyperlink ref="A2863" r:id="rId7370" xr:uid="{00000000-0004-0000-0200-0000C91C0000}"/>
    <hyperlink ref="B2863" r:id="rId7371" xr:uid="{00000000-0004-0000-0200-0000CA1C0000}"/>
    <hyperlink ref="C2863" r:id="rId7372" xr:uid="{00000000-0004-0000-0200-0000CB1C0000}"/>
    <hyperlink ref="A2864" r:id="rId7373" xr:uid="{00000000-0004-0000-0200-0000CC1C0000}"/>
    <hyperlink ref="B2864" r:id="rId7374" xr:uid="{00000000-0004-0000-0200-0000CD1C0000}"/>
    <hyperlink ref="C2864" r:id="rId7375" xr:uid="{00000000-0004-0000-0200-0000CE1C0000}"/>
    <hyperlink ref="A2865" r:id="rId7376" xr:uid="{00000000-0004-0000-0200-0000CF1C0000}"/>
    <hyperlink ref="B2865" r:id="rId7377" xr:uid="{00000000-0004-0000-0200-0000D01C0000}"/>
    <hyperlink ref="C2865" r:id="rId7378" xr:uid="{00000000-0004-0000-0200-0000D11C0000}"/>
    <hyperlink ref="A2866" r:id="rId7379" xr:uid="{00000000-0004-0000-0200-0000D21C0000}"/>
    <hyperlink ref="B2866" r:id="rId7380" xr:uid="{00000000-0004-0000-0200-0000D31C0000}"/>
    <hyperlink ref="C2866" r:id="rId7381" xr:uid="{00000000-0004-0000-0200-0000D41C0000}"/>
    <hyperlink ref="A2867" r:id="rId7382" xr:uid="{00000000-0004-0000-0200-0000D51C0000}"/>
    <hyperlink ref="B2867" r:id="rId7383" xr:uid="{00000000-0004-0000-0200-0000D61C0000}"/>
    <hyperlink ref="C2867" r:id="rId7384" xr:uid="{00000000-0004-0000-0200-0000D71C0000}"/>
    <hyperlink ref="A2868" r:id="rId7385" xr:uid="{00000000-0004-0000-0200-0000D81C0000}"/>
    <hyperlink ref="B2868" r:id="rId7386" xr:uid="{00000000-0004-0000-0200-0000D91C0000}"/>
    <hyperlink ref="C2868" r:id="rId7387" xr:uid="{00000000-0004-0000-0200-0000DA1C0000}"/>
    <hyperlink ref="A2869" r:id="rId7388" xr:uid="{00000000-0004-0000-0200-0000DB1C0000}"/>
    <hyperlink ref="B2869" r:id="rId7389" xr:uid="{00000000-0004-0000-0200-0000DC1C0000}"/>
    <hyperlink ref="C2869" r:id="rId7390" xr:uid="{00000000-0004-0000-0200-0000DD1C0000}"/>
    <hyperlink ref="A2870" r:id="rId7391" xr:uid="{00000000-0004-0000-0200-0000DE1C0000}"/>
    <hyperlink ref="B2870" r:id="rId7392" xr:uid="{00000000-0004-0000-0200-0000DF1C0000}"/>
    <hyperlink ref="C2870" r:id="rId7393" xr:uid="{00000000-0004-0000-0200-0000E01C0000}"/>
    <hyperlink ref="A2871" r:id="rId7394" xr:uid="{00000000-0004-0000-0200-0000E11C0000}"/>
    <hyperlink ref="B2871" r:id="rId7395" xr:uid="{00000000-0004-0000-0200-0000E21C0000}"/>
    <hyperlink ref="C2871" r:id="rId7396" xr:uid="{00000000-0004-0000-0200-0000E31C0000}"/>
    <hyperlink ref="A2872" r:id="rId7397" xr:uid="{00000000-0004-0000-0200-0000E41C0000}"/>
    <hyperlink ref="B2872" r:id="rId7398" xr:uid="{00000000-0004-0000-0200-0000E51C0000}"/>
    <hyperlink ref="C2872" r:id="rId7399" xr:uid="{00000000-0004-0000-0200-0000E61C0000}"/>
    <hyperlink ref="A2873" r:id="rId7400" xr:uid="{00000000-0004-0000-0200-0000E71C0000}"/>
    <hyperlink ref="B2873" r:id="rId7401" xr:uid="{00000000-0004-0000-0200-0000E81C0000}"/>
    <hyperlink ref="C2873" r:id="rId7402" xr:uid="{00000000-0004-0000-0200-0000E91C0000}"/>
    <hyperlink ref="A2874" r:id="rId7403" xr:uid="{00000000-0004-0000-0200-0000EA1C0000}"/>
    <hyperlink ref="B2874" r:id="rId7404" xr:uid="{00000000-0004-0000-0200-0000EB1C0000}"/>
    <hyperlink ref="C2874" r:id="rId7405" xr:uid="{00000000-0004-0000-0200-0000EC1C0000}"/>
    <hyperlink ref="A2875" r:id="rId7406" xr:uid="{00000000-0004-0000-0200-0000ED1C0000}"/>
    <hyperlink ref="B2875" r:id="rId7407" xr:uid="{00000000-0004-0000-0200-0000EE1C0000}"/>
    <hyperlink ref="C2875" r:id="rId7408" xr:uid="{00000000-0004-0000-0200-0000EF1C0000}"/>
    <hyperlink ref="A2876" r:id="rId7409" xr:uid="{00000000-0004-0000-0200-0000F01C0000}"/>
    <hyperlink ref="B2876" r:id="rId7410" xr:uid="{00000000-0004-0000-0200-0000F11C0000}"/>
    <hyperlink ref="C2876" r:id="rId7411" xr:uid="{00000000-0004-0000-0200-0000F21C0000}"/>
    <hyperlink ref="A2877" r:id="rId7412" xr:uid="{00000000-0004-0000-0200-0000F31C0000}"/>
    <hyperlink ref="B2877" r:id="rId7413" xr:uid="{00000000-0004-0000-0200-0000F41C0000}"/>
    <hyperlink ref="C2877" r:id="rId7414" xr:uid="{00000000-0004-0000-0200-0000F51C0000}"/>
    <hyperlink ref="B2878" r:id="rId7415" xr:uid="{00000000-0004-0000-0200-0000F61C0000}"/>
    <hyperlink ref="C2878" r:id="rId7416" xr:uid="{00000000-0004-0000-0200-0000F71C0000}"/>
    <hyperlink ref="A2879" r:id="rId7417" xr:uid="{00000000-0004-0000-0200-0000F81C0000}"/>
    <hyperlink ref="B2879" r:id="rId7418" xr:uid="{00000000-0004-0000-0200-0000F91C0000}"/>
    <hyperlink ref="C2879" r:id="rId7419" xr:uid="{00000000-0004-0000-0200-0000FA1C0000}"/>
    <hyperlink ref="A2880" r:id="rId7420" xr:uid="{00000000-0004-0000-0200-0000FB1C0000}"/>
    <hyperlink ref="B2880" r:id="rId7421" xr:uid="{00000000-0004-0000-0200-0000FC1C0000}"/>
    <hyperlink ref="C2880" r:id="rId7422" xr:uid="{00000000-0004-0000-0200-0000FD1C0000}"/>
    <hyperlink ref="A2881" r:id="rId7423" xr:uid="{00000000-0004-0000-0200-0000FE1C0000}"/>
    <hyperlink ref="B2881" r:id="rId7424" xr:uid="{00000000-0004-0000-0200-0000FF1C0000}"/>
    <hyperlink ref="C2881" r:id="rId7425" xr:uid="{00000000-0004-0000-0200-0000001D0000}"/>
    <hyperlink ref="A2882" r:id="rId7426" xr:uid="{00000000-0004-0000-0200-0000011D0000}"/>
    <hyperlink ref="B2882" r:id="rId7427" xr:uid="{00000000-0004-0000-0200-0000021D0000}"/>
    <hyperlink ref="C2882" r:id="rId7428" xr:uid="{00000000-0004-0000-0200-0000031D0000}"/>
    <hyperlink ref="A2883" r:id="rId7429" xr:uid="{00000000-0004-0000-0200-0000041D0000}"/>
    <hyperlink ref="B2883" r:id="rId7430" xr:uid="{00000000-0004-0000-0200-0000051D0000}"/>
    <hyperlink ref="C2883" r:id="rId7431" xr:uid="{00000000-0004-0000-0200-0000061D0000}"/>
    <hyperlink ref="A2884" r:id="rId7432" xr:uid="{00000000-0004-0000-0200-0000071D0000}"/>
    <hyperlink ref="B2884" r:id="rId7433" xr:uid="{00000000-0004-0000-0200-0000081D0000}"/>
    <hyperlink ref="C2884" r:id="rId7434" xr:uid="{00000000-0004-0000-0200-0000091D0000}"/>
    <hyperlink ref="A2885" r:id="rId7435" xr:uid="{00000000-0004-0000-0200-00000A1D0000}"/>
    <hyperlink ref="B2885" r:id="rId7436" xr:uid="{00000000-0004-0000-0200-00000B1D0000}"/>
    <hyperlink ref="C2885" r:id="rId7437" xr:uid="{00000000-0004-0000-0200-00000C1D0000}"/>
    <hyperlink ref="A2886" r:id="rId7438" xr:uid="{00000000-0004-0000-0200-00000D1D0000}"/>
    <hyperlink ref="B2886" r:id="rId7439" xr:uid="{00000000-0004-0000-0200-00000E1D0000}"/>
    <hyperlink ref="C2886" r:id="rId7440" xr:uid="{00000000-0004-0000-0200-00000F1D0000}"/>
    <hyperlink ref="A2887" r:id="rId7441" xr:uid="{00000000-0004-0000-0200-0000101D0000}"/>
    <hyperlink ref="B2887" r:id="rId7442" xr:uid="{00000000-0004-0000-0200-0000111D0000}"/>
    <hyperlink ref="C2887" r:id="rId7443" xr:uid="{00000000-0004-0000-0200-0000121D0000}"/>
    <hyperlink ref="A2888" r:id="rId7444" xr:uid="{00000000-0004-0000-0200-0000131D0000}"/>
    <hyperlink ref="B2888" r:id="rId7445" xr:uid="{00000000-0004-0000-0200-0000141D0000}"/>
    <hyperlink ref="C2888" r:id="rId7446" xr:uid="{00000000-0004-0000-0200-0000151D0000}"/>
    <hyperlink ref="A2889" r:id="rId7447" xr:uid="{00000000-0004-0000-0200-0000161D0000}"/>
    <hyperlink ref="B2889" r:id="rId7448" xr:uid="{00000000-0004-0000-0200-0000171D0000}"/>
    <hyperlink ref="C2889" r:id="rId7449" xr:uid="{00000000-0004-0000-0200-0000181D0000}"/>
    <hyperlink ref="A2890" r:id="rId7450" xr:uid="{00000000-0004-0000-0200-0000191D0000}"/>
    <hyperlink ref="B2890" r:id="rId7451" xr:uid="{00000000-0004-0000-0200-00001A1D0000}"/>
    <hyperlink ref="C2890" r:id="rId7452" xr:uid="{00000000-0004-0000-0200-00001B1D0000}"/>
    <hyperlink ref="A2891" r:id="rId7453" xr:uid="{00000000-0004-0000-0200-00001C1D0000}"/>
    <hyperlink ref="B2891" r:id="rId7454" xr:uid="{00000000-0004-0000-0200-00001D1D0000}"/>
    <hyperlink ref="C2891" r:id="rId7455" xr:uid="{00000000-0004-0000-0200-00001E1D0000}"/>
    <hyperlink ref="A2892" r:id="rId7456" xr:uid="{00000000-0004-0000-0200-00001F1D0000}"/>
    <hyperlink ref="B2892" r:id="rId7457" xr:uid="{00000000-0004-0000-0200-0000201D0000}"/>
    <hyperlink ref="C2892" r:id="rId7458" xr:uid="{00000000-0004-0000-0200-0000211D0000}"/>
    <hyperlink ref="A2893" r:id="rId7459" xr:uid="{00000000-0004-0000-0200-0000221D0000}"/>
    <hyperlink ref="B2893" r:id="rId7460" xr:uid="{00000000-0004-0000-0200-0000231D0000}"/>
    <hyperlink ref="C2893" r:id="rId7461" xr:uid="{00000000-0004-0000-0200-0000241D0000}"/>
    <hyperlink ref="A2894" r:id="rId7462" xr:uid="{00000000-0004-0000-0200-0000251D0000}"/>
    <hyperlink ref="B2894" r:id="rId7463" xr:uid="{00000000-0004-0000-0200-0000261D0000}"/>
    <hyperlink ref="C2894" r:id="rId7464" xr:uid="{00000000-0004-0000-0200-0000271D0000}"/>
    <hyperlink ref="A2895" r:id="rId7465" xr:uid="{00000000-0004-0000-0200-0000281D0000}"/>
    <hyperlink ref="B2895" r:id="rId7466" xr:uid="{00000000-0004-0000-0200-0000291D0000}"/>
    <hyperlink ref="C2895" r:id="rId7467" xr:uid="{00000000-0004-0000-0200-00002A1D0000}"/>
    <hyperlink ref="A2896" r:id="rId7468" xr:uid="{00000000-0004-0000-0200-00002B1D0000}"/>
    <hyperlink ref="B2896" r:id="rId7469" xr:uid="{00000000-0004-0000-0200-00002C1D0000}"/>
    <hyperlink ref="C2896" r:id="rId7470" xr:uid="{00000000-0004-0000-0200-00002D1D0000}"/>
    <hyperlink ref="A2897" r:id="rId7471" xr:uid="{00000000-0004-0000-0200-00002E1D0000}"/>
    <hyperlink ref="B2897" r:id="rId7472" xr:uid="{00000000-0004-0000-0200-00002F1D0000}"/>
    <hyperlink ref="C2897" r:id="rId7473" xr:uid="{00000000-0004-0000-0200-0000301D0000}"/>
    <hyperlink ref="A2898" r:id="rId7474" xr:uid="{00000000-0004-0000-0200-0000311D0000}"/>
    <hyperlink ref="B2898" r:id="rId7475" xr:uid="{00000000-0004-0000-0200-0000321D0000}"/>
    <hyperlink ref="C2898" r:id="rId7476" xr:uid="{00000000-0004-0000-0200-0000331D0000}"/>
    <hyperlink ref="A2899" r:id="rId7477" xr:uid="{00000000-0004-0000-0200-0000341D0000}"/>
    <hyperlink ref="B2899" r:id="rId7478" xr:uid="{00000000-0004-0000-0200-0000351D0000}"/>
    <hyperlink ref="C2899" r:id="rId7479" xr:uid="{00000000-0004-0000-0200-0000361D0000}"/>
    <hyperlink ref="A2900" r:id="rId7480" xr:uid="{00000000-0004-0000-0200-0000371D0000}"/>
    <hyperlink ref="B2900" r:id="rId7481" xr:uid="{00000000-0004-0000-0200-0000381D0000}"/>
    <hyperlink ref="C2900" r:id="rId7482" xr:uid="{00000000-0004-0000-0200-0000391D0000}"/>
    <hyperlink ref="A2901" r:id="rId7483" xr:uid="{00000000-0004-0000-0200-00003A1D0000}"/>
    <hyperlink ref="B2901" r:id="rId7484" xr:uid="{00000000-0004-0000-0200-00003B1D0000}"/>
    <hyperlink ref="C2901" r:id="rId7485" xr:uid="{00000000-0004-0000-0200-00003C1D0000}"/>
    <hyperlink ref="A2902" r:id="rId7486" xr:uid="{00000000-0004-0000-0200-00003D1D0000}"/>
    <hyperlink ref="B2902" r:id="rId7487" xr:uid="{00000000-0004-0000-0200-00003E1D0000}"/>
    <hyperlink ref="C2902" r:id="rId7488" xr:uid="{00000000-0004-0000-0200-00003F1D0000}"/>
    <hyperlink ref="A2903" r:id="rId7489" xr:uid="{00000000-0004-0000-0200-0000401D0000}"/>
    <hyperlink ref="B2903" r:id="rId7490" xr:uid="{00000000-0004-0000-0200-0000411D0000}"/>
    <hyperlink ref="C2903" r:id="rId7491" xr:uid="{00000000-0004-0000-0200-0000421D0000}"/>
    <hyperlink ref="A2904" r:id="rId7492" xr:uid="{00000000-0004-0000-0200-0000431D0000}"/>
    <hyperlink ref="B2904" r:id="rId7493" xr:uid="{00000000-0004-0000-0200-0000441D0000}"/>
    <hyperlink ref="C2904" r:id="rId7494" xr:uid="{00000000-0004-0000-0200-0000451D0000}"/>
    <hyperlink ref="A2905" r:id="rId7495" xr:uid="{00000000-0004-0000-0200-0000461D0000}"/>
    <hyperlink ref="B2905" r:id="rId7496" xr:uid="{00000000-0004-0000-0200-0000471D0000}"/>
    <hyperlink ref="C2905" r:id="rId7497" xr:uid="{00000000-0004-0000-0200-0000481D0000}"/>
    <hyperlink ref="A2906" r:id="rId7498" xr:uid="{00000000-0004-0000-0200-0000491D0000}"/>
    <hyperlink ref="B2906" r:id="rId7499" xr:uid="{00000000-0004-0000-0200-00004A1D0000}"/>
    <hyperlink ref="C2906" r:id="rId7500" xr:uid="{00000000-0004-0000-0200-00004B1D0000}"/>
    <hyperlink ref="A2907" r:id="rId7501" xr:uid="{00000000-0004-0000-0200-00004C1D0000}"/>
    <hyperlink ref="B2907" r:id="rId7502" xr:uid="{00000000-0004-0000-0200-00004D1D0000}"/>
    <hyperlink ref="C2907" r:id="rId7503" xr:uid="{00000000-0004-0000-0200-00004E1D0000}"/>
    <hyperlink ref="A2908" r:id="rId7504" xr:uid="{00000000-0004-0000-0200-00004F1D0000}"/>
    <hyperlink ref="B2908" r:id="rId7505" xr:uid="{00000000-0004-0000-0200-0000501D0000}"/>
    <hyperlink ref="C2908" r:id="rId7506" xr:uid="{00000000-0004-0000-0200-0000511D0000}"/>
    <hyperlink ref="A2909" r:id="rId7507" xr:uid="{00000000-0004-0000-0200-0000521D0000}"/>
    <hyperlink ref="B2909" r:id="rId7508" xr:uid="{00000000-0004-0000-0200-0000531D0000}"/>
    <hyperlink ref="C2909" r:id="rId7509" xr:uid="{00000000-0004-0000-0200-0000541D0000}"/>
    <hyperlink ref="A2910" r:id="rId7510" xr:uid="{00000000-0004-0000-0200-0000551D0000}"/>
    <hyperlink ref="B2910" r:id="rId7511" xr:uid="{00000000-0004-0000-0200-0000561D0000}"/>
    <hyperlink ref="C2910" r:id="rId7512" xr:uid="{00000000-0004-0000-0200-0000571D0000}"/>
    <hyperlink ref="A2911" r:id="rId7513" xr:uid="{00000000-0004-0000-0200-0000581D0000}"/>
    <hyperlink ref="B2911" r:id="rId7514" xr:uid="{00000000-0004-0000-0200-0000591D0000}"/>
    <hyperlink ref="C2911" r:id="rId7515" xr:uid="{00000000-0004-0000-0200-00005A1D0000}"/>
    <hyperlink ref="A2912" r:id="rId7516" xr:uid="{00000000-0004-0000-0200-00005B1D0000}"/>
    <hyperlink ref="B2912" r:id="rId7517" xr:uid="{00000000-0004-0000-0200-00005C1D0000}"/>
    <hyperlink ref="C2912" r:id="rId7518" xr:uid="{00000000-0004-0000-0200-00005D1D0000}"/>
    <hyperlink ref="A2913" r:id="rId7519" xr:uid="{00000000-0004-0000-0200-00005E1D0000}"/>
    <hyperlink ref="B2913" r:id="rId7520" xr:uid="{00000000-0004-0000-0200-00005F1D0000}"/>
    <hyperlink ref="C2913" r:id="rId7521" xr:uid="{00000000-0004-0000-0200-0000601D0000}"/>
    <hyperlink ref="A2914" r:id="rId7522" xr:uid="{00000000-0004-0000-0200-0000611D0000}"/>
    <hyperlink ref="B2914" r:id="rId7523" xr:uid="{00000000-0004-0000-0200-0000621D0000}"/>
    <hyperlink ref="C2914" r:id="rId7524" xr:uid="{00000000-0004-0000-0200-0000631D0000}"/>
    <hyperlink ref="A2915" r:id="rId7525" xr:uid="{00000000-0004-0000-0200-0000641D0000}"/>
    <hyperlink ref="B2915" r:id="rId7526" xr:uid="{00000000-0004-0000-0200-0000651D0000}"/>
    <hyperlink ref="C2915" r:id="rId7527" xr:uid="{00000000-0004-0000-0200-0000661D0000}"/>
    <hyperlink ref="A2916" r:id="rId7528" xr:uid="{00000000-0004-0000-0200-0000671D0000}"/>
    <hyperlink ref="B2916" r:id="rId7529" xr:uid="{00000000-0004-0000-0200-0000681D0000}"/>
    <hyperlink ref="C2916" r:id="rId7530" xr:uid="{00000000-0004-0000-0200-0000691D0000}"/>
    <hyperlink ref="A2917" r:id="rId7531" xr:uid="{00000000-0004-0000-0200-00006A1D0000}"/>
    <hyperlink ref="B2917" r:id="rId7532" xr:uid="{00000000-0004-0000-0200-00006B1D0000}"/>
    <hyperlink ref="C2917" r:id="rId7533" xr:uid="{00000000-0004-0000-0200-00006C1D0000}"/>
    <hyperlink ref="A2918" r:id="rId7534" xr:uid="{00000000-0004-0000-0200-00006D1D0000}"/>
    <hyperlink ref="B2918" r:id="rId7535" xr:uid="{00000000-0004-0000-0200-00006E1D0000}"/>
    <hyperlink ref="C2918" r:id="rId7536" xr:uid="{00000000-0004-0000-0200-00006F1D0000}"/>
    <hyperlink ref="A2919" r:id="rId7537" xr:uid="{00000000-0004-0000-0200-0000701D0000}"/>
    <hyperlink ref="B2919" r:id="rId7538" xr:uid="{00000000-0004-0000-0200-0000711D0000}"/>
    <hyperlink ref="C2919" r:id="rId7539" xr:uid="{00000000-0004-0000-0200-0000721D0000}"/>
    <hyperlink ref="A2920" r:id="rId7540" xr:uid="{00000000-0004-0000-0200-0000731D0000}"/>
    <hyperlink ref="B2920" r:id="rId7541" xr:uid="{00000000-0004-0000-0200-0000741D0000}"/>
    <hyperlink ref="C2920" r:id="rId7542" xr:uid="{00000000-0004-0000-0200-0000751D0000}"/>
    <hyperlink ref="A2921" r:id="rId7543" xr:uid="{00000000-0004-0000-0200-0000761D0000}"/>
    <hyperlink ref="B2921" r:id="rId7544" xr:uid="{00000000-0004-0000-0200-0000771D0000}"/>
    <hyperlink ref="C2921" r:id="rId7545" xr:uid="{00000000-0004-0000-0200-0000781D0000}"/>
    <hyperlink ref="A2922" r:id="rId7546" xr:uid="{00000000-0004-0000-0200-0000791D0000}"/>
    <hyperlink ref="B2922" r:id="rId7547" xr:uid="{00000000-0004-0000-0200-00007A1D0000}"/>
    <hyperlink ref="C2922" r:id="rId7548" xr:uid="{00000000-0004-0000-0200-00007B1D0000}"/>
    <hyperlink ref="A2923" r:id="rId7549" xr:uid="{00000000-0004-0000-0200-00007C1D0000}"/>
    <hyperlink ref="B2923" r:id="rId7550" xr:uid="{00000000-0004-0000-0200-00007D1D0000}"/>
    <hyperlink ref="C2923" r:id="rId7551" xr:uid="{00000000-0004-0000-0200-00007E1D0000}"/>
    <hyperlink ref="A2924" r:id="rId7552" xr:uid="{00000000-0004-0000-0200-00007F1D0000}"/>
    <hyperlink ref="B2924" r:id="rId7553" xr:uid="{00000000-0004-0000-0200-0000801D0000}"/>
    <hyperlink ref="C2924" r:id="rId7554" xr:uid="{00000000-0004-0000-0200-0000811D0000}"/>
    <hyperlink ref="A2925" r:id="rId7555" xr:uid="{00000000-0004-0000-0200-0000821D0000}"/>
    <hyperlink ref="B2925" r:id="rId7556" xr:uid="{00000000-0004-0000-0200-0000831D0000}"/>
    <hyperlink ref="C2925" r:id="rId7557" xr:uid="{00000000-0004-0000-0200-0000841D0000}"/>
    <hyperlink ref="A2926" r:id="rId7558" xr:uid="{00000000-0004-0000-0200-0000851D0000}"/>
    <hyperlink ref="B2926" r:id="rId7559" xr:uid="{00000000-0004-0000-0200-0000861D0000}"/>
    <hyperlink ref="C2926" r:id="rId7560" xr:uid="{00000000-0004-0000-0200-0000871D0000}"/>
    <hyperlink ref="A2927" r:id="rId7561" xr:uid="{00000000-0004-0000-0200-0000881D0000}"/>
    <hyperlink ref="B2927" r:id="rId7562" xr:uid="{00000000-0004-0000-0200-0000891D0000}"/>
    <hyperlink ref="C2927" r:id="rId7563" xr:uid="{00000000-0004-0000-0200-00008A1D0000}"/>
    <hyperlink ref="A2928" r:id="rId7564" xr:uid="{00000000-0004-0000-0200-00008B1D0000}"/>
    <hyperlink ref="B2928" r:id="rId7565" xr:uid="{00000000-0004-0000-0200-00008C1D0000}"/>
    <hyperlink ref="C2928" r:id="rId7566" xr:uid="{00000000-0004-0000-0200-00008D1D0000}"/>
    <hyperlink ref="A2929" r:id="rId7567" xr:uid="{00000000-0004-0000-0200-00008E1D0000}"/>
    <hyperlink ref="B2929" r:id="rId7568" xr:uid="{00000000-0004-0000-0200-00008F1D0000}"/>
    <hyperlink ref="C2929" r:id="rId7569" xr:uid="{00000000-0004-0000-0200-0000901D0000}"/>
    <hyperlink ref="A2930" r:id="rId7570" xr:uid="{00000000-0004-0000-0200-0000911D0000}"/>
    <hyperlink ref="B2930" r:id="rId7571" xr:uid="{00000000-0004-0000-0200-0000921D0000}"/>
    <hyperlink ref="C2930" r:id="rId7572" xr:uid="{00000000-0004-0000-0200-0000931D0000}"/>
    <hyperlink ref="A2931" r:id="rId7573" xr:uid="{00000000-0004-0000-0200-0000941D0000}"/>
    <hyperlink ref="B2931" r:id="rId7574" xr:uid="{00000000-0004-0000-0200-0000951D0000}"/>
    <hyperlink ref="C2931" r:id="rId7575" xr:uid="{00000000-0004-0000-0200-0000961D0000}"/>
    <hyperlink ref="A2932" r:id="rId7576" xr:uid="{00000000-0004-0000-0200-0000971D0000}"/>
    <hyperlink ref="B2932" r:id="rId7577" xr:uid="{00000000-0004-0000-0200-0000981D0000}"/>
    <hyperlink ref="C2932" r:id="rId7578" xr:uid="{00000000-0004-0000-0200-0000991D0000}"/>
    <hyperlink ref="A2933" r:id="rId7579" xr:uid="{00000000-0004-0000-0200-00009A1D0000}"/>
    <hyperlink ref="B2933" r:id="rId7580" xr:uid="{00000000-0004-0000-0200-00009B1D0000}"/>
    <hyperlink ref="C2933" r:id="rId7581" xr:uid="{00000000-0004-0000-0200-00009C1D0000}"/>
    <hyperlink ref="A2934" r:id="rId7582" xr:uid="{00000000-0004-0000-0200-00009D1D0000}"/>
    <hyperlink ref="B2934" r:id="rId7583" xr:uid="{00000000-0004-0000-0200-00009E1D0000}"/>
    <hyperlink ref="C2934" r:id="rId7584" xr:uid="{00000000-0004-0000-0200-00009F1D0000}"/>
    <hyperlink ref="A2935" r:id="rId7585" xr:uid="{00000000-0004-0000-0200-0000A01D0000}"/>
    <hyperlink ref="B2935" r:id="rId7586" xr:uid="{00000000-0004-0000-0200-0000A11D0000}"/>
    <hyperlink ref="C2935" r:id="rId7587" xr:uid="{00000000-0004-0000-0200-0000A21D0000}"/>
    <hyperlink ref="A2936" r:id="rId7588" xr:uid="{00000000-0004-0000-0200-0000A31D0000}"/>
    <hyperlink ref="B2936" r:id="rId7589" xr:uid="{00000000-0004-0000-0200-0000A41D0000}"/>
    <hyperlink ref="C2936" r:id="rId7590" xr:uid="{00000000-0004-0000-0200-0000A51D0000}"/>
    <hyperlink ref="A2937" r:id="rId7591" xr:uid="{00000000-0004-0000-0200-0000A61D0000}"/>
    <hyperlink ref="B2937" r:id="rId7592" xr:uid="{00000000-0004-0000-0200-0000A71D0000}"/>
    <hyperlink ref="C2937" r:id="rId7593" xr:uid="{00000000-0004-0000-0200-0000A81D0000}"/>
    <hyperlink ref="A2938" r:id="rId7594" xr:uid="{00000000-0004-0000-0200-0000A91D0000}"/>
    <hyperlink ref="B2938" r:id="rId7595" xr:uid="{00000000-0004-0000-0200-0000AA1D0000}"/>
    <hyperlink ref="C2938" r:id="rId7596" xr:uid="{00000000-0004-0000-0200-0000AB1D0000}"/>
    <hyperlink ref="A2939" r:id="rId7597" xr:uid="{00000000-0004-0000-0200-0000AC1D0000}"/>
    <hyperlink ref="B2939" r:id="rId7598" xr:uid="{00000000-0004-0000-0200-0000AD1D0000}"/>
    <hyperlink ref="C2939" r:id="rId7599" xr:uid="{00000000-0004-0000-0200-0000AE1D0000}"/>
    <hyperlink ref="A2940" r:id="rId7600" xr:uid="{00000000-0004-0000-0200-0000AF1D0000}"/>
    <hyperlink ref="B2940" r:id="rId7601" xr:uid="{00000000-0004-0000-0200-0000B01D0000}"/>
    <hyperlink ref="C2940" r:id="rId7602" xr:uid="{00000000-0004-0000-0200-0000B11D0000}"/>
    <hyperlink ref="A2941" r:id="rId7603" xr:uid="{00000000-0004-0000-0200-0000B21D0000}"/>
    <hyperlink ref="B2941" r:id="rId7604" xr:uid="{00000000-0004-0000-0200-0000B31D0000}"/>
    <hyperlink ref="C2941" r:id="rId7605" xr:uid="{00000000-0004-0000-0200-0000B41D0000}"/>
    <hyperlink ref="A2942" r:id="rId7606" xr:uid="{00000000-0004-0000-0200-0000B51D0000}"/>
    <hyperlink ref="B2942" r:id="rId7607" xr:uid="{00000000-0004-0000-0200-0000B61D0000}"/>
    <hyperlink ref="C2942" r:id="rId7608" xr:uid="{00000000-0004-0000-0200-0000B71D0000}"/>
    <hyperlink ref="A2943" r:id="rId7609" xr:uid="{00000000-0004-0000-0200-0000B81D0000}"/>
    <hyperlink ref="B2943" r:id="rId7610" xr:uid="{00000000-0004-0000-0200-0000B91D0000}"/>
    <hyperlink ref="C2943" r:id="rId7611" xr:uid="{00000000-0004-0000-0200-0000BA1D0000}"/>
    <hyperlink ref="A2944" r:id="rId7612" xr:uid="{00000000-0004-0000-0200-0000BB1D0000}"/>
    <hyperlink ref="B2944" r:id="rId7613" xr:uid="{00000000-0004-0000-0200-0000BC1D0000}"/>
    <hyperlink ref="C2944" r:id="rId7614" xr:uid="{00000000-0004-0000-0200-0000BD1D0000}"/>
    <hyperlink ref="A2945" r:id="rId7615" xr:uid="{00000000-0004-0000-0200-0000BE1D0000}"/>
    <hyperlink ref="B2945" r:id="rId7616" xr:uid="{00000000-0004-0000-0200-0000BF1D0000}"/>
    <hyperlink ref="C2945" r:id="rId7617" xr:uid="{00000000-0004-0000-0200-0000C01D0000}"/>
    <hyperlink ref="A2946" r:id="rId7618" xr:uid="{00000000-0004-0000-0200-0000C11D0000}"/>
    <hyperlink ref="B2946" r:id="rId7619" xr:uid="{00000000-0004-0000-0200-0000C21D0000}"/>
    <hyperlink ref="C2946" r:id="rId7620" xr:uid="{00000000-0004-0000-0200-0000C31D0000}"/>
    <hyperlink ref="A2947" r:id="rId7621" xr:uid="{00000000-0004-0000-0200-0000C41D0000}"/>
    <hyperlink ref="B2947" r:id="rId7622" xr:uid="{00000000-0004-0000-0200-0000C51D0000}"/>
    <hyperlink ref="C2947" r:id="rId7623" xr:uid="{00000000-0004-0000-0200-0000C61D0000}"/>
    <hyperlink ref="A2948" r:id="rId7624" xr:uid="{00000000-0004-0000-0200-0000C71D0000}"/>
    <hyperlink ref="B2948" r:id="rId7625" xr:uid="{00000000-0004-0000-0200-0000C81D0000}"/>
    <hyperlink ref="C2948" r:id="rId7626" xr:uid="{00000000-0004-0000-0200-0000C91D0000}"/>
    <hyperlink ref="A2949" r:id="rId7627" xr:uid="{00000000-0004-0000-0200-0000CA1D0000}"/>
    <hyperlink ref="B2949" r:id="rId7628" xr:uid="{00000000-0004-0000-0200-0000CB1D0000}"/>
    <hyperlink ref="C2949" r:id="rId7629" xr:uid="{00000000-0004-0000-0200-0000CC1D0000}"/>
    <hyperlink ref="A2950" r:id="rId7630" xr:uid="{00000000-0004-0000-0200-0000CD1D0000}"/>
    <hyperlink ref="B2950" r:id="rId7631" xr:uid="{00000000-0004-0000-0200-0000CE1D0000}"/>
    <hyperlink ref="C2950" r:id="rId7632" xr:uid="{00000000-0004-0000-0200-0000CF1D0000}"/>
    <hyperlink ref="A2951" r:id="rId7633" xr:uid="{00000000-0004-0000-0200-0000D01D0000}"/>
    <hyperlink ref="B2951" r:id="rId7634" xr:uid="{00000000-0004-0000-0200-0000D11D0000}"/>
    <hyperlink ref="C2951" r:id="rId7635" xr:uid="{00000000-0004-0000-0200-0000D21D0000}"/>
    <hyperlink ref="A2952" r:id="rId7636" xr:uid="{00000000-0004-0000-0200-0000D31D0000}"/>
    <hyperlink ref="B2952" r:id="rId7637" xr:uid="{00000000-0004-0000-0200-0000D41D0000}"/>
    <hyperlink ref="C2952" r:id="rId7638" xr:uid="{00000000-0004-0000-0200-0000D51D0000}"/>
    <hyperlink ref="A2953" r:id="rId7639" xr:uid="{00000000-0004-0000-0200-0000D61D0000}"/>
    <hyperlink ref="B2953" r:id="rId7640" xr:uid="{00000000-0004-0000-0200-0000D71D0000}"/>
    <hyperlink ref="C2953" r:id="rId7641" xr:uid="{00000000-0004-0000-0200-0000D81D0000}"/>
    <hyperlink ref="A2954" r:id="rId7642" xr:uid="{00000000-0004-0000-0200-0000D91D0000}"/>
    <hyperlink ref="B2954" r:id="rId7643" xr:uid="{00000000-0004-0000-0200-0000DA1D0000}"/>
    <hyperlink ref="C2954" r:id="rId7644" xr:uid="{00000000-0004-0000-0200-0000DB1D0000}"/>
    <hyperlink ref="A2955" r:id="rId7645" xr:uid="{00000000-0004-0000-0200-0000DC1D0000}"/>
    <hyperlink ref="B2955" r:id="rId7646" xr:uid="{00000000-0004-0000-0200-0000DD1D0000}"/>
    <hyperlink ref="C2955" r:id="rId7647" xr:uid="{00000000-0004-0000-0200-0000DE1D0000}"/>
    <hyperlink ref="A2956" r:id="rId7648" xr:uid="{00000000-0004-0000-0200-0000DF1D0000}"/>
    <hyperlink ref="B2956" r:id="rId7649" xr:uid="{00000000-0004-0000-0200-0000E01D0000}"/>
    <hyperlink ref="C2956" r:id="rId7650" xr:uid="{00000000-0004-0000-0200-0000E11D0000}"/>
    <hyperlink ref="A2957" r:id="rId7651" xr:uid="{00000000-0004-0000-0200-0000E21D0000}"/>
    <hyperlink ref="B2957" r:id="rId7652" xr:uid="{00000000-0004-0000-0200-0000E31D0000}"/>
    <hyperlink ref="C2957" r:id="rId7653" xr:uid="{00000000-0004-0000-0200-0000E41D0000}"/>
    <hyperlink ref="A2958" r:id="rId7654" xr:uid="{00000000-0004-0000-0200-0000E51D0000}"/>
    <hyperlink ref="B2958" r:id="rId7655" xr:uid="{00000000-0004-0000-0200-0000E61D0000}"/>
    <hyperlink ref="C2958" r:id="rId7656" xr:uid="{00000000-0004-0000-0200-0000E71D0000}"/>
    <hyperlink ref="A2959" r:id="rId7657" xr:uid="{00000000-0004-0000-0200-0000E81D0000}"/>
    <hyperlink ref="B2959" r:id="rId7658" xr:uid="{00000000-0004-0000-0200-0000E91D0000}"/>
    <hyperlink ref="C2959" r:id="rId7659" xr:uid="{00000000-0004-0000-0200-0000EA1D0000}"/>
    <hyperlink ref="A2960" r:id="rId7660" xr:uid="{00000000-0004-0000-0200-0000EB1D0000}"/>
    <hyperlink ref="B2960" r:id="rId7661" xr:uid="{00000000-0004-0000-0200-0000EC1D0000}"/>
    <hyperlink ref="C2960" r:id="rId7662" xr:uid="{00000000-0004-0000-0200-0000ED1D0000}"/>
    <hyperlink ref="A2961" r:id="rId7663" xr:uid="{00000000-0004-0000-0200-0000EE1D0000}"/>
    <hyperlink ref="B2961" r:id="rId7664" xr:uid="{00000000-0004-0000-0200-0000EF1D0000}"/>
    <hyperlink ref="C2961" r:id="rId7665" xr:uid="{00000000-0004-0000-0200-0000F01D0000}"/>
    <hyperlink ref="A2962" r:id="rId7666" xr:uid="{00000000-0004-0000-0200-0000F11D0000}"/>
    <hyperlink ref="B2962" r:id="rId7667" xr:uid="{00000000-0004-0000-0200-0000F21D0000}"/>
    <hyperlink ref="C2962" r:id="rId7668" xr:uid="{00000000-0004-0000-0200-0000F31D0000}"/>
    <hyperlink ref="A2963" r:id="rId7669" xr:uid="{00000000-0004-0000-0200-0000F41D0000}"/>
    <hyperlink ref="B2963" r:id="rId7670" xr:uid="{00000000-0004-0000-0200-0000F51D0000}"/>
    <hyperlink ref="C2963" r:id="rId7671" xr:uid="{00000000-0004-0000-0200-0000F61D0000}"/>
    <hyperlink ref="A2964" r:id="rId7672" xr:uid="{00000000-0004-0000-0200-0000F71D0000}"/>
    <hyperlink ref="B2964" r:id="rId7673" xr:uid="{00000000-0004-0000-0200-0000F81D0000}"/>
    <hyperlink ref="C2964" r:id="rId7674" xr:uid="{00000000-0004-0000-0200-0000F91D0000}"/>
    <hyperlink ref="A2965" r:id="rId7675" xr:uid="{00000000-0004-0000-0200-0000FA1D0000}"/>
    <hyperlink ref="B2965" r:id="rId7676" xr:uid="{00000000-0004-0000-0200-0000FB1D0000}"/>
    <hyperlink ref="C2965" r:id="rId7677" xr:uid="{00000000-0004-0000-0200-0000FC1D0000}"/>
    <hyperlink ref="A2966" r:id="rId7678" xr:uid="{00000000-0004-0000-0200-0000FD1D0000}"/>
    <hyperlink ref="B2966" r:id="rId7679" xr:uid="{00000000-0004-0000-0200-0000FE1D0000}"/>
    <hyperlink ref="C2966" r:id="rId7680" xr:uid="{00000000-0004-0000-0200-0000FF1D0000}"/>
    <hyperlink ref="A2967" r:id="rId7681" xr:uid="{00000000-0004-0000-0200-0000001E0000}"/>
    <hyperlink ref="B2967" r:id="rId7682" xr:uid="{00000000-0004-0000-0200-0000011E0000}"/>
    <hyperlink ref="C2967" r:id="rId7683" xr:uid="{00000000-0004-0000-0200-0000021E0000}"/>
    <hyperlink ref="A2968" r:id="rId7684" xr:uid="{00000000-0004-0000-0200-0000031E0000}"/>
    <hyperlink ref="B2968" r:id="rId7685" xr:uid="{00000000-0004-0000-0200-0000041E0000}"/>
    <hyperlink ref="C2968" r:id="rId7686" xr:uid="{00000000-0004-0000-0200-0000051E0000}"/>
    <hyperlink ref="A2969" r:id="rId7687" xr:uid="{00000000-0004-0000-0200-0000061E0000}"/>
    <hyperlink ref="B2969" r:id="rId7688" xr:uid="{00000000-0004-0000-0200-0000071E0000}"/>
    <hyperlink ref="C2969" r:id="rId7689" xr:uid="{00000000-0004-0000-0200-0000081E0000}"/>
    <hyperlink ref="A2970" r:id="rId7690" xr:uid="{00000000-0004-0000-0200-0000091E0000}"/>
    <hyperlink ref="B2970" r:id="rId7691" xr:uid="{00000000-0004-0000-0200-00000A1E0000}"/>
    <hyperlink ref="C2970" r:id="rId7692" xr:uid="{00000000-0004-0000-0200-00000B1E0000}"/>
    <hyperlink ref="A2971" r:id="rId7693" xr:uid="{00000000-0004-0000-0200-00000C1E0000}"/>
    <hyperlink ref="B2971" r:id="rId7694" xr:uid="{00000000-0004-0000-0200-00000D1E0000}"/>
    <hyperlink ref="C2971" r:id="rId7695" xr:uid="{00000000-0004-0000-0200-00000E1E0000}"/>
    <hyperlink ref="A2972" r:id="rId7696" xr:uid="{00000000-0004-0000-0200-00000F1E0000}"/>
    <hyperlink ref="B2972" r:id="rId7697" xr:uid="{00000000-0004-0000-0200-0000101E0000}"/>
    <hyperlink ref="C2972" r:id="rId7698" xr:uid="{00000000-0004-0000-0200-0000111E0000}"/>
    <hyperlink ref="A2973" r:id="rId7699" xr:uid="{00000000-0004-0000-0200-0000121E0000}"/>
    <hyperlink ref="B2973" r:id="rId7700" xr:uid="{00000000-0004-0000-0200-0000131E0000}"/>
    <hyperlink ref="C2973" r:id="rId7701" xr:uid="{00000000-0004-0000-0200-0000141E0000}"/>
    <hyperlink ref="A2974" r:id="rId7702" xr:uid="{00000000-0004-0000-0200-0000151E0000}"/>
    <hyperlink ref="B2974" r:id="rId7703" xr:uid="{00000000-0004-0000-0200-0000161E0000}"/>
    <hyperlink ref="C2974" r:id="rId7704" xr:uid="{00000000-0004-0000-0200-0000171E0000}"/>
    <hyperlink ref="A2975" r:id="rId7705" xr:uid="{00000000-0004-0000-0200-0000181E0000}"/>
    <hyperlink ref="B2975" r:id="rId7706" xr:uid="{00000000-0004-0000-0200-0000191E0000}"/>
    <hyperlink ref="C2975" r:id="rId7707" xr:uid="{00000000-0004-0000-0200-00001A1E0000}"/>
    <hyperlink ref="A2976" r:id="rId7708" xr:uid="{00000000-0004-0000-0200-00001B1E0000}"/>
    <hyperlink ref="B2976" r:id="rId7709" xr:uid="{00000000-0004-0000-0200-00001C1E0000}"/>
    <hyperlink ref="C2976" r:id="rId7710" xr:uid="{00000000-0004-0000-0200-00001D1E0000}"/>
    <hyperlink ref="A2977" r:id="rId7711" xr:uid="{00000000-0004-0000-0200-00001E1E0000}"/>
    <hyperlink ref="B2977" r:id="rId7712" xr:uid="{00000000-0004-0000-0200-00001F1E0000}"/>
    <hyperlink ref="C2977" r:id="rId7713" xr:uid="{00000000-0004-0000-0200-0000201E0000}"/>
    <hyperlink ref="A2978" r:id="rId7714" xr:uid="{00000000-0004-0000-0200-0000211E0000}"/>
    <hyperlink ref="B2978" r:id="rId7715" xr:uid="{00000000-0004-0000-0200-0000221E0000}"/>
    <hyperlink ref="C2978" r:id="rId7716" xr:uid="{00000000-0004-0000-0200-0000231E0000}"/>
    <hyperlink ref="A2979" r:id="rId7717" xr:uid="{00000000-0004-0000-0200-0000241E0000}"/>
    <hyperlink ref="B2979" r:id="rId7718" xr:uid="{00000000-0004-0000-0200-0000251E0000}"/>
    <hyperlink ref="C2979" r:id="rId7719" xr:uid="{00000000-0004-0000-0200-0000261E0000}"/>
    <hyperlink ref="A2980" r:id="rId7720" xr:uid="{00000000-0004-0000-0200-0000271E0000}"/>
    <hyperlink ref="B2980" r:id="rId7721" xr:uid="{00000000-0004-0000-0200-0000281E0000}"/>
    <hyperlink ref="C2980" r:id="rId7722" xr:uid="{00000000-0004-0000-0200-0000291E0000}"/>
    <hyperlink ref="A2981" r:id="rId7723" xr:uid="{00000000-0004-0000-0200-00002A1E0000}"/>
    <hyperlink ref="B2981" r:id="rId7724" xr:uid="{00000000-0004-0000-0200-00002B1E0000}"/>
    <hyperlink ref="C2981" r:id="rId7725" xr:uid="{00000000-0004-0000-0200-00002C1E0000}"/>
    <hyperlink ref="A2982" r:id="rId7726" xr:uid="{00000000-0004-0000-0200-00002D1E0000}"/>
    <hyperlink ref="B2982" r:id="rId7727" xr:uid="{00000000-0004-0000-0200-00002E1E0000}"/>
    <hyperlink ref="C2982" r:id="rId7728" xr:uid="{00000000-0004-0000-0200-00002F1E0000}"/>
    <hyperlink ref="A2983" r:id="rId7729" xr:uid="{00000000-0004-0000-0200-0000301E0000}"/>
    <hyperlink ref="B2983" r:id="rId7730" xr:uid="{00000000-0004-0000-0200-0000311E0000}"/>
    <hyperlink ref="C2983" r:id="rId7731" xr:uid="{00000000-0004-0000-0200-0000321E0000}"/>
    <hyperlink ref="A2984" r:id="rId7732" xr:uid="{00000000-0004-0000-0200-0000331E0000}"/>
    <hyperlink ref="B2984" r:id="rId7733" xr:uid="{00000000-0004-0000-0200-0000341E0000}"/>
    <hyperlink ref="C2984" r:id="rId7734" xr:uid="{00000000-0004-0000-0200-0000351E0000}"/>
    <hyperlink ref="A2985" r:id="rId7735" xr:uid="{00000000-0004-0000-0200-0000361E0000}"/>
    <hyperlink ref="B2985" r:id="rId7736" xr:uid="{00000000-0004-0000-0200-0000371E0000}"/>
    <hyperlink ref="C2985" r:id="rId7737" xr:uid="{00000000-0004-0000-0200-0000381E0000}"/>
    <hyperlink ref="B2986" r:id="rId7738" xr:uid="{00000000-0004-0000-0200-0000391E0000}"/>
    <hyperlink ref="C2986" r:id="rId7739" xr:uid="{00000000-0004-0000-0200-00003A1E0000}"/>
    <hyperlink ref="A2987" r:id="rId7740" xr:uid="{00000000-0004-0000-0200-00003B1E0000}"/>
    <hyperlink ref="B2987" r:id="rId7741" xr:uid="{00000000-0004-0000-0200-00003C1E0000}"/>
    <hyperlink ref="C2987" r:id="rId7742" xr:uid="{00000000-0004-0000-0200-00003D1E0000}"/>
    <hyperlink ref="A2988" r:id="rId7743" xr:uid="{00000000-0004-0000-0200-00003E1E0000}"/>
    <hyperlink ref="B2988" r:id="rId7744" xr:uid="{00000000-0004-0000-0200-00003F1E0000}"/>
    <hyperlink ref="C2988" r:id="rId7745" xr:uid="{00000000-0004-0000-0200-0000401E0000}"/>
    <hyperlink ref="A2989" r:id="rId7746" xr:uid="{00000000-0004-0000-0200-0000411E0000}"/>
    <hyperlink ref="B2989" r:id="rId7747" xr:uid="{00000000-0004-0000-0200-0000421E0000}"/>
    <hyperlink ref="C2989" r:id="rId7748" xr:uid="{00000000-0004-0000-0200-0000431E0000}"/>
    <hyperlink ref="A2990" r:id="rId7749" xr:uid="{00000000-0004-0000-0200-0000441E0000}"/>
    <hyperlink ref="B2990" r:id="rId7750" xr:uid="{00000000-0004-0000-0200-0000451E0000}"/>
    <hyperlink ref="C2990" r:id="rId7751" xr:uid="{00000000-0004-0000-0200-0000461E0000}"/>
    <hyperlink ref="A2991" r:id="rId7752" xr:uid="{00000000-0004-0000-0200-0000471E0000}"/>
    <hyperlink ref="B2991" r:id="rId7753" xr:uid="{00000000-0004-0000-0200-0000481E0000}"/>
    <hyperlink ref="C2991" r:id="rId7754" xr:uid="{00000000-0004-0000-0200-0000491E0000}"/>
    <hyperlink ref="A2992" r:id="rId7755" xr:uid="{00000000-0004-0000-0200-00004A1E0000}"/>
    <hyperlink ref="B2992" r:id="rId7756" xr:uid="{00000000-0004-0000-0200-00004B1E0000}"/>
    <hyperlink ref="C2992" r:id="rId7757" xr:uid="{00000000-0004-0000-0200-00004C1E0000}"/>
    <hyperlink ref="A2993" r:id="rId7758" xr:uid="{00000000-0004-0000-0200-00004D1E0000}"/>
    <hyperlink ref="B2993" r:id="rId7759" xr:uid="{00000000-0004-0000-0200-00004E1E0000}"/>
    <hyperlink ref="C2993" r:id="rId7760" xr:uid="{00000000-0004-0000-0200-00004F1E0000}"/>
    <hyperlink ref="A2994" r:id="rId7761" xr:uid="{00000000-0004-0000-0200-0000501E0000}"/>
    <hyperlink ref="B2994" r:id="rId7762" xr:uid="{00000000-0004-0000-0200-0000511E0000}"/>
    <hyperlink ref="C2994" r:id="rId7763" xr:uid="{00000000-0004-0000-0200-0000521E0000}"/>
    <hyperlink ref="A2995" r:id="rId7764" xr:uid="{00000000-0004-0000-0200-0000531E0000}"/>
    <hyperlink ref="B2995" r:id="rId7765" xr:uid="{00000000-0004-0000-0200-0000541E0000}"/>
    <hyperlink ref="C2995" r:id="rId7766" xr:uid="{00000000-0004-0000-0200-0000551E0000}"/>
    <hyperlink ref="A2996" r:id="rId7767" xr:uid="{00000000-0004-0000-0200-0000561E0000}"/>
    <hyperlink ref="B2996" r:id="rId7768" xr:uid="{00000000-0004-0000-0200-0000571E0000}"/>
    <hyperlink ref="C2996" r:id="rId7769" xr:uid="{00000000-0004-0000-0200-0000581E0000}"/>
    <hyperlink ref="A2997" r:id="rId7770" xr:uid="{00000000-0004-0000-0200-0000591E0000}"/>
    <hyperlink ref="B2997" r:id="rId7771" xr:uid="{00000000-0004-0000-0200-00005A1E0000}"/>
    <hyperlink ref="C2997" r:id="rId7772" xr:uid="{00000000-0004-0000-0200-00005B1E0000}"/>
    <hyperlink ref="A2998" r:id="rId7773" xr:uid="{00000000-0004-0000-0200-00005C1E0000}"/>
    <hyperlink ref="B2998" r:id="rId7774" xr:uid="{00000000-0004-0000-0200-00005D1E0000}"/>
    <hyperlink ref="C2998" r:id="rId7775" xr:uid="{00000000-0004-0000-0200-00005E1E0000}"/>
    <hyperlink ref="A2999" r:id="rId7776" xr:uid="{00000000-0004-0000-0200-00005F1E0000}"/>
    <hyperlink ref="B2999" r:id="rId7777" xr:uid="{00000000-0004-0000-0200-0000601E0000}"/>
    <hyperlink ref="C2999" r:id="rId7778" xr:uid="{00000000-0004-0000-0200-0000611E0000}"/>
    <hyperlink ref="A3000" r:id="rId7779" xr:uid="{00000000-0004-0000-0200-0000621E0000}"/>
    <hyperlink ref="B3000" r:id="rId7780" xr:uid="{00000000-0004-0000-0200-0000631E0000}"/>
    <hyperlink ref="C3000" r:id="rId7781" xr:uid="{00000000-0004-0000-0200-0000641E0000}"/>
    <hyperlink ref="A3001" r:id="rId7782" xr:uid="{00000000-0004-0000-0200-0000651E0000}"/>
    <hyperlink ref="B3001" r:id="rId7783" xr:uid="{00000000-0004-0000-0200-0000661E0000}"/>
    <hyperlink ref="C3001" r:id="rId7784" xr:uid="{00000000-0004-0000-0200-0000671E0000}"/>
    <hyperlink ref="B3002" r:id="rId7785" xr:uid="{00000000-0004-0000-0200-0000681E0000}"/>
    <hyperlink ref="C3002" r:id="rId7786" xr:uid="{00000000-0004-0000-0200-0000691E0000}"/>
    <hyperlink ref="A3003" r:id="rId7787" xr:uid="{00000000-0004-0000-0200-00006A1E0000}"/>
    <hyperlink ref="B3003" r:id="rId7788" xr:uid="{00000000-0004-0000-0200-00006B1E0000}"/>
    <hyperlink ref="C3003" r:id="rId7789" xr:uid="{00000000-0004-0000-0200-00006C1E0000}"/>
    <hyperlink ref="A3004" r:id="rId7790" xr:uid="{00000000-0004-0000-0200-00006D1E0000}"/>
    <hyperlink ref="B3004" r:id="rId7791" xr:uid="{00000000-0004-0000-0200-00006E1E0000}"/>
    <hyperlink ref="C3004" r:id="rId7792" xr:uid="{00000000-0004-0000-0200-00006F1E0000}"/>
    <hyperlink ref="A3005" r:id="rId7793" xr:uid="{00000000-0004-0000-0200-0000701E0000}"/>
    <hyperlink ref="B3005" r:id="rId7794" xr:uid="{00000000-0004-0000-0200-0000711E0000}"/>
    <hyperlink ref="C3005" r:id="rId7795" xr:uid="{00000000-0004-0000-0200-0000721E0000}"/>
    <hyperlink ref="A3006" r:id="rId7796" xr:uid="{00000000-0004-0000-0200-0000731E0000}"/>
    <hyperlink ref="B3006" r:id="rId7797" xr:uid="{00000000-0004-0000-0200-0000741E0000}"/>
    <hyperlink ref="C3006" r:id="rId7798" xr:uid="{00000000-0004-0000-0200-0000751E0000}"/>
    <hyperlink ref="A3007" r:id="rId7799" xr:uid="{00000000-0004-0000-0200-0000761E0000}"/>
    <hyperlink ref="B3007" r:id="rId7800" xr:uid="{00000000-0004-0000-0200-0000771E0000}"/>
    <hyperlink ref="C3007" r:id="rId7801" xr:uid="{00000000-0004-0000-0200-0000781E0000}"/>
    <hyperlink ref="A3008" r:id="rId7802" xr:uid="{00000000-0004-0000-0200-0000791E0000}"/>
    <hyperlink ref="B3008" r:id="rId7803" xr:uid="{00000000-0004-0000-0200-00007A1E0000}"/>
    <hyperlink ref="C3008" r:id="rId7804" xr:uid="{00000000-0004-0000-0200-00007B1E0000}"/>
    <hyperlink ref="A3009" r:id="rId7805" xr:uid="{00000000-0004-0000-0200-00007C1E0000}"/>
    <hyperlink ref="B3009" r:id="rId7806" xr:uid="{00000000-0004-0000-0200-00007D1E0000}"/>
    <hyperlink ref="C3009" r:id="rId7807" xr:uid="{00000000-0004-0000-0200-00007E1E0000}"/>
    <hyperlink ref="A3010" r:id="rId7808" xr:uid="{00000000-0004-0000-0200-00007F1E0000}"/>
    <hyperlink ref="B3010" r:id="rId7809" xr:uid="{00000000-0004-0000-0200-0000801E0000}"/>
    <hyperlink ref="C3010" r:id="rId7810" xr:uid="{00000000-0004-0000-0200-0000811E0000}"/>
    <hyperlink ref="A3011" r:id="rId7811" xr:uid="{00000000-0004-0000-0200-0000821E0000}"/>
    <hyperlink ref="B3011" r:id="rId7812" xr:uid="{00000000-0004-0000-0200-0000831E0000}"/>
    <hyperlink ref="C3011" r:id="rId7813" xr:uid="{00000000-0004-0000-0200-0000841E0000}"/>
    <hyperlink ref="A3012" r:id="rId7814" xr:uid="{00000000-0004-0000-0200-0000851E0000}"/>
    <hyperlink ref="B3012" r:id="rId7815" xr:uid="{00000000-0004-0000-0200-0000861E0000}"/>
    <hyperlink ref="C3012" r:id="rId7816" xr:uid="{00000000-0004-0000-0200-0000871E0000}"/>
    <hyperlink ref="A3013" r:id="rId7817" xr:uid="{00000000-0004-0000-0200-0000881E0000}"/>
    <hyperlink ref="B3013" r:id="rId7818" xr:uid="{00000000-0004-0000-0200-0000891E0000}"/>
    <hyperlink ref="C3013" r:id="rId7819" xr:uid="{00000000-0004-0000-0200-00008A1E0000}"/>
    <hyperlink ref="A3014" r:id="rId7820" xr:uid="{00000000-0004-0000-0200-00008B1E0000}"/>
    <hyperlink ref="B3014" r:id="rId7821" xr:uid="{00000000-0004-0000-0200-00008C1E0000}"/>
    <hyperlink ref="C3014" r:id="rId7822" xr:uid="{00000000-0004-0000-0200-00008D1E0000}"/>
    <hyperlink ref="A3015" r:id="rId7823" xr:uid="{00000000-0004-0000-0200-00008E1E0000}"/>
    <hyperlink ref="B3015" r:id="rId7824" xr:uid="{00000000-0004-0000-0200-00008F1E0000}"/>
    <hyperlink ref="C3015" r:id="rId7825" xr:uid="{00000000-0004-0000-0200-0000901E0000}"/>
    <hyperlink ref="A3016" r:id="rId7826" xr:uid="{00000000-0004-0000-0200-0000911E0000}"/>
    <hyperlink ref="B3016" r:id="rId7827" xr:uid="{00000000-0004-0000-0200-0000921E0000}"/>
    <hyperlink ref="C3016" r:id="rId7828" xr:uid="{00000000-0004-0000-0200-0000931E0000}"/>
    <hyperlink ref="A3017" r:id="rId7829" xr:uid="{00000000-0004-0000-0200-0000941E0000}"/>
    <hyperlink ref="B3017" r:id="rId7830" xr:uid="{00000000-0004-0000-0200-0000951E0000}"/>
    <hyperlink ref="C3017" r:id="rId7831" xr:uid="{00000000-0004-0000-0200-0000961E0000}"/>
    <hyperlink ref="A3018" r:id="rId7832" xr:uid="{00000000-0004-0000-0200-0000971E0000}"/>
    <hyperlink ref="B3018" r:id="rId7833" xr:uid="{00000000-0004-0000-0200-0000981E0000}"/>
    <hyperlink ref="C3018" r:id="rId7834" xr:uid="{00000000-0004-0000-0200-0000991E0000}"/>
    <hyperlink ref="A3019" r:id="rId7835" xr:uid="{00000000-0004-0000-0200-00009A1E0000}"/>
    <hyperlink ref="B3019" r:id="rId7836" xr:uid="{00000000-0004-0000-0200-00009B1E0000}"/>
    <hyperlink ref="C3019" r:id="rId7837" xr:uid="{00000000-0004-0000-0200-00009C1E0000}"/>
    <hyperlink ref="A3020" r:id="rId7838" xr:uid="{00000000-0004-0000-0200-00009D1E0000}"/>
    <hyperlink ref="B3020" r:id="rId7839" xr:uid="{00000000-0004-0000-0200-00009E1E0000}"/>
    <hyperlink ref="C3020" r:id="rId7840" xr:uid="{00000000-0004-0000-0200-00009F1E0000}"/>
    <hyperlink ref="A3021" r:id="rId7841" xr:uid="{00000000-0004-0000-0200-0000A01E0000}"/>
    <hyperlink ref="B3021" r:id="rId7842" xr:uid="{00000000-0004-0000-0200-0000A11E0000}"/>
    <hyperlink ref="C3021" r:id="rId7843" xr:uid="{00000000-0004-0000-0200-0000A21E0000}"/>
    <hyperlink ref="A3022" r:id="rId7844" xr:uid="{00000000-0004-0000-0200-0000A31E0000}"/>
    <hyperlink ref="B3022" r:id="rId7845" xr:uid="{00000000-0004-0000-0200-0000A41E0000}"/>
    <hyperlink ref="C3022" r:id="rId7846" xr:uid="{00000000-0004-0000-0200-0000A51E0000}"/>
    <hyperlink ref="A3023" r:id="rId7847" xr:uid="{00000000-0004-0000-0200-0000A61E0000}"/>
    <hyperlink ref="B3023" r:id="rId7848" xr:uid="{00000000-0004-0000-0200-0000A71E0000}"/>
    <hyperlink ref="C3023" r:id="rId7849" xr:uid="{00000000-0004-0000-0200-0000A81E0000}"/>
    <hyperlink ref="A3024" r:id="rId7850" xr:uid="{00000000-0004-0000-0200-0000A91E0000}"/>
    <hyperlink ref="B3024" r:id="rId7851" xr:uid="{00000000-0004-0000-0200-0000AA1E0000}"/>
    <hyperlink ref="C3024" r:id="rId7852" xr:uid="{00000000-0004-0000-0200-0000AB1E0000}"/>
    <hyperlink ref="A3025" r:id="rId7853" xr:uid="{00000000-0004-0000-0200-0000AC1E0000}"/>
    <hyperlink ref="B3025" r:id="rId7854" xr:uid="{00000000-0004-0000-0200-0000AD1E0000}"/>
    <hyperlink ref="C3025" r:id="rId7855" xr:uid="{00000000-0004-0000-0200-0000AE1E0000}"/>
    <hyperlink ref="A3026" r:id="rId7856" xr:uid="{00000000-0004-0000-0200-0000AF1E0000}"/>
    <hyperlink ref="B3026" r:id="rId7857" xr:uid="{00000000-0004-0000-0200-0000B01E0000}"/>
    <hyperlink ref="C3026" r:id="rId7858" xr:uid="{00000000-0004-0000-0200-0000B11E0000}"/>
    <hyperlink ref="A3027" r:id="rId7859" xr:uid="{00000000-0004-0000-0200-0000B21E0000}"/>
    <hyperlink ref="B3027" r:id="rId7860" xr:uid="{00000000-0004-0000-0200-0000B31E0000}"/>
    <hyperlink ref="C3027" r:id="rId7861" xr:uid="{00000000-0004-0000-0200-0000B41E0000}"/>
    <hyperlink ref="A3028" r:id="rId7862" xr:uid="{00000000-0004-0000-0200-0000B51E0000}"/>
    <hyperlink ref="B3028" r:id="rId7863" xr:uid="{00000000-0004-0000-0200-0000B61E0000}"/>
    <hyperlink ref="C3028" r:id="rId7864" xr:uid="{00000000-0004-0000-0200-0000B71E0000}"/>
    <hyperlink ref="A3029" r:id="rId7865" xr:uid="{00000000-0004-0000-0200-0000B81E0000}"/>
    <hyperlink ref="B3029" r:id="rId7866" xr:uid="{00000000-0004-0000-0200-0000B91E0000}"/>
    <hyperlink ref="C3029" r:id="rId7867" xr:uid="{00000000-0004-0000-0200-0000BA1E0000}"/>
    <hyperlink ref="A3030" r:id="rId7868" xr:uid="{00000000-0004-0000-0200-0000BB1E0000}"/>
    <hyperlink ref="B3030" r:id="rId7869" xr:uid="{00000000-0004-0000-0200-0000BC1E0000}"/>
    <hyperlink ref="C3030" r:id="rId7870" xr:uid="{00000000-0004-0000-0200-0000BD1E0000}"/>
    <hyperlink ref="A3031" r:id="rId7871" xr:uid="{00000000-0004-0000-0200-0000BE1E0000}"/>
    <hyperlink ref="B3031" r:id="rId7872" xr:uid="{00000000-0004-0000-0200-0000BF1E0000}"/>
    <hyperlink ref="C3031" r:id="rId7873" xr:uid="{00000000-0004-0000-0200-0000C01E0000}"/>
    <hyperlink ref="A3032" r:id="rId7874" xr:uid="{00000000-0004-0000-0200-0000C11E0000}"/>
    <hyperlink ref="B3032" r:id="rId7875" xr:uid="{00000000-0004-0000-0200-0000C21E0000}"/>
    <hyperlink ref="C3032" r:id="rId7876" xr:uid="{00000000-0004-0000-0200-0000C31E0000}"/>
    <hyperlink ref="A3033" r:id="rId7877" xr:uid="{00000000-0004-0000-0200-0000C41E0000}"/>
    <hyperlink ref="B3033" r:id="rId7878" xr:uid="{00000000-0004-0000-0200-0000C51E0000}"/>
    <hyperlink ref="C3033" r:id="rId7879" xr:uid="{00000000-0004-0000-0200-0000C61E0000}"/>
    <hyperlink ref="A3034" r:id="rId7880" xr:uid="{00000000-0004-0000-0200-0000C71E0000}"/>
    <hyperlink ref="B3034" r:id="rId7881" xr:uid="{00000000-0004-0000-0200-0000C81E0000}"/>
    <hyperlink ref="C3034" r:id="rId7882" xr:uid="{00000000-0004-0000-0200-0000C91E0000}"/>
    <hyperlink ref="A3035" r:id="rId7883" xr:uid="{00000000-0004-0000-0200-0000CA1E0000}"/>
    <hyperlink ref="B3035" r:id="rId7884" xr:uid="{00000000-0004-0000-0200-0000CB1E0000}"/>
    <hyperlink ref="C3035" r:id="rId7885" xr:uid="{00000000-0004-0000-0200-0000CC1E0000}"/>
    <hyperlink ref="A3036" r:id="rId7886" xr:uid="{00000000-0004-0000-0200-0000CD1E0000}"/>
    <hyperlink ref="B3036" r:id="rId7887" xr:uid="{00000000-0004-0000-0200-0000CE1E0000}"/>
    <hyperlink ref="C3036" r:id="rId7888" xr:uid="{00000000-0004-0000-0200-0000CF1E0000}"/>
    <hyperlink ref="A3037" r:id="rId7889" xr:uid="{00000000-0004-0000-0200-0000D01E0000}"/>
    <hyperlink ref="B3037" r:id="rId7890" xr:uid="{00000000-0004-0000-0200-0000D11E0000}"/>
    <hyperlink ref="C3037" r:id="rId7891" xr:uid="{00000000-0004-0000-0200-0000D21E0000}"/>
    <hyperlink ref="A3038" r:id="rId7892" xr:uid="{00000000-0004-0000-0200-0000D31E0000}"/>
    <hyperlink ref="B3038" r:id="rId7893" xr:uid="{00000000-0004-0000-0200-0000D41E0000}"/>
    <hyperlink ref="C3038" r:id="rId7894" xr:uid="{00000000-0004-0000-0200-0000D51E0000}"/>
    <hyperlink ref="A3039" r:id="rId7895" xr:uid="{00000000-0004-0000-0200-0000D61E0000}"/>
    <hyperlink ref="B3039" r:id="rId7896" xr:uid="{00000000-0004-0000-0200-0000D71E0000}"/>
    <hyperlink ref="C3039" r:id="rId7897" xr:uid="{00000000-0004-0000-0200-0000D81E0000}"/>
    <hyperlink ref="A3040" r:id="rId7898" xr:uid="{00000000-0004-0000-0200-0000D91E0000}"/>
    <hyperlink ref="B3040" r:id="rId7899" xr:uid="{00000000-0004-0000-0200-0000DA1E0000}"/>
    <hyperlink ref="C3040" r:id="rId7900" xr:uid="{00000000-0004-0000-0200-0000DB1E0000}"/>
    <hyperlink ref="A3041" r:id="rId7901" xr:uid="{00000000-0004-0000-0200-0000DC1E0000}"/>
    <hyperlink ref="B3041" r:id="rId7902" xr:uid="{00000000-0004-0000-0200-0000DD1E0000}"/>
    <hyperlink ref="C3041" r:id="rId7903" xr:uid="{00000000-0004-0000-0200-0000DE1E0000}"/>
    <hyperlink ref="A3042" r:id="rId7904" xr:uid="{00000000-0004-0000-0200-0000DF1E0000}"/>
    <hyperlink ref="B3042" r:id="rId7905" xr:uid="{00000000-0004-0000-0200-0000E01E0000}"/>
    <hyperlink ref="C3042" r:id="rId7906" xr:uid="{00000000-0004-0000-0200-0000E11E0000}"/>
    <hyperlink ref="A3043" r:id="rId7907" xr:uid="{00000000-0004-0000-0200-0000E21E0000}"/>
    <hyperlink ref="B3043" r:id="rId7908" xr:uid="{00000000-0004-0000-0200-0000E31E0000}"/>
    <hyperlink ref="C3043" r:id="rId7909" xr:uid="{00000000-0004-0000-0200-0000E41E0000}"/>
    <hyperlink ref="A3044" r:id="rId7910" xr:uid="{00000000-0004-0000-0200-0000E51E0000}"/>
    <hyperlink ref="B3044" r:id="rId7911" xr:uid="{00000000-0004-0000-0200-0000E61E0000}"/>
    <hyperlink ref="C3044" r:id="rId7912" xr:uid="{00000000-0004-0000-0200-0000E71E0000}"/>
    <hyperlink ref="A3045" r:id="rId7913" xr:uid="{00000000-0004-0000-0200-0000E81E0000}"/>
    <hyperlink ref="B3045" r:id="rId7914" xr:uid="{00000000-0004-0000-0200-0000E91E0000}"/>
    <hyperlink ref="C3045" r:id="rId7915" xr:uid="{00000000-0004-0000-0200-0000EA1E0000}"/>
    <hyperlink ref="A3046" r:id="rId7916" xr:uid="{00000000-0004-0000-0200-0000EB1E0000}"/>
    <hyperlink ref="B3046" r:id="rId7917" xr:uid="{00000000-0004-0000-0200-0000EC1E0000}"/>
    <hyperlink ref="C3046" r:id="rId7918" xr:uid="{00000000-0004-0000-0200-0000ED1E0000}"/>
    <hyperlink ref="A3047" r:id="rId7919" xr:uid="{00000000-0004-0000-0200-0000EE1E0000}"/>
    <hyperlink ref="B3047" r:id="rId7920" xr:uid="{00000000-0004-0000-0200-0000EF1E0000}"/>
    <hyperlink ref="C3047" r:id="rId7921" xr:uid="{00000000-0004-0000-0200-0000F01E0000}"/>
    <hyperlink ref="A3048" r:id="rId7922" xr:uid="{00000000-0004-0000-0200-0000F11E0000}"/>
    <hyperlink ref="B3048" r:id="rId7923" xr:uid="{00000000-0004-0000-0200-0000F21E0000}"/>
    <hyperlink ref="C3048" r:id="rId7924" xr:uid="{00000000-0004-0000-0200-0000F31E0000}"/>
    <hyperlink ref="A3049" r:id="rId7925" xr:uid="{00000000-0004-0000-0200-0000F41E0000}"/>
    <hyperlink ref="B3049" r:id="rId7926" xr:uid="{00000000-0004-0000-0200-0000F51E0000}"/>
    <hyperlink ref="C3049" r:id="rId7927" xr:uid="{00000000-0004-0000-0200-0000F61E0000}"/>
    <hyperlink ref="A3050" r:id="rId7928" xr:uid="{00000000-0004-0000-0200-0000F71E0000}"/>
    <hyperlink ref="B3050" r:id="rId7929" xr:uid="{00000000-0004-0000-0200-0000F81E0000}"/>
    <hyperlink ref="C3050" r:id="rId7930" xr:uid="{00000000-0004-0000-0200-0000F91E0000}"/>
    <hyperlink ref="A3051" r:id="rId7931" xr:uid="{00000000-0004-0000-0200-0000FA1E0000}"/>
    <hyperlink ref="B3051" r:id="rId7932" xr:uid="{00000000-0004-0000-0200-0000FB1E0000}"/>
    <hyperlink ref="C3051" r:id="rId7933" xr:uid="{00000000-0004-0000-0200-0000FC1E0000}"/>
    <hyperlink ref="A3052" r:id="rId7934" xr:uid="{00000000-0004-0000-0200-0000FD1E0000}"/>
    <hyperlink ref="B3052" r:id="rId7935" xr:uid="{00000000-0004-0000-0200-0000FE1E0000}"/>
    <hyperlink ref="C3052" r:id="rId7936" xr:uid="{00000000-0004-0000-0200-0000FF1E0000}"/>
    <hyperlink ref="A3053" r:id="rId7937" xr:uid="{00000000-0004-0000-0200-0000001F0000}"/>
    <hyperlink ref="B3053" r:id="rId7938" xr:uid="{00000000-0004-0000-0200-0000011F0000}"/>
    <hyperlink ref="C3053" r:id="rId7939" xr:uid="{00000000-0004-0000-0200-0000021F0000}"/>
    <hyperlink ref="A3054" r:id="rId7940" xr:uid="{00000000-0004-0000-0200-0000031F0000}"/>
    <hyperlink ref="B3054" r:id="rId7941" xr:uid="{00000000-0004-0000-0200-0000041F0000}"/>
    <hyperlink ref="C3054" r:id="rId7942" xr:uid="{00000000-0004-0000-0200-0000051F0000}"/>
    <hyperlink ref="A3055" r:id="rId7943" xr:uid="{00000000-0004-0000-0200-0000061F0000}"/>
    <hyperlink ref="B3055" r:id="rId7944" xr:uid="{00000000-0004-0000-0200-0000071F0000}"/>
    <hyperlink ref="C3055" r:id="rId7945" xr:uid="{00000000-0004-0000-0200-0000081F0000}"/>
    <hyperlink ref="A3056" r:id="rId7946" xr:uid="{00000000-0004-0000-0200-0000091F0000}"/>
    <hyperlink ref="B3056" r:id="rId7947" xr:uid="{00000000-0004-0000-0200-00000A1F0000}"/>
    <hyperlink ref="C3056" r:id="rId7948" xr:uid="{00000000-0004-0000-0200-00000B1F0000}"/>
    <hyperlink ref="A3057" r:id="rId7949" xr:uid="{00000000-0004-0000-0200-00000C1F0000}"/>
    <hyperlink ref="B3057" r:id="rId7950" xr:uid="{00000000-0004-0000-0200-00000D1F0000}"/>
    <hyperlink ref="C3057" r:id="rId7951" xr:uid="{00000000-0004-0000-0200-00000E1F0000}"/>
    <hyperlink ref="A3058" r:id="rId7952" xr:uid="{00000000-0004-0000-0200-00000F1F0000}"/>
    <hyperlink ref="B3058" r:id="rId7953" xr:uid="{00000000-0004-0000-0200-0000101F0000}"/>
    <hyperlink ref="C3058" r:id="rId7954" xr:uid="{00000000-0004-0000-0200-0000111F0000}"/>
    <hyperlink ref="A3059" r:id="rId7955" xr:uid="{00000000-0004-0000-0200-0000121F0000}"/>
    <hyperlink ref="B3059" r:id="rId7956" xr:uid="{00000000-0004-0000-0200-0000131F0000}"/>
    <hyperlink ref="C3059" r:id="rId7957" xr:uid="{00000000-0004-0000-0200-0000141F0000}"/>
    <hyperlink ref="A3060" r:id="rId7958" xr:uid="{00000000-0004-0000-0200-0000151F0000}"/>
    <hyperlink ref="B3060" r:id="rId7959" xr:uid="{00000000-0004-0000-0200-0000161F0000}"/>
    <hyperlink ref="C3060" r:id="rId7960" xr:uid="{00000000-0004-0000-0200-0000171F0000}"/>
    <hyperlink ref="A3061" r:id="rId7961" xr:uid="{00000000-0004-0000-0200-0000181F0000}"/>
    <hyperlink ref="B3061" r:id="rId7962" xr:uid="{00000000-0004-0000-0200-0000191F0000}"/>
    <hyperlink ref="C3061" r:id="rId7963" xr:uid="{00000000-0004-0000-0200-00001A1F0000}"/>
    <hyperlink ref="A3062" r:id="rId7964" xr:uid="{00000000-0004-0000-0200-00001B1F0000}"/>
    <hyperlink ref="B3062" r:id="rId7965" xr:uid="{00000000-0004-0000-0200-00001C1F0000}"/>
    <hyperlink ref="C3062" r:id="rId7966" xr:uid="{00000000-0004-0000-0200-00001D1F0000}"/>
    <hyperlink ref="A3063" r:id="rId7967" xr:uid="{00000000-0004-0000-0200-00001E1F0000}"/>
    <hyperlink ref="B3063" r:id="rId7968" xr:uid="{00000000-0004-0000-0200-00001F1F0000}"/>
    <hyperlink ref="C3063" r:id="rId7969" xr:uid="{00000000-0004-0000-0200-0000201F0000}"/>
    <hyperlink ref="A3064" r:id="rId7970" xr:uid="{00000000-0004-0000-0200-0000211F0000}"/>
    <hyperlink ref="B3064" r:id="rId7971" xr:uid="{00000000-0004-0000-0200-0000221F0000}"/>
    <hyperlink ref="C3064" r:id="rId7972" xr:uid="{00000000-0004-0000-0200-0000231F0000}"/>
    <hyperlink ref="A3065" r:id="rId7973" xr:uid="{00000000-0004-0000-0200-0000241F0000}"/>
    <hyperlink ref="B3065" r:id="rId7974" xr:uid="{00000000-0004-0000-0200-0000251F0000}"/>
    <hyperlink ref="C3065" r:id="rId7975" xr:uid="{00000000-0004-0000-0200-0000261F0000}"/>
    <hyperlink ref="A3066" r:id="rId7976" xr:uid="{00000000-0004-0000-0200-0000271F0000}"/>
    <hyperlink ref="B3066" r:id="rId7977" xr:uid="{00000000-0004-0000-0200-0000281F0000}"/>
    <hyperlink ref="C3066" r:id="rId7978" xr:uid="{00000000-0004-0000-0200-0000291F0000}"/>
    <hyperlink ref="A3067" r:id="rId7979" xr:uid="{00000000-0004-0000-0200-00002A1F0000}"/>
    <hyperlink ref="B3067" r:id="rId7980" xr:uid="{00000000-0004-0000-0200-00002B1F0000}"/>
    <hyperlink ref="C3067" r:id="rId7981" xr:uid="{00000000-0004-0000-0200-00002C1F0000}"/>
    <hyperlink ref="A3068" r:id="rId7982" xr:uid="{00000000-0004-0000-0200-00002D1F0000}"/>
    <hyperlink ref="B3068" r:id="rId7983" xr:uid="{00000000-0004-0000-0200-00002E1F0000}"/>
    <hyperlink ref="C3068" r:id="rId7984" xr:uid="{00000000-0004-0000-0200-00002F1F0000}"/>
    <hyperlink ref="A3069" r:id="rId7985" xr:uid="{00000000-0004-0000-0200-0000301F0000}"/>
    <hyperlink ref="B3069" r:id="rId7986" xr:uid="{00000000-0004-0000-0200-0000311F0000}"/>
    <hyperlink ref="C3069" r:id="rId7987" xr:uid="{00000000-0004-0000-0200-0000321F0000}"/>
    <hyperlink ref="A3070" r:id="rId7988" xr:uid="{00000000-0004-0000-0200-0000331F0000}"/>
    <hyperlink ref="B3070" r:id="rId7989" xr:uid="{00000000-0004-0000-0200-0000341F0000}"/>
    <hyperlink ref="C3070" r:id="rId7990" xr:uid="{00000000-0004-0000-0200-0000351F0000}"/>
    <hyperlink ref="A3071" r:id="rId7991" xr:uid="{00000000-0004-0000-0200-0000361F0000}"/>
    <hyperlink ref="B3071" r:id="rId7992" xr:uid="{00000000-0004-0000-0200-0000371F0000}"/>
    <hyperlink ref="C3071" r:id="rId7993" xr:uid="{00000000-0004-0000-0200-0000381F0000}"/>
    <hyperlink ref="A3072" r:id="rId7994" xr:uid="{00000000-0004-0000-0200-0000391F0000}"/>
    <hyperlink ref="B3072" r:id="rId7995" xr:uid="{00000000-0004-0000-0200-00003A1F0000}"/>
    <hyperlink ref="C3072" r:id="rId7996" xr:uid="{00000000-0004-0000-0200-00003B1F0000}"/>
    <hyperlink ref="A3073" r:id="rId7997" xr:uid="{00000000-0004-0000-0200-00003C1F0000}"/>
    <hyperlink ref="B3073" r:id="rId7998" xr:uid="{00000000-0004-0000-0200-00003D1F0000}"/>
    <hyperlink ref="C3073" r:id="rId7999" xr:uid="{00000000-0004-0000-0200-00003E1F0000}"/>
    <hyperlink ref="A3074" r:id="rId8000" xr:uid="{00000000-0004-0000-0200-00003F1F0000}"/>
    <hyperlink ref="B3074" r:id="rId8001" xr:uid="{00000000-0004-0000-0200-0000401F0000}"/>
    <hyperlink ref="C3074" r:id="rId8002" xr:uid="{00000000-0004-0000-0200-0000411F0000}"/>
    <hyperlink ref="A3075" r:id="rId8003" xr:uid="{00000000-0004-0000-0200-0000421F0000}"/>
    <hyperlink ref="B3075" r:id="rId8004" xr:uid="{00000000-0004-0000-0200-0000431F0000}"/>
    <hyperlink ref="C3075" r:id="rId8005" xr:uid="{00000000-0004-0000-0200-0000441F0000}"/>
    <hyperlink ref="A3076" r:id="rId8006" xr:uid="{00000000-0004-0000-0200-0000451F0000}"/>
    <hyperlink ref="B3076" r:id="rId8007" xr:uid="{00000000-0004-0000-0200-0000461F0000}"/>
    <hyperlink ref="C3076" r:id="rId8008" xr:uid="{00000000-0004-0000-0200-0000471F0000}"/>
    <hyperlink ref="A3077" r:id="rId8009" xr:uid="{00000000-0004-0000-0200-0000481F0000}"/>
    <hyperlink ref="B3077" r:id="rId8010" xr:uid="{00000000-0004-0000-0200-0000491F0000}"/>
    <hyperlink ref="C3077" r:id="rId8011" xr:uid="{00000000-0004-0000-0200-00004A1F0000}"/>
    <hyperlink ref="A3078" r:id="rId8012" xr:uid="{00000000-0004-0000-0200-00004B1F0000}"/>
    <hyperlink ref="B3078" r:id="rId8013" xr:uid="{00000000-0004-0000-0200-00004C1F0000}"/>
    <hyperlink ref="C3078" r:id="rId8014" xr:uid="{00000000-0004-0000-0200-00004D1F0000}"/>
    <hyperlink ref="A3079" r:id="rId8015" xr:uid="{00000000-0004-0000-0200-00004E1F0000}"/>
    <hyperlink ref="B3079" r:id="rId8016" xr:uid="{00000000-0004-0000-0200-00004F1F0000}"/>
    <hyperlink ref="C3079" r:id="rId8017" xr:uid="{00000000-0004-0000-0200-0000501F0000}"/>
    <hyperlink ref="A3080" r:id="rId8018" xr:uid="{00000000-0004-0000-0200-0000511F0000}"/>
    <hyperlink ref="B3080" r:id="rId8019" xr:uid="{00000000-0004-0000-0200-0000521F0000}"/>
    <hyperlink ref="C3080" r:id="rId8020" xr:uid="{00000000-0004-0000-0200-0000531F0000}"/>
    <hyperlink ref="A3081" r:id="rId8021" xr:uid="{00000000-0004-0000-0200-0000541F0000}"/>
    <hyperlink ref="B3081" r:id="rId8022" xr:uid="{00000000-0004-0000-0200-0000551F0000}"/>
    <hyperlink ref="C3081" r:id="rId8023" xr:uid="{00000000-0004-0000-0200-0000561F0000}"/>
    <hyperlink ref="B3082" r:id="rId8024" xr:uid="{00000000-0004-0000-0200-0000571F0000}"/>
    <hyperlink ref="C3082" r:id="rId8025" xr:uid="{00000000-0004-0000-0200-0000581F0000}"/>
    <hyperlink ref="A3083" r:id="rId8026" xr:uid="{00000000-0004-0000-0200-0000591F0000}"/>
    <hyperlink ref="B3083" r:id="rId8027" xr:uid="{00000000-0004-0000-0200-00005A1F0000}"/>
    <hyperlink ref="C3083" r:id="rId8028" xr:uid="{00000000-0004-0000-0200-00005B1F0000}"/>
    <hyperlink ref="A3084" r:id="rId8029" xr:uid="{00000000-0004-0000-0200-00005C1F0000}"/>
    <hyperlink ref="B3084" r:id="rId8030" xr:uid="{00000000-0004-0000-0200-00005D1F0000}"/>
    <hyperlink ref="C3084" r:id="rId8031" xr:uid="{00000000-0004-0000-0200-00005E1F0000}"/>
    <hyperlink ref="A3085" r:id="rId8032" xr:uid="{00000000-0004-0000-0200-00005F1F0000}"/>
    <hyperlink ref="B3085" r:id="rId8033" xr:uid="{00000000-0004-0000-0200-0000601F0000}"/>
    <hyperlink ref="C3085" r:id="rId8034" xr:uid="{00000000-0004-0000-0200-0000611F0000}"/>
    <hyperlink ref="A3086" r:id="rId8035" xr:uid="{00000000-0004-0000-0200-0000621F0000}"/>
    <hyperlink ref="B3086" r:id="rId8036" xr:uid="{00000000-0004-0000-0200-0000631F0000}"/>
    <hyperlink ref="C3086" r:id="rId8037" xr:uid="{00000000-0004-0000-0200-0000641F0000}"/>
    <hyperlink ref="A3087" r:id="rId8038" xr:uid="{00000000-0004-0000-0200-0000651F0000}"/>
    <hyperlink ref="B3087" r:id="rId8039" xr:uid="{00000000-0004-0000-0200-0000661F0000}"/>
    <hyperlink ref="C3087" r:id="rId8040" xr:uid="{00000000-0004-0000-0200-0000671F0000}"/>
    <hyperlink ref="A3088" r:id="rId8041" xr:uid="{00000000-0004-0000-0200-0000681F0000}"/>
    <hyperlink ref="B3088" r:id="rId8042" xr:uid="{00000000-0004-0000-0200-0000691F0000}"/>
    <hyperlink ref="C3088" r:id="rId8043" xr:uid="{00000000-0004-0000-0200-00006A1F0000}"/>
    <hyperlink ref="A3089" r:id="rId8044" xr:uid="{00000000-0004-0000-0200-00006B1F0000}"/>
    <hyperlink ref="B3089" r:id="rId8045" xr:uid="{00000000-0004-0000-0200-00006C1F0000}"/>
    <hyperlink ref="C3089" r:id="rId8046" xr:uid="{00000000-0004-0000-0200-00006D1F0000}"/>
    <hyperlink ref="A3090" r:id="rId8047" xr:uid="{00000000-0004-0000-0200-00006E1F0000}"/>
    <hyperlink ref="B3090" r:id="rId8048" xr:uid="{00000000-0004-0000-0200-00006F1F0000}"/>
    <hyperlink ref="C3090" r:id="rId8049" xr:uid="{00000000-0004-0000-0200-0000701F0000}"/>
    <hyperlink ref="A3091" r:id="rId8050" xr:uid="{00000000-0004-0000-0200-0000711F0000}"/>
    <hyperlink ref="B3091" r:id="rId8051" xr:uid="{00000000-0004-0000-0200-0000721F0000}"/>
    <hyperlink ref="C3091" r:id="rId8052" xr:uid="{00000000-0004-0000-0200-0000731F0000}"/>
    <hyperlink ref="A3092" r:id="rId8053" xr:uid="{00000000-0004-0000-0200-0000741F0000}"/>
    <hyperlink ref="B3092" r:id="rId8054" xr:uid="{00000000-0004-0000-0200-0000751F0000}"/>
    <hyperlink ref="C3092" r:id="rId8055" xr:uid="{00000000-0004-0000-0200-0000761F0000}"/>
    <hyperlink ref="A3093" r:id="rId8056" xr:uid="{00000000-0004-0000-0200-0000771F0000}"/>
    <hyperlink ref="B3093" r:id="rId8057" xr:uid="{00000000-0004-0000-0200-0000781F0000}"/>
    <hyperlink ref="C3093" r:id="rId8058" xr:uid="{00000000-0004-0000-0200-0000791F0000}"/>
    <hyperlink ref="A3094" r:id="rId8059" xr:uid="{00000000-0004-0000-0200-00007A1F0000}"/>
    <hyperlink ref="B3094" r:id="rId8060" xr:uid="{00000000-0004-0000-0200-00007B1F0000}"/>
    <hyperlink ref="C3094" r:id="rId8061" xr:uid="{00000000-0004-0000-0200-00007C1F0000}"/>
    <hyperlink ref="I3094" r:id="rId8062" xr:uid="{00000000-0004-0000-0200-00007D1F0000}"/>
    <hyperlink ref="A3095" r:id="rId8063" xr:uid="{00000000-0004-0000-0200-00007E1F0000}"/>
    <hyperlink ref="B3095" r:id="rId8064" xr:uid="{00000000-0004-0000-0200-00007F1F0000}"/>
    <hyperlink ref="C3095" r:id="rId8065" xr:uid="{00000000-0004-0000-0200-0000801F0000}"/>
    <hyperlink ref="A3096" r:id="rId8066" xr:uid="{00000000-0004-0000-0200-0000811F0000}"/>
    <hyperlink ref="B3096" r:id="rId8067" xr:uid="{00000000-0004-0000-0200-0000821F0000}"/>
    <hyperlink ref="C3096" r:id="rId8068" xr:uid="{00000000-0004-0000-0200-0000831F0000}"/>
    <hyperlink ref="A3097" r:id="rId8069" xr:uid="{00000000-0004-0000-0200-0000841F0000}"/>
    <hyperlink ref="B3097" r:id="rId8070" xr:uid="{00000000-0004-0000-0200-0000851F0000}"/>
    <hyperlink ref="C3097" r:id="rId8071" xr:uid="{00000000-0004-0000-0200-0000861F0000}"/>
    <hyperlink ref="A3098" r:id="rId8072" xr:uid="{00000000-0004-0000-0200-0000871F0000}"/>
    <hyperlink ref="B3098" r:id="rId8073" xr:uid="{00000000-0004-0000-0200-0000881F0000}"/>
    <hyperlink ref="C3098" r:id="rId8074" xr:uid="{00000000-0004-0000-0200-0000891F0000}"/>
    <hyperlink ref="A3099" r:id="rId8075" xr:uid="{00000000-0004-0000-0200-00008A1F0000}"/>
    <hyperlink ref="B3099" r:id="rId8076" xr:uid="{00000000-0004-0000-0200-00008B1F0000}"/>
    <hyperlink ref="C3099" r:id="rId8077" xr:uid="{00000000-0004-0000-0200-00008C1F0000}"/>
    <hyperlink ref="A3100" r:id="rId8078" xr:uid="{00000000-0004-0000-0200-00008D1F0000}"/>
    <hyperlink ref="B3100" r:id="rId8079" xr:uid="{00000000-0004-0000-0200-00008E1F0000}"/>
    <hyperlink ref="C3100" r:id="rId8080" xr:uid="{00000000-0004-0000-0200-00008F1F0000}"/>
    <hyperlink ref="A3101" r:id="rId8081" xr:uid="{00000000-0004-0000-0200-0000901F0000}"/>
    <hyperlink ref="B3101" r:id="rId8082" xr:uid="{00000000-0004-0000-0200-0000911F0000}"/>
    <hyperlink ref="C3101" r:id="rId8083" xr:uid="{00000000-0004-0000-0200-0000921F0000}"/>
    <hyperlink ref="A3102" r:id="rId8084" xr:uid="{00000000-0004-0000-0200-0000931F0000}"/>
    <hyperlink ref="B3102" r:id="rId8085" xr:uid="{00000000-0004-0000-0200-0000941F0000}"/>
    <hyperlink ref="C3102" r:id="rId8086" xr:uid="{00000000-0004-0000-0200-0000951F0000}"/>
    <hyperlink ref="A3103" r:id="rId8087" xr:uid="{00000000-0004-0000-0200-0000961F0000}"/>
    <hyperlink ref="B3103" r:id="rId8088" xr:uid="{00000000-0004-0000-0200-0000971F0000}"/>
    <hyperlink ref="C3103" r:id="rId8089" xr:uid="{00000000-0004-0000-0200-0000981F0000}"/>
    <hyperlink ref="A3104" r:id="rId8090" xr:uid="{00000000-0004-0000-0200-0000991F0000}"/>
    <hyperlink ref="B3104" r:id="rId8091" xr:uid="{00000000-0004-0000-0200-00009A1F0000}"/>
    <hyperlink ref="C3104" r:id="rId8092" xr:uid="{00000000-0004-0000-0200-00009B1F0000}"/>
    <hyperlink ref="A3105" r:id="rId8093" xr:uid="{00000000-0004-0000-0200-00009C1F0000}"/>
    <hyperlink ref="B3105" r:id="rId8094" xr:uid="{00000000-0004-0000-0200-00009D1F0000}"/>
    <hyperlink ref="C3105" r:id="rId8095" xr:uid="{00000000-0004-0000-0200-00009E1F0000}"/>
    <hyperlink ref="A3106" r:id="rId8096" xr:uid="{00000000-0004-0000-0200-00009F1F0000}"/>
    <hyperlink ref="B3106" r:id="rId8097" xr:uid="{00000000-0004-0000-0200-0000A01F0000}"/>
    <hyperlink ref="C3106" r:id="rId8098" xr:uid="{00000000-0004-0000-0200-0000A11F0000}"/>
    <hyperlink ref="A3107" r:id="rId8099" xr:uid="{00000000-0004-0000-0200-0000A21F0000}"/>
    <hyperlink ref="B3107" r:id="rId8100" xr:uid="{00000000-0004-0000-0200-0000A31F0000}"/>
    <hyperlink ref="C3107" r:id="rId8101" xr:uid="{00000000-0004-0000-0200-0000A41F0000}"/>
    <hyperlink ref="A3108" r:id="rId8102" xr:uid="{00000000-0004-0000-0200-0000A51F0000}"/>
    <hyperlink ref="B3108" r:id="rId8103" xr:uid="{00000000-0004-0000-0200-0000A61F0000}"/>
    <hyperlink ref="C3108" r:id="rId8104" xr:uid="{00000000-0004-0000-0200-0000A71F0000}"/>
    <hyperlink ref="A3109" r:id="rId8105" xr:uid="{00000000-0004-0000-0200-0000A81F0000}"/>
    <hyperlink ref="B3109" r:id="rId8106" xr:uid="{00000000-0004-0000-0200-0000A91F0000}"/>
    <hyperlink ref="C3109" r:id="rId8107" xr:uid="{00000000-0004-0000-0200-0000AA1F0000}"/>
    <hyperlink ref="A3110" r:id="rId8108" xr:uid="{00000000-0004-0000-0200-0000AB1F0000}"/>
    <hyperlink ref="B3110" r:id="rId8109" xr:uid="{00000000-0004-0000-0200-0000AC1F0000}"/>
    <hyperlink ref="C3110" r:id="rId8110" xr:uid="{00000000-0004-0000-0200-0000AD1F0000}"/>
    <hyperlink ref="A3111" r:id="rId8111" xr:uid="{00000000-0004-0000-0200-0000AE1F0000}"/>
    <hyperlink ref="B3111" r:id="rId8112" xr:uid="{00000000-0004-0000-0200-0000AF1F0000}"/>
    <hyperlink ref="C3111" r:id="rId8113" xr:uid="{00000000-0004-0000-0200-0000B01F0000}"/>
    <hyperlink ref="A3112" r:id="rId8114" xr:uid="{00000000-0004-0000-0200-0000B11F0000}"/>
    <hyperlink ref="B3112" r:id="rId8115" xr:uid="{00000000-0004-0000-0200-0000B21F0000}"/>
    <hyperlink ref="C3112" r:id="rId8116" xr:uid="{00000000-0004-0000-0200-0000B31F0000}"/>
    <hyperlink ref="A3113" r:id="rId8117" xr:uid="{00000000-0004-0000-0200-0000B41F0000}"/>
    <hyperlink ref="B3113" r:id="rId8118" xr:uid="{00000000-0004-0000-0200-0000B51F0000}"/>
    <hyperlink ref="C3113" r:id="rId8119" xr:uid="{00000000-0004-0000-0200-0000B61F0000}"/>
    <hyperlink ref="A3114" r:id="rId8120" xr:uid="{00000000-0004-0000-0200-0000B71F0000}"/>
    <hyperlink ref="B3114" r:id="rId8121" xr:uid="{00000000-0004-0000-0200-0000B81F0000}"/>
    <hyperlink ref="C3114" r:id="rId8122" xr:uid="{00000000-0004-0000-0200-0000B91F0000}"/>
    <hyperlink ref="A3115" r:id="rId8123" xr:uid="{00000000-0004-0000-0200-0000BA1F0000}"/>
    <hyperlink ref="B3115" r:id="rId8124" xr:uid="{00000000-0004-0000-0200-0000BB1F0000}"/>
    <hyperlink ref="C3115" r:id="rId8125" xr:uid="{00000000-0004-0000-0200-0000BC1F0000}"/>
    <hyperlink ref="A3116" r:id="rId8126" xr:uid="{00000000-0004-0000-0200-0000BD1F0000}"/>
    <hyperlink ref="B3116" r:id="rId8127" xr:uid="{00000000-0004-0000-0200-0000BE1F0000}"/>
    <hyperlink ref="C3116" r:id="rId8128" xr:uid="{00000000-0004-0000-0200-0000BF1F0000}"/>
    <hyperlink ref="A3117" r:id="rId8129" xr:uid="{00000000-0004-0000-0200-0000C01F0000}"/>
    <hyperlink ref="B3117" r:id="rId8130" xr:uid="{00000000-0004-0000-0200-0000C11F0000}"/>
    <hyperlink ref="C3117" r:id="rId8131" xr:uid="{00000000-0004-0000-0200-0000C21F0000}"/>
    <hyperlink ref="A3118" r:id="rId8132" xr:uid="{00000000-0004-0000-0200-0000C31F0000}"/>
    <hyperlink ref="B3118" r:id="rId8133" xr:uid="{00000000-0004-0000-0200-0000C41F0000}"/>
    <hyperlink ref="C3118" r:id="rId8134" xr:uid="{00000000-0004-0000-0200-0000C51F0000}"/>
    <hyperlink ref="A3119" r:id="rId8135" xr:uid="{00000000-0004-0000-0200-0000C61F0000}"/>
    <hyperlink ref="B3119" r:id="rId8136" xr:uid="{00000000-0004-0000-0200-0000C71F0000}"/>
    <hyperlink ref="C3119" r:id="rId8137" xr:uid="{00000000-0004-0000-0200-0000C81F0000}"/>
    <hyperlink ref="A3120" r:id="rId8138" xr:uid="{00000000-0004-0000-0200-0000C91F0000}"/>
    <hyperlink ref="B3120" r:id="rId8139" xr:uid="{00000000-0004-0000-0200-0000CA1F0000}"/>
    <hyperlink ref="C3120" r:id="rId8140" xr:uid="{00000000-0004-0000-0200-0000CB1F0000}"/>
    <hyperlink ref="A3121" r:id="rId8141" xr:uid="{00000000-0004-0000-0200-0000CC1F0000}"/>
    <hyperlink ref="B3121" r:id="rId8142" xr:uid="{00000000-0004-0000-0200-0000CD1F0000}"/>
    <hyperlink ref="C3121" r:id="rId8143" xr:uid="{00000000-0004-0000-0200-0000CE1F0000}"/>
    <hyperlink ref="A3122" r:id="rId8144" xr:uid="{00000000-0004-0000-0200-0000CF1F0000}"/>
    <hyperlink ref="B3122" r:id="rId8145" xr:uid="{00000000-0004-0000-0200-0000D01F0000}"/>
    <hyperlink ref="C3122" r:id="rId8146" xr:uid="{00000000-0004-0000-0200-0000D11F0000}"/>
    <hyperlink ref="A3123" r:id="rId8147" xr:uid="{00000000-0004-0000-0200-0000D21F0000}"/>
    <hyperlink ref="B3123" r:id="rId8148" xr:uid="{00000000-0004-0000-0200-0000D31F0000}"/>
    <hyperlink ref="C3123" r:id="rId8149" xr:uid="{00000000-0004-0000-0200-0000D41F0000}"/>
    <hyperlink ref="A3124" r:id="rId8150" xr:uid="{00000000-0004-0000-0200-0000D51F0000}"/>
    <hyperlink ref="B3124" r:id="rId8151" xr:uid="{00000000-0004-0000-0200-0000D61F0000}"/>
    <hyperlink ref="C3124" r:id="rId8152" xr:uid="{00000000-0004-0000-0200-0000D71F0000}"/>
    <hyperlink ref="A3125" r:id="rId8153" xr:uid="{00000000-0004-0000-0200-0000D81F0000}"/>
    <hyperlink ref="B3125" r:id="rId8154" xr:uid="{00000000-0004-0000-0200-0000D91F0000}"/>
    <hyperlink ref="C3125" r:id="rId8155" xr:uid="{00000000-0004-0000-0200-0000DA1F0000}"/>
    <hyperlink ref="A3126" r:id="rId8156" xr:uid="{00000000-0004-0000-0200-0000DB1F0000}"/>
    <hyperlink ref="B3126" r:id="rId8157" xr:uid="{00000000-0004-0000-0200-0000DC1F0000}"/>
    <hyperlink ref="C3126" r:id="rId8158" xr:uid="{00000000-0004-0000-0200-0000DD1F0000}"/>
    <hyperlink ref="A3127" r:id="rId8159" xr:uid="{00000000-0004-0000-0200-0000DE1F0000}"/>
    <hyperlink ref="B3127" r:id="rId8160" xr:uid="{00000000-0004-0000-0200-0000DF1F0000}"/>
    <hyperlink ref="C3127" r:id="rId8161" xr:uid="{00000000-0004-0000-0200-0000E01F0000}"/>
    <hyperlink ref="A3128" r:id="rId8162" xr:uid="{00000000-0004-0000-0200-0000E11F0000}"/>
    <hyperlink ref="B3128" r:id="rId8163" xr:uid="{00000000-0004-0000-0200-0000E21F0000}"/>
    <hyperlink ref="C3128" r:id="rId8164" xr:uid="{00000000-0004-0000-0200-0000E31F0000}"/>
    <hyperlink ref="A3129" r:id="rId8165" xr:uid="{00000000-0004-0000-0200-0000E41F0000}"/>
    <hyperlink ref="B3129" r:id="rId8166" xr:uid="{00000000-0004-0000-0200-0000E51F0000}"/>
    <hyperlink ref="C3129" r:id="rId8167" xr:uid="{00000000-0004-0000-0200-0000E61F0000}"/>
    <hyperlink ref="A3130" r:id="rId8168" xr:uid="{00000000-0004-0000-0200-0000E71F0000}"/>
    <hyperlink ref="B3130" r:id="rId8169" xr:uid="{00000000-0004-0000-0200-0000E81F0000}"/>
    <hyperlink ref="C3130" r:id="rId8170" xr:uid="{00000000-0004-0000-0200-0000E91F0000}"/>
    <hyperlink ref="A3131" r:id="rId8171" xr:uid="{00000000-0004-0000-0200-0000EA1F0000}"/>
    <hyperlink ref="B3131" r:id="rId8172" xr:uid="{00000000-0004-0000-0200-0000EB1F0000}"/>
    <hyperlink ref="C3131" r:id="rId8173" xr:uid="{00000000-0004-0000-0200-0000EC1F0000}"/>
    <hyperlink ref="A3132" r:id="rId8174" xr:uid="{00000000-0004-0000-0200-0000ED1F0000}"/>
    <hyperlink ref="B3132" r:id="rId8175" xr:uid="{00000000-0004-0000-0200-0000EE1F0000}"/>
    <hyperlink ref="C3132" r:id="rId8176" xr:uid="{00000000-0004-0000-0200-0000EF1F0000}"/>
    <hyperlink ref="A3133" r:id="rId8177" xr:uid="{00000000-0004-0000-0200-0000F01F0000}"/>
    <hyperlink ref="B3133" r:id="rId8178" xr:uid="{00000000-0004-0000-0200-0000F11F0000}"/>
    <hyperlink ref="C3133" r:id="rId8179" xr:uid="{00000000-0004-0000-0200-0000F21F0000}"/>
    <hyperlink ref="A3134" r:id="rId8180" xr:uid="{00000000-0004-0000-0200-0000F31F0000}"/>
    <hyperlink ref="B3134" r:id="rId8181" xr:uid="{00000000-0004-0000-0200-0000F41F0000}"/>
    <hyperlink ref="C3134" r:id="rId8182" xr:uid="{00000000-0004-0000-0200-0000F51F0000}"/>
    <hyperlink ref="A3135" r:id="rId8183" xr:uid="{00000000-0004-0000-0200-0000F61F0000}"/>
    <hyperlink ref="B3135" r:id="rId8184" xr:uid="{00000000-0004-0000-0200-0000F71F0000}"/>
    <hyperlink ref="C3135" r:id="rId8185" xr:uid="{00000000-0004-0000-0200-0000F81F0000}"/>
    <hyperlink ref="A3136" r:id="rId8186" xr:uid="{00000000-0004-0000-0200-0000F91F0000}"/>
    <hyperlink ref="B3136" r:id="rId8187" xr:uid="{00000000-0004-0000-0200-0000FA1F0000}"/>
    <hyperlink ref="C3136" r:id="rId8188" xr:uid="{00000000-0004-0000-0200-0000FB1F0000}"/>
    <hyperlink ref="A3137" r:id="rId8189" xr:uid="{00000000-0004-0000-0200-0000FC1F0000}"/>
    <hyperlink ref="B3137" r:id="rId8190" xr:uid="{00000000-0004-0000-0200-0000FD1F0000}"/>
    <hyperlink ref="C3137" r:id="rId8191" xr:uid="{00000000-0004-0000-0200-0000FE1F0000}"/>
    <hyperlink ref="A3138" r:id="rId8192" xr:uid="{00000000-0004-0000-0200-0000FF1F0000}"/>
    <hyperlink ref="B3138" r:id="rId8193" xr:uid="{00000000-0004-0000-0200-000000200000}"/>
    <hyperlink ref="C3138" r:id="rId8194" xr:uid="{00000000-0004-0000-0200-000001200000}"/>
    <hyperlink ref="A3139" r:id="rId8195" xr:uid="{00000000-0004-0000-0200-000002200000}"/>
    <hyperlink ref="B3139" r:id="rId8196" xr:uid="{00000000-0004-0000-0200-000003200000}"/>
    <hyperlink ref="C3139" r:id="rId8197" xr:uid="{00000000-0004-0000-0200-000004200000}"/>
    <hyperlink ref="A3140" r:id="rId8198" xr:uid="{00000000-0004-0000-0200-000005200000}"/>
    <hyperlink ref="B3140" r:id="rId8199" xr:uid="{00000000-0004-0000-0200-000006200000}"/>
    <hyperlink ref="C3140" r:id="rId8200" xr:uid="{00000000-0004-0000-0200-000007200000}"/>
    <hyperlink ref="A3141" r:id="rId8201" xr:uid="{00000000-0004-0000-0200-000008200000}"/>
    <hyperlink ref="B3141" r:id="rId8202" xr:uid="{00000000-0004-0000-0200-000009200000}"/>
    <hyperlink ref="C3141" r:id="rId8203" xr:uid="{00000000-0004-0000-0200-00000A200000}"/>
    <hyperlink ref="A3142" r:id="rId8204" xr:uid="{00000000-0004-0000-0200-00000B200000}"/>
    <hyperlink ref="B3142" r:id="rId8205" xr:uid="{00000000-0004-0000-0200-00000C200000}"/>
    <hyperlink ref="C3142" r:id="rId8206" xr:uid="{00000000-0004-0000-0200-00000D200000}"/>
    <hyperlink ref="A3143" r:id="rId8207" xr:uid="{00000000-0004-0000-0200-00000E200000}"/>
    <hyperlink ref="B3143" r:id="rId8208" xr:uid="{00000000-0004-0000-0200-00000F200000}"/>
    <hyperlink ref="C3143" r:id="rId8209" xr:uid="{00000000-0004-0000-0200-000010200000}"/>
    <hyperlink ref="A3144" r:id="rId8210" xr:uid="{00000000-0004-0000-0200-000011200000}"/>
    <hyperlink ref="B3144" r:id="rId8211" xr:uid="{00000000-0004-0000-0200-000012200000}"/>
    <hyperlink ref="C3144" r:id="rId8212" xr:uid="{00000000-0004-0000-0200-000013200000}"/>
    <hyperlink ref="A3145" r:id="rId8213" xr:uid="{00000000-0004-0000-0200-000014200000}"/>
    <hyperlink ref="B3145" r:id="rId8214" xr:uid="{00000000-0004-0000-0200-000015200000}"/>
    <hyperlink ref="C3145" r:id="rId8215" xr:uid="{00000000-0004-0000-0200-000016200000}"/>
    <hyperlink ref="A3146" r:id="rId8216" xr:uid="{00000000-0004-0000-0200-000017200000}"/>
    <hyperlink ref="B3146" r:id="rId8217" xr:uid="{00000000-0004-0000-0200-000018200000}"/>
    <hyperlink ref="C3146" r:id="rId8218" xr:uid="{00000000-0004-0000-0200-000019200000}"/>
    <hyperlink ref="A3147" r:id="rId8219" xr:uid="{00000000-0004-0000-0200-00001A200000}"/>
    <hyperlink ref="B3147" r:id="rId8220" xr:uid="{00000000-0004-0000-0200-00001B200000}"/>
    <hyperlink ref="C3147" r:id="rId8221" xr:uid="{00000000-0004-0000-0200-00001C200000}"/>
    <hyperlink ref="A3148" r:id="rId8222" xr:uid="{00000000-0004-0000-0200-00001D200000}"/>
    <hyperlink ref="B3148" r:id="rId8223" xr:uid="{00000000-0004-0000-0200-00001E200000}"/>
    <hyperlink ref="C3148" r:id="rId8224" xr:uid="{00000000-0004-0000-0200-00001F200000}"/>
    <hyperlink ref="A3149" r:id="rId8225" xr:uid="{00000000-0004-0000-0200-000020200000}"/>
    <hyperlink ref="B3149" r:id="rId8226" xr:uid="{00000000-0004-0000-0200-000021200000}"/>
    <hyperlink ref="C3149" r:id="rId8227" xr:uid="{00000000-0004-0000-0200-000022200000}"/>
    <hyperlink ref="A3150" r:id="rId8228" xr:uid="{00000000-0004-0000-0200-000023200000}"/>
    <hyperlink ref="B3150" r:id="rId8229" xr:uid="{00000000-0004-0000-0200-000024200000}"/>
    <hyperlink ref="C3150" r:id="rId8230" xr:uid="{00000000-0004-0000-0200-000025200000}"/>
    <hyperlink ref="A3151" r:id="rId8231" xr:uid="{00000000-0004-0000-0200-000026200000}"/>
    <hyperlink ref="B3151" r:id="rId8232" xr:uid="{00000000-0004-0000-0200-000027200000}"/>
    <hyperlink ref="C3151" r:id="rId8233" xr:uid="{00000000-0004-0000-0200-000028200000}"/>
    <hyperlink ref="A3152" r:id="rId8234" xr:uid="{00000000-0004-0000-0200-000029200000}"/>
    <hyperlink ref="B3152" r:id="rId8235" xr:uid="{00000000-0004-0000-0200-00002A200000}"/>
    <hyperlink ref="C3152" r:id="rId8236" xr:uid="{00000000-0004-0000-0200-00002B200000}"/>
    <hyperlink ref="A3153" r:id="rId8237" xr:uid="{00000000-0004-0000-0200-00002C200000}"/>
    <hyperlink ref="B3153" r:id="rId8238" xr:uid="{00000000-0004-0000-0200-00002D200000}"/>
    <hyperlink ref="C3153" r:id="rId8239" xr:uid="{00000000-0004-0000-0200-00002E200000}"/>
    <hyperlink ref="A3154" r:id="rId8240" xr:uid="{00000000-0004-0000-0200-00002F200000}"/>
    <hyperlink ref="B3154" r:id="rId8241" xr:uid="{00000000-0004-0000-0200-000030200000}"/>
    <hyperlink ref="C3154" r:id="rId8242" xr:uid="{00000000-0004-0000-0200-000031200000}"/>
    <hyperlink ref="A3155" r:id="rId8243" xr:uid="{00000000-0004-0000-0200-000032200000}"/>
    <hyperlink ref="B3155" r:id="rId8244" xr:uid="{00000000-0004-0000-0200-000033200000}"/>
    <hyperlink ref="C3155" r:id="rId8245" xr:uid="{00000000-0004-0000-0200-000034200000}"/>
    <hyperlink ref="A3156" r:id="rId8246" xr:uid="{00000000-0004-0000-0200-000035200000}"/>
    <hyperlink ref="B3156" r:id="rId8247" xr:uid="{00000000-0004-0000-0200-000036200000}"/>
    <hyperlink ref="C3156" r:id="rId8248" xr:uid="{00000000-0004-0000-0200-000037200000}"/>
    <hyperlink ref="A3157" r:id="rId8249" xr:uid="{00000000-0004-0000-0200-000038200000}"/>
    <hyperlink ref="B3157" r:id="rId8250" xr:uid="{00000000-0004-0000-0200-000039200000}"/>
    <hyperlink ref="C3157" r:id="rId8251" xr:uid="{00000000-0004-0000-0200-00003A200000}"/>
    <hyperlink ref="A3158" r:id="rId8252" xr:uid="{00000000-0004-0000-0200-00003B200000}"/>
    <hyperlink ref="B3158" r:id="rId8253" xr:uid="{00000000-0004-0000-0200-00003C200000}"/>
    <hyperlink ref="C3158" r:id="rId8254" xr:uid="{00000000-0004-0000-0200-00003D200000}"/>
    <hyperlink ref="A3159" r:id="rId8255" xr:uid="{00000000-0004-0000-0200-00003E200000}"/>
    <hyperlink ref="B3159" r:id="rId8256" xr:uid="{00000000-0004-0000-0200-00003F200000}"/>
    <hyperlink ref="C3159" r:id="rId8257" xr:uid="{00000000-0004-0000-0200-000040200000}"/>
    <hyperlink ref="A3160" r:id="rId8258" xr:uid="{00000000-0004-0000-0200-000041200000}"/>
    <hyperlink ref="B3160" r:id="rId8259" xr:uid="{00000000-0004-0000-0200-000042200000}"/>
    <hyperlink ref="C3160" r:id="rId8260" xr:uid="{00000000-0004-0000-0200-000043200000}"/>
    <hyperlink ref="A3161" r:id="rId8261" xr:uid="{00000000-0004-0000-0200-000044200000}"/>
    <hyperlink ref="B3161" r:id="rId8262" xr:uid="{00000000-0004-0000-0200-000045200000}"/>
    <hyperlink ref="C3161" r:id="rId8263" xr:uid="{00000000-0004-0000-0200-000046200000}"/>
    <hyperlink ref="A3162" r:id="rId8264" xr:uid="{00000000-0004-0000-0200-000047200000}"/>
    <hyperlink ref="B3162" r:id="rId8265" xr:uid="{00000000-0004-0000-0200-000048200000}"/>
    <hyperlink ref="C3162" r:id="rId8266" xr:uid="{00000000-0004-0000-0200-000049200000}"/>
    <hyperlink ref="A3163" r:id="rId8267" xr:uid="{00000000-0004-0000-0200-00004A200000}"/>
    <hyperlink ref="B3163" r:id="rId8268" xr:uid="{00000000-0004-0000-0200-00004B200000}"/>
    <hyperlink ref="C3163" r:id="rId8269" xr:uid="{00000000-0004-0000-0200-00004C200000}"/>
    <hyperlink ref="A3164" r:id="rId8270" xr:uid="{00000000-0004-0000-0200-00004D200000}"/>
    <hyperlink ref="B3164" r:id="rId8271" xr:uid="{00000000-0004-0000-0200-00004E200000}"/>
    <hyperlink ref="C3164" r:id="rId8272" xr:uid="{00000000-0004-0000-0200-00004F200000}"/>
    <hyperlink ref="A3165" r:id="rId8273" xr:uid="{00000000-0004-0000-0200-000050200000}"/>
    <hyperlink ref="B3165" r:id="rId8274" xr:uid="{00000000-0004-0000-0200-000051200000}"/>
    <hyperlink ref="C3165" r:id="rId8275" xr:uid="{00000000-0004-0000-0200-000052200000}"/>
    <hyperlink ref="A3166" r:id="rId8276" xr:uid="{00000000-0004-0000-0200-000053200000}"/>
    <hyperlink ref="B3166" r:id="rId8277" xr:uid="{00000000-0004-0000-0200-000054200000}"/>
    <hyperlink ref="C3166" r:id="rId8278" xr:uid="{00000000-0004-0000-0200-000055200000}"/>
    <hyperlink ref="A3167" r:id="rId8279" xr:uid="{00000000-0004-0000-0200-000056200000}"/>
    <hyperlink ref="B3167" r:id="rId8280" xr:uid="{00000000-0004-0000-0200-000057200000}"/>
    <hyperlink ref="C3167" r:id="rId8281" xr:uid="{00000000-0004-0000-0200-000058200000}"/>
    <hyperlink ref="A3168" r:id="rId8282" xr:uid="{00000000-0004-0000-0200-000059200000}"/>
    <hyperlink ref="B3168" r:id="rId8283" xr:uid="{00000000-0004-0000-0200-00005A200000}"/>
    <hyperlink ref="C3168" r:id="rId8284" xr:uid="{00000000-0004-0000-0200-00005B200000}"/>
    <hyperlink ref="A3169" r:id="rId8285" xr:uid="{00000000-0004-0000-0200-00005C200000}"/>
    <hyperlink ref="B3169" r:id="rId8286" xr:uid="{00000000-0004-0000-0200-00005D200000}"/>
    <hyperlink ref="C3169" r:id="rId8287" xr:uid="{00000000-0004-0000-0200-00005E200000}"/>
    <hyperlink ref="A3170" r:id="rId8288" xr:uid="{00000000-0004-0000-0200-00005F200000}"/>
    <hyperlink ref="B3170" r:id="rId8289" xr:uid="{00000000-0004-0000-0200-000060200000}"/>
    <hyperlink ref="C3170" r:id="rId8290" xr:uid="{00000000-0004-0000-0200-000061200000}"/>
    <hyperlink ref="A3171" r:id="rId8291" xr:uid="{00000000-0004-0000-0200-000062200000}"/>
    <hyperlink ref="B3171" r:id="rId8292" xr:uid="{00000000-0004-0000-0200-000063200000}"/>
    <hyperlink ref="C3171" r:id="rId8293" xr:uid="{00000000-0004-0000-0200-000064200000}"/>
    <hyperlink ref="A3172" r:id="rId8294" xr:uid="{00000000-0004-0000-0200-000065200000}"/>
    <hyperlink ref="B3172" r:id="rId8295" xr:uid="{00000000-0004-0000-0200-000066200000}"/>
    <hyperlink ref="C3172" r:id="rId8296" xr:uid="{00000000-0004-0000-0200-000067200000}"/>
    <hyperlink ref="A3173" r:id="rId8297" xr:uid="{00000000-0004-0000-0200-000068200000}"/>
    <hyperlink ref="B3173" r:id="rId8298" xr:uid="{00000000-0004-0000-0200-000069200000}"/>
    <hyperlink ref="C3173" r:id="rId8299" xr:uid="{00000000-0004-0000-0200-00006A200000}"/>
    <hyperlink ref="A3174" r:id="rId8300" xr:uid="{00000000-0004-0000-0200-00006B200000}"/>
    <hyperlink ref="B3174" r:id="rId8301" xr:uid="{00000000-0004-0000-0200-00006C200000}"/>
    <hyperlink ref="C3174" r:id="rId8302" xr:uid="{00000000-0004-0000-0200-00006D200000}"/>
    <hyperlink ref="A3175" r:id="rId8303" xr:uid="{00000000-0004-0000-0200-00006E200000}"/>
    <hyperlink ref="B3175" r:id="rId8304" xr:uid="{00000000-0004-0000-0200-00006F200000}"/>
    <hyperlink ref="C3175" r:id="rId8305" xr:uid="{00000000-0004-0000-0200-000070200000}"/>
    <hyperlink ref="A3176" r:id="rId8306" xr:uid="{00000000-0004-0000-0200-000071200000}"/>
    <hyperlink ref="B3176" r:id="rId8307" xr:uid="{00000000-0004-0000-0200-000072200000}"/>
    <hyperlink ref="C3176" r:id="rId8308" xr:uid="{00000000-0004-0000-0200-000073200000}"/>
    <hyperlink ref="A3177" r:id="rId8309" xr:uid="{00000000-0004-0000-0200-000074200000}"/>
    <hyperlink ref="B3177" r:id="rId8310" xr:uid="{00000000-0004-0000-0200-000075200000}"/>
    <hyperlink ref="C3177" r:id="rId8311" xr:uid="{00000000-0004-0000-0200-000076200000}"/>
    <hyperlink ref="A3178" r:id="rId8312" xr:uid="{00000000-0004-0000-0200-000077200000}"/>
    <hyperlink ref="B3178" r:id="rId8313" xr:uid="{00000000-0004-0000-0200-000078200000}"/>
    <hyperlink ref="C3178" r:id="rId8314" xr:uid="{00000000-0004-0000-0200-000079200000}"/>
    <hyperlink ref="A3179" r:id="rId8315" xr:uid="{00000000-0004-0000-0200-00007A200000}"/>
    <hyperlink ref="B3179" r:id="rId8316" xr:uid="{00000000-0004-0000-0200-00007B200000}"/>
    <hyperlink ref="C3179" r:id="rId8317" xr:uid="{00000000-0004-0000-0200-00007C200000}"/>
    <hyperlink ref="A3180" r:id="rId8318" xr:uid="{00000000-0004-0000-0200-00007D200000}"/>
    <hyperlink ref="B3180" r:id="rId8319" xr:uid="{00000000-0004-0000-0200-00007E200000}"/>
    <hyperlink ref="C3180" r:id="rId8320" xr:uid="{00000000-0004-0000-0200-00007F200000}"/>
    <hyperlink ref="A3181" r:id="rId8321" xr:uid="{00000000-0004-0000-0200-000080200000}"/>
    <hyperlink ref="B3181" r:id="rId8322" xr:uid="{00000000-0004-0000-0200-000081200000}"/>
    <hyperlink ref="C3181" r:id="rId8323" xr:uid="{00000000-0004-0000-0200-000082200000}"/>
    <hyperlink ref="A3182" r:id="rId8324" xr:uid="{00000000-0004-0000-0200-000083200000}"/>
    <hyperlink ref="B3182" r:id="rId8325" xr:uid="{00000000-0004-0000-0200-000084200000}"/>
    <hyperlink ref="C3182" r:id="rId8326" xr:uid="{00000000-0004-0000-0200-000085200000}"/>
    <hyperlink ref="A3183" r:id="rId8327" xr:uid="{00000000-0004-0000-0200-000086200000}"/>
    <hyperlink ref="B3183" r:id="rId8328" xr:uid="{00000000-0004-0000-0200-000087200000}"/>
    <hyperlink ref="C3183" r:id="rId8329" xr:uid="{00000000-0004-0000-0200-000088200000}"/>
    <hyperlink ref="A3184" r:id="rId8330" xr:uid="{00000000-0004-0000-0200-000089200000}"/>
    <hyperlink ref="B3184" r:id="rId8331" xr:uid="{00000000-0004-0000-0200-00008A200000}"/>
    <hyperlink ref="C3184" r:id="rId8332" xr:uid="{00000000-0004-0000-0200-00008B200000}"/>
    <hyperlink ref="A3185" r:id="rId8333" xr:uid="{00000000-0004-0000-0200-00008C200000}"/>
    <hyperlink ref="B3185" r:id="rId8334" xr:uid="{00000000-0004-0000-0200-00008D200000}"/>
    <hyperlink ref="C3185" r:id="rId8335" xr:uid="{00000000-0004-0000-0200-00008E200000}"/>
    <hyperlink ref="A3186" r:id="rId8336" xr:uid="{00000000-0004-0000-0200-00008F200000}"/>
    <hyperlink ref="B3186" r:id="rId8337" xr:uid="{00000000-0004-0000-0200-000090200000}"/>
    <hyperlink ref="C3186" r:id="rId8338" xr:uid="{00000000-0004-0000-0200-000091200000}"/>
    <hyperlink ref="A3187" r:id="rId8339" xr:uid="{00000000-0004-0000-0200-000092200000}"/>
    <hyperlink ref="B3187" r:id="rId8340" xr:uid="{00000000-0004-0000-0200-000093200000}"/>
    <hyperlink ref="C3187" r:id="rId8341" xr:uid="{00000000-0004-0000-0200-000094200000}"/>
    <hyperlink ref="A3188" r:id="rId8342" xr:uid="{00000000-0004-0000-0200-000095200000}"/>
    <hyperlink ref="B3188" r:id="rId8343" xr:uid="{00000000-0004-0000-0200-000096200000}"/>
    <hyperlink ref="C3188" r:id="rId8344" xr:uid="{00000000-0004-0000-0200-000097200000}"/>
    <hyperlink ref="A3189" r:id="rId8345" xr:uid="{00000000-0004-0000-0200-000098200000}"/>
    <hyperlink ref="B3189" r:id="rId8346" xr:uid="{00000000-0004-0000-0200-000099200000}"/>
    <hyperlink ref="C3189" r:id="rId8347" xr:uid="{00000000-0004-0000-0200-00009A200000}"/>
    <hyperlink ref="A3190" r:id="rId8348" xr:uid="{00000000-0004-0000-0200-00009B200000}"/>
    <hyperlink ref="B3190" r:id="rId8349" xr:uid="{00000000-0004-0000-0200-00009C200000}"/>
    <hyperlink ref="C3190" r:id="rId8350" xr:uid="{00000000-0004-0000-0200-00009D200000}"/>
    <hyperlink ref="A3191" r:id="rId8351" xr:uid="{00000000-0004-0000-0200-00009E200000}"/>
    <hyperlink ref="B3191" r:id="rId8352" xr:uid="{00000000-0004-0000-0200-00009F200000}"/>
    <hyperlink ref="C3191" r:id="rId8353" xr:uid="{00000000-0004-0000-0200-0000A0200000}"/>
    <hyperlink ref="A3192" r:id="rId8354" xr:uid="{00000000-0004-0000-0200-0000A1200000}"/>
    <hyperlink ref="B3192" r:id="rId8355" xr:uid="{00000000-0004-0000-0200-0000A2200000}"/>
    <hyperlink ref="C3192" r:id="rId8356" xr:uid="{00000000-0004-0000-0200-0000A3200000}"/>
    <hyperlink ref="A3193" r:id="rId8357" xr:uid="{00000000-0004-0000-0200-0000A4200000}"/>
    <hyperlink ref="B3193" r:id="rId8358" xr:uid="{00000000-0004-0000-0200-0000A5200000}"/>
    <hyperlink ref="C3193" r:id="rId8359" xr:uid="{00000000-0004-0000-0200-0000A6200000}"/>
    <hyperlink ref="A3194" r:id="rId8360" xr:uid="{00000000-0004-0000-0200-0000A7200000}"/>
    <hyperlink ref="B3194" r:id="rId8361" xr:uid="{00000000-0004-0000-0200-0000A8200000}"/>
    <hyperlink ref="C3194" r:id="rId8362" xr:uid="{00000000-0004-0000-0200-0000A9200000}"/>
    <hyperlink ref="A3195" r:id="rId8363" xr:uid="{00000000-0004-0000-0200-0000AA200000}"/>
    <hyperlink ref="B3195" r:id="rId8364" xr:uid="{00000000-0004-0000-0200-0000AB200000}"/>
    <hyperlink ref="C3195" r:id="rId8365" xr:uid="{00000000-0004-0000-0200-0000AC200000}"/>
    <hyperlink ref="A3196" r:id="rId8366" xr:uid="{00000000-0004-0000-0200-0000AD200000}"/>
    <hyperlink ref="B3196" r:id="rId8367" xr:uid="{00000000-0004-0000-0200-0000AE200000}"/>
    <hyperlink ref="C3196" r:id="rId8368" xr:uid="{00000000-0004-0000-0200-0000AF200000}"/>
    <hyperlink ref="A3197" r:id="rId8369" xr:uid="{00000000-0004-0000-0200-0000B0200000}"/>
    <hyperlink ref="B3197" r:id="rId8370" xr:uid="{00000000-0004-0000-0200-0000B1200000}"/>
    <hyperlink ref="C3197" r:id="rId8371" xr:uid="{00000000-0004-0000-0200-0000B2200000}"/>
    <hyperlink ref="A3198" r:id="rId8372" xr:uid="{00000000-0004-0000-0200-0000B3200000}"/>
    <hyperlink ref="B3198" r:id="rId8373" xr:uid="{00000000-0004-0000-0200-0000B4200000}"/>
    <hyperlink ref="C3198" r:id="rId8374" xr:uid="{00000000-0004-0000-0200-0000B5200000}"/>
    <hyperlink ref="A3199" r:id="rId8375" xr:uid="{00000000-0004-0000-0200-0000B6200000}"/>
    <hyperlink ref="B3199" r:id="rId8376" xr:uid="{00000000-0004-0000-0200-0000B7200000}"/>
    <hyperlink ref="C3199" r:id="rId8377" xr:uid="{00000000-0004-0000-0200-0000B8200000}"/>
    <hyperlink ref="A3200" r:id="rId8378" xr:uid="{00000000-0004-0000-0200-0000B9200000}"/>
    <hyperlink ref="B3200" r:id="rId8379" xr:uid="{00000000-0004-0000-0200-0000BA200000}"/>
    <hyperlink ref="C3200" r:id="rId8380" xr:uid="{00000000-0004-0000-0200-0000BB200000}"/>
    <hyperlink ref="A3201" r:id="rId8381" xr:uid="{00000000-0004-0000-0200-0000BC200000}"/>
    <hyperlink ref="B3201" r:id="rId8382" xr:uid="{00000000-0004-0000-0200-0000BD200000}"/>
    <hyperlink ref="C3201" r:id="rId8383" xr:uid="{00000000-0004-0000-0200-0000BE200000}"/>
    <hyperlink ref="A3202" r:id="rId8384" xr:uid="{00000000-0004-0000-0200-0000BF200000}"/>
    <hyperlink ref="B3202" r:id="rId8385" xr:uid="{00000000-0004-0000-0200-0000C0200000}"/>
    <hyperlink ref="C3202" r:id="rId8386" xr:uid="{00000000-0004-0000-0200-0000C1200000}"/>
    <hyperlink ref="A3203" r:id="rId8387" xr:uid="{00000000-0004-0000-0200-0000C2200000}"/>
    <hyperlink ref="B3203" r:id="rId8388" xr:uid="{00000000-0004-0000-0200-0000C3200000}"/>
    <hyperlink ref="C3203" r:id="rId8389" xr:uid="{00000000-0004-0000-0200-0000C4200000}"/>
    <hyperlink ref="A3204" r:id="rId8390" xr:uid="{00000000-0004-0000-0200-0000C5200000}"/>
    <hyperlink ref="B3204" r:id="rId8391" xr:uid="{00000000-0004-0000-0200-0000C6200000}"/>
    <hyperlink ref="C3204" r:id="rId8392" xr:uid="{00000000-0004-0000-0200-0000C7200000}"/>
    <hyperlink ref="A3205" r:id="rId8393" xr:uid="{00000000-0004-0000-0200-0000C8200000}"/>
    <hyperlink ref="B3205" r:id="rId8394" xr:uid="{00000000-0004-0000-0200-0000C9200000}"/>
    <hyperlink ref="C3205" r:id="rId8395" xr:uid="{00000000-0004-0000-0200-0000CA200000}"/>
    <hyperlink ref="A3206" r:id="rId8396" xr:uid="{00000000-0004-0000-0200-0000CB200000}"/>
    <hyperlink ref="B3206" r:id="rId8397" xr:uid="{00000000-0004-0000-0200-0000CC200000}"/>
    <hyperlink ref="C3206" r:id="rId8398" xr:uid="{00000000-0004-0000-0200-0000CD200000}"/>
    <hyperlink ref="A3207" r:id="rId8399" xr:uid="{00000000-0004-0000-0200-0000CE200000}"/>
    <hyperlink ref="B3207" r:id="rId8400" xr:uid="{00000000-0004-0000-0200-0000CF200000}"/>
    <hyperlink ref="C3207" r:id="rId8401" xr:uid="{00000000-0004-0000-0200-0000D0200000}"/>
    <hyperlink ref="A3208" r:id="rId8402" xr:uid="{00000000-0004-0000-0200-0000D1200000}"/>
    <hyperlink ref="B3208" r:id="rId8403" xr:uid="{00000000-0004-0000-0200-0000D2200000}"/>
    <hyperlink ref="C3208" r:id="rId8404" xr:uid="{00000000-0004-0000-0200-0000D3200000}"/>
    <hyperlink ref="A3209" r:id="rId8405" xr:uid="{00000000-0004-0000-0200-0000D4200000}"/>
    <hyperlink ref="B3209" r:id="rId8406" xr:uid="{00000000-0004-0000-0200-0000D5200000}"/>
    <hyperlink ref="C3209" r:id="rId8407" xr:uid="{00000000-0004-0000-0200-0000D6200000}"/>
    <hyperlink ref="A3210" r:id="rId8408" xr:uid="{00000000-0004-0000-0200-0000D7200000}"/>
    <hyperlink ref="B3210" r:id="rId8409" xr:uid="{00000000-0004-0000-0200-0000D8200000}"/>
    <hyperlink ref="C3210" r:id="rId8410" xr:uid="{00000000-0004-0000-0200-0000D9200000}"/>
    <hyperlink ref="A3211" r:id="rId8411" xr:uid="{00000000-0004-0000-0200-0000DA200000}"/>
    <hyperlink ref="B3211" r:id="rId8412" xr:uid="{00000000-0004-0000-0200-0000DB200000}"/>
    <hyperlink ref="C3211" r:id="rId8413" xr:uid="{00000000-0004-0000-0200-0000DC200000}"/>
    <hyperlink ref="A3212" r:id="rId8414" xr:uid="{00000000-0004-0000-0200-0000DD200000}"/>
    <hyperlink ref="B3212" r:id="rId8415" xr:uid="{00000000-0004-0000-0200-0000DE200000}"/>
    <hyperlink ref="C3212" r:id="rId8416" xr:uid="{00000000-0004-0000-0200-0000DF200000}"/>
    <hyperlink ref="A3213" r:id="rId8417" xr:uid="{00000000-0004-0000-0200-0000E0200000}"/>
    <hyperlink ref="B3213" r:id="rId8418" xr:uid="{00000000-0004-0000-0200-0000E1200000}"/>
    <hyperlink ref="C3213" r:id="rId8419" xr:uid="{00000000-0004-0000-0200-0000E2200000}"/>
    <hyperlink ref="A3214" r:id="rId8420" xr:uid="{00000000-0004-0000-0200-0000E3200000}"/>
    <hyperlink ref="B3214" r:id="rId8421" xr:uid="{00000000-0004-0000-0200-0000E4200000}"/>
    <hyperlink ref="C3214" r:id="rId8422" xr:uid="{00000000-0004-0000-0200-0000E5200000}"/>
    <hyperlink ref="A3215" r:id="rId8423" xr:uid="{00000000-0004-0000-0200-0000E6200000}"/>
    <hyperlink ref="B3215" r:id="rId8424" xr:uid="{00000000-0004-0000-0200-0000E7200000}"/>
    <hyperlink ref="C3215" r:id="rId8425" xr:uid="{00000000-0004-0000-0200-0000E8200000}"/>
    <hyperlink ref="A3216" r:id="rId8426" xr:uid="{00000000-0004-0000-0200-0000E9200000}"/>
    <hyperlink ref="B3216" r:id="rId8427" xr:uid="{00000000-0004-0000-0200-0000EA200000}"/>
    <hyperlink ref="C3216" r:id="rId8428" xr:uid="{00000000-0004-0000-0200-0000EB200000}"/>
    <hyperlink ref="A3217" r:id="rId8429" xr:uid="{00000000-0004-0000-0200-0000EC200000}"/>
    <hyperlink ref="B3217" r:id="rId8430" xr:uid="{00000000-0004-0000-0200-0000ED200000}"/>
    <hyperlink ref="C3217" r:id="rId8431" xr:uid="{00000000-0004-0000-0200-0000EE200000}"/>
    <hyperlink ref="A3218" r:id="rId8432" xr:uid="{00000000-0004-0000-0200-0000EF200000}"/>
    <hyperlink ref="B3218" r:id="rId8433" xr:uid="{00000000-0004-0000-0200-0000F0200000}"/>
    <hyperlink ref="C3218" r:id="rId8434" xr:uid="{00000000-0004-0000-0200-0000F1200000}"/>
    <hyperlink ref="A3219" r:id="rId8435" xr:uid="{00000000-0004-0000-0200-0000F2200000}"/>
    <hyperlink ref="B3219" r:id="rId8436" xr:uid="{00000000-0004-0000-0200-0000F3200000}"/>
    <hyperlink ref="C3219" r:id="rId8437" xr:uid="{00000000-0004-0000-0200-0000F4200000}"/>
    <hyperlink ref="A3220" r:id="rId8438" xr:uid="{00000000-0004-0000-0200-0000F5200000}"/>
    <hyperlink ref="B3220" r:id="rId8439" xr:uid="{00000000-0004-0000-0200-0000F6200000}"/>
    <hyperlink ref="C3220" r:id="rId8440" xr:uid="{00000000-0004-0000-0200-0000F7200000}"/>
    <hyperlink ref="A3221" r:id="rId8441" xr:uid="{00000000-0004-0000-0200-0000F8200000}"/>
    <hyperlink ref="B3221" r:id="rId8442" xr:uid="{00000000-0004-0000-0200-0000F9200000}"/>
    <hyperlink ref="C3221" r:id="rId8443" xr:uid="{00000000-0004-0000-0200-0000FA200000}"/>
    <hyperlink ref="A3222" r:id="rId8444" xr:uid="{00000000-0004-0000-0200-0000FB200000}"/>
    <hyperlink ref="B3222" r:id="rId8445" xr:uid="{00000000-0004-0000-0200-0000FC200000}"/>
    <hyperlink ref="C3222" r:id="rId8446" xr:uid="{00000000-0004-0000-0200-0000FD200000}"/>
    <hyperlink ref="A3223" r:id="rId8447" xr:uid="{00000000-0004-0000-0200-0000FE200000}"/>
    <hyperlink ref="B3223" r:id="rId8448" xr:uid="{00000000-0004-0000-0200-0000FF200000}"/>
    <hyperlink ref="C3223" r:id="rId8449" xr:uid="{00000000-0004-0000-0200-000000210000}"/>
    <hyperlink ref="A3224" r:id="rId8450" xr:uid="{00000000-0004-0000-0200-000001210000}"/>
    <hyperlink ref="B3224" r:id="rId8451" xr:uid="{00000000-0004-0000-0200-000002210000}"/>
    <hyperlink ref="C3224" r:id="rId8452" xr:uid="{00000000-0004-0000-0200-000003210000}"/>
    <hyperlink ref="A3225" r:id="rId8453" xr:uid="{00000000-0004-0000-0200-000004210000}"/>
    <hyperlink ref="B3225" r:id="rId8454" xr:uid="{00000000-0004-0000-0200-000005210000}"/>
    <hyperlink ref="C3225" r:id="rId8455" xr:uid="{00000000-0004-0000-0200-000006210000}"/>
    <hyperlink ref="A3226" r:id="rId8456" xr:uid="{00000000-0004-0000-0200-000007210000}"/>
    <hyperlink ref="B3226" r:id="rId8457" xr:uid="{00000000-0004-0000-0200-000008210000}"/>
    <hyperlink ref="C3226" r:id="rId8458" xr:uid="{00000000-0004-0000-0200-000009210000}"/>
    <hyperlink ref="A3227" r:id="rId8459" xr:uid="{00000000-0004-0000-0200-00000A210000}"/>
    <hyperlink ref="B3227" r:id="rId8460" xr:uid="{00000000-0004-0000-0200-00000B210000}"/>
    <hyperlink ref="C3227" r:id="rId8461" xr:uid="{00000000-0004-0000-0200-00000C210000}"/>
    <hyperlink ref="A3228" r:id="rId8462" xr:uid="{00000000-0004-0000-0200-00000D210000}"/>
    <hyperlink ref="B3228" r:id="rId8463" xr:uid="{00000000-0004-0000-0200-00000E210000}"/>
    <hyperlink ref="C3228" r:id="rId8464" xr:uid="{00000000-0004-0000-0200-00000F210000}"/>
    <hyperlink ref="A3229" r:id="rId8465" xr:uid="{00000000-0004-0000-0200-000010210000}"/>
    <hyperlink ref="B3229" r:id="rId8466" xr:uid="{00000000-0004-0000-0200-000011210000}"/>
    <hyperlink ref="C3229" r:id="rId8467" xr:uid="{00000000-0004-0000-0200-000012210000}"/>
    <hyperlink ref="A3230" r:id="rId8468" xr:uid="{00000000-0004-0000-0200-000013210000}"/>
    <hyperlink ref="B3230" r:id="rId8469" xr:uid="{00000000-0004-0000-0200-000014210000}"/>
    <hyperlink ref="C3230" r:id="rId8470" xr:uid="{00000000-0004-0000-0200-000015210000}"/>
    <hyperlink ref="A3231" r:id="rId8471" xr:uid="{00000000-0004-0000-0200-000016210000}"/>
    <hyperlink ref="B3231" r:id="rId8472" xr:uid="{00000000-0004-0000-0200-000017210000}"/>
    <hyperlink ref="C3231" r:id="rId8473" xr:uid="{00000000-0004-0000-0200-000018210000}"/>
    <hyperlink ref="A3232" r:id="rId8474" xr:uid="{00000000-0004-0000-0200-000019210000}"/>
    <hyperlink ref="B3232" r:id="rId8475" xr:uid="{00000000-0004-0000-0200-00001A210000}"/>
    <hyperlink ref="C3232" r:id="rId8476" xr:uid="{00000000-0004-0000-0200-00001B210000}"/>
    <hyperlink ref="A3233" r:id="rId8477" xr:uid="{00000000-0004-0000-0200-00001C210000}"/>
    <hyperlink ref="B3233" r:id="rId8478" xr:uid="{00000000-0004-0000-0200-00001D210000}"/>
    <hyperlink ref="C3233" r:id="rId8479" xr:uid="{00000000-0004-0000-0200-00001E210000}"/>
    <hyperlink ref="A3234" r:id="rId8480" xr:uid="{00000000-0004-0000-0200-00001F210000}"/>
    <hyperlink ref="B3234" r:id="rId8481" xr:uid="{00000000-0004-0000-0200-000020210000}"/>
    <hyperlink ref="C3234" r:id="rId8482" xr:uid="{00000000-0004-0000-0200-000021210000}"/>
    <hyperlink ref="A3235" r:id="rId8483" xr:uid="{00000000-0004-0000-0200-000022210000}"/>
    <hyperlink ref="B3235" r:id="rId8484" xr:uid="{00000000-0004-0000-0200-000023210000}"/>
    <hyperlink ref="C3235" r:id="rId8485" xr:uid="{00000000-0004-0000-0200-000024210000}"/>
    <hyperlink ref="A3236" r:id="rId8486" xr:uid="{00000000-0004-0000-0200-000025210000}"/>
    <hyperlink ref="B3236" r:id="rId8487" xr:uid="{00000000-0004-0000-0200-000026210000}"/>
    <hyperlink ref="C3236" r:id="rId8488" xr:uid="{00000000-0004-0000-0200-000027210000}"/>
    <hyperlink ref="A3237" r:id="rId8489" xr:uid="{00000000-0004-0000-0200-000028210000}"/>
    <hyperlink ref="B3237" r:id="rId8490" xr:uid="{00000000-0004-0000-0200-000029210000}"/>
    <hyperlink ref="C3237" r:id="rId8491" xr:uid="{00000000-0004-0000-0200-00002A210000}"/>
    <hyperlink ref="A3238" r:id="rId8492" xr:uid="{00000000-0004-0000-0200-00002B210000}"/>
    <hyperlink ref="B3238" r:id="rId8493" xr:uid="{00000000-0004-0000-0200-00002C210000}"/>
    <hyperlink ref="C3238" r:id="rId8494" xr:uid="{00000000-0004-0000-0200-00002D210000}"/>
    <hyperlink ref="A3239" r:id="rId8495" xr:uid="{00000000-0004-0000-0200-00002E210000}"/>
    <hyperlink ref="B3239" r:id="rId8496" xr:uid="{00000000-0004-0000-0200-00002F210000}"/>
    <hyperlink ref="C3239" r:id="rId8497" xr:uid="{00000000-0004-0000-0200-000030210000}"/>
    <hyperlink ref="A3240" r:id="rId8498" xr:uid="{00000000-0004-0000-0200-000031210000}"/>
    <hyperlink ref="B3240" r:id="rId8499" xr:uid="{00000000-0004-0000-0200-000032210000}"/>
    <hyperlink ref="C3240" r:id="rId8500" xr:uid="{00000000-0004-0000-0200-000033210000}"/>
    <hyperlink ref="A3241" r:id="rId8501" xr:uid="{00000000-0004-0000-0200-000034210000}"/>
    <hyperlink ref="B3241" r:id="rId8502" xr:uid="{00000000-0004-0000-0200-000035210000}"/>
    <hyperlink ref="C3241" r:id="rId8503" xr:uid="{00000000-0004-0000-0200-000036210000}"/>
    <hyperlink ref="A3242" r:id="rId8504" xr:uid="{00000000-0004-0000-0200-000037210000}"/>
    <hyperlink ref="B3242" r:id="rId8505" xr:uid="{00000000-0004-0000-0200-000038210000}"/>
    <hyperlink ref="C3242" r:id="rId8506" xr:uid="{00000000-0004-0000-0200-000039210000}"/>
    <hyperlink ref="A3243" r:id="rId8507" xr:uid="{00000000-0004-0000-0200-00003A210000}"/>
    <hyperlink ref="B3243" r:id="rId8508" xr:uid="{00000000-0004-0000-0200-00003B210000}"/>
    <hyperlink ref="C3243" r:id="rId8509" xr:uid="{00000000-0004-0000-0200-00003C210000}"/>
    <hyperlink ref="A3244" r:id="rId8510" xr:uid="{00000000-0004-0000-0200-00003D210000}"/>
    <hyperlink ref="B3244" r:id="rId8511" xr:uid="{00000000-0004-0000-0200-00003E210000}"/>
    <hyperlink ref="C3244" r:id="rId8512" xr:uid="{00000000-0004-0000-0200-00003F210000}"/>
    <hyperlink ref="A3245" r:id="rId8513" xr:uid="{00000000-0004-0000-0200-000040210000}"/>
    <hyperlink ref="B3245" r:id="rId8514" xr:uid="{00000000-0004-0000-0200-000041210000}"/>
    <hyperlink ref="C3245" r:id="rId8515" xr:uid="{00000000-0004-0000-0200-000042210000}"/>
    <hyperlink ref="A3246" r:id="rId8516" xr:uid="{00000000-0004-0000-0200-000043210000}"/>
    <hyperlink ref="B3246" r:id="rId8517" xr:uid="{00000000-0004-0000-0200-000044210000}"/>
    <hyperlink ref="C3246" r:id="rId8518" xr:uid="{00000000-0004-0000-0200-000045210000}"/>
    <hyperlink ref="A3247" r:id="rId8519" xr:uid="{00000000-0004-0000-0200-000046210000}"/>
    <hyperlink ref="B3247" r:id="rId8520" xr:uid="{00000000-0004-0000-0200-000047210000}"/>
    <hyperlink ref="C3247" r:id="rId8521" xr:uid="{00000000-0004-0000-0200-000048210000}"/>
    <hyperlink ref="A3248" r:id="rId8522" xr:uid="{00000000-0004-0000-0200-000049210000}"/>
    <hyperlink ref="B3248" r:id="rId8523" xr:uid="{00000000-0004-0000-0200-00004A210000}"/>
    <hyperlink ref="C3248" r:id="rId8524" xr:uid="{00000000-0004-0000-0200-00004B210000}"/>
    <hyperlink ref="A3249" r:id="rId8525" xr:uid="{00000000-0004-0000-0200-00004C210000}"/>
    <hyperlink ref="B3249" r:id="rId8526" xr:uid="{00000000-0004-0000-0200-00004D210000}"/>
    <hyperlink ref="C3249" r:id="rId8527" xr:uid="{00000000-0004-0000-0200-00004E210000}"/>
    <hyperlink ref="A3250" r:id="rId8528" xr:uid="{00000000-0004-0000-0200-00004F210000}"/>
    <hyperlink ref="B3250" r:id="rId8529" xr:uid="{00000000-0004-0000-0200-000050210000}"/>
    <hyperlink ref="C3250" r:id="rId8530" xr:uid="{00000000-0004-0000-0200-000051210000}"/>
    <hyperlink ref="A3251" r:id="rId8531" xr:uid="{00000000-0004-0000-0200-000052210000}"/>
    <hyperlink ref="B3251" r:id="rId8532" xr:uid="{00000000-0004-0000-0200-000053210000}"/>
    <hyperlink ref="C3251" r:id="rId8533" xr:uid="{00000000-0004-0000-0200-000054210000}"/>
    <hyperlink ref="A3252" r:id="rId8534" xr:uid="{00000000-0004-0000-0200-000055210000}"/>
    <hyperlink ref="B3252" r:id="rId8535" xr:uid="{00000000-0004-0000-0200-000056210000}"/>
    <hyperlink ref="C3252" r:id="rId8536" xr:uid="{00000000-0004-0000-0200-000057210000}"/>
    <hyperlink ref="A3253" r:id="rId8537" xr:uid="{00000000-0004-0000-0200-000058210000}"/>
    <hyperlink ref="B3253" r:id="rId8538" xr:uid="{00000000-0004-0000-0200-000059210000}"/>
    <hyperlink ref="C3253" r:id="rId8539" xr:uid="{00000000-0004-0000-0200-00005A210000}"/>
    <hyperlink ref="A3254" r:id="rId8540" xr:uid="{00000000-0004-0000-0200-00005B210000}"/>
    <hyperlink ref="B3254" r:id="rId8541" xr:uid="{00000000-0004-0000-0200-00005C210000}"/>
    <hyperlink ref="C3254" r:id="rId8542" xr:uid="{00000000-0004-0000-0200-00005D210000}"/>
    <hyperlink ref="A3255" r:id="rId8543" xr:uid="{00000000-0004-0000-0200-00005E210000}"/>
    <hyperlink ref="B3255" r:id="rId8544" xr:uid="{00000000-0004-0000-0200-00005F210000}"/>
    <hyperlink ref="C3255" r:id="rId8545" xr:uid="{00000000-0004-0000-0200-000060210000}"/>
    <hyperlink ref="A3256" r:id="rId8546" xr:uid="{00000000-0004-0000-0200-000061210000}"/>
    <hyperlink ref="B3256" r:id="rId8547" xr:uid="{00000000-0004-0000-0200-000062210000}"/>
    <hyperlink ref="C3256" r:id="rId8548" xr:uid="{00000000-0004-0000-0200-000063210000}"/>
    <hyperlink ref="A3257" r:id="rId8549" xr:uid="{00000000-0004-0000-0200-000064210000}"/>
    <hyperlink ref="B3257" r:id="rId8550" xr:uid="{00000000-0004-0000-0200-000065210000}"/>
    <hyperlink ref="C3257" r:id="rId8551" xr:uid="{00000000-0004-0000-0200-000066210000}"/>
    <hyperlink ref="A3258" r:id="rId8552" xr:uid="{00000000-0004-0000-0200-000067210000}"/>
    <hyperlink ref="B3258" r:id="rId8553" xr:uid="{00000000-0004-0000-0200-000068210000}"/>
    <hyperlink ref="C3258" r:id="rId8554" xr:uid="{00000000-0004-0000-0200-000069210000}"/>
    <hyperlink ref="A3259" r:id="rId8555" xr:uid="{00000000-0004-0000-0200-00006A210000}"/>
    <hyperlink ref="B3259" r:id="rId8556" xr:uid="{00000000-0004-0000-0200-00006B210000}"/>
    <hyperlink ref="C3259" r:id="rId8557" xr:uid="{00000000-0004-0000-0200-00006C210000}"/>
    <hyperlink ref="A3260" r:id="rId8558" xr:uid="{00000000-0004-0000-0200-00006D210000}"/>
    <hyperlink ref="B3260" r:id="rId8559" xr:uid="{00000000-0004-0000-0200-00006E210000}"/>
    <hyperlink ref="C3260" r:id="rId8560" xr:uid="{00000000-0004-0000-0200-00006F210000}"/>
    <hyperlink ref="A3261" r:id="rId8561" xr:uid="{00000000-0004-0000-0200-000070210000}"/>
    <hyperlink ref="B3261" r:id="rId8562" xr:uid="{00000000-0004-0000-0200-000071210000}"/>
    <hyperlink ref="C3261" r:id="rId8563" xr:uid="{00000000-0004-0000-0200-000072210000}"/>
    <hyperlink ref="A3262" r:id="rId8564" xr:uid="{00000000-0004-0000-0200-000073210000}"/>
    <hyperlink ref="B3262" r:id="rId8565" xr:uid="{00000000-0004-0000-0200-000074210000}"/>
    <hyperlink ref="C3262" r:id="rId8566" xr:uid="{00000000-0004-0000-0200-000075210000}"/>
    <hyperlink ref="A3263" r:id="rId8567" xr:uid="{00000000-0004-0000-0200-000076210000}"/>
    <hyperlink ref="B3263" r:id="rId8568" xr:uid="{00000000-0004-0000-0200-000077210000}"/>
    <hyperlink ref="C3263" r:id="rId8569" xr:uid="{00000000-0004-0000-0200-000078210000}"/>
    <hyperlink ref="A3264" r:id="rId8570" xr:uid="{00000000-0004-0000-0200-000079210000}"/>
    <hyperlink ref="B3264" r:id="rId8571" xr:uid="{00000000-0004-0000-0200-00007A210000}"/>
    <hyperlink ref="C3264" r:id="rId8572" xr:uid="{00000000-0004-0000-0200-00007B210000}"/>
    <hyperlink ref="A3265" r:id="rId8573" xr:uid="{00000000-0004-0000-0200-00007C210000}"/>
    <hyperlink ref="B3265" r:id="rId8574" xr:uid="{00000000-0004-0000-0200-00007D210000}"/>
    <hyperlink ref="C3265" r:id="rId8575" xr:uid="{00000000-0004-0000-0200-00007E210000}"/>
    <hyperlink ref="A3266" r:id="rId8576" xr:uid="{00000000-0004-0000-0200-00007F210000}"/>
    <hyperlink ref="B3266" r:id="rId8577" xr:uid="{00000000-0004-0000-0200-000080210000}"/>
    <hyperlink ref="C3266" r:id="rId8578" xr:uid="{00000000-0004-0000-0200-000081210000}"/>
    <hyperlink ref="A3267" r:id="rId8579" xr:uid="{00000000-0004-0000-0200-000082210000}"/>
    <hyperlink ref="B3267" r:id="rId8580" xr:uid="{00000000-0004-0000-0200-000083210000}"/>
    <hyperlink ref="C3267" r:id="rId8581" xr:uid="{00000000-0004-0000-0200-000084210000}"/>
    <hyperlink ref="A3268" r:id="rId8582" xr:uid="{00000000-0004-0000-0200-000085210000}"/>
    <hyperlink ref="B3268" r:id="rId8583" xr:uid="{00000000-0004-0000-0200-000086210000}"/>
    <hyperlink ref="C3268" r:id="rId8584" xr:uid="{00000000-0004-0000-0200-000087210000}"/>
    <hyperlink ref="A3269" r:id="rId8585" xr:uid="{00000000-0004-0000-0200-000088210000}"/>
    <hyperlink ref="B3269" r:id="rId8586" xr:uid="{00000000-0004-0000-0200-000089210000}"/>
    <hyperlink ref="C3269" r:id="rId8587" xr:uid="{00000000-0004-0000-0200-00008A210000}"/>
    <hyperlink ref="A3270" r:id="rId8588" xr:uid="{00000000-0004-0000-0200-00008B210000}"/>
    <hyperlink ref="B3270" r:id="rId8589" xr:uid="{00000000-0004-0000-0200-00008C210000}"/>
    <hyperlink ref="C3270" r:id="rId8590" xr:uid="{00000000-0004-0000-0200-00008D210000}"/>
    <hyperlink ref="A3271" r:id="rId8591" xr:uid="{00000000-0004-0000-0200-00008E210000}"/>
    <hyperlink ref="B3271" r:id="rId8592" xr:uid="{00000000-0004-0000-0200-00008F210000}"/>
    <hyperlink ref="C3271" r:id="rId8593" xr:uid="{00000000-0004-0000-0200-000090210000}"/>
    <hyperlink ref="A3272" r:id="rId8594" xr:uid="{00000000-0004-0000-0200-000091210000}"/>
    <hyperlink ref="B3272" r:id="rId8595" xr:uid="{00000000-0004-0000-0200-000092210000}"/>
    <hyperlink ref="C3272" r:id="rId8596" xr:uid="{00000000-0004-0000-0200-000093210000}"/>
    <hyperlink ref="A3273" r:id="rId8597" xr:uid="{00000000-0004-0000-0200-000094210000}"/>
    <hyperlink ref="B3273" r:id="rId8598" xr:uid="{00000000-0004-0000-0200-000095210000}"/>
    <hyperlink ref="C3273" r:id="rId8599" xr:uid="{00000000-0004-0000-0200-000096210000}"/>
    <hyperlink ref="A3274" r:id="rId8600" xr:uid="{00000000-0004-0000-0200-000097210000}"/>
    <hyperlink ref="B3274" r:id="rId8601" xr:uid="{00000000-0004-0000-0200-000098210000}"/>
    <hyperlink ref="C3274" r:id="rId8602" xr:uid="{00000000-0004-0000-0200-000099210000}"/>
    <hyperlink ref="A3275" r:id="rId8603" xr:uid="{00000000-0004-0000-0200-00009A210000}"/>
    <hyperlink ref="B3275" r:id="rId8604" xr:uid="{00000000-0004-0000-0200-00009B210000}"/>
    <hyperlink ref="C3275" r:id="rId8605" xr:uid="{00000000-0004-0000-0200-00009C210000}"/>
    <hyperlink ref="A3276" r:id="rId8606" xr:uid="{00000000-0004-0000-0200-00009D210000}"/>
    <hyperlink ref="B3276" r:id="rId8607" xr:uid="{00000000-0004-0000-0200-00009E210000}"/>
    <hyperlink ref="C3276" r:id="rId8608" xr:uid="{00000000-0004-0000-0200-00009F210000}"/>
    <hyperlink ref="A3277" r:id="rId8609" xr:uid="{00000000-0004-0000-0200-0000A0210000}"/>
    <hyperlink ref="B3277" r:id="rId8610" xr:uid="{00000000-0004-0000-0200-0000A1210000}"/>
    <hyperlink ref="C3277" r:id="rId8611" xr:uid="{00000000-0004-0000-0200-0000A2210000}"/>
    <hyperlink ref="A3278" r:id="rId8612" xr:uid="{00000000-0004-0000-0200-0000A3210000}"/>
    <hyperlink ref="B3278" r:id="rId8613" xr:uid="{00000000-0004-0000-0200-0000A4210000}"/>
    <hyperlink ref="C3278" r:id="rId8614" xr:uid="{00000000-0004-0000-0200-0000A5210000}"/>
    <hyperlink ref="A3279" r:id="rId8615" xr:uid="{00000000-0004-0000-0200-0000A6210000}"/>
    <hyperlink ref="B3279" r:id="rId8616" xr:uid="{00000000-0004-0000-0200-0000A7210000}"/>
    <hyperlink ref="C3279" r:id="rId8617" xr:uid="{00000000-0004-0000-0200-0000A8210000}"/>
    <hyperlink ref="A3280" r:id="rId8618" xr:uid="{00000000-0004-0000-0200-0000A9210000}"/>
    <hyperlink ref="B3280" r:id="rId8619" xr:uid="{00000000-0004-0000-0200-0000AA210000}"/>
    <hyperlink ref="C3280" r:id="rId8620" xr:uid="{00000000-0004-0000-0200-0000AB210000}"/>
    <hyperlink ref="A3281" r:id="rId8621" xr:uid="{00000000-0004-0000-0200-0000AC210000}"/>
    <hyperlink ref="B3281" r:id="rId8622" xr:uid="{00000000-0004-0000-0200-0000AD210000}"/>
    <hyperlink ref="C3281" r:id="rId8623" xr:uid="{00000000-0004-0000-0200-0000AE210000}"/>
    <hyperlink ref="A3282" r:id="rId8624" xr:uid="{00000000-0004-0000-0200-0000AF210000}"/>
    <hyperlink ref="B3282" r:id="rId8625" xr:uid="{00000000-0004-0000-0200-0000B0210000}"/>
    <hyperlink ref="C3282" r:id="rId8626" xr:uid="{00000000-0004-0000-0200-0000B1210000}"/>
    <hyperlink ref="A3283" r:id="rId8627" xr:uid="{00000000-0004-0000-0200-0000B2210000}"/>
    <hyperlink ref="B3283" r:id="rId8628" xr:uid="{00000000-0004-0000-0200-0000B3210000}"/>
    <hyperlink ref="C3283" r:id="rId8629" xr:uid="{00000000-0004-0000-0200-0000B4210000}"/>
    <hyperlink ref="A3284" r:id="rId8630" xr:uid="{00000000-0004-0000-0200-0000B5210000}"/>
    <hyperlink ref="B3284" r:id="rId8631" xr:uid="{00000000-0004-0000-0200-0000B6210000}"/>
    <hyperlink ref="C3284" r:id="rId8632" xr:uid="{00000000-0004-0000-0200-0000B7210000}"/>
    <hyperlink ref="A3285" r:id="rId8633" xr:uid="{00000000-0004-0000-0200-0000B8210000}"/>
    <hyperlink ref="B3285" r:id="rId8634" xr:uid="{00000000-0004-0000-0200-0000B9210000}"/>
    <hyperlink ref="C3285" r:id="rId8635" xr:uid="{00000000-0004-0000-0200-0000BA210000}"/>
    <hyperlink ref="A3286" r:id="rId8636" xr:uid="{00000000-0004-0000-0200-0000BB210000}"/>
    <hyperlink ref="B3286" r:id="rId8637" xr:uid="{00000000-0004-0000-0200-0000BC210000}"/>
    <hyperlink ref="C3286" r:id="rId8638" xr:uid="{00000000-0004-0000-0200-0000BD210000}"/>
    <hyperlink ref="A3287" r:id="rId8639" xr:uid="{00000000-0004-0000-0200-0000BE210000}"/>
    <hyperlink ref="B3287" r:id="rId8640" xr:uid="{00000000-0004-0000-0200-0000BF210000}"/>
    <hyperlink ref="C3287" r:id="rId8641" xr:uid="{00000000-0004-0000-0200-0000C0210000}"/>
    <hyperlink ref="A3288" r:id="rId8642" xr:uid="{00000000-0004-0000-0200-0000C1210000}"/>
    <hyperlink ref="B3288" r:id="rId8643" xr:uid="{00000000-0004-0000-0200-0000C2210000}"/>
    <hyperlink ref="C3288" r:id="rId8644" xr:uid="{00000000-0004-0000-0200-0000C3210000}"/>
    <hyperlink ref="A3289" r:id="rId8645" xr:uid="{00000000-0004-0000-0200-0000C4210000}"/>
    <hyperlink ref="B3289" r:id="rId8646" xr:uid="{00000000-0004-0000-0200-0000C5210000}"/>
    <hyperlink ref="C3289" r:id="rId8647" xr:uid="{00000000-0004-0000-0200-0000C6210000}"/>
    <hyperlink ref="A3290" r:id="rId8648" xr:uid="{00000000-0004-0000-0200-0000C7210000}"/>
    <hyperlink ref="B3290" r:id="rId8649" xr:uid="{00000000-0004-0000-0200-0000C8210000}"/>
    <hyperlink ref="C3290" r:id="rId8650" xr:uid="{00000000-0004-0000-0200-0000C9210000}"/>
    <hyperlink ref="A3291" r:id="rId8651" xr:uid="{00000000-0004-0000-0200-0000CA210000}"/>
    <hyperlink ref="B3291" r:id="rId8652" xr:uid="{00000000-0004-0000-0200-0000CB210000}"/>
    <hyperlink ref="C3291" r:id="rId8653" xr:uid="{00000000-0004-0000-0200-0000CC210000}"/>
    <hyperlink ref="A3292" r:id="rId8654" xr:uid="{00000000-0004-0000-0200-0000CD210000}"/>
    <hyperlink ref="B3292" r:id="rId8655" xr:uid="{00000000-0004-0000-0200-0000CE210000}"/>
    <hyperlink ref="C3292" r:id="rId8656" xr:uid="{00000000-0004-0000-0200-0000CF210000}"/>
    <hyperlink ref="A3293" r:id="rId8657" xr:uid="{00000000-0004-0000-0200-0000D0210000}"/>
    <hyperlink ref="B3293" r:id="rId8658" xr:uid="{00000000-0004-0000-0200-0000D1210000}"/>
    <hyperlink ref="C3293" r:id="rId8659" xr:uid="{00000000-0004-0000-0200-0000D2210000}"/>
    <hyperlink ref="A3294" r:id="rId8660" xr:uid="{00000000-0004-0000-0200-0000D3210000}"/>
    <hyperlink ref="B3294" r:id="rId8661" xr:uid="{00000000-0004-0000-0200-0000D4210000}"/>
    <hyperlink ref="C3294" r:id="rId8662" xr:uid="{00000000-0004-0000-0200-0000D5210000}"/>
    <hyperlink ref="A3295" r:id="rId8663" xr:uid="{00000000-0004-0000-0200-0000D6210000}"/>
    <hyperlink ref="B3295" r:id="rId8664" xr:uid="{00000000-0004-0000-0200-0000D7210000}"/>
    <hyperlink ref="C3295" r:id="rId8665" xr:uid="{00000000-0004-0000-0200-0000D8210000}"/>
    <hyperlink ref="A3296" r:id="rId8666" xr:uid="{00000000-0004-0000-0200-0000D9210000}"/>
    <hyperlink ref="B3296" r:id="rId8667" xr:uid="{00000000-0004-0000-0200-0000DA210000}"/>
    <hyperlink ref="C3296" r:id="rId8668" xr:uid="{00000000-0004-0000-0200-0000DB210000}"/>
    <hyperlink ref="A3297" r:id="rId8669" xr:uid="{00000000-0004-0000-0200-0000DC210000}"/>
    <hyperlink ref="B3297" r:id="rId8670" xr:uid="{00000000-0004-0000-0200-0000DD210000}"/>
    <hyperlink ref="C3297" r:id="rId8671" xr:uid="{00000000-0004-0000-0200-0000DE210000}"/>
    <hyperlink ref="A3298" r:id="rId8672" xr:uid="{00000000-0004-0000-0200-0000DF210000}"/>
    <hyperlink ref="B3298" r:id="rId8673" xr:uid="{00000000-0004-0000-0200-0000E0210000}"/>
    <hyperlink ref="C3298" r:id="rId8674" xr:uid="{00000000-0004-0000-0200-0000E1210000}"/>
    <hyperlink ref="A3299" r:id="rId8675" xr:uid="{00000000-0004-0000-0200-0000E2210000}"/>
    <hyperlink ref="B3299" r:id="rId8676" xr:uid="{00000000-0004-0000-0200-0000E3210000}"/>
    <hyperlink ref="C3299" r:id="rId8677" xr:uid="{00000000-0004-0000-0200-0000E4210000}"/>
    <hyperlink ref="A3300" r:id="rId8678" xr:uid="{00000000-0004-0000-0200-0000E5210000}"/>
    <hyperlink ref="B3300" r:id="rId8679" xr:uid="{00000000-0004-0000-0200-0000E6210000}"/>
    <hyperlink ref="C3300" r:id="rId8680" xr:uid="{00000000-0004-0000-0200-0000E7210000}"/>
    <hyperlink ref="A3301" r:id="rId8681" xr:uid="{00000000-0004-0000-0200-0000E8210000}"/>
    <hyperlink ref="B3301" r:id="rId8682" xr:uid="{00000000-0004-0000-0200-0000E9210000}"/>
    <hyperlink ref="C3301" r:id="rId8683" xr:uid="{00000000-0004-0000-0200-0000EA210000}"/>
    <hyperlink ref="A3302" r:id="rId8684" xr:uid="{00000000-0004-0000-0200-0000EB210000}"/>
    <hyperlink ref="B3302" r:id="rId8685" xr:uid="{00000000-0004-0000-0200-0000EC210000}"/>
    <hyperlink ref="C3302" r:id="rId8686" xr:uid="{00000000-0004-0000-0200-0000ED210000}"/>
    <hyperlink ref="A3303" r:id="rId8687" xr:uid="{00000000-0004-0000-0200-0000EE210000}"/>
    <hyperlink ref="B3303" r:id="rId8688" xr:uid="{00000000-0004-0000-0200-0000EF210000}"/>
    <hyperlink ref="C3303" r:id="rId8689" xr:uid="{00000000-0004-0000-0200-0000F0210000}"/>
    <hyperlink ref="A3304" r:id="rId8690" xr:uid="{00000000-0004-0000-0200-0000F1210000}"/>
    <hyperlink ref="B3304" r:id="rId8691" xr:uid="{00000000-0004-0000-0200-0000F2210000}"/>
    <hyperlink ref="C3304" r:id="rId8692" xr:uid="{00000000-0004-0000-0200-0000F3210000}"/>
    <hyperlink ref="A3305" r:id="rId8693" xr:uid="{00000000-0004-0000-0200-0000F4210000}"/>
    <hyperlink ref="B3305" r:id="rId8694" xr:uid="{00000000-0004-0000-0200-0000F5210000}"/>
    <hyperlink ref="C3305" r:id="rId8695" xr:uid="{00000000-0004-0000-0200-0000F6210000}"/>
    <hyperlink ref="A3306" r:id="rId8696" xr:uid="{00000000-0004-0000-0200-0000F7210000}"/>
    <hyperlink ref="B3306" r:id="rId8697" xr:uid="{00000000-0004-0000-0200-0000F8210000}"/>
    <hyperlink ref="C3306" r:id="rId8698" xr:uid="{00000000-0004-0000-0200-0000F9210000}"/>
    <hyperlink ref="A3307" r:id="rId8699" xr:uid="{00000000-0004-0000-0200-0000FA210000}"/>
    <hyperlink ref="B3307" r:id="rId8700" xr:uid="{00000000-0004-0000-0200-0000FB210000}"/>
    <hyperlink ref="C3307" r:id="rId8701" xr:uid="{00000000-0004-0000-0200-0000FC210000}"/>
    <hyperlink ref="A3308" r:id="rId8702" xr:uid="{00000000-0004-0000-0200-0000FD210000}"/>
    <hyperlink ref="B3308" r:id="rId8703" xr:uid="{00000000-0004-0000-0200-0000FE210000}"/>
    <hyperlink ref="C3308" r:id="rId8704" xr:uid="{00000000-0004-0000-0200-0000FF210000}"/>
    <hyperlink ref="A3309" r:id="rId8705" xr:uid="{00000000-0004-0000-0200-000000220000}"/>
    <hyperlink ref="B3309" r:id="rId8706" xr:uid="{00000000-0004-0000-0200-000001220000}"/>
    <hyperlink ref="C3309" r:id="rId8707" xr:uid="{00000000-0004-0000-0200-000002220000}"/>
    <hyperlink ref="A3310" r:id="rId8708" xr:uid="{00000000-0004-0000-0200-000003220000}"/>
    <hyperlink ref="B3310" r:id="rId8709" xr:uid="{00000000-0004-0000-0200-000004220000}"/>
    <hyperlink ref="C3310" r:id="rId8710" xr:uid="{00000000-0004-0000-0200-000005220000}"/>
    <hyperlink ref="A3311" r:id="rId8711" xr:uid="{00000000-0004-0000-0200-000006220000}"/>
    <hyperlink ref="B3311" r:id="rId8712" xr:uid="{00000000-0004-0000-0200-000007220000}"/>
    <hyperlink ref="C3311" r:id="rId8713" xr:uid="{00000000-0004-0000-0200-000008220000}"/>
    <hyperlink ref="A3312" r:id="rId8714" xr:uid="{00000000-0004-0000-0200-000009220000}"/>
    <hyperlink ref="B3312" r:id="rId8715" xr:uid="{00000000-0004-0000-0200-00000A220000}"/>
    <hyperlink ref="C3312" r:id="rId8716" xr:uid="{00000000-0004-0000-0200-00000B220000}"/>
    <hyperlink ref="A3313" r:id="rId8717" xr:uid="{00000000-0004-0000-0200-00000C220000}"/>
    <hyperlink ref="B3313" r:id="rId8718" xr:uid="{00000000-0004-0000-0200-00000D220000}"/>
    <hyperlink ref="C3313" r:id="rId8719" xr:uid="{00000000-0004-0000-0200-00000E220000}"/>
    <hyperlink ref="A3314" r:id="rId8720" xr:uid="{00000000-0004-0000-0200-00000F220000}"/>
    <hyperlink ref="B3314" r:id="rId8721" xr:uid="{00000000-0004-0000-0200-000010220000}"/>
    <hyperlink ref="C3314" r:id="rId8722" xr:uid="{00000000-0004-0000-0200-000011220000}"/>
    <hyperlink ref="A3315" r:id="rId8723" xr:uid="{00000000-0004-0000-0200-000012220000}"/>
    <hyperlink ref="B3315" r:id="rId8724" xr:uid="{00000000-0004-0000-0200-000013220000}"/>
    <hyperlink ref="C3315" r:id="rId8725" xr:uid="{00000000-0004-0000-0200-000014220000}"/>
    <hyperlink ref="A3316" r:id="rId8726" xr:uid="{00000000-0004-0000-0200-000015220000}"/>
    <hyperlink ref="B3316" r:id="rId8727" xr:uid="{00000000-0004-0000-0200-000016220000}"/>
    <hyperlink ref="C3316" r:id="rId8728" xr:uid="{00000000-0004-0000-0200-000017220000}"/>
    <hyperlink ref="A3317" r:id="rId8729" xr:uid="{00000000-0004-0000-0200-000018220000}"/>
    <hyperlink ref="B3317" r:id="rId8730" xr:uid="{00000000-0004-0000-0200-000019220000}"/>
    <hyperlink ref="C3317" r:id="rId8731" xr:uid="{00000000-0004-0000-0200-00001A220000}"/>
    <hyperlink ref="A3318" r:id="rId8732" xr:uid="{00000000-0004-0000-0200-00001B220000}"/>
    <hyperlink ref="B3318" r:id="rId8733" xr:uid="{00000000-0004-0000-0200-00001C220000}"/>
    <hyperlink ref="C3318" r:id="rId8734" xr:uid="{00000000-0004-0000-0200-00001D220000}"/>
    <hyperlink ref="A3319" r:id="rId8735" xr:uid="{00000000-0004-0000-0200-00001E220000}"/>
    <hyperlink ref="B3319" r:id="rId8736" xr:uid="{00000000-0004-0000-0200-00001F220000}"/>
    <hyperlink ref="C3319" r:id="rId8737" xr:uid="{00000000-0004-0000-0200-000020220000}"/>
    <hyperlink ref="A3320" r:id="rId8738" xr:uid="{00000000-0004-0000-0200-000021220000}"/>
    <hyperlink ref="B3320" r:id="rId8739" xr:uid="{00000000-0004-0000-0200-000022220000}"/>
    <hyperlink ref="C3320" r:id="rId8740" xr:uid="{00000000-0004-0000-0200-000023220000}"/>
    <hyperlink ref="A3321" r:id="rId8741" xr:uid="{00000000-0004-0000-0200-000024220000}"/>
    <hyperlink ref="B3321" r:id="rId8742" xr:uid="{00000000-0004-0000-0200-000025220000}"/>
    <hyperlink ref="C3321" r:id="rId8743" xr:uid="{00000000-0004-0000-0200-000026220000}"/>
    <hyperlink ref="A3322" r:id="rId8744" xr:uid="{00000000-0004-0000-0200-000027220000}"/>
    <hyperlink ref="B3322" r:id="rId8745" xr:uid="{00000000-0004-0000-0200-000028220000}"/>
    <hyperlink ref="C3322" r:id="rId8746" xr:uid="{00000000-0004-0000-0200-000029220000}"/>
    <hyperlink ref="A3323" r:id="rId8747" xr:uid="{00000000-0004-0000-0200-00002A220000}"/>
    <hyperlink ref="B3323" r:id="rId8748" xr:uid="{00000000-0004-0000-0200-00002B220000}"/>
    <hyperlink ref="C3323" r:id="rId8749" xr:uid="{00000000-0004-0000-0200-00002C220000}"/>
    <hyperlink ref="A3324" r:id="rId8750" xr:uid="{00000000-0004-0000-0200-00002D220000}"/>
    <hyperlink ref="B3324" r:id="rId8751" xr:uid="{00000000-0004-0000-0200-00002E220000}"/>
    <hyperlink ref="C3324" r:id="rId8752" xr:uid="{00000000-0004-0000-0200-00002F220000}"/>
    <hyperlink ref="A3325" r:id="rId8753" xr:uid="{00000000-0004-0000-0200-000030220000}"/>
    <hyperlink ref="B3325" r:id="rId8754" xr:uid="{00000000-0004-0000-0200-000031220000}"/>
    <hyperlink ref="C3325" r:id="rId8755" xr:uid="{00000000-0004-0000-0200-000032220000}"/>
    <hyperlink ref="A3326" r:id="rId8756" xr:uid="{00000000-0004-0000-0200-000033220000}"/>
    <hyperlink ref="B3326" r:id="rId8757" xr:uid="{00000000-0004-0000-0200-000034220000}"/>
    <hyperlink ref="C3326" r:id="rId8758" xr:uid="{00000000-0004-0000-0200-000035220000}"/>
    <hyperlink ref="A3327" r:id="rId8759" xr:uid="{00000000-0004-0000-0200-000036220000}"/>
    <hyperlink ref="B3327" r:id="rId8760" xr:uid="{00000000-0004-0000-0200-000037220000}"/>
    <hyperlink ref="C3327" r:id="rId8761" xr:uid="{00000000-0004-0000-0200-000038220000}"/>
    <hyperlink ref="A3328" r:id="rId8762" xr:uid="{00000000-0004-0000-0200-000039220000}"/>
    <hyperlink ref="B3328" r:id="rId8763" xr:uid="{00000000-0004-0000-0200-00003A220000}"/>
    <hyperlink ref="C3328" r:id="rId8764" xr:uid="{00000000-0004-0000-0200-00003B220000}"/>
    <hyperlink ref="A3329" r:id="rId8765" xr:uid="{00000000-0004-0000-0200-00003C220000}"/>
    <hyperlink ref="B3329" r:id="rId8766" xr:uid="{00000000-0004-0000-0200-00003D220000}"/>
    <hyperlink ref="C3329" r:id="rId8767" xr:uid="{00000000-0004-0000-0200-00003E220000}"/>
    <hyperlink ref="A3330" r:id="rId8768" xr:uid="{00000000-0004-0000-0200-00003F220000}"/>
    <hyperlink ref="B3330" r:id="rId8769" xr:uid="{00000000-0004-0000-0200-000040220000}"/>
    <hyperlink ref="C3330" r:id="rId8770" xr:uid="{00000000-0004-0000-0200-000041220000}"/>
    <hyperlink ref="A3331" r:id="rId8771" xr:uid="{00000000-0004-0000-0200-000042220000}"/>
    <hyperlink ref="B3331" r:id="rId8772" xr:uid="{00000000-0004-0000-0200-000043220000}"/>
    <hyperlink ref="C3331" r:id="rId8773" xr:uid="{00000000-0004-0000-0200-000044220000}"/>
    <hyperlink ref="A3332" r:id="rId8774" xr:uid="{00000000-0004-0000-0200-000045220000}"/>
    <hyperlink ref="B3332" r:id="rId8775" xr:uid="{00000000-0004-0000-0200-000046220000}"/>
    <hyperlink ref="C3332" r:id="rId8776" xr:uid="{00000000-0004-0000-0200-000047220000}"/>
    <hyperlink ref="A3333" r:id="rId8777" xr:uid="{00000000-0004-0000-0200-000048220000}"/>
    <hyperlink ref="B3333" r:id="rId8778" xr:uid="{00000000-0004-0000-0200-000049220000}"/>
    <hyperlink ref="C3333" r:id="rId8779" xr:uid="{00000000-0004-0000-0200-00004A220000}"/>
    <hyperlink ref="A3334" r:id="rId8780" xr:uid="{00000000-0004-0000-0200-00004B220000}"/>
    <hyperlink ref="B3334" r:id="rId8781" xr:uid="{00000000-0004-0000-0200-00004C220000}"/>
    <hyperlink ref="C3334" r:id="rId8782" xr:uid="{00000000-0004-0000-0200-00004D220000}"/>
    <hyperlink ref="A3335" r:id="rId8783" xr:uid="{00000000-0004-0000-0200-00004E220000}"/>
    <hyperlink ref="B3335" r:id="rId8784" xr:uid="{00000000-0004-0000-0200-00004F220000}"/>
    <hyperlink ref="C3335" r:id="rId8785" xr:uid="{00000000-0004-0000-0200-000050220000}"/>
    <hyperlink ref="A3336" r:id="rId8786" xr:uid="{00000000-0004-0000-0200-000051220000}"/>
    <hyperlink ref="B3336" r:id="rId8787" xr:uid="{00000000-0004-0000-0200-000052220000}"/>
    <hyperlink ref="C3336" r:id="rId8788" xr:uid="{00000000-0004-0000-0200-000053220000}"/>
    <hyperlink ref="A3337" r:id="rId8789" xr:uid="{00000000-0004-0000-0200-000054220000}"/>
    <hyperlink ref="B3337" r:id="rId8790" xr:uid="{00000000-0004-0000-0200-000055220000}"/>
    <hyperlink ref="C3337" r:id="rId8791" xr:uid="{00000000-0004-0000-0200-000056220000}"/>
    <hyperlink ref="A3338" r:id="rId8792" xr:uid="{00000000-0004-0000-0200-000057220000}"/>
    <hyperlink ref="B3338" r:id="rId8793" xr:uid="{00000000-0004-0000-0200-000058220000}"/>
    <hyperlink ref="C3338" r:id="rId8794" xr:uid="{00000000-0004-0000-0200-000059220000}"/>
    <hyperlink ref="A3339" r:id="rId8795" xr:uid="{00000000-0004-0000-0200-00005A220000}"/>
    <hyperlink ref="B3339" r:id="rId8796" xr:uid="{00000000-0004-0000-0200-00005B220000}"/>
    <hyperlink ref="C3339" r:id="rId8797" xr:uid="{00000000-0004-0000-0200-00005C220000}"/>
    <hyperlink ref="I3339" r:id="rId8798" xr:uid="{00000000-0004-0000-0200-00005D220000}"/>
    <hyperlink ref="A3340" r:id="rId8799" xr:uid="{00000000-0004-0000-0200-00005E220000}"/>
    <hyperlink ref="B3340" r:id="rId8800" xr:uid="{00000000-0004-0000-0200-00005F220000}"/>
    <hyperlink ref="C3340" r:id="rId8801" xr:uid="{00000000-0004-0000-0200-000060220000}"/>
    <hyperlink ref="A3341" r:id="rId8802" xr:uid="{00000000-0004-0000-0200-000061220000}"/>
    <hyperlink ref="B3341" r:id="rId8803" xr:uid="{00000000-0004-0000-0200-000062220000}"/>
    <hyperlink ref="C3341" r:id="rId8804" xr:uid="{00000000-0004-0000-0200-000063220000}"/>
    <hyperlink ref="A3342" r:id="rId8805" xr:uid="{00000000-0004-0000-0200-000064220000}"/>
    <hyperlink ref="B3342" r:id="rId8806" xr:uid="{00000000-0004-0000-0200-000065220000}"/>
    <hyperlink ref="C3342" r:id="rId8807" xr:uid="{00000000-0004-0000-0200-000066220000}"/>
    <hyperlink ref="A3343" r:id="rId8808" xr:uid="{00000000-0004-0000-0200-000067220000}"/>
    <hyperlink ref="B3343" r:id="rId8809" xr:uid="{00000000-0004-0000-0200-000068220000}"/>
    <hyperlink ref="C3343" r:id="rId8810" xr:uid="{00000000-0004-0000-0200-000069220000}"/>
    <hyperlink ref="A3344" r:id="rId8811" xr:uid="{00000000-0004-0000-0200-00006A220000}"/>
    <hyperlink ref="B3344" r:id="rId8812" xr:uid="{00000000-0004-0000-0200-00006B220000}"/>
    <hyperlink ref="C3344" r:id="rId8813" xr:uid="{00000000-0004-0000-0200-00006C220000}"/>
    <hyperlink ref="A3345" r:id="rId8814" xr:uid="{00000000-0004-0000-0200-00006D220000}"/>
    <hyperlink ref="B3345" r:id="rId8815" xr:uid="{00000000-0004-0000-0200-00006E220000}"/>
    <hyperlink ref="C3345" r:id="rId8816" xr:uid="{00000000-0004-0000-0200-00006F220000}"/>
    <hyperlink ref="A3346" r:id="rId8817" xr:uid="{00000000-0004-0000-0200-000070220000}"/>
    <hyperlink ref="B3346" r:id="rId8818" xr:uid="{00000000-0004-0000-0200-000071220000}"/>
    <hyperlink ref="C3346" r:id="rId8819" xr:uid="{00000000-0004-0000-0200-000072220000}"/>
    <hyperlink ref="A3347" r:id="rId8820" xr:uid="{00000000-0004-0000-0200-000073220000}"/>
    <hyperlink ref="B3347" r:id="rId8821" xr:uid="{00000000-0004-0000-0200-000074220000}"/>
    <hyperlink ref="C3347" r:id="rId8822" xr:uid="{00000000-0004-0000-0200-000075220000}"/>
    <hyperlink ref="A3348" r:id="rId8823" xr:uid="{00000000-0004-0000-0200-000076220000}"/>
    <hyperlink ref="B3348" r:id="rId8824" xr:uid="{00000000-0004-0000-0200-000077220000}"/>
    <hyperlink ref="C3348" r:id="rId8825" xr:uid="{00000000-0004-0000-0200-000078220000}"/>
    <hyperlink ref="A3349" r:id="rId8826" xr:uid="{00000000-0004-0000-0200-000079220000}"/>
    <hyperlink ref="B3349" r:id="rId8827" xr:uid="{00000000-0004-0000-0200-00007A220000}"/>
    <hyperlink ref="C3349" r:id="rId8828" xr:uid="{00000000-0004-0000-0200-00007B220000}"/>
    <hyperlink ref="A3350" r:id="rId8829" xr:uid="{00000000-0004-0000-0200-00007C220000}"/>
    <hyperlink ref="B3350" r:id="rId8830" xr:uid="{00000000-0004-0000-0200-00007D220000}"/>
    <hyperlink ref="C3350" r:id="rId8831" xr:uid="{00000000-0004-0000-0200-00007E220000}"/>
    <hyperlink ref="A3351" r:id="rId8832" xr:uid="{00000000-0004-0000-0200-00007F220000}"/>
    <hyperlink ref="B3351" r:id="rId8833" xr:uid="{00000000-0004-0000-0200-000080220000}"/>
    <hyperlink ref="C3351" r:id="rId8834" xr:uid="{00000000-0004-0000-0200-000081220000}"/>
    <hyperlink ref="A3352" r:id="rId8835" xr:uid="{00000000-0004-0000-0200-000082220000}"/>
    <hyperlink ref="B3352" r:id="rId8836" xr:uid="{00000000-0004-0000-0200-000083220000}"/>
    <hyperlink ref="C3352" r:id="rId8837" xr:uid="{00000000-0004-0000-0200-000084220000}"/>
    <hyperlink ref="A3353" r:id="rId8838" xr:uid="{00000000-0004-0000-0200-000085220000}"/>
    <hyperlink ref="B3353" r:id="rId8839" xr:uid="{00000000-0004-0000-0200-000086220000}"/>
    <hyperlink ref="C3353" r:id="rId8840" xr:uid="{00000000-0004-0000-0200-000087220000}"/>
    <hyperlink ref="A3354" r:id="rId8841" xr:uid="{00000000-0004-0000-0200-000088220000}"/>
    <hyperlink ref="B3354" r:id="rId8842" xr:uid="{00000000-0004-0000-0200-000089220000}"/>
    <hyperlink ref="C3354" r:id="rId8843" xr:uid="{00000000-0004-0000-0200-00008A220000}"/>
    <hyperlink ref="A3355" r:id="rId8844" xr:uid="{00000000-0004-0000-0200-00008B220000}"/>
    <hyperlink ref="B3355" r:id="rId8845" xr:uid="{00000000-0004-0000-0200-00008C220000}"/>
    <hyperlink ref="C3355" r:id="rId8846" xr:uid="{00000000-0004-0000-0200-00008D220000}"/>
    <hyperlink ref="A3356" r:id="rId8847" xr:uid="{00000000-0004-0000-0200-00008E220000}"/>
    <hyperlink ref="B3356" r:id="rId8848" xr:uid="{00000000-0004-0000-0200-00008F220000}"/>
    <hyperlink ref="C3356" r:id="rId8849" xr:uid="{00000000-0004-0000-0200-000090220000}"/>
    <hyperlink ref="A3357" r:id="rId8850" xr:uid="{00000000-0004-0000-0200-000091220000}"/>
    <hyperlink ref="B3357" r:id="rId8851" xr:uid="{00000000-0004-0000-0200-000092220000}"/>
    <hyperlink ref="C3357" r:id="rId8852" xr:uid="{00000000-0004-0000-0200-000093220000}"/>
    <hyperlink ref="A3358" r:id="rId8853" xr:uid="{00000000-0004-0000-0200-000094220000}"/>
    <hyperlink ref="B3358" r:id="rId8854" xr:uid="{00000000-0004-0000-0200-000095220000}"/>
    <hyperlink ref="C3358" r:id="rId8855" xr:uid="{00000000-0004-0000-0200-000096220000}"/>
    <hyperlink ref="A3359" r:id="rId8856" xr:uid="{00000000-0004-0000-0200-000097220000}"/>
    <hyperlink ref="B3359" r:id="rId8857" xr:uid="{00000000-0004-0000-0200-000098220000}"/>
    <hyperlink ref="C3359" r:id="rId8858" xr:uid="{00000000-0004-0000-0200-000099220000}"/>
    <hyperlink ref="A3360" r:id="rId8859" xr:uid="{00000000-0004-0000-0200-00009A220000}"/>
    <hyperlink ref="B3360" r:id="rId8860" xr:uid="{00000000-0004-0000-0200-00009B220000}"/>
    <hyperlink ref="C3360" r:id="rId8861" xr:uid="{00000000-0004-0000-0200-00009C220000}"/>
    <hyperlink ref="A3361" r:id="rId8862" xr:uid="{00000000-0004-0000-0200-00009D220000}"/>
    <hyperlink ref="B3361" r:id="rId8863" xr:uid="{00000000-0004-0000-0200-00009E220000}"/>
    <hyperlink ref="C3361" r:id="rId8864" xr:uid="{00000000-0004-0000-0200-00009F220000}"/>
    <hyperlink ref="A3362" r:id="rId8865" xr:uid="{00000000-0004-0000-0200-0000A0220000}"/>
    <hyperlink ref="B3362" r:id="rId8866" xr:uid="{00000000-0004-0000-0200-0000A1220000}"/>
    <hyperlink ref="C3362" r:id="rId8867" xr:uid="{00000000-0004-0000-0200-0000A2220000}"/>
    <hyperlink ref="A3363" r:id="rId8868" xr:uid="{00000000-0004-0000-0200-0000A3220000}"/>
    <hyperlink ref="B3363" r:id="rId8869" xr:uid="{00000000-0004-0000-0200-0000A4220000}"/>
    <hyperlink ref="C3363" r:id="rId8870" xr:uid="{00000000-0004-0000-0200-0000A5220000}"/>
    <hyperlink ref="A3364" r:id="rId8871" xr:uid="{00000000-0004-0000-0200-0000A6220000}"/>
    <hyperlink ref="B3364" r:id="rId8872" xr:uid="{00000000-0004-0000-0200-0000A7220000}"/>
    <hyperlink ref="C3364" r:id="rId8873" xr:uid="{00000000-0004-0000-0200-0000A8220000}"/>
    <hyperlink ref="A3365" r:id="rId8874" xr:uid="{00000000-0004-0000-0200-0000A9220000}"/>
    <hyperlink ref="B3365" r:id="rId8875" xr:uid="{00000000-0004-0000-0200-0000AA220000}"/>
    <hyperlink ref="C3365" r:id="rId8876" xr:uid="{00000000-0004-0000-0200-0000AB220000}"/>
    <hyperlink ref="A3366" r:id="rId8877" xr:uid="{00000000-0004-0000-0200-0000AC220000}"/>
    <hyperlink ref="B3366" r:id="rId8878" xr:uid="{00000000-0004-0000-0200-0000AD220000}"/>
    <hyperlink ref="C3366" r:id="rId8879" xr:uid="{00000000-0004-0000-0200-0000AE220000}"/>
    <hyperlink ref="A3367" r:id="rId8880" xr:uid="{00000000-0004-0000-0200-0000AF220000}"/>
    <hyperlink ref="B3367" r:id="rId8881" xr:uid="{00000000-0004-0000-0200-0000B0220000}"/>
    <hyperlink ref="C3367" r:id="rId8882" xr:uid="{00000000-0004-0000-0200-0000B1220000}"/>
    <hyperlink ref="A3368" r:id="rId8883" xr:uid="{00000000-0004-0000-0200-0000B2220000}"/>
    <hyperlink ref="B3368" r:id="rId8884" xr:uid="{00000000-0004-0000-0200-0000B3220000}"/>
    <hyperlink ref="C3368" r:id="rId8885" xr:uid="{00000000-0004-0000-0200-0000B4220000}"/>
    <hyperlink ref="A3369" r:id="rId8886" xr:uid="{00000000-0004-0000-0200-0000B5220000}"/>
    <hyperlink ref="B3369" r:id="rId8887" xr:uid="{00000000-0004-0000-0200-0000B6220000}"/>
    <hyperlink ref="C3369" r:id="rId8888" xr:uid="{00000000-0004-0000-0200-0000B7220000}"/>
    <hyperlink ref="A3370" r:id="rId8889" xr:uid="{00000000-0004-0000-0200-0000B8220000}"/>
    <hyperlink ref="B3370" r:id="rId8890" xr:uid="{00000000-0004-0000-0200-0000B9220000}"/>
    <hyperlink ref="C3370" r:id="rId8891" xr:uid="{00000000-0004-0000-0200-0000BA220000}"/>
    <hyperlink ref="A3371" r:id="rId8892" xr:uid="{00000000-0004-0000-0200-0000BB220000}"/>
    <hyperlink ref="B3371" r:id="rId8893" xr:uid="{00000000-0004-0000-0200-0000BC220000}"/>
    <hyperlink ref="C3371" r:id="rId8894" xr:uid="{00000000-0004-0000-0200-0000BD220000}"/>
    <hyperlink ref="A3372" r:id="rId8895" xr:uid="{00000000-0004-0000-0200-0000BE220000}"/>
    <hyperlink ref="B3372" r:id="rId8896" xr:uid="{00000000-0004-0000-0200-0000BF220000}"/>
    <hyperlink ref="C3372" r:id="rId8897" xr:uid="{00000000-0004-0000-0200-0000C0220000}"/>
    <hyperlink ref="A3373" r:id="rId8898" xr:uid="{00000000-0004-0000-0200-0000C1220000}"/>
    <hyperlink ref="B3373" r:id="rId8899" xr:uid="{00000000-0004-0000-0200-0000C2220000}"/>
    <hyperlink ref="C3373" r:id="rId8900" xr:uid="{00000000-0004-0000-0200-0000C3220000}"/>
    <hyperlink ref="A3374" r:id="rId8901" xr:uid="{00000000-0004-0000-0200-0000C4220000}"/>
    <hyperlink ref="B3374" r:id="rId8902" xr:uid="{00000000-0004-0000-0200-0000C5220000}"/>
    <hyperlink ref="C3374" r:id="rId8903" xr:uid="{00000000-0004-0000-0200-0000C6220000}"/>
    <hyperlink ref="A3375" r:id="rId8904" xr:uid="{00000000-0004-0000-0200-0000C7220000}"/>
    <hyperlink ref="B3375" r:id="rId8905" xr:uid="{00000000-0004-0000-0200-0000C8220000}"/>
    <hyperlink ref="C3375" r:id="rId8906" xr:uid="{00000000-0004-0000-0200-0000C9220000}"/>
    <hyperlink ref="A3376" r:id="rId8907" xr:uid="{00000000-0004-0000-0200-0000CA220000}"/>
    <hyperlink ref="B3376" r:id="rId8908" xr:uid="{00000000-0004-0000-0200-0000CB220000}"/>
    <hyperlink ref="C3376" r:id="rId8909" xr:uid="{00000000-0004-0000-0200-0000CC220000}"/>
    <hyperlink ref="A3377" r:id="rId8910" xr:uid="{00000000-0004-0000-0200-0000CD220000}"/>
    <hyperlink ref="B3377" r:id="rId8911" xr:uid="{00000000-0004-0000-0200-0000CE220000}"/>
    <hyperlink ref="C3377" r:id="rId8912" xr:uid="{00000000-0004-0000-0200-0000CF220000}"/>
    <hyperlink ref="A3378" r:id="rId8913" xr:uid="{00000000-0004-0000-0200-0000D0220000}"/>
    <hyperlink ref="B3378" r:id="rId8914" xr:uid="{00000000-0004-0000-0200-0000D1220000}"/>
    <hyperlink ref="C3378" r:id="rId8915" xr:uid="{00000000-0004-0000-0200-0000D2220000}"/>
    <hyperlink ref="A3379" r:id="rId8916" xr:uid="{00000000-0004-0000-0200-0000D3220000}"/>
    <hyperlink ref="B3379" r:id="rId8917" xr:uid="{00000000-0004-0000-0200-0000D4220000}"/>
    <hyperlink ref="C3379" r:id="rId8918" xr:uid="{00000000-0004-0000-0200-0000D5220000}"/>
    <hyperlink ref="A3380" r:id="rId8919" xr:uid="{00000000-0004-0000-0200-0000D6220000}"/>
    <hyperlink ref="B3380" r:id="rId8920" xr:uid="{00000000-0004-0000-0200-0000D7220000}"/>
    <hyperlink ref="C3380" r:id="rId8921" xr:uid="{00000000-0004-0000-0200-0000D8220000}"/>
    <hyperlink ref="A3381" r:id="rId8922" xr:uid="{00000000-0004-0000-0200-0000D9220000}"/>
    <hyperlink ref="B3381" r:id="rId8923" xr:uid="{00000000-0004-0000-0200-0000DA220000}"/>
    <hyperlink ref="C3381" r:id="rId8924" xr:uid="{00000000-0004-0000-0200-0000DB220000}"/>
    <hyperlink ref="A3382" r:id="rId8925" xr:uid="{00000000-0004-0000-0200-0000DC220000}"/>
    <hyperlink ref="B3382" r:id="rId8926" xr:uid="{00000000-0004-0000-0200-0000DD220000}"/>
    <hyperlink ref="C3382" r:id="rId8927" xr:uid="{00000000-0004-0000-0200-0000DE220000}"/>
    <hyperlink ref="A3383" r:id="rId8928" xr:uid="{00000000-0004-0000-0200-0000DF220000}"/>
    <hyperlink ref="B3383" r:id="rId8929" xr:uid="{00000000-0004-0000-0200-0000E0220000}"/>
    <hyperlink ref="C3383" r:id="rId8930" xr:uid="{00000000-0004-0000-0200-0000E1220000}"/>
    <hyperlink ref="A3384" r:id="rId8931" xr:uid="{00000000-0004-0000-0200-0000E2220000}"/>
    <hyperlink ref="B3384" r:id="rId8932" xr:uid="{00000000-0004-0000-0200-0000E3220000}"/>
    <hyperlink ref="C3384" r:id="rId8933" xr:uid="{00000000-0004-0000-0200-0000E4220000}"/>
    <hyperlink ref="A3385" r:id="rId8934" xr:uid="{00000000-0004-0000-0200-0000E5220000}"/>
    <hyperlink ref="B3385" r:id="rId8935" xr:uid="{00000000-0004-0000-0200-0000E6220000}"/>
    <hyperlink ref="C3385" r:id="rId8936" xr:uid="{00000000-0004-0000-0200-0000E7220000}"/>
    <hyperlink ref="A3386" r:id="rId8937" xr:uid="{00000000-0004-0000-0200-0000E8220000}"/>
    <hyperlink ref="B3386" r:id="rId8938" xr:uid="{00000000-0004-0000-0200-0000E9220000}"/>
    <hyperlink ref="C3386" r:id="rId8939" xr:uid="{00000000-0004-0000-0200-0000EA220000}"/>
    <hyperlink ref="A3387" r:id="rId8940" xr:uid="{00000000-0004-0000-0200-0000EB220000}"/>
    <hyperlink ref="B3387" r:id="rId8941" xr:uid="{00000000-0004-0000-0200-0000EC220000}"/>
    <hyperlink ref="C3387" r:id="rId8942" xr:uid="{00000000-0004-0000-0200-0000ED220000}"/>
    <hyperlink ref="A3388" r:id="rId8943" xr:uid="{00000000-0004-0000-0200-0000EE220000}"/>
    <hyperlink ref="B3388" r:id="rId8944" xr:uid="{00000000-0004-0000-0200-0000EF220000}"/>
    <hyperlink ref="C3388" r:id="rId8945" xr:uid="{00000000-0004-0000-0200-0000F0220000}"/>
    <hyperlink ref="A3389" r:id="rId8946" xr:uid="{00000000-0004-0000-0200-0000F1220000}"/>
    <hyperlink ref="B3389" r:id="rId8947" xr:uid="{00000000-0004-0000-0200-0000F2220000}"/>
    <hyperlink ref="C3389" r:id="rId8948" xr:uid="{00000000-0004-0000-0200-0000F3220000}"/>
    <hyperlink ref="A3390" r:id="rId8949" xr:uid="{00000000-0004-0000-0200-0000F4220000}"/>
    <hyperlink ref="B3390" r:id="rId8950" xr:uid="{00000000-0004-0000-0200-0000F5220000}"/>
    <hyperlink ref="C3390" r:id="rId8951" xr:uid="{00000000-0004-0000-0200-0000F6220000}"/>
    <hyperlink ref="A3391" r:id="rId8952" xr:uid="{00000000-0004-0000-0200-0000F7220000}"/>
    <hyperlink ref="B3391" r:id="rId8953" xr:uid="{00000000-0004-0000-0200-0000F8220000}"/>
    <hyperlink ref="C3391" r:id="rId8954" xr:uid="{00000000-0004-0000-0200-0000F9220000}"/>
    <hyperlink ref="A3392" r:id="rId8955" xr:uid="{00000000-0004-0000-0200-0000FA220000}"/>
    <hyperlink ref="B3392" r:id="rId8956" xr:uid="{00000000-0004-0000-0200-0000FB220000}"/>
    <hyperlink ref="C3392" r:id="rId8957" xr:uid="{00000000-0004-0000-0200-0000FC220000}"/>
    <hyperlink ref="A3393" r:id="rId8958" xr:uid="{00000000-0004-0000-0200-0000FD220000}"/>
    <hyperlink ref="B3393" r:id="rId8959" xr:uid="{00000000-0004-0000-0200-0000FE220000}"/>
    <hyperlink ref="C3393" r:id="rId8960" xr:uid="{00000000-0004-0000-0200-0000FF220000}"/>
    <hyperlink ref="A3394" r:id="rId8961" xr:uid="{00000000-0004-0000-0200-000000230000}"/>
    <hyperlink ref="B3394" r:id="rId8962" xr:uid="{00000000-0004-0000-0200-000001230000}"/>
    <hyperlink ref="C3394" r:id="rId8963" xr:uid="{00000000-0004-0000-0200-000002230000}"/>
    <hyperlink ref="A3395" r:id="rId8964" xr:uid="{00000000-0004-0000-0200-000003230000}"/>
    <hyperlink ref="B3395" r:id="rId8965" xr:uid="{00000000-0004-0000-0200-000004230000}"/>
    <hyperlink ref="C3395" r:id="rId8966" xr:uid="{00000000-0004-0000-0200-000005230000}"/>
    <hyperlink ref="A3396" r:id="rId8967" xr:uid="{00000000-0004-0000-0200-000006230000}"/>
    <hyperlink ref="B3396" r:id="rId8968" xr:uid="{00000000-0004-0000-0200-000007230000}"/>
    <hyperlink ref="C3396" r:id="rId8969" xr:uid="{00000000-0004-0000-0200-000008230000}"/>
    <hyperlink ref="A3397" r:id="rId8970" xr:uid="{00000000-0004-0000-0200-000009230000}"/>
    <hyperlink ref="B3397" r:id="rId8971" xr:uid="{00000000-0004-0000-0200-00000A230000}"/>
    <hyperlink ref="C3397" r:id="rId8972" xr:uid="{00000000-0004-0000-0200-00000B230000}"/>
    <hyperlink ref="A3398" r:id="rId8973" xr:uid="{00000000-0004-0000-0200-00000C230000}"/>
    <hyperlink ref="B3398" r:id="rId8974" xr:uid="{00000000-0004-0000-0200-00000D230000}"/>
    <hyperlink ref="C3398" r:id="rId8975" xr:uid="{00000000-0004-0000-0200-00000E230000}"/>
    <hyperlink ref="A3399" r:id="rId8976" xr:uid="{00000000-0004-0000-0200-00000F230000}"/>
    <hyperlink ref="B3399" r:id="rId8977" xr:uid="{00000000-0004-0000-0200-000010230000}"/>
    <hyperlink ref="C3399" r:id="rId8978" xr:uid="{00000000-0004-0000-0200-000011230000}"/>
    <hyperlink ref="A3400" r:id="rId8979" xr:uid="{00000000-0004-0000-0200-000012230000}"/>
    <hyperlink ref="B3400" r:id="rId8980" xr:uid="{00000000-0004-0000-0200-000013230000}"/>
    <hyperlink ref="C3400" r:id="rId8981" xr:uid="{00000000-0004-0000-0200-000014230000}"/>
    <hyperlink ref="A3401" r:id="rId8982" xr:uid="{00000000-0004-0000-0200-000015230000}"/>
    <hyperlink ref="B3401" r:id="rId8983" xr:uid="{00000000-0004-0000-0200-000016230000}"/>
    <hyperlink ref="C3401" r:id="rId8984" xr:uid="{00000000-0004-0000-0200-000017230000}"/>
    <hyperlink ref="A3402" r:id="rId8985" xr:uid="{00000000-0004-0000-0200-000018230000}"/>
    <hyperlink ref="B3402" r:id="rId8986" xr:uid="{00000000-0004-0000-0200-000019230000}"/>
    <hyperlink ref="C3402" r:id="rId8987" xr:uid="{00000000-0004-0000-0200-00001A230000}"/>
    <hyperlink ref="A3403" r:id="rId8988" xr:uid="{00000000-0004-0000-0200-00001B230000}"/>
    <hyperlink ref="B3403" r:id="rId8989" xr:uid="{00000000-0004-0000-0200-00001C230000}"/>
    <hyperlink ref="C3403" r:id="rId8990" xr:uid="{00000000-0004-0000-0200-00001D230000}"/>
    <hyperlink ref="A3404" r:id="rId8991" xr:uid="{00000000-0004-0000-0200-00001E230000}"/>
    <hyperlink ref="B3404" r:id="rId8992" xr:uid="{00000000-0004-0000-0200-00001F230000}"/>
    <hyperlink ref="C3404" r:id="rId8993" xr:uid="{00000000-0004-0000-0200-000020230000}"/>
    <hyperlink ref="A3405" r:id="rId8994" xr:uid="{00000000-0004-0000-0200-000021230000}"/>
    <hyperlink ref="B3405" r:id="rId8995" xr:uid="{00000000-0004-0000-0200-000022230000}"/>
    <hyperlink ref="C3405" r:id="rId8996" xr:uid="{00000000-0004-0000-0200-000023230000}"/>
    <hyperlink ref="A3406" r:id="rId8997" xr:uid="{00000000-0004-0000-0200-000024230000}"/>
    <hyperlink ref="B3406" r:id="rId8998" xr:uid="{00000000-0004-0000-0200-000025230000}"/>
    <hyperlink ref="C3406" r:id="rId8999" xr:uid="{00000000-0004-0000-0200-000026230000}"/>
    <hyperlink ref="A3407" r:id="rId9000" xr:uid="{00000000-0004-0000-0200-000027230000}"/>
    <hyperlink ref="B3407" r:id="rId9001" xr:uid="{00000000-0004-0000-0200-000028230000}"/>
    <hyperlink ref="C3407" r:id="rId9002" xr:uid="{00000000-0004-0000-0200-000029230000}"/>
    <hyperlink ref="A3408" r:id="rId9003" xr:uid="{00000000-0004-0000-0200-00002A230000}"/>
    <hyperlink ref="B3408" r:id="rId9004" xr:uid="{00000000-0004-0000-0200-00002B230000}"/>
    <hyperlink ref="C3408" r:id="rId9005" xr:uid="{00000000-0004-0000-0200-00002C230000}"/>
    <hyperlink ref="A3409" r:id="rId9006" xr:uid="{00000000-0004-0000-0200-00002D230000}"/>
    <hyperlink ref="B3409" r:id="rId9007" xr:uid="{00000000-0004-0000-0200-00002E230000}"/>
    <hyperlink ref="C3409" r:id="rId9008" xr:uid="{00000000-0004-0000-0200-00002F230000}"/>
    <hyperlink ref="A3410" r:id="rId9009" xr:uid="{00000000-0004-0000-0200-000030230000}"/>
    <hyperlink ref="B3410" r:id="rId9010" xr:uid="{00000000-0004-0000-0200-000031230000}"/>
    <hyperlink ref="C3410" r:id="rId9011" xr:uid="{00000000-0004-0000-0200-000032230000}"/>
    <hyperlink ref="A3411" r:id="rId9012" xr:uid="{00000000-0004-0000-0200-000033230000}"/>
    <hyperlink ref="B3411" r:id="rId9013" xr:uid="{00000000-0004-0000-0200-000034230000}"/>
    <hyperlink ref="C3411" r:id="rId9014" xr:uid="{00000000-0004-0000-0200-000035230000}"/>
    <hyperlink ref="A3412" r:id="rId9015" xr:uid="{00000000-0004-0000-0200-000036230000}"/>
    <hyperlink ref="B3412" r:id="rId9016" xr:uid="{00000000-0004-0000-0200-000037230000}"/>
    <hyperlink ref="C3412" r:id="rId9017" xr:uid="{00000000-0004-0000-0200-000038230000}"/>
    <hyperlink ref="A3413" r:id="rId9018" xr:uid="{00000000-0004-0000-0200-000039230000}"/>
    <hyperlink ref="B3413" r:id="rId9019" xr:uid="{00000000-0004-0000-0200-00003A230000}"/>
    <hyperlink ref="C3413" r:id="rId9020" xr:uid="{00000000-0004-0000-0200-00003B230000}"/>
    <hyperlink ref="A3414" r:id="rId9021" xr:uid="{00000000-0004-0000-0200-00003C230000}"/>
    <hyperlink ref="B3414" r:id="rId9022" xr:uid="{00000000-0004-0000-0200-00003D230000}"/>
    <hyperlink ref="C3414" r:id="rId9023" xr:uid="{00000000-0004-0000-0200-00003E230000}"/>
    <hyperlink ref="A3415" r:id="rId9024" xr:uid="{00000000-0004-0000-0200-00003F230000}"/>
    <hyperlink ref="B3415" r:id="rId9025" xr:uid="{00000000-0004-0000-0200-000040230000}"/>
    <hyperlink ref="C3415" r:id="rId9026" xr:uid="{00000000-0004-0000-0200-000041230000}"/>
    <hyperlink ref="A3416" r:id="rId9027" xr:uid="{00000000-0004-0000-0200-000042230000}"/>
    <hyperlink ref="B3416" r:id="rId9028" xr:uid="{00000000-0004-0000-0200-000043230000}"/>
    <hyperlink ref="C3416" r:id="rId9029" xr:uid="{00000000-0004-0000-0200-000044230000}"/>
    <hyperlink ref="A3417" r:id="rId9030" xr:uid="{00000000-0004-0000-0200-000045230000}"/>
    <hyperlink ref="B3417" r:id="rId9031" xr:uid="{00000000-0004-0000-0200-000046230000}"/>
    <hyperlink ref="C3417" r:id="rId9032" xr:uid="{00000000-0004-0000-0200-000047230000}"/>
    <hyperlink ref="A3418" r:id="rId9033" xr:uid="{00000000-0004-0000-0200-000048230000}"/>
    <hyperlink ref="B3418" r:id="rId9034" xr:uid="{00000000-0004-0000-0200-000049230000}"/>
    <hyperlink ref="C3418" r:id="rId9035" xr:uid="{00000000-0004-0000-0200-00004A230000}"/>
    <hyperlink ref="A3419" r:id="rId9036" xr:uid="{00000000-0004-0000-0200-00004B230000}"/>
    <hyperlink ref="B3419" r:id="rId9037" xr:uid="{00000000-0004-0000-0200-00004C230000}"/>
    <hyperlink ref="C3419" r:id="rId9038" xr:uid="{00000000-0004-0000-0200-00004D230000}"/>
    <hyperlink ref="A3420" r:id="rId9039" xr:uid="{00000000-0004-0000-0200-00004E230000}"/>
    <hyperlink ref="B3420" r:id="rId9040" xr:uid="{00000000-0004-0000-0200-00004F230000}"/>
    <hyperlink ref="C3420" r:id="rId9041" xr:uid="{00000000-0004-0000-0200-000050230000}"/>
    <hyperlink ref="A3421" r:id="rId9042" xr:uid="{00000000-0004-0000-0200-000051230000}"/>
    <hyperlink ref="B3421" r:id="rId9043" xr:uid="{00000000-0004-0000-0200-000052230000}"/>
    <hyperlink ref="C3421" r:id="rId9044" xr:uid="{00000000-0004-0000-0200-000053230000}"/>
    <hyperlink ref="A3422" r:id="rId9045" xr:uid="{00000000-0004-0000-0200-000054230000}"/>
    <hyperlink ref="B3422" r:id="rId9046" xr:uid="{00000000-0004-0000-0200-000055230000}"/>
    <hyperlink ref="C3422" r:id="rId9047" xr:uid="{00000000-0004-0000-0200-000056230000}"/>
    <hyperlink ref="A3423" r:id="rId9048" xr:uid="{00000000-0004-0000-0200-000057230000}"/>
    <hyperlink ref="B3423" r:id="rId9049" xr:uid="{00000000-0004-0000-0200-000058230000}"/>
    <hyperlink ref="C3423" r:id="rId9050" xr:uid="{00000000-0004-0000-0200-000059230000}"/>
    <hyperlink ref="A3424" r:id="rId9051" xr:uid="{00000000-0004-0000-0200-00005A230000}"/>
    <hyperlink ref="B3424" r:id="rId9052" xr:uid="{00000000-0004-0000-0200-00005B230000}"/>
    <hyperlink ref="C3424" r:id="rId9053" xr:uid="{00000000-0004-0000-0200-00005C230000}"/>
    <hyperlink ref="A3425" r:id="rId9054" xr:uid="{00000000-0004-0000-0200-00005D230000}"/>
    <hyperlink ref="B3425" r:id="rId9055" xr:uid="{00000000-0004-0000-0200-00005E230000}"/>
    <hyperlink ref="C3425" r:id="rId9056" xr:uid="{00000000-0004-0000-0200-00005F230000}"/>
    <hyperlink ref="A3426" r:id="rId9057" xr:uid="{00000000-0004-0000-0200-000060230000}"/>
    <hyperlink ref="B3426" r:id="rId9058" xr:uid="{00000000-0004-0000-0200-000061230000}"/>
    <hyperlink ref="C3426" r:id="rId9059" xr:uid="{00000000-0004-0000-0200-000062230000}"/>
    <hyperlink ref="A3427" r:id="rId9060" xr:uid="{00000000-0004-0000-0200-000063230000}"/>
    <hyperlink ref="B3427" r:id="rId9061" xr:uid="{00000000-0004-0000-0200-000064230000}"/>
    <hyperlink ref="C3427" r:id="rId9062" xr:uid="{00000000-0004-0000-0200-000065230000}"/>
    <hyperlink ref="A3428" r:id="rId9063" xr:uid="{00000000-0004-0000-0200-000066230000}"/>
    <hyperlink ref="B3428" r:id="rId9064" xr:uid="{00000000-0004-0000-0200-000067230000}"/>
    <hyperlink ref="C3428" r:id="rId9065" xr:uid="{00000000-0004-0000-0200-000068230000}"/>
    <hyperlink ref="A3429" r:id="rId9066" xr:uid="{00000000-0004-0000-0200-000069230000}"/>
    <hyperlink ref="B3429" r:id="rId9067" xr:uid="{00000000-0004-0000-0200-00006A230000}"/>
    <hyperlink ref="C3429" r:id="rId9068" xr:uid="{00000000-0004-0000-0200-00006B230000}"/>
    <hyperlink ref="A3430" r:id="rId9069" xr:uid="{00000000-0004-0000-0200-00006C230000}"/>
    <hyperlink ref="B3430" r:id="rId9070" xr:uid="{00000000-0004-0000-0200-00006D230000}"/>
    <hyperlink ref="C3430" r:id="rId9071" xr:uid="{00000000-0004-0000-0200-00006E230000}"/>
    <hyperlink ref="A3431" r:id="rId9072" xr:uid="{00000000-0004-0000-0200-00006F230000}"/>
    <hyperlink ref="B3431" r:id="rId9073" xr:uid="{00000000-0004-0000-0200-000070230000}"/>
    <hyperlink ref="C3431" r:id="rId9074" xr:uid="{00000000-0004-0000-0200-000071230000}"/>
    <hyperlink ref="A3432" r:id="rId9075" xr:uid="{00000000-0004-0000-0200-000072230000}"/>
    <hyperlink ref="B3432" r:id="rId9076" xr:uid="{00000000-0004-0000-0200-000073230000}"/>
    <hyperlink ref="C3432" r:id="rId9077" xr:uid="{00000000-0004-0000-0200-000074230000}"/>
    <hyperlink ref="A3433" r:id="rId9078" xr:uid="{00000000-0004-0000-0200-000075230000}"/>
    <hyperlink ref="B3433" r:id="rId9079" xr:uid="{00000000-0004-0000-0200-000076230000}"/>
    <hyperlink ref="C3433" r:id="rId9080" xr:uid="{00000000-0004-0000-0200-000077230000}"/>
    <hyperlink ref="A3434" r:id="rId9081" xr:uid="{00000000-0004-0000-0200-000078230000}"/>
    <hyperlink ref="B3434" r:id="rId9082" xr:uid="{00000000-0004-0000-0200-000079230000}"/>
    <hyperlink ref="C3434" r:id="rId9083" xr:uid="{00000000-0004-0000-0200-00007A230000}"/>
    <hyperlink ref="A3435" r:id="rId9084" xr:uid="{00000000-0004-0000-0200-00007B230000}"/>
    <hyperlink ref="B3435" r:id="rId9085" xr:uid="{00000000-0004-0000-0200-00007C230000}"/>
    <hyperlink ref="C3435" r:id="rId9086" xr:uid="{00000000-0004-0000-0200-00007D230000}"/>
    <hyperlink ref="A3436" r:id="rId9087" xr:uid="{00000000-0004-0000-0200-00007E230000}"/>
    <hyperlink ref="B3436" r:id="rId9088" xr:uid="{00000000-0004-0000-0200-00007F230000}"/>
    <hyperlink ref="C3436" r:id="rId9089" xr:uid="{00000000-0004-0000-0200-000080230000}"/>
    <hyperlink ref="A3437" r:id="rId9090" xr:uid="{00000000-0004-0000-0200-000081230000}"/>
    <hyperlink ref="B3437" r:id="rId9091" xr:uid="{00000000-0004-0000-0200-000082230000}"/>
    <hyperlink ref="C3437" r:id="rId9092" xr:uid="{00000000-0004-0000-0200-000083230000}"/>
    <hyperlink ref="A3438" r:id="rId9093" xr:uid="{00000000-0004-0000-0200-000084230000}"/>
    <hyperlink ref="B3438" r:id="rId9094" xr:uid="{00000000-0004-0000-0200-000085230000}"/>
    <hyperlink ref="C3438" r:id="rId9095" xr:uid="{00000000-0004-0000-0200-000086230000}"/>
    <hyperlink ref="A3439" r:id="rId9096" xr:uid="{00000000-0004-0000-0200-000087230000}"/>
    <hyperlink ref="B3439" r:id="rId9097" xr:uid="{00000000-0004-0000-0200-000088230000}"/>
    <hyperlink ref="C3439" r:id="rId9098" xr:uid="{00000000-0004-0000-0200-000089230000}"/>
    <hyperlink ref="A3440" r:id="rId9099" xr:uid="{00000000-0004-0000-0200-00008A230000}"/>
    <hyperlink ref="B3440" r:id="rId9100" xr:uid="{00000000-0004-0000-0200-00008B230000}"/>
    <hyperlink ref="C3440" r:id="rId9101" xr:uid="{00000000-0004-0000-0200-00008C230000}"/>
    <hyperlink ref="A3441" r:id="rId9102" xr:uid="{00000000-0004-0000-0200-00008D230000}"/>
    <hyperlink ref="B3441" r:id="rId9103" xr:uid="{00000000-0004-0000-0200-00008E230000}"/>
    <hyperlink ref="C3441" r:id="rId9104" xr:uid="{00000000-0004-0000-0200-00008F230000}"/>
    <hyperlink ref="A3442" r:id="rId9105" xr:uid="{00000000-0004-0000-0200-000090230000}"/>
    <hyperlink ref="B3442" r:id="rId9106" xr:uid="{00000000-0004-0000-0200-000091230000}"/>
    <hyperlink ref="C3442" r:id="rId9107" xr:uid="{00000000-0004-0000-0200-000092230000}"/>
    <hyperlink ref="A3443" r:id="rId9108" xr:uid="{00000000-0004-0000-0200-000093230000}"/>
    <hyperlink ref="B3443" r:id="rId9109" xr:uid="{00000000-0004-0000-0200-000094230000}"/>
    <hyperlink ref="C3443" r:id="rId9110" xr:uid="{00000000-0004-0000-0200-000095230000}"/>
    <hyperlink ref="A3444" r:id="rId9111" xr:uid="{00000000-0004-0000-0200-000096230000}"/>
    <hyperlink ref="B3444" r:id="rId9112" xr:uid="{00000000-0004-0000-0200-000097230000}"/>
    <hyperlink ref="C3444" r:id="rId9113" xr:uid="{00000000-0004-0000-0200-000098230000}"/>
    <hyperlink ref="A3445" r:id="rId9114" xr:uid="{00000000-0004-0000-0200-000099230000}"/>
    <hyperlink ref="B3445" r:id="rId9115" xr:uid="{00000000-0004-0000-0200-00009A230000}"/>
    <hyperlink ref="C3445" r:id="rId9116" xr:uid="{00000000-0004-0000-0200-00009B230000}"/>
    <hyperlink ref="A3446" r:id="rId9117" xr:uid="{00000000-0004-0000-0200-00009C230000}"/>
    <hyperlink ref="B3446" r:id="rId9118" xr:uid="{00000000-0004-0000-0200-00009D230000}"/>
    <hyperlink ref="C3446" r:id="rId9119" xr:uid="{00000000-0004-0000-0200-00009E230000}"/>
    <hyperlink ref="A3447" r:id="rId9120" xr:uid="{00000000-0004-0000-0200-00009F230000}"/>
    <hyperlink ref="B3447" r:id="rId9121" xr:uid="{00000000-0004-0000-0200-0000A0230000}"/>
    <hyperlink ref="C3447" r:id="rId9122" xr:uid="{00000000-0004-0000-0200-0000A1230000}"/>
    <hyperlink ref="A3448" r:id="rId9123" xr:uid="{00000000-0004-0000-0200-0000A2230000}"/>
    <hyperlink ref="B3448" r:id="rId9124" xr:uid="{00000000-0004-0000-0200-0000A3230000}"/>
    <hyperlink ref="C3448" r:id="rId9125" xr:uid="{00000000-0004-0000-0200-0000A4230000}"/>
    <hyperlink ref="A3449" r:id="rId9126" xr:uid="{00000000-0004-0000-0200-0000A5230000}"/>
    <hyperlink ref="B3449" r:id="rId9127" xr:uid="{00000000-0004-0000-0200-0000A6230000}"/>
    <hyperlink ref="C3449" r:id="rId9128" xr:uid="{00000000-0004-0000-0200-0000A7230000}"/>
    <hyperlink ref="A3450" r:id="rId9129" xr:uid="{00000000-0004-0000-0200-0000A8230000}"/>
    <hyperlink ref="B3450" r:id="rId9130" xr:uid="{00000000-0004-0000-0200-0000A9230000}"/>
    <hyperlink ref="C3450" r:id="rId9131" xr:uid="{00000000-0004-0000-0200-0000AA230000}"/>
    <hyperlink ref="A3451" r:id="rId9132" xr:uid="{00000000-0004-0000-0200-0000AB230000}"/>
    <hyperlink ref="B3451" r:id="rId9133" xr:uid="{00000000-0004-0000-0200-0000AC230000}"/>
    <hyperlink ref="C3451" r:id="rId9134" xr:uid="{00000000-0004-0000-0200-0000AD230000}"/>
    <hyperlink ref="A3452" r:id="rId9135" xr:uid="{00000000-0004-0000-0200-0000AE230000}"/>
    <hyperlink ref="B3452" r:id="rId9136" xr:uid="{00000000-0004-0000-0200-0000AF230000}"/>
    <hyperlink ref="C3452" r:id="rId9137" xr:uid="{00000000-0004-0000-0200-0000B0230000}"/>
    <hyperlink ref="A3453" r:id="rId9138" xr:uid="{00000000-0004-0000-0200-0000B1230000}"/>
    <hyperlink ref="B3453" r:id="rId9139" xr:uid="{00000000-0004-0000-0200-0000B2230000}"/>
    <hyperlink ref="C3453" r:id="rId9140" xr:uid="{00000000-0004-0000-0200-0000B3230000}"/>
    <hyperlink ref="A3454" r:id="rId9141" xr:uid="{00000000-0004-0000-0200-0000B4230000}"/>
    <hyperlink ref="B3454" r:id="rId9142" xr:uid="{00000000-0004-0000-0200-0000B5230000}"/>
    <hyperlink ref="C3454" r:id="rId9143" xr:uid="{00000000-0004-0000-0200-0000B6230000}"/>
    <hyperlink ref="A3455" r:id="rId9144" xr:uid="{00000000-0004-0000-0200-0000B7230000}"/>
    <hyperlink ref="B3455" r:id="rId9145" xr:uid="{00000000-0004-0000-0200-0000B8230000}"/>
    <hyperlink ref="C3455" r:id="rId9146" xr:uid="{00000000-0004-0000-0200-0000B9230000}"/>
    <hyperlink ref="A3456" r:id="rId9147" xr:uid="{00000000-0004-0000-0200-0000BA230000}"/>
    <hyperlink ref="B3456" r:id="rId9148" xr:uid="{00000000-0004-0000-0200-0000BB230000}"/>
    <hyperlink ref="C3456" r:id="rId9149" xr:uid="{00000000-0004-0000-0200-0000BC230000}"/>
    <hyperlink ref="A3457" r:id="rId9150" xr:uid="{00000000-0004-0000-0200-0000BD230000}"/>
    <hyperlink ref="B3457" r:id="rId9151" xr:uid="{00000000-0004-0000-0200-0000BE230000}"/>
    <hyperlink ref="C3457" r:id="rId9152" xr:uid="{00000000-0004-0000-0200-0000BF230000}"/>
    <hyperlink ref="A3458" r:id="rId9153" xr:uid="{00000000-0004-0000-0200-0000C0230000}"/>
    <hyperlink ref="B3458" r:id="rId9154" xr:uid="{00000000-0004-0000-0200-0000C1230000}"/>
    <hyperlink ref="C3458" r:id="rId9155" xr:uid="{00000000-0004-0000-0200-0000C2230000}"/>
    <hyperlink ref="A3459" r:id="rId9156" xr:uid="{00000000-0004-0000-0200-0000C3230000}"/>
    <hyperlink ref="B3459" r:id="rId9157" xr:uid="{00000000-0004-0000-0200-0000C4230000}"/>
    <hyperlink ref="C3459" r:id="rId9158" xr:uid="{00000000-0004-0000-0200-0000C5230000}"/>
    <hyperlink ref="A3460" r:id="rId9159" xr:uid="{00000000-0004-0000-0200-0000C6230000}"/>
    <hyperlink ref="B3460" r:id="rId9160" xr:uid="{00000000-0004-0000-0200-0000C7230000}"/>
    <hyperlink ref="C3460" r:id="rId9161" xr:uid="{00000000-0004-0000-0200-0000C8230000}"/>
    <hyperlink ref="A3461" r:id="rId9162" xr:uid="{00000000-0004-0000-0200-0000C9230000}"/>
    <hyperlink ref="B3461" r:id="rId9163" xr:uid="{00000000-0004-0000-0200-0000CA230000}"/>
    <hyperlink ref="C3461" r:id="rId9164" xr:uid="{00000000-0004-0000-0200-0000CB230000}"/>
    <hyperlink ref="A3462" r:id="rId9165" xr:uid="{00000000-0004-0000-0200-0000CC230000}"/>
    <hyperlink ref="B3462" r:id="rId9166" xr:uid="{00000000-0004-0000-0200-0000CD230000}"/>
    <hyperlink ref="C3462" r:id="rId9167" xr:uid="{00000000-0004-0000-0200-0000CE230000}"/>
    <hyperlink ref="A3463" r:id="rId9168" xr:uid="{00000000-0004-0000-0200-0000CF230000}"/>
    <hyperlink ref="B3463" r:id="rId9169" xr:uid="{00000000-0004-0000-0200-0000D0230000}"/>
    <hyperlink ref="C3463" r:id="rId9170" xr:uid="{00000000-0004-0000-0200-0000D1230000}"/>
    <hyperlink ref="A3464" r:id="rId9171" xr:uid="{00000000-0004-0000-0200-0000D2230000}"/>
    <hyperlink ref="B3464" r:id="rId9172" xr:uid="{00000000-0004-0000-0200-0000D3230000}"/>
    <hyperlink ref="C3464" r:id="rId9173" xr:uid="{00000000-0004-0000-0200-0000D4230000}"/>
    <hyperlink ref="A3465" r:id="rId9174" xr:uid="{00000000-0004-0000-0200-0000D5230000}"/>
    <hyperlink ref="B3465" r:id="rId9175" xr:uid="{00000000-0004-0000-0200-0000D6230000}"/>
    <hyperlink ref="C3465" r:id="rId9176" xr:uid="{00000000-0004-0000-0200-0000D7230000}"/>
    <hyperlink ref="A3466" r:id="rId9177" xr:uid="{00000000-0004-0000-0200-0000D8230000}"/>
    <hyperlink ref="B3466" r:id="rId9178" xr:uid="{00000000-0004-0000-0200-0000D9230000}"/>
    <hyperlink ref="C3466" r:id="rId9179" xr:uid="{00000000-0004-0000-0200-0000DA230000}"/>
    <hyperlink ref="A3467" r:id="rId9180" xr:uid="{00000000-0004-0000-0200-0000DB230000}"/>
    <hyperlink ref="B3467" r:id="rId9181" xr:uid="{00000000-0004-0000-0200-0000DC230000}"/>
    <hyperlink ref="C3467" r:id="rId9182" xr:uid="{00000000-0004-0000-0200-0000DD230000}"/>
    <hyperlink ref="A3468" r:id="rId9183" xr:uid="{00000000-0004-0000-0200-0000DE230000}"/>
    <hyperlink ref="B3468" r:id="rId9184" xr:uid="{00000000-0004-0000-0200-0000DF230000}"/>
    <hyperlink ref="C3468" r:id="rId9185" xr:uid="{00000000-0004-0000-0200-0000E0230000}"/>
    <hyperlink ref="A3469" r:id="rId9186" xr:uid="{00000000-0004-0000-0200-0000E1230000}"/>
    <hyperlink ref="B3469" r:id="rId9187" xr:uid="{00000000-0004-0000-0200-0000E2230000}"/>
    <hyperlink ref="C3469" r:id="rId9188" xr:uid="{00000000-0004-0000-0200-0000E3230000}"/>
    <hyperlink ref="A3470" r:id="rId9189" xr:uid="{00000000-0004-0000-0200-0000E4230000}"/>
    <hyperlink ref="B3470" r:id="rId9190" xr:uid="{00000000-0004-0000-0200-0000E5230000}"/>
    <hyperlink ref="C3470" r:id="rId9191" xr:uid="{00000000-0004-0000-0200-0000E6230000}"/>
    <hyperlink ref="A3471" r:id="rId9192" xr:uid="{00000000-0004-0000-0200-0000E7230000}"/>
    <hyperlink ref="B3471" r:id="rId9193" xr:uid="{00000000-0004-0000-0200-0000E8230000}"/>
    <hyperlink ref="C3471" r:id="rId9194" xr:uid="{00000000-0004-0000-0200-0000E9230000}"/>
    <hyperlink ref="A3472" r:id="rId9195" xr:uid="{00000000-0004-0000-0200-0000EA230000}"/>
    <hyperlink ref="B3472" r:id="rId9196" xr:uid="{00000000-0004-0000-0200-0000EB230000}"/>
    <hyperlink ref="C3472" r:id="rId9197" xr:uid="{00000000-0004-0000-0200-0000EC230000}"/>
    <hyperlink ref="A3473" r:id="rId9198" xr:uid="{00000000-0004-0000-0200-0000ED230000}"/>
    <hyperlink ref="B3473" r:id="rId9199" xr:uid="{00000000-0004-0000-0200-0000EE230000}"/>
    <hyperlink ref="C3473" r:id="rId9200" xr:uid="{00000000-0004-0000-0200-0000EF230000}"/>
    <hyperlink ref="A3474" r:id="rId9201" xr:uid="{00000000-0004-0000-0200-0000F0230000}"/>
    <hyperlink ref="B3474" r:id="rId9202" xr:uid="{00000000-0004-0000-0200-0000F1230000}"/>
    <hyperlink ref="C3474" r:id="rId9203" xr:uid="{00000000-0004-0000-0200-0000F2230000}"/>
    <hyperlink ref="A3475" r:id="rId9204" xr:uid="{00000000-0004-0000-0200-0000F3230000}"/>
    <hyperlink ref="B3475" r:id="rId9205" xr:uid="{00000000-0004-0000-0200-0000F4230000}"/>
    <hyperlink ref="C3475" r:id="rId9206" xr:uid="{00000000-0004-0000-0200-0000F5230000}"/>
    <hyperlink ref="A3476" r:id="rId9207" xr:uid="{00000000-0004-0000-0200-0000F6230000}"/>
    <hyperlink ref="B3476" r:id="rId9208" xr:uid="{00000000-0004-0000-0200-0000F7230000}"/>
    <hyperlink ref="C3476" r:id="rId9209" xr:uid="{00000000-0004-0000-0200-0000F8230000}"/>
    <hyperlink ref="A3477" r:id="rId9210" xr:uid="{00000000-0004-0000-0200-0000F9230000}"/>
    <hyperlink ref="B3477" r:id="rId9211" xr:uid="{00000000-0004-0000-0200-0000FA230000}"/>
    <hyperlink ref="C3477" r:id="rId9212" xr:uid="{00000000-0004-0000-0200-0000FB230000}"/>
    <hyperlink ref="A3478" r:id="rId9213" xr:uid="{00000000-0004-0000-0200-0000FC230000}"/>
    <hyperlink ref="B3478" r:id="rId9214" xr:uid="{00000000-0004-0000-0200-0000FD230000}"/>
    <hyperlink ref="C3478" r:id="rId9215" xr:uid="{00000000-0004-0000-0200-0000FE230000}"/>
    <hyperlink ref="A3479" r:id="rId9216" xr:uid="{00000000-0004-0000-0200-0000FF230000}"/>
    <hyperlink ref="B3479" r:id="rId9217" xr:uid="{00000000-0004-0000-0200-000000240000}"/>
    <hyperlink ref="C3479" r:id="rId9218" xr:uid="{00000000-0004-0000-0200-000001240000}"/>
    <hyperlink ref="A3480" r:id="rId9219" xr:uid="{00000000-0004-0000-0200-000002240000}"/>
    <hyperlink ref="B3480" r:id="rId9220" xr:uid="{00000000-0004-0000-0200-000003240000}"/>
    <hyperlink ref="C3480" r:id="rId9221" xr:uid="{00000000-0004-0000-0200-000004240000}"/>
    <hyperlink ref="A3481" r:id="rId9222" xr:uid="{00000000-0004-0000-0200-000005240000}"/>
    <hyperlink ref="B3481" r:id="rId9223" xr:uid="{00000000-0004-0000-0200-000006240000}"/>
    <hyperlink ref="C3481" r:id="rId9224" xr:uid="{00000000-0004-0000-0200-000007240000}"/>
    <hyperlink ref="A3482" r:id="rId9225" xr:uid="{00000000-0004-0000-0200-000008240000}"/>
    <hyperlink ref="B3482" r:id="rId9226" xr:uid="{00000000-0004-0000-0200-000009240000}"/>
    <hyperlink ref="C3482" r:id="rId9227" xr:uid="{00000000-0004-0000-0200-00000A240000}"/>
    <hyperlink ref="A3483" r:id="rId9228" xr:uid="{00000000-0004-0000-0200-00000B240000}"/>
    <hyperlink ref="B3483" r:id="rId9229" xr:uid="{00000000-0004-0000-0200-00000C240000}"/>
    <hyperlink ref="C3483" r:id="rId9230" xr:uid="{00000000-0004-0000-0200-00000D240000}"/>
    <hyperlink ref="A3484" r:id="rId9231" xr:uid="{00000000-0004-0000-0200-00000E240000}"/>
    <hyperlink ref="B3484" r:id="rId9232" xr:uid="{00000000-0004-0000-0200-00000F240000}"/>
    <hyperlink ref="C3484" r:id="rId9233" xr:uid="{00000000-0004-0000-0200-000010240000}"/>
    <hyperlink ref="A3485" r:id="rId9234" xr:uid="{00000000-0004-0000-0200-000011240000}"/>
    <hyperlink ref="B3485" r:id="rId9235" xr:uid="{00000000-0004-0000-0200-000012240000}"/>
    <hyperlink ref="C3485" r:id="rId9236" xr:uid="{00000000-0004-0000-0200-000013240000}"/>
    <hyperlink ref="A3486" r:id="rId9237" xr:uid="{00000000-0004-0000-0200-000014240000}"/>
    <hyperlink ref="B3486" r:id="rId9238" xr:uid="{00000000-0004-0000-0200-000015240000}"/>
    <hyperlink ref="C3486" r:id="rId9239" xr:uid="{00000000-0004-0000-0200-000016240000}"/>
    <hyperlink ref="A3487" r:id="rId9240" xr:uid="{00000000-0004-0000-0200-000017240000}"/>
    <hyperlink ref="B3487" r:id="rId9241" xr:uid="{00000000-0004-0000-0200-000018240000}"/>
    <hyperlink ref="C3487" r:id="rId9242" xr:uid="{00000000-0004-0000-0200-000019240000}"/>
    <hyperlink ref="A3488" r:id="rId9243" xr:uid="{00000000-0004-0000-0200-00001A240000}"/>
    <hyperlink ref="B3488" r:id="rId9244" xr:uid="{00000000-0004-0000-0200-00001B240000}"/>
    <hyperlink ref="C3488" r:id="rId9245" xr:uid="{00000000-0004-0000-0200-00001C240000}"/>
    <hyperlink ref="A3489" r:id="rId9246" xr:uid="{00000000-0004-0000-0200-00001D240000}"/>
    <hyperlink ref="B3489" r:id="rId9247" xr:uid="{00000000-0004-0000-0200-00001E240000}"/>
    <hyperlink ref="C3489" r:id="rId9248" xr:uid="{00000000-0004-0000-0200-00001F240000}"/>
    <hyperlink ref="A3490" r:id="rId9249" xr:uid="{00000000-0004-0000-0200-000020240000}"/>
    <hyperlink ref="B3490" r:id="rId9250" xr:uid="{00000000-0004-0000-0200-000021240000}"/>
    <hyperlink ref="C3490" r:id="rId9251" xr:uid="{00000000-0004-0000-0200-000022240000}"/>
    <hyperlink ref="A3491" r:id="rId9252" xr:uid="{00000000-0004-0000-0200-000023240000}"/>
    <hyperlink ref="B3491" r:id="rId9253" xr:uid="{00000000-0004-0000-0200-000024240000}"/>
    <hyperlink ref="C3491" r:id="rId9254" xr:uid="{00000000-0004-0000-0200-000025240000}"/>
    <hyperlink ref="A3492" r:id="rId9255" xr:uid="{00000000-0004-0000-0200-000026240000}"/>
    <hyperlink ref="B3492" r:id="rId9256" xr:uid="{00000000-0004-0000-0200-000027240000}"/>
    <hyperlink ref="C3492" r:id="rId9257" xr:uid="{00000000-0004-0000-0200-000028240000}"/>
    <hyperlink ref="A3493" r:id="rId9258" xr:uid="{00000000-0004-0000-0200-000029240000}"/>
    <hyperlink ref="B3493" r:id="rId9259" xr:uid="{00000000-0004-0000-0200-00002A240000}"/>
    <hyperlink ref="C3493" r:id="rId9260" xr:uid="{00000000-0004-0000-0200-00002B240000}"/>
    <hyperlink ref="A3494" r:id="rId9261" xr:uid="{00000000-0004-0000-0200-00002C240000}"/>
    <hyperlink ref="B3494" r:id="rId9262" xr:uid="{00000000-0004-0000-0200-00002D240000}"/>
    <hyperlink ref="C3494" r:id="rId9263" xr:uid="{00000000-0004-0000-0200-00002E240000}"/>
    <hyperlink ref="A3495" r:id="rId9264" xr:uid="{00000000-0004-0000-0200-00002F240000}"/>
    <hyperlink ref="B3495" r:id="rId9265" xr:uid="{00000000-0004-0000-0200-000030240000}"/>
    <hyperlink ref="C3495" r:id="rId9266" xr:uid="{00000000-0004-0000-0200-000031240000}"/>
    <hyperlink ref="A3496" r:id="rId9267" xr:uid="{00000000-0004-0000-0200-000032240000}"/>
    <hyperlink ref="B3496" r:id="rId9268" xr:uid="{00000000-0004-0000-0200-000033240000}"/>
    <hyperlink ref="C3496" r:id="rId9269" xr:uid="{00000000-0004-0000-0200-000034240000}"/>
    <hyperlink ref="A3497" r:id="rId9270" xr:uid="{00000000-0004-0000-0200-000035240000}"/>
    <hyperlink ref="B3497" r:id="rId9271" xr:uid="{00000000-0004-0000-0200-000036240000}"/>
    <hyperlink ref="C3497" r:id="rId9272" xr:uid="{00000000-0004-0000-0200-000037240000}"/>
    <hyperlink ref="A3498" r:id="rId9273" xr:uid="{00000000-0004-0000-0200-000038240000}"/>
    <hyperlink ref="B3498" r:id="rId9274" xr:uid="{00000000-0004-0000-0200-000039240000}"/>
    <hyperlink ref="C3498" r:id="rId9275" xr:uid="{00000000-0004-0000-0200-00003A240000}"/>
    <hyperlink ref="A3499" r:id="rId9276" xr:uid="{00000000-0004-0000-0200-00003B240000}"/>
    <hyperlink ref="B3499" r:id="rId9277" xr:uid="{00000000-0004-0000-0200-00003C240000}"/>
    <hyperlink ref="C3499" r:id="rId9278" xr:uid="{00000000-0004-0000-0200-00003D240000}"/>
    <hyperlink ref="A3500" r:id="rId9279" xr:uid="{00000000-0004-0000-0200-00003E240000}"/>
    <hyperlink ref="B3500" r:id="rId9280" xr:uid="{00000000-0004-0000-0200-00003F240000}"/>
    <hyperlink ref="C3500" r:id="rId9281" xr:uid="{00000000-0004-0000-0200-000040240000}"/>
    <hyperlink ref="A3501" r:id="rId9282" xr:uid="{00000000-0004-0000-0200-000041240000}"/>
    <hyperlink ref="B3501" r:id="rId9283" xr:uid="{00000000-0004-0000-0200-000042240000}"/>
    <hyperlink ref="C3501" r:id="rId9284" xr:uid="{00000000-0004-0000-0200-000043240000}"/>
    <hyperlink ref="A3502" r:id="rId9285" xr:uid="{00000000-0004-0000-0200-000044240000}"/>
    <hyperlink ref="B3502" r:id="rId9286" xr:uid="{00000000-0004-0000-0200-000045240000}"/>
    <hyperlink ref="C3502" r:id="rId9287" xr:uid="{00000000-0004-0000-0200-000046240000}"/>
    <hyperlink ref="A3503" r:id="rId9288" xr:uid="{00000000-0004-0000-0200-000047240000}"/>
    <hyperlink ref="B3503" r:id="rId9289" xr:uid="{00000000-0004-0000-0200-000048240000}"/>
    <hyperlink ref="C3503" r:id="rId9290" xr:uid="{00000000-0004-0000-0200-000049240000}"/>
    <hyperlink ref="A3504" r:id="rId9291" xr:uid="{00000000-0004-0000-0200-00004A240000}"/>
    <hyperlink ref="B3504" r:id="rId9292" xr:uid="{00000000-0004-0000-0200-00004B240000}"/>
    <hyperlink ref="C3504" r:id="rId9293" xr:uid="{00000000-0004-0000-0200-00004C240000}"/>
    <hyperlink ref="A3505" r:id="rId9294" xr:uid="{00000000-0004-0000-0200-00004D240000}"/>
    <hyperlink ref="B3505" r:id="rId9295" xr:uid="{00000000-0004-0000-0200-00004E240000}"/>
    <hyperlink ref="C3505" r:id="rId9296" xr:uid="{00000000-0004-0000-0200-00004F240000}"/>
    <hyperlink ref="A3506" r:id="rId9297" xr:uid="{00000000-0004-0000-0200-000050240000}"/>
    <hyperlink ref="B3506" r:id="rId9298" xr:uid="{00000000-0004-0000-0200-000051240000}"/>
    <hyperlink ref="C3506" r:id="rId9299" xr:uid="{00000000-0004-0000-0200-000052240000}"/>
    <hyperlink ref="A3507" r:id="rId9300" xr:uid="{00000000-0004-0000-0200-000053240000}"/>
    <hyperlink ref="B3507" r:id="rId9301" xr:uid="{00000000-0004-0000-0200-000054240000}"/>
    <hyperlink ref="C3507" r:id="rId9302" xr:uid="{00000000-0004-0000-0200-000055240000}"/>
    <hyperlink ref="A3508" r:id="rId9303" xr:uid="{00000000-0004-0000-0200-000056240000}"/>
    <hyperlink ref="B3508" r:id="rId9304" xr:uid="{00000000-0004-0000-0200-000057240000}"/>
    <hyperlink ref="C3508" r:id="rId9305" xr:uid="{00000000-0004-0000-0200-000058240000}"/>
    <hyperlink ref="A3509" r:id="rId9306" xr:uid="{00000000-0004-0000-0200-000059240000}"/>
    <hyperlink ref="B3509" r:id="rId9307" xr:uid="{00000000-0004-0000-0200-00005A240000}"/>
    <hyperlink ref="C3509" r:id="rId9308" xr:uid="{00000000-0004-0000-0200-00005B240000}"/>
    <hyperlink ref="A3510" r:id="rId9309" xr:uid="{00000000-0004-0000-0200-00005C240000}"/>
    <hyperlink ref="B3510" r:id="rId9310" xr:uid="{00000000-0004-0000-0200-00005D240000}"/>
    <hyperlink ref="C3510" r:id="rId9311" xr:uid="{00000000-0004-0000-0200-00005E240000}"/>
    <hyperlink ref="A3511" r:id="rId9312" xr:uid="{00000000-0004-0000-0200-00005F240000}"/>
    <hyperlink ref="B3511" r:id="rId9313" xr:uid="{00000000-0004-0000-0200-000060240000}"/>
    <hyperlink ref="C3511" r:id="rId9314" xr:uid="{00000000-0004-0000-0200-000061240000}"/>
    <hyperlink ref="A3512" r:id="rId9315" xr:uid="{00000000-0004-0000-0200-000062240000}"/>
    <hyperlink ref="B3512" r:id="rId9316" xr:uid="{00000000-0004-0000-0200-000063240000}"/>
    <hyperlink ref="C3512" r:id="rId9317" xr:uid="{00000000-0004-0000-0200-000064240000}"/>
    <hyperlink ref="A3513" r:id="rId9318" xr:uid="{00000000-0004-0000-0200-000065240000}"/>
    <hyperlink ref="B3513" r:id="rId9319" xr:uid="{00000000-0004-0000-0200-000066240000}"/>
    <hyperlink ref="C3513" r:id="rId9320" xr:uid="{00000000-0004-0000-0200-000067240000}"/>
    <hyperlink ref="A3514" r:id="rId9321" xr:uid="{00000000-0004-0000-0200-000068240000}"/>
    <hyperlink ref="B3514" r:id="rId9322" xr:uid="{00000000-0004-0000-0200-000069240000}"/>
    <hyperlink ref="C3514" r:id="rId9323" xr:uid="{00000000-0004-0000-0200-00006A240000}"/>
    <hyperlink ref="A3515" r:id="rId9324" xr:uid="{00000000-0004-0000-0200-00006B240000}"/>
    <hyperlink ref="B3515" r:id="rId9325" xr:uid="{00000000-0004-0000-0200-00006C240000}"/>
    <hyperlink ref="C3515" r:id="rId9326" xr:uid="{00000000-0004-0000-0200-00006D240000}"/>
    <hyperlink ref="A3516" r:id="rId9327" xr:uid="{00000000-0004-0000-0200-00006E240000}"/>
    <hyperlink ref="B3516" r:id="rId9328" xr:uid="{00000000-0004-0000-0200-00006F240000}"/>
    <hyperlink ref="C3516" r:id="rId9329" xr:uid="{00000000-0004-0000-0200-000070240000}"/>
    <hyperlink ref="A3517" r:id="rId9330" xr:uid="{00000000-0004-0000-0200-000071240000}"/>
    <hyperlink ref="B3517" r:id="rId9331" xr:uid="{00000000-0004-0000-0200-000072240000}"/>
    <hyperlink ref="C3517" r:id="rId9332" xr:uid="{00000000-0004-0000-0200-000073240000}"/>
    <hyperlink ref="A3518" r:id="rId9333" xr:uid="{00000000-0004-0000-0200-000074240000}"/>
    <hyperlink ref="B3518" r:id="rId9334" xr:uid="{00000000-0004-0000-0200-000075240000}"/>
    <hyperlink ref="C3518" r:id="rId9335" xr:uid="{00000000-0004-0000-0200-000076240000}"/>
    <hyperlink ref="A3519" r:id="rId9336" xr:uid="{00000000-0004-0000-0200-000077240000}"/>
    <hyperlink ref="B3519" r:id="rId9337" xr:uid="{00000000-0004-0000-0200-000078240000}"/>
    <hyperlink ref="C3519" r:id="rId9338" xr:uid="{00000000-0004-0000-0200-000079240000}"/>
    <hyperlink ref="A3520" r:id="rId9339" xr:uid="{00000000-0004-0000-0200-00007A240000}"/>
    <hyperlink ref="B3520" r:id="rId9340" xr:uid="{00000000-0004-0000-0200-00007B240000}"/>
    <hyperlink ref="C3520" r:id="rId9341" xr:uid="{00000000-0004-0000-0200-00007C240000}"/>
    <hyperlink ref="A3521" r:id="rId9342" xr:uid="{00000000-0004-0000-0200-00007D240000}"/>
    <hyperlink ref="B3521" r:id="rId9343" xr:uid="{00000000-0004-0000-0200-00007E240000}"/>
    <hyperlink ref="C3521" r:id="rId9344" xr:uid="{00000000-0004-0000-0200-00007F240000}"/>
    <hyperlink ref="A3522" r:id="rId9345" xr:uid="{00000000-0004-0000-0200-000080240000}"/>
    <hyperlink ref="B3522" r:id="rId9346" xr:uid="{00000000-0004-0000-0200-000081240000}"/>
    <hyperlink ref="C3522" r:id="rId9347" xr:uid="{00000000-0004-0000-0200-000082240000}"/>
    <hyperlink ref="A3523" r:id="rId9348" xr:uid="{00000000-0004-0000-0200-000083240000}"/>
    <hyperlink ref="B3523" r:id="rId9349" xr:uid="{00000000-0004-0000-0200-000084240000}"/>
    <hyperlink ref="C3523" r:id="rId9350" xr:uid="{00000000-0004-0000-0200-000085240000}"/>
    <hyperlink ref="A3524" r:id="rId9351" xr:uid="{00000000-0004-0000-0200-000086240000}"/>
    <hyperlink ref="B3524" r:id="rId9352" xr:uid="{00000000-0004-0000-0200-000087240000}"/>
    <hyperlink ref="C3524" r:id="rId9353" xr:uid="{00000000-0004-0000-0200-000088240000}"/>
    <hyperlink ref="A3525" r:id="rId9354" xr:uid="{00000000-0004-0000-0200-000089240000}"/>
    <hyperlink ref="B3525" r:id="rId9355" xr:uid="{00000000-0004-0000-0200-00008A240000}"/>
    <hyperlink ref="C3525" r:id="rId9356" xr:uid="{00000000-0004-0000-0200-00008B240000}"/>
    <hyperlink ref="A3526" r:id="rId9357" xr:uid="{00000000-0004-0000-0200-00008C240000}"/>
    <hyperlink ref="B3526" r:id="rId9358" xr:uid="{00000000-0004-0000-0200-00008D240000}"/>
    <hyperlink ref="C3526" r:id="rId9359" xr:uid="{00000000-0004-0000-0200-00008E240000}"/>
    <hyperlink ref="A3527" r:id="rId9360" xr:uid="{00000000-0004-0000-0200-00008F240000}"/>
    <hyperlink ref="B3527" r:id="rId9361" xr:uid="{00000000-0004-0000-0200-000090240000}"/>
    <hyperlink ref="C3527" r:id="rId9362" xr:uid="{00000000-0004-0000-0200-000091240000}"/>
    <hyperlink ref="A3528" r:id="rId9363" xr:uid="{00000000-0004-0000-0200-000092240000}"/>
    <hyperlink ref="B3528" r:id="rId9364" xr:uid="{00000000-0004-0000-0200-000093240000}"/>
    <hyperlink ref="C3528" r:id="rId9365" xr:uid="{00000000-0004-0000-0200-000094240000}"/>
    <hyperlink ref="A3529" r:id="rId9366" xr:uid="{00000000-0004-0000-0200-000095240000}"/>
    <hyperlink ref="B3529" r:id="rId9367" xr:uid="{00000000-0004-0000-0200-000096240000}"/>
    <hyperlink ref="C3529" r:id="rId9368" xr:uid="{00000000-0004-0000-0200-000097240000}"/>
    <hyperlink ref="A3530" r:id="rId9369" xr:uid="{00000000-0004-0000-0200-000098240000}"/>
    <hyperlink ref="B3530" r:id="rId9370" xr:uid="{00000000-0004-0000-0200-000099240000}"/>
    <hyperlink ref="C3530" r:id="rId9371" xr:uid="{00000000-0004-0000-0200-00009A240000}"/>
    <hyperlink ref="A3531" r:id="rId9372" xr:uid="{00000000-0004-0000-0200-00009B240000}"/>
    <hyperlink ref="B3531" r:id="rId9373" xr:uid="{00000000-0004-0000-0200-00009C240000}"/>
    <hyperlink ref="C3531" r:id="rId9374" xr:uid="{00000000-0004-0000-0200-00009D240000}"/>
    <hyperlink ref="A3532" r:id="rId9375" xr:uid="{00000000-0004-0000-0200-00009E240000}"/>
    <hyperlink ref="B3532" r:id="rId9376" xr:uid="{00000000-0004-0000-0200-00009F240000}"/>
    <hyperlink ref="C3532" r:id="rId9377" xr:uid="{00000000-0004-0000-0200-0000A0240000}"/>
    <hyperlink ref="A3533" r:id="rId9378" xr:uid="{00000000-0004-0000-0200-0000A1240000}"/>
    <hyperlink ref="B3533" r:id="rId9379" xr:uid="{00000000-0004-0000-0200-0000A2240000}"/>
    <hyperlink ref="C3533" r:id="rId9380" xr:uid="{00000000-0004-0000-0200-0000A3240000}"/>
    <hyperlink ref="A3534" r:id="rId9381" xr:uid="{00000000-0004-0000-0200-0000A4240000}"/>
    <hyperlink ref="B3534" r:id="rId9382" xr:uid="{00000000-0004-0000-0200-0000A5240000}"/>
    <hyperlink ref="C3534" r:id="rId9383" xr:uid="{00000000-0004-0000-0200-0000A6240000}"/>
    <hyperlink ref="A3535" r:id="rId9384" xr:uid="{00000000-0004-0000-0200-0000A7240000}"/>
    <hyperlink ref="B3535" r:id="rId9385" xr:uid="{00000000-0004-0000-0200-0000A8240000}"/>
    <hyperlink ref="C3535" r:id="rId9386" xr:uid="{00000000-0004-0000-0200-0000A9240000}"/>
    <hyperlink ref="A3536" r:id="rId9387" xr:uid="{00000000-0004-0000-0200-0000AA240000}"/>
    <hyperlink ref="B3536" r:id="rId9388" xr:uid="{00000000-0004-0000-0200-0000AB240000}"/>
    <hyperlink ref="C3536" r:id="rId9389" xr:uid="{00000000-0004-0000-0200-0000AC240000}"/>
    <hyperlink ref="A3537" r:id="rId9390" xr:uid="{00000000-0004-0000-0200-0000AD240000}"/>
    <hyperlink ref="B3537" r:id="rId9391" xr:uid="{00000000-0004-0000-0200-0000AE240000}"/>
    <hyperlink ref="C3537" r:id="rId9392" xr:uid="{00000000-0004-0000-0200-0000AF240000}"/>
    <hyperlink ref="A3538" r:id="rId9393" xr:uid="{00000000-0004-0000-0200-0000B0240000}"/>
    <hyperlink ref="B3538" r:id="rId9394" xr:uid="{00000000-0004-0000-0200-0000B1240000}"/>
    <hyperlink ref="C3538" r:id="rId9395" xr:uid="{00000000-0004-0000-0200-0000B2240000}"/>
    <hyperlink ref="A3539" r:id="rId9396" xr:uid="{00000000-0004-0000-0200-0000B3240000}"/>
    <hyperlink ref="B3539" r:id="rId9397" xr:uid="{00000000-0004-0000-0200-0000B4240000}"/>
    <hyperlink ref="C3539" r:id="rId9398" xr:uid="{00000000-0004-0000-0200-0000B5240000}"/>
    <hyperlink ref="A3540" r:id="rId9399" xr:uid="{00000000-0004-0000-0200-0000B6240000}"/>
    <hyperlink ref="B3540" r:id="rId9400" xr:uid="{00000000-0004-0000-0200-0000B7240000}"/>
    <hyperlink ref="C3540" r:id="rId9401" xr:uid="{00000000-0004-0000-0200-0000B8240000}"/>
    <hyperlink ref="A3541" r:id="rId9402" xr:uid="{00000000-0004-0000-0200-0000B9240000}"/>
    <hyperlink ref="B3541" r:id="rId9403" xr:uid="{00000000-0004-0000-0200-0000BA240000}"/>
    <hyperlink ref="C3541" r:id="rId9404" xr:uid="{00000000-0004-0000-0200-0000BB240000}"/>
    <hyperlink ref="A3542" r:id="rId9405" xr:uid="{00000000-0004-0000-0200-0000BC240000}"/>
    <hyperlink ref="B3542" r:id="rId9406" xr:uid="{00000000-0004-0000-0200-0000BD240000}"/>
    <hyperlink ref="C3542" r:id="rId9407" xr:uid="{00000000-0004-0000-0200-0000BE240000}"/>
    <hyperlink ref="A3543" r:id="rId9408" xr:uid="{00000000-0004-0000-0200-0000BF240000}"/>
    <hyperlink ref="B3543" r:id="rId9409" xr:uid="{00000000-0004-0000-0200-0000C0240000}"/>
    <hyperlink ref="C3543" r:id="rId9410" xr:uid="{00000000-0004-0000-0200-0000C1240000}"/>
    <hyperlink ref="A3544" r:id="rId9411" xr:uid="{00000000-0004-0000-0200-0000C2240000}"/>
    <hyperlink ref="B3544" r:id="rId9412" xr:uid="{00000000-0004-0000-0200-0000C3240000}"/>
    <hyperlink ref="C3544" r:id="rId9413" xr:uid="{00000000-0004-0000-0200-0000C4240000}"/>
    <hyperlink ref="A3545" r:id="rId9414" xr:uid="{00000000-0004-0000-0200-0000C5240000}"/>
    <hyperlink ref="B3545" r:id="rId9415" xr:uid="{00000000-0004-0000-0200-0000C6240000}"/>
    <hyperlink ref="C3545" r:id="rId9416" xr:uid="{00000000-0004-0000-0200-0000C7240000}"/>
    <hyperlink ref="A3546" r:id="rId9417" xr:uid="{00000000-0004-0000-0200-0000C8240000}"/>
    <hyperlink ref="B3546" r:id="rId9418" xr:uid="{00000000-0004-0000-0200-0000C9240000}"/>
    <hyperlink ref="C3546" r:id="rId9419" xr:uid="{00000000-0004-0000-0200-0000CA240000}"/>
    <hyperlink ref="A3547" r:id="rId9420" xr:uid="{00000000-0004-0000-0200-0000CB240000}"/>
    <hyperlink ref="B3547" r:id="rId9421" xr:uid="{00000000-0004-0000-0200-0000CC240000}"/>
    <hyperlink ref="C3547" r:id="rId9422" xr:uid="{00000000-0004-0000-0200-0000CD240000}"/>
    <hyperlink ref="A3548" r:id="rId9423" xr:uid="{00000000-0004-0000-0200-0000CE240000}"/>
    <hyperlink ref="B3548" r:id="rId9424" xr:uid="{00000000-0004-0000-0200-0000CF240000}"/>
    <hyperlink ref="C3548" r:id="rId9425" xr:uid="{00000000-0004-0000-0200-0000D0240000}"/>
    <hyperlink ref="A3549" r:id="rId9426" xr:uid="{00000000-0004-0000-0200-0000D1240000}"/>
    <hyperlink ref="B3549" r:id="rId9427" xr:uid="{00000000-0004-0000-0200-0000D2240000}"/>
    <hyperlink ref="C3549" r:id="rId9428" xr:uid="{00000000-0004-0000-0200-0000D3240000}"/>
    <hyperlink ref="A3550" r:id="rId9429" xr:uid="{00000000-0004-0000-0200-0000D4240000}"/>
    <hyperlink ref="B3550" r:id="rId9430" xr:uid="{00000000-0004-0000-0200-0000D5240000}"/>
    <hyperlink ref="C3550" r:id="rId9431" xr:uid="{00000000-0004-0000-0200-0000D6240000}"/>
    <hyperlink ref="A3551" r:id="rId9432" xr:uid="{00000000-0004-0000-0200-0000D7240000}"/>
    <hyperlink ref="B3551" r:id="rId9433" xr:uid="{00000000-0004-0000-0200-0000D8240000}"/>
    <hyperlink ref="C3551" r:id="rId9434" xr:uid="{00000000-0004-0000-0200-0000D9240000}"/>
    <hyperlink ref="A3552" r:id="rId9435" xr:uid="{00000000-0004-0000-0200-0000DA240000}"/>
    <hyperlink ref="B3552" r:id="rId9436" xr:uid="{00000000-0004-0000-0200-0000DB240000}"/>
    <hyperlink ref="C3552" r:id="rId9437" xr:uid="{00000000-0004-0000-0200-0000DC240000}"/>
    <hyperlink ref="A3553" r:id="rId9438" xr:uid="{00000000-0004-0000-0200-0000DD240000}"/>
    <hyperlink ref="B3553" r:id="rId9439" xr:uid="{00000000-0004-0000-0200-0000DE240000}"/>
    <hyperlink ref="C3553" r:id="rId9440" xr:uid="{00000000-0004-0000-0200-0000DF240000}"/>
    <hyperlink ref="A3554" r:id="rId9441" xr:uid="{00000000-0004-0000-0200-0000E0240000}"/>
    <hyperlink ref="B3554" r:id="rId9442" xr:uid="{00000000-0004-0000-0200-0000E1240000}"/>
    <hyperlink ref="C3554" r:id="rId9443" xr:uid="{00000000-0004-0000-0200-0000E2240000}"/>
    <hyperlink ref="A3555" r:id="rId9444" xr:uid="{00000000-0004-0000-0200-0000E3240000}"/>
    <hyperlink ref="B3555" r:id="rId9445" xr:uid="{00000000-0004-0000-0200-0000E4240000}"/>
    <hyperlink ref="C3555" r:id="rId9446" xr:uid="{00000000-0004-0000-0200-0000E5240000}"/>
    <hyperlink ref="A3556" r:id="rId9447" xr:uid="{00000000-0004-0000-0200-0000E6240000}"/>
    <hyperlink ref="B3556" r:id="rId9448" xr:uid="{00000000-0004-0000-0200-0000E7240000}"/>
    <hyperlink ref="C3556" r:id="rId9449" xr:uid="{00000000-0004-0000-0200-0000E8240000}"/>
    <hyperlink ref="A3557" r:id="rId9450" xr:uid="{00000000-0004-0000-0200-0000E9240000}"/>
    <hyperlink ref="B3557" r:id="rId9451" xr:uid="{00000000-0004-0000-0200-0000EA240000}"/>
    <hyperlink ref="C3557" r:id="rId9452" xr:uid="{00000000-0004-0000-0200-0000EB240000}"/>
    <hyperlink ref="A3558" r:id="rId9453" xr:uid="{00000000-0004-0000-0200-0000EC240000}"/>
    <hyperlink ref="B3558" r:id="rId9454" xr:uid="{00000000-0004-0000-0200-0000ED240000}"/>
    <hyperlink ref="C3558" r:id="rId9455" xr:uid="{00000000-0004-0000-0200-0000EE240000}"/>
    <hyperlink ref="A3559" r:id="rId9456" xr:uid="{00000000-0004-0000-0200-0000EF240000}"/>
    <hyperlink ref="B3559" r:id="rId9457" xr:uid="{00000000-0004-0000-0200-0000F0240000}"/>
    <hyperlink ref="C3559" r:id="rId9458" xr:uid="{00000000-0004-0000-0200-0000F1240000}"/>
    <hyperlink ref="A3560" r:id="rId9459" xr:uid="{00000000-0004-0000-0200-0000F2240000}"/>
    <hyperlink ref="B3560" r:id="rId9460" xr:uid="{00000000-0004-0000-0200-0000F3240000}"/>
    <hyperlink ref="C3560" r:id="rId9461" xr:uid="{00000000-0004-0000-0200-0000F4240000}"/>
    <hyperlink ref="A3561" r:id="rId9462" xr:uid="{00000000-0004-0000-0200-0000F5240000}"/>
    <hyperlink ref="B3561" r:id="rId9463" xr:uid="{00000000-0004-0000-0200-0000F6240000}"/>
    <hyperlink ref="C3561" r:id="rId9464" xr:uid="{00000000-0004-0000-0200-0000F7240000}"/>
    <hyperlink ref="A3562" r:id="rId9465" xr:uid="{00000000-0004-0000-0200-0000F8240000}"/>
    <hyperlink ref="B3562" r:id="rId9466" xr:uid="{00000000-0004-0000-0200-0000F9240000}"/>
    <hyperlink ref="C3562" r:id="rId9467" xr:uid="{00000000-0004-0000-0200-0000FA240000}"/>
    <hyperlink ref="A3563" r:id="rId9468" xr:uid="{00000000-0004-0000-0200-0000FB240000}"/>
    <hyperlink ref="B3563" r:id="rId9469" xr:uid="{00000000-0004-0000-0200-0000FC240000}"/>
    <hyperlink ref="C3563" r:id="rId9470" xr:uid="{00000000-0004-0000-0200-0000FD240000}"/>
    <hyperlink ref="A3564" r:id="rId9471" xr:uid="{00000000-0004-0000-0200-0000FE240000}"/>
    <hyperlink ref="B3564" r:id="rId9472" xr:uid="{00000000-0004-0000-0200-0000FF240000}"/>
    <hyperlink ref="C3564" r:id="rId9473" xr:uid="{00000000-0004-0000-0200-000000250000}"/>
    <hyperlink ref="A3565" r:id="rId9474" xr:uid="{00000000-0004-0000-0200-000001250000}"/>
    <hyperlink ref="B3565" r:id="rId9475" xr:uid="{00000000-0004-0000-0200-000002250000}"/>
    <hyperlink ref="C3565" r:id="rId9476" xr:uid="{00000000-0004-0000-0200-000003250000}"/>
    <hyperlink ref="A3566" r:id="rId9477" xr:uid="{00000000-0004-0000-0200-000004250000}"/>
    <hyperlink ref="B3566" r:id="rId9478" xr:uid="{00000000-0004-0000-0200-000005250000}"/>
    <hyperlink ref="C3566" r:id="rId9479" xr:uid="{00000000-0004-0000-0200-000006250000}"/>
    <hyperlink ref="A3567" r:id="rId9480" xr:uid="{00000000-0004-0000-0200-000007250000}"/>
    <hyperlink ref="B3567" r:id="rId9481" xr:uid="{00000000-0004-0000-0200-000008250000}"/>
    <hyperlink ref="C3567" r:id="rId9482" xr:uid="{00000000-0004-0000-0200-000009250000}"/>
    <hyperlink ref="A3568" r:id="rId9483" xr:uid="{00000000-0004-0000-0200-00000A250000}"/>
    <hyperlink ref="B3568" r:id="rId9484" xr:uid="{00000000-0004-0000-0200-00000B250000}"/>
    <hyperlink ref="C3568" r:id="rId9485" xr:uid="{00000000-0004-0000-0200-00000C250000}"/>
    <hyperlink ref="A3569" r:id="rId9486" xr:uid="{00000000-0004-0000-0200-00000D250000}"/>
    <hyperlink ref="B3569" r:id="rId9487" xr:uid="{00000000-0004-0000-0200-00000E250000}"/>
    <hyperlink ref="C3569" r:id="rId9488" xr:uid="{00000000-0004-0000-0200-00000F250000}"/>
    <hyperlink ref="A3570" r:id="rId9489" xr:uid="{00000000-0004-0000-0200-000010250000}"/>
    <hyperlink ref="B3570" r:id="rId9490" xr:uid="{00000000-0004-0000-0200-000011250000}"/>
    <hyperlink ref="C3570" r:id="rId9491" xr:uid="{00000000-0004-0000-0200-000012250000}"/>
    <hyperlink ref="A3571" r:id="rId9492" xr:uid="{00000000-0004-0000-0200-000013250000}"/>
    <hyperlink ref="B3571" r:id="rId9493" xr:uid="{00000000-0004-0000-0200-000014250000}"/>
    <hyperlink ref="C3571" r:id="rId9494" xr:uid="{00000000-0004-0000-0200-000015250000}"/>
    <hyperlink ref="A3572" r:id="rId9495" xr:uid="{00000000-0004-0000-0200-000016250000}"/>
    <hyperlink ref="B3572" r:id="rId9496" xr:uid="{00000000-0004-0000-0200-000017250000}"/>
    <hyperlink ref="C3572" r:id="rId9497" xr:uid="{00000000-0004-0000-0200-000018250000}"/>
    <hyperlink ref="A3573" r:id="rId9498" xr:uid="{00000000-0004-0000-0200-000019250000}"/>
    <hyperlink ref="B3573" r:id="rId9499" xr:uid="{00000000-0004-0000-0200-00001A250000}"/>
    <hyperlink ref="C3573" r:id="rId9500" xr:uid="{00000000-0004-0000-0200-00001B250000}"/>
    <hyperlink ref="A3574" r:id="rId9501" xr:uid="{00000000-0004-0000-0200-00001C250000}"/>
    <hyperlink ref="B3574" r:id="rId9502" xr:uid="{00000000-0004-0000-0200-00001D250000}"/>
    <hyperlink ref="C3574" r:id="rId9503" xr:uid="{00000000-0004-0000-0200-00001E250000}"/>
    <hyperlink ref="A3575" r:id="rId9504" xr:uid="{00000000-0004-0000-0200-00001F250000}"/>
    <hyperlink ref="B3575" r:id="rId9505" xr:uid="{00000000-0004-0000-0200-000020250000}"/>
    <hyperlink ref="C3575" r:id="rId9506" xr:uid="{00000000-0004-0000-0200-000021250000}"/>
    <hyperlink ref="A3576" r:id="rId9507" xr:uid="{00000000-0004-0000-0200-000022250000}"/>
    <hyperlink ref="B3576" r:id="rId9508" xr:uid="{00000000-0004-0000-0200-000023250000}"/>
    <hyperlink ref="C3576" r:id="rId9509" xr:uid="{00000000-0004-0000-0200-000024250000}"/>
    <hyperlink ref="A3577" r:id="rId9510" xr:uid="{00000000-0004-0000-0200-000025250000}"/>
    <hyperlink ref="B3577" r:id="rId9511" xr:uid="{00000000-0004-0000-0200-000026250000}"/>
    <hyperlink ref="C3577" r:id="rId9512" xr:uid="{00000000-0004-0000-0200-000027250000}"/>
    <hyperlink ref="A3578" r:id="rId9513" xr:uid="{00000000-0004-0000-0200-000028250000}"/>
    <hyperlink ref="B3578" r:id="rId9514" xr:uid="{00000000-0004-0000-0200-000029250000}"/>
    <hyperlink ref="C3578" r:id="rId9515" xr:uid="{00000000-0004-0000-0200-00002A250000}"/>
    <hyperlink ref="A3579" r:id="rId9516" xr:uid="{00000000-0004-0000-0200-00002B250000}"/>
    <hyperlink ref="B3579" r:id="rId9517" xr:uid="{00000000-0004-0000-0200-00002C250000}"/>
    <hyperlink ref="C3579" r:id="rId9518" xr:uid="{00000000-0004-0000-0200-00002D250000}"/>
    <hyperlink ref="A3580" r:id="rId9519" xr:uid="{00000000-0004-0000-0200-00002E250000}"/>
    <hyperlink ref="B3580" r:id="rId9520" xr:uid="{00000000-0004-0000-0200-00002F250000}"/>
    <hyperlink ref="C3580" r:id="rId9521" xr:uid="{00000000-0004-0000-0200-000030250000}"/>
    <hyperlink ref="A3581" r:id="rId9522" xr:uid="{00000000-0004-0000-0200-000031250000}"/>
    <hyperlink ref="B3581" r:id="rId9523" xr:uid="{00000000-0004-0000-0200-000032250000}"/>
    <hyperlink ref="C3581" r:id="rId9524" xr:uid="{00000000-0004-0000-0200-000033250000}"/>
    <hyperlink ref="A3582" r:id="rId9525" xr:uid="{00000000-0004-0000-0200-000034250000}"/>
    <hyperlink ref="B3582" r:id="rId9526" xr:uid="{00000000-0004-0000-0200-000035250000}"/>
    <hyperlink ref="C3582" r:id="rId9527" xr:uid="{00000000-0004-0000-0200-000036250000}"/>
    <hyperlink ref="A3583" r:id="rId9528" xr:uid="{00000000-0004-0000-0200-000037250000}"/>
    <hyperlink ref="B3583" r:id="rId9529" xr:uid="{00000000-0004-0000-0200-000038250000}"/>
    <hyperlink ref="C3583" r:id="rId9530" xr:uid="{00000000-0004-0000-0200-000039250000}"/>
    <hyperlink ref="A3584" r:id="rId9531" xr:uid="{00000000-0004-0000-0200-00003A250000}"/>
    <hyperlink ref="B3584" r:id="rId9532" xr:uid="{00000000-0004-0000-0200-00003B250000}"/>
    <hyperlink ref="C3584" r:id="rId9533" xr:uid="{00000000-0004-0000-0200-00003C250000}"/>
    <hyperlink ref="A3585" r:id="rId9534" xr:uid="{00000000-0004-0000-0200-00003D250000}"/>
    <hyperlink ref="B3585" r:id="rId9535" xr:uid="{00000000-0004-0000-0200-00003E250000}"/>
    <hyperlink ref="C3585" r:id="rId9536" xr:uid="{00000000-0004-0000-0200-00003F250000}"/>
    <hyperlink ref="A3586" r:id="rId9537" xr:uid="{00000000-0004-0000-0200-000040250000}"/>
    <hyperlink ref="B3586" r:id="rId9538" xr:uid="{00000000-0004-0000-0200-000041250000}"/>
    <hyperlink ref="C3586" r:id="rId9539" xr:uid="{00000000-0004-0000-0200-000042250000}"/>
    <hyperlink ref="A3587" r:id="rId9540" xr:uid="{00000000-0004-0000-0200-000043250000}"/>
    <hyperlink ref="B3587" r:id="rId9541" xr:uid="{00000000-0004-0000-0200-000044250000}"/>
    <hyperlink ref="C3587" r:id="rId9542" xr:uid="{00000000-0004-0000-0200-000045250000}"/>
    <hyperlink ref="A3588" r:id="rId9543" xr:uid="{00000000-0004-0000-0200-000046250000}"/>
    <hyperlink ref="B3588" r:id="rId9544" xr:uid="{00000000-0004-0000-0200-000047250000}"/>
    <hyperlink ref="C3588" r:id="rId9545" xr:uid="{00000000-0004-0000-0200-000048250000}"/>
    <hyperlink ref="A3589" r:id="rId9546" xr:uid="{00000000-0004-0000-0200-000049250000}"/>
    <hyperlink ref="B3589" r:id="rId9547" xr:uid="{00000000-0004-0000-0200-00004A250000}"/>
    <hyperlink ref="C3589" r:id="rId9548" xr:uid="{00000000-0004-0000-0200-00004B250000}"/>
    <hyperlink ref="A3590" r:id="rId9549" xr:uid="{00000000-0004-0000-0200-00004C250000}"/>
    <hyperlink ref="B3590" r:id="rId9550" xr:uid="{00000000-0004-0000-0200-00004D250000}"/>
    <hyperlink ref="C3590" r:id="rId9551" xr:uid="{00000000-0004-0000-0200-00004E250000}"/>
    <hyperlink ref="A3591" r:id="rId9552" xr:uid="{00000000-0004-0000-0200-00004F250000}"/>
    <hyperlink ref="B3591" r:id="rId9553" xr:uid="{00000000-0004-0000-0200-000050250000}"/>
    <hyperlink ref="C3591" r:id="rId9554" xr:uid="{00000000-0004-0000-0200-000051250000}"/>
    <hyperlink ref="A3592" r:id="rId9555" xr:uid="{00000000-0004-0000-0200-000052250000}"/>
    <hyperlink ref="B3592" r:id="rId9556" xr:uid="{00000000-0004-0000-0200-000053250000}"/>
    <hyperlink ref="C3592" r:id="rId9557" xr:uid="{00000000-0004-0000-0200-000054250000}"/>
    <hyperlink ref="A3593" r:id="rId9558" xr:uid="{00000000-0004-0000-0200-000055250000}"/>
    <hyperlink ref="B3593" r:id="rId9559" xr:uid="{00000000-0004-0000-0200-000056250000}"/>
    <hyperlink ref="C3593" r:id="rId9560" xr:uid="{00000000-0004-0000-0200-000057250000}"/>
    <hyperlink ref="A3594" r:id="rId9561" xr:uid="{00000000-0004-0000-0200-000058250000}"/>
    <hyperlink ref="B3594" r:id="rId9562" xr:uid="{00000000-0004-0000-0200-000059250000}"/>
    <hyperlink ref="C3594" r:id="rId9563" xr:uid="{00000000-0004-0000-0200-00005A250000}"/>
    <hyperlink ref="A3595" r:id="rId9564" xr:uid="{00000000-0004-0000-0200-00005B250000}"/>
    <hyperlink ref="B3595" r:id="rId9565" xr:uid="{00000000-0004-0000-0200-00005C250000}"/>
    <hyperlink ref="C3595" r:id="rId9566" xr:uid="{00000000-0004-0000-0200-00005D250000}"/>
    <hyperlink ref="A3596" r:id="rId9567" xr:uid="{00000000-0004-0000-0200-00005E250000}"/>
    <hyperlink ref="B3596" r:id="rId9568" xr:uid="{00000000-0004-0000-0200-00005F250000}"/>
    <hyperlink ref="C3596" r:id="rId9569" xr:uid="{00000000-0004-0000-0200-000060250000}"/>
    <hyperlink ref="A3597" r:id="rId9570" xr:uid="{00000000-0004-0000-0200-000061250000}"/>
    <hyperlink ref="B3597" r:id="rId9571" xr:uid="{00000000-0004-0000-0200-000062250000}"/>
    <hyperlink ref="C3597" r:id="rId9572" xr:uid="{00000000-0004-0000-0200-000063250000}"/>
    <hyperlink ref="A3598" r:id="rId9573" xr:uid="{00000000-0004-0000-0200-000064250000}"/>
    <hyperlink ref="B3598" r:id="rId9574" xr:uid="{00000000-0004-0000-0200-000065250000}"/>
    <hyperlink ref="C3598" r:id="rId9575" xr:uid="{00000000-0004-0000-0200-000066250000}"/>
    <hyperlink ref="A3599" r:id="rId9576" xr:uid="{00000000-0004-0000-0200-000067250000}"/>
    <hyperlink ref="B3599" r:id="rId9577" xr:uid="{00000000-0004-0000-0200-000068250000}"/>
    <hyperlink ref="C3599" r:id="rId9578" xr:uid="{00000000-0004-0000-0200-000069250000}"/>
    <hyperlink ref="A3600" r:id="rId9579" xr:uid="{00000000-0004-0000-0200-00006A250000}"/>
    <hyperlink ref="B3600" r:id="rId9580" xr:uid="{00000000-0004-0000-0200-00006B250000}"/>
    <hyperlink ref="C3600" r:id="rId9581" xr:uid="{00000000-0004-0000-0200-00006C250000}"/>
    <hyperlink ref="A3601" r:id="rId9582" xr:uid="{00000000-0004-0000-0200-00006D250000}"/>
    <hyperlink ref="B3601" r:id="rId9583" xr:uid="{00000000-0004-0000-0200-00006E250000}"/>
    <hyperlink ref="C3601" r:id="rId9584" xr:uid="{00000000-0004-0000-0200-00006F250000}"/>
    <hyperlink ref="A3602" r:id="rId9585" xr:uid="{00000000-0004-0000-0200-000070250000}"/>
    <hyperlink ref="B3602" r:id="rId9586" xr:uid="{00000000-0004-0000-0200-000071250000}"/>
    <hyperlink ref="C3602" r:id="rId9587" xr:uid="{00000000-0004-0000-0200-000072250000}"/>
    <hyperlink ref="A3603" r:id="rId9588" xr:uid="{00000000-0004-0000-0200-000073250000}"/>
    <hyperlink ref="B3603" r:id="rId9589" xr:uid="{00000000-0004-0000-0200-000074250000}"/>
    <hyperlink ref="C3603" r:id="rId9590" xr:uid="{00000000-0004-0000-0200-000075250000}"/>
    <hyperlink ref="A3604" r:id="rId9591" xr:uid="{00000000-0004-0000-0200-000076250000}"/>
    <hyperlink ref="B3604" r:id="rId9592" xr:uid="{00000000-0004-0000-0200-000077250000}"/>
    <hyperlink ref="C3604" r:id="rId9593" xr:uid="{00000000-0004-0000-0200-000078250000}"/>
    <hyperlink ref="A3605" r:id="rId9594" xr:uid="{00000000-0004-0000-0200-000079250000}"/>
    <hyperlink ref="B3605" r:id="rId9595" xr:uid="{00000000-0004-0000-0200-00007A250000}"/>
    <hyperlink ref="C3605" r:id="rId9596" xr:uid="{00000000-0004-0000-0200-00007B250000}"/>
    <hyperlink ref="A3606" r:id="rId9597" xr:uid="{00000000-0004-0000-0200-00007C250000}"/>
    <hyperlink ref="B3606" r:id="rId9598" xr:uid="{00000000-0004-0000-0200-00007D250000}"/>
    <hyperlink ref="C3606" r:id="rId9599" xr:uid="{00000000-0004-0000-0200-00007E250000}"/>
    <hyperlink ref="A3607" r:id="rId9600" xr:uid="{00000000-0004-0000-0200-00007F250000}"/>
    <hyperlink ref="B3607" r:id="rId9601" xr:uid="{00000000-0004-0000-0200-000080250000}"/>
    <hyperlink ref="C3607" r:id="rId9602" xr:uid="{00000000-0004-0000-0200-000081250000}"/>
    <hyperlink ref="A3608" r:id="rId9603" xr:uid="{00000000-0004-0000-0200-000082250000}"/>
    <hyperlink ref="B3608" r:id="rId9604" xr:uid="{00000000-0004-0000-0200-000083250000}"/>
    <hyperlink ref="C3608" r:id="rId9605" xr:uid="{00000000-0004-0000-0200-000084250000}"/>
    <hyperlink ref="A3609" r:id="rId9606" xr:uid="{00000000-0004-0000-0200-000085250000}"/>
    <hyperlink ref="B3609" r:id="rId9607" xr:uid="{00000000-0004-0000-0200-000086250000}"/>
    <hyperlink ref="C3609" r:id="rId9608" xr:uid="{00000000-0004-0000-0200-000087250000}"/>
    <hyperlink ref="A3610" r:id="rId9609" xr:uid="{00000000-0004-0000-0200-000088250000}"/>
    <hyperlink ref="B3610" r:id="rId9610" xr:uid="{00000000-0004-0000-0200-000089250000}"/>
    <hyperlink ref="C3610" r:id="rId9611" xr:uid="{00000000-0004-0000-0200-00008A250000}"/>
    <hyperlink ref="A3611" r:id="rId9612" xr:uid="{00000000-0004-0000-0200-00008B250000}"/>
    <hyperlink ref="B3611" r:id="rId9613" xr:uid="{00000000-0004-0000-0200-00008C250000}"/>
    <hyperlink ref="C3611" r:id="rId9614" xr:uid="{00000000-0004-0000-0200-00008D250000}"/>
    <hyperlink ref="A3612" r:id="rId9615" xr:uid="{00000000-0004-0000-0200-00008E250000}"/>
    <hyperlink ref="B3612" r:id="rId9616" xr:uid="{00000000-0004-0000-0200-00008F250000}"/>
    <hyperlink ref="C3612" r:id="rId9617" xr:uid="{00000000-0004-0000-0200-000090250000}"/>
    <hyperlink ref="A3613" r:id="rId9618" xr:uid="{00000000-0004-0000-0200-000091250000}"/>
    <hyperlink ref="B3613" r:id="rId9619" xr:uid="{00000000-0004-0000-0200-000092250000}"/>
    <hyperlink ref="C3613" r:id="rId9620" xr:uid="{00000000-0004-0000-0200-000093250000}"/>
    <hyperlink ref="A3614" r:id="rId9621" xr:uid="{00000000-0004-0000-0200-000094250000}"/>
    <hyperlink ref="B3614" r:id="rId9622" xr:uid="{00000000-0004-0000-0200-000095250000}"/>
    <hyperlink ref="C3614" r:id="rId9623" xr:uid="{00000000-0004-0000-0200-000096250000}"/>
    <hyperlink ref="A3615" r:id="rId9624" xr:uid="{00000000-0004-0000-0200-000097250000}"/>
    <hyperlink ref="B3615" r:id="rId9625" xr:uid="{00000000-0004-0000-0200-000098250000}"/>
    <hyperlink ref="C3615" r:id="rId9626" xr:uid="{00000000-0004-0000-0200-000099250000}"/>
    <hyperlink ref="A3616" r:id="rId9627" xr:uid="{00000000-0004-0000-0200-00009A250000}"/>
    <hyperlink ref="B3616" r:id="rId9628" xr:uid="{00000000-0004-0000-0200-00009B250000}"/>
    <hyperlink ref="C3616" r:id="rId9629" xr:uid="{00000000-0004-0000-0200-00009C250000}"/>
    <hyperlink ref="A3617" r:id="rId9630" xr:uid="{00000000-0004-0000-0200-00009D250000}"/>
    <hyperlink ref="B3617" r:id="rId9631" xr:uid="{00000000-0004-0000-0200-00009E250000}"/>
    <hyperlink ref="C3617" r:id="rId9632" xr:uid="{00000000-0004-0000-0200-00009F250000}"/>
    <hyperlink ref="A3618" r:id="rId9633" xr:uid="{00000000-0004-0000-0200-0000A0250000}"/>
    <hyperlink ref="B3618" r:id="rId9634" xr:uid="{00000000-0004-0000-0200-0000A1250000}"/>
    <hyperlink ref="C3618" r:id="rId9635" xr:uid="{00000000-0004-0000-0200-0000A2250000}"/>
    <hyperlink ref="A3619" r:id="rId9636" xr:uid="{00000000-0004-0000-0200-0000A3250000}"/>
    <hyperlink ref="B3619" r:id="rId9637" xr:uid="{00000000-0004-0000-0200-0000A4250000}"/>
    <hyperlink ref="C3619" r:id="rId9638" xr:uid="{00000000-0004-0000-0200-0000A5250000}"/>
    <hyperlink ref="A3620" r:id="rId9639" xr:uid="{00000000-0004-0000-0200-0000A6250000}"/>
    <hyperlink ref="B3620" r:id="rId9640" xr:uid="{00000000-0004-0000-0200-0000A7250000}"/>
    <hyperlink ref="C3620" r:id="rId9641" xr:uid="{00000000-0004-0000-0200-0000A8250000}"/>
    <hyperlink ref="A3621" r:id="rId9642" xr:uid="{00000000-0004-0000-0200-0000A9250000}"/>
    <hyperlink ref="B3621" r:id="rId9643" xr:uid="{00000000-0004-0000-0200-0000AA250000}"/>
    <hyperlink ref="C3621" r:id="rId9644" xr:uid="{00000000-0004-0000-0200-0000AB250000}"/>
    <hyperlink ref="A3622" r:id="rId9645" xr:uid="{00000000-0004-0000-0200-0000AC250000}"/>
    <hyperlink ref="B3622" r:id="rId9646" xr:uid="{00000000-0004-0000-0200-0000AD250000}"/>
    <hyperlink ref="C3622" r:id="rId9647" xr:uid="{00000000-0004-0000-0200-0000AE250000}"/>
    <hyperlink ref="A3623" r:id="rId9648" xr:uid="{00000000-0004-0000-0200-0000AF250000}"/>
    <hyperlink ref="B3623" r:id="rId9649" xr:uid="{00000000-0004-0000-0200-0000B0250000}"/>
    <hyperlink ref="C3623" r:id="rId9650" xr:uid="{00000000-0004-0000-0200-0000B1250000}"/>
    <hyperlink ref="A3624" r:id="rId9651" xr:uid="{00000000-0004-0000-0200-0000B2250000}"/>
    <hyperlink ref="B3624" r:id="rId9652" xr:uid="{00000000-0004-0000-0200-0000B3250000}"/>
    <hyperlink ref="C3624" r:id="rId9653" xr:uid="{00000000-0004-0000-0200-0000B4250000}"/>
    <hyperlink ref="A3625" r:id="rId9654" xr:uid="{00000000-0004-0000-0200-0000B5250000}"/>
    <hyperlink ref="B3625" r:id="rId9655" xr:uid="{00000000-0004-0000-0200-0000B6250000}"/>
    <hyperlink ref="C3625" r:id="rId9656" xr:uid="{00000000-0004-0000-0200-0000B7250000}"/>
    <hyperlink ref="A3626" r:id="rId9657" xr:uid="{00000000-0004-0000-0200-0000B8250000}"/>
    <hyperlink ref="B3626" r:id="rId9658" xr:uid="{00000000-0004-0000-0200-0000B9250000}"/>
    <hyperlink ref="C3626" r:id="rId9659" xr:uid="{00000000-0004-0000-0200-0000BA250000}"/>
    <hyperlink ref="A3627" r:id="rId9660" xr:uid="{00000000-0004-0000-0200-0000BB250000}"/>
    <hyperlink ref="B3627" r:id="rId9661" xr:uid="{00000000-0004-0000-0200-0000BC250000}"/>
    <hyperlink ref="C3627" r:id="rId9662" xr:uid="{00000000-0004-0000-0200-0000BD250000}"/>
    <hyperlink ref="A3628" r:id="rId9663" xr:uid="{00000000-0004-0000-0200-0000BE250000}"/>
    <hyperlink ref="B3628" r:id="rId9664" xr:uid="{00000000-0004-0000-0200-0000BF250000}"/>
    <hyperlink ref="C3628" r:id="rId9665" xr:uid="{00000000-0004-0000-0200-0000C0250000}"/>
    <hyperlink ref="A3629" r:id="rId9666" xr:uid="{00000000-0004-0000-0200-0000C1250000}"/>
    <hyperlink ref="B3629" r:id="rId9667" xr:uid="{00000000-0004-0000-0200-0000C2250000}"/>
    <hyperlink ref="C3629" r:id="rId9668" xr:uid="{00000000-0004-0000-0200-0000C3250000}"/>
    <hyperlink ref="A3630" r:id="rId9669" xr:uid="{00000000-0004-0000-0200-0000C4250000}"/>
    <hyperlink ref="B3630" r:id="rId9670" xr:uid="{00000000-0004-0000-0200-0000C5250000}"/>
    <hyperlink ref="C3630" r:id="rId9671" xr:uid="{00000000-0004-0000-0200-0000C6250000}"/>
    <hyperlink ref="A3631" r:id="rId9672" xr:uid="{00000000-0004-0000-0200-0000C7250000}"/>
    <hyperlink ref="B3631" r:id="rId9673" xr:uid="{00000000-0004-0000-0200-0000C8250000}"/>
    <hyperlink ref="C3631" r:id="rId9674" xr:uid="{00000000-0004-0000-0200-0000C9250000}"/>
    <hyperlink ref="A3632" r:id="rId9675" xr:uid="{00000000-0004-0000-0200-0000CA250000}"/>
    <hyperlink ref="B3632" r:id="rId9676" xr:uid="{00000000-0004-0000-0200-0000CB250000}"/>
    <hyperlink ref="C3632" r:id="rId9677" xr:uid="{00000000-0004-0000-0200-0000CC250000}"/>
    <hyperlink ref="A3633" r:id="rId9678" xr:uid="{00000000-0004-0000-0200-0000CD250000}"/>
    <hyperlink ref="B3633" r:id="rId9679" xr:uid="{00000000-0004-0000-0200-0000CE250000}"/>
    <hyperlink ref="C3633" r:id="rId9680" xr:uid="{00000000-0004-0000-0200-0000CF250000}"/>
    <hyperlink ref="A3634" r:id="rId9681" xr:uid="{00000000-0004-0000-0200-0000D0250000}"/>
    <hyperlink ref="B3634" r:id="rId9682" xr:uid="{00000000-0004-0000-0200-0000D1250000}"/>
    <hyperlink ref="C3634" r:id="rId9683" xr:uid="{00000000-0004-0000-0200-0000D2250000}"/>
    <hyperlink ref="A3635" r:id="rId9684" xr:uid="{00000000-0004-0000-0200-0000D3250000}"/>
    <hyperlink ref="B3635" r:id="rId9685" xr:uid="{00000000-0004-0000-0200-0000D4250000}"/>
    <hyperlink ref="C3635" r:id="rId9686" xr:uid="{00000000-0004-0000-0200-0000D5250000}"/>
    <hyperlink ref="A3636" r:id="rId9687" xr:uid="{00000000-0004-0000-0200-0000D6250000}"/>
    <hyperlink ref="B3636" r:id="rId9688" xr:uid="{00000000-0004-0000-0200-0000D7250000}"/>
    <hyperlink ref="C3636" r:id="rId9689" xr:uid="{00000000-0004-0000-0200-0000D8250000}"/>
    <hyperlink ref="A3637" r:id="rId9690" xr:uid="{00000000-0004-0000-0200-0000D9250000}"/>
    <hyperlink ref="B3637" r:id="rId9691" xr:uid="{00000000-0004-0000-0200-0000DA250000}"/>
    <hyperlink ref="C3637" r:id="rId9692" xr:uid="{00000000-0004-0000-0200-0000DB250000}"/>
    <hyperlink ref="A3638" r:id="rId9693" xr:uid="{00000000-0004-0000-0200-0000DC250000}"/>
    <hyperlink ref="B3638" r:id="rId9694" xr:uid="{00000000-0004-0000-0200-0000DD250000}"/>
    <hyperlink ref="C3638" r:id="rId9695" xr:uid="{00000000-0004-0000-0200-0000DE250000}"/>
    <hyperlink ref="A3639" r:id="rId9696" xr:uid="{00000000-0004-0000-0200-0000DF250000}"/>
    <hyperlink ref="B3639" r:id="rId9697" xr:uid="{00000000-0004-0000-0200-0000E0250000}"/>
    <hyperlink ref="C3639" r:id="rId9698" xr:uid="{00000000-0004-0000-0200-0000E1250000}"/>
    <hyperlink ref="A3640" r:id="rId9699" xr:uid="{00000000-0004-0000-0200-0000E2250000}"/>
    <hyperlink ref="B3640" r:id="rId9700" xr:uid="{00000000-0004-0000-0200-0000E3250000}"/>
    <hyperlink ref="C3640" r:id="rId9701" xr:uid="{00000000-0004-0000-0200-0000E4250000}"/>
    <hyperlink ref="A3641" r:id="rId9702" xr:uid="{00000000-0004-0000-0200-0000E5250000}"/>
    <hyperlink ref="B3641" r:id="rId9703" xr:uid="{00000000-0004-0000-0200-0000E6250000}"/>
    <hyperlink ref="C3641" r:id="rId9704" xr:uid="{00000000-0004-0000-0200-0000E7250000}"/>
    <hyperlink ref="A3642" r:id="rId9705" xr:uid="{00000000-0004-0000-0200-0000E8250000}"/>
    <hyperlink ref="B3642" r:id="rId9706" xr:uid="{00000000-0004-0000-0200-0000E9250000}"/>
    <hyperlink ref="C3642" r:id="rId9707" xr:uid="{00000000-0004-0000-0200-0000EA250000}"/>
    <hyperlink ref="A3643" r:id="rId9708" xr:uid="{00000000-0004-0000-0200-0000EB250000}"/>
    <hyperlink ref="B3643" r:id="rId9709" xr:uid="{00000000-0004-0000-0200-0000EC250000}"/>
    <hyperlink ref="C3643" r:id="rId9710" xr:uid="{00000000-0004-0000-0200-0000ED250000}"/>
    <hyperlink ref="A3644" r:id="rId9711" xr:uid="{00000000-0004-0000-0200-0000EE250000}"/>
    <hyperlink ref="B3644" r:id="rId9712" xr:uid="{00000000-0004-0000-0200-0000EF250000}"/>
    <hyperlink ref="C3644" r:id="rId9713" xr:uid="{00000000-0004-0000-0200-0000F0250000}"/>
    <hyperlink ref="A3645" r:id="rId9714" xr:uid="{00000000-0004-0000-0200-0000F1250000}"/>
    <hyperlink ref="B3645" r:id="rId9715" xr:uid="{00000000-0004-0000-0200-0000F2250000}"/>
    <hyperlink ref="C3645" r:id="rId9716" xr:uid="{00000000-0004-0000-0200-0000F3250000}"/>
    <hyperlink ref="A3646" r:id="rId9717" xr:uid="{00000000-0004-0000-0200-0000F4250000}"/>
    <hyperlink ref="B3646" r:id="rId9718" xr:uid="{00000000-0004-0000-0200-0000F5250000}"/>
    <hyperlink ref="C3646" r:id="rId9719" xr:uid="{00000000-0004-0000-0200-0000F6250000}"/>
    <hyperlink ref="A3647" r:id="rId9720" xr:uid="{00000000-0004-0000-0200-0000F7250000}"/>
    <hyperlink ref="B3647" r:id="rId9721" xr:uid="{00000000-0004-0000-0200-0000F8250000}"/>
    <hyperlink ref="C3647" r:id="rId9722" xr:uid="{00000000-0004-0000-0200-0000F9250000}"/>
    <hyperlink ref="A3648" r:id="rId9723" xr:uid="{00000000-0004-0000-0200-0000FA250000}"/>
    <hyperlink ref="B3648" r:id="rId9724" xr:uid="{00000000-0004-0000-0200-0000FB250000}"/>
    <hyperlink ref="C3648" r:id="rId9725" xr:uid="{00000000-0004-0000-0200-0000FC250000}"/>
    <hyperlink ref="A3649" r:id="rId9726" xr:uid="{00000000-0004-0000-0200-0000FD250000}"/>
    <hyperlink ref="B3649" r:id="rId9727" xr:uid="{00000000-0004-0000-0200-0000FE250000}"/>
    <hyperlink ref="C3649" r:id="rId9728" xr:uid="{00000000-0004-0000-0200-0000FF250000}"/>
    <hyperlink ref="A3650" r:id="rId9729" xr:uid="{00000000-0004-0000-0200-000000260000}"/>
    <hyperlink ref="B3650" r:id="rId9730" xr:uid="{00000000-0004-0000-0200-000001260000}"/>
    <hyperlink ref="C3650" r:id="rId9731" xr:uid="{00000000-0004-0000-0200-000002260000}"/>
    <hyperlink ref="A3651" r:id="rId9732" xr:uid="{00000000-0004-0000-0200-000003260000}"/>
    <hyperlink ref="B3651" r:id="rId9733" xr:uid="{00000000-0004-0000-0200-000004260000}"/>
    <hyperlink ref="C3651" r:id="rId9734" xr:uid="{00000000-0004-0000-0200-000005260000}"/>
    <hyperlink ref="A3652" r:id="rId9735" xr:uid="{00000000-0004-0000-0200-000006260000}"/>
    <hyperlink ref="B3652" r:id="rId9736" xr:uid="{00000000-0004-0000-0200-000007260000}"/>
    <hyperlink ref="C3652" r:id="rId9737" xr:uid="{00000000-0004-0000-0200-000008260000}"/>
    <hyperlink ref="A3653" r:id="rId9738" xr:uid="{00000000-0004-0000-0200-000009260000}"/>
    <hyperlink ref="B3653" r:id="rId9739" xr:uid="{00000000-0004-0000-0200-00000A260000}"/>
    <hyperlink ref="C3653" r:id="rId9740" xr:uid="{00000000-0004-0000-0200-00000B260000}"/>
    <hyperlink ref="A3654" r:id="rId9741" xr:uid="{00000000-0004-0000-0200-00000C260000}"/>
    <hyperlink ref="B3654" r:id="rId9742" xr:uid="{00000000-0004-0000-0200-00000D260000}"/>
    <hyperlink ref="C3654" r:id="rId9743" xr:uid="{00000000-0004-0000-0200-00000E260000}"/>
    <hyperlink ref="A3655" r:id="rId9744" xr:uid="{00000000-0004-0000-0200-00000F260000}"/>
    <hyperlink ref="B3655" r:id="rId9745" xr:uid="{00000000-0004-0000-0200-000010260000}"/>
    <hyperlink ref="C3655" r:id="rId9746" xr:uid="{00000000-0004-0000-0200-000011260000}"/>
    <hyperlink ref="A3656" r:id="rId9747" xr:uid="{00000000-0004-0000-0200-000012260000}"/>
    <hyperlink ref="B3656" r:id="rId9748" xr:uid="{00000000-0004-0000-0200-000013260000}"/>
    <hyperlink ref="C3656" r:id="rId9749" xr:uid="{00000000-0004-0000-0200-000014260000}"/>
    <hyperlink ref="A3657" r:id="rId9750" xr:uid="{00000000-0004-0000-0200-000015260000}"/>
    <hyperlink ref="B3657" r:id="rId9751" xr:uid="{00000000-0004-0000-0200-000016260000}"/>
    <hyperlink ref="C3657" r:id="rId9752" xr:uid="{00000000-0004-0000-0200-000017260000}"/>
    <hyperlink ref="A3658" r:id="rId9753" xr:uid="{00000000-0004-0000-0200-000018260000}"/>
    <hyperlink ref="B3658" r:id="rId9754" xr:uid="{00000000-0004-0000-0200-000019260000}"/>
    <hyperlink ref="C3658" r:id="rId9755" xr:uid="{00000000-0004-0000-0200-00001A260000}"/>
    <hyperlink ref="A3659" r:id="rId9756" xr:uid="{00000000-0004-0000-0200-00001B260000}"/>
    <hyperlink ref="B3659" r:id="rId9757" xr:uid="{00000000-0004-0000-0200-00001C260000}"/>
    <hyperlink ref="C3659" r:id="rId9758" xr:uid="{00000000-0004-0000-0200-00001D260000}"/>
    <hyperlink ref="A3660" r:id="rId9759" xr:uid="{00000000-0004-0000-0200-00001E260000}"/>
    <hyperlink ref="B3660" r:id="rId9760" xr:uid="{00000000-0004-0000-0200-00001F260000}"/>
    <hyperlink ref="C3660" r:id="rId9761" xr:uid="{00000000-0004-0000-0200-000020260000}"/>
    <hyperlink ref="A3661" r:id="rId9762" xr:uid="{00000000-0004-0000-0200-000021260000}"/>
    <hyperlink ref="B3661" r:id="rId9763" xr:uid="{00000000-0004-0000-0200-000022260000}"/>
    <hyperlink ref="C3661" r:id="rId9764" xr:uid="{00000000-0004-0000-0200-000023260000}"/>
    <hyperlink ref="A3662" r:id="rId9765" xr:uid="{00000000-0004-0000-0200-000024260000}"/>
    <hyperlink ref="B3662" r:id="rId9766" xr:uid="{00000000-0004-0000-0200-000025260000}"/>
    <hyperlink ref="C3662" r:id="rId9767" xr:uid="{00000000-0004-0000-0200-000026260000}"/>
    <hyperlink ref="A3663" r:id="rId9768" xr:uid="{00000000-0004-0000-0200-000027260000}"/>
    <hyperlink ref="B3663" r:id="rId9769" xr:uid="{00000000-0004-0000-0200-000028260000}"/>
    <hyperlink ref="C3663" r:id="rId9770" xr:uid="{00000000-0004-0000-0200-000029260000}"/>
    <hyperlink ref="A3664" r:id="rId9771" xr:uid="{00000000-0004-0000-0200-00002A260000}"/>
    <hyperlink ref="B3664" r:id="rId9772" xr:uid="{00000000-0004-0000-0200-00002B260000}"/>
    <hyperlink ref="C3664" r:id="rId9773" xr:uid="{00000000-0004-0000-0200-00002C260000}"/>
    <hyperlink ref="A3665" r:id="rId9774" xr:uid="{00000000-0004-0000-0200-00002D260000}"/>
    <hyperlink ref="B3665" r:id="rId9775" xr:uid="{00000000-0004-0000-0200-00002E260000}"/>
    <hyperlink ref="C3665" r:id="rId9776" xr:uid="{00000000-0004-0000-0200-00002F260000}"/>
    <hyperlink ref="A3666" r:id="rId9777" xr:uid="{00000000-0004-0000-0200-000030260000}"/>
    <hyperlink ref="B3666" r:id="rId9778" xr:uid="{00000000-0004-0000-0200-000031260000}"/>
    <hyperlink ref="C3666" r:id="rId9779" xr:uid="{00000000-0004-0000-0200-000032260000}"/>
    <hyperlink ref="A3667" r:id="rId9780" xr:uid="{00000000-0004-0000-0200-000033260000}"/>
    <hyperlink ref="B3667" r:id="rId9781" xr:uid="{00000000-0004-0000-0200-000034260000}"/>
    <hyperlink ref="C3667" r:id="rId9782" xr:uid="{00000000-0004-0000-0200-000035260000}"/>
    <hyperlink ref="A3668" r:id="rId9783" xr:uid="{00000000-0004-0000-0200-000036260000}"/>
    <hyperlink ref="B3668" r:id="rId9784" xr:uid="{00000000-0004-0000-0200-000037260000}"/>
    <hyperlink ref="C3668" r:id="rId9785" xr:uid="{00000000-0004-0000-0200-000038260000}"/>
    <hyperlink ref="A3669" r:id="rId9786" xr:uid="{00000000-0004-0000-0200-000039260000}"/>
    <hyperlink ref="B3669" r:id="rId9787" xr:uid="{00000000-0004-0000-0200-00003A260000}"/>
    <hyperlink ref="C3669" r:id="rId9788" xr:uid="{00000000-0004-0000-0200-00003B260000}"/>
    <hyperlink ref="A3670" r:id="rId9789" xr:uid="{00000000-0004-0000-0200-00003C260000}"/>
    <hyperlink ref="B3670" r:id="rId9790" xr:uid="{00000000-0004-0000-0200-00003D260000}"/>
    <hyperlink ref="C3670" r:id="rId9791" xr:uid="{00000000-0004-0000-0200-00003E260000}"/>
    <hyperlink ref="A3671" r:id="rId9792" xr:uid="{00000000-0004-0000-0200-00003F260000}"/>
    <hyperlink ref="B3671" r:id="rId9793" xr:uid="{00000000-0004-0000-0200-000040260000}"/>
    <hyperlink ref="C3671" r:id="rId9794" xr:uid="{00000000-0004-0000-0200-000041260000}"/>
    <hyperlink ref="A3672" r:id="rId9795" xr:uid="{00000000-0004-0000-0200-000042260000}"/>
    <hyperlink ref="B3672" r:id="rId9796" xr:uid="{00000000-0004-0000-0200-000043260000}"/>
    <hyperlink ref="C3672" r:id="rId9797" xr:uid="{00000000-0004-0000-0200-000044260000}"/>
    <hyperlink ref="A3673" r:id="rId9798" xr:uid="{00000000-0004-0000-0200-000045260000}"/>
    <hyperlink ref="B3673" r:id="rId9799" xr:uid="{00000000-0004-0000-0200-000046260000}"/>
    <hyperlink ref="C3673" r:id="rId9800" xr:uid="{00000000-0004-0000-0200-000047260000}"/>
    <hyperlink ref="A3674" r:id="rId9801" xr:uid="{00000000-0004-0000-0200-000048260000}"/>
    <hyperlink ref="B3674" r:id="rId9802" xr:uid="{00000000-0004-0000-0200-000049260000}"/>
    <hyperlink ref="C3674" r:id="rId9803" xr:uid="{00000000-0004-0000-0200-00004A260000}"/>
    <hyperlink ref="A3675" r:id="rId9804" xr:uid="{00000000-0004-0000-0200-00004B260000}"/>
    <hyperlink ref="B3675" r:id="rId9805" xr:uid="{00000000-0004-0000-0200-00004C260000}"/>
    <hyperlink ref="C3675" r:id="rId9806" xr:uid="{00000000-0004-0000-0200-00004D260000}"/>
    <hyperlink ref="A3676" r:id="rId9807" xr:uid="{00000000-0004-0000-0200-00004E260000}"/>
    <hyperlink ref="B3676" r:id="rId9808" xr:uid="{00000000-0004-0000-0200-00004F260000}"/>
    <hyperlink ref="C3676" r:id="rId9809" xr:uid="{00000000-0004-0000-0200-000050260000}"/>
    <hyperlink ref="A3677" r:id="rId9810" xr:uid="{00000000-0004-0000-0200-000051260000}"/>
    <hyperlink ref="B3677" r:id="rId9811" xr:uid="{00000000-0004-0000-0200-000052260000}"/>
    <hyperlink ref="C3677" r:id="rId9812" xr:uid="{00000000-0004-0000-0200-000053260000}"/>
    <hyperlink ref="A3678" r:id="rId9813" xr:uid="{00000000-0004-0000-0200-000054260000}"/>
    <hyperlink ref="B3678" r:id="rId9814" xr:uid="{00000000-0004-0000-0200-000055260000}"/>
    <hyperlink ref="C3678" r:id="rId9815" xr:uid="{00000000-0004-0000-0200-000056260000}"/>
    <hyperlink ref="A3679" r:id="rId9816" xr:uid="{00000000-0004-0000-0200-000057260000}"/>
    <hyperlink ref="B3679" r:id="rId9817" xr:uid="{00000000-0004-0000-0200-000058260000}"/>
    <hyperlink ref="C3679" r:id="rId9818" xr:uid="{00000000-0004-0000-0200-000059260000}"/>
    <hyperlink ref="A3680" r:id="rId9819" xr:uid="{00000000-0004-0000-0200-00005A260000}"/>
    <hyperlink ref="B3680" r:id="rId9820" xr:uid="{00000000-0004-0000-0200-00005B260000}"/>
    <hyperlink ref="C3680" r:id="rId9821" xr:uid="{00000000-0004-0000-0200-00005C260000}"/>
    <hyperlink ref="A3681" r:id="rId9822" xr:uid="{00000000-0004-0000-0200-00005D260000}"/>
    <hyperlink ref="B3681" r:id="rId9823" xr:uid="{00000000-0004-0000-0200-00005E260000}"/>
    <hyperlink ref="C3681" r:id="rId9824" xr:uid="{00000000-0004-0000-0200-00005F260000}"/>
    <hyperlink ref="A3682" r:id="rId9825" xr:uid="{00000000-0004-0000-0200-000060260000}"/>
    <hyperlink ref="B3682" r:id="rId9826" xr:uid="{00000000-0004-0000-0200-000061260000}"/>
    <hyperlink ref="C3682" r:id="rId9827" xr:uid="{00000000-0004-0000-0200-000062260000}"/>
    <hyperlink ref="A3683" r:id="rId9828" xr:uid="{00000000-0004-0000-0200-000063260000}"/>
    <hyperlink ref="B3683" r:id="rId9829" xr:uid="{00000000-0004-0000-0200-000064260000}"/>
    <hyperlink ref="C3683" r:id="rId9830" xr:uid="{00000000-0004-0000-0200-000065260000}"/>
    <hyperlink ref="A3684" r:id="rId9831" xr:uid="{00000000-0004-0000-0200-000066260000}"/>
    <hyperlink ref="B3684" r:id="rId9832" xr:uid="{00000000-0004-0000-0200-000067260000}"/>
    <hyperlink ref="C3684" r:id="rId9833" xr:uid="{00000000-0004-0000-0200-000068260000}"/>
    <hyperlink ref="A3685" r:id="rId9834" xr:uid="{00000000-0004-0000-0200-000069260000}"/>
    <hyperlink ref="B3685" r:id="rId9835" xr:uid="{00000000-0004-0000-0200-00006A260000}"/>
    <hyperlink ref="C3685" r:id="rId9836" xr:uid="{00000000-0004-0000-0200-00006B260000}"/>
    <hyperlink ref="A3686" r:id="rId9837" xr:uid="{00000000-0004-0000-0200-00006C260000}"/>
    <hyperlink ref="B3686" r:id="rId9838" xr:uid="{00000000-0004-0000-0200-00006D260000}"/>
    <hyperlink ref="C3686" r:id="rId9839" xr:uid="{00000000-0004-0000-0200-00006E260000}"/>
    <hyperlink ref="A3687" r:id="rId9840" xr:uid="{00000000-0004-0000-0200-00006F260000}"/>
    <hyperlink ref="B3687" r:id="rId9841" xr:uid="{00000000-0004-0000-0200-000070260000}"/>
    <hyperlink ref="C3687" r:id="rId9842" xr:uid="{00000000-0004-0000-0200-000071260000}"/>
    <hyperlink ref="A3688" r:id="rId9843" xr:uid="{00000000-0004-0000-0200-000072260000}"/>
    <hyperlink ref="B3688" r:id="rId9844" xr:uid="{00000000-0004-0000-0200-000073260000}"/>
    <hyperlink ref="C3688" r:id="rId9845" xr:uid="{00000000-0004-0000-0200-000074260000}"/>
    <hyperlink ref="A3689" r:id="rId9846" xr:uid="{00000000-0004-0000-0200-000075260000}"/>
    <hyperlink ref="B3689" r:id="rId9847" xr:uid="{00000000-0004-0000-0200-000076260000}"/>
    <hyperlink ref="C3689" r:id="rId9848" xr:uid="{00000000-0004-0000-0200-000077260000}"/>
    <hyperlink ref="A3690" r:id="rId9849" xr:uid="{00000000-0004-0000-0200-000078260000}"/>
    <hyperlink ref="B3690" r:id="rId9850" xr:uid="{00000000-0004-0000-0200-000079260000}"/>
    <hyperlink ref="C3690" r:id="rId9851" xr:uid="{00000000-0004-0000-0200-00007A260000}"/>
    <hyperlink ref="A3691" r:id="rId9852" xr:uid="{00000000-0004-0000-0200-00007B260000}"/>
    <hyperlink ref="B3691" r:id="rId9853" xr:uid="{00000000-0004-0000-0200-00007C260000}"/>
    <hyperlink ref="C3691" r:id="rId9854" xr:uid="{00000000-0004-0000-0200-00007D260000}"/>
    <hyperlink ref="A3692" r:id="rId9855" xr:uid="{00000000-0004-0000-0200-00007E260000}"/>
    <hyperlink ref="B3692" r:id="rId9856" xr:uid="{00000000-0004-0000-0200-00007F260000}"/>
    <hyperlink ref="C3692" r:id="rId9857" xr:uid="{00000000-0004-0000-0200-000080260000}"/>
    <hyperlink ref="A3693" r:id="rId9858" xr:uid="{00000000-0004-0000-0200-000081260000}"/>
    <hyperlink ref="B3693" r:id="rId9859" xr:uid="{00000000-0004-0000-0200-000082260000}"/>
    <hyperlink ref="C3693" r:id="rId9860" xr:uid="{00000000-0004-0000-0200-000083260000}"/>
    <hyperlink ref="A3694" r:id="rId9861" xr:uid="{00000000-0004-0000-0200-000084260000}"/>
    <hyperlink ref="B3694" r:id="rId9862" xr:uid="{00000000-0004-0000-0200-000085260000}"/>
    <hyperlink ref="C3694" r:id="rId9863" xr:uid="{00000000-0004-0000-0200-000086260000}"/>
    <hyperlink ref="A3695" r:id="rId9864" xr:uid="{00000000-0004-0000-0200-000087260000}"/>
    <hyperlink ref="B3695" r:id="rId9865" xr:uid="{00000000-0004-0000-0200-000088260000}"/>
    <hyperlink ref="C3695" r:id="rId9866" xr:uid="{00000000-0004-0000-0200-000089260000}"/>
    <hyperlink ref="A3696" r:id="rId9867" xr:uid="{00000000-0004-0000-0200-00008A260000}"/>
    <hyperlink ref="B3696" r:id="rId9868" xr:uid="{00000000-0004-0000-0200-00008B260000}"/>
    <hyperlink ref="C3696" r:id="rId9869" xr:uid="{00000000-0004-0000-0200-00008C260000}"/>
    <hyperlink ref="A3697" r:id="rId9870" xr:uid="{00000000-0004-0000-0200-00008D260000}"/>
    <hyperlink ref="B3697" r:id="rId9871" xr:uid="{00000000-0004-0000-0200-00008E260000}"/>
    <hyperlink ref="C3697" r:id="rId9872" xr:uid="{00000000-0004-0000-0200-00008F260000}"/>
    <hyperlink ref="A3698" r:id="rId9873" xr:uid="{00000000-0004-0000-0200-000090260000}"/>
    <hyperlink ref="B3698" r:id="rId9874" xr:uid="{00000000-0004-0000-0200-000091260000}"/>
    <hyperlink ref="C3698" r:id="rId9875" xr:uid="{00000000-0004-0000-0200-000092260000}"/>
    <hyperlink ref="A3699" r:id="rId9876" xr:uid="{00000000-0004-0000-0200-000093260000}"/>
    <hyperlink ref="B3699" r:id="rId9877" xr:uid="{00000000-0004-0000-0200-000094260000}"/>
    <hyperlink ref="C3699" r:id="rId9878" xr:uid="{00000000-0004-0000-0200-000095260000}"/>
    <hyperlink ref="A3700" r:id="rId9879" xr:uid="{00000000-0004-0000-0200-000096260000}"/>
    <hyperlink ref="B3700" r:id="rId9880" xr:uid="{00000000-0004-0000-0200-000097260000}"/>
    <hyperlink ref="C3700" r:id="rId9881" xr:uid="{00000000-0004-0000-0200-000098260000}"/>
    <hyperlink ref="A3701" r:id="rId9882" xr:uid="{00000000-0004-0000-0200-000099260000}"/>
    <hyperlink ref="B3701" r:id="rId9883" xr:uid="{00000000-0004-0000-0200-00009A260000}"/>
    <hyperlink ref="C3701" r:id="rId9884" xr:uid="{00000000-0004-0000-0200-00009B260000}"/>
    <hyperlink ref="A3702" r:id="rId9885" xr:uid="{00000000-0004-0000-0200-00009C260000}"/>
    <hyperlink ref="B3702" r:id="rId9886" xr:uid="{00000000-0004-0000-0200-00009D260000}"/>
    <hyperlink ref="C3702" r:id="rId9887" xr:uid="{00000000-0004-0000-0200-00009E260000}"/>
    <hyperlink ref="A3703" r:id="rId9888" xr:uid="{00000000-0004-0000-0200-00009F260000}"/>
    <hyperlink ref="B3703" r:id="rId9889" xr:uid="{00000000-0004-0000-0200-0000A0260000}"/>
    <hyperlink ref="C3703" r:id="rId9890" xr:uid="{00000000-0004-0000-0200-0000A1260000}"/>
    <hyperlink ref="A3704" r:id="rId9891" xr:uid="{00000000-0004-0000-0200-0000A2260000}"/>
    <hyperlink ref="B3704" r:id="rId9892" xr:uid="{00000000-0004-0000-0200-0000A3260000}"/>
    <hyperlink ref="C3704" r:id="rId9893" xr:uid="{00000000-0004-0000-0200-0000A4260000}"/>
    <hyperlink ref="A3705" r:id="rId9894" xr:uid="{00000000-0004-0000-0200-0000A5260000}"/>
    <hyperlink ref="B3705" r:id="rId9895" xr:uid="{00000000-0004-0000-0200-0000A6260000}"/>
    <hyperlink ref="C3705" r:id="rId9896" xr:uid="{00000000-0004-0000-0200-0000A7260000}"/>
    <hyperlink ref="A3706" r:id="rId9897" xr:uid="{00000000-0004-0000-0200-0000A8260000}"/>
    <hyperlink ref="B3706" r:id="rId9898" xr:uid="{00000000-0004-0000-0200-0000A9260000}"/>
    <hyperlink ref="C3706" r:id="rId9899" xr:uid="{00000000-0004-0000-0200-0000AA260000}"/>
    <hyperlink ref="A3707" r:id="rId9900" xr:uid="{00000000-0004-0000-0200-0000AB260000}"/>
    <hyperlink ref="B3707" r:id="rId9901" xr:uid="{00000000-0004-0000-0200-0000AC260000}"/>
    <hyperlink ref="C3707" r:id="rId9902" xr:uid="{00000000-0004-0000-0200-0000AD260000}"/>
    <hyperlink ref="A3708" r:id="rId9903" xr:uid="{00000000-0004-0000-0200-0000AE260000}"/>
    <hyperlink ref="B3708" r:id="rId9904" xr:uid="{00000000-0004-0000-0200-0000AF260000}"/>
    <hyperlink ref="C3708" r:id="rId9905" xr:uid="{00000000-0004-0000-0200-0000B0260000}"/>
    <hyperlink ref="A3709" r:id="rId9906" xr:uid="{00000000-0004-0000-0200-0000B1260000}"/>
    <hyperlink ref="B3709" r:id="rId9907" xr:uid="{00000000-0004-0000-0200-0000B2260000}"/>
    <hyperlink ref="C3709" r:id="rId9908" xr:uid="{00000000-0004-0000-0200-0000B3260000}"/>
    <hyperlink ref="A3710" r:id="rId9909" xr:uid="{00000000-0004-0000-0200-0000B4260000}"/>
    <hyperlink ref="B3710" r:id="rId9910" xr:uid="{00000000-0004-0000-0200-0000B5260000}"/>
    <hyperlink ref="C3710" r:id="rId9911" xr:uid="{00000000-0004-0000-0200-0000B6260000}"/>
    <hyperlink ref="A3711" r:id="rId9912" xr:uid="{00000000-0004-0000-0200-0000B7260000}"/>
    <hyperlink ref="B3711" r:id="rId9913" xr:uid="{00000000-0004-0000-0200-0000B8260000}"/>
    <hyperlink ref="C3711" r:id="rId9914" xr:uid="{00000000-0004-0000-0200-0000B9260000}"/>
    <hyperlink ref="A3712" r:id="rId9915" xr:uid="{00000000-0004-0000-0200-0000BA260000}"/>
    <hyperlink ref="B3712" r:id="rId9916" xr:uid="{00000000-0004-0000-0200-0000BB260000}"/>
    <hyperlink ref="C3712" r:id="rId9917" xr:uid="{00000000-0004-0000-0200-0000BC260000}"/>
    <hyperlink ref="A3713" r:id="rId9918" xr:uid="{00000000-0004-0000-0200-0000BD260000}"/>
    <hyperlink ref="B3713" r:id="rId9919" xr:uid="{00000000-0004-0000-0200-0000BE260000}"/>
    <hyperlink ref="C3713" r:id="rId9920" xr:uid="{00000000-0004-0000-0200-0000BF260000}"/>
    <hyperlink ref="A3714" r:id="rId9921" xr:uid="{00000000-0004-0000-0200-0000C0260000}"/>
    <hyperlink ref="B3714" r:id="rId9922" xr:uid="{00000000-0004-0000-0200-0000C1260000}"/>
    <hyperlink ref="C3714" r:id="rId9923" xr:uid="{00000000-0004-0000-0200-0000C2260000}"/>
    <hyperlink ref="A3715" r:id="rId9924" xr:uid="{00000000-0004-0000-0200-0000C3260000}"/>
    <hyperlink ref="B3715" r:id="rId9925" xr:uid="{00000000-0004-0000-0200-0000C4260000}"/>
    <hyperlink ref="C3715" r:id="rId9926" xr:uid="{00000000-0004-0000-0200-0000C5260000}"/>
    <hyperlink ref="A3716" r:id="rId9927" xr:uid="{00000000-0004-0000-0200-0000C6260000}"/>
    <hyperlink ref="B3716" r:id="rId9928" xr:uid="{00000000-0004-0000-0200-0000C7260000}"/>
    <hyperlink ref="C3716" r:id="rId9929" xr:uid="{00000000-0004-0000-0200-0000C8260000}"/>
    <hyperlink ref="A3717" r:id="rId9930" xr:uid="{00000000-0004-0000-0200-0000C9260000}"/>
    <hyperlink ref="B3717" r:id="rId9931" xr:uid="{00000000-0004-0000-0200-0000CA260000}"/>
    <hyperlink ref="C3717" r:id="rId9932" xr:uid="{00000000-0004-0000-0200-0000CB260000}"/>
    <hyperlink ref="A3718" r:id="rId9933" xr:uid="{00000000-0004-0000-0200-0000CC260000}"/>
    <hyperlink ref="B3718" r:id="rId9934" xr:uid="{00000000-0004-0000-0200-0000CD260000}"/>
    <hyperlink ref="C3718" r:id="rId9935" xr:uid="{00000000-0004-0000-0200-0000CE260000}"/>
    <hyperlink ref="A3719" r:id="rId9936" xr:uid="{00000000-0004-0000-0200-0000CF260000}"/>
    <hyperlink ref="B3719" r:id="rId9937" xr:uid="{00000000-0004-0000-0200-0000D0260000}"/>
    <hyperlink ref="C3719" r:id="rId9938" xr:uid="{00000000-0004-0000-0200-0000D1260000}"/>
    <hyperlink ref="A3720" r:id="rId9939" xr:uid="{00000000-0004-0000-0200-0000D2260000}"/>
    <hyperlink ref="B3720" r:id="rId9940" xr:uid="{00000000-0004-0000-0200-0000D3260000}"/>
    <hyperlink ref="C3720" r:id="rId9941" xr:uid="{00000000-0004-0000-0200-0000D4260000}"/>
    <hyperlink ref="A3721" r:id="rId9942" xr:uid="{00000000-0004-0000-0200-0000D5260000}"/>
    <hyperlink ref="B3721" r:id="rId9943" xr:uid="{00000000-0004-0000-0200-0000D6260000}"/>
    <hyperlink ref="C3721" r:id="rId9944" xr:uid="{00000000-0004-0000-0200-0000D7260000}"/>
    <hyperlink ref="A3722" r:id="rId9945" xr:uid="{00000000-0004-0000-0200-0000D8260000}"/>
    <hyperlink ref="B3722" r:id="rId9946" xr:uid="{00000000-0004-0000-0200-0000D9260000}"/>
    <hyperlink ref="C3722" r:id="rId9947" xr:uid="{00000000-0004-0000-0200-0000DA260000}"/>
    <hyperlink ref="A3723" r:id="rId9948" xr:uid="{00000000-0004-0000-0200-0000DB260000}"/>
    <hyperlink ref="B3723" r:id="rId9949" xr:uid="{00000000-0004-0000-0200-0000DC260000}"/>
    <hyperlink ref="C3723" r:id="rId9950" xr:uid="{00000000-0004-0000-0200-0000DD260000}"/>
    <hyperlink ref="A3724" r:id="rId9951" xr:uid="{00000000-0004-0000-0200-0000DE260000}"/>
    <hyperlink ref="B3724" r:id="rId9952" xr:uid="{00000000-0004-0000-0200-0000DF260000}"/>
    <hyperlink ref="C3724" r:id="rId9953" xr:uid="{00000000-0004-0000-0200-0000E0260000}"/>
    <hyperlink ref="A3725" r:id="rId9954" xr:uid="{00000000-0004-0000-0200-0000E1260000}"/>
    <hyperlink ref="B3725" r:id="rId9955" xr:uid="{00000000-0004-0000-0200-0000E2260000}"/>
    <hyperlink ref="C3725" r:id="rId9956" xr:uid="{00000000-0004-0000-0200-0000E3260000}"/>
    <hyperlink ref="A3726" r:id="rId9957" xr:uid="{00000000-0004-0000-0200-0000E4260000}"/>
    <hyperlink ref="B3726" r:id="rId9958" xr:uid="{00000000-0004-0000-0200-0000E5260000}"/>
    <hyperlink ref="C3726" r:id="rId9959" xr:uid="{00000000-0004-0000-0200-0000E6260000}"/>
    <hyperlink ref="A3727" r:id="rId9960" xr:uid="{00000000-0004-0000-0200-0000E7260000}"/>
    <hyperlink ref="B3727" r:id="rId9961" xr:uid="{00000000-0004-0000-0200-0000E8260000}"/>
    <hyperlink ref="C3727" r:id="rId9962" xr:uid="{00000000-0004-0000-0200-0000E9260000}"/>
    <hyperlink ref="A3728" r:id="rId9963" xr:uid="{00000000-0004-0000-0200-0000EA260000}"/>
    <hyperlink ref="B3728" r:id="rId9964" xr:uid="{00000000-0004-0000-0200-0000EB260000}"/>
    <hyperlink ref="C3728" r:id="rId9965" xr:uid="{00000000-0004-0000-0200-0000EC260000}"/>
    <hyperlink ref="A3729" r:id="rId9966" xr:uid="{00000000-0004-0000-0200-0000ED260000}"/>
    <hyperlink ref="B3729" r:id="rId9967" xr:uid="{00000000-0004-0000-0200-0000EE260000}"/>
    <hyperlink ref="C3729" r:id="rId9968" xr:uid="{00000000-0004-0000-0200-0000EF260000}"/>
    <hyperlink ref="A3730" r:id="rId9969" xr:uid="{00000000-0004-0000-0200-0000F0260000}"/>
    <hyperlink ref="B3730" r:id="rId9970" xr:uid="{00000000-0004-0000-0200-0000F1260000}"/>
    <hyperlink ref="C3730" r:id="rId9971" xr:uid="{00000000-0004-0000-0200-0000F2260000}"/>
    <hyperlink ref="A3731" r:id="rId9972" xr:uid="{00000000-0004-0000-0200-0000F3260000}"/>
    <hyperlink ref="B3731" r:id="rId9973" xr:uid="{00000000-0004-0000-0200-0000F4260000}"/>
    <hyperlink ref="C3731" r:id="rId9974" xr:uid="{00000000-0004-0000-0200-0000F5260000}"/>
    <hyperlink ref="A3732" r:id="rId9975" xr:uid="{00000000-0004-0000-0200-0000F6260000}"/>
    <hyperlink ref="B3732" r:id="rId9976" xr:uid="{00000000-0004-0000-0200-0000F7260000}"/>
    <hyperlink ref="C3732" r:id="rId9977" xr:uid="{00000000-0004-0000-0200-0000F8260000}"/>
    <hyperlink ref="A3733" r:id="rId9978" xr:uid="{00000000-0004-0000-0200-0000F9260000}"/>
    <hyperlink ref="B3733" r:id="rId9979" xr:uid="{00000000-0004-0000-0200-0000FA260000}"/>
    <hyperlink ref="C3733" r:id="rId9980" xr:uid="{00000000-0004-0000-0200-0000FB260000}"/>
    <hyperlink ref="A3734" r:id="rId9981" xr:uid="{00000000-0004-0000-0200-0000FC260000}"/>
    <hyperlink ref="B3734" r:id="rId9982" xr:uid="{00000000-0004-0000-0200-0000FD260000}"/>
    <hyperlink ref="C3734" r:id="rId9983" xr:uid="{00000000-0004-0000-0200-0000FE260000}"/>
    <hyperlink ref="A3735" r:id="rId9984" xr:uid="{00000000-0004-0000-0200-0000FF260000}"/>
    <hyperlink ref="B3735" r:id="rId9985" xr:uid="{00000000-0004-0000-0200-000000270000}"/>
    <hyperlink ref="C3735" r:id="rId9986" xr:uid="{00000000-0004-0000-0200-000001270000}"/>
    <hyperlink ref="A3736" r:id="rId9987" xr:uid="{00000000-0004-0000-0200-000002270000}"/>
    <hyperlink ref="B3736" r:id="rId9988" xr:uid="{00000000-0004-0000-0200-000003270000}"/>
    <hyperlink ref="C3736" r:id="rId9989" xr:uid="{00000000-0004-0000-0200-000004270000}"/>
    <hyperlink ref="A3737" r:id="rId9990" xr:uid="{00000000-0004-0000-0200-000005270000}"/>
    <hyperlink ref="B3737" r:id="rId9991" xr:uid="{00000000-0004-0000-0200-000006270000}"/>
    <hyperlink ref="C3737" r:id="rId9992" xr:uid="{00000000-0004-0000-0200-000007270000}"/>
    <hyperlink ref="A3738" r:id="rId9993" xr:uid="{00000000-0004-0000-0200-000008270000}"/>
    <hyperlink ref="B3738" r:id="rId9994" xr:uid="{00000000-0004-0000-0200-000009270000}"/>
    <hyperlink ref="C3738" r:id="rId9995" xr:uid="{00000000-0004-0000-0200-00000A270000}"/>
    <hyperlink ref="A3739" r:id="rId9996" xr:uid="{00000000-0004-0000-0200-00000B270000}"/>
    <hyperlink ref="B3739" r:id="rId9997" xr:uid="{00000000-0004-0000-0200-00000C270000}"/>
    <hyperlink ref="C3739" r:id="rId9998" xr:uid="{00000000-0004-0000-0200-00000D270000}"/>
    <hyperlink ref="A3740" r:id="rId9999" xr:uid="{00000000-0004-0000-0200-00000E270000}"/>
    <hyperlink ref="B3740" r:id="rId10000" xr:uid="{00000000-0004-0000-0200-00000F270000}"/>
    <hyperlink ref="C3740" r:id="rId10001" xr:uid="{00000000-0004-0000-0200-000010270000}"/>
    <hyperlink ref="A3741" r:id="rId10002" xr:uid="{00000000-0004-0000-0200-000011270000}"/>
    <hyperlink ref="B3741" r:id="rId10003" xr:uid="{00000000-0004-0000-0200-000012270000}"/>
    <hyperlink ref="C3741" r:id="rId10004" xr:uid="{00000000-0004-0000-0200-000013270000}"/>
    <hyperlink ref="A3742" r:id="rId10005" xr:uid="{00000000-0004-0000-0200-000014270000}"/>
    <hyperlink ref="B3742" r:id="rId10006" xr:uid="{00000000-0004-0000-0200-000015270000}"/>
    <hyperlink ref="C3742" r:id="rId10007" xr:uid="{00000000-0004-0000-0200-000016270000}"/>
    <hyperlink ref="A3743" r:id="rId10008" xr:uid="{00000000-0004-0000-0200-000017270000}"/>
    <hyperlink ref="B3743" r:id="rId10009" xr:uid="{00000000-0004-0000-0200-000018270000}"/>
    <hyperlink ref="C3743" r:id="rId10010" xr:uid="{00000000-0004-0000-0200-000019270000}"/>
    <hyperlink ref="A3744" r:id="rId10011" xr:uid="{00000000-0004-0000-0200-00001A270000}"/>
    <hyperlink ref="B3744" r:id="rId10012" xr:uid="{00000000-0004-0000-0200-00001B270000}"/>
    <hyperlink ref="C3744" r:id="rId10013" xr:uid="{00000000-0004-0000-0200-00001C270000}"/>
    <hyperlink ref="A3745" r:id="rId10014" xr:uid="{00000000-0004-0000-0200-00001D270000}"/>
    <hyperlink ref="B3745" r:id="rId10015" xr:uid="{00000000-0004-0000-0200-00001E270000}"/>
    <hyperlink ref="C3745" r:id="rId10016" xr:uid="{00000000-0004-0000-0200-00001F270000}"/>
    <hyperlink ref="A3746" r:id="rId10017" xr:uid="{00000000-0004-0000-0200-000020270000}"/>
    <hyperlink ref="B3746" r:id="rId10018" xr:uid="{00000000-0004-0000-0200-000021270000}"/>
    <hyperlink ref="C3746" r:id="rId10019" xr:uid="{00000000-0004-0000-0200-000022270000}"/>
    <hyperlink ref="A3747" r:id="rId10020" xr:uid="{00000000-0004-0000-0200-000023270000}"/>
    <hyperlink ref="B3747" r:id="rId10021" xr:uid="{00000000-0004-0000-0200-000024270000}"/>
    <hyperlink ref="C3747" r:id="rId10022" xr:uid="{00000000-0004-0000-0200-000025270000}"/>
    <hyperlink ref="A3748" r:id="rId10023" xr:uid="{00000000-0004-0000-0200-000026270000}"/>
    <hyperlink ref="B3748" r:id="rId10024" xr:uid="{00000000-0004-0000-0200-000027270000}"/>
    <hyperlink ref="C3748" r:id="rId10025" xr:uid="{00000000-0004-0000-0200-000028270000}"/>
    <hyperlink ref="A3749" r:id="rId10026" xr:uid="{00000000-0004-0000-0200-000029270000}"/>
    <hyperlink ref="B3749" r:id="rId10027" xr:uid="{00000000-0004-0000-0200-00002A270000}"/>
    <hyperlink ref="C3749" r:id="rId10028" xr:uid="{00000000-0004-0000-0200-00002B270000}"/>
    <hyperlink ref="A3750" r:id="rId10029" xr:uid="{00000000-0004-0000-0200-00002C270000}"/>
    <hyperlink ref="B3750" r:id="rId10030" xr:uid="{00000000-0004-0000-0200-00002D270000}"/>
    <hyperlink ref="C3750" r:id="rId10031" xr:uid="{00000000-0004-0000-0200-00002E270000}"/>
    <hyperlink ref="A3751" r:id="rId10032" xr:uid="{00000000-0004-0000-0200-00002F270000}"/>
    <hyperlink ref="B3751" r:id="rId10033" xr:uid="{00000000-0004-0000-0200-000030270000}"/>
    <hyperlink ref="C3751" r:id="rId10034" xr:uid="{00000000-0004-0000-0200-000031270000}"/>
    <hyperlink ref="A3752" r:id="rId10035" xr:uid="{00000000-0004-0000-0200-000032270000}"/>
    <hyperlink ref="B3752" r:id="rId10036" xr:uid="{00000000-0004-0000-0200-000033270000}"/>
    <hyperlink ref="C3752" r:id="rId10037" xr:uid="{00000000-0004-0000-0200-000034270000}"/>
    <hyperlink ref="A3753" r:id="rId10038" xr:uid="{00000000-0004-0000-0200-000035270000}"/>
    <hyperlink ref="B3753" r:id="rId10039" xr:uid="{00000000-0004-0000-0200-000036270000}"/>
    <hyperlink ref="C3753" r:id="rId10040" xr:uid="{00000000-0004-0000-0200-000037270000}"/>
    <hyperlink ref="A3754" r:id="rId10041" xr:uid="{00000000-0004-0000-0200-000038270000}"/>
    <hyperlink ref="B3754" r:id="rId10042" xr:uid="{00000000-0004-0000-0200-000039270000}"/>
    <hyperlink ref="C3754" r:id="rId10043" xr:uid="{00000000-0004-0000-0200-00003A270000}"/>
    <hyperlink ref="A3755" r:id="rId10044" xr:uid="{00000000-0004-0000-0200-00003B270000}"/>
    <hyperlink ref="B3755" r:id="rId10045" xr:uid="{00000000-0004-0000-0200-00003C270000}"/>
    <hyperlink ref="C3755" r:id="rId10046" xr:uid="{00000000-0004-0000-0200-00003D270000}"/>
    <hyperlink ref="A3756" r:id="rId10047" xr:uid="{00000000-0004-0000-0200-00003E270000}"/>
    <hyperlink ref="B3756" r:id="rId10048" xr:uid="{00000000-0004-0000-0200-00003F270000}"/>
    <hyperlink ref="C3756" r:id="rId10049" xr:uid="{00000000-0004-0000-0200-000040270000}"/>
    <hyperlink ref="A3757" r:id="rId10050" xr:uid="{00000000-0004-0000-0200-000041270000}"/>
    <hyperlink ref="B3757" r:id="rId10051" xr:uid="{00000000-0004-0000-0200-000042270000}"/>
    <hyperlink ref="C3757" r:id="rId10052" xr:uid="{00000000-0004-0000-0200-000043270000}"/>
    <hyperlink ref="A3758" r:id="rId10053" xr:uid="{00000000-0004-0000-0200-000044270000}"/>
    <hyperlink ref="B3758" r:id="rId10054" xr:uid="{00000000-0004-0000-0200-000045270000}"/>
    <hyperlink ref="C3758" r:id="rId10055" xr:uid="{00000000-0004-0000-0200-000046270000}"/>
    <hyperlink ref="A3759" r:id="rId10056" xr:uid="{00000000-0004-0000-0200-000047270000}"/>
    <hyperlink ref="B3759" r:id="rId10057" xr:uid="{00000000-0004-0000-0200-000048270000}"/>
    <hyperlink ref="C3759" r:id="rId10058" xr:uid="{00000000-0004-0000-0200-000049270000}"/>
    <hyperlink ref="A3760" r:id="rId10059" xr:uid="{00000000-0004-0000-0200-00004A270000}"/>
    <hyperlink ref="B3760" r:id="rId10060" xr:uid="{00000000-0004-0000-0200-00004B270000}"/>
    <hyperlink ref="C3760" r:id="rId10061" xr:uid="{00000000-0004-0000-0200-00004C270000}"/>
    <hyperlink ref="A3761" r:id="rId10062" xr:uid="{00000000-0004-0000-0200-00004D270000}"/>
    <hyperlink ref="B3761" r:id="rId10063" xr:uid="{00000000-0004-0000-0200-00004E270000}"/>
    <hyperlink ref="C3761" r:id="rId10064" xr:uid="{00000000-0004-0000-0200-00004F270000}"/>
    <hyperlink ref="A3762" r:id="rId10065" xr:uid="{00000000-0004-0000-0200-000050270000}"/>
    <hyperlink ref="B3762" r:id="rId10066" xr:uid="{00000000-0004-0000-0200-000051270000}"/>
    <hyperlink ref="C3762" r:id="rId10067" xr:uid="{00000000-0004-0000-0200-000052270000}"/>
    <hyperlink ref="A3763" r:id="rId10068" xr:uid="{00000000-0004-0000-0200-000053270000}"/>
    <hyperlink ref="B3763" r:id="rId10069" xr:uid="{00000000-0004-0000-0200-000054270000}"/>
    <hyperlink ref="C3763" r:id="rId10070" xr:uid="{00000000-0004-0000-0200-000055270000}"/>
    <hyperlink ref="A3764" r:id="rId10071" xr:uid="{00000000-0004-0000-0200-000056270000}"/>
    <hyperlink ref="B3764" r:id="rId10072" xr:uid="{00000000-0004-0000-0200-000057270000}"/>
    <hyperlink ref="C3764" r:id="rId10073" xr:uid="{00000000-0004-0000-0200-000058270000}"/>
    <hyperlink ref="A3765" r:id="rId10074" xr:uid="{00000000-0004-0000-0200-000059270000}"/>
    <hyperlink ref="B3765" r:id="rId10075" xr:uid="{00000000-0004-0000-0200-00005A270000}"/>
    <hyperlink ref="C3765" r:id="rId10076" xr:uid="{00000000-0004-0000-0200-00005B270000}"/>
    <hyperlink ref="A3766" r:id="rId10077" xr:uid="{00000000-0004-0000-0200-00005C270000}"/>
    <hyperlink ref="B3766" r:id="rId10078" xr:uid="{00000000-0004-0000-0200-00005D270000}"/>
    <hyperlink ref="C3766" r:id="rId10079" xr:uid="{00000000-0004-0000-0200-00005E270000}"/>
    <hyperlink ref="A3767" r:id="rId10080" xr:uid="{00000000-0004-0000-0200-00005F270000}"/>
    <hyperlink ref="B3767" r:id="rId10081" xr:uid="{00000000-0004-0000-0200-000060270000}"/>
    <hyperlink ref="C3767" r:id="rId10082" xr:uid="{00000000-0004-0000-0200-000061270000}"/>
    <hyperlink ref="A3768" r:id="rId10083" xr:uid="{00000000-0004-0000-0200-000062270000}"/>
    <hyperlink ref="B3768" r:id="rId10084" xr:uid="{00000000-0004-0000-0200-000063270000}"/>
    <hyperlink ref="C3768" r:id="rId10085" xr:uid="{00000000-0004-0000-0200-000064270000}"/>
    <hyperlink ref="A3769" r:id="rId10086" xr:uid="{00000000-0004-0000-0200-000065270000}"/>
    <hyperlink ref="B3769" r:id="rId10087" xr:uid="{00000000-0004-0000-0200-000066270000}"/>
    <hyperlink ref="C3769" r:id="rId10088" xr:uid="{00000000-0004-0000-0200-000067270000}"/>
    <hyperlink ref="A3770" r:id="rId10089" xr:uid="{00000000-0004-0000-0200-000068270000}"/>
    <hyperlink ref="B3770" r:id="rId10090" xr:uid="{00000000-0004-0000-0200-000069270000}"/>
    <hyperlink ref="C3770" r:id="rId10091" xr:uid="{00000000-0004-0000-0200-00006A270000}"/>
    <hyperlink ref="A3771" r:id="rId10092" xr:uid="{00000000-0004-0000-0200-00006B270000}"/>
    <hyperlink ref="B3771" r:id="rId10093" xr:uid="{00000000-0004-0000-0200-00006C270000}"/>
    <hyperlink ref="C3771" r:id="rId10094" xr:uid="{00000000-0004-0000-0200-00006D270000}"/>
    <hyperlink ref="A3772" r:id="rId10095" xr:uid="{00000000-0004-0000-0200-00006E270000}"/>
    <hyperlink ref="B3772" r:id="rId10096" xr:uid="{00000000-0004-0000-0200-00006F270000}"/>
    <hyperlink ref="C3772" r:id="rId10097" xr:uid="{00000000-0004-0000-0200-000070270000}"/>
    <hyperlink ref="A3773" r:id="rId10098" xr:uid="{00000000-0004-0000-0200-000071270000}"/>
    <hyperlink ref="B3773" r:id="rId10099" xr:uid="{00000000-0004-0000-0200-000072270000}"/>
    <hyperlink ref="C3773" r:id="rId10100" xr:uid="{00000000-0004-0000-0200-000073270000}"/>
    <hyperlink ref="A3774" r:id="rId10101" xr:uid="{00000000-0004-0000-0200-000074270000}"/>
    <hyperlink ref="B3774" r:id="rId10102" xr:uid="{00000000-0004-0000-0200-000075270000}"/>
    <hyperlink ref="C3774" r:id="rId10103" xr:uid="{00000000-0004-0000-0200-000076270000}"/>
    <hyperlink ref="A3775" r:id="rId10104" xr:uid="{00000000-0004-0000-0200-000077270000}"/>
    <hyperlink ref="B3775" r:id="rId10105" xr:uid="{00000000-0004-0000-0200-000078270000}"/>
    <hyperlink ref="C3775" r:id="rId10106" xr:uid="{00000000-0004-0000-0200-000079270000}"/>
    <hyperlink ref="A3776" r:id="rId10107" xr:uid="{00000000-0004-0000-0200-00007A270000}"/>
    <hyperlink ref="B3776" r:id="rId10108" xr:uid="{00000000-0004-0000-0200-00007B270000}"/>
    <hyperlink ref="C3776" r:id="rId10109" xr:uid="{00000000-0004-0000-0200-00007C270000}"/>
    <hyperlink ref="A3777" r:id="rId10110" xr:uid="{00000000-0004-0000-0200-00007D270000}"/>
    <hyperlink ref="B3777" r:id="rId10111" xr:uid="{00000000-0004-0000-0200-00007E270000}"/>
    <hyperlink ref="C3777" r:id="rId10112" xr:uid="{00000000-0004-0000-0200-00007F270000}"/>
    <hyperlink ref="A3778" r:id="rId10113" xr:uid="{00000000-0004-0000-0200-000080270000}"/>
    <hyperlink ref="B3778" r:id="rId10114" xr:uid="{00000000-0004-0000-0200-000081270000}"/>
    <hyperlink ref="C3778" r:id="rId10115" xr:uid="{00000000-0004-0000-0200-000082270000}"/>
    <hyperlink ref="A3779" r:id="rId10116" xr:uid="{00000000-0004-0000-0200-000083270000}"/>
    <hyperlink ref="B3779" r:id="rId10117" xr:uid="{00000000-0004-0000-0200-000084270000}"/>
    <hyperlink ref="C3779" r:id="rId10118" xr:uid="{00000000-0004-0000-0200-000085270000}"/>
    <hyperlink ref="A3780" r:id="rId10119" xr:uid="{00000000-0004-0000-0200-000086270000}"/>
    <hyperlink ref="B3780" r:id="rId10120" xr:uid="{00000000-0004-0000-0200-000087270000}"/>
    <hyperlink ref="C3780" r:id="rId10121" xr:uid="{00000000-0004-0000-0200-000088270000}"/>
    <hyperlink ref="A3781" r:id="rId10122" xr:uid="{00000000-0004-0000-0200-000089270000}"/>
    <hyperlink ref="B3781" r:id="rId10123" xr:uid="{00000000-0004-0000-0200-00008A270000}"/>
    <hyperlink ref="C3781" r:id="rId10124" xr:uid="{00000000-0004-0000-0200-00008B270000}"/>
    <hyperlink ref="A3782" r:id="rId10125" xr:uid="{00000000-0004-0000-0200-00008C270000}"/>
    <hyperlink ref="B3782" r:id="rId10126" xr:uid="{00000000-0004-0000-0200-00008D270000}"/>
    <hyperlink ref="C3782" r:id="rId10127" xr:uid="{00000000-0004-0000-0200-00008E270000}"/>
    <hyperlink ref="A3783" r:id="rId10128" xr:uid="{00000000-0004-0000-0200-00008F270000}"/>
    <hyperlink ref="B3783" r:id="rId10129" xr:uid="{00000000-0004-0000-0200-000090270000}"/>
    <hyperlink ref="C3783" r:id="rId10130" xr:uid="{00000000-0004-0000-0200-000091270000}"/>
    <hyperlink ref="A3784" r:id="rId10131" xr:uid="{00000000-0004-0000-0200-000092270000}"/>
    <hyperlink ref="B3784" r:id="rId10132" xr:uid="{00000000-0004-0000-0200-000093270000}"/>
    <hyperlink ref="C3784" r:id="rId10133" xr:uid="{00000000-0004-0000-0200-000094270000}"/>
    <hyperlink ref="A3785" r:id="rId10134" xr:uid="{00000000-0004-0000-0200-000095270000}"/>
    <hyperlink ref="B3785" r:id="rId10135" xr:uid="{00000000-0004-0000-0200-000096270000}"/>
    <hyperlink ref="C3785" r:id="rId10136" xr:uid="{00000000-0004-0000-0200-000097270000}"/>
    <hyperlink ref="A3786" r:id="rId10137" xr:uid="{00000000-0004-0000-0200-000098270000}"/>
    <hyperlink ref="B3786" r:id="rId10138" xr:uid="{00000000-0004-0000-0200-000099270000}"/>
    <hyperlink ref="C3786" r:id="rId10139" xr:uid="{00000000-0004-0000-0200-00009A270000}"/>
    <hyperlink ref="A3787" r:id="rId10140" xr:uid="{00000000-0004-0000-0200-00009B270000}"/>
    <hyperlink ref="B3787" r:id="rId10141" xr:uid="{00000000-0004-0000-0200-00009C270000}"/>
    <hyperlink ref="C3787" r:id="rId10142" xr:uid="{00000000-0004-0000-0200-00009D270000}"/>
    <hyperlink ref="A3788" r:id="rId10143" xr:uid="{00000000-0004-0000-0200-00009E270000}"/>
    <hyperlink ref="B3788" r:id="rId10144" xr:uid="{00000000-0004-0000-0200-00009F270000}"/>
    <hyperlink ref="C3788" r:id="rId10145" xr:uid="{00000000-0004-0000-0200-0000A0270000}"/>
    <hyperlink ref="A3789" r:id="rId10146" xr:uid="{00000000-0004-0000-0200-0000A1270000}"/>
    <hyperlink ref="B3789" r:id="rId10147" xr:uid="{00000000-0004-0000-0200-0000A2270000}"/>
    <hyperlink ref="C3789" r:id="rId10148" xr:uid="{00000000-0004-0000-0200-0000A3270000}"/>
    <hyperlink ref="A3790" r:id="rId10149" xr:uid="{00000000-0004-0000-0200-0000A4270000}"/>
    <hyperlink ref="B3790" r:id="rId10150" xr:uid="{00000000-0004-0000-0200-0000A5270000}"/>
    <hyperlink ref="C3790" r:id="rId10151" xr:uid="{00000000-0004-0000-0200-0000A6270000}"/>
    <hyperlink ref="A3791" r:id="rId10152" xr:uid="{00000000-0004-0000-0200-0000A7270000}"/>
    <hyperlink ref="B3791" r:id="rId10153" xr:uid="{00000000-0004-0000-0200-0000A8270000}"/>
    <hyperlink ref="C3791" r:id="rId10154" xr:uid="{00000000-0004-0000-0200-0000A9270000}"/>
    <hyperlink ref="A3792" r:id="rId10155" xr:uid="{00000000-0004-0000-0200-0000AA270000}"/>
    <hyperlink ref="B3792" r:id="rId10156" xr:uid="{00000000-0004-0000-0200-0000AB270000}"/>
    <hyperlink ref="C3792" r:id="rId10157" xr:uid="{00000000-0004-0000-0200-0000AC270000}"/>
    <hyperlink ref="A3793" r:id="rId10158" xr:uid="{00000000-0004-0000-0200-0000AD270000}"/>
    <hyperlink ref="B3793" r:id="rId10159" xr:uid="{00000000-0004-0000-0200-0000AE270000}"/>
    <hyperlink ref="C3793" r:id="rId10160" xr:uid="{00000000-0004-0000-0200-0000AF270000}"/>
    <hyperlink ref="A3794" r:id="rId10161" xr:uid="{00000000-0004-0000-0200-0000B0270000}"/>
    <hyperlink ref="B3794" r:id="rId10162" xr:uid="{00000000-0004-0000-0200-0000B1270000}"/>
    <hyperlink ref="C3794" r:id="rId10163" xr:uid="{00000000-0004-0000-0200-0000B2270000}"/>
    <hyperlink ref="A3795" r:id="rId10164" xr:uid="{00000000-0004-0000-0200-0000B3270000}"/>
    <hyperlink ref="B3795" r:id="rId10165" xr:uid="{00000000-0004-0000-0200-0000B4270000}"/>
    <hyperlink ref="C3795" r:id="rId10166" xr:uid="{00000000-0004-0000-0200-0000B5270000}"/>
    <hyperlink ref="A3796" r:id="rId10167" xr:uid="{00000000-0004-0000-0200-0000B6270000}"/>
    <hyperlink ref="B3796" r:id="rId10168" xr:uid="{00000000-0004-0000-0200-0000B7270000}"/>
    <hyperlink ref="C3796" r:id="rId10169" xr:uid="{00000000-0004-0000-0200-0000B8270000}"/>
    <hyperlink ref="A3797" r:id="rId10170" xr:uid="{00000000-0004-0000-0200-0000B9270000}"/>
    <hyperlink ref="B3797" r:id="rId10171" xr:uid="{00000000-0004-0000-0200-0000BA270000}"/>
    <hyperlink ref="C3797" r:id="rId10172" xr:uid="{00000000-0004-0000-0200-0000BB270000}"/>
    <hyperlink ref="A3798" r:id="rId10173" xr:uid="{00000000-0004-0000-0200-0000BC270000}"/>
    <hyperlink ref="B3798" r:id="rId10174" xr:uid="{00000000-0004-0000-0200-0000BD270000}"/>
    <hyperlink ref="C3798" r:id="rId10175" xr:uid="{00000000-0004-0000-0200-0000BE270000}"/>
    <hyperlink ref="A3799" r:id="rId10176" xr:uid="{00000000-0004-0000-0200-0000BF270000}"/>
    <hyperlink ref="B3799" r:id="rId10177" xr:uid="{00000000-0004-0000-0200-0000C0270000}"/>
    <hyperlink ref="C3799" r:id="rId10178" xr:uid="{00000000-0004-0000-0200-0000C1270000}"/>
    <hyperlink ref="A3800" r:id="rId10179" xr:uid="{00000000-0004-0000-0200-0000C2270000}"/>
    <hyperlink ref="B3800" r:id="rId10180" xr:uid="{00000000-0004-0000-0200-0000C3270000}"/>
    <hyperlink ref="C3800" r:id="rId10181" xr:uid="{00000000-0004-0000-0200-0000C4270000}"/>
    <hyperlink ref="A3801" r:id="rId10182" xr:uid="{00000000-0004-0000-0200-0000C5270000}"/>
    <hyperlink ref="B3801" r:id="rId10183" xr:uid="{00000000-0004-0000-0200-0000C6270000}"/>
    <hyperlink ref="C3801" r:id="rId10184" xr:uid="{00000000-0004-0000-0200-0000C7270000}"/>
    <hyperlink ref="A3802" r:id="rId10185" xr:uid="{00000000-0004-0000-0200-0000C8270000}"/>
    <hyperlink ref="B3802" r:id="rId10186" xr:uid="{00000000-0004-0000-0200-0000C9270000}"/>
    <hyperlink ref="C3802" r:id="rId10187" xr:uid="{00000000-0004-0000-0200-0000CA270000}"/>
    <hyperlink ref="A3803" r:id="rId10188" xr:uid="{00000000-0004-0000-0200-0000CB270000}"/>
    <hyperlink ref="B3803" r:id="rId10189" xr:uid="{00000000-0004-0000-0200-0000CC270000}"/>
    <hyperlink ref="C3803" r:id="rId10190" xr:uid="{00000000-0004-0000-0200-0000CD270000}"/>
    <hyperlink ref="A3804" r:id="rId10191" xr:uid="{00000000-0004-0000-0200-0000CE270000}"/>
    <hyperlink ref="B3804" r:id="rId10192" xr:uid="{00000000-0004-0000-0200-0000CF270000}"/>
    <hyperlink ref="C3804" r:id="rId10193" xr:uid="{00000000-0004-0000-0200-0000D0270000}"/>
    <hyperlink ref="A3805" r:id="rId10194" xr:uid="{00000000-0004-0000-0200-0000D1270000}"/>
    <hyperlink ref="B3805" r:id="rId10195" xr:uid="{00000000-0004-0000-0200-0000D2270000}"/>
    <hyperlink ref="C3805" r:id="rId10196" xr:uid="{00000000-0004-0000-0200-0000D3270000}"/>
    <hyperlink ref="A3806" r:id="rId10197" xr:uid="{00000000-0004-0000-0200-0000D4270000}"/>
    <hyperlink ref="B3806" r:id="rId10198" xr:uid="{00000000-0004-0000-0200-0000D5270000}"/>
    <hyperlink ref="C3806" r:id="rId10199" xr:uid="{00000000-0004-0000-0200-0000D6270000}"/>
    <hyperlink ref="A3807" r:id="rId10200" xr:uid="{00000000-0004-0000-0200-0000D7270000}"/>
    <hyperlink ref="B3807" r:id="rId10201" xr:uid="{00000000-0004-0000-0200-0000D8270000}"/>
    <hyperlink ref="C3807" r:id="rId10202" xr:uid="{00000000-0004-0000-0200-0000D9270000}"/>
    <hyperlink ref="A3808" r:id="rId10203" xr:uid="{00000000-0004-0000-0200-0000DA270000}"/>
    <hyperlink ref="B3808" r:id="rId10204" xr:uid="{00000000-0004-0000-0200-0000DB270000}"/>
    <hyperlink ref="C3808" r:id="rId10205" xr:uid="{00000000-0004-0000-0200-0000DC270000}"/>
    <hyperlink ref="A3809" r:id="rId10206" xr:uid="{00000000-0004-0000-0200-0000DD270000}"/>
    <hyperlink ref="B3809" r:id="rId10207" xr:uid="{00000000-0004-0000-0200-0000DE270000}"/>
    <hyperlink ref="C3809" r:id="rId10208" xr:uid="{00000000-0004-0000-0200-0000DF270000}"/>
    <hyperlink ref="A3810" r:id="rId10209" xr:uid="{00000000-0004-0000-0200-0000E0270000}"/>
    <hyperlink ref="B3810" r:id="rId10210" xr:uid="{00000000-0004-0000-0200-0000E1270000}"/>
    <hyperlink ref="C3810" r:id="rId10211" xr:uid="{00000000-0004-0000-0200-0000E2270000}"/>
    <hyperlink ref="A3811" r:id="rId10212" xr:uid="{00000000-0004-0000-0200-0000E3270000}"/>
    <hyperlink ref="B3811" r:id="rId10213" xr:uid="{00000000-0004-0000-0200-0000E4270000}"/>
    <hyperlink ref="C3811" r:id="rId10214" xr:uid="{00000000-0004-0000-0200-0000E5270000}"/>
    <hyperlink ref="A3812" r:id="rId10215" xr:uid="{00000000-0004-0000-0200-0000E6270000}"/>
    <hyperlink ref="B3812" r:id="rId10216" xr:uid="{00000000-0004-0000-0200-0000E7270000}"/>
    <hyperlink ref="C3812" r:id="rId10217" xr:uid="{00000000-0004-0000-0200-0000E8270000}"/>
    <hyperlink ref="A3813" r:id="rId10218" xr:uid="{00000000-0004-0000-0200-0000E9270000}"/>
    <hyperlink ref="B3813" r:id="rId10219" xr:uid="{00000000-0004-0000-0200-0000EA270000}"/>
    <hyperlink ref="C3813" r:id="rId10220" xr:uid="{00000000-0004-0000-0200-0000EB270000}"/>
    <hyperlink ref="A3814" r:id="rId10221" xr:uid="{00000000-0004-0000-0200-0000EC270000}"/>
    <hyperlink ref="B3814" r:id="rId10222" xr:uid="{00000000-0004-0000-0200-0000ED270000}"/>
    <hyperlink ref="C3814" r:id="rId10223" xr:uid="{00000000-0004-0000-0200-0000EE270000}"/>
    <hyperlink ref="A3815" r:id="rId10224" xr:uid="{00000000-0004-0000-0200-0000EF270000}"/>
    <hyperlink ref="B3815" r:id="rId10225" xr:uid="{00000000-0004-0000-0200-0000F0270000}"/>
    <hyperlink ref="C3815" r:id="rId10226" xr:uid="{00000000-0004-0000-0200-0000F1270000}"/>
    <hyperlink ref="A3816" r:id="rId10227" xr:uid="{00000000-0004-0000-0200-0000F2270000}"/>
    <hyperlink ref="B3816" r:id="rId10228" xr:uid="{00000000-0004-0000-0200-0000F3270000}"/>
    <hyperlink ref="C3816" r:id="rId10229" xr:uid="{00000000-0004-0000-0200-0000F4270000}"/>
    <hyperlink ref="A3817" r:id="rId10230" xr:uid="{00000000-0004-0000-0200-0000F5270000}"/>
    <hyperlink ref="B3817" r:id="rId10231" xr:uid="{00000000-0004-0000-0200-0000F6270000}"/>
    <hyperlink ref="C3817" r:id="rId10232" xr:uid="{00000000-0004-0000-0200-0000F7270000}"/>
    <hyperlink ref="A3818" r:id="rId10233" xr:uid="{00000000-0004-0000-0200-0000F8270000}"/>
    <hyperlink ref="B3818" r:id="rId10234" xr:uid="{00000000-0004-0000-0200-0000F9270000}"/>
    <hyperlink ref="C3818" r:id="rId10235" xr:uid="{00000000-0004-0000-0200-0000FA270000}"/>
    <hyperlink ref="A3819" r:id="rId10236" xr:uid="{00000000-0004-0000-0200-0000FB270000}"/>
    <hyperlink ref="B3819" r:id="rId10237" xr:uid="{00000000-0004-0000-0200-0000FC270000}"/>
    <hyperlink ref="C3819" r:id="rId10238" xr:uid="{00000000-0004-0000-0200-0000FD270000}"/>
    <hyperlink ref="A3820" r:id="rId10239" xr:uid="{00000000-0004-0000-0200-0000FE270000}"/>
    <hyperlink ref="B3820" r:id="rId10240" xr:uid="{00000000-0004-0000-0200-0000FF270000}"/>
    <hyperlink ref="C3820" r:id="rId10241" xr:uid="{00000000-0004-0000-0200-000000280000}"/>
    <hyperlink ref="A3821" r:id="rId10242" xr:uid="{00000000-0004-0000-0200-000001280000}"/>
    <hyperlink ref="B3821" r:id="rId10243" xr:uid="{00000000-0004-0000-0200-000002280000}"/>
    <hyperlink ref="C3821" r:id="rId10244" xr:uid="{00000000-0004-0000-0200-000003280000}"/>
    <hyperlink ref="A3822" r:id="rId10245" xr:uid="{00000000-0004-0000-0200-000004280000}"/>
    <hyperlink ref="B3822" r:id="rId10246" xr:uid="{00000000-0004-0000-0200-000005280000}"/>
    <hyperlink ref="C3822" r:id="rId10247" xr:uid="{00000000-0004-0000-0200-000006280000}"/>
    <hyperlink ref="A3823" r:id="rId10248" xr:uid="{00000000-0004-0000-0200-000007280000}"/>
    <hyperlink ref="B3823" r:id="rId10249" xr:uid="{00000000-0004-0000-0200-000008280000}"/>
    <hyperlink ref="C3823" r:id="rId10250" xr:uid="{00000000-0004-0000-0200-000009280000}"/>
    <hyperlink ref="A3824" r:id="rId10251" xr:uid="{00000000-0004-0000-0200-00000A280000}"/>
    <hyperlink ref="B3824" r:id="rId10252" xr:uid="{00000000-0004-0000-0200-00000B280000}"/>
    <hyperlink ref="C3824" r:id="rId10253" xr:uid="{00000000-0004-0000-0200-00000C280000}"/>
    <hyperlink ref="A3825" r:id="rId10254" xr:uid="{00000000-0004-0000-0200-00000D280000}"/>
    <hyperlink ref="B3825" r:id="rId10255" xr:uid="{00000000-0004-0000-0200-00000E280000}"/>
    <hyperlink ref="C3825" r:id="rId10256" xr:uid="{00000000-0004-0000-0200-00000F280000}"/>
    <hyperlink ref="A3826" r:id="rId10257" xr:uid="{00000000-0004-0000-0200-000010280000}"/>
    <hyperlink ref="B3826" r:id="rId10258" xr:uid="{00000000-0004-0000-0200-000011280000}"/>
    <hyperlink ref="C3826" r:id="rId10259" xr:uid="{00000000-0004-0000-0200-000012280000}"/>
    <hyperlink ref="A3827" r:id="rId10260" xr:uid="{00000000-0004-0000-0200-000013280000}"/>
    <hyperlink ref="B3827" r:id="rId10261" xr:uid="{00000000-0004-0000-0200-000014280000}"/>
    <hyperlink ref="C3827" r:id="rId10262" xr:uid="{00000000-0004-0000-0200-000015280000}"/>
    <hyperlink ref="A3828" r:id="rId10263" xr:uid="{00000000-0004-0000-0200-000016280000}"/>
    <hyperlink ref="B3828" r:id="rId10264" xr:uid="{00000000-0004-0000-0200-000017280000}"/>
    <hyperlink ref="C3828" r:id="rId10265" xr:uid="{00000000-0004-0000-0200-000018280000}"/>
    <hyperlink ref="A3829" r:id="rId10266" xr:uid="{00000000-0004-0000-0200-000019280000}"/>
    <hyperlink ref="B3829" r:id="rId10267" xr:uid="{00000000-0004-0000-0200-00001A280000}"/>
    <hyperlink ref="C3829" r:id="rId10268" xr:uid="{00000000-0004-0000-0200-00001B280000}"/>
    <hyperlink ref="A3830" r:id="rId10269" xr:uid="{00000000-0004-0000-0200-00001C280000}"/>
    <hyperlink ref="B3830" r:id="rId10270" xr:uid="{00000000-0004-0000-0200-00001D280000}"/>
    <hyperlink ref="C3830" r:id="rId10271" xr:uid="{00000000-0004-0000-0200-00001E280000}"/>
    <hyperlink ref="A3831" r:id="rId10272" xr:uid="{00000000-0004-0000-0200-00001F280000}"/>
    <hyperlink ref="B3831" r:id="rId10273" xr:uid="{00000000-0004-0000-0200-000020280000}"/>
    <hyperlink ref="C3831" r:id="rId10274" xr:uid="{00000000-0004-0000-0200-000021280000}"/>
    <hyperlink ref="A3832" r:id="rId10275" xr:uid="{00000000-0004-0000-0200-000022280000}"/>
    <hyperlink ref="B3832" r:id="rId10276" xr:uid="{00000000-0004-0000-0200-000023280000}"/>
    <hyperlink ref="C3832" r:id="rId10277" xr:uid="{00000000-0004-0000-0200-000024280000}"/>
    <hyperlink ref="A3833" r:id="rId10278" xr:uid="{00000000-0004-0000-0200-000025280000}"/>
    <hyperlink ref="B3833" r:id="rId10279" xr:uid="{00000000-0004-0000-0200-000026280000}"/>
    <hyperlink ref="C3833" r:id="rId10280" xr:uid="{00000000-0004-0000-0200-000027280000}"/>
    <hyperlink ref="A3834" r:id="rId10281" xr:uid="{00000000-0004-0000-0200-000028280000}"/>
    <hyperlink ref="B3834" r:id="rId10282" xr:uid="{00000000-0004-0000-0200-000029280000}"/>
    <hyperlink ref="C3834" r:id="rId10283" xr:uid="{00000000-0004-0000-0200-00002A280000}"/>
    <hyperlink ref="A3835" r:id="rId10284" xr:uid="{00000000-0004-0000-0200-00002B280000}"/>
    <hyperlink ref="B3835" r:id="rId10285" xr:uid="{00000000-0004-0000-0200-00002C280000}"/>
    <hyperlink ref="C3835" r:id="rId10286" xr:uid="{00000000-0004-0000-0200-00002D280000}"/>
    <hyperlink ref="A3836" r:id="rId10287" xr:uid="{00000000-0004-0000-0200-00002E280000}"/>
    <hyperlink ref="B3836" r:id="rId10288" xr:uid="{00000000-0004-0000-0200-00002F280000}"/>
    <hyperlink ref="C3836" r:id="rId10289" xr:uid="{00000000-0004-0000-0200-000030280000}"/>
    <hyperlink ref="A3837" r:id="rId10290" xr:uid="{00000000-0004-0000-0200-000031280000}"/>
    <hyperlink ref="B3837" r:id="rId10291" xr:uid="{00000000-0004-0000-0200-000032280000}"/>
    <hyperlink ref="C3837" r:id="rId10292" xr:uid="{00000000-0004-0000-0200-000033280000}"/>
    <hyperlink ref="A3838" r:id="rId10293" xr:uid="{00000000-0004-0000-0200-000034280000}"/>
    <hyperlink ref="B3838" r:id="rId10294" xr:uid="{00000000-0004-0000-0200-000035280000}"/>
    <hyperlink ref="C3838" r:id="rId10295" xr:uid="{00000000-0004-0000-0200-000036280000}"/>
    <hyperlink ref="A3839" r:id="rId10296" xr:uid="{00000000-0004-0000-0200-000037280000}"/>
    <hyperlink ref="B3839" r:id="rId10297" xr:uid="{00000000-0004-0000-0200-000038280000}"/>
    <hyperlink ref="C3839" r:id="rId10298" xr:uid="{00000000-0004-0000-0200-000039280000}"/>
    <hyperlink ref="A3840" r:id="rId10299" xr:uid="{00000000-0004-0000-0200-00003A280000}"/>
    <hyperlink ref="B3840" r:id="rId10300" xr:uid="{00000000-0004-0000-0200-00003B280000}"/>
    <hyperlink ref="C3840" r:id="rId10301" xr:uid="{00000000-0004-0000-0200-00003C280000}"/>
    <hyperlink ref="A3841" r:id="rId10302" xr:uid="{00000000-0004-0000-0200-00003D280000}"/>
    <hyperlink ref="B3841" r:id="rId10303" xr:uid="{00000000-0004-0000-0200-00003E280000}"/>
    <hyperlink ref="C3841" r:id="rId10304" xr:uid="{00000000-0004-0000-0200-00003F280000}"/>
    <hyperlink ref="A3842" r:id="rId10305" xr:uid="{00000000-0004-0000-0200-000040280000}"/>
    <hyperlink ref="B3842" r:id="rId10306" xr:uid="{00000000-0004-0000-0200-000041280000}"/>
    <hyperlink ref="C3842" r:id="rId10307" xr:uid="{00000000-0004-0000-0200-000042280000}"/>
    <hyperlink ref="A3843" r:id="rId10308" xr:uid="{00000000-0004-0000-0200-000043280000}"/>
    <hyperlink ref="B3843" r:id="rId10309" xr:uid="{00000000-0004-0000-0200-000044280000}"/>
    <hyperlink ref="C3843" r:id="rId10310" xr:uid="{00000000-0004-0000-0200-000045280000}"/>
    <hyperlink ref="A3844" r:id="rId10311" xr:uid="{00000000-0004-0000-0200-000046280000}"/>
    <hyperlink ref="B3844" r:id="rId10312" xr:uid="{00000000-0004-0000-0200-000047280000}"/>
    <hyperlink ref="C3844" r:id="rId10313" xr:uid="{00000000-0004-0000-0200-000048280000}"/>
    <hyperlink ref="A3845" r:id="rId10314" xr:uid="{00000000-0004-0000-0200-000049280000}"/>
    <hyperlink ref="B3845" r:id="rId10315" xr:uid="{00000000-0004-0000-0200-00004A280000}"/>
    <hyperlink ref="C3845" r:id="rId10316" xr:uid="{00000000-0004-0000-0200-00004B280000}"/>
    <hyperlink ref="A3846" r:id="rId10317" xr:uid="{00000000-0004-0000-0200-00004C280000}"/>
    <hyperlink ref="B3846" r:id="rId10318" xr:uid="{00000000-0004-0000-0200-00004D280000}"/>
    <hyperlink ref="C3846" r:id="rId10319" xr:uid="{00000000-0004-0000-0200-00004E280000}"/>
    <hyperlink ref="A3847" r:id="rId10320" xr:uid="{00000000-0004-0000-0200-00004F280000}"/>
    <hyperlink ref="B3847" r:id="rId10321" xr:uid="{00000000-0004-0000-0200-000050280000}"/>
    <hyperlink ref="C3847" r:id="rId10322" xr:uid="{00000000-0004-0000-0200-000051280000}"/>
    <hyperlink ref="A3848" r:id="rId10323" xr:uid="{00000000-0004-0000-0200-000052280000}"/>
    <hyperlink ref="B3848" r:id="rId10324" xr:uid="{00000000-0004-0000-0200-000053280000}"/>
    <hyperlink ref="C3848" r:id="rId10325" xr:uid="{00000000-0004-0000-0200-000054280000}"/>
    <hyperlink ref="A3849" r:id="rId10326" xr:uid="{00000000-0004-0000-0200-000055280000}"/>
    <hyperlink ref="B3849" r:id="rId10327" xr:uid="{00000000-0004-0000-0200-000056280000}"/>
    <hyperlink ref="C3849" r:id="rId10328" xr:uid="{00000000-0004-0000-0200-000057280000}"/>
    <hyperlink ref="A3850" r:id="rId10329" xr:uid="{00000000-0004-0000-0200-000058280000}"/>
    <hyperlink ref="B3850" r:id="rId10330" xr:uid="{00000000-0004-0000-0200-000059280000}"/>
    <hyperlink ref="C3850" r:id="rId10331" xr:uid="{00000000-0004-0000-0200-00005A280000}"/>
    <hyperlink ref="A3851" r:id="rId10332" xr:uid="{00000000-0004-0000-0200-00005B280000}"/>
    <hyperlink ref="B3851" r:id="rId10333" xr:uid="{00000000-0004-0000-0200-00005C280000}"/>
    <hyperlink ref="C3851" r:id="rId10334" xr:uid="{00000000-0004-0000-0200-00005D280000}"/>
    <hyperlink ref="A3852" r:id="rId10335" xr:uid="{00000000-0004-0000-0200-00005E280000}"/>
    <hyperlink ref="B3852" r:id="rId10336" xr:uid="{00000000-0004-0000-0200-00005F280000}"/>
    <hyperlink ref="C3852" r:id="rId10337" xr:uid="{00000000-0004-0000-0200-000060280000}"/>
    <hyperlink ref="A3853" r:id="rId10338" xr:uid="{00000000-0004-0000-0200-000061280000}"/>
    <hyperlink ref="B3853" r:id="rId10339" xr:uid="{00000000-0004-0000-0200-000062280000}"/>
    <hyperlink ref="C3853" r:id="rId10340" xr:uid="{00000000-0004-0000-0200-000063280000}"/>
    <hyperlink ref="A3854" r:id="rId10341" xr:uid="{00000000-0004-0000-0200-000064280000}"/>
    <hyperlink ref="B3854" r:id="rId10342" xr:uid="{00000000-0004-0000-0200-000065280000}"/>
    <hyperlink ref="C3854" r:id="rId10343" xr:uid="{00000000-0004-0000-0200-000066280000}"/>
    <hyperlink ref="A3855" r:id="rId10344" xr:uid="{00000000-0004-0000-0200-000067280000}"/>
    <hyperlink ref="B3855" r:id="rId10345" xr:uid="{00000000-0004-0000-0200-000068280000}"/>
    <hyperlink ref="C3855" r:id="rId10346" xr:uid="{00000000-0004-0000-0200-000069280000}"/>
    <hyperlink ref="A3856" r:id="rId10347" xr:uid="{00000000-0004-0000-0200-00006A280000}"/>
    <hyperlink ref="B3856" r:id="rId10348" xr:uid="{00000000-0004-0000-0200-00006B280000}"/>
    <hyperlink ref="C3856" r:id="rId10349" xr:uid="{00000000-0004-0000-0200-00006C280000}"/>
    <hyperlink ref="A3857" r:id="rId10350" xr:uid="{00000000-0004-0000-0200-00006D280000}"/>
    <hyperlink ref="B3857" r:id="rId10351" xr:uid="{00000000-0004-0000-0200-00006E280000}"/>
    <hyperlink ref="C3857" r:id="rId10352" xr:uid="{00000000-0004-0000-0200-00006F280000}"/>
    <hyperlink ref="A3858" r:id="rId10353" xr:uid="{00000000-0004-0000-0200-000070280000}"/>
    <hyperlink ref="B3858" r:id="rId10354" xr:uid="{00000000-0004-0000-0200-000071280000}"/>
    <hyperlink ref="C3858" r:id="rId10355" xr:uid="{00000000-0004-0000-0200-000072280000}"/>
    <hyperlink ref="A3859" r:id="rId10356" xr:uid="{00000000-0004-0000-0200-000073280000}"/>
    <hyperlink ref="B3859" r:id="rId10357" xr:uid="{00000000-0004-0000-0200-000074280000}"/>
    <hyperlink ref="C3859" r:id="rId10358" xr:uid="{00000000-0004-0000-0200-000075280000}"/>
    <hyperlink ref="A3860" r:id="rId10359" xr:uid="{00000000-0004-0000-0200-000076280000}"/>
    <hyperlink ref="B3860" r:id="rId10360" xr:uid="{00000000-0004-0000-0200-000077280000}"/>
    <hyperlink ref="C3860" r:id="rId10361" xr:uid="{00000000-0004-0000-0200-000078280000}"/>
    <hyperlink ref="A3861" r:id="rId10362" xr:uid="{00000000-0004-0000-0200-000079280000}"/>
    <hyperlink ref="B3861" r:id="rId10363" xr:uid="{00000000-0004-0000-0200-00007A280000}"/>
    <hyperlink ref="C3861" r:id="rId10364" xr:uid="{00000000-0004-0000-0200-00007B280000}"/>
    <hyperlink ref="A3862" r:id="rId10365" xr:uid="{00000000-0004-0000-0200-00007C280000}"/>
    <hyperlink ref="B3862" r:id="rId10366" xr:uid="{00000000-0004-0000-0200-00007D280000}"/>
    <hyperlink ref="C3862" r:id="rId10367" xr:uid="{00000000-0004-0000-0200-00007E280000}"/>
    <hyperlink ref="A3863" r:id="rId10368" xr:uid="{00000000-0004-0000-0200-00007F280000}"/>
    <hyperlink ref="B3863" r:id="rId10369" xr:uid="{00000000-0004-0000-0200-000080280000}"/>
    <hyperlink ref="C3863" r:id="rId10370" xr:uid="{00000000-0004-0000-0200-000081280000}"/>
    <hyperlink ref="A3864" r:id="rId10371" xr:uid="{00000000-0004-0000-0200-000082280000}"/>
    <hyperlink ref="B3864" r:id="rId10372" xr:uid="{00000000-0004-0000-0200-000083280000}"/>
    <hyperlink ref="C3864" r:id="rId10373" xr:uid="{00000000-0004-0000-0200-000084280000}"/>
    <hyperlink ref="A3865" r:id="rId10374" xr:uid="{00000000-0004-0000-0200-000085280000}"/>
    <hyperlink ref="B3865" r:id="rId10375" xr:uid="{00000000-0004-0000-0200-000086280000}"/>
    <hyperlink ref="C3865" r:id="rId10376" xr:uid="{00000000-0004-0000-0200-000087280000}"/>
    <hyperlink ref="A3866" r:id="rId10377" xr:uid="{00000000-0004-0000-0200-000088280000}"/>
    <hyperlink ref="B3866" r:id="rId10378" xr:uid="{00000000-0004-0000-0200-000089280000}"/>
    <hyperlink ref="C3866" r:id="rId10379" xr:uid="{00000000-0004-0000-0200-00008A280000}"/>
    <hyperlink ref="A3867" r:id="rId10380" xr:uid="{00000000-0004-0000-0200-00008B280000}"/>
    <hyperlink ref="B3867" r:id="rId10381" xr:uid="{00000000-0004-0000-0200-00008C280000}"/>
    <hyperlink ref="C3867" r:id="rId10382" xr:uid="{00000000-0004-0000-0200-00008D280000}"/>
    <hyperlink ref="A3868" r:id="rId10383" xr:uid="{00000000-0004-0000-0200-00008E280000}"/>
    <hyperlink ref="B3868" r:id="rId10384" xr:uid="{00000000-0004-0000-0200-00008F280000}"/>
    <hyperlink ref="C3868" r:id="rId10385" xr:uid="{00000000-0004-0000-0200-000090280000}"/>
    <hyperlink ref="A3869" r:id="rId10386" xr:uid="{00000000-0004-0000-0200-000091280000}"/>
    <hyperlink ref="B3869" r:id="rId10387" xr:uid="{00000000-0004-0000-0200-000092280000}"/>
    <hyperlink ref="C3869" r:id="rId10388" xr:uid="{00000000-0004-0000-0200-000093280000}"/>
    <hyperlink ref="A3870" r:id="rId10389" xr:uid="{00000000-0004-0000-0200-000094280000}"/>
    <hyperlink ref="B3870" r:id="rId10390" xr:uid="{00000000-0004-0000-0200-000095280000}"/>
    <hyperlink ref="C3870" r:id="rId10391" xr:uid="{00000000-0004-0000-0200-000096280000}"/>
    <hyperlink ref="A3871" r:id="rId10392" xr:uid="{00000000-0004-0000-0200-000097280000}"/>
    <hyperlink ref="B3871" r:id="rId10393" xr:uid="{00000000-0004-0000-0200-000098280000}"/>
    <hyperlink ref="C3871" r:id="rId10394" xr:uid="{00000000-0004-0000-0200-000099280000}"/>
    <hyperlink ref="A3872" r:id="rId10395" xr:uid="{00000000-0004-0000-0200-00009A280000}"/>
    <hyperlink ref="B3872" r:id="rId10396" xr:uid="{00000000-0004-0000-0200-00009B280000}"/>
    <hyperlink ref="C3872" r:id="rId10397" xr:uid="{00000000-0004-0000-0200-00009C280000}"/>
    <hyperlink ref="A3873" r:id="rId10398" xr:uid="{00000000-0004-0000-0200-00009D280000}"/>
    <hyperlink ref="B3873" r:id="rId10399" xr:uid="{00000000-0004-0000-0200-00009E280000}"/>
    <hyperlink ref="C3873" r:id="rId10400" xr:uid="{00000000-0004-0000-0200-00009F280000}"/>
    <hyperlink ref="A3874" r:id="rId10401" xr:uid="{00000000-0004-0000-0200-0000A0280000}"/>
    <hyperlink ref="B3874" r:id="rId10402" xr:uid="{00000000-0004-0000-0200-0000A1280000}"/>
    <hyperlink ref="C3874" r:id="rId10403" xr:uid="{00000000-0004-0000-0200-0000A2280000}"/>
    <hyperlink ref="A3875" r:id="rId10404" xr:uid="{00000000-0004-0000-0200-0000A3280000}"/>
    <hyperlink ref="B3875" r:id="rId10405" xr:uid="{00000000-0004-0000-0200-0000A4280000}"/>
    <hyperlink ref="C3875" r:id="rId10406" xr:uid="{00000000-0004-0000-0200-0000A5280000}"/>
    <hyperlink ref="A3876" r:id="rId10407" xr:uid="{00000000-0004-0000-0200-0000A6280000}"/>
    <hyperlink ref="B3876" r:id="rId10408" xr:uid="{00000000-0004-0000-0200-0000A7280000}"/>
    <hyperlink ref="C3876" r:id="rId10409" xr:uid="{00000000-0004-0000-0200-0000A8280000}"/>
    <hyperlink ref="A3877" r:id="rId10410" xr:uid="{00000000-0004-0000-0200-0000A9280000}"/>
    <hyperlink ref="B3877" r:id="rId10411" xr:uid="{00000000-0004-0000-0200-0000AA280000}"/>
    <hyperlink ref="C3877" r:id="rId10412" xr:uid="{00000000-0004-0000-0200-0000AB280000}"/>
    <hyperlink ref="A3878" r:id="rId10413" xr:uid="{00000000-0004-0000-0200-0000AC280000}"/>
    <hyperlink ref="B3878" r:id="rId10414" xr:uid="{00000000-0004-0000-0200-0000AD280000}"/>
    <hyperlink ref="C3878" r:id="rId10415" xr:uid="{00000000-0004-0000-0200-0000AE280000}"/>
    <hyperlink ref="A3879" r:id="rId10416" xr:uid="{00000000-0004-0000-0200-0000AF280000}"/>
    <hyperlink ref="B3879" r:id="rId10417" xr:uid="{00000000-0004-0000-0200-0000B0280000}"/>
    <hyperlink ref="C3879" r:id="rId10418" xr:uid="{00000000-0004-0000-0200-0000B1280000}"/>
    <hyperlink ref="A3880" r:id="rId10419" xr:uid="{00000000-0004-0000-0200-0000B2280000}"/>
    <hyperlink ref="B3880" r:id="rId10420" xr:uid="{00000000-0004-0000-0200-0000B3280000}"/>
    <hyperlink ref="C3880" r:id="rId10421" xr:uid="{00000000-0004-0000-0200-0000B4280000}"/>
    <hyperlink ref="A3881" r:id="rId10422" xr:uid="{00000000-0004-0000-0200-0000B5280000}"/>
    <hyperlink ref="B3881" r:id="rId10423" xr:uid="{00000000-0004-0000-0200-0000B6280000}"/>
    <hyperlink ref="C3881" r:id="rId10424" xr:uid="{00000000-0004-0000-0200-0000B7280000}"/>
    <hyperlink ref="A3882" r:id="rId10425" xr:uid="{00000000-0004-0000-0200-0000B8280000}"/>
    <hyperlink ref="B3882" r:id="rId10426" xr:uid="{00000000-0004-0000-0200-0000B9280000}"/>
    <hyperlink ref="C3882" r:id="rId10427" xr:uid="{00000000-0004-0000-0200-0000BA280000}"/>
    <hyperlink ref="A3883" r:id="rId10428" xr:uid="{00000000-0004-0000-0200-0000BB280000}"/>
    <hyperlink ref="B3883" r:id="rId10429" xr:uid="{00000000-0004-0000-0200-0000BC280000}"/>
    <hyperlink ref="C3883" r:id="rId10430" xr:uid="{00000000-0004-0000-0200-0000BD280000}"/>
    <hyperlink ref="A3884" r:id="rId10431" xr:uid="{00000000-0004-0000-0200-0000BE280000}"/>
    <hyperlink ref="B3884" r:id="rId10432" xr:uid="{00000000-0004-0000-0200-0000BF280000}"/>
    <hyperlink ref="C3884" r:id="rId10433" xr:uid="{00000000-0004-0000-0200-0000C0280000}"/>
    <hyperlink ref="A3885" r:id="rId10434" xr:uid="{00000000-0004-0000-0200-0000C1280000}"/>
    <hyperlink ref="B3885" r:id="rId10435" xr:uid="{00000000-0004-0000-0200-0000C2280000}"/>
    <hyperlink ref="C3885" r:id="rId10436" xr:uid="{00000000-0004-0000-0200-0000C3280000}"/>
    <hyperlink ref="A3886" r:id="rId10437" xr:uid="{00000000-0004-0000-0200-0000C4280000}"/>
    <hyperlink ref="B3886" r:id="rId10438" xr:uid="{00000000-0004-0000-0200-0000C5280000}"/>
    <hyperlink ref="C3886" r:id="rId10439" xr:uid="{00000000-0004-0000-0200-0000C6280000}"/>
    <hyperlink ref="A3887" r:id="rId10440" xr:uid="{00000000-0004-0000-0200-0000C7280000}"/>
    <hyperlink ref="B3887" r:id="rId10441" xr:uid="{00000000-0004-0000-0200-0000C8280000}"/>
    <hyperlink ref="C3887" r:id="rId10442" xr:uid="{00000000-0004-0000-0200-0000C9280000}"/>
    <hyperlink ref="A3888" r:id="rId10443" xr:uid="{00000000-0004-0000-0200-0000CA280000}"/>
    <hyperlink ref="B3888" r:id="rId10444" xr:uid="{00000000-0004-0000-0200-0000CB280000}"/>
    <hyperlink ref="C3888" r:id="rId10445" xr:uid="{00000000-0004-0000-0200-0000CC280000}"/>
    <hyperlink ref="A3889" r:id="rId10446" xr:uid="{00000000-0004-0000-0200-0000CD280000}"/>
    <hyperlink ref="B3889" r:id="rId10447" xr:uid="{00000000-0004-0000-0200-0000CE280000}"/>
    <hyperlink ref="C3889" r:id="rId10448" xr:uid="{00000000-0004-0000-0200-0000CF280000}"/>
    <hyperlink ref="A3890" r:id="rId10449" xr:uid="{00000000-0004-0000-0200-0000D0280000}"/>
    <hyperlink ref="B3890" r:id="rId10450" xr:uid="{00000000-0004-0000-0200-0000D1280000}"/>
    <hyperlink ref="C3890" r:id="rId10451" xr:uid="{00000000-0004-0000-0200-0000D2280000}"/>
    <hyperlink ref="A3891" r:id="rId10452" xr:uid="{00000000-0004-0000-0200-0000D3280000}"/>
    <hyperlink ref="B3891" r:id="rId10453" xr:uid="{00000000-0004-0000-0200-0000D4280000}"/>
    <hyperlink ref="C3891" r:id="rId10454" xr:uid="{00000000-0004-0000-0200-0000D5280000}"/>
    <hyperlink ref="A3892" r:id="rId10455" xr:uid="{00000000-0004-0000-0200-0000D6280000}"/>
    <hyperlink ref="B3892" r:id="rId10456" xr:uid="{00000000-0004-0000-0200-0000D7280000}"/>
    <hyperlink ref="C3892" r:id="rId10457" xr:uid="{00000000-0004-0000-0200-0000D8280000}"/>
    <hyperlink ref="A3893" r:id="rId10458" xr:uid="{00000000-0004-0000-0200-0000D9280000}"/>
    <hyperlink ref="B3893" r:id="rId10459" xr:uid="{00000000-0004-0000-0200-0000DA280000}"/>
    <hyperlink ref="C3893" r:id="rId10460" xr:uid="{00000000-0004-0000-0200-0000DB280000}"/>
    <hyperlink ref="A3894" r:id="rId10461" xr:uid="{00000000-0004-0000-0200-0000DC280000}"/>
    <hyperlink ref="B3894" r:id="rId10462" xr:uid="{00000000-0004-0000-0200-0000DD280000}"/>
    <hyperlink ref="C3894" r:id="rId10463" xr:uid="{00000000-0004-0000-0200-0000DE280000}"/>
    <hyperlink ref="A3895" r:id="rId10464" xr:uid="{00000000-0004-0000-0200-0000DF280000}"/>
    <hyperlink ref="B3895" r:id="rId10465" xr:uid="{00000000-0004-0000-0200-0000E0280000}"/>
    <hyperlink ref="C3895" r:id="rId10466" xr:uid="{00000000-0004-0000-0200-0000E1280000}"/>
    <hyperlink ref="A3896" r:id="rId10467" xr:uid="{00000000-0004-0000-0200-0000E2280000}"/>
    <hyperlink ref="B3896" r:id="rId10468" xr:uid="{00000000-0004-0000-0200-0000E3280000}"/>
    <hyperlink ref="C3896" r:id="rId10469" xr:uid="{00000000-0004-0000-0200-0000E4280000}"/>
    <hyperlink ref="A3897" r:id="rId10470" xr:uid="{00000000-0004-0000-0200-0000E5280000}"/>
    <hyperlink ref="B3897" r:id="rId10471" xr:uid="{00000000-0004-0000-0200-0000E6280000}"/>
    <hyperlink ref="C3897" r:id="rId10472" xr:uid="{00000000-0004-0000-0200-0000E7280000}"/>
    <hyperlink ref="A3898" r:id="rId10473" xr:uid="{00000000-0004-0000-0200-0000E8280000}"/>
    <hyperlink ref="B3898" r:id="rId10474" xr:uid="{00000000-0004-0000-0200-0000E9280000}"/>
    <hyperlink ref="C3898" r:id="rId10475" xr:uid="{00000000-0004-0000-0200-0000EA280000}"/>
    <hyperlink ref="A3899" r:id="rId10476" xr:uid="{00000000-0004-0000-0200-0000EB280000}"/>
    <hyperlink ref="B3899" r:id="rId10477" xr:uid="{00000000-0004-0000-0200-0000EC280000}"/>
    <hyperlink ref="C3899" r:id="rId10478" xr:uid="{00000000-0004-0000-0200-0000ED280000}"/>
    <hyperlink ref="A3900" r:id="rId10479" xr:uid="{00000000-0004-0000-0200-0000EE280000}"/>
    <hyperlink ref="B3900" r:id="rId10480" xr:uid="{00000000-0004-0000-0200-0000EF280000}"/>
    <hyperlink ref="C3900" r:id="rId10481" xr:uid="{00000000-0004-0000-0200-0000F0280000}"/>
    <hyperlink ref="A3901" r:id="rId10482" xr:uid="{00000000-0004-0000-0200-0000F1280000}"/>
    <hyperlink ref="B3901" r:id="rId10483" xr:uid="{00000000-0004-0000-0200-0000F2280000}"/>
    <hyperlink ref="C3901" r:id="rId10484" xr:uid="{00000000-0004-0000-0200-0000F3280000}"/>
    <hyperlink ref="A3902" r:id="rId10485" xr:uid="{00000000-0004-0000-0200-0000F4280000}"/>
    <hyperlink ref="B3902" r:id="rId10486" xr:uid="{00000000-0004-0000-0200-0000F5280000}"/>
    <hyperlink ref="C3902" r:id="rId10487" xr:uid="{00000000-0004-0000-0200-0000F6280000}"/>
    <hyperlink ref="A3903" r:id="rId10488" xr:uid="{00000000-0004-0000-0200-0000F7280000}"/>
    <hyperlink ref="B3903" r:id="rId10489" xr:uid="{00000000-0004-0000-0200-0000F8280000}"/>
    <hyperlink ref="C3903" r:id="rId10490" xr:uid="{00000000-0004-0000-0200-0000F9280000}"/>
    <hyperlink ref="A3904" r:id="rId10491" xr:uid="{00000000-0004-0000-0200-0000FA280000}"/>
    <hyperlink ref="B3904" r:id="rId10492" xr:uid="{00000000-0004-0000-0200-0000FB280000}"/>
    <hyperlink ref="C3904" r:id="rId10493" xr:uid="{00000000-0004-0000-0200-0000FC280000}"/>
    <hyperlink ref="A3905" r:id="rId10494" xr:uid="{00000000-0004-0000-0200-0000FD280000}"/>
    <hyperlink ref="B3905" r:id="rId10495" xr:uid="{00000000-0004-0000-0200-0000FE280000}"/>
    <hyperlink ref="C3905" r:id="rId10496" xr:uid="{00000000-0004-0000-0200-0000FF280000}"/>
    <hyperlink ref="A3906" r:id="rId10497" xr:uid="{00000000-0004-0000-0200-000000290000}"/>
    <hyperlink ref="B3906" r:id="rId10498" xr:uid="{00000000-0004-0000-0200-000001290000}"/>
    <hyperlink ref="C3906" r:id="rId10499" xr:uid="{00000000-0004-0000-0200-000002290000}"/>
    <hyperlink ref="A3907" r:id="rId10500" xr:uid="{00000000-0004-0000-0200-000003290000}"/>
    <hyperlink ref="B3907" r:id="rId10501" xr:uid="{00000000-0004-0000-0200-000004290000}"/>
    <hyperlink ref="C3907" r:id="rId10502" xr:uid="{00000000-0004-0000-0200-000005290000}"/>
    <hyperlink ref="A3908" r:id="rId10503" xr:uid="{00000000-0004-0000-0200-000006290000}"/>
    <hyperlink ref="B3908" r:id="rId10504" xr:uid="{00000000-0004-0000-0200-000007290000}"/>
    <hyperlink ref="C3908" r:id="rId10505" xr:uid="{00000000-0004-0000-0200-000008290000}"/>
    <hyperlink ref="A3909" r:id="rId10506" xr:uid="{00000000-0004-0000-0200-000009290000}"/>
    <hyperlink ref="B3909" r:id="rId10507" xr:uid="{00000000-0004-0000-0200-00000A290000}"/>
    <hyperlink ref="C3909" r:id="rId10508" xr:uid="{00000000-0004-0000-0200-00000B290000}"/>
    <hyperlink ref="A3910" r:id="rId10509" xr:uid="{00000000-0004-0000-0200-00000C290000}"/>
    <hyperlink ref="B3910" r:id="rId10510" xr:uid="{00000000-0004-0000-0200-00000D290000}"/>
    <hyperlink ref="C3910" r:id="rId10511" xr:uid="{00000000-0004-0000-0200-00000E290000}"/>
    <hyperlink ref="A3911" r:id="rId10512" xr:uid="{00000000-0004-0000-0200-00000F290000}"/>
    <hyperlink ref="B3911" r:id="rId10513" xr:uid="{00000000-0004-0000-0200-000010290000}"/>
    <hyperlink ref="C3911" r:id="rId10514" xr:uid="{00000000-0004-0000-0200-000011290000}"/>
    <hyperlink ref="A3912" r:id="rId10515" xr:uid="{00000000-0004-0000-0200-000012290000}"/>
    <hyperlink ref="B3912" r:id="rId10516" xr:uid="{00000000-0004-0000-0200-000013290000}"/>
    <hyperlink ref="C3912" r:id="rId10517" xr:uid="{00000000-0004-0000-0200-000014290000}"/>
    <hyperlink ref="A3913" r:id="rId10518" xr:uid="{00000000-0004-0000-0200-000015290000}"/>
    <hyperlink ref="B3913" r:id="rId10519" xr:uid="{00000000-0004-0000-0200-000016290000}"/>
    <hyperlink ref="C3913" r:id="rId10520" xr:uid="{00000000-0004-0000-0200-000017290000}"/>
    <hyperlink ref="A3914" r:id="rId10521" xr:uid="{00000000-0004-0000-0200-000018290000}"/>
    <hyperlink ref="B3914" r:id="rId10522" xr:uid="{00000000-0004-0000-0200-000019290000}"/>
    <hyperlink ref="C3914" r:id="rId10523" xr:uid="{00000000-0004-0000-0200-00001A290000}"/>
    <hyperlink ref="A3915" r:id="rId10524" xr:uid="{00000000-0004-0000-0200-00001B290000}"/>
    <hyperlink ref="B3915" r:id="rId10525" xr:uid="{00000000-0004-0000-0200-00001C290000}"/>
    <hyperlink ref="C3915" r:id="rId10526" xr:uid="{00000000-0004-0000-0200-00001D290000}"/>
    <hyperlink ref="A3916" r:id="rId10527" xr:uid="{00000000-0004-0000-0200-00001E290000}"/>
    <hyperlink ref="B3916" r:id="rId10528" xr:uid="{00000000-0004-0000-0200-00001F290000}"/>
    <hyperlink ref="C3916" r:id="rId10529" xr:uid="{00000000-0004-0000-0200-000020290000}"/>
    <hyperlink ref="A3917" r:id="rId10530" xr:uid="{00000000-0004-0000-0200-000021290000}"/>
    <hyperlink ref="B3917" r:id="rId10531" xr:uid="{00000000-0004-0000-0200-000022290000}"/>
    <hyperlink ref="C3917" r:id="rId10532" xr:uid="{00000000-0004-0000-0200-000023290000}"/>
    <hyperlink ref="A3918" r:id="rId10533" xr:uid="{00000000-0004-0000-0200-000024290000}"/>
    <hyperlink ref="B3918" r:id="rId10534" xr:uid="{00000000-0004-0000-0200-000025290000}"/>
    <hyperlink ref="C3918" r:id="rId10535" xr:uid="{00000000-0004-0000-0200-000026290000}"/>
    <hyperlink ref="A3919" r:id="rId10536" xr:uid="{00000000-0004-0000-0200-000027290000}"/>
    <hyperlink ref="B3919" r:id="rId10537" xr:uid="{00000000-0004-0000-0200-000028290000}"/>
    <hyperlink ref="C3919" r:id="rId10538" xr:uid="{00000000-0004-0000-0200-000029290000}"/>
    <hyperlink ref="A3920" r:id="rId10539" xr:uid="{00000000-0004-0000-0200-00002A290000}"/>
    <hyperlink ref="B3920" r:id="rId10540" xr:uid="{00000000-0004-0000-0200-00002B290000}"/>
    <hyperlink ref="C3920" r:id="rId10541" xr:uid="{00000000-0004-0000-0200-00002C290000}"/>
    <hyperlink ref="A3921" r:id="rId10542" xr:uid="{00000000-0004-0000-0200-00002D290000}"/>
    <hyperlink ref="B3921" r:id="rId10543" xr:uid="{00000000-0004-0000-0200-00002E290000}"/>
    <hyperlink ref="C3921" r:id="rId10544" xr:uid="{00000000-0004-0000-0200-00002F290000}"/>
    <hyperlink ref="A3922" r:id="rId10545" xr:uid="{00000000-0004-0000-0200-000030290000}"/>
    <hyperlink ref="B3922" r:id="rId10546" xr:uid="{00000000-0004-0000-0200-000031290000}"/>
    <hyperlink ref="C3922" r:id="rId10547" xr:uid="{00000000-0004-0000-0200-000032290000}"/>
    <hyperlink ref="A3923" r:id="rId10548" xr:uid="{00000000-0004-0000-0200-000033290000}"/>
    <hyperlink ref="B3923" r:id="rId10549" xr:uid="{00000000-0004-0000-0200-000034290000}"/>
    <hyperlink ref="C3923" r:id="rId10550" xr:uid="{00000000-0004-0000-0200-000035290000}"/>
    <hyperlink ref="A3924" r:id="rId10551" xr:uid="{00000000-0004-0000-0200-000036290000}"/>
    <hyperlink ref="B3924" r:id="rId10552" xr:uid="{00000000-0004-0000-0200-000037290000}"/>
    <hyperlink ref="C3924" r:id="rId10553" xr:uid="{00000000-0004-0000-0200-000038290000}"/>
    <hyperlink ref="A3925" r:id="rId10554" xr:uid="{00000000-0004-0000-0200-000039290000}"/>
    <hyperlink ref="B3925" r:id="rId10555" xr:uid="{00000000-0004-0000-0200-00003A290000}"/>
    <hyperlink ref="C3925" r:id="rId10556" xr:uid="{00000000-0004-0000-0200-00003B290000}"/>
    <hyperlink ref="A3926" r:id="rId10557" xr:uid="{00000000-0004-0000-0200-00003C290000}"/>
    <hyperlink ref="B3926" r:id="rId10558" xr:uid="{00000000-0004-0000-0200-00003D290000}"/>
    <hyperlink ref="C3926" r:id="rId10559" xr:uid="{00000000-0004-0000-0200-00003E290000}"/>
    <hyperlink ref="A3927" r:id="rId10560" xr:uid="{00000000-0004-0000-0200-00003F290000}"/>
    <hyperlink ref="B3927" r:id="rId10561" xr:uid="{00000000-0004-0000-0200-000040290000}"/>
    <hyperlink ref="C3927" r:id="rId10562" xr:uid="{00000000-0004-0000-0200-000041290000}"/>
    <hyperlink ref="A3928" r:id="rId10563" xr:uid="{00000000-0004-0000-0200-000042290000}"/>
    <hyperlink ref="B3928" r:id="rId10564" xr:uid="{00000000-0004-0000-0200-000043290000}"/>
    <hyperlink ref="C3928" r:id="rId10565" xr:uid="{00000000-0004-0000-0200-000044290000}"/>
    <hyperlink ref="A3929" r:id="rId10566" xr:uid="{00000000-0004-0000-0200-000045290000}"/>
    <hyperlink ref="B3929" r:id="rId10567" xr:uid="{00000000-0004-0000-0200-000046290000}"/>
    <hyperlink ref="C3929" r:id="rId10568" xr:uid="{00000000-0004-0000-0200-000047290000}"/>
    <hyperlink ref="A3930" r:id="rId10569" xr:uid="{00000000-0004-0000-0200-000048290000}"/>
    <hyperlink ref="B3930" r:id="rId10570" xr:uid="{00000000-0004-0000-0200-000049290000}"/>
    <hyperlink ref="C3930" r:id="rId10571" xr:uid="{00000000-0004-0000-0200-00004A290000}"/>
    <hyperlink ref="A3931" r:id="rId10572" xr:uid="{00000000-0004-0000-0200-00004B290000}"/>
    <hyperlink ref="B3931" r:id="rId10573" xr:uid="{00000000-0004-0000-0200-00004C290000}"/>
    <hyperlink ref="C3931" r:id="rId10574" xr:uid="{00000000-0004-0000-0200-00004D290000}"/>
    <hyperlink ref="A3932" r:id="rId10575" xr:uid="{00000000-0004-0000-0200-00004E290000}"/>
    <hyperlink ref="B3932" r:id="rId10576" xr:uid="{00000000-0004-0000-0200-00004F290000}"/>
    <hyperlink ref="C3932" r:id="rId10577" xr:uid="{00000000-0004-0000-0200-000050290000}"/>
    <hyperlink ref="A3933" r:id="rId10578" xr:uid="{00000000-0004-0000-0200-000051290000}"/>
    <hyperlink ref="B3933" r:id="rId10579" xr:uid="{00000000-0004-0000-0200-000052290000}"/>
    <hyperlink ref="C3933" r:id="rId10580" xr:uid="{00000000-0004-0000-0200-000053290000}"/>
    <hyperlink ref="A3934" r:id="rId10581" xr:uid="{00000000-0004-0000-0200-000054290000}"/>
    <hyperlink ref="B3934" r:id="rId10582" xr:uid="{00000000-0004-0000-0200-000055290000}"/>
    <hyperlink ref="C3934" r:id="rId10583" xr:uid="{00000000-0004-0000-0200-000056290000}"/>
    <hyperlink ref="A3935" r:id="rId10584" xr:uid="{00000000-0004-0000-0200-000057290000}"/>
    <hyperlink ref="B3935" r:id="rId10585" xr:uid="{00000000-0004-0000-0200-000058290000}"/>
    <hyperlink ref="C3935" r:id="rId10586" xr:uid="{00000000-0004-0000-0200-000059290000}"/>
    <hyperlink ref="A3936" r:id="rId10587" xr:uid="{00000000-0004-0000-0200-00005A290000}"/>
    <hyperlink ref="B3936" r:id="rId10588" xr:uid="{00000000-0004-0000-0200-00005B290000}"/>
    <hyperlink ref="C3936" r:id="rId10589" xr:uid="{00000000-0004-0000-0200-00005C290000}"/>
    <hyperlink ref="A3937" r:id="rId10590" xr:uid="{00000000-0004-0000-0200-00005D290000}"/>
    <hyperlink ref="B3937" r:id="rId10591" xr:uid="{00000000-0004-0000-0200-00005E290000}"/>
    <hyperlink ref="C3937" r:id="rId10592" xr:uid="{00000000-0004-0000-0200-00005F290000}"/>
    <hyperlink ref="A3938" r:id="rId10593" xr:uid="{00000000-0004-0000-0200-000060290000}"/>
    <hyperlink ref="B3938" r:id="rId10594" xr:uid="{00000000-0004-0000-0200-000061290000}"/>
    <hyperlink ref="C3938" r:id="rId10595" xr:uid="{00000000-0004-0000-0200-000062290000}"/>
    <hyperlink ref="A3939" r:id="rId10596" xr:uid="{00000000-0004-0000-0200-000063290000}"/>
    <hyperlink ref="B3939" r:id="rId10597" xr:uid="{00000000-0004-0000-0200-000064290000}"/>
    <hyperlink ref="C3939" r:id="rId10598" xr:uid="{00000000-0004-0000-0200-000065290000}"/>
    <hyperlink ref="A3940" r:id="rId10599" xr:uid="{00000000-0004-0000-0200-000066290000}"/>
    <hyperlink ref="B3940" r:id="rId10600" xr:uid="{00000000-0004-0000-0200-000067290000}"/>
    <hyperlink ref="C3940" r:id="rId10601" xr:uid="{00000000-0004-0000-0200-000068290000}"/>
    <hyperlink ref="A3941" r:id="rId10602" xr:uid="{00000000-0004-0000-0200-000069290000}"/>
    <hyperlink ref="B3941" r:id="rId10603" xr:uid="{00000000-0004-0000-0200-00006A290000}"/>
    <hyperlink ref="C3941" r:id="rId10604" xr:uid="{00000000-0004-0000-0200-00006B290000}"/>
    <hyperlink ref="A3942" r:id="rId10605" xr:uid="{00000000-0004-0000-0200-00006C290000}"/>
    <hyperlink ref="B3942" r:id="rId10606" xr:uid="{00000000-0004-0000-0200-00006D290000}"/>
    <hyperlink ref="C3942" r:id="rId10607" xr:uid="{00000000-0004-0000-0200-00006E290000}"/>
    <hyperlink ref="A3943" r:id="rId10608" xr:uid="{00000000-0004-0000-0200-00006F290000}"/>
    <hyperlink ref="B3943" r:id="rId10609" xr:uid="{00000000-0004-0000-0200-000070290000}"/>
    <hyperlink ref="C3943" r:id="rId10610" xr:uid="{00000000-0004-0000-0200-000071290000}"/>
    <hyperlink ref="A3944" r:id="rId10611" xr:uid="{00000000-0004-0000-0200-000072290000}"/>
    <hyperlink ref="B3944" r:id="rId10612" xr:uid="{00000000-0004-0000-0200-000073290000}"/>
    <hyperlink ref="C3944" r:id="rId10613" xr:uid="{00000000-0004-0000-0200-000074290000}"/>
    <hyperlink ref="A3945" r:id="rId10614" xr:uid="{00000000-0004-0000-0200-000075290000}"/>
    <hyperlink ref="B3945" r:id="rId10615" xr:uid="{00000000-0004-0000-0200-000076290000}"/>
    <hyperlink ref="C3945" r:id="rId10616" xr:uid="{00000000-0004-0000-0200-000077290000}"/>
    <hyperlink ref="A3946" r:id="rId10617" xr:uid="{00000000-0004-0000-0200-000078290000}"/>
    <hyperlink ref="B3946" r:id="rId10618" xr:uid="{00000000-0004-0000-0200-000079290000}"/>
    <hyperlink ref="C3946" r:id="rId10619" xr:uid="{00000000-0004-0000-0200-00007A290000}"/>
    <hyperlink ref="A3947" r:id="rId10620" xr:uid="{00000000-0004-0000-0200-00007B290000}"/>
    <hyperlink ref="B3947" r:id="rId10621" xr:uid="{00000000-0004-0000-0200-00007C290000}"/>
    <hyperlink ref="C3947" r:id="rId10622" xr:uid="{00000000-0004-0000-0200-00007D290000}"/>
    <hyperlink ref="A3948" r:id="rId10623" xr:uid="{00000000-0004-0000-0200-00007E290000}"/>
    <hyperlink ref="B3948" r:id="rId10624" xr:uid="{00000000-0004-0000-0200-00007F290000}"/>
    <hyperlink ref="C3948" r:id="rId10625" xr:uid="{00000000-0004-0000-0200-000080290000}"/>
    <hyperlink ref="A3949" r:id="rId10626" xr:uid="{00000000-0004-0000-0200-000081290000}"/>
    <hyperlink ref="B3949" r:id="rId10627" xr:uid="{00000000-0004-0000-0200-000082290000}"/>
    <hyperlink ref="C3949" r:id="rId10628" xr:uid="{00000000-0004-0000-0200-000083290000}"/>
    <hyperlink ref="A3950" r:id="rId10629" xr:uid="{00000000-0004-0000-0200-000084290000}"/>
    <hyperlink ref="B3950" r:id="rId10630" xr:uid="{00000000-0004-0000-0200-000085290000}"/>
    <hyperlink ref="C3950" r:id="rId10631" xr:uid="{00000000-0004-0000-0200-000086290000}"/>
    <hyperlink ref="A3951" r:id="rId10632" xr:uid="{00000000-0004-0000-0200-000087290000}"/>
    <hyperlink ref="B3951" r:id="rId10633" xr:uid="{00000000-0004-0000-0200-000088290000}"/>
    <hyperlink ref="C3951" r:id="rId10634" xr:uid="{00000000-0004-0000-0200-000089290000}"/>
    <hyperlink ref="A3952" r:id="rId10635" xr:uid="{00000000-0004-0000-0200-00008A290000}"/>
    <hyperlink ref="B3952" r:id="rId10636" xr:uid="{00000000-0004-0000-0200-00008B290000}"/>
    <hyperlink ref="C3952" r:id="rId10637" xr:uid="{00000000-0004-0000-0200-00008C290000}"/>
    <hyperlink ref="A3953" r:id="rId10638" xr:uid="{00000000-0004-0000-0200-00008D290000}"/>
    <hyperlink ref="B3953" r:id="rId10639" xr:uid="{00000000-0004-0000-0200-00008E290000}"/>
    <hyperlink ref="C3953" r:id="rId10640" xr:uid="{00000000-0004-0000-0200-00008F290000}"/>
    <hyperlink ref="A3954" r:id="rId10641" xr:uid="{00000000-0004-0000-0200-000090290000}"/>
    <hyperlink ref="B3954" r:id="rId10642" xr:uid="{00000000-0004-0000-0200-000091290000}"/>
    <hyperlink ref="C3954" r:id="rId10643" xr:uid="{00000000-0004-0000-0200-000092290000}"/>
    <hyperlink ref="A3955" r:id="rId10644" xr:uid="{00000000-0004-0000-0200-000093290000}"/>
    <hyperlink ref="B3955" r:id="rId10645" xr:uid="{00000000-0004-0000-0200-000094290000}"/>
    <hyperlink ref="C3955" r:id="rId10646" xr:uid="{00000000-0004-0000-0200-000095290000}"/>
    <hyperlink ref="A3956" r:id="rId10647" xr:uid="{00000000-0004-0000-0200-000096290000}"/>
    <hyperlink ref="B3956" r:id="rId10648" xr:uid="{00000000-0004-0000-0200-000097290000}"/>
    <hyperlink ref="C3956" r:id="rId10649" xr:uid="{00000000-0004-0000-0200-000098290000}"/>
    <hyperlink ref="A3957" r:id="rId10650" xr:uid="{00000000-0004-0000-0200-000099290000}"/>
    <hyperlink ref="B3957" r:id="rId10651" xr:uid="{00000000-0004-0000-0200-00009A290000}"/>
    <hyperlink ref="C3957" r:id="rId10652" xr:uid="{00000000-0004-0000-0200-00009B290000}"/>
    <hyperlink ref="A3958" r:id="rId10653" xr:uid="{00000000-0004-0000-0200-00009C290000}"/>
    <hyperlink ref="B3958" r:id="rId10654" xr:uid="{00000000-0004-0000-0200-00009D290000}"/>
    <hyperlink ref="C3958" r:id="rId10655" xr:uid="{00000000-0004-0000-0200-00009E290000}"/>
    <hyperlink ref="A3959" r:id="rId10656" xr:uid="{00000000-0004-0000-0200-00009F290000}"/>
    <hyperlink ref="B3959" r:id="rId10657" xr:uid="{00000000-0004-0000-0200-0000A0290000}"/>
    <hyperlink ref="C3959" r:id="rId10658" xr:uid="{00000000-0004-0000-0200-0000A1290000}"/>
    <hyperlink ref="A3960" r:id="rId10659" xr:uid="{00000000-0004-0000-0200-0000A2290000}"/>
    <hyperlink ref="B3960" r:id="rId10660" xr:uid="{00000000-0004-0000-0200-0000A3290000}"/>
    <hyperlink ref="C3960" r:id="rId10661" xr:uid="{00000000-0004-0000-0200-0000A4290000}"/>
    <hyperlink ref="A3961" r:id="rId10662" xr:uid="{00000000-0004-0000-0200-0000A5290000}"/>
    <hyperlink ref="B3961" r:id="rId10663" xr:uid="{00000000-0004-0000-0200-0000A6290000}"/>
    <hyperlink ref="C3961" r:id="rId10664" xr:uid="{00000000-0004-0000-0200-0000A7290000}"/>
    <hyperlink ref="A3962" r:id="rId10665" xr:uid="{00000000-0004-0000-0200-0000A8290000}"/>
    <hyperlink ref="B3962" r:id="rId10666" xr:uid="{00000000-0004-0000-0200-0000A9290000}"/>
    <hyperlink ref="C3962" r:id="rId10667" xr:uid="{00000000-0004-0000-0200-0000AA290000}"/>
    <hyperlink ref="A3963" r:id="rId10668" xr:uid="{00000000-0004-0000-0200-0000AB290000}"/>
    <hyperlink ref="B3963" r:id="rId10669" xr:uid="{00000000-0004-0000-0200-0000AC290000}"/>
    <hyperlink ref="C3963" r:id="rId10670" xr:uid="{00000000-0004-0000-0200-0000AD290000}"/>
    <hyperlink ref="A3964" r:id="rId10671" xr:uid="{00000000-0004-0000-0200-0000AE290000}"/>
    <hyperlink ref="B3964" r:id="rId10672" xr:uid="{00000000-0004-0000-0200-0000AF290000}"/>
    <hyperlink ref="C3964" r:id="rId10673" xr:uid="{00000000-0004-0000-0200-0000B0290000}"/>
    <hyperlink ref="A3965" r:id="rId10674" xr:uid="{00000000-0004-0000-0200-0000B1290000}"/>
    <hyperlink ref="B3965" r:id="rId10675" xr:uid="{00000000-0004-0000-0200-0000B2290000}"/>
    <hyperlink ref="C3965" r:id="rId10676" xr:uid="{00000000-0004-0000-0200-0000B3290000}"/>
    <hyperlink ref="A3966" r:id="rId10677" xr:uid="{00000000-0004-0000-0200-0000B4290000}"/>
    <hyperlink ref="B3966" r:id="rId10678" xr:uid="{00000000-0004-0000-0200-0000B5290000}"/>
    <hyperlink ref="C3966" r:id="rId10679" xr:uid="{00000000-0004-0000-0200-0000B6290000}"/>
    <hyperlink ref="A3967" r:id="rId10680" xr:uid="{00000000-0004-0000-0200-0000B7290000}"/>
    <hyperlink ref="B3967" r:id="rId10681" xr:uid="{00000000-0004-0000-0200-0000B8290000}"/>
    <hyperlink ref="C3967" r:id="rId10682" xr:uid="{00000000-0004-0000-0200-0000B9290000}"/>
    <hyperlink ref="A3968" r:id="rId10683" xr:uid="{00000000-0004-0000-0200-0000BA290000}"/>
    <hyperlink ref="B3968" r:id="rId10684" xr:uid="{00000000-0004-0000-0200-0000BB290000}"/>
    <hyperlink ref="C3968" r:id="rId10685" xr:uid="{00000000-0004-0000-0200-0000BC290000}"/>
    <hyperlink ref="A3969" r:id="rId10686" xr:uid="{00000000-0004-0000-0200-0000BD290000}"/>
    <hyperlink ref="B3969" r:id="rId10687" xr:uid="{00000000-0004-0000-0200-0000BE290000}"/>
    <hyperlink ref="C3969" r:id="rId10688" xr:uid="{00000000-0004-0000-0200-0000BF290000}"/>
    <hyperlink ref="A3970" r:id="rId10689" xr:uid="{00000000-0004-0000-0200-0000C0290000}"/>
    <hyperlink ref="B3970" r:id="rId10690" xr:uid="{00000000-0004-0000-0200-0000C1290000}"/>
    <hyperlink ref="C3970" r:id="rId10691" xr:uid="{00000000-0004-0000-0200-0000C2290000}"/>
    <hyperlink ref="A3971" r:id="rId10692" xr:uid="{00000000-0004-0000-0200-0000C3290000}"/>
    <hyperlink ref="B3971" r:id="rId10693" xr:uid="{00000000-0004-0000-0200-0000C4290000}"/>
    <hyperlink ref="C3971" r:id="rId10694" xr:uid="{00000000-0004-0000-0200-0000C5290000}"/>
    <hyperlink ref="A3972" r:id="rId10695" xr:uid="{00000000-0004-0000-0200-0000C6290000}"/>
    <hyperlink ref="B3972" r:id="rId10696" xr:uid="{00000000-0004-0000-0200-0000C7290000}"/>
    <hyperlink ref="C3972" r:id="rId10697" xr:uid="{00000000-0004-0000-0200-0000C8290000}"/>
    <hyperlink ref="A3973" r:id="rId10698" xr:uid="{00000000-0004-0000-0200-0000C9290000}"/>
    <hyperlink ref="B3973" r:id="rId10699" xr:uid="{00000000-0004-0000-0200-0000CA290000}"/>
    <hyperlink ref="C3973" r:id="rId10700" xr:uid="{00000000-0004-0000-0200-0000CB290000}"/>
    <hyperlink ref="A3974" r:id="rId10701" xr:uid="{00000000-0004-0000-0200-0000CC290000}"/>
    <hyperlink ref="B3974" r:id="rId10702" xr:uid="{00000000-0004-0000-0200-0000CD290000}"/>
    <hyperlink ref="C3974" r:id="rId10703" xr:uid="{00000000-0004-0000-0200-0000CE290000}"/>
    <hyperlink ref="A3975" r:id="rId10704" xr:uid="{00000000-0004-0000-0200-0000CF290000}"/>
    <hyperlink ref="B3975" r:id="rId10705" xr:uid="{00000000-0004-0000-0200-0000D0290000}"/>
    <hyperlink ref="C3975" r:id="rId10706" xr:uid="{00000000-0004-0000-0200-0000D1290000}"/>
    <hyperlink ref="A3976" r:id="rId10707" xr:uid="{00000000-0004-0000-0200-0000D2290000}"/>
    <hyperlink ref="B3976" r:id="rId10708" xr:uid="{00000000-0004-0000-0200-0000D3290000}"/>
    <hyperlink ref="C3976" r:id="rId10709" xr:uid="{00000000-0004-0000-0200-0000D4290000}"/>
    <hyperlink ref="A3977" r:id="rId10710" xr:uid="{00000000-0004-0000-0200-0000D5290000}"/>
    <hyperlink ref="B3977" r:id="rId10711" xr:uid="{00000000-0004-0000-0200-0000D6290000}"/>
    <hyperlink ref="C3977" r:id="rId10712" xr:uid="{00000000-0004-0000-0200-0000D7290000}"/>
    <hyperlink ref="A3978" r:id="rId10713" xr:uid="{00000000-0004-0000-0200-0000D8290000}"/>
    <hyperlink ref="B3978" r:id="rId10714" xr:uid="{00000000-0004-0000-0200-0000D9290000}"/>
    <hyperlink ref="C3978" r:id="rId10715" xr:uid="{00000000-0004-0000-0200-0000DA290000}"/>
    <hyperlink ref="A3979" r:id="rId10716" xr:uid="{00000000-0004-0000-0200-0000DB290000}"/>
    <hyperlink ref="B3979" r:id="rId10717" xr:uid="{00000000-0004-0000-0200-0000DC290000}"/>
    <hyperlink ref="C3979" r:id="rId10718" xr:uid="{00000000-0004-0000-0200-0000DD290000}"/>
    <hyperlink ref="A3980" r:id="rId10719" xr:uid="{00000000-0004-0000-0200-0000DE290000}"/>
    <hyperlink ref="B3980" r:id="rId10720" xr:uid="{00000000-0004-0000-0200-0000DF290000}"/>
    <hyperlink ref="C3980" r:id="rId10721" xr:uid="{00000000-0004-0000-0200-0000E0290000}"/>
    <hyperlink ref="A3981" r:id="rId10722" xr:uid="{00000000-0004-0000-0200-0000E1290000}"/>
    <hyperlink ref="B3981" r:id="rId10723" xr:uid="{00000000-0004-0000-0200-0000E2290000}"/>
    <hyperlink ref="C3981" r:id="rId10724" xr:uid="{00000000-0004-0000-0200-0000E3290000}"/>
    <hyperlink ref="A3982" r:id="rId10725" xr:uid="{00000000-0004-0000-0200-0000E4290000}"/>
    <hyperlink ref="B3982" r:id="rId10726" xr:uid="{00000000-0004-0000-0200-0000E5290000}"/>
    <hyperlink ref="C3982" r:id="rId10727" xr:uid="{00000000-0004-0000-0200-0000E6290000}"/>
    <hyperlink ref="A3983" r:id="rId10728" xr:uid="{00000000-0004-0000-0200-0000E7290000}"/>
    <hyperlink ref="B3983" r:id="rId10729" xr:uid="{00000000-0004-0000-0200-0000E8290000}"/>
    <hyperlink ref="C3983" r:id="rId10730" xr:uid="{00000000-0004-0000-0200-0000E9290000}"/>
    <hyperlink ref="A3984" r:id="rId10731" xr:uid="{00000000-0004-0000-0200-0000EA290000}"/>
    <hyperlink ref="B3984" r:id="rId10732" xr:uid="{00000000-0004-0000-0200-0000EB290000}"/>
    <hyperlink ref="C3984" r:id="rId10733" xr:uid="{00000000-0004-0000-0200-0000EC290000}"/>
    <hyperlink ref="A3985" r:id="rId10734" xr:uid="{00000000-0004-0000-0200-0000ED290000}"/>
    <hyperlink ref="B3985" r:id="rId10735" xr:uid="{00000000-0004-0000-0200-0000EE290000}"/>
    <hyperlink ref="C3985" r:id="rId10736" xr:uid="{00000000-0004-0000-0200-0000EF290000}"/>
    <hyperlink ref="A3986" r:id="rId10737" xr:uid="{00000000-0004-0000-0200-0000F0290000}"/>
    <hyperlink ref="B3986" r:id="rId10738" xr:uid="{00000000-0004-0000-0200-0000F1290000}"/>
    <hyperlink ref="C3986" r:id="rId10739" xr:uid="{00000000-0004-0000-0200-0000F2290000}"/>
    <hyperlink ref="A3987" r:id="rId10740" xr:uid="{00000000-0004-0000-0200-0000F3290000}"/>
    <hyperlink ref="B3987" r:id="rId10741" xr:uid="{00000000-0004-0000-0200-0000F4290000}"/>
    <hyperlink ref="C3987" r:id="rId10742" xr:uid="{00000000-0004-0000-0200-0000F5290000}"/>
    <hyperlink ref="A3988" r:id="rId10743" xr:uid="{00000000-0004-0000-0200-0000F6290000}"/>
    <hyperlink ref="B3988" r:id="rId10744" xr:uid="{00000000-0004-0000-0200-0000F7290000}"/>
    <hyperlink ref="C3988" r:id="rId10745" xr:uid="{00000000-0004-0000-0200-0000F8290000}"/>
    <hyperlink ref="A3989" r:id="rId10746" xr:uid="{00000000-0004-0000-0200-0000F9290000}"/>
    <hyperlink ref="B3989" r:id="rId10747" xr:uid="{00000000-0004-0000-0200-0000FA290000}"/>
    <hyperlink ref="C3989" r:id="rId10748" xr:uid="{00000000-0004-0000-0200-0000FB290000}"/>
    <hyperlink ref="A3990" r:id="rId10749" xr:uid="{00000000-0004-0000-0200-0000FC290000}"/>
    <hyperlink ref="B3990" r:id="rId10750" xr:uid="{00000000-0004-0000-0200-0000FD290000}"/>
    <hyperlink ref="C3990" r:id="rId10751" xr:uid="{00000000-0004-0000-0200-0000FE290000}"/>
    <hyperlink ref="A3991" r:id="rId10752" xr:uid="{00000000-0004-0000-0200-0000FF290000}"/>
    <hyperlink ref="B3991" r:id="rId10753" xr:uid="{00000000-0004-0000-0200-0000002A0000}"/>
    <hyperlink ref="C3991" r:id="rId10754" xr:uid="{00000000-0004-0000-0200-0000012A0000}"/>
    <hyperlink ref="A3992" r:id="rId10755" xr:uid="{00000000-0004-0000-0200-0000022A0000}"/>
    <hyperlink ref="B3992" r:id="rId10756" xr:uid="{00000000-0004-0000-0200-0000032A0000}"/>
    <hyperlink ref="C3992" r:id="rId10757" xr:uid="{00000000-0004-0000-0200-0000042A0000}"/>
    <hyperlink ref="A3993" r:id="rId10758" xr:uid="{00000000-0004-0000-0200-0000052A0000}"/>
    <hyperlink ref="B3993" r:id="rId10759" xr:uid="{00000000-0004-0000-0200-0000062A0000}"/>
    <hyperlink ref="C3993" r:id="rId10760" xr:uid="{00000000-0004-0000-0200-0000072A0000}"/>
    <hyperlink ref="A3994" r:id="rId10761" xr:uid="{00000000-0004-0000-0200-0000082A0000}"/>
    <hyperlink ref="B3994" r:id="rId10762" xr:uid="{00000000-0004-0000-0200-0000092A0000}"/>
    <hyperlink ref="C3994" r:id="rId10763" xr:uid="{00000000-0004-0000-0200-00000A2A0000}"/>
    <hyperlink ref="A3995" r:id="rId10764" xr:uid="{00000000-0004-0000-0200-00000B2A0000}"/>
    <hyperlink ref="B3995" r:id="rId10765" xr:uid="{00000000-0004-0000-0200-00000C2A0000}"/>
    <hyperlink ref="C3995" r:id="rId10766" xr:uid="{00000000-0004-0000-0200-00000D2A0000}"/>
    <hyperlink ref="A3996" r:id="rId10767" xr:uid="{00000000-0004-0000-0200-00000E2A0000}"/>
    <hyperlink ref="B3996" r:id="rId10768" xr:uid="{00000000-0004-0000-0200-00000F2A0000}"/>
    <hyperlink ref="C3996" r:id="rId10769" xr:uid="{00000000-0004-0000-0200-0000102A0000}"/>
    <hyperlink ref="A3997" r:id="rId10770" xr:uid="{00000000-0004-0000-0200-0000112A0000}"/>
    <hyperlink ref="B3997" r:id="rId10771" xr:uid="{00000000-0004-0000-0200-0000122A0000}"/>
    <hyperlink ref="C3997" r:id="rId10772" xr:uid="{00000000-0004-0000-0200-0000132A0000}"/>
    <hyperlink ref="A3998" r:id="rId10773" xr:uid="{00000000-0004-0000-0200-0000142A0000}"/>
    <hyperlink ref="B3998" r:id="rId10774" xr:uid="{00000000-0004-0000-0200-0000152A0000}"/>
    <hyperlink ref="C3998" r:id="rId10775" xr:uid="{00000000-0004-0000-0200-0000162A0000}"/>
    <hyperlink ref="A3999" r:id="rId10776" xr:uid="{00000000-0004-0000-0200-0000172A0000}"/>
    <hyperlink ref="B3999" r:id="rId10777" xr:uid="{00000000-0004-0000-0200-0000182A0000}"/>
    <hyperlink ref="C3999" r:id="rId10778" xr:uid="{00000000-0004-0000-0200-0000192A0000}"/>
    <hyperlink ref="A4000" r:id="rId10779" xr:uid="{00000000-0004-0000-0200-00001A2A0000}"/>
    <hyperlink ref="B4000" r:id="rId10780" xr:uid="{00000000-0004-0000-0200-00001B2A0000}"/>
    <hyperlink ref="C4000" r:id="rId10781" xr:uid="{00000000-0004-0000-0200-00001C2A0000}"/>
    <hyperlink ref="A4001" r:id="rId10782" xr:uid="{00000000-0004-0000-0200-00001D2A0000}"/>
    <hyperlink ref="B4001" r:id="rId10783" xr:uid="{00000000-0004-0000-0200-00001E2A0000}"/>
    <hyperlink ref="C4001" r:id="rId10784" xr:uid="{00000000-0004-0000-0200-00001F2A0000}"/>
    <hyperlink ref="A4002" r:id="rId10785" xr:uid="{00000000-0004-0000-0200-0000202A0000}"/>
    <hyperlink ref="B4002" r:id="rId10786" xr:uid="{00000000-0004-0000-0200-0000212A0000}"/>
    <hyperlink ref="C4002" r:id="rId10787" xr:uid="{00000000-0004-0000-0200-0000222A0000}"/>
    <hyperlink ref="A4003" r:id="rId10788" xr:uid="{00000000-0004-0000-0200-0000232A0000}"/>
    <hyperlink ref="B4003" r:id="rId10789" xr:uid="{00000000-0004-0000-0200-0000242A0000}"/>
    <hyperlink ref="C4003" r:id="rId10790" xr:uid="{00000000-0004-0000-0200-0000252A0000}"/>
    <hyperlink ref="A4004" r:id="rId10791" xr:uid="{00000000-0004-0000-0200-0000262A0000}"/>
    <hyperlink ref="B4004" r:id="rId10792" xr:uid="{00000000-0004-0000-0200-0000272A0000}"/>
    <hyperlink ref="C4004" r:id="rId10793" xr:uid="{00000000-0004-0000-0200-0000282A0000}"/>
    <hyperlink ref="A4005" r:id="rId10794" xr:uid="{00000000-0004-0000-0200-0000292A0000}"/>
    <hyperlink ref="B4005" r:id="rId10795" xr:uid="{00000000-0004-0000-0200-00002A2A0000}"/>
    <hyperlink ref="C4005" r:id="rId10796" xr:uid="{00000000-0004-0000-0200-00002B2A0000}"/>
    <hyperlink ref="A4006" r:id="rId10797" xr:uid="{00000000-0004-0000-0200-00002C2A0000}"/>
    <hyperlink ref="B4006" r:id="rId10798" xr:uid="{00000000-0004-0000-0200-00002D2A0000}"/>
    <hyperlink ref="C4006" r:id="rId10799" xr:uid="{00000000-0004-0000-0200-00002E2A0000}"/>
    <hyperlink ref="A4007" r:id="rId10800" xr:uid="{00000000-0004-0000-0200-00002F2A0000}"/>
    <hyperlink ref="B4007" r:id="rId10801" xr:uid="{00000000-0004-0000-0200-0000302A0000}"/>
    <hyperlink ref="C4007" r:id="rId10802" xr:uid="{00000000-0004-0000-0200-0000312A0000}"/>
    <hyperlink ref="A4008" r:id="rId10803" xr:uid="{00000000-0004-0000-0200-0000322A0000}"/>
    <hyperlink ref="B4008" r:id="rId10804" xr:uid="{00000000-0004-0000-0200-0000332A0000}"/>
    <hyperlink ref="C4008" r:id="rId10805" xr:uid="{00000000-0004-0000-0200-0000342A0000}"/>
    <hyperlink ref="A4009" r:id="rId10806" xr:uid="{00000000-0004-0000-0200-0000352A0000}"/>
    <hyperlink ref="B4009" r:id="rId10807" xr:uid="{00000000-0004-0000-0200-0000362A0000}"/>
    <hyperlink ref="C4009" r:id="rId10808" xr:uid="{00000000-0004-0000-0200-0000372A0000}"/>
    <hyperlink ref="A4010" r:id="rId10809" xr:uid="{00000000-0004-0000-0200-0000382A0000}"/>
    <hyperlink ref="B4010" r:id="rId10810" xr:uid="{00000000-0004-0000-0200-0000392A0000}"/>
    <hyperlink ref="C4010" r:id="rId10811" xr:uid="{00000000-0004-0000-0200-00003A2A0000}"/>
    <hyperlink ref="A4011" r:id="rId10812" xr:uid="{00000000-0004-0000-0200-00003B2A0000}"/>
    <hyperlink ref="B4011" r:id="rId10813" xr:uid="{00000000-0004-0000-0200-00003C2A0000}"/>
    <hyperlink ref="C4011" r:id="rId10814" xr:uid="{00000000-0004-0000-0200-00003D2A0000}"/>
    <hyperlink ref="A4012" r:id="rId10815" xr:uid="{00000000-0004-0000-0200-00003E2A0000}"/>
    <hyperlink ref="B4012" r:id="rId10816" xr:uid="{00000000-0004-0000-0200-00003F2A0000}"/>
    <hyperlink ref="C4012" r:id="rId10817" xr:uid="{00000000-0004-0000-0200-0000402A0000}"/>
    <hyperlink ref="A4013" r:id="rId10818" xr:uid="{00000000-0004-0000-0200-0000412A0000}"/>
    <hyperlink ref="B4013" r:id="rId10819" xr:uid="{00000000-0004-0000-0200-0000422A0000}"/>
    <hyperlink ref="C4013" r:id="rId10820" xr:uid="{00000000-0004-0000-0200-0000432A0000}"/>
    <hyperlink ref="A4014" r:id="rId10821" xr:uid="{00000000-0004-0000-0200-0000442A0000}"/>
    <hyperlink ref="B4014" r:id="rId10822" xr:uid="{00000000-0004-0000-0200-0000452A0000}"/>
    <hyperlink ref="C4014" r:id="rId10823" xr:uid="{00000000-0004-0000-0200-0000462A0000}"/>
    <hyperlink ref="A4015" r:id="rId10824" xr:uid="{00000000-0004-0000-0200-0000472A0000}"/>
    <hyperlink ref="B4015" r:id="rId10825" xr:uid="{00000000-0004-0000-0200-0000482A0000}"/>
    <hyperlink ref="C4015" r:id="rId10826" xr:uid="{00000000-0004-0000-0200-0000492A0000}"/>
    <hyperlink ref="A4016" r:id="rId10827" xr:uid="{00000000-0004-0000-0200-00004A2A0000}"/>
    <hyperlink ref="B4016" r:id="rId10828" xr:uid="{00000000-0004-0000-0200-00004B2A0000}"/>
    <hyperlink ref="C4016" r:id="rId10829" xr:uid="{00000000-0004-0000-0200-00004C2A0000}"/>
    <hyperlink ref="A4017" r:id="rId10830" xr:uid="{00000000-0004-0000-0200-00004D2A0000}"/>
    <hyperlink ref="B4017" r:id="rId10831" xr:uid="{00000000-0004-0000-0200-00004E2A0000}"/>
    <hyperlink ref="C4017" r:id="rId10832" xr:uid="{00000000-0004-0000-0200-00004F2A0000}"/>
    <hyperlink ref="A4018" r:id="rId10833" xr:uid="{00000000-0004-0000-0200-0000502A0000}"/>
    <hyperlink ref="B4018" r:id="rId10834" xr:uid="{00000000-0004-0000-0200-0000512A0000}"/>
    <hyperlink ref="C4018" r:id="rId10835" xr:uid="{00000000-0004-0000-0200-0000522A0000}"/>
    <hyperlink ref="A4019" r:id="rId10836" xr:uid="{00000000-0004-0000-0200-0000532A0000}"/>
    <hyperlink ref="B4019" r:id="rId10837" xr:uid="{00000000-0004-0000-0200-0000542A0000}"/>
    <hyperlink ref="C4019" r:id="rId10838" xr:uid="{00000000-0004-0000-0200-0000552A0000}"/>
    <hyperlink ref="A4020" r:id="rId10839" xr:uid="{00000000-0004-0000-0200-0000562A0000}"/>
    <hyperlink ref="B4020" r:id="rId10840" xr:uid="{00000000-0004-0000-0200-0000572A0000}"/>
    <hyperlink ref="C4020" r:id="rId10841" xr:uid="{00000000-0004-0000-0200-0000582A0000}"/>
    <hyperlink ref="A4021" r:id="rId10842" xr:uid="{00000000-0004-0000-0200-0000592A0000}"/>
    <hyperlink ref="B4021" r:id="rId10843" xr:uid="{00000000-0004-0000-0200-00005A2A0000}"/>
    <hyperlink ref="C4021" r:id="rId10844" xr:uid="{00000000-0004-0000-0200-00005B2A0000}"/>
    <hyperlink ref="A4022" r:id="rId10845" xr:uid="{00000000-0004-0000-0200-00005C2A0000}"/>
    <hyperlink ref="B4022" r:id="rId10846" xr:uid="{00000000-0004-0000-0200-00005D2A0000}"/>
    <hyperlink ref="C4022" r:id="rId10847" xr:uid="{00000000-0004-0000-0200-00005E2A0000}"/>
    <hyperlink ref="A4023" r:id="rId10848" xr:uid="{00000000-0004-0000-0200-00005F2A0000}"/>
    <hyperlink ref="B4023" r:id="rId10849" xr:uid="{00000000-0004-0000-0200-0000602A0000}"/>
    <hyperlink ref="C4023" r:id="rId10850" xr:uid="{00000000-0004-0000-0200-0000612A0000}"/>
    <hyperlink ref="A4024" r:id="rId10851" xr:uid="{00000000-0004-0000-0200-0000622A0000}"/>
    <hyperlink ref="B4024" r:id="rId10852" xr:uid="{00000000-0004-0000-0200-0000632A0000}"/>
    <hyperlink ref="C4024" r:id="rId10853" xr:uid="{00000000-0004-0000-0200-0000642A0000}"/>
    <hyperlink ref="A4025" r:id="rId10854" xr:uid="{00000000-0004-0000-0200-0000652A0000}"/>
    <hyperlink ref="B4025" r:id="rId10855" xr:uid="{00000000-0004-0000-0200-0000662A0000}"/>
    <hyperlink ref="C4025" r:id="rId10856" xr:uid="{00000000-0004-0000-0200-0000672A0000}"/>
    <hyperlink ref="A4026" r:id="rId10857" xr:uid="{00000000-0004-0000-0200-0000682A0000}"/>
    <hyperlink ref="B4026" r:id="rId10858" xr:uid="{00000000-0004-0000-0200-0000692A0000}"/>
    <hyperlink ref="C4026" r:id="rId10859" xr:uid="{00000000-0004-0000-0200-00006A2A0000}"/>
    <hyperlink ref="A4027" r:id="rId10860" xr:uid="{00000000-0004-0000-0200-00006B2A0000}"/>
    <hyperlink ref="B4027" r:id="rId10861" xr:uid="{00000000-0004-0000-0200-00006C2A0000}"/>
    <hyperlink ref="C4027" r:id="rId10862" xr:uid="{00000000-0004-0000-0200-00006D2A0000}"/>
    <hyperlink ref="A4028" r:id="rId10863" xr:uid="{00000000-0004-0000-0200-00006E2A0000}"/>
    <hyperlink ref="B4028" r:id="rId10864" xr:uid="{00000000-0004-0000-0200-00006F2A0000}"/>
    <hyperlink ref="C4028" r:id="rId10865" xr:uid="{00000000-0004-0000-0200-0000702A0000}"/>
    <hyperlink ref="A4029" r:id="rId10866" xr:uid="{00000000-0004-0000-0200-0000712A0000}"/>
    <hyperlink ref="B4029" r:id="rId10867" xr:uid="{00000000-0004-0000-0200-0000722A0000}"/>
    <hyperlink ref="C4029" r:id="rId10868" xr:uid="{00000000-0004-0000-0200-0000732A0000}"/>
    <hyperlink ref="A4030" r:id="rId10869" xr:uid="{00000000-0004-0000-0200-0000742A0000}"/>
    <hyperlink ref="B4030" r:id="rId10870" xr:uid="{00000000-0004-0000-0200-0000752A0000}"/>
    <hyperlink ref="C4030" r:id="rId10871" xr:uid="{00000000-0004-0000-0200-0000762A0000}"/>
    <hyperlink ref="A4031" r:id="rId10872" xr:uid="{00000000-0004-0000-0200-0000772A0000}"/>
    <hyperlink ref="B4031" r:id="rId10873" xr:uid="{00000000-0004-0000-0200-0000782A0000}"/>
    <hyperlink ref="C4031" r:id="rId10874" xr:uid="{00000000-0004-0000-0200-0000792A0000}"/>
    <hyperlink ref="A4032" r:id="rId10875" xr:uid="{00000000-0004-0000-0200-00007A2A0000}"/>
    <hyperlink ref="B4032" r:id="rId10876" xr:uid="{00000000-0004-0000-0200-00007B2A0000}"/>
    <hyperlink ref="C4032" r:id="rId10877" xr:uid="{00000000-0004-0000-0200-00007C2A0000}"/>
    <hyperlink ref="A4033" r:id="rId10878" xr:uid="{00000000-0004-0000-0200-00007D2A0000}"/>
    <hyperlink ref="B4033" r:id="rId10879" xr:uid="{00000000-0004-0000-0200-00007E2A0000}"/>
    <hyperlink ref="C4033" r:id="rId10880" xr:uid="{00000000-0004-0000-0200-00007F2A0000}"/>
    <hyperlink ref="A4034" r:id="rId10881" xr:uid="{00000000-0004-0000-0200-0000802A0000}"/>
    <hyperlink ref="B4034" r:id="rId10882" xr:uid="{00000000-0004-0000-0200-0000812A0000}"/>
    <hyperlink ref="C4034" r:id="rId10883" xr:uid="{00000000-0004-0000-0200-0000822A0000}"/>
    <hyperlink ref="A4035" r:id="rId10884" xr:uid="{00000000-0004-0000-0200-0000832A0000}"/>
    <hyperlink ref="B4035" r:id="rId10885" xr:uid="{00000000-0004-0000-0200-0000842A0000}"/>
    <hyperlink ref="C4035" r:id="rId10886" xr:uid="{00000000-0004-0000-0200-0000852A0000}"/>
    <hyperlink ref="A4036" r:id="rId10887" xr:uid="{00000000-0004-0000-0200-0000862A0000}"/>
    <hyperlink ref="B4036" r:id="rId10888" xr:uid="{00000000-0004-0000-0200-0000872A0000}"/>
    <hyperlink ref="C4036" r:id="rId10889" xr:uid="{00000000-0004-0000-0200-0000882A0000}"/>
    <hyperlink ref="A4037" r:id="rId10890" xr:uid="{00000000-0004-0000-0200-0000892A0000}"/>
    <hyperlink ref="B4037" r:id="rId10891" xr:uid="{00000000-0004-0000-0200-00008A2A0000}"/>
    <hyperlink ref="C4037" r:id="rId10892" xr:uid="{00000000-0004-0000-0200-00008B2A0000}"/>
    <hyperlink ref="A4038" r:id="rId10893" xr:uid="{00000000-0004-0000-0200-00008C2A0000}"/>
    <hyperlink ref="B4038" r:id="rId10894" xr:uid="{00000000-0004-0000-0200-00008D2A0000}"/>
    <hyperlink ref="C4038" r:id="rId10895" xr:uid="{00000000-0004-0000-0200-00008E2A0000}"/>
    <hyperlink ref="A4039" r:id="rId10896" xr:uid="{00000000-0004-0000-0200-00008F2A0000}"/>
    <hyperlink ref="B4039" r:id="rId10897" xr:uid="{00000000-0004-0000-0200-0000902A0000}"/>
    <hyperlink ref="C4039" r:id="rId10898" xr:uid="{00000000-0004-0000-0200-0000912A0000}"/>
    <hyperlink ref="A4040" r:id="rId10899" xr:uid="{00000000-0004-0000-0200-0000922A0000}"/>
    <hyperlink ref="B4040" r:id="rId10900" xr:uid="{00000000-0004-0000-0200-0000932A0000}"/>
    <hyperlink ref="C4040" r:id="rId10901" xr:uid="{00000000-0004-0000-0200-0000942A0000}"/>
    <hyperlink ref="A4041" r:id="rId10902" xr:uid="{00000000-0004-0000-0200-0000952A0000}"/>
    <hyperlink ref="B4041" r:id="rId10903" xr:uid="{00000000-0004-0000-0200-0000962A0000}"/>
    <hyperlink ref="C4041" r:id="rId10904" xr:uid="{00000000-0004-0000-0200-0000972A0000}"/>
    <hyperlink ref="A4042" r:id="rId10905" xr:uid="{00000000-0004-0000-0200-0000982A0000}"/>
    <hyperlink ref="B4042" r:id="rId10906" xr:uid="{00000000-0004-0000-0200-0000992A0000}"/>
    <hyperlink ref="C4042" r:id="rId10907" xr:uid="{00000000-0004-0000-0200-00009A2A0000}"/>
    <hyperlink ref="A4043" r:id="rId10908" xr:uid="{00000000-0004-0000-0200-00009B2A0000}"/>
    <hyperlink ref="B4043" r:id="rId10909" xr:uid="{00000000-0004-0000-0200-00009C2A0000}"/>
    <hyperlink ref="C4043" r:id="rId10910" xr:uid="{00000000-0004-0000-0200-00009D2A0000}"/>
    <hyperlink ref="A4044" r:id="rId10911" xr:uid="{00000000-0004-0000-0200-00009E2A0000}"/>
    <hyperlink ref="B4044" r:id="rId10912" xr:uid="{00000000-0004-0000-0200-00009F2A0000}"/>
    <hyperlink ref="C4044" r:id="rId10913" xr:uid="{00000000-0004-0000-0200-0000A02A0000}"/>
    <hyperlink ref="A4045" r:id="rId10914" xr:uid="{00000000-0004-0000-0200-0000A12A0000}"/>
    <hyperlink ref="B4045" r:id="rId10915" xr:uid="{00000000-0004-0000-0200-0000A22A0000}"/>
    <hyperlink ref="C4045" r:id="rId10916" xr:uid="{00000000-0004-0000-0200-0000A32A0000}"/>
    <hyperlink ref="A4046" r:id="rId10917" xr:uid="{00000000-0004-0000-0200-0000A42A0000}"/>
    <hyperlink ref="B4046" r:id="rId10918" xr:uid="{00000000-0004-0000-0200-0000A52A0000}"/>
    <hyperlink ref="C4046" r:id="rId10919" xr:uid="{00000000-0004-0000-0200-0000A62A0000}"/>
    <hyperlink ref="A4047" r:id="rId10920" xr:uid="{00000000-0004-0000-0200-0000A72A0000}"/>
    <hyperlink ref="B4047" r:id="rId10921" xr:uid="{00000000-0004-0000-0200-0000A82A0000}"/>
    <hyperlink ref="C4047" r:id="rId10922" xr:uid="{00000000-0004-0000-0200-0000A92A0000}"/>
    <hyperlink ref="A4048" r:id="rId10923" xr:uid="{00000000-0004-0000-0200-0000AA2A0000}"/>
    <hyperlink ref="B4048" r:id="rId10924" xr:uid="{00000000-0004-0000-0200-0000AB2A0000}"/>
    <hyperlink ref="C4048" r:id="rId10925" xr:uid="{00000000-0004-0000-0200-0000AC2A0000}"/>
    <hyperlink ref="A4049" r:id="rId10926" xr:uid="{00000000-0004-0000-0200-0000AD2A0000}"/>
    <hyperlink ref="B4049" r:id="rId10927" xr:uid="{00000000-0004-0000-0200-0000AE2A0000}"/>
    <hyperlink ref="C4049" r:id="rId10928" xr:uid="{00000000-0004-0000-0200-0000AF2A0000}"/>
    <hyperlink ref="A4050" r:id="rId10929" xr:uid="{00000000-0004-0000-0200-0000B02A0000}"/>
    <hyperlink ref="B4050" r:id="rId10930" xr:uid="{00000000-0004-0000-0200-0000B12A0000}"/>
    <hyperlink ref="C4050" r:id="rId10931" xr:uid="{00000000-0004-0000-0200-0000B22A0000}"/>
    <hyperlink ref="A4051" r:id="rId10932" xr:uid="{00000000-0004-0000-0200-0000B32A0000}"/>
    <hyperlink ref="B4051" r:id="rId10933" xr:uid="{00000000-0004-0000-0200-0000B42A0000}"/>
    <hyperlink ref="C4051" r:id="rId10934" xr:uid="{00000000-0004-0000-0200-0000B52A0000}"/>
    <hyperlink ref="A4052" r:id="rId10935" xr:uid="{00000000-0004-0000-0200-0000B62A0000}"/>
    <hyperlink ref="B4052" r:id="rId10936" xr:uid="{00000000-0004-0000-0200-0000B72A0000}"/>
    <hyperlink ref="C4052" r:id="rId10937" xr:uid="{00000000-0004-0000-0200-0000B82A0000}"/>
    <hyperlink ref="A4053" r:id="rId10938" xr:uid="{00000000-0004-0000-0200-0000B92A0000}"/>
    <hyperlink ref="B4053" r:id="rId10939" xr:uid="{00000000-0004-0000-0200-0000BA2A0000}"/>
    <hyperlink ref="C4053" r:id="rId10940" xr:uid="{00000000-0004-0000-0200-0000BB2A0000}"/>
    <hyperlink ref="A4054" r:id="rId10941" xr:uid="{00000000-0004-0000-0200-0000BC2A0000}"/>
    <hyperlink ref="B4054" r:id="rId10942" xr:uid="{00000000-0004-0000-0200-0000BD2A0000}"/>
    <hyperlink ref="C4054" r:id="rId10943" xr:uid="{00000000-0004-0000-0200-0000BE2A0000}"/>
    <hyperlink ref="A4055" r:id="rId10944" xr:uid="{00000000-0004-0000-0200-0000BF2A0000}"/>
    <hyperlink ref="B4055" r:id="rId10945" xr:uid="{00000000-0004-0000-0200-0000C02A0000}"/>
    <hyperlink ref="C4055" r:id="rId10946" xr:uid="{00000000-0004-0000-0200-0000C12A0000}"/>
    <hyperlink ref="A4056" r:id="rId10947" xr:uid="{00000000-0004-0000-0200-0000C22A0000}"/>
    <hyperlink ref="B4056" r:id="rId10948" xr:uid="{00000000-0004-0000-0200-0000C32A0000}"/>
    <hyperlink ref="C4056" r:id="rId10949" xr:uid="{00000000-0004-0000-0200-0000C42A0000}"/>
    <hyperlink ref="A4057" r:id="rId10950" xr:uid="{00000000-0004-0000-0200-0000C52A0000}"/>
    <hyperlink ref="B4057" r:id="rId10951" xr:uid="{00000000-0004-0000-0200-0000C62A0000}"/>
    <hyperlink ref="C4057" r:id="rId10952" xr:uid="{00000000-0004-0000-0200-0000C72A0000}"/>
    <hyperlink ref="A4058" r:id="rId10953" xr:uid="{00000000-0004-0000-0200-0000C82A0000}"/>
    <hyperlink ref="B4058" r:id="rId10954" xr:uid="{00000000-0004-0000-0200-0000C92A0000}"/>
    <hyperlink ref="C4058" r:id="rId10955" xr:uid="{00000000-0004-0000-0200-0000CA2A0000}"/>
    <hyperlink ref="A4059" r:id="rId10956" xr:uid="{00000000-0004-0000-0200-0000CB2A0000}"/>
    <hyperlink ref="B4059" r:id="rId10957" xr:uid="{00000000-0004-0000-0200-0000CC2A0000}"/>
    <hyperlink ref="C4059" r:id="rId10958" xr:uid="{00000000-0004-0000-0200-0000CD2A0000}"/>
    <hyperlink ref="A4060" r:id="rId10959" xr:uid="{00000000-0004-0000-0200-0000CE2A0000}"/>
    <hyperlink ref="B4060" r:id="rId10960" xr:uid="{00000000-0004-0000-0200-0000CF2A0000}"/>
    <hyperlink ref="C4060" r:id="rId10961" xr:uid="{00000000-0004-0000-0200-0000D02A0000}"/>
    <hyperlink ref="A4061" r:id="rId10962" xr:uid="{00000000-0004-0000-0200-0000D12A0000}"/>
    <hyperlink ref="B4061" r:id="rId10963" xr:uid="{00000000-0004-0000-0200-0000D22A0000}"/>
    <hyperlink ref="C4061" r:id="rId10964" xr:uid="{00000000-0004-0000-0200-0000D32A0000}"/>
    <hyperlink ref="A4062" r:id="rId10965" xr:uid="{00000000-0004-0000-0200-0000D42A0000}"/>
    <hyperlink ref="B4062" r:id="rId10966" xr:uid="{00000000-0004-0000-0200-0000D52A0000}"/>
    <hyperlink ref="C4062" r:id="rId10967" xr:uid="{00000000-0004-0000-0200-0000D62A0000}"/>
    <hyperlink ref="A4063" r:id="rId10968" xr:uid="{00000000-0004-0000-0200-0000D72A0000}"/>
    <hyperlink ref="B4063" r:id="rId10969" xr:uid="{00000000-0004-0000-0200-0000D82A0000}"/>
    <hyperlink ref="C4063" r:id="rId10970" xr:uid="{00000000-0004-0000-0200-0000D92A0000}"/>
    <hyperlink ref="A4064" r:id="rId10971" xr:uid="{00000000-0004-0000-0200-0000DA2A0000}"/>
    <hyperlink ref="B4064" r:id="rId10972" xr:uid="{00000000-0004-0000-0200-0000DB2A0000}"/>
    <hyperlink ref="C4064" r:id="rId10973" xr:uid="{00000000-0004-0000-0200-0000DC2A0000}"/>
    <hyperlink ref="A4065" r:id="rId10974" xr:uid="{00000000-0004-0000-0200-0000DD2A0000}"/>
    <hyperlink ref="B4065" r:id="rId10975" xr:uid="{00000000-0004-0000-0200-0000DE2A0000}"/>
    <hyperlink ref="C4065" r:id="rId10976" xr:uid="{00000000-0004-0000-0200-0000DF2A0000}"/>
    <hyperlink ref="A4066" r:id="rId10977" xr:uid="{00000000-0004-0000-0200-0000E02A0000}"/>
    <hyperlink ref="B4066" r:id="rId10978" xr:uid="{00000000-0004-0000-0200-0000E12A0000}"/>
    <hyperlink ref="C4066" r:id="rId10979" xr:uid="{00000000-0004-0000-0200-0000E22A0000}"/>
    <hyperlink ref="A4067" r:id="rId10980" xr:uid="{00000000-0004-0000-0200-0000E32A0000}"/>
    <hyperlink ref="B4067" r:id="rId10981" xr:uid="{00000000-0004-0000-0200-0000E42A0000}"/>
    <hyperlink ref="C4067" r:id="rId10982" xr:uid="{00000000-0004-0000-0200-0000E52A0000}"/>
    <hyperlink ref="A4068" r:id="rId10983" xr:uid="{00000000-0004-0000-0200-0000E62A0000}"/>
    <hyperlink ref="B4068" r:id="rId10984" xr:uid="{00000000-0004-0000-0200-0000E72A0000}"/>
    <hyperlink ref="C4068" r:id="rId10985" xr:uid="{00000000-0004-0000-0200-0000E82A0000}"/>
    <hyperlink ref="A4069" r:id="rId10986" xr:uid="{00000000-0004-0000-0200-0000E92A0000}"/>
    <hyperlink ref="B4069" r:id="rId10987" xr:uid="{00000000-0004-0000-0200-0000EA2A0000}"/>
    <hyperlink ref="C4069" r:id="rId10988" xr:uid="{00000000-0004-0000-0200-0000EB2A0000}"/>
    <hyperlink ref="A4070" r:id="rId10989" xr:uid="{00000000-0004-0000-0200-0000EC2A0000}"/>
    <hyperlink ref="B4070" r:id="rId10990" xr:uid="{00000000-0004-0000-0200-0000ED2A0000}"/>
    <hyperlink ref="C4070" r:id="rId10991" xr:uid="{00000000-0004-0000-0200-0000EE2A0000}"/>
    <hyperlink ref="A4071" r:id="rId10992" xr:uid="{00000000-0004-0000-0200-0000EF2A0000}"/>
    <hyperlink ref="B4071" r:id="rId10993" xr:uid="{00000000-0004-0000-0200-0000F02A0000}"/>
    <hyperlink ref="C4071" r:id="rId10994" xr:uid="{00000000-0004-0000-0200-0000F12A0000}"/>
    <hyperlink ref="A4072" r:id="rId10995" xr:uid="{00000000-0004-0000-0200-0000F22A0000}"/>
    <hyperlink ref="B4072" r:id="rId10996" xr:uid="{00000000-0004-0000-0200-0000F32A0000}"/>
    <hyperlink ref="C4072" r:id="rId10997" xr:uid="{00000000-0004-0000-0200-0000F42A0000}"/>
    <hyperlink ref="A4073" r:id="rId10998" xr:uid="{00000000-0004-0000-0200-0000F52A0000}"/>
    <hyperlink ref="B4073" r:id="rId10999" xr:uid="{00000000-0004-0000-0200-0000F62A0000}"/>
    <hyperlink ref="C4073" r:id="rId11000" xr:uid="{00000000-0004-0000-0200-0000F72A0000}"/>
    <hyperlink ref="A4074" r:id="rId11001" xr:uid="{00000000-0004-0000-0200-0000F82A0000}"/>
    <hyperlink ref="B4074" r:id="rId11002" xr:uid="{00000000-0004-0000-0200-0000F92A0000}"/>
    <hyperlink ref="C4074" r:id="rId11003" xr:uid="{00000000-0004-0000-0200-0000FA2A0000}"/>
    <hyperlink ref="A4075" r:id="rId11004" xr:uid="{00000000-0004-0000-0200-0000FB2A0000}"/>
    <hyperlink ref="B4075" r:id="rId11005" xr:uid="{00000000-0004-0000-0200-0000FC2A0000}"/>
    <hyperlink ref="C4075" r:id="rId11006" xr:uid="{00000000-0004-0000-0200-0000FD2A0000}"/>
    <hyperlink ref="A4076" r:id="rId11007" xr:uid="{00000000-0004-0000-0200-0000FE2A0000}"/>
    <hyperlink ref="B4076" r:id="rId11008" xr:uid="{00000000-0004-0000-0200-0000FF2A0000}"/>
    <hyperlink ref="C4076" r:id="rId11009" xr:uid="{00000000-0004-0000-0200-0000002B0000}"/>
    <hyperlink ref="A4077" r:id="rId11010" xr:uid="{00000000-0004-0000-0200-0000012B0000}"/>
    <hyperlink ref="B4077" r:id="rId11011" xr:uid="{00000000-0004-0000-0200-0000022B0000}"/>
    <hyperlink ref="C4077" r:id="rId11012" xr:uid="{00000000-0004-0000-0200-0000032B0000}"/>
    <hyperlink ref="A4078" r:id="rId11013" xr:uid="{00000000-0004-0000-0200-0000042B0000}"/>
    <hyperlink ref="B4078" r:id="rId11014" xr:uid="{00000000-0004-0000-0200-0000052B0000}"/>
    <hyperlink ref="C4078" r:id="rId11015" xr:uid="{00000000-0004-0000-0200-0000062B0000}"/>
    <hyperlink ref="A4079" r:id="rId11016" xr:uid="{00000000-0004-0000-0200-0000072B0000}"/>
    <hyperlink ref="B4079" r:id="rId11017" xr:uid="{00000000-0004-0000-0200-0000082B0000}"/>
    <hyperlink ref="C4079" r:id="rId11018" xr:uid="{00000000-0004-0000-0200-0000092B0000}"/>
    <hyperlink ref="A4080" r:id="rId11019" xr:uid="{00000000-0004-0000-0200-00000A2B0000}"/>
    <hyperlink ref="B4080" r:id="rId11020" xr:uid="{00000000-0004-0000-0200-00000B2B0000}"/>
    <hyperlink ref="C4080" r:id="rId11021" xr:uid="{00000000-0004-0000-0200-00000C2B0000}"/>
    <hyperlink ref="A4081" r:id="rId11022" xr:uid="{00000000-0004-0000-0200-00000D2B0000}"/>
    <hyperlink ref="B4081" r:id="rId11023" xr:uid="{00000000-0004-0000-0200-00000E2B0000}"/>
    <hyperlink ref="C4081" r:id="rId11024" xr:uid="{00000000-0004-0000-0200-00000F2B0000}"/>
    <hyperlink ref="A4082" r:id="rId11025" xr:uid="{00000000-0004-0000-0200-0000102B0000}"/>
    <hyperlink ref="B4082" r:id="rId11026" xr:uid="{00000000-0004-0000-0200-0000112B0000}"/>
    <hyperlink ref="C4082" r:id="rId11027" xr:uid="{00000000-0004-0000-0200-0000122B0000}"/>
    <hyperlink ref="A4083" r:id="rId11028" xr:uid="{00000000-0004-0000-0200-0000132B0000}"/>
    <hyperlink ref="B4083" r:id="rId11029" xr:uid="{00000000-0004-0000-0200-0000142B0000}"/>
    <hyperlink ref="C4083" r:id="rId11030" xr:uid="{00000000-0004-0000-0200-0000152B0000}"/>
    <hyperlink ref="A4084" r:id="rId11031" xr:uid="{00000000-0004-0000-0200-0000162B0000}"/>
    <hyperlink ref="B4084" r:id="rId11032" xr:uid="{00000000-0004-0000-0200-0000172B0000}"/>
    <hyperlink ref="C4084" r:id="rId11033" xr:uid="{00000000-0004-0000-0200-0000182B0000}"/>
    <hyperlink ref="A4085" r:id="rId11034" xr:uid="{00000000-0004-0000-0200-0000192B0000}"/>
    <hyperlink ref="B4085" r:id="rId11035" xr:uid="{00000000-0004-0000-0200-00001A2B0000}"/>
    <hyperlink ref="C4085" r:id="rId11036" xr:uid="{00000000-0004-0000-0200-00001B2B0000}"/>
    <hyperlink ref="A4086" r:id="rId11037" xr:uid="{00000000-0004-0000-0200-00001C2B0000}"/>
    <hyperlink ref="B4086" r:id="rId11038" xr:uid="{00000000-0004-0000-0200-00001D2B0000}"/>
    <hyperlink ref="C4086" r:id="rId11039" xr:uid="{00000000-0004-0000-0200-00001E2B0000}"/>
    <hyperlink ref="A4087" r:id="rId11040" xr:uid="{00000000-0004-0000-0200-00001F2B0000}"/>
    <hyperlink ref="B4087" r:id="rId11041" xr:uid="{00000000-0004-0000-0200-0000202B0000}"/>
    <hyperlink ref="C4087" r:id="rId11042" xr:uid="{00000000-0004-0000-0200-0000212B0000}"/>
    <hyperlink ref="A4088" r:id="rId11043" xr:uid="{00000000-0004-0000-0200-0000222B0000}"/>
    <hyperlink ref="B4088" r:id="rId11044" xr:uid="{00000000-0004-0000-0200-0000232B0000}"/>
    <hyperlink ref="C4088" r:id="rId11045" xr:uid="{00000000-0004-0000-0200-0000242B0000}"/>
    <hyperlink ref="A4089" r:id="rId11046" xr:uid="{00000000-0004-0000-0200-0000252B0000}"/>
    <hyperlink ref="B4089" r:id="rId11047" xr:uid="{00000000-0004-0000-0200-0000262B0000}"/>
    <hyperlink ref="C4089" r:id="rId11048" xr:uid="{00000000-0004-0000-0200-0000272B0000}"/>
    <hyperlink ref="A4090" r:id="rId11049" xr:uid="{00000000-0004-0000-0200-0000282B0000}"/>
    <hyperlink ref="B4090" r:id="rId11050" xr:uid="{00000000-0004-0000-0200-0000292B0000}"/>
    <hyperlink ref="C4090" r:id="rId11051" xr:uid="{00000000-0004-0000-0200-00002A2B0000}"/>
    <hyperlink ref="A4091" r:id="rId11052" xr:uid="{00000000-0004-0000-0200-00002B2B0000}"/>
    <hyperlink ref="B4091" r:id="rId11053" xr:uid="{00000000-0004-0000-0200-00002C2B0000}"/>
    <hyperlink ref="C4091" r:id="rId11054" xr:uid="{00000000-0004-0000-0200-00002D2B0000}"/>
    <hyperlink ref="A4092" r:id="rId11055" xr:uid="{00000000-0004-0000-0200-00002E2B0000}"/>
    <hyperlink ref="B4092" r:id="rId11056" xr:uid="{00000000-0004-0000-0200-00002F2B0000}"/>
    <hyperlink ref="C4092" r:id="rId11057" xr:uid="{00000000-0004-0000-0200-0000302B0000}"/>
    <hyperlink ref="A4093" r:id="rId11058" xr:uid="{00000000-0004-0000-0200-0000312B0000}"/>
    <hyperlink ref="B4093" r:id="rId11059" xr:uid="{00000000-0004-0000-0200-0000322B0000}"/>
    <hyperlink ref="C4093" r:id="rId11060" xr:uid="{00000000-0004-0000-0200-0000332B0000}"/>
    <hyperlink ref="A4094" r:id="rId11061" xr:uid="{00000000-0004-0000-0200-0000342B0000}"/>
    <hyperlink ref="B4094" r:id="rId11062" xr:uid="{00000000-0004-0000-0200-0000352B0000}"/>
    <hyperlink ref="C4094" r:id="rId11063" xr:uid="{00000000-0004-0000-0200-0000362B0000}"/>
    <hyperlink ref="A4095" r:id="rId11064" xr:uid="{00000000-0004-0000-0200-0000372B0000}"/>
    <hyperlink ref="B4095" r:id="rId11065" xr:uid="{00000000-0004-0000-0200-0000382B0000}"/>
    <hyperlink ref="C4095" r:id="rId11066" xr:uid="{00000000-0004-0000-0200-0000392B0000}"/>
    <hyperlink ref="A4096" r:id="rId11067" xr:uid="{00000000-0004-0000-0200-00003A2B0000}"/>
    <hyperlink ref="B4096" r:id="rId11068" xr:uid="{00000000-0004-0000-0200-00003B2B0000}"/>
    <hyperlink ref="C4096" r:id="rId11069" xr:uid="{00000000-0004-0000-0200-00003C2B0000}"/>
    <hyperlink ref="A4097" r:id="rId11070" xr:uid="{00000000-0004-0000-0200-00003D2B0000}"/>
    <hyperlink ref="B4097" r:id="rId11071" xr:uid="{00000000-0004-0000-0200-00003E2B0000}"/>
    <hyperlink ref="C4097" r:id="rId11072" xr:uid="{00000000-0004-0000-0200-00003F2B0000}"/>
    <hyperlink ref="A4098" r:id="rId11073" xr:uid="{00000000-0004-0000-0200-0000402B0000}"/>
    <hyperlink ref="B4098" r:id="rId11074" xr:uid="{00000000-0004-0000-0200-0000412B0000}"/>
    <hyperlink ref="C4098" r:id="rId11075" xr:uid="{00000000-0004-0000-0200-0000422B0000}"/>
    <hyperlink ref="A4099" r:id="rId11076" xr:uid="{00000000-0004-0000-0200-0000432B0000}"/>
    <hyperlink ref="B4099" r:id="rId11077" xr:uid="{00000000-0004-0000-0200-0000442B0000}"/>
    <hyperlink ref="C4099" r:id="rId11078" xr:uid="{00000000-0004-0000-0200-0000452B0000}"/>
    <hyperlink ref="A4100" r:id="rId11079" xr:uid="{00000000-0004-0000-0200-0000462B0000}"/>
    <hyperlink ref="B4100" r:id="rId11080" xr:uid="{00000000-0004-0000-0200-0000472B0000}"/>
    <hyperlink ref="C4100" r:id="rId11081" xr:uid="{00000000-0004-0000-0200-0000482B0000}"/>
    <hyperlink ref="A4101" r:id="rId11082" xr:uid="{00000000-0004-0000-0200-0000492B0000}"/>
    <hyperlink ref="B4101" r:id="rId11083" xr:uid="{00000000-0004-0000-0200-00004A2B0000}"/>
    <hyperlink ref="C4101" r:id="rId11084" xr:uid="{00000000-0004-0000-0200-00004B2B0000}"/>
    <hyperlink ref="A4102" r:id="rId11085" xr:uid="{00000000-0004-0000-0200-00004C2B0000}"/>
    <hyperlink ref="B4102" r:id="rId11086" xr:uid="{00000000-0004-0000-0200-00004D2B0000}"/>
    <hyperlink ref="C4102" r:id="rId11087" xr:uid="{00000000-0004-0000-0200-00004E2B0000}"/>
    <hyperlink ref="A4103" r:id="rId11088" xr:uid="{00000000-0004-0000-0200-00004F2B0000}"/>
    <hyperlink ref="B4103" r:id="rId11089" xr:uid="{00000000-0004-0000-0200-0000502B0000}"/>
    <hyperlink ref="C4103" r:id="rId11090" xr:uid="{00000000-0004-0000-0200-0000512B0000}"/>
    <hyperlink ref="A4104" r:id="rId11091" xr:uid="{00000000-0004-0000-0200-0000522B0000}"/>
    <hyperlink ref="B4104" r:id="rId11092" xr:uid="{00000000-0004-0000-0200-0000532B0000}"/>
    <hyperlink ref="C4104" r:id="rId11093" xr:uid="{00000000-0004-0000-0200-0000542B0000}"/>
    <hyperlink ref="A4105" r:id="rId11094" xr:uid="{00000000-0004-0000-0200-0000552B0000}"/>
    <hyperlink ref="B4105" r:id="rId11095" xr:uid="{00000000-0004-0000-0200-0000562B0000}"/>
    <hyperlink ref="C4105" r:id="rId11096" xr:uid="{00000000-0004-0000-0200-0000572B0000}"/>
    <hyperlink ref="A4106" r:id="rId11097" xr:uid="{00000000-0004-0000-0200-0000582B0000}"/>
    <hyperlink ref="B4106" r:id="rId11098" xr:uid="{00000000-0004-0000-0200-0000592B0000}"/>
    <hyperlink ref="C4106" r:id="rId11099" xr:uid="{00000000-0004-0000-0200-00005A2B0000}"/>
    <hyperlink ref="A4107" r:id="rId11100" xr:uid="{00000000-0004-0000-0200-00005B2B0000}"/>
    <hyperlink ref="B4107" r:id="rId11101" xr:uid="{00000000-0004-0000-0200-00005C2B0000}"/>
    <hyperlink ref="C4107" r:id="rId11102" xr:uid="{00000000-0004-0000-0200-00005D2B0000}"/>
    <hyperlink ref="A4417" r:id="rId11103" xr:uid="{00000000-0004-0000-0200-00005E2B0000}"/>
    <hyperlink ref="B4417" r:id="rId11104" xr:uid="{00000000-0004-0000-0200-00005F2B0000}"/>
    <hyperlink ref="C4417" r:id="rId11105" xr:uid="{00000000-0004-0000-0200-0000602B0000}"/>
    <hyperlink ref="A4418" r:id="rId11106" xr:uid="{00000000-0004-0000-0200-0000612B0000}"/>
    <hyperlink ref="B4418" r:id="rId11107" xr:uid="{00000000-0004-0000-0200-0000622B0000}"/>
    <hyperlink ref="C4418" r:id="rId11108" xr:uid="{00000000-0004-0000-0200-0000632B0000}"/>
    <hyperlink ref="A4419" r:id="rId11109" xr:uid="{00000000-0004-0000-0200-0000642B0000}"/>
    <hyperlink ref="B4419" r:id="rId11110" xr:uid="{00000000-0004-0000-0200-0000652B0000}"/>
    <hyperlink ref="C4419" r:id="rId11111" xr:uid="{00000000-0004-0000-0200-0000662B0000}"/>
    <hyperlink ref="B4420" r:id="rId11112" xr:uid="{00000000-0004-0000-0200-0000672B0000}"/>
    <hyperlink ref="C4420" r:id="rId11113" xr:uid="{00000000-0004-0000-0200-0000682B0000}"/>
    <hyperlink ref="A4421" r:id="rId11114" xr:uid="{00000000-0004-0000-0200-0000692B0000}"/>
    <hyperlink ref="B4421" r:id="rId11115" xr:uid="{00000000-0004-0000-0200-00006A2B0000}"/>
    <hyperlink ref="C4421" r:id="rId11116" xr:uid="{00000000-0004-0000-0200-00006B2B0000}"/>
    <hyperlink ref="A4422" r:id="rId11117" xr:uid="{00000000-0004-0000-0200-00006C2B0000}"/>
    <hyperlink ref="B4422" r:id="rId11118" xr:uid="{00000000-0004-0000-0200-00006D2B0000}"/>
    <hyperlink ref="C4422" r:id="rId11119" xr:uid="{00000000-0004-0000-0200-00006E2B0000}"/>
    <hyperlink ref="A4423" r:id="rId11120" xr:uid="{00000000-0004-0000-0200-00006F2B0000}"/>
    <hyperlink ref="B4423" r:id="rId11121" xr:uid="{00000000-0004-0000-0200-0000702B0000}"/>
    <hyperlink ref="C4423" r:id="rId11122" xr:uid="{00000000-0004-0000-0200-0000712B0000}"/>
    <hyperlink ref="A4424" r:id="rId11123" xr:uid="{00000000-0004-0000-0200-0000722B0000}"/>
    <hyperlink ref="B4424" r:id="rId11124" xr:uid="{00000000-0004-0000-0200-0000732B0000}"/>
    <hyperlink ref="C4424" r:id="rId11125" xr:uid="{00000000-0004-0000-0200-0000742B0000}"/>
    <hyperlink ref="A4425" r:id="rId11126" xr:uid="{00000000-0004-0000-0200-0000752B0000}"/>
    <hyperlink ref="B4425" r:id="rId11127" xr:uid="{00000000-0004-0000-0200-0000762B0000}"/>
    <hyperlink ref="C4425" r:id="rId11128" xr:uid="{00000000-0004-0000-0200-0000772B0000}"/>
    <hyperlink ref="A4426" r:id="rId11129" xr:uid="{00000000-0004-0000-0200-0000782B0000}"/>
    <hyperlink ref="B4426" r:id="rId11130" xr:uid="{00000000-0004-0000-0200-0000792B0000}"/>
    <hyperlink ref="C4426" r:id="rId11131" xr:uid="{00000000-0004-0000-0200-00007A2B0000}"/>
    <hyperlink ref="A4427" r:id="rId11132" xr:uid="{00000000-0004-0000-0200-00007B2B0000}"/>
    <hyperlink ref="B4427" r:id="rId11133" xr:uid="{00000000-0004-0000-0200-00007C2B0000}"/>
    <hyperlink ref="C4427" r:id="rId11134" xr:uid="{00000000-0004-0000-0200-00007D2B0000}"/>
    <hyperlink ref="A4428" r:id="rId11135" xr:uid="{00000000-0004-0000-0200-00007E2B0000}"/>
    <hyperlink ref="B4428" r:id="rId11136" xr:uid="{00000000-0004-0000-0200-00007F2B0000}"/>
    <hyperlink ref="C4428" r:id="rId11137" xr:uid="{00000000-0004-0000-0200-0000802B0000}"/>
    <hyperlink ref="B4429" r:id="rId11138" xr:uid="{00000000-0004-0000-0200-0000812B0000}"/>
    <hyperlink ref="C4429" r:id="rId11139" xr:uid="{00000000-0004-0000-0200-0000822B0000}"/>
    <hyperlink ref="B4430" r:id="rId11140" xr:uid="{00000000-0004-0000-0200-0000832B0000}"/>
    <hyperlink ref="C4430" r:id="rId11141" xr:uid="{00000000-0004-0000-0200-0000842B0000}"/>
    <hyperlink ref="A4431" r:id="rId11142" xr:uid="{00000000-0004-0000-0200-0000852B0000}"/>
    <hyperlink ref="B4431" r:id="rId11143" xr:uid="{00000000-0004-0000-0200-0000862B0000}"/>
    <hyperlink ref="C4431" r:id="rId11144" xr:uid="{00000000-0004-0000-0200-0000872B0000}"/>
    <hyperlink ref="A4432" r:id="rId11145" xr:uid="{00000000-0004-0000-0200-0000882B0000}"/>
    <hyperlink ref="B4432" r:id="rId11146" xr:uid="{00000000-0004-0000-0200-0000892B0000}"/>
    <hyperlink ref="C4432" r:id="rId11147" xr:uid="{00000000-0004-0000-0200-00008A2B0000}"/>
    <hyperlink ref="B4433" r:id="rId11148" xr:uid="{00000000-0004-0000-0200-00008B2B0000}"/>
    <hyperlink ref="C4433" r:id="rId11149" xr:uid="{00000000-0004-0000-0200-00008C2B0000}"/>
    <hyperlink ref="A4434" r:id="rId11150" xr:uid="{00000000-0004-0000-0200-00008D2B0000}"/>
    <hyperlink ref="B4434" r:id="rId11151" xr:uid="{00000000-0004-0000-0200-00008E2B0000}"/>
    <hyperlink ref="C4434" r:id="rId11152" xr:uid="{00000000-0004-0000-0200-00008F2B0000}"/>
    <hyperlink ref="B4435" r:id="rId11153" xr:uid="{00000000-0004-0000-0200-0000902B0000}"/>
    <hyperlink ref="C4435" r:id="rId11154" xr:uid="{00000000-0004-0000-0200-0000912B0000}"/>
    <hyperlink ref="A4436" r:id="rId11155" xr:uid="{00000000-0004-0000-0200-0000922B0000}"/>
    <hyperlink ref="B4436" r:id="rId11156" xr:uid="{00000000-0004-0000-0200-0000932B0000}"/>
    <hyperlink ref="C4436" r:id="rId11157" xr:uid="{00000000-0004-0000-0200-0000942B0000}"/>
    <hyperlink ref="B4437" r:id="rId11158" xr:uid="{00000000-0004-0000-0200-0000952B0000}"/>
    <hyperlink ref="C4437" r:id="rId11159" xr:uid="{00000000-0004-0000-0200-0000962B0000}"/>
    <hyperlink ref="A4438" r:id="rId11160" xr:uid="{00000000-0004-0000-0200-0000972B0000}"/>
    <hyperlink ref="B4438" r:id="rId11161" xr:uid="{00000000-0004-0000-0200-0000982B0000}"/>
    <hyperlink ref="C4438" r:id="rId11162" xr:uid="{00000000-0004-0000-0200-0000992B0000}"/>
    <hyperlink ref="A4439" r:id="rId11163" xr:uid="{00000000-0004-0000-0200-00009A2B0000}"/>
    <hyperlink ref="B4439" r:id="rId11164" xr:uid="{00000000-0004-0000-0200-00009B2B0000}"/>
    <hyperlink ref="C4439" r:id="rId11165" xr:uid="{00000000-0004-0000-0200-00009C2B0000}"/>
    <hyperlink ref="A4440" r:id="rId11166" xr:uid="{00000000-0004-0000-0200-00009D2B0000}"/>
    <hyperlink ref="B4440" r:id="rId11167" xr:uid="{00000000-0004-0000-0200-00009E2B0000}"/>
    <hyperlink ref="C4440" r:id="rId11168" xr:uid="{00000000-0004-0000-0200-00009F2B0000}"/>
    <hyperlink ref="A4441" r:id="rId11169" xr:uid="{00000000-0004-0000-0200-0000A02B0000}"/>
    <hyperlink ref="B4441" r:id="rId11170" xr:uid="{00000000-0004-0000-0200-0000A12B0000}"/>
    <hyperlink ref="C4441" r:id="rId11171" xr:uid="{00000000-0004-0000-0200-0000A22B0000}"/>
    <hyperlink ref="A4442" r:id="rId11172" xr:uid="{00000000-0004-0000-0200-0000A32B0000}"/>
    <hyperlink ref="B4442" r:id="rId11173" xr:uid="{00000000-0004-0000-0200-0000A42B0000}"/>
    <hyperlink ref="C4442" r:id="rId11174" xr:uid="{00000000-0004-0000-0200-0000A52B0000}"/>
    <hyperlink ref="A4443" r:id="rId11175" xr:uid="{00000000-0004-0000-0200-0000A62B0000}"/>
    <hyperlink ref="B4443" r:id="rId11176" xr:uid="{00000000-0004-0000-0200-0000A72B0000}"/>
    <hyperlink ref="C4443" r:id="rId11177" xr:uid="{00000000-0004-0000-0200-0000A82B0000}"/>
    <hyperlink ref="B4444" r:id="rId11178" xr:uid="{00000000-0004-0000-0200-0000A92B0000}"/>
    <hyperlink ref="C4444" r:id="rId11179" xr:uid="{00000000-0004-0000-0200-0000AA2B0000}"/>
    <hyperlink ref="B4445" r:id="rId11180" xr:uid="{00000000-0004-0000-0200-0000AB2B0000}"/>
    <hyperlink ref="C4445" r:id="rId11181" xr:uid="{00000000-0004-0000-0200-0000AC2B0000}"/>
    <hyperlink ref="B4446" r:id="rId11182" xr:uid="{00000000-0004-0000-0200-0000AD2B0000}"/>
    <hyperlink ref="C4446" r:id="rId11183" xr:uid="{00000000-0004-0000-0200-0000AE2B0000}"/>
    <hyperlink ref="A4447" r:id="rId11184" xr:uid="{00000000-0004-0000-0200-0000AF2B0000}"/>
    <hyperlink ref="B4447" r:id="rId11185" xr:uid="{00000000-0004-0000-0200-0000B02B0000}"/>
    <hyperlink ref="C4447" r:id="rId11186" xr:uid="{00000000-0004-0000-0200-0000B12B0000}"/>
    <hyperlink ref="B4448" r:id="rId11187" xr:uid="{00000000-0004-0000-0200-0000B22B0000}"/>
    <hyperlink ref="C4448" r:id="rId11188" xr:uid="{00000000-0004-0000-0200-0000B32B0000}"/>
    <hyperlink ref="A4449" r:id="rId11189" xr:uid="{00000000-0004-0000-0200-0000B42B0000}"/>
    <hyperlink ref="B4449" r:id="rId11190" xr:uid="{00000000-0004-0000-0200-0000B52B0000}"/>
    <hyperlink ref="C4449" r:id="rId11191" xr:uid="{00000000-0004-0000-0200-0000B62B0000}"/>
    <hyperlink ref="A4450" r:id="rId11192" xr:uid="{00000000-0004-0000-0200-0000B72B0000}"/>
    <hyperlink ref="B4450" r:id="rId11193" xr:uid="{00000000-0004-0000-0200-0000B82B0000}"/>
    <hyperlink ref="C4450" r:id="rId11194" xr:uid="{00000000-0004-0000-0200-0000B92B0000}"/>
    <hyperlink ref="A4451" r:id="rId11195" xr:uid="{00000000-0004-0000-0200-0000BA2B0000}"/>
    <hyperlink ref="B4451" r:id="rId11196" xr:uid="{00000000-0004-0000-0200-0000BB2B0000}"/>
    <hyperlink ref="C4451" r:id="rId11197" xr:uid="{00000000-0004-0000-0200-0000BC2B0000}"/>
    <hyperlink ref="A4452" r:id="rId11198" xr:uid="{00000000-0004-0000-0200-0000BD2B0000}"/>
    <hyperlink ref="B4452" r:id="rId11199" xr:uid="{00000000-0004-0000-0200-0000BE2B0000}"/>
    <hyperlink ref="C4452" r:id="rId11200" xr:uid="{00000000-0004-0000-0200-0000BF2B0000}"/>
    <hyperlink ref="B4453" r:id="rId11201" xr:uid="{00000000-0004-0000-0200-0000C02B0000}"/>
    <hyperlink ref="C4453" r:id="rId11202" xr:uid="{00000000-0004-0000-0200-0000C12B0000}"/>
    <hyperlink ref="B4454" r:id="rId11203" xr:uid="{00000000-0004-0000-0200-0000C22B0000}"/>
    <hyperlink ref="C4454" r:id="rId11204" xr:uid="{00000000-0004-0000-0200-0000C32B0000}"/>
    <hyperlink ref="B4455" r:id="rId11205" xr:uid="{00000000-0004-0000-0200-0000C42B0000}"/>
    <hyperlink ref="C4455" r:id="rId11206" xr:uid="{00000000-0004-0000-0200-0000C52B0000}"/>
    <hyperlink ref="B4456" r:id="rId11207" xr:uid="{00000000-0004-0000-0200-0000C62B0000}"/>
    <hyperlink ref="C4456" r:id="rId11208" xr:uid="{00000000-0004-0000-0200-0000C72B0000}"/>
    <hyperlink ref="B4457" r:id="rId11209" xr:uid="{00000000-0004-0000-0200-0000C82B0000}"/>
    <hyperlink ref="C4457" r:id="rId11210" xr:uid="{00000000-0004-0000-0200-0000C92B0000}"/>
    <hyperlink ref="B4458" r:id="rId11211" xr:uid="{00000000-0004-0000-0200-0000CA2B0000}"/>
    <hyperlink ref="C4458" r:id="rId11212" xr:uid="{00000000-0004-0000-0200-0000CB2B0000}"/>
    <hyperlink ref="B4459" r:id="rId11213" xr:uid="{00000000-0004-0000-0200-0000CC2B0000}"/>
    <hyperlink ref="C4459" r:id="rId11214" xr:uid="{00000000-0004-0000-0200-0000CD2B0000}"/>
    <hyperlink ref="B4460" r:id="rId11215" xr:uid="{00000000-0004-0000-0200-0000CE2B0000}"/>
    <hyperlink ref="C4460" r:id="rId11216" xr:uid="{00000000-0004-0000-0200-0000CF2B0000}"/>
    <hyperlink ref="B4461" r:id="rId11217" xr:uid="{00000000-0004-0000-0200-0000D02B0000}"/>
    <hyperlink ref="C4461" r:id="rId11218" xr:uid="{00000000-0004-0000-0200-0000D12B0000}"/>
    <hyperlink ref="B4462" r:id="rId11219" xr:uid="{00000000-0004-0000-0200-0000D22B0000}"/>
    <hyperlink ref="C4462" r:id="rId11220" xr:uid="{00000000-0004-0000-0200-0000D32B0000}"/>
    <hyperlink ref="B4463" r:id="rId11221" xr:uid="{00000000-0004-0000-0200-0000D42B0000}"/>
    <hyperlink ref="C4463" r:id="rId11222" xr:uid="{00000000-0004-0000-0200-0000D52B0000}"/>
    <hyperlink ref="B4464" r:id="rId11223" xr:uid="{00000000-0004-0000-0200-0000D62B0000}"/>
    <hyperlink ref="C4464" r:id="rId11224" xr:uid="{00000000-0004-0000-0200-0000D72B0000}"/>
    <hyperlink ref="B4465" r:id="rId11225" xr:uid="{00000000-0004-0000-0200-0000D82B0000}"/>
    <hyperlink ref="C4465" r:id="rId11226" xr:uid="{00000000-0004-0000-0200-0000D92B0000}"/>
    <hyperlink ref="A4466" r:id="rId11227" xr:uid="{00000000-0004-0000-0200-0000DA2B0000}"/>
    <hyperlink ref="B4466" r:id="rId11228" xr:uid="{00000000-0004-0000-0200-0000DB2B0000}"/>
    <hyperlink ref="C4466" r:id="rId11229" xr:uid="{00000000-0004-0000-0200-0000DC2B0000}"/>
    <hyperlink ref="B4467" r:id="rId11230" xr:uid="{00000000-0004-0000-0200-0000DD2B0000}"/>
    <hyperlink ref="C4467" r:id="rId11231" xr:uid="{00000000-0004-0000-0200-0000DE2B0000}"/>
    <hyperlink ref="B4468" r:id="rId11232" xr:uid="{00000000-0004-0000-0200-0000DF2B0000}"/>
    <hyperlink ref="C4468" r:id="rId11233" xr:uid="{00000000-0004-0000-0200-0000E02B0000}"/>
    <hyperlink ref="A4469" r:id="rId11234" xr:uid="{00000000-0004-0000-0200-0000E12B0000}"/>
    <hyperlink ref="B4469" r:id="rId11235" xr:uid="{00000000-0004-0000-0200-0000E22B0000}"/>
    <hyperlink ref="C4469" r:id="rId11236" xr:uid="{00000000-0004-0000-0200-0000E32B0000}"/>
    <hyperlink ref="A4470" r:id="rId11237" xr:uid="{00000000-0004-0000-0200-0000E42B0000}"/>
    <hyperlink ref="B4470" r:id="rId11238" xr:uid="{00000000-0004-0000-0200-0000E52B0000}"/>
    <hyperlink ref="C4470" r:id="rId11239" xr:uid="{00000000-0004-0000-0200-0000E62B0000}"/>
    <hyperlink ref="A4471" r:id="rId11240" xr:uid="{00000000-0004-0000-0200-0000E72B0000}"/>
    <hyperlink ref="B4471" r:id="rId11241" xr:uid="{00000000-0004-0000-0200-0000E82B0000}"/>
    <hyperlink ref="C4471" r:id="rId11242" xr:uid="{00000000-0004-0000-0200-0000E92B0000}"/>
    <hyperlink ref="B4472" r:id="rId11243" xr:uid="{00000000-0004-0000-0200-0000EA2B0000}"/>
    <hyperlink ref="C4472" r:id="rId11244" xr:uid="{00000000-0004-0000-0200-0000EB2B0000}"/>
    <hyperlink ref="A4473" r:id="rId11245" xr:uid="{00000000-0004-0000-0200-0000EC2B0000}"/>
    <hyperlink ref="B4473" r:id="rId11246" xr:uid="{00000000-0004-0000-0200-0000ED2B0000}"/>
    <hyperlink ref="C4473" r:id="rId11247" xr:uid="{00000000-0004-0000-0200-0000EE2B0000}"/>
    <hyperlink ref="B4474" r:id="rId11248" xr:uid="{00000000-0004-0000-0200-0000EF2B0000}"/>
    <hyperlink ref="C4474" r:id="rId11249" xr:uid="{00000000-0004-0000-0200-0000F02B0000}"/>
    <hyperlink ref="A4475" r:id="rId11250" xr:uid="{00000000-0004-0000-0200-0000F12B0000}"/>
    <hyperlink ref="B4475" r:id="rId11251" xr:uid="{00000000-0004-0000-0200-0000F22B0000}"/>
    <hyperlink ref="C4475" r:id="rId11252" xr:uid="{00000000-0004-0000-0200-0000F32B0000}"/>
    <hyperlink ref="B4476" r:id="rId11253" xr:uid="{00000000-0004-0000-0200-0000F42B0000}"/>
    <hyperlink ref="C4476" r:id="rId11254" xr:uid="{00000000-0004-0000-0200-0000F52B0000}"/>
    <hyperlink ref="B4477" r:id="rId11255" xr:uid="{00000000-0004-0000-0200-0000F62B0000}"/>
    <hyperlink ref="C4477" r:id="rId11256" xr:uid="{00000000-0004-0000-0200-0000F72B0000}"/>
    <hyperlink ref="B4478" r:id="rId11257" xr:uid="{00000000-0004-0000-0200-0000F82B0000}"/>
    <hyperlink ref="C4478" r:id="rId11258" xr:uid="{00000000-0004-0000-0200-0000F92B0000}"/>
    <hyperlink ref="A4479" r:id="rId11259" xr:uid="{00000000-0004-0000-0200-0000FA2B0000}"/>
    <hyperlink ref="B4479" r:id="rId11260" xr:uid="{00000000-0004-0000-0200-0000FB2B0000}"/>
    <hyperlink ref="C4479" r:id="rId11261" xr:uid="{00000000-0004-0000-0200-0000FC2B0000}"/>
    <hyperlink ref="B4480" r:id="rId11262" xr:uid="{00000000-0004-0000-0200-0000FD2B0000}"/>
    <hyperlink ref="C4480" r:id="rId11263" xr:uid="{00000000-0004-0000-0200-0000FE2B0000}"/>
    <hyperlink ref="B4481" r:id="rId11264" xr:uid="{00000000-0004-0000-0200-0000FF2B0000}"/>
    <hyperlink ref="C4481" r:id="rId11265" xr:uid="{00000000-0004-0000-0200-0000002C0000}"/>
    <hyperlink ref="A4482" r:id="rId11266" xr:uid="{00000000-0004-0000-0200-0000012C0000}"/>
    <hyperlink ref="B4482" r:id="rId11267" xr:uid="{00000000-0004-0000-0200-0000022C0000}"/>
    <hyperlink ref="C4482" r:id="rId11268" xr:uid="{00000000-0004-0000-0200-0000032C0000}"/>
    <hyperlink ref="B4483" r:id="rId11269" xr:uid="{00000000-0004-0000-0200-0000042C0000}"/>
    <hyperlink ref="C4483" r:id="rId11270" xr:uid="{00000000-0004-0000-0200-0000052C0000}"/>
    <hyperlink ref="B4484" r:id="rId11271" xr:uid="{00000000-0004-0000-0200-0000062C0000}"/>
    <hyperlink ref="C4484" r:id="rId11272" xr:uid="{00000000-0004-0000-0200-0000072C0000}"/>
    <hyperlink ref="A4485" r:id="rId11273" xr:uid="{00000000-0004-0000-0200-0000082C0000}"/>
    <hyperlink ref="B4485" r:id="rId11274" xr:uid="{00000000-0004-0000-0200-0000092C0000}"/>
    <hyperlink ref="C4485" r:id="rId11275" xr:uid="{00000000-0004-0000-0200-00000A2C0000}"/>
    <hyperlink ref="B4486" r:id="rId11276" xr:uid="{00000000-0004-0000-0200-00000B2C0000}"/>
    <hyperlink ref="C4486" r:id="rId11277" xr:uid="{00000000-0004-0000-0200-00000C2C0000}"/>
    <hyperlink ref="A4487" r:id="rId11278" xr:uid="{00000000-0004-0000-0200-00000D2C0000}"/>
    <hyperlink ref="B4487" r:id="rId11279" xr:uid="{00000000-0004-0000-0200-00000E2C0000}"/>
    <hyperlink ref="C4487" r:id="rId11280" xr:uid="{00000000-0004-0000-0200-00000F2C0000}"/>
    <hyperlink ref="B4488" r:id="rId11281" xr:uid="{00000000-0004-0000-0200-0000102C0000}"/>
    <hyperlink ref="C4488" r:id="rId11282" xr:uid="{00000000-0004-0000-0200-0000112C0000}"/>
    <hyperlink ref="B4489" r:id="rId11283" xr:uid="{00000000-0004-0000-0200-0000122C0000}"/>
    <hyperlink ref="C4489" r:id="rId11284" xr:uid="{00000000-0004-0000-0200-0000132C0000}"/>
    <hyperlink ref="A4490" r:id="rId11285" xr:uid="{00000000-0004-0000-0200-0000142C0000}"/>
    <hyperlink ref="B4490" r:id="rId11286" xr:uid="{00000000-0004-0000-0200-0000152C0000}"/>
    <hyperlink ref="C4490" r:id="rId11287" xr:uid="{00000000-0004-0000-0200-0000162C0000}"/>
    <hyperlink ref="B4491" r:id="rId11288" xr:uid="{00000000-0004-0000-0200-0000172C0000}"/>
    <hyperlink ref="C4491" r:id="rId11289" xr:uid="{00000000-0004-0000-0200-0000182C0000}"/>
    <hyperlink ref="A4492" r:id="rId11290" xr:uid="{00000000-0004-0000-0200-0000192C0000}"/>
    <hyperlink ref="B4492" r:id="rId11291" xr:uid="{00000000-0004-0000-0200-00001A2C0000}"/>
    <hyperlink ref="C4492" r:id="rId11292" xr:uid="{00000000-0004-0000-0200-00001B2C0000}"/>
    <hyperlink ref="A4493" r:id="rId11293" xr:uid="{00000000-0004-0000-0200-00001C2C0000}"/>
    <hyperlink ref="B4493" r:id="rId11294" xr:uid="{00000000-0004-0000-0200-00001D2C0000}"/>
    <hyperlink ref="C4493" r:id="rId11295" xr:uid="{00000000-0004-0000-0200-00001E2C0000}"/>
    <hyperlink ref="A4494" r:id="rId11296" xr:uid="{00000000-0004-0000-0200-00001F2C0000}"/>
    <hyperlink ref="B4494" r:id="rId11297" xr:uid="{00000000-0004-0000-0200-0000202C0000}"/>
    <hyperlink ref="C4494" r:id="rId11298" xr:uid="{00000000-0004-0000-0200-0000212C0000}"/>
    <hyperlink ref="A4495" r:id="rId11299" xr:uid="{00000000-0004-0000-0200-0000222C0000}"/>
    <hyperlink ref="B4495" r:id="rId11300" xr:uid="{00000000-0004-0000-0200-0000232C0000}"/>
    <hyperlink ref="C4495" r:id="rId11301" xr:uid="{00000000-0004-0000-0200-0000242C0000}"/>
    <hyperlink ref="A4496" r:id="rId11302" xr:uid="{00000000-0004-0000-0200-0000252C0000}"/>
    <hyperlink ref="B4496" r:id="rId11303" xr:uid="{00000000-0004-0000-0200-0000262C0000}"/>
    <hyperlink ref="C4496" r:id="rId11304" xr:uid="{00000000-0004-0000-0200-0000272C0000}"/>
    <hyperlink ref="A4497" r:id="rId11305" xr:uid="{00000000-0004-0000-0200-0000282C0000}"/>
    <hyperlink ref="B4497" r:id="rId11306" xr:uid="{00000000-0004-0000-0200-0000292C0000}"/>
    <hyperlink ref="C4497" r:id="rId11307" xr:uid="{00000000-0004-0000-0200-00002A2C0000}"/>
    <hyperlink ref="A4498" r:id="rId11308" xr:uid="{00000000-0004-0000-0200-00002B2C0000}"/>
    <hyperlink ref="B4498" r:id="rId11309" xr:uid="{00000000-0004-0000-0200-00002C2C0000}"/>
    <hyperlink ref="C4498" r:id="rId11310" xr:uid="{00000000-0004-0000-0200-00002D2C0000}"/>
    <hyperlink ref="A4499" r:id="rId11311" xr:uid="{00000000-0004-0000-0200-00002E2C0000}"/>
    <hyperlink ref="B4499" r:id="rId11312" xr:uid="{00000000-0004-0000-0200-00002F2C0000}"/>
    <hyperlink ref="C4499" r:id="rId11313" xr:uid="{00000000-0004-0000-0200-0000302C0000}"/>
    <hyperlink ref="A4500" r:id="rId11314" xr:uid="{00000000-0004-0000-0200-0000312C0000}"/>
    <hyperlink ref="B4500" r:id="rId11315" xr:uid="{00000000-0004-0000-0200-0000322C0000}"/>
    <hyperlink ref="C4500" r:id="rId11316" xr:uid="{00000000-0004-0000-0200-0000332C0000}"/>
    <hyperlink ref="A4501" r:id="rId11317" xr:uid="{00000000-0004-0000-0200-0000342C0000}"/>
    <hyperlink ref="B4501" r:id="rId11318" xr:uid="{00000000-0004-0000-0200-0000352C0000}"/>
    <hyperlink ref="C4501" r:id="rId11319" xr:uid="{00000000-0004-0000-0200-0000362C0000}"/>
    <hyperlink ref="A4502" r:id="rId11320" xr:uid="{00000000-0004-0000-0200-0000372C0000}"/>
    <hyperlink ref="B4502" r:id="rId11321" xr:uid="{00000000-0004-0000-0200-0000382C0000}"/>
    <hyperlink ref="C4502" r:id="rId11322" xr:uid="{00000000-0004-0000-0200-0000392C0000}"/>
    <hyperlink ref="A4503" r:id="rId11323" xr:uid="{00000000-0004-0000-0200-00003A2C0000}"/>
    <hyperlink ref="B4503" r:id="rId11324" xr:uid="{00000000-0004-0000-0200-00003B2C0000}"/>
    <hyperlink ref="C4503" r:id="rId11325" xr:uid="{00000000-0004-0000-0200-00003C2C0000}"/>
    <hyperlink ref="A4504" r:id="rId11326" xr:uid="{00000000-0004-0000-0200-00003D2C0000}"/>
    <hyperlink ref="B4504" r:id="rId11327" xr:uid="{00000000-0004-0000-0200-00003E2C0000}"/>
    <hyperlink ref="C4504" r:id="rId11328" xr:uid="{00000000-0004-0000-0200-00003F2C0000}"/>
    <hyperlink ref="A4505" r:id="rId11329" xr:uid="{00000000-0004-0000-0200-0000402C0000}"/>
    <hyperlink ref="B4505" r:id="rId11330" xr:uid="{00000000-0004-0000-0200-0000412C0000}"/>
    <hyperlink ref="C4505" r:id="rId11331" xr:uid="{00000000-0004-0000-0200-0000422C0000}"/>
    <hyperlink ref="A4506" r:id="rId11332" xr:uid="{00000000-0004-0000-0200-0000432C0000}"/>
    <hyperlink ref="B4506" r:id="rId11333" xr:uid="{00000000-0004-0000-0200-0000442C0000}"/>
    <hyperlink ref="C4506" r:id="rId11334" xr:uid="{00000000-0004-0000-0200-0000452C0000}"/>
    <hyperlink ref="A4507" r:id="rId11335" xr:uid="{00000000-0004-0000-0200-0000462C0000}"/>
    <hyperlink ref="B4507" r:id="rId11336" xr:uid="{00000000-0004-0000-0200-0000472C0000}"/>
    <hyperlink ref="C4507" r:id="rId11337" xr:uid="{00000000-0004-0000-0200-0000482C0000}"/>
    <hyperlink ref="A4508" r:id="rId11338" xr:uid="{00000000-0004-0000-0200-0000492C0000}"/>
    <hyperlink ref="B4508" r:id="rId11339" xr:uid="{00000000-0004-0000-0200-00004A2C0000}"/>
    <hyperlink ref="C4508" r:id="rId11340" xr:uid="{00000000-0004-0000-0200-00004B2C0000}"/>
    <hyperlink ref="A4509" r:id="rId11341" xr:uid="{00000000-0004-0000-0200-00004C2C0000}"/>
    <hyperlink ref="B4509" r:id="rId11342" xr:uid="{00000000-0004-0000-0200-00004D2C0000}"/>
    <hyperlink ref="C4509" r:id="rId11343" xr:uid="{00000000-0004-0000-0200-00004E2C0000}"/>
    <hyperlink ref="J4509" r:id="rId11344" xr:uid="{00000000-0004-0000-0200-00004F2C0000}"/>
    <hyperlink ref="A4510" r:id="rId11345" xr:uid="{00000000-0004-0000-0200-0000502C0000}"/>
    <hyperlink ref="B4510" r:id="rId11346" xr:uid="{00000000-0004-0000-0200-0000512C0000}"/>
    <hyperlink ref="C4510" r:id="rId11347" xr:uid="{00000000-0004-0000-0200-0000522C0000}"/>
    <hyperlink ref="A4511" r:id="rId11348" xr:uid="{00000000-0004-0000-0200-0000532C0000}"/>
    <hyperlink ref="B4511" r:id="rId11349" xr:uid="{00000000-0004-0000-0200-0000542C0000}"/>
    <hyperlink ref="C4511" r:id="rId11350" xr:uid="{00000000-0004-0000-0200-0000552C0000}"/>
    <hyperlink ref="A4512" r:id="rId11351" xr:uid="{00000000-0004-0000-0200-0000562C0000}"/>
    <hyperlink ref="B4512" r:id="rId11352" xr:uid="{00000000-0004-0000-0200-0000572C0000}"/>
    <hyperlink ref="C4512" r:id="rId11353" xr:uid="{00000000-0004-0000-0200-0000582C0000}"/>
    <hyperlink ref="A4513" r:id="rId11354" xr:uid="{00000000-0004-0000-0200-0000592C0000}"/>
    <hyperlink ref="B4513" r:id="rId11355" xr:uid="{00000000-0004-0000-0200-00005A2C0000}"/>
    <hyperlink ref="C4513" r:id="rId11356" xr:uid="{00000000-0004-0000-0200-00005B2C0000}"/>
    <hyperlink ref="A4514" r:id="rId11357" xr:uid="{00000000-0004-0000-0200-00005C2C0000}"/>
    <hyperlink ref="B4514" r:id="rId11358" xr:uid="{00000000-0004-0000-0200-00005D2C0000}"/>
    <hyperlink ref="C4514" r:id="rId11359" xr:uid="{00000000-0004-0000-0200-00005E2C0000}"/>
    <hyperlink ref="A4515" r:id="rId11360" xr:uid="{00000000-0004-0000-0200-00005F2C0000}"/>
    <hyperlink ref="B4515" r:id="rId11361" xr:uid="{00000000-0004-0000-0200-0000602C0000}"/>
    <hyperlink ref="C4515" r:id="rId11362" xr:uid="{00000000-0004-0000-0200-0000612C0000}"/>
    <hyperlink ref="A4516" r:id="rId11363" xr:uid="{00000000-0004-0000-0200-0000622C0000}"/>
    <hyperlink ref="B4516" r:id="rId11364" xr:uid="{00000000-0004-0000-0200-0000632C0000}"/>
    <hyperlink ref="C4516" r:id="rId11365" xr:uid="{00000000-0004-0000-0200-0000642C0000}"/>
    <hyperlink ref="A4517" r:id="rId11366" xr:uid="{00000000-0004-0000-0200-0000652C0000}"/>
    <hyperlink ref="B4517" r:id="rId11367" xr:uid="{00000000-0004-0000-0200-0000662C0000}"/>
    <hyperlink ref="C4517" r:id="rId11368" xr:uid="{00000000-0004-0000-0200-0000672C0000}"/>
    <hyperlink ref="A4518" r:id="rId11369" xr:uid="{00000000-0004-0000-0200-0000682C0000}"/>
    <hyperlink ref="B4518" r:id="rId11370" xr:uid="{00000000-0004-0000-0200-0000692C0000}"/>
    <hyperlink ref="C4518" r:id="rId11371" xr:uid="{00000000-0004-0000-0200-00006A2C0000}"/>
    <hyperlink ref="A4519" r:id="rId11372" xr:uid="{00000000-0004-0000-0200-00006B2C0000}"/>
    <hyperlink ref="B4519" r:id="rId11373" xr:uid="{00000000-0004-0000-0200-00006C2C0000}"/>
    <hyperlink ref="C4519" r:id="rId11374" xr:uid="{00000000-0004-0000-0200-00006D2C0000}"/>
    <hyperlink ref="A4520" r:id="rId11375" xr:uid="{00000000-0004-0000-0200-00006E2C0000}"/>
    <hyperlink ref="B4520" r:id="rId11376" xr:uid="{00000000-0004-0000-0200-00006F2C0000}"/>
    <hyperlink ref="C4520" r:id="rId11377" xr:uid="{00000000-0004-0000-0200-0000702C0000}"/>
    <hyperlink ref="A4521" r:id="rId11378" xr:uid="{00000000-0004-0000-0200-0000712C0000}"/>
    <hyperlink ref="B4521" r:id="rId11379" xr:uid="{00000000-0004-0000-0200-0000722C0000}"/>
    <hyperlink ref="C4521" r:id="rId11380" xr:uid="{00000000-0004-0000-0200-0000732C0000}"/>
    <hyperlink ref="A4522" r:id="rId11381" xr:uid="{00000000-0004-0000-0200-0000742C0000}"/>
    <hyperlink ref="B4522" r:id="rId11382" xr:uid="{00000000-0004-0000-0200-0000752C0000}"/>
    <hyperlink ref="C4522" r:id="rId11383" xr:uid="{00000000-0004-0000-0200-0000762C0000}"/>
    <hyperlink ref="A4523" r:id="rId11384" xr:uid="{00000000-0004-0000-0200-0000772C0000}"/>
    <hyperlink ref="B4523" r:id="rId11385" xr:uid="{00000000-0004-0000-0200-0000782C0000}"/>
    <hyperlink ref="C4523" r:id="rId11386" xr:uid="{00000000-0004-0000-0200-0000792C0000}"/>
    <hyperlink ref="A4524" r:id="rId11387" xr:uid="{00000000-0004-0000-0200-00007A2C0000}"/>
    <hyperlink ref="B4524" r:id="rId11388" xr:uid="{00000000-0004-0000-0200-00007B2C0000}"/>
    <hyperlink ref="C4524" r:id="rId11389" xr:uid="{00000000-0004-0000-0200-00007C2C0000}"/>
    <hyperlink ref="A4525" r:id="rId11390" xr:uid="{00000000-0004-0000-0200-00007D2C0000}"/>
    <hyperlink ref="B4525" r:id="rId11391" xr:uid="{00000000-0004-0000-0200-00007E2C0000}"/>
    <hyperlink ref="C4525" r:id="rId11392" xr:uid="{00000000-0004-0000-0200-00007F2C0000}"/>
    <hyperlink ref="A4526" r:id="rId11393" xr:uid="{00000000-0004-0000-0200-0000802C0000}"/>
    <hyperlink ref="B4526" r:id="rId11394" xr:uid="{00000000-0004-0000-0200-0000812C0000}"/>
    <hyperlink ref="C4526" r:id="rId11395" xr:uid="{00000000-0004-0000-0200-0000822C0000}"/>
    <hyperlink ref="A4527" r:id="rId11396" xr:uid="{00000000-0004-0000-0200-0000832C0000}"/>
    <hyperlink ref="B4527" r:id="rId11397" xr:uid="{00000000-0004-0000-0200-0000842C0000}"/>
    <hyperlink ref="C4527" r:id="rId11398" xr:uid="{00000000-0004-0000-0200-0000852C0000}"/>
    <hyperlink ref="A4528" r:id="rId11399" xr:uid="{00000000-0004-0000-0200-0000862C0000}"/>
    <hyperlink ref="B4528" r:id="rId11400" xr:uid="{00000000-0004-0000-0200-0000872C0000}"/>
    <hyperlink ref="C4528" r:id="rId11401" xr:uid="{00000000-0004-0000-0200-0000882C0000}"/>
    <hyperlink ref="A4529" r:id="rId11402" xr:uid="{00000000-0004-0000-0200-0000892C0000}"/>
    <hyperlink ref="B4529" r:id="rId11403" xr:uid="{00000000-0004-0000-0200-00008A2C0000}"/>
    <hyperlink ref="C4529" r:id="rId11404" xr:uid="{00000000-0004-0000-0200-00008B2C0000}"/>
    <hyperlink ref="A4530" r:id="rId11405" xr:uid="{00000000-0004-0000-0200-00008C2C0000}"/>
    <hyperlink ref="B4530" r:id="rId11406" xr:uid="{00000000-0004-0000-0200-00008D2C0000}"/>
    <hyperlink ref="C4530" r:id="rId11407" xr:uid="{00000000-0004-0000-0200-00008E2C0000}"/>
    <hyperlink ref="A4531" r:id="rId11408" xr:uid="{00000000-0004-0000-0200-00008F2C0000}"/>
    <hyperlink ref="B4531" r:id="rId11409" xr:uid="{00000000-0004-0000-0200-0000902C0000}"/>
    <hyperlink ref="C4531" r:id="rId11410" xr:uid="{00000000-0004-0000-0200-0000912C0000}"/>
    <hyperlink ref="A4532" r:id="rId11411" xr:uid="{00000000-0004-0000-0200-0000922C0000}"/>
    <hyperlink ref="B4532" r:id="rId11412" xr:uid="{00000000-0004-0000-0200-0000932C0000}"/>
    <hyperlink ref="C4532" r:id="rId11413" xr:uid="{00000000-0004-0000-0200-0000942C0000}"/>
    <hyperlink ref="A4533" r:id="rId11414" xr:uid="{00000000-0004-0000-0200-0000952C0000}"/>
    <hyperlink ref="B4533" r:id="rId11415" xr:uid="{00000000-0004-0000-0200-0000962C0000}"/>
    <hyperlink ref="C4533" r:id="rId11416" xr:uid="{00000000-0004-0000-0200-0000972C0000}"/>
    <hyperlink ref="A4534" r:id="rId11417" xr:uid="{00000000-0004-0000-0200-0000982C0000}"/>
    <hyperlink ref="B4534" r:id="rId11418" xr:uid="{00000000-0004-0000-0200-0000992C0000}"/>
    <hyperlink ref="C4534" r:id="rId11419" xr:uid="{00000000-0004-0000-0200-00009A2C0000}"/>
    <hyperlink ref="A4535" r:id="rId11420" xr:uid="{00000000-0004-0000-0200-00009B2C0000}"/>
    <hyperlink ref="B4535" r:id="rId11421" xr:uid="{00000000-0004-0000-0200-00009C2C0000}"/>
    <hyperlink ref="C4535" r:id="rId11422" xr:uid="{00000000-0004-0000-0200-00009D2C0000}"/>
    <hyperlink ref="A4536" r:id="rId11423" xr:uid="{00000000-0004-0000-0200-00009E2C0000}"/>
    <hyperlink ref="B4536" r:id="rId11424" xr:uid="{00000000-0004-0000-0200-00009F2C0000}"/>
    <hyperlink ref="C4536" r:id="rId11425" xr:uid="{00000000-0004-0000-0200-0000A02C0000}"/>
    <hyperlink ref="A4537" r:id="rId11426" xr:uid="{00000000-0004-0000-0200-0000A12C0000}"/>
    <hyperlink ref="B4537" r:id="rId11427" xr:uid="{00000000-0004-0000-0200-0000A22C0000}"/>
    <hyperlink ref="C4537" r:id="rId11428" xr:uid="{00000000-0004-0000-0200-0000A32C0000}"/>
    <hyperlink ref="A4538" r:id="rId11429" xr:uid="{00000000-0004-0000-0200-0000A42C0000}"/>
    <hyperlink ref="B4538" r:id="rId11430" xr:uid="{00000000-0004-0000-0200-0000A52C0000}"/>
    <hyperlink ref="C4538" r:id="rId11431" xr:uid="{00000000-0004-0000-0200-0000A62C0000}"/>
    <hyperlink ref="A4539" r:id="rId11432" xr:uid="{00000000-0004-0000-0200-0000A72C0000}"/>
    <hyperlink ref="B4539" r:id="rId11433" xr:uid="{00000000-0004-0000-0200-0000A82C0000}"/>
    <hyperlink ref="C4539" r:id="rId11434" location="elementor-toc__heading-anchor-1" xr:uid="{00000000-0004-0000-0200-0000A92C0000}"/>
    <hyperlink ref="A4540" r:id="rId11435" xr:uid="{00000000-0004-0000-0200-0000AA2C0000}"/>
    <hyperlink ref="B4540" r:id="rId11436" xr:uid="{00000000-0004-0000-0200-0000AB2C0000}"/>
    <hyperlink ref="C4540" r:id="rId11437" xr:uid="{00000000-0004-0000-0200-0000AC2C0000}"/>
    <hyperlink ref="A4541" r:id="rId11438" xr:uid="{00000000-0004-0000-0200-0000AD2C0000}"/>
    <hyperlink ref="B4541" r:id="rId11439" xr:uid="{00000000-0004-0000-0200-0000AE2C0000}"/>
    <hyperlink ref="C4541" r:id="rId11440" xr:uid="{00000000-0004-0000-0200-0000AF2C0000}"/>
    <hyperlink ref="A4542" r:id="rId11441" xr:uid="{00000000-0004-0000-0200-0000B02C0000}"/>
    <hyperlink ref="B4542" r:id="rId11442" xr:uid="{00000000-0004-0000-0200-0000B12C0000}"/>
    <hyperlink ref="C4542" r:id="rId11443" xr:uid="{00000000-0004-0000-0200-0000B22C0000}"/>
    <hyperlink ref="A4543" r:id="rId11444" xr:uid="{00000000-0004-0000-0200-0000B32C0000}"/>
    <hyperlink ref="B4543" r:id="rId11445" xr:uid="{00000000-0004-0000-0200-0000B42C0000}"/>
    <hyperlink ref="C4543" r:id="rId11446" xr:uid="{00000000-0004-0000-0200-0000B52C0000}"/>
    <hyperlink ref="A4544" r:id="rId11447" xr:uid="{00000000-0004-0000-0200-0000B62C0000}"/>
    <hyperlink ref="B4544" r:id="rId11448" xr:uid="{00000000-0004-0000-0200-0000B72C0000}"/>
    <hyperlink ref="C4544" r:id="rId11449" xr:uid="{00000000-0004-0000-0200-0000B82C0000}"/>
    <hyperlink ref="A4545" r:id="rId11450" xr:uid="{00000000-0004-0000-0200-0000B92C0000}"/>
    <hyperlink ref="B4545" r:id="rId11451" xr:uid="{00000000-0004-0000-0200-0000BA2C0000}"/>
    <hyperlink ref="C4545" r:id="rId11452" xr:uid="{00000000-0004-0000-0200-0000BB2C0000}"/>
    <hyperlink ref="A4546" r:id="rId11453" xr:uid="{00000000-0004-0000-0200-0000BC2C0000}"/>
    <hyperlink ref="B4546" r:id="rId11454" xr:uid="{00000000-0004-0000-0200-0000BD2C0000}"/>
    <hyperlink ref="C4546" r:id="rId11455" xr:uid="{00000000-0004-0000-0200-0000BE2C0000}"/>
    <hyperlink ref="A4547" r:id="rId11456" xr:uid="{00000000-0004-0000-0200-0000BF2C0000}"/>
    <hyperlink ref="B4547" r:id="rId11457" xr:uid="{00000000-0004-0000-0200-0000C02C0000}"/>
    <hyperlink ref="C4547" r:id="rId11458" xr:uid="{00000000-0004-0000-0200-0000C12C0000}"/>
    <hyperlink ref="A4548" r:id="rId11459" xr:uid="{00000000-0004-0000-0200-0000C22C0000}"/>
    <hyperlink ref="B4548" r:id="rId11460" xr:uid="{00000000-0004-0000-0200-0000C32C0000}"/>
    <hyperlink ref="C4548" r:id="rId11461" xr:uid="{00000000-0004-0000-0200-0000C42C0000}"/>
    <hyperlink ref="A4549" r:id="rId11462" xr:uid="{00000000-0004-0000-0200-0000C52C0000}"/>
    <hyperlink ref="B4549" r:id="rId11463" xr:uid="{00000000-0004-0000-0200-0000C62C0000}"/>
    <hyperlink ref="C4549" r:id="rId11464" xr:uid="{00000000-0004-0000-0200-0000C72C0000}"/>
    <hyperlink ref="A4550" r:id="rId11465" xr:uid="{00000000-0004-0000-0200-0000C82C0000}"/>
    <hyperlink ref="B4550" r:id="rId11466" xr:uid="{00000000-0004-0000-0200-0000C92C0000}"/>
    <hyperlink ref="C4550" r:id="rId11467" xr:uid="{00000000-0004-0000-0200-0000CA2C0000}"/>
    <hyperlink ref="A4551" r:id="rId11468" xr:uid="{00000000-0004-0000-0200-0000CB2C0000}"/>
    <hyperlink ref="B4551" r:id="rId11469" xr:uid="{00000000-0004-0000-0200-0000CC2C0000}"/>
    <hyperlink ref="C4551" r:id="rId11470" xr:uid="{00000000-0004-0000-0200-0000CD2C0000}"/>
    <hyperlink ref="A4552" r:id="rId11471" xr:uid="{00000000-0004-0000-0200-0000CE2C0000}"/>
    <hyperlink ref="B4552" r:id="rId11472" xr:uid="{00000000-0004-0000-0200-0000CF2C0000}"/>
    <hyperlink ref="C4552" r:id="rId11473" xr:uid="{00000000-0004-0000-0200-0000D02C0000}"/>
    <hyperlink ref="A4553" r:id="rId11474" xr:uid="{00000000-0004-0000-0200-0000D12C0000}"/>
    <hyperlink ref="B4553" r:id="rId11475" xr:uid="{00000000-0004-0000-0200-0000D22C0000}"/>
    <hyperlink ref="C4553" r:id="rId11476" xr:uid="{00000000-0004-0000-0200-0000D32C0000}"/>
    <hyperlink ref="A4554" r:id="rId11477" xr:uid="{00000000-0004-0000-0200-0000D42C0000}"/>
    <hyperlink ref="B4554" r:id="rId11478" xr:uid="{00000000-0004-0000-0200-0000D52C0000}"/>
    <hyperlink ref="C4554" r:id="rId11479" xr:uid="{00000000-0004-0000-0200-0000D62C0000}"/>
    <hyperlink ref="A4555" r:id="rId11480" xr:uid="{00000000-0004-0000-0200-0000D72C0000}"/>
    <hyperlink ref="B4555" r:id="rId11481" xr:uid="{00000000-0004-0000-0200-0000D82C0000}"/>
    <hyperlink ref="C4555" r:id="rId11482" xr:uid="{00000000-0004-0000-0200-0000D92C0000}"/>
    <hyperlink ref="A4556" r:id="rId11483" xr:uid="{00000000-0004-0000-0200-0000DA2C0000}"/>
    <hyperlink ref="B4556" r:id="rId11484" xr:uid="{00000000-0004-0000-0200-0000DB2C0000}"/>
    <hyperlink ref="C4556" r:id="rId11485" xr:uid="{00000000-0004-0000-0200-0000DC2C0000}"/>
    <hyperlink ref="A4557" r:id="rId11486" xr:uid="{00000000-0004-0000-0200-0000DD2C0000}"/>
    <hyperlink ref="B4557" r:id="rId11487" xr:uid="{00000000-0004-0000-0200-0000DE2C0000}"/>
    <hyperlink ref="C4557" r:id="rId11488" xr:uid="{00000000-0004-0000-0200-0000DF2C0000}"/>
    <hyperlink ref="A4558" r:id="rId11489" xr:uid="{00000000-0004-0000-0200-0000E02C0000}"/>
    <hyperlink ref="B4558" r:id="rId11490" xr:uid="{00000000-0004-0000-0200-0000E12C0000}"/>
    <hyperlink ref="C4558" r:id="rId11491" xr:uid="{00000000-0004-0000-0200-0000E22C0000}"/>
    <hyperlink ref="A4559" r:id="rId11492" xr:uid="{00000000-0004-0000-0200-0000E32C0000}"/>
    <hyperlink ref="B4559" r:id="rId11493" xr:uid="{00000000-0004-0000-0200-0000E42C0000}"/>
    <hyperlink ref="C4559" r:id="rId11494" xr:uid="{00000000-0004-0000-0200-0000E52C0000}"/>
    <hyperlink ref="A4560" r:id="rId11495" xr:uid="{00000000-0004-0000-0200-0000E62C0000}"/>
    <hyperlink ref="B4560" r:id="rId11496" xr:uid="{00000000-0004-0000-0200-0000E72C0000}"/>
    <hyperlink ref="C4560" r:id="rId11497" xr:uid="{00000000-0004-0000-0200-0000E82C0000}"/>
    <hyperlink ref="A4561" r:id="rId11498" xr:uid="{00000000-0004-0000-0200-0000E92C0000}"/>
    <hyperlink ref="B4561" r:id="rId11499" xr:uid="{00000000-0004-0000-0200-0000EA2C0000}"/>
    <hyperlink ref="C4561" r:id="rId11500" xr:uid="{00000000-0004-0000-0200-0000EB2C0000}"/>
    <hyperlink ref="A4562" r:id="rId11501" xr:uid="{00000000-0004-0000-0200-0000EC2C0000}"/>
    <hyperlink ref="B4562" r:id="rId11502" xr:uid="{00000000-0004-0000-0200-0000ED2C0000}"/>
    <hyperlink ref="C4562" r:id="rId11503" xr:uid="{00000000-0004-0000-0200-0000EE2C0000}"/>
    <hyperlink ref="A4563" r:id="rId11504" xr:uid="{00000000-0004-0000-0200-0000EF2C0000}"/>
    <hyperlink ref="B4563" r:id="rId11505" xr:uid="{00000000-0004-0000-0200-0000F02C0000}"/>
    <hyperlink ref="C4563" r:id="rId11506" xr:uid="{00000000-0004-0000-0200-0000F12C0000}"/>
    <hyperlink ref="A4564" r:id="rId11507" xr:uid="{00000000-0004-0000-0200-0000F22C0000}"/>
    <hyperlink ref="B4564" r:id="rId11508" xr:uid="{00000000-0004-0000-0200-0000F32C0000}"/>
    <hyperlink ref="C4564" r:id="rId11509" xr:uid="{00000000-0004-0000-0200-0000F42C0000}"/>
    <hyperlink ref="A4565" r:id="rId11510" xr:uid="{00000000-0004-0000-0200-0000F52C0000}"/>
    <hyperlink ref="B4565" r:id="rId11511" xr:uid="{00000000-0004-0000-0200-0000F62C0000}"/>
    <hyperlink ref="C4565" r:id="rId11512" xr:uid="{00000000-0004-0000-0200-0000F72C0000}"/>
    <hyperlink ref="A4566" r:id="rId11513" xr:uid="{00000000-0004-0000-0200-0000F82C0000}"/>
    <hyperlink ref="B4566" r:id="rId11514" xr:uid="{00000000-0004-0000-0200-0000F92C0000}"/>
    <hyperlink ref="C4566" r:id="rId11515" xr:uid="{00000000-0004-0000-0200-0000FA2C0000}"/>
    <hyperlink ref="A4567" r:id="rId11516" xr:uid="{00000000-0004-0000-0200-0000FB2C0000}"/>
    <hyperlink ref="B4567" r:id="rId11517" xr:uid="{00000000-0004-0000-0200-0000FC2C0000}"/>
    <hyperlink ref="C4567" r:id="rId11518" xr:uid="{00000000-0004-0000-0200-0000FD2C0000}"/>
    <hyperlink ref="A4568" r:id="rId11519" xr:uid="{00000000-0004-0000-0200-0000FE2C0000}"/>
    <hyperlink ref="B4568" r:id="rId11520" xr:uid="{00000000-0004-0000-0200-0000FF2C0000}"/>
    <hyperlink ref="C4568" r:id="rId11521" xr:uid="{00000000-0004-0000-0200-0000002D0000}"/>
    <hyperlink ref="A4569" r:id="rId11522" xr:uid="{00000000-0004-0000-0200-0000012D0000}"/>
    <hyperlink ref="B4569" r:id="rId11523" xr:uid="{00000000-0004-0000-0200-0000022D0000}"/>
    <hyperlink ref="C4569" r:id="rId11524" xr:uid="{00000000-0004-0000-0200-0000032D0000}"/>
    <hyperlink ref="A4570" r:id="rId11525" xr:uid="{00000000-0004-0000-0200-0000042D0000}"/>
    <hyperlink ref="B4570" r:id="rId11526" xr:uid="{00000000-0004-0000-0200-0000052D0000}"/>
    <hyperlink ref="C4570" r:id="rId11527" xr:uid="{00000000-0004-0000-0200-0000062D0000}"/>
    <hyperlink ref="A4571" r:id="rId11528" xr:uid="{00000000-0004-0000-0200-0000072D0000}"/>
    <hyperlink ref="B4571" r:id="rId11529" xr:uid="{00000000-0004-0000-0200-0000082D0000}"/>
    <hyperlink ref="C4571" r:id="rId11530" xr:uid="{00000000-0004-0000-0200-0000092D0000}"/>
    <hyperlink ref="A4572" r:id="rId11531" xr:uid="{00000000-0004-0000-0200-00000A2D0000}"/>
    <hyperlink ref="B4572" r:id="rId11532" xr:uid="{00000000-0004-0000-0200-00000B2D0000}"/>
    <hyperlink ref="C4572" r:id="rId11533" xr:uid="{00000000-0004-0000-0200-00000C2D0000}"/>
    <hyperlink ref="A4573" r:id="rId11534" xr:uid="{00000000-0004-0000-0200-00000D2D0000}"/>
    <hyperlink ref="B4573" r:id="rId11535" xr:uid="{00000000-0004-0000-0200-00000E2D0000}"/>
    <hyperlink ref="C4573" r:id="rId11536" xr:uid="{00000000-0004-0000-0200-00000F2D0000}"/>
    <hyperlink ref="A4574" r:id="rId11537" xr:uid="{00000000-0004-0000-0200-0000102D0000}"/>
    <hyperlink ref="B4574" r:id="rId11538" xr:uid="{00000000-0004-0000-0200-0000112D0000}"/>
    <hyperlink ref="C4574" r:id="rId11539" xr:uid="{00000000-0004-0000-0200-0000122D0000}"/>
    <hyperlink ref="A4575" r:id="rId11540" xr:uid="{00000000-0004-0000-0200-0000132D0000}"/>
    <hyperlink ref="B4575" r:id="rId11541" xr:uid="{00000000-0004-0000-0200-0000142D0000}"/>
    <hyperlink ref="C4575" r:id="rId11542" xr:uid="{00000000-0004-0000-0200-0000152D0000}"/>
    <hyperlink ref="A4576" r:id="rId11543" xr:uid="{00000000-0004-0000-0200-0000162D0000}"/>
    <hyperlink ref="B4576" r:id="rId11544" xr:uid="{00000000-0004-0000-0200-0000172D0000}"/>
    <hyperlink ref="C4576" r:id="rId11545" xr:uid="{00000000-0004-0000-0200-0000182D0000}"/>
    <hyperlink ref="A4577" r:id="rId11546" xr:uid="{00000000-0004-0000-0200-0000192D0000}"/>
    <hyperlink ref="B4577" r:id="rId11547" xr:uid="{00000000-0004-0000-0200-00001A2D0000}"/>
    <hyperlink ref="C4577" r:id="rId11548" xr:uid="{00000000-0004-0000-0200-00001B2D0000}"/>
    <hyperlink ref="M4577" r:id="rId11549" xr:uid="{00000000-0004-0000-0200-00001C2D0000}"/>
    <hyperlink ref="A4578" r:id="rId11550" xr:uid="{00000000-0004-0000-0200-00001D2D0000}"/>
    <hyperlink ref="B4578" r:id="rId11551" xr:uid="{00000000-0004-0000-0200-00001E2D0000}"/>
    <hyperlink ref="C4578" r:id="rId11552" xr:uid="{00000000-0004-0000-0200-00001F2D0000}"/>
    <hyperlink ref="A4579" r:id="rId11553" xr:uid="{00000000-0004-0000-0200-0000202D0000}"/>
    <hyperlink ref="B4579" r:id="rId11554" xr:uid="{00000000-0004-0000-0200-0000212D0000}"/>
    <hyperlink ref="C4579" r:id="rId11555" xr:uid="{00000000-0004-0000-0200-0000222D0000}"/>
    <hyperlink ref="A4580" r:id="rId11556" xr:uid="{00000000-0004-0000-0200-0000232D0000}"/>
    <hyperlink ref="B4580" r:id="rId11557" xr:uid="{00000000-0004-0000-0200-0000242D0000}"/>
    <hyperlink ref="C4580" r:id="rId11558" xr:uid="{00000000-0004-0000-0200-0000252D0000}"/>
    <hyperlink ref="A4581" r:id="rId11559" xr:uid="{00000000-0004-0000-0200-0000262D0000}"/>
    <hyperlink ref="B4581" r:id="rId11560" xr:uid="{00000000-0004-0000-0200-0000272D0000}"/>
    <hyperlink ref="C4581" r:id="rId11561" xr:uid="{00000000-0004-0000-0200-0000282D0000}"/>
    <hyperlink ref="A4582" r:id="rId11562" xr:uid="{00000000-0004-0000-0200-0000292D0000}"/>
    <hyperlink ref="B4582" r:id="rId11563" xr:uid="{00000000-0004-0000-0200-00002A2D0000}"/>
    <hyperlink ref="C4582" r:id="rId11564" xr:uid="{00000000-0004-0000-0200-00002B2D0000}"/>
    <hyperlink ref="A4583" r:id="rId11565" xr:uid="{00000000-0004-0000-0200-00002C2D0000}"/>
    <hyperlink ref="B4583" r:id="rId11566" xr:uid="{00000000-0004-0000-0200-00002D2D0000}"/>
    <hyperlink ref="C4583" r:id="rId11567" xr:uid="{00000000-0004-0000-0200-00002E2D0000}"/>
    <hyperlink ref="A4584" r:id="rId11568" xr:uid="{00000000-0004-0000-0200-00002F2D0000}"/>
    <hyperlink ref="B4584" r:id="rId11569" xr:uid="{00000000-0004-0000-0200-0000302D0000}"/>
    <hyperlink ref="C4584" r:id="rId11570" xr:uid="{00000000-0004-0000-0200-0000312D0000}"/>
    <hyperlink ref="A4585" r:id="rId11571" xr:uid="{00000000-0004-0000-0200-0000322D0000}"/>
    <hyperlink ref="B4585" r:id="rId11572" xr:uid="{00000000-0004-0000-0200-0000332D0000}"/>
    <hyperlink ref="C4585" r:id="rId11573" xr:uid="{00000000-0004-0000-0200-0000342D0000}"/>
    <hyperlink ref="A4586" r:id="rId11574" xr:uid="{00000000-0004-0000-0200-0000352D0000}"/>
    <hyperlink ref="B4586" r:id="rId11575" xr:uid="{00000000-0004-0000-0200-0000362D0000}"/>
    <hyperlink ref="C4586" r:id="rId11576" xr:uid="{00000000-0004-0000-0200-0000372D0000}"/>
    <hyperlink ref="A4587" r:id="rId11577" xr:uid="{00000000-0004-0000-0200-0000382D0000}"/>
    <hyperlink ref="B4587" r:id="rId11578" xr:uid="{00000000-0004-0000-0200-0000392D0000}"/>
    <hyperlink ref="C4587" r:id="rId11579" xr:uid="{00000000-0004-0000-0200-00003A2D0000}"/>
    <hyperlink ref="A4588" r:id="rId11580" xr:uid="{00000000-0004-0000-0200-00003B2D0000}"/>
    <hyperlink ref="B4588" r:id="rId11581" xr:uid="{00000000-0004-0000-0200-00003C2D0000}"/>
    <hyperlink ref="C4588" r:id="rId11582" xr:uid="{00000000-0004-0000-0200-00003D2D0000}"/>
    <hyperlink ref="A4589" r:id="rId11583" xr:uid="{00000000-0004-0000-0200-00003E2D0000}"/>
    <hyperlink ref="B4589" r:id="rId11584" xr:uid="{00000000-0004-0000-0200-00003F2D0000}"/>
    <hyperlink ref="C4589" r:id="rId11585" xr:uid="{00000000-0004-0000-0200-0000402D0000}"/>
    <hyperlink ref="A4590" r:id="rId11586" xr:uid="{00000000-0004-0000-0200-0000412D0000}"/>
    <hyperlink ref="B4590" r:id="rId11587" xr:uid="{00000000-0004-0000-0200-0000422D0000}"/>
    <hyperlink ref="C4590" r:id="rId11588" xr:uid="{00000000-0004-0000-0200-0000432D0000}"/>
    <hyperlink ref="A4591" r:id="rId11589" xr:uid="{00000000-0004-0000-0200-0000442D0000}"/>
    <hyperlink ref="B4591" r:id="rId11590" xr:uid="{00000000-0004-0000-0200-0000452D0000}"/>
    <hyperlink ref="C4591" r:id="rId11591" xr:uid="{00000000-0004-0000-0200-0000462D0000}"/>
    <hyperlink ref="A4592" r:id="rId11592" xr:uid="{00000000-0004-0000-0200-0000472D0000}"/>
    <hyperlink ref="B4592" r:id="rId11593" xr:uid="{00000000-0004-0000-0200-0000482D0000}"/>
    <hyperlink ref="C4592" r:id="rId11594" xr:uid="{00000000-0004-0000-0200-0000492D0000}"/>
    <hyperlink ref="A4593" r:id="rId11595" xr:uid="{00000000-0004-0000-0200-00004A2D0000}"/>
    <hyperlink ref="B4593" r:id="rId11596" xr:uid="{00000000-0004-0000-0200-00004B2D0000}"/>
    <hyperlink ref="C4593" r:id="rId11597" xr:uid="{00000000-0004-0000-0200-00004C2D0000}"/>
    <hyperlink ref="A4594" r:id="rId11598" xr:uid="{00000000-0004-0000-0200-00004D2D0000}"/>
    <hyperlink ref="B4594" r:id="rId11599" xr:uid="{00000000-0004-0000-0200-00004E2D0000}"/>
    <hyperlink ref="C4594" r:id="rId11600" xr:uid="{00000000-0004-0000-0200-00004F2D0000}"/>
    <hyperlink ref="A4595" r:id="rId11601" xr:uid="{00000000-0004-0000-0200-0000502D0000}"/>
    <hyperlink ref="B4595" r:id="rId11602" xr:uid="{00000000-0004-0000-0200-0000512D0000}"/>
    <hyperlink ref="C4595" r:id="rId11603" xr:uid="{00000000-0004-0000-0200-0000522D0000}"/>
    <hyperlink ref="A4596" r:id="rId11604" xr:uid="{00000000-0004-0000-0200-0000532D0000}"/>
    <hyperlink ref="B4596" r:id="rId11605" xr:uid="{00000000-0004-0000-0200-0000542D0000}"/>
    <hyperlink ref="C4596" r:id="rId11606" xr:uid="{00000000-0004-0000-0200-0000552D0000}"/>
    <hyperlink ref="A4597" r:id="rId11607" xr:uid="{00000000-0004-0000-0200-0000562D0000}"/>
    <hyperlink ref="B4597" r:id="rId11608" xr:uid="{00000000-0004-0000-0200-0000572D0000}"/>
    <hyperlink ref="C4597" r:id="rId11609" xr:uid="{00000000-0004-0000-0200-0000582D0000}"/>
    <hyperlink ref="A4598" r:id="rId11610" xr:uid="{00000000-0004-0000-0200-0000592D0000}"/>
    <hyperlink ref="B4598" r:id="rId11611" xr:uid="{00000000-0004-0000-0200-00005A2D0000}"/>
    <hyperlink ref="C4598" r:id="rId11612" xr:uid="{00000000-0004-0000-0200-00005B2D0000}"/>
    <hyperlink ref="A4599" r:id="rId11613" xr:uid="{00000000-0004-0000-0200-00005C2D0000}"/>
    <hyperlink ref="B4599" r:id="rId11614" xr:uid="{00000000-0004-0000-0200-00005D2D0000}"/>
    <hyperlink ref="C4599" r:id="rId11615" xr:uid="{00000000-0004-0000-0200-00005E2D0000}"/>
    <hyperlink ref="A4600" r:id="rId11616" xr:uid="{00000000-0004-0000-0200-00005F2D0000}"/>
    <hyperlink ref="B4600" r:id="rId11617" xr:uid="{00000000-0004-0000-0200-0000602D0000}"/>
    <hyperlink ref="C4600" r:id="rId11618" xr:uid="{00000000-0004-0000-0200-0000612D0000}"/>
    <hyperlink ref="A4601" r:id="rId11619" xr:uid="{00000000-0004-0000-0200-0000622D0000}"/>
    <hyperlink ref="B4601" r:id="rId11620" xr:uid="{00000000-0004-0000-0200-0000632D0000}"/>
    <hyperlink ref="C4601" r:id="rId11621" xr:uid="{00000000-0004-0000-0200-0000642D0000}"/>
    <hyperlink ref="A4602" r:id="rId11622" xr:uid="{00000000-0004-0000-0200-0000652D0000}"/>
    <hyperlink ref="B4602" r:id="rId11623" xr:uid="{00000000-0004-0000-0200-0000662D0000}"/>
    <hyperlink ref="C4602" r:id="rId11624" xr:uid="{00000000-0004-0000-0200-0000672D0000}"/>
    <hyperlink ref="A4603" r:id="rId11625" xr:uid="{00000000-0004-0000-0200-0000682D0000}"/>
    <hyperlink ref="B4603" r:id="rId11626" xr:uid="{00000000-0004-0000-0200-0000692D0000}"/>
    <hyperlink ref="C4603" r:id="rId11627" xr:uid="{00000000-0004-0000-0200-00006A2D0000}"/>
    <hyperlink ref="A4604" r:id="rId11628" xr:uid="{00000000-0004-0000-0200-00006B2D0000}"/>
    <hyperlink ref="B4604" r:id="rId11629" xr:uid="{00000000-0004-0000-0200-00006C2D0000}"/>
    <hyperlink ref="C4604" r:id="rId11630" xr:uid="{00000000-0004-0000-0200-00006D2D0000}"/>
    <hyperlink ref="A4605" r:id="rId11631" xr:uid="{00000000-0004-0000-0200-00006E2D0000}"/>
    <hyperlink ref="B4605" r:id="rId11632" xr:uid="{00000000-0004-0000-0200-00006F2D0000}"/>
    <hyperlink ref="C4605" r:id="rId11633" xr:uid="{00000000-0004-0000-0200-0000702D0000}"/>
    <hyperlink ref="A4606" r:id="rId11634" xr:uid="{00000000-0004-0000-0200-0000712D0000}"/>
    <hyperlink ref="B4606" r:id="rId11635" xr:uid="{00000000-0004-0000-0200-0000722D0000}"/>
    <hyperlink ref="C4606" r:id="rId11636" xr:uid="{00000000-0004-0000-0200-0000732D0000}"/>
    <hyperlink ref="A4607" r:id="rId11637" xr:uid="{00000000-0004-0000-0200-0000742D0000}"/>
    <hyperlink ref="B4607" r:id="rId11638" xr:uid="{00000000-0004-0000-0200-0000752D0000}"/>
    <hyperlink ref="C4607" r:id="rId11639" xr:uid="{00000000-0004-0000-0200-0000762D0000}"/>
    <hyperlink ref="A4608" r:id="rId11640" xr:uid="{00000000-0004-0000-0200-0000772D0000}"/>
    <hyperlink ref="B4608" r:id="rId11641" xr:uid="{00000000-0004-0000-0200-0000782D0000}"/>
    <hyperlink ref="C4608" r:id="rId11642" xr:uid="{00000000-0004-0000-0200-0000792D0000}"/>
    <hyperlink ref="A4609" r:id="rId11643" xr:uid="{00000000-0004-0000-0200-00007A2D0000}"/>
    <hyperlink ref="B4609" r:id="rId11644" xr:uid="{00000000-0004-0000-0200-00007B2D0000}"/>
    <hyperlink ref="C4609" r:id="rId11645" xr:uid="{00000000-0004-0000-0200-00007C2D0000}"/>
    <hyperlink ref="A4610" r:id="rId11646" xr:uid="{00000000-0004-0000-0200-00007D2D0000}"/>
    <hyperlink ref="B4610" r:id="rId11647" xr:uid="{00000000-0004-0000-0200-00007E2D0000}"/>
    <hyperlink ref="C4610" r:id="rId11648" xr:uid="{00000000-0004-0000-0200-00007F2D0000}"/>
    <hyperlink ref="A4611" r:id="rId11649" xr:uid="{00000000-0004-0000-0200-0000802D0000}"/>
    <hyperlink ref="B4611" r:id="rId11650" xr:uid="{00000000-0004-0000-0200-0000812D0000}"/>
    <hyperlink ref="C4611" r:id="rId11651" xr:uid="{00000000-0004-0000-0200-0000822D0000}"/>
    <hyperlink ref="A4612" r:id="rId11652" xr:uid="{00000000-0004-0000-0200-0000832D0000}"/>
    <hyperlink ref="B4612" r:id="rId11653" xr:uid="{00000000-0004-0000-0200-0000842D0000}"/>
    <hyperlink ref="C4612" r:id="rId11654" xr:uid="{00000000-0004-0000-0200-0000852D0000}"/>
    <hyperlink ref="A4613" r:id="rId11655" xr:uid="{00000000-0004-0000-0200-0000862D0000}"/>
    <hyperlink ref="B4613" r:id="rId11656" xr:uid="{00000000-0004-0000-0200-0000872D0000}"/>
    <hyperlink ref="C4613" r:id="rId11657" xr:uid="{00000000-0004-0000-0200-0000882D0000}"/>
    <hyperlink ref="A4614" r:id="rId11658" xr:uid="{00000000-0004-0000-0200-0000892D0000}"/>
    <hyperlink ref="B4614" r:id="rId11659" xr:uid="{00000000-0004-0000-0200-00008A2D0000}"/>
    <hyperlink ref="C4614" r:id="rId11660" xr:uid="{00000000-0004-0000-0200-00008B2D0000}"/>
    <hyperlink ref="A4615" r:id="rId11661" xr:uid="{00000000-0004-0000-0200-00008C2D0000}"/>
    <hyperlink ref="B4615" r:id="rId11662" xr:uid="{00000000-0004-0000-0200-00008D2D0000}"/>
    <hyperlink ref="C4615" r:id="rId11663" xr:uid="{00000000-0004-0000-0200-00008E2D0000}"/>
    <hyperlink ref="A4616" r:id="rId11664" xr:uid="{00000000-0004-0000-0200-00008F2D0000}"/>
    <hyperlink ref="B4616" r:id="rId11665" xr:uid="{00000000-0004-0000-0200-0000902D0000}"/>
    <hyperlink ref="C4616" r:id="rId11666" xr:uid="{00000000-0004-0000-0200-0000912D0000}"/>
    <hyperlink ref="A4617" r:id="rId11667" xr:uid="{00000000-0004-0000-0200-0000922D0000}"/>
    <hyperlink ref="B4617" r:id="rId11668" xr:uid="{00000000-0004-0000-0200-0000932D0000}"/>
    <hyperlink ref="C4617" r:id="rId11669" xr:uid="{00000000-0004-0000-0200-0000942D0000}"/>
    <hyperlink ref="A4618" r:id="rId11670" xr:uid="{00000000-0004-0000-0200-0000952D0000}"/>
    <hyperlink ref="B4618" r:id="rId11671" xr:uid="{00000000-0004-0000-0200-0000962D0000}"/>
    <hyperlink ref="C4618" r:id="rId11672" xr:uid="{00000000-0004-0000-0200-0000972D0000}"/>
    <hyperlink ref="A4619" r:id="rId11673" xr:uid="{00000000-0004-0000-0200-0000982D0000}"/>
    <hyperlink ref="B4619" r:id="rId11674" xr:uid="{00000000-0004-0000-0200-0000992D0000}"/>
    <hyperlink ref="C4619" r:id="rId11675" xr:uid="{00000000-0004-0000-0200-00009A2D0000}"/>
    <hyperlink ref="A4620" r:id="rId11676" xr:uid="{00000000-0004-0000-0200-00009B2D0000}"/>
    <hyperlink ref="B4620" r:id="rId11677" xr:uid="{00000000-0004-0000-0200-00009C2D0000}"/>
    <hyperlink ref="C4620" r:id="rId11678" xr:uid="{00000000-0004-0000-0200-00009D2D0000}"/>
    <hyperlink ref="A4621" r:id="rId11679" xr:uid="{00000000-0004-0000-0200-00009E2D0000}"/>
    <hyperlink ref="B4621" r:id="rId11680" xr:uid="{00000000-0004-0000-0200-00009F2D0000}"/>
    <hyperlink ref="C4621" r:id="rId11681" xr:uid="{00000000-0004-0000-0200-0000A02D0000}"/>
    <hyperlink ref="A4622" r:id="rId11682" xr:uid="{00000000-0004-0000-0200-0000A12D0000}"/>
    <hyperlink ref="B4622" r:id="rId11683" xr:uid="{00000000-0004-0000-0200-0000A22D0000}"/>
    <hyperlink ref="C4622" r:id="rId11684" xr:uid="{00000000-0004-0000-0200-0000A32D0000}"/>
    <hyperlink ref="A4623" r:id="rId11685" xr:uid="{00000000-0004-0000-0200-0000A42D0000}"/>
    <hyperlink ref="B4623" r:id="rId11686" xr:uid="{00000000-0004-0000-0200-0000A52D0000}"/>
    <hyperlink ref="C4623" r:id="rId11687" xr:uid="{00000000-0004-0000-0200-0000A62D0000}"/>
    <hyperlink ref="A4624" r:id="rId11688" xr:uid="{00000000-0004-0000-0200-0000A72D0000}"/>
    <hyperlink ref="B4624" r:id="rId11689" xr:uid="{00000000-0004-0000-0200-0000A82D0000}"/>
    <hyperlink ref="C4624" r:id="rId11690" xr:uid="{00000000-0004-0000-0200-0000A92D0000}"/>
    <hyperlink ref="A4625" r:id="rId11691" xr:uid="{00000000-0004-0000-0200-0000AA2D0000}"/>
    <hyperlink ref="B4625" r:id="rId11692" xr:uid="{00000000-0004-0000-0200-0000AB2D0000}"/>
    <hyperlink ref="C4625" r:id="rId11693" xr:uid="{00000000-0004-0000-0200-0000AC2D0000}"/>
    <hyperlink ref="A4626" r:id="rId11694" xr:uid="{00000000-0004-0000-0200-0000AD2D0000}"/>
    <hyperlink ref="B4626" r:id="rId11695" xr:uid="{00000000-0004-0000-0200-0000AE2D0000}"/>
    <hyperlink ref="C4626" r:id="rId11696" xr:uid="{00000000-0004-0000-0200-0000AF2D0000}"/>
    <hyperlink ref="A4627" r:id="rId11697" xr:uid="{00000000-0004-0000-0200-0000B02D0000}"/>
    <hyperlink ref="B4627" r:id="rId11698" xr:uid="{00000000-0004-0000-0200-0000B12D0000}"/>
    <hyperlink ref="C4627" r:id="rId11699" xr:uid="{00000000-0004-0000-0200-0000B22D0000}"/>
    <hyperlink ref="A4628" r:id="rId11700" xr:uid="{00000000-0004-0000-0200-0000B32D0000}"/>
    <hyperlink ref="B4628" r:id="rId11701" xr:uid="{00000000-0004-0000-0200-0000B42D0000}"/>
    <hyperlink ref="C4628" r:id="rId11702" xr:uid="{00000000-0004-0000-0200-0000B52D0000}"/>
    <hyperlink ref="A4629" r:id="rId11703" xr:uid="{00000000-0004-0000-0200-0000B62D0000}"/>
    <hyperlink ref="B4629" r:id="rId11704" xr:uid="{00000000-0004-0000-0200-0000B72D0000}"/>
    <hyperlink ref="C4629" r:id="rId11705" xr:uid="{00000000-0004-0000-0200-0000B82D0000}"/>
    <hyperlink ref="A4630" r:id="rId11706" xr:uid="{00000000-0004-0000-0200-0000B92D0000}"/>
    <hyperlink ref="B4630" r:id="rId11707" xr:uid="{00000000-0004-0000-0200-0000BA2D0000}"/>
    <hyperlink ref="C4630" r:id="rId11708" xr:uid="{00000000-0004-0000-0200-0000BB2D0000}"/>
    <hyperlink ref="A4631" r:id="rId11709" xr:uid="{00000000-0004-0000-0200-0000BC2D0000}"/>
    <hyperlink ref="B4631" r:id="rId11710" xr:uid="{00000000-0004-0000-0200-0000BD2D0000}"/>
    <hyperlink ref="C4631" r:id="rId11711" xr:uid="{00000000-0004-0000-0200-0000BE2D0000}"/>
    <hyperlink ref="A4632" r:id="rId11712" xr:uid="{00000000-0004-0000-0200-0000BF2D0000}"/>
    <hyperlink ref="B4632" r:id="rId11713" xr:uid="{00000000-0004-0000-0200-0000C02D0000}"/>
    <hyperlink ref="C4632" r:id="rId11714" xr:uid="{00000000-0004-0000-0200-0000C12D0000}"/>
    <hyperlink ref="A4633" r:id="rId11715" xr:uid="{00000000-0004-0000-0200-0000C22D0000}"/>
    <hyperlink ref="B4633" r:id="rId11716" xr:uid="{00000000-0004-0000-0200-0000C32D0000}"/>
    <hyperlink ref="C4633" r:id="rId11717" xr:uid="{00000000-0004-0000-0200-0000C42D0000}"/>
    <hyperlink ref="A4634" r:id="rId11718" xr:uid="{00000000-0004-0000-0200-0000C52D0000}"/>
    <hyperlink ref="B4634" r:id="rId11719" xr:uid="{00000000-0004-0000-0200-0000C62D0000}"/>
    <hyperlink ref="C4634" r:id="rId11720" xr:uid="{00000000-0004-0000-0200-0000C72D0000}"/>
    <hyperlink ref="A4635" r:id="rId11721" xr:uid="{00000000-0004-0000-0200-0000C82D0000}"/>
    <hyperlink ref="B4635" r:id="rId11722" xr:uid="{00000000-0004-0000-0200-0000C92D0000}"/>
    <hyperlink ref="C4635" r:id="rId11723" xr:uid="{00000000-0004-0000-0200-0000CA2D0000}"/>
    <hyperlink ref="A4636" r:id="rId11724" xr:uid="{00000000-0004-0000-0200-0000CB2D0000}"/>
    <hyperlink ref="B4636" r:id="rId11725" xr:uid="{00000000-0004-0000-0200-0000CC2D0000}"/>
    <hyperlink ref="C4636" r:id="rId11726" xr:uid="{00000000-0004-0000-0200-0000CD2D0000}"/>
    <hyperlink ref="A4637" r:id="rId11727" xr:uid="{00000000-0004-0000-0200-0000CE2D0000}"/>
    <hyperlink ref="B4637" r:id="rId11728" xr:uid="{00000000-0004-0000-0200-0000CF2D0000}"/>
    <hyperlink ref="C4637" r:id="rId11729" xr:uid="{00000000-0004-0000-0200-0000D02D0000}"/>
    <hyperlink ref="A4638" r:id="rId11730" xr:uid="{00000000-0004-0000-0200-0000D12D0000}"/>
    <hyperlink ref="B4638" r:id="rId11731" xr:uid="{00000000-0004-0000-0200-0000D22D0000}"/>
    <hyperlink ref="C4638" r:id="rId11732" xr:uid="{00000000-0004-0000-0200-0000D32D0000}"/>
    <hyperlink ref="A4639" r:id="rId11733" xr:uid="{00000000-0004-0000-0200-0000D42D0000}"/>
    <hyperlink ref="B4639" r:id="rId11734" xr:uid="{00000000-0004-0000-0200-0000D52D0000}"/>
    <hyperlink ref="C4639" r:id="rId11735" xr:uid="{00000000-0004-0000-0200-0000D62D0000}"/>
    <hyperlink ref="A4640" r:id="rId11736" xr:uid="{00000000-0004-0000-0200-0000D72D0000}"/>
    <hyperlink ref="B4640" r:id="rId11737" xr:uid="{00000000-0004-0000-0200-0000D82D0000}"/>
    <hyperlink ref="C4640" r:id="rId11738" xr:uid="{00000000-0004-0000-0200-0000D92D0000}"/>
    <hyperlink ref="A4641" r:id="rId11739" xr:uid="{00000000-0004-0000-0200-0000DA2D0000}"/>
    <hyperlink ref="B4641" r:id="rId11740" xr:uid="{00000000-0004-0000-0200-0000DB2D0000}"/>
    <hyperlink ref="C4641" r:id="rId11741" xr:uid="{00000000-0004-0000-0200-0000DC2D0000}"/>
    <hyperlink ref="A4642" r:id="rId11742" xr:uid="{00000000-0004-0000-0200-0000DD2D0000}"/>
    <hyperlink ref="B4642" r:id="rId11743" xr:uid="{00000000-0004-0000-0200-0000DE2D0000}"/>
    <hyperlink ref="C4642" r:id="rId11744" xr:uid="{00000000-0004-0000-0200-0000DF2D0000}"/>
    <hyperlink ref="A4643" r:id="rId11745" xr:uid="{00000000-0004-0000-0200-0000E02D0000}"/>
    <hyperlink ref="B4643" r:id="rId11746" xr:uid="{00000000-0004-0000-0200-0000E12D0000}"/>
    <hyperlink ref="C4643" r:id="rId11747" xr:uid="{00000000-0004-0000-0200-0000E22D0000}"/>
    <hyperlink ref="A4644" r:id="rId11748" xr:uid="{00000000-0004-0000-0200-0000E32D0000}"/>
    <hyperlink ref="B4644" r:id="rId11749" xr:uid="{00000000-0004-0000-0200-0000E42D0000}"/>
    <hyperlink ref="C4644" r:id="rId11750" xr:uid="{00000000-0004-0000-0200-0000E52D0000}"/>
    <hyperlink ref="A4645" r:id="rId11751" xr:uid="{00000000-0004-0000-0200-0000E62D0000}"/>
    <hyperlink ref="B4645" r:id="rId11752" xr:uid="{00000000-0004-0000-0200-0000E72D0000}"/>
    <hyperlink ref="C4645" r:id="rId11753" xr:uid="{00000000-0004-0000-0200-0000E82D0000}"/>
    <hyperlink ref="A4646" r:id="rId11754" xr:uid="{00000000-0004-0000-0200-0000E92D0000}"/>
    <hyperlink ref="B4646" r:id="rId11755" xr:uid="{00000000-0004-0000-0200-0000EA2D0000}"/>
    <hyperlink ref="C4646" r:id="rId11756" xr:uid="{00000000-0004-0000-0200-0000EB2D0000}"/>
    <hyperlink ref="A4647" r:id="rId11757" xr:uid="{00000000-0004-0000-0200-0000EC2D0000}"/>
    <hyperlink ref="B4647" r:id="rId11758" xr:uid="{00000000-0004-0000-0200-0000ED2D0000}"/>
    <hyperlink ref="C4647" r:id="rId11759" xr:uid="{00000000-0004-0000-0200-0000EE2D0000}"/>
    <hyperlink ref="A4648" r:id="rId11760" xr:uid="{00000000-0004-0000-0200-0000EF2D0000}"/>
    <hyperlink ref="B4648" r:id="rId11761" xr:uid="{00000000-0004-0000-0200-0000F02D0000}"/>
    <hyperlink ref="C4648" r:id="rId11762" xr:uid="{00000000-0004-0000-0200-0000F12D0000}"/>
    <hyperlink ref="A4649" r:id="rId11763" xr:uid="{00000000-0004-0000-0200-0000F22D0000}"/>
    <hyperlink ref="B4649" r:id="rId11764" xr:uid="{00000000-0004-0000-0200-0000F32D0000}"/>
    <hyperlink ref="C4649" r:id="rId11765" xr:uid="{00000000-0004-0000-0200-0000F42D0000}"/>
    <hyperlink ref="A4650" r:id="rId11766" xr:uid="{00000000-0004-0000-0200-0000F52D0000}"/>
    <hyperlink ref="B4650" r:id="rId11767" xr:uid="{00000000-0004-0000-0200-0000F62D0000}"/>
    <hyperlink ref="C4650" r:id="rId11768" xr:uid="{00000000-0004-0000-0200-0000F72D0000}"/>
    <hyperlink ref="A4651" r:id="rId11769" xr:uid="{00000000-0004-0000-0200-0000F82D0000}"/>
    <hyperlink ref="B4651" r:id="rId11770" xr:uid="{00000000-0004-0000-0200-0000F92D0000}"/>
    <hyperlink ref="C4651" r:id="rId11771" xr:uid="{00000000-0004-0000-0200-0000FA2D0000}"/>
    <hyperlink ref="A4652" r:id="rId11772" xr:uid="{00000000-0004-0000-0200-0000FB2D0000}"/>
    <hyperlink ref="B4652" r:id="rId11773" xr:uid="{00000000-0004-0000-0200-0000FC2D0000}"/>
    <hyperlink ref="C4652" r:id="rId11774" xr:uid="{00000000-0004-0000-0200-0000FD2D0000}"/>
    <hyperlink ref="A4653" r:id="rId11775" xr:uid="{00000000-0004-0000-0200-0000FE2D0000}"/>
    <hyperlink ref="B4653" r:id="rId11776" xr:uid="{00000000-0004-0000-0200-0000FF2D0000}"/>
    <hyperlink ref="C4653" r:id="rId11777" xr:uid="{00000000-0004-0000-0200-0000002E0000}"/>
    <hyperlink ref="A4654" r:id="rId11778" xr:uid="{00000000-0004-0000-0200-0000012E0000}"/>
    <hyperlink ref="B4654" r:id="rId11779" xr:uid="{00000000-0004-0000-0200-0000022E0000}"/>
    <hyperlink ref="C4654" r:id="rId11780" xr:uid="{00000000-0004-0000-0200-0000032E0000}"/>
    <hyperlink ref="A4655" r:id="rId11781" xr:uid="{00000000-0004-0000-0200-0000042E0000}"/>
    <hyperlink ref="B4655" r:id="rId11782" xr:uid="{00000000-0004-0000-0200-0000052E0000}"/>
    <hyperlink ref="C4655" r:id="rId11783" xr:uid="{00000000-0004-0000-0200-0000062E0000}"/>
    <hyperlink ref="A4656" r:id="rId11784" xr:uid="{00000000-0004-0000-0200-0000072E0000}"/>
    <hyperlink ref="B4656" r:id="rId11785" xr:uid="{00000000-0004-0000-0200-0000082E0000}"/>
    <hyperlink ref="C4656" r:id="rId11786" xr:uid="{00000000-0004-0000-0200-0000092E0000}"/>
    <hyperlink ref="A4657" r:id="rId11787" xr:uid="{00000000-0004-0000-0200-00000A2E0000}"/>
    <hyperlink ref="B4657" r:id="rId11788" xr:uid="{00000000-0004-0000-0200-00000B2E0000}"/>
    <hyperlink ref="C4657" r:id="rId11789" xr:uid="{00000000-0004-0000-0200-00000C2E0000}"/>
    <hyperlink ref="A4658" r:id="rId11790" xr:uid="{00000000-0004-0000-0200-00000D2E0000}"/>
    <hyperlink ref="B4658" r:id="rId11791" xr:uid="{00000000-0004-0000-0200-00000E2E0000}"/>
    <hyperlink ref="C4658" r:id="rId11792" xr:uid="{00000000-0004-0000-0200-00000F2E0000}"/>
    <hyperlink ref="A4659" r:id="rId11793" xr:uid="{00000000-0004-0000-0200-0000102E0000}"/>
    <hyperlink ref="B4659" r:id="rId11794" xr:uid="{00000000-0004-0000-0200-0000112E0000}"/>
    <hyperlink ref="C4659" r:id="rId11795" xr:uid="{00000000-0004-0000-0200-0000122E0000}"/>
    <hyperlink ref="A4660" r:id="rId11796" xr:uid="{00000000-0004-0000-0200-0000132E0000}"/>
    <hyperlink ref="B4660" r:id="rId11797" xr:uid="{00000000-0004-0000-0200-0000142E0000}"/>
    <hyperlink ref="C4660" r:id="rId11798" xr:uid="{00000000-0004-0000-0200-0000152E0000}"/>
    <hyperlink ref="A4661" r:id="rId11799" xr:uid="{00000000-0004-0000-0200-0000162E0000}"/>
    <hyperlink ref="B4661" r:id="rId11800" xr:uid="{00000000-0004-0000-0200-0000172E0000}"/>
    <hyperlink ref="C4661" r:id="rId11801" xr:uid="{00000000-0004-0000-0200-0000182E0000}"/>
    <hyperlink ref="A4662" r:id="rId11802" xr:uid="{00000000-0004-0000-0200-0000192E0000}"/>
    <hyperlink ref="B4662" r:id="rId11803" xr:uid="{00000000-0004-0000-0200-00001A2E0000}"/>
    <hyperlink ref="C4662" r:id="rId11804" xr:uid="{00000000-0004-0000-0200-00001B2E0000}"/>
    <hyperlink ref="A4663" r:id="rId11805" xr:uid="{00000000-0004-0000-0200-00001C2E0000}"/>
    <hyperlink ref="B4663" r:id="rId11806" xr:uid="{00000000-0004-0000-0200-00001D2E0000}"/>
    <hyperlink ref="C4663" r:id="rId11807" xr:uid="{00000000-0004-0000-0200-00001E2E0000}"/>
    <hyperlink ref="A4664" r:id="rId11808" xr:uid="{00000000-0004-0000-0200-00001F2E0000}"/>
    <hyperlink ref="B4664" r:id="rId11809" xr:uid="{00000000-0004-0000-0200-0000202E0000}"/>
    <hyperlink ref="C4664" r:id="rId11810" xr:uid="{00000000-0004-0000-0200-0000212E0000}"/>
    <hyperlink ref="A4665" r:id="rId11811" xr:uid="{00000000-0004-0000-0200-0000222E0000}"/>
    <hyperlink ref="B4665" r:id="rId11812" xr:uid="{00000000-0004-0000-0200-0000232E0000}"/>
    <hyperlink ref="C4665" r:id="rId11813" xr:uid="{00000000-0004-0000-0200-0000242E0000}"/>
    <hyperlink ref="A4666" r:id="rId11814" xr:uid="{00000000-0004-0000-0200-0000252E0000}"/>
    <hyperlink ref="B4666" r:id="rId11815" xr:uid="{00000000-0004-0000-0200-0000262E0000}"/>
    <hyperlink ref="C4666" r:id="rId11816" xr:uid="{00000000-0004-0000-0200-0000272E0000}"/>
    <hyperlink ref="A4667" r:id="rId11817" xr:uid="{00000000-0004-0000-0200-0000282E0000}"/>
    <hyperlink ref="B4667" r:id="rId11818" xr:uid="{00000000-0004-0000-0200-0000292E0000}"/>
    <hyperlink ref="C4667" r:id="rId11819" xr:uid="{00000000-0004-0000-0200-00002A2E0000}"/>
    <hyperlink ref="A4668" r:id="rId11820" xr:uid="{00000000-0004-0000-0200-00002B2E0000}"/>
    <hyperlink ref="B4668" r:id="rId11821" xr:uid="{00000000-0004-0000-0200-00002C2E0000}"/>
    <hyperlink ref="C4668" r:id="rId11822" xr:uid="{00000000-0004-0000-0200-00002D2E0000}"/>
    <hyperlink ref="A4669" r:id="rId11823" xr:uid="{00000000-0004-0000-0200-00002E2E0000}"/>
    <hyperlink ref="B4669" r:id="rId11824" xr:uid="{00000000-0004-0000-0200-00002F2E0000}"/>
    <hyperlink ref="C4669" r:id="rId11825" xr:uid="{00000000-0004-0000-0200-0000302E0000}"/>
    <hyperlink ref="A4670" r:id="rId11826" xr:uid="{00000000-0004-0000-0200-0000312E0000}"/>
    <hyperlink ref="B4670" r:id="rId11827" xr:uid="{00000000-0004-0000-0200-0000322E0000}"/>
    <hyperlink ref="C4670" r:id="rId11828" xr:uid="{00000000-0004-0000-0200-0000332E0000}"/>
    <hyperlink ref="A4671" r:id="rId11829" xr:uid="{00000000-0004-0000-0200-0000342E0000}"/>
    <hyperlink ref="B4671" r:id="rId11830" xr:uid="{00000000-0004-0000-0200-0000352E0000}"/>
    <hyperlink ref="C4671" r:id="rId11831" xr:uid="{00000000-0004-0000-0200-0000362E0000}"/>
    <hyperlink ref="A4672" r:id="rId11832" xr:uid="{00000000-0004-0000-0200-0000372E0000}"/>
    <hyperlink ref="B4672" r:id="rId11833" xr:uid="{00000000-0004-0000-0200-0000382E0000}"/>
    <hyperlink ref="C4672" r:id="rId11834" xr:uid="{00000000-0004-0000-0200-0000392E0000}"/>
    <hyperlink ref="A4673" r:id="rId11835" xr:uid="{00000000-0004-0000-0200-00003A2E0000}"/>
    <hyperlink ref="B4673" r:id="rId11836" xr:uid="{00000000-0004-0000-0200-00003B2E0000}"/>
    <hyperlink ref="C4673" r:id="rId11837" xr:uid="{00000000-0004-0000-0200-00003C2E0000}"/>
    <hyperlink ref="A4674" r:id="rId11838" xr:uid="{00000000-0004-0000-0200-00003D2E0000}"/>
    <hyperlink ref="B4674" r:id="rId11839" xr:uid="{00000000-0004-0000-0200-00003E2E0000}"/>
    <hyperlink ref="C4674" r:id="rId11840" xr:uid="{00000000-0004-0000-0200-00003F2E0000}"/>
    <hyperlink ref="A4675" r:id="rId11841" xr:uid="{00000000-0004-0000-0200-0000402E0000}"/>
    <hyperlink ref="B4675" r:id="rId11842" xr:uid="{00000000-0004-0000-0200-0000412E0000}"/>
    <hyperlink ref="C4675" r:id="rId11843" xr:uid="{00000000-0004-0000-0200-0000422E0000}"/>
    <hyperlink ref="A4676" r:id="rId11844" xr:uid="{00000000-0004-0000-0200-0000432E0000}"/>
    <hyperlink ref="B4676" r:id="rId11845" xr:uid="{00000000-0004-0000-0200-0000442E0000}"/>
    <hyperlink ref="C4676" r:id="rId11846" xr:uid="{00000000-0004-0000-0200-0000452E0000}"/>
    <hyperlink ref="A4677" r:id="rId11847" xr:uid="{00000000-0004-0000-0200-0000462E0000}"/>
    <hyperlink ref="B4677" r:id="rId11848" xr:uid="{00000000-0004-0000-0200-0000472E0000}"/>
    <hyperlink ref="C4677" r:id="rId11849" xr:uid="{00000000-0004-0000-0200-0000482E0000}"/>
    <hyperlink ref="A4678" r:id="rId11850" xr:uid="{00000000-0004-0000-0200-0000492E0000}"/>
    <hyperlink ref="B4678" r:id="rId11851" xr:uid="{00000000-0004-0000-0200-00004A2E0000}"/>
    <hyperlink ref="C4678" r:id="rId11852" xr:uid="{00000000-0004-0000-0200-00004B2E0000}"/>
    <hyperlink ref="A4679" r:id="rId11853" xr:uid="{00000000-0004-0000-0200-00004C2E0000}"/>
    <hyperlink ref="B4679" r:id="rId11854" xr:uid="{00000000-0004-0000-0200-00004D2E0000}"/>
    <hyperlink ref="C4679" r:id="rId11855" xr:uid="{00000000-0004-0000-0200-00004E2E0000}"/>
    <hyperlink ref="A4680" r:id="rId11856" xr:uid="{00000000-0004-0000-0200-00004F2E0000}"/>
    <hyperlink ref="B4680" r:id="rId11857" xr:uid="{00000000-0004-0000-0200-0000502E0000}"/>
    <hyperlink ref="C4680" r:id="rId11858" xr:uid="{00000000-0004-0000-0200-0000512E0000}"/>
    <hyperlink ref="A4681" r:id="rId11859" xr:uid="{00000000-0004-0000-0200-0000522E0000}"/>
    <hyperlink ref="B4681" r:id="rId11860" xr:uid="{00000000-0004-0000-0200-0000532E0000}"/>
    <hyperlink ref="C4681" r:id="rId11861" xr:uid="{00000000-0004-0000-0200-0000542E0000}"/>
    <hyperlink ref="A4682" r:id="rId11862" xr:uid="{00000000-0004-0000-0200-0000552E0000}"/>
    <hyperlink ref="B4682" r:id="rId11863" xr:uid="{00000000-0004-0000-0200-0000562E0000}"/>
    <hyperlink ref="C4682" r:id="rId11864" xr:uid="{00000000-0004-0000-0200-0000572E0000}"/>
    <hyperlink ref="A4683" r:id="rId11865" xr:uid="{00000000-0004-0000-0200-0000582E0000}"/>
    <hyperlink ref="B4683" r:id="rId11866" xr:uid="{00000000-0004-0000-0200-0000592E0000}"/>
    <hyperlink ref="C4683" r:id="rId11867" xr:uid="{00000000-0004-0000-0200-00005A2E0000}"/>
    <hyperlink ref="A4684" r:id="rId11868" xr:uid="{00000000-0004-0000-0200-00005B2E0000}"/>
    <hyperlink ref="B4684" r:id="rId11869" xr:uid="{00000000-0004-0000-0200-00005C2E0000}"/>
    <hyperlink ref="C4684" r:id="rId11870" xr:uid="{00000000-0004-0000-0200-00005D2E0000}"/>
    <hyperlink ref="A4685" r:id="rId11871" xr:uid="{00000000-0004-0000-0200-00005E2E0000}"/>
    <hyperlink ref="B4685" r:id="rId11872" xr:uid="{00000000-0004-0000-0200-00005F2E0000}"/>
    <hyperlink ref="C4685" r:id="rId11873" xr:uid="{00000000-0004-0000-0200-0000602E0000}"/>
    <hyperlink ref="A4686" r:id="rId11874" xr:uid="{00000000-0004-0000-0200-0000612E0000}"/>
    <hyperlink ref="B4686" r:id="rId11875" xr:uid="{00000000-0004-0000-0200-0000622E0000}"/>
    <hyperlink ref="C4686" r:id="rId11876" xr:uid="{00000000-0004-0000-0200-0000632E0000}"/>
    <hyperlink ref="A4687" r:id="rId11877" xr:uid="{00000000-0004-0000-0200-0000642E0000}"/>
    <hyperlink ref="B4687" r:id="rId11878" xr:uid="{00000000-0004-0000-0200-0000652E0000}"/>
    <hyperlink ref="C4687" r:id="rId11879" xr:uid="{00000000-0004-0000-0200-0000662E0000}"/>
    <hyperlink ref="A4688" r:id="rId11880" xr:uid="{00000000-0004-0000-0200-0000672E0000}"/>
    <hyperlink ref="B4688" r:id="rId11881" xr:uid="{00000000-0004-0000-0200-0000682E0000}"/>
    <hyperlink ref="C4688" r:id="rId11882" xr:uid="{00000000-0004-0000-0200-0000692E0000}"/>
    <hyperlink ref="A4689" r:id="rId11883" xr:uid="{00000000-0004-0000-0200-00006A2E0000}"/>
    <hyperlink ref="B4689" r:id="rId11884" xr:uid="{00000000-0004-0000-0200-00006B2E0000}"/>
    <hyperlink ref="C4689" r:id="rId11885" xr:uid="{00000000-0004-0000-0200-00006C2E0000}"/>
    <hyperlink ref="A4690" r:id="rId11886" xr:uid="{00000000-0004-0000-0200-00006D2E0000}"/>
    <hyperlink ref="B4690" r:id="rId11887" xr:uid="{00000000-0004-0000-0200-00006E2E0000}"/>
    <hyperlink ref="C4690" r:id="rId11888" xr:uid="{00000000-0004-0000-0200-00006F2E0000}"/>
    <hyperlink ref="A4691" r:id="rId11889" xr:uid="{00000000-0004-0000-0200-0000702E0000}"/>
    <hyperlink ref="B4691" r:id="rId11890" xr:uid="{00000000-0004-0000-0200-0000712E0000}"/>
    <hyperlink ref="C4691" r:id="rId11891" xr:uid="{00000000-0004-0000-0200-0000722E0000}"/>
    <hyperlink ref="A4692" r:id="rId11892" xr:uid="{00000000-0004-0000-0200-0000732E0000}"/>
    <hyperlink ref="B4692" r:id="rId11893" xr:uid="{00000000-0004-0000-0200-0000742E0000}"/>
    <hyperlink ref="C4692" r:id="rId11894" xr:uid="{00000000-0004-0000-0200-0000752E0000}"/>
    <hyperlink ref="A4693" r:id="rId11895" xr:uid="{00000000-0004-0000-0200-0000762E0000}"/>
    <hyperlink ref="B4693" r:id="rId11896" xr:uid="{00000000-0004-0000-0200-0000772E0000}"/>
    <hyperlink ref="C4693" r:id="rId11897" xr:uid="{00000000-0004-0000-0200-0000782E0000}"/>
    <hyperlink ref="A4694" r:id="rId11898" xr:uid="{00000000-0004-0000-0200-0000792E0000}"/>
    <hyperlink ref="B4694" r:id="rId11899" xr:uid="{00000000-0004-0000-0200-00007A2E0000}"/>
    <hyperlink ref="C4694" r:id="rId11900" xr:uid="{00000000-0004-0000-0200-00007B2E0000}"/>
    <hyperlink ref="A4695" r:id="rId11901" xr:uid="{00000000-0004-0000-0200-00007C2E0000}"/>
    <hyperlink ref="B4695" r:id="rId11902" xr:uid="{00000000-0004-0000-0200-00007D2E0000}"/>
    <hyperlink ref="C4695" r:id="rId11903" xr:uid="{00000000-0004-0000-0200-00007E2E0000}"/>
    <hyperlink ref="A4696" r:id="rId11904" xr:uid="{00000000-0004-0000-0200-00007F2E0000}"/>
    <hyperlink ref="B4696" r:id="rId11905" xr:uid="{00000000-0004-0000-0200-0000802E0000}"/>
    <hyperlink ref="C4696" r:id="rId11906" xr:uid="{00000000-0004-0000-0200-0000812E0000}"/>
    <hyperlink ref="A4697" r:id="rId11907" xr:uid="{00000000-0004-0000-0200-0000822E0000}"/>
    <hyperlink ref="B4697" r:id="rId11908" xr:uid="{00000000-0004-0000-0200-0000832E0000}"/>
    <hyperlink ref="C4697" r:id="rId11909" xr:uid="{00000000-0004-0000-0200-0000842E0000}"/>
    <hyperlink ref="A4698" r:id="rId11910" xr:uid="{00000000-0004-0000-0200-0000852E0000}"/>
    <hyperlink ref="B4698" r:id="rId11911" xr:uid="{00000000-0004-0000-0200-0000862E0000}"/>
    <hyperlink ref="C4698" r:id="rId11912" xr:uid="{00000000-0004-0000-0200-0000872E0000}"/>
    <hyperlink ref="A4699" r:id="rId11913" xr:uid="{00000000-0004-0000-0200-0000882E0000}"/>
    <hyperlink ref="B4699" r:id="rId11914" xr:uid="{00000000-0004-0000-0200-0000892E0000}"/>
    <hyperlink ref="C4699" r:id="rId11915" xr:uid="{00000000-0004-0000-0200-00008A2E0000}"/>
    <hyperlink ref="A4700" r:id="rId11916" xr:uid="{00000000-0004-0000-0200-00008B2E0000}"/>
    <hyperlink ref="B4700" r:id="rId11917" xr:uid="{00000000-0004-0000-0200-00008C2E0000}"/>
    <hyperlink ref="C4700" r:id="rId11918" xr:uid="{00000000-0004-0000-0200-00008D2E0000}"/>
    <hyperlink ref="A4701" r:id="rId11919" xr:uid="{00000000-0004-0000-0200-00008E2E0000}"/>
    <hyperlink ref="B4701" r:id="rId11920" xr:uid="{00000000-0004-0000-0200-00008F2E0000}"/>
    <hyperlink ref="C4701" r:id="rId11921" xr:uid="{00000000-0004-0000-0200-0000902E0000}"/>
    <hyperlink ref="A4702" r:id="rId11922" xr:uid="{00000000-0004-0000-0200-0000912E0000}"/>
    <hyperlink ref="B4702" r:id="rId11923" xr:uid="{00000000-0004-0000-0200-0000922E0000}"/>
    <hyperlink ref="C4702" r:id="rId11924" xr:uid="{00000000-0004-0000-0200-0000932E0000}"/>
    <hyperlink ref="A4703" r:id="rId11925" xr:uid="{00000000-0004-0000-0200-0000942E0000}"/>
    <hyperlink ref="B4703" r:id="rId11926" xr:uid="{00000000-0004-0000-0200-0000952E0000}"/>
    <hyperlink ref="C4703" r:id="rId11927" xr:uid="{00000000-0004-0000-0200-0000962E0000}"/>
    <hyperlink ref="A4704" r:id="rId11928" xr:uid="{00000000-0004-0000-0200-0000972E0000}"/>
    <hyperlink ref="B4704" r:id="rId11929" xr:uid="{00000000-0004-0000-0200-0000982E0000}"/>
    <hyperlink ref="C4704" r:id="rId11930" xr:uid="{00000000-0004-0000-0200-0000992E0000}"/>
    <hyperlink ref="A4705" r:id="rId11931" xr:uid="{00000000-0004-0000-0200-00009A2E0000}"/>
    <hyperlink ref="B4705" r:id="rId11932" xr:uid="{00000000-0004-0000-0200-00009B2E0000}"/>
    <hyperlink ref="C4705" r:id="rId11933" xr:uid="{00000000-0004-0000-0200-00009C2E0000}"/>
    <hyperlink ref="A4706" r:id="rId11934" xr:uid="{00000000-0004-0000-0200-00009D2E0000}"/>
    <hyperlink ref="B4706" r:id="rId11935" xr:uid="{00000000-0004-0000-0200-00009E2E0000}"/>
    <hyperlink ref="C4706" r:id="rId11936" xr:uid="{00000000-0004-0000-0200-00009F2E0000}"/>
    <hyperlink ref="A4707" r:id="rId11937" xr:uid="{00000000-0004-0000-0200-0000A02E0000}"/>
    <hyperlink ref="B4707" r:id="rId11938" xr:uid="{00000000-0004-0000-0200-0000A12E0000}"/>
    <hyperlink ref="C4707" r:id="rId11939" xr:uid="{00000000-0004-0000-0200-0000A22E0000}"/>
    <hyperlink ref="A4708" r:id="rId11940" xr:uid="{00000000-0004-0000-0200-0000A32E0000}"/>
    <hyperlink ref="B4708" r:id="rId11941" xr:uid="{00000000-0004-0000-0200-0000A42E0000}"/>
    <hyperlink ref="C4708" r:id="rId11942" xr:uid="{00000000-0004-0000-0200-0000A52E0000}"/>
    <hyperlink ref="A4709" r:id="rId11943" xr:uid="{00000000-0004-0000-0200-0000A62E0000}"/>
    <hyperlink ref="B4709" r:id="rId11944" xr:uid="{00000000-0004-0000-0200-0000A72E0000}"/>
    <hyperlink ref="C4709" r:id="rId11945" xr:uid="{00000000-0004-0000-0200-0000A82E0000}"/>
    <hyperlink ref="A4710" r:id="rId11946" xr:uid="{00000000-0004-0000-0200-0000A92E0000}"/>
    <hyperlink ref="B4710" r:id="rId11947" xr:uid="{00000000-0004-0000-0200-0000AA2E0000}"/>
    <hyperlink ref="C4710" r:id="rId11948" xr:uid="{00000000-0004-0000-0200-0000AB2E0000}"/>
    <hyperlink ref="A4711" r:id="rId11949" xr:uid="{00000000-0004-0000-0200-0000AC2E0000}"/>
    <hyperlink ref="B4711" r:id="rId11950" xr:uid="{00000000-0004-0000-0200-0000AD2E0000}"/>
    <hyperlink ref="C4711" r:id="rId11951" xr:uid="{00000000-0004-0000-0200-0000AE2E0000}"/>
    <hyperlink ref="A4712" r:id="rId11952" xr:uid="{00000000-0004-0000-0200-0000AF2E0000}"/>
    <hyperlink ref="B4712" r:id="rId11953" xr:uid="{00000000-0004-0000-0200-0000B02E0000}"/>
    <hyperlink ref="C4712" r:id="rId11954" xr:uid="{00000000-0004-0000-0200-0000B12E0000}"/>
    <hyperlink ref="A4713" r:id="rId11955" xr:uid="{00000000-0004-0000-0200-0000B22E0000}"/>
    <hyperlink ref="B4713" r:id="rId11956" xr:uid="{00000000-0004-0000-0200-0000B32E0000}"/>
    <hyperlink ref="C4713" r:id="rId11957" xr:uid="{00000000-0004-0000-0200-0000B42E0000}"/>
    <hyperlink ref="A4714" r:id="rId11958" xr:uid="{00000000-0004-0000-0200-0000B52E0000}"/>
    <hyperlink ref="B4714" r:id="rId11959" xr:uid="{00000000-0004-0000-0200-0000B62E0000}"/>
    <hyperlink ref="C4714" r:id="rId11960" xr:uid="{00000000-0004-0000-0200-0000B72E0000}"/>
    <hyperlink ref="A4715" r:id="rId11961" xr:uid="{00000000-0004-0000-0200-0000B82E0000}"/>
    <hyperlink ref="B4715" r:id="rId11962" xr:uid="{00000000-0004-0000-0200-0000B92E0000}"/>
    <hyperlink ref="C4715" r:id="rId11963" xr:uid="{00000000-0004-0000-0200-0000BA2E0000}"/>
    <hyperlink ref="A4716" r:id="rId11964" xr:uid="{00000000-0004-0000-0200-0000BB2E0000}"/>
    <hyperlink ref="B4716" r:id="rId11965" xr:uid="{00000000-0004-0000-0200-0000BC2E0000}"/>
    <hyperlink ref="C4716" r:id="rId11966" xr:uid="{00000000-0004-0000-0200-0000BD2E0000}"/>
    <hyperlink ref="A4717" r:id="rId11967" xr:uid="{00000000-0004-0000-0200-0000BE2E0000}"/>
    <hyperlink ref="B4717" r:id="rId11968" xr:uid="{00000000-0004-0000-0200-0000BF2E0000}"/>
    <hyperlink ref="C4717" r:id="rId11969" xr:uid="{00000000-0004-0000-0200-0000C02E0000}"/>
    <hyperlink ref="A4718" r:id="rId11970" xr:uid="{00000000-0004-0000-0200-0000C12E0000}"/>
    <hyperlink ref="B4718" r:id="rId11971" xr:uid="{00000000-0004-0000-0200-0000C22E0000}"/>
    <hyperlink ref="C4718" r:id="rId11972" xr:uid="{00000000-0004-0000-0200-0000C32E0000}"/>
    <hyperlink ref="A4719" r:id="rId11973" xr:uid="{00000000-0004-0000-0200-0000C42E0000}"/>
    <hyperlink ref="B4719" r:id="rId11974" xr:uid="{00000000-0004-0000-0200-0000C52E0000}"/>
    <hyperlink ref="C4719" r:id="rId11975" xr:uid="{00000000-0004-0000-0200-0000C62E0000}"/>
    <hyperlink ref="A4720" r:id="rId11976" xr:uid="{00000000-0004-0000-0200-0000C72E0000}"/>
    <hyperlink ref="B4720" r:id="rId11977" xr:uid="{00000000-0004-0000-0200-0000C82E0000}"/>
    <hyperlink ref="C4720" r:id="rId11978" xr:uid="{00000000-0004-0000-0200-0000C92E0000}"/>
    <hyperlink ref="A4721" r:id="rId11979" xr:uid="{00000000-0004-0000-0200-0000CA2E0000}"/>
    <hyperlink ref="B4721" r:id="rId11980" xr:uid="{00000000-0004-0000-0200-0000CB2E0000}"/>
    <hyperlink ref="C4721" r:id="rId11981" xr:uid="{00000000-0004-0000-0200-0000CC2E0000}"/>
    <hyperlink ref="A4722" r:id="rId11982" xr:uid="{00000000-0004-0000-0200-0000CD2E0000}"/>
    <hyperlink ref="B4722" r:id="rId11983" xr:uid="{00000000-0004-0000-0200-0000CE2E0000}"/>
    <hyperlink ref="C4722" r:id="rId11984" xr:uid="{00000000-0004-0000-0200-0000CF2E0000}"/>
    <hyperlink ref="A4723" r:id="rId11985" xr:uid="{00000000-0004-0000-0200-0000D02E0000}"/>
    <hyperlink ref="B4723" r:id="rId11986" xr:uid="{00000000-0004-0000-0200-0000D12E0000}"/>
    <hyperlink ref="C4723" r:id="rId11987" xr:uid="{00000000-0004-0000-0200-0000D22E0000}"/>
    <hyperlink ref="A4724" r:id="rId11988" xr:uid="{00000000-0004-0000-0200-0000D32E0000}"/>
    <hyperlink ref="B4724" r:id="rId11989" xr:uid="{00000000-0004-0000-0200-0000D42E0000}"/>
    <hyperlink ref="C4724" r:id="rId11990" xr:uid="{00000000-0004-0000-0200-0000D52E0000}"/>
    <hyperlink ref="A4725" r:id="rId11991" xr:uid="{00000000-0004-0000-0200-0000D62E0000}"/>
    <hyperlink ref="B4725" r:id="rId11992" xr:uid="{00000000-0004-0000-0200-0000D72E0000}"/>
    <hyperlink ref="C4725" r:id="rId11993" xr:uid="{00000000-0004-0000-0200-0000D82E0000}"/>
    <hyperlink ref="A4726" r:id="rId11994" xr:uid="{00000000-0004-0000-0200-0000D92E0000}"/>
    <hyperlink ref="B4726" r:id="rId11995" xr:uid="{00000000-0004-0000-0200-0000DA2E0000}"/>
    <hyperlink ref="C4726" r:id="rId11996" xr:uid="{00000000-0004-0000-0200-0000DB2E0000}"/>
    <hyperlink ref="A4727" r:id="rId11997" xr:uid="{00000000-0004-0000-0200-0000DC2E0000}"/>
    <hyperlink ref="B4727" r:id="rId11998" xr:uid="{00000000-0004-0000-0200-0000DD2E0000}"/>
    <hyperlink ref="C4727" r:id="rId11999" xr:uid="{00000000-0004-0000-0200-0000DE2E0000}"/>
    <hyperlink ref="A4728" r:id="rId12000" xr:uid="{00000000-0004-0000-0200-0000DF2E0000}"/>
    <hyperlink ref="B4728" r:id="rId12001" xr:uid="{00000000-0004-0000-0200-0000E02E0000}"/>
    <hyperlink ref="C4728" r:id="rId12002" xr:uid="{00000000-0004-0000-0200-0000E12E0000}"/>
    <hyperlink ref="A4729" r:id="rId12003" xr:uid="{00000000-0004-0000-0200-0000E22E0000}"/>
    <hyperlink ref="B4729" r:id="rId12004" xr:uid="{00000000-0004-0000-0200-0000E32E0000}"/>
    <hyperlink ref="C4729" r:id="rId12005" xr:uid="{00000000-0004-0000-0200-0000E42E0000}"/>
    <hyperlink ref="A4730" r:id="rId12006" xr:uid="{00000000-0004-0000-0200-0000E52E0000}"/>
    <hyperlink ref="B4730" r:id="rId12007" xr:uid="{00000000-0004-0000-0200-0000E62E0000}"/>
    <hyperlink ref="C4730" r:id="rId12008" xr:uid="{00000000-0004-0000-0200-0000E72E0000}"/>
    <hyperlink ref="A4731" r:id="rId12009" xr:uid="{00000000-0004-0000-0200-0000E82E0000}"/>
    <hyperlink ref="B4731" r:id="rId12010" xr:uid="{00000000-0004-0000-0200-0000E92E0000}"/>
    <hyperlink ref="C4731" r:id="rId12011" xr:uid="{00000000-0004-0000-0200-0000EA2E0000}"/>
    <hyperlink ref="A4732" r:id="rId12012" xr:uid="{00000000-0004-0000-0200-0000EB2E0000}"/>
    <hyperlink ref="B4732" r:id="rId12013" xr:uid="{00000000-0004-0000-0200-0000EC2E0000}"/>
    <hyperlink ref="C4732" r:id="rId12014" xr:uid="{00000000-0004-0000-0200-0000ED2E0000}"/>
    <hyperlink ref="A4733" r:id="rId12015" xr:uid="{00000000-0004-0000-0200-0000EE2E0000}"/>
    <hyperlink ref="B4733" r:id="rId12016" xr:uid="{00000000-0004-0000-0200-0000EF2E0000}"/>
    <hyperlink ref="C4733" r:id="rId12017" xr:uid="{00000000-0004-0000-0200-0000F02E0000}"/>
    <hyperlink ref="A4734" r:id="rId12018" xr:uid="{00000000-0004-0000-0200-0000F12E0000}"/>
    <hyperlink ref="B4734" r:id="rId12019" xr:uid="{00000000-0004-0000-0200-0000F22E0000}"/>
    <hyperlink ref="C4734" r:id="rId12020" xr:uid="{00000000-0004-0000-0200-0000F32E0000}"/>
    <hyperlink ref="A4735" r:id="rId12021" xr:uid="{00000000-0004-0000-0200-0000F42E0000}"/>
    <hyperlink ref="B4735" r:id="rId12022" xr:uid="{00000000-0004-0000-0200-0000F52E0000}"/>
    <hyperlink ref="C4735" r:id="rId12023" xr:uid="{00000000-0004-0000-0200-0000F62E0000}"/>
    <hyperlink ref="A4736" r:id="rId12024" xr:uid="{00000000-0004-0000-0200-0000F72E0000}"/>
    <hyperlink ref="B4736" r:id="rId12025" xr:uid="{00000000-0004-0000-0200-0000F82E0000}"/>
    <hyperlink ref="C4736" r:id="rId12026" xr:uid="{00000000-0004-0000-0200-0000F92E0000}"/>
    <hyperlink ref="A4737" r:id="rId12027" xr:uid="{00000000-0004-0000-0200-0000FA2E0000}"/>
    <hyperlink ref="B4737" r:id="rId12028" xr:uid="{00000000-0004-0000-0200-0000FB2E0000}"/>
    <hyperlink ref="C4737" r:id="rId12029" xr:uid="{00000000-0004-0000-0200-0000FC2E0000}"/>
    <hyperlink ref="A4738" r:id="rId12030" xr:uid="{00000000-0004-0000-0200-0000FD2E0000}"/>
    <hyperlink ref="B4738" r:id="rId12031" xr:uid="{00000000-0004-0000-0200-0000FE2E0000}"/>
    <hyperlink ref="C4738" r:id="rId12032" xr:uid="{00000000-0004-0000-0200-0000FF2E0000}"/>
    <hyperlink ref="A4739" r:id="rId12033" xr:uid="{00000000-0004-0000-0200-0000002F0000}"/>
    <hyperlink ref="B4739" r:id="rId12034" xr:uid="{00000000-0004-0000-0200-0000012F0000}"/>
    <hyperlink ref="C4739" r:id="rId12035" xr:uid="{00000000-0004-0000-0200-0000022F0000}"/>
    <hyperlink ref="A4740" r:id="rId12036" xr:uid="{00000000-0004-0000-0200-0000032F0000}"/>
    <hyperlink ref="B4740" r:id="rId12037" xr:uid="{00000000-0004-0000-0200-0000042F0000}"/>
    <hyperlink ref="C4740" r:id="rId12038" xr:uid="{00000000-0004-0000-0200-0000052F0000}"/>
    <hyperlink ref="A4741" r:id="rId12039" xr:uid="{00000000-0004-0000-0200-0000062F0000}"/>
    <hyperlink ref="B4741" r:id="rId12040" xr:uid="{00000000-0004-0000-0200-0000072F0000}"/>
    <hyperlink ref="C4741" r:id="rId12041" xr:uid="{00000000-0004-0000-0200-0000082F0000}"/>
    <hyperlink ref="A4742" r:id="rId12042" xr:uid="{00000000-0004-0000-0200-0000092F0000}"/>
    <hyperlink ref="B4742" r:id="rId12043" xr:uid="{00000000-0004-0000-0200-00000A2F0000}"/>
    <hyperlink ref="C4742" r:id="rId12044" xr:uid="{00000000-0004-0000-0200-00000B2F0000}"/>
    <hyperlink ref="A4743" r:id="rId12045" xr:uid="{00000000-0004-0000-0200-00000C2F0000}"/>
    <hyperlink ref="B4743" r:id="rId12046" xr:uid="{00000000-0004-0000-0200-00000D2F0000}"/>
    <hyperlink ref="C4743" r:id="rId12047" xr:uid="{00000000-0004-0000-0200-00000E2F0000}"/>
    <hyperlink ref="A4744" r:id="rId12048" xr:uid="{00000000-0004-0000-0200-00000F2F0000}"/>
    <hyperlink ref="B4744" r:id="rId12049" xr:uid="{00000000-0004-0000-0200-0000102F0000}"/>
    <hyperlink ref="C4744" r:id="rId12050" xr:uid="{00000000-0004-0000-0200-0000112F0000}"/>
    <hyperlink ref="A4745" r:id="rId12051" xr:uid="{00000000-0004-0000-0200-0000122F0000}"/>
    <hyperlink ref="B4745" r:id="rId12052" xr:uid="{00000000-0004-0000-0200-0000132F0000}"/>
    <hyperlink ref="C4745" r:id="rId12053" xr:uid="{00000000-0004-0000-0200-0000142F0000}"/>
    <hyperlink ref="A4746" r:id="rId12054" xr:uid="{00000000-0004-0000-0200-0000152F0000}"/>
    <hyperlink ref="B4746" r:id="rId12055" xr:uid="{00000000-0004-0000-0200-0000162F0000}"/>
    <hyperlink ref="C4746" r:id="rId12056" xr:uid="{00000000-0004-0000-0200-0000172F0000}"/>
    <hyperlink ref="A4747" r:id="rId12057" xr:uid="{00000000-0004-0000-0200-0000182F0000}"/>
    <hyperlink ref="B4747" r:id="rId12058" xr:uid="{00000000-0004-0000-0200-0000192F0000}"/>
    <hyperlink ref="C4747" r:id="rId12059" xr:uid="{00000000-0004-0000-0200-00001A2F0000}"/>
    <hyperlink ref="A4748" r:id="rId12060" xr:uid="{00000000-0004-0000-0200-00001B2F0000}"/>
    <hyperlink ref="B4748" r:id="rId12061" xr:uid="{00000000-0004-0000-0200-00001C2F0000}"/>
    <hyperlink ref="C4748" r:id="rId12062" xr:uid="{00000000-0004-0000-0200-00001D2F0000}"/>
    <hyperlink ref="A4749" r:id="rId12063" xr:uid="{00000000-0004-0000-0200-00001E2F0000}"/>
    <hyperlink ref="B4749" r:id="rId12064" xr:uid="{00000000-0004-0000-0200-00001F2F0000}"/>
    <hyperlink ref="C4749" r:id="rId12065" xr:uid="{00000000-0004-0000-0200-0000202F0000}"/>
    <hyperlink ref="A4750" r:id="rId12066" xr:uid="{00000000-0004-0000-0200-0000212F0000}"/>
    <hyperlink ref="B4750" r:id="rId12067" xr:uid="{00000000-0004-0000-0200-0000222F0000}"/>
    <hyperlink ref="C4750" r:id="rId12068" xr:uid="{00000000-0004-0000-0200-0000232F0000}"/>
    <hyperlink ref="A4751" r:id="rId12069" xr:uid="{00000000-0004-0000-0200-0000242F0000}"/>
    <hyperlink ref="B4751" r:id="rId12070" xr:uid="{00000000-0004-0000-0200-0000252F0000}"/>
    <hyperlink ref="C4751" r:id="rId12071" xr:uid="{00000000-0004-0000-0200-0000262F0000}"/>
    <hyperlink ref="A4752" r:id="rId12072" xr:uid="{00000000-0004-0000-0200-0000272F0000}"/>
    <hyperlink ref="B4752" r:id="rId12073" xr:uid="{00000000-0004-0000-0200-0000282F0000}"/>
    <hyperlink ref="C4752" r:id="rId12074" xr:uid="{00000000-0004-0000-0200-0000292F0000}"/>
    <hyperlink ref="A4753" r:id="rId12075" xr:uid="{00000000-0004-0000-0200-00002A2F0000}"/>
    <hyperlink ref="B4753" r:id="rId12076" xr:uid="{00000000-0004-0000-0200-00002B2F0000}"/>
    <hyperlink ref="C4753" r:id="rId12077" xr:uid="{00000000-0004-0000-0200-00002C2F0000}"/>
    <hyperlink ref="A4754" r:id="rId12078" xr:uid="{00000000-0004-0000-0200-00002D2F0000}"/>
    <hyperlink ref="B4754" r:id="rId12079" xr:uid="{00000000-0004-0000-0200-00002E2F0000}"/>
    <hyperlink ref="C4754" r:id="rId12080" xr:uid="{00000000-0004-0000-0200-00002F2F0000}"/>
    <hyperlink ref="A4755" r:id="rId12081" xr:uid="{00000000-0004-0000-0200-0000302F0000}"/>
    <hyperlink ref="B4755" r:id="rId12082" xr:uid="{00000000-0004-0000-0200-0000312F0000}"/>
    <hyperlink ref="C4755" r:id="rId12083" xr:uid="{00000000-0004-0000-0200-0000322F0000}"/>
    <hyperlink ref="A4756" r:id="rId12084" xr:uid="{00000000-0004-0000-0200-0000332F0000}"/>
    <hyperlink ref="B4756" r:id="rId12085" xr:uid="{00000000-0004-0000-0200-0000342F0000}"/>
    <hyperlink ref="C4756" r:id="rId12086" xr:uid="{00000000-0004-0000-0200-0000352F0000}"/>
    <hyperlink ref="A4757" r:id="rId12087" xr:uid="{00000000-0004-0000-0200-0000362F0000}"/>
    <hyperlink ref="B4757" r:id="rId12088" xr:uid="{00000000-0004-0000-0200-0000372F0000}"/>
    <hyperlink ref="C4757" r:id="rId12089" xr:uid="{00000000-0004-0000-0200-0000382F0000}"/>
    <hyperlink ref="A4758" r:id="rId12090" xr:uid="{00000000-0004-0000-0200-0000392F0000}"/>
    <hyperlink ref="B4758" r:id="rId12091" xr:uid="{00000000-0004-0000-0200-00003A2F0000}"/>
    <hyperlink ref="C4758" r:id="rId12092" xr:uid="{00000000-0004-0000-0200-00003B2F0000}"/>
    <hyperlink ref="A4759" r:id="rId12093" xr:uid="{00000000-0004-0000-0200-00003C2F0000}"/>
    <hyperlink ref="B4759" r:id="rId12094" xr:uid="{00000000-0004-0000-0200-00003D2F0000}"/>
    <hyperlink ref="C4759" r:id="rId12095" xr:uid="{00000000-0004-0000-0200-00003E2F0000}"/>
    <hyperlink ref="A4760" r:id="rId12096" xr:uid="{00000000-0004-0000-0200-00003F2F0000}"/>
    <hyperlink ref="B4760" r:id="rId12097" xr:uid="{00000000-0004-0000-0200-0000402F0000}"/>
    <hyperlink ref="C4760" r:id="rId12098" xr:uid="{00000000-0004-0000-0200-0000412F0000}"/>
    <hyperlink ref="A4761" r:id="rId12099" xr:uid="{00000000-0004-0000-0200-0000422F0000}"/>
    <hyperlink ref="B4761" r:id="rId12100" xr:uid="{00000000-0004-0000-0200-0000432F0000}"/>
    <hyperlink ref="C4761" r:id="rId12101" xr:uid="{00000000-0004-0000-0200-0000442F0000}"/>
    <hyperlink ref="A4762" r:id="rId12102" xr:uid="{00000000-0004-0000-0200-0000452F0000}"/>
    <hyperlink ref="B4762" r:id="rId12103" xr:uid="{00000000-0004-0000-0200-0000462F0000}"/>
    <hyperlink ref="C4762" r:id="rId12104" xr:uid="{00000000-0004-0000-0200-0000472F0000}"/>
    <hyperlink ref="A4763" r:id="rId12105" xr:uid="{00000000-0004-0000-0200-0000482F0000}"/>
    <hyperlink ref="B4763" r:id="rId12106" xr:uid="{00000000-0004-0000-0200-0000492F0000}"/>
    <hyperlink ref="C4763" r:id="rId12107" xr:uid="{00000000-0004-0000-0200-00004A2F0000}"/>
    <hyperlink ref="A4764" r:id="rId12108" xr:uid="{00000000-0004-0000-0200-00004B2F0000}"/>
    <hyperlink ref="B4764" r:id="rId12109" xr:uid="{00000000-0004-0000-0200-00004C2F0000}"/>
    <hyperlink ref="C4764" r:id="rId12110" xr:uid="{00000000-0004-0000-0200-00004D2F0000}"/>
    <hyperlink ref="A4765" r:id="rId12111" xr:uid="{00000000-0004-0000-0200-00004E2F0000}"/>
    <hyperlink ref="B4765" r:id="rId12112" xr:uid="{00000000-0004-0000-0200-00004F2F0000}"/>
    <hyperlink ref="C4765" r:id="rId12113" xr:uid="{00000000-0004-0000-0200-0000502F0000}"/>
    <hyperlink ref="A4766" r:id="rId12114" xr:uid="{00000000-0004-0000-0200-0000512F0000}"/>
    <hyperlink ref="B4766" r:id="rId12115" xr:uid="{00000000-0004-0000-0200-0000522F0000}"/>
    <hyperlink ref="C4766" r:id="rId12116" xr:uid="{00000000-0004-0000-0200-0000532F0000}"/>
    <hyperlink ref="A4767" r:id="rId12117" xr:uid="{00000000-0004-0000-0200-0000542F0000}"/>
    <hyperlink ref="B4767" r:id="rId12118" xr:uid="{00000000-0004-0000-0200-0000552F0000}"/>
    <hyperlink ref="C4767" r:id="rId12119" xr:uid="{00000000-0004-0000-0200-0000562F0000}"/>
    <hyperlink ref="A4768" r:id="rId12120" xr:uid="{00000000-0004-0000-0200-0000572F0000}"/>
    <hyperlink ref="B4768" r:id="rId12121" xr:uid="{00000000-0004-0000-0200-0000582F0000}"/>
    <hyperlink ref="C4768" r:id="rId12122" xr:uid="{00000000-0004-0000-0200-0000592F0000}"/>
    <hyperlink ref="A4769" r:id="rId12123" xr:uid="{00000000-0004-0000-0200-00005A2F0000}"/>
    <hyperlink ref="B4769" r:id="rId12124" xr:uid="{00000000-0004-0000-0200-00005B2F0000}"/>
    <hyperlink ref="C4769" r:id="rId12125" xr:uid="{00000000-0004-0000-0200-00005C2F0000}"/>
    <hyperlink ref="A4770" r:id="rId12126" xr:uid="{00000000-0004-0000-0200-00005D2F0000}"/>
    <hyperlink ref="B4770" r:id="rId12127" xr:uid="{00000000-0004-0000-0200-00005E2F0000}"/>
    <hyperlink ref="C4770" r:id="rId12128" xr:uid="{00000000-0004-0000-0200-00005F2F0000}"/>
    <hyperlink ref="A4771" r:id="rId12129" xr:uid="{00000000-0004-0000-0200-0000602F0000}"/>
    <hyperlink ref="B4771" r:id="rId12130" xr:uid="{00000000-0004-0000-0200-0000612F0000}"/>
    <hyperlink ref="C4771" r:id="rId12131" xr:uid="{00000000-0004-0000-0200-0000622F0000}"/>
    <hyperlink ref="A4772" r:id="rId12132" xr:uid="{00000000-0004-0000-0200-0000632F0000}"/>
    <hyperlink ref="B4772" r:id="rId12133" xr:uid="{00000000-0004-0000-0200-0000642F0000}"/>
    <hyperlink ref="C4772" r:id="rId12134" xr:uid="{00000000-0004-0000-0200-0000652F0000}"/>
    <hyperlink ref="A4773" r:id="rId12135" xr:uid="{00000000-0004-0000-0200-0000662F0000}"/>
    <hyperlink ref="B4773" r:id="rId12136" xr:uid="{00000000-0004-0000-0200-0000672F0000}"/>
    <hyperlink ref="C4773" r:id="rId12137" xr:uid="{00000000-0004-0000-0200-0000682F0000}"/>
    <hyperlink ref="A4774" r:id="rId12138" xr:uid="{00000000-0004-0000-0200-0000692F0000}"/>
    <hyperlink ref="B4774" r:id="rId12139" xr:uid="{00000000-0004-0000-0200-00006A2F0000}"/>
    <hyperlink ref="C4774" r:id="rId12140" xr:uid="{00000000-0004-0000-0200-00006B2F0000}"/>
    <hyperlink ref="A4775" r:id="rId12141" xr:uid="{00000000-0004-0000-0200-00006C2F0000}"/>
    <hyperlink ref="B4775" r:id="rId12142" xr:uid="{00000000-0004-0000-0200-00006D2F0000}"/>
    <hyperlink ref="C4775" r:id="rId12143" xr:uid="{00000000-0004-0000-0200-00006E2F0000}"/>
    <hyperlink ref="A4776" r:id="rId12144" xr:uid="{00000000-0004-0000-0200-00006F2F0000}"/>
    <hyperlink ref="B4776" r:id="rId12145" xr:uid="{00000000-0004-0000-0200-0000702F0000}"/>
    <hyperlink ref="C4776" r:id="rId12146" xr:uid="{00000000-0004-0000-0200-0000712F0000}"/>
    <hyperlink ref="A4777" r:id="rId12147" xr:uid="{00000000-0004-0000-0200-0000722F0000}"/>
    <hyperlink ref="B4777" r:id="rId12148" xr:uid="{00000000-0004-0000-0200-0000732F0000}"/>
    <hyperlink ref="C4777" r:id="rId12149" xr:uid="{00000000-0004-0000-0200-0000742F0000}"/>
    <hyperlink ref="A4778" r:id="rId12150" xr:uid="{00000000-0004-0000-0200-0000752F0000}"/>
    <hyperlink ref="B4778" r:id="rId12151" xr:uid="{00000000-0004-0000-0200-0000762F0000}"/>
    <hyperlink ref="C4778" r:id="rId12152" xr:uid="{00000000-0004-0000-0200-0000772F0000}"/>
    <hyperlink ref="A4779" r:id="rId12153" xr:uid="{00000000-0004-0000-0200-0000782F0000}"/>
    <hyperlink ref="B4779" r:id="rId12154" xr:uid="{00000000-0004-0000-0200-0000792F0000}"/>
    <hyperlink ref="C4779" r:id="rId12155" xr:uid="{00000000-0004-0000-0200-00007A2F0000}"/>
    <hyperlink ref="A4780" r:id="rId12156" xr:uid="{00000000-0004-0000-0200-00007B2F0000}"/>
    <hyperlink ref="B4780" r:id="rId12157" xr:uid="{00000000-0004-0000-0200-00007C2F0000}"/>
    <hyperlink ref="C4780" r:id="rId12158" xr:uid="{00000000-0004-0000-0200-00007D2F0000}"/>
    <hyperlink ref="A4781" r:id="rId12159" xr:uid="{00000000-0004-0000-0200-00007E2F0000}"/>
    <hyperlink ref="B4781" r:id="rId12160" xr:uid="{00000000-0004-0000-0200-00007F2F0000}"/>
    <hyperlink ref="C4781" r:id="rId12161" xr:uid="{00000000-0004-0000-0200-0000802F0000}"/>
    <hyperlink ref="A4782" r:id="rId12162" xr:uid="{00000000-0004-0000-0200-0000812F0000}"/>
    <hyperlink ref="B4782" r:id="rId12163" xr:uid="{00000000-0004-0000-0200-0000822F0000}"/>
    <hyperlink ref="C4782" r:id="rId12164" xr:uid="{00000000-0004-0000-0200-0000832F0000}"/>
    <hyperlink ref="A4783" r:id="rId12165" xr:uid="{00000000-0004-0000-0200-0000842F0000}"/>
    <hyperlink ref="B4783" r:id="rId12166" xr:uid="{00000000-0004-0000-0200-0000852F0000}"/>
    <hyperlink ref="C4783" r:id="rId12167" xr:uid="{00000000-0004-0000-0200-0000862F0000}"/>
    <hyperlink ref="A4784" r:id="rId12168" xr:uid="{00000000-0004-0000-0200-0000872F0000}"/>
    <hyperlink ref="B4784" r:id="rId12169" xr:uid="{00000000-0004-0000-0200-0000882F0000}"/>
    <hyperlink ref="C4784" r:id="rId12170" xr:uid="{00000000-0004-0000-0200-0000892F0000}"/>
    <hyperlink ref="A4785" r:id="rId12171" xr:uid="{00000000-0004-0000-0200-00008A2F0000}"/>
    <hyperlink ref="B4785" r:id="rId12172" xr:uid="{00000000-0004-0000-0200-00008B2F0000}"/>
    <hyperlink ref="C4785" r:id="rId12173" xr:uid="{00000000-0004-0000-0200-00008C2F0000}"/>
    <hyperlink ref="A4786" r:id="rId12174" xr:uid="{00000000-0004-0000-0200-00008D2F0000}"/>
    <hyperlink ref="B4786" r:id="rId12175" xr:uid="{00000000-0004-0000-0200-00008E2F0000}"/>
    <hyperlink ref="C4786" r:id="rId12176" xr:uid="{00000000-0004-0000-0200-00008F2F0000}"/>
    <hyperlink ref="A4787" r:id="rId12177" xr:uid="{00000000-0004-0000-0200-0000902F0000}"/>
    <hyperlink ref="B4787" r:id="rId12178" xr:uid="{00000000-0004-0000-0200-0000912F0000}"/>
    <hyperlink ref="C4787" r:id="rId12179" xr:uid="{00000000-0004-0000-0200-0000922F0000}"/>
    <hyperlink ref="A4788" r:id="rId12180" xr:uid="{00000000-0004-0000-0200-0000932F0000}"/>
    <hyperlink ref="B4788" r:id="rId12181" xr:uid="{00000000-0004-0000-0200-0000942F0000}"/>
    <hyperlink ref="C4788" r:id="rId12182" xr:uid="{00000000-0004-0000-0200-0000952F0000}"/>
    <hyperlink ref="A4789" r:id="rId12183" xr:uid="{00000000-0004-0000-0200-0000962F0000}"/>
    <hyperlink ref="B4789" r:id="rId12184" xr:uid="{00000000-0004-0000-0200-0000972F0000}"/>
    <hyperlink ref="C4789" r:id="rId12185" xr:uid="{00000000-0004-0000-0200-0000982F0000}"/>
    <hyperlink ref="A4790" r:id="rId12186" xr:uid="{00000000-0004-0000-0200-0000992F0000}"/>
    <hyperlink ref="B4790" r:id="rId12187" xr:uid="{00000000-0004-0000-0200-00009A2F0000}"/>
    <hyperlink ref="C4790" r:id="rId12188" xr:uid="{00000000-0004-0000-0200-00009B2F0000}"/>
    <hyperlink ref="A4791" r:id="rId12189" xr:uid="{00000000-0004-0000-0200-00009C2F0000}"/>
    <hyperlink ref="B4791" r:id="rId12190" xr:uid="{00000000-0004-0000-0200-00009D2F0000}"/>
    <hyperlink ref="C4791" r:id="rId12191" xr:uid="{00000000-0004-0000-0200-00009E2F0000}"/>
    <hyperlink ref="A4792" r:id="rId12192" xr:uid="{00000000-0004-0000-0200-00009F2F0000}"/>
    <hyperlink ref="B4792" r:id="rId12193" xr:uid="{00000000-0004-0000-0200-0000A02F0000}"/>
    <hyperlink ref="C4792" r:id="rId12194" xr:uid="{00000000-0004-0000-0200-0000A12F0000}"/>
    <hyperlink ref="A4793" r:id="rId12195" xr:uid="{00000000-0004-0000-0200-0000A22F0000}"/>
    <hyperlink ref="B4793" r:id="rId12196" xr:uid="{00000000-0004-0000-0200-0000A32F0000}"/>
    <hyperlink ref="C4793" r:id="rId12197" xr:uid="{00000000-0004-0000-0200-0000A42F0000}"/>
    <hyperlink ref="A4794" r:id="rId12198" xr:uid="{00000000-0004-0000-0200-0000A52F0000}"/>
    <hyperlink ref="B4794" r:id="rId12199" xr:uid="{00000000-0004-0000-0200-0000A62F0000}"/>
    <hyperlink ref="C4794" r:id="rId12200" xr:uid="{00000000-0004-0000-0200-0000A72F0000}"/>
    <hyperlink ref="A4795" r:id="rId12201" xr:uid="{00000000-0004-0000-0200-0000A82F0000}"/>
    <hyperlink ref="B4795" r:id="rId12202" xr:uid="{00000000-0004-0000-0200-0000A92F0000}"/>
    <hyperlink ref="C4795" r:id="rId12203" xr:uid="{00000000-0004-0000-0200-0000AA2F0000}"/>
    <hyperlink ref="A4796" r:id="rId12204" xr:uid="{00000000-0004-0000-0200-0000AB2F0000}"/>
    <hyperlink ref="B4796" r:id="rId12205" xr:uid="{00000000-0004-0000-0200-0000AC2F0000}"/>
    <hyperlink ref="C4796" r:id="rId12206" xr:uid="{00000000-0004-0000-0200-0000AD2F0000}"/>
    <hyperlink ref="A4797" r:id="rId12207" xr:uid="{00000000-0004-0000-0200-0000AE2F0000}"/>
    <hyperlink ref="B4797" r:id="rId12208" xr:uid="{00000000-0004-0000-0200-0000AF2F0000}"/>
    <hyperlink ref="C4797" r:id="rId12209" xr:uid="{00000000-0004-0000-0200-0000B02F0000}"/>
    <hyperlink ref="A4798" r:id="rId12210" xr:uid="{00000000-0004-0000-0200-0000B12F0000}"/>
    <hyperlink ref="B4798" r:id="rId12211" xr:uid="{00000000-0004-0000-0200-0000B22F0000}"/>
    <hyperlink ref="C4798" r:id="rId12212" xr:uid="{00000000-0004-0000-0200-0000B32F0000}"/>
    <hyperlink ref="A4799" r:id="rId12213" xr:uid="{00000000-0004-0000-0200-0000B42F0000}"/>
    <hyperlink ref="B4799" r:id="rId12214" xr:uid="{00000000-0004-0000-0200-0000B52F0000}"/>
    <hyperlink ref="C4799" r:id="rId12215" xr:uid="{00000000-0004-0000-0200-0000B62F0000}"/>
    <hyperlink ref="A4800" r:id="rId12216" xr:uid="{00000000-0004-0000-0200-0000B72F0000}"/>
    <hyperlink ref="B4800" r:id="rId12217" xr:uid="{00000000-0004-0000-0200-0000B82F0000}"/>
    <hyperlink ref="C4800" r:id="rId12218" xr:uid="{00000000-0004-0000-0200-0000B92F0000}"/>
    <hyperlink ref="A4801" r:id="rId12219" xr:uid="{00000000-0004-0000-0200-0000BA2F0000}"/>
    <hyperlink ref="B4801" r:id="rId12220" xr:uid="{00000000-0004-0000-0200-0000BB2F0000}"/>
    <hyperlink ref="C4801" r:id="rId12221" xr:uid="{00000000-0004-0000-0200-0000BC2F0000}"/>
    <hyperlink ref="A4802" r:id="rId12222" xr:uid="{00000000-0004-0000-0200-0000BD2F0000}"/>
    <hyperlink ref="B4802" r:id="rId12223" xr:uid="{00000000-0004-0000-0200-0000BE2F0000}"/>
    <hyperlink ref="C4802" r:id="rId12224" xr:uid="{00000000-0004-0000-0200-0000BF2F0000}"/>
    <hyperlink ref="A4803" r:id="rId12225" xr:uid="{00000000-0004-0000-0200-0000C02F0000}"/>
    <hyperlink ref="B4803" r:id="rId12226" xr:uid="{00000000-0004-0000-0200-0000C12F0000}"/>
    <hyperlink ref="C4803" r:id="rId12227" xr:uid="{00000000-0004-0000-0200-0000C22F0000}"/>
    <hyperlink ref="A4804" r:id="rId12228" xr:uid="{00000000-0004-0000-0200-0000C32F0000}"/>
    <hyperlink ref="B4804" r:id="rId12229" xr:uid="{00000000-0004-0000-0200-0000C42F0000}"/>
    <hyperlink ref="C4804" r:id="rId12230" xr:uid="{00000000-0004-0000-0200-0000C52F0000}"/>
    <hyperlink ref="A4805" r:id="rId12231" xr:uid="{00000000-0004-0000-0200-0000C62F0000}"/>
    <hyperlink ref="B4805" r:id="rId12232" xr:uid="{00000000-0004-0000-0200-0000C72F0000}"/>
    <hyperlink ref="C4805" r:id="rId12233" xr:uid="{00000000-0004-0000-0200-0000C82F0000}"/>
    <hyperlink ref="A4806" r:id="rId12234" xr:uid="{00000000-0004-0000-0200-0000C92F0000}"/>
    <hyperlink ref="B4806" r:id="rId12235" xr:uid="{00000000-0004-0000-0200-0000CA2F0000}"/>
    <hyperlink ref="C4806" r:id="rId12236" xr:uid="{00000000-0004-0000-0200-0000CB2F0000}"/>
    <hyperlink ref="A4807" r:id="rId12237" xr:uid="{00000000-0004-0000-0200-0000CC2F0000}"/>
    <hyperlink ref="B4807" r:id="rId12238" xr:uid="{00000000-0004-0000-0200-0000CD2F0000}"/>
    <hyperlink ref="C4807" r:id="rId12239" xr:uid="{00000000-0004-0000-0200-0000CE2F0000}"/>
    <hyperlink ref="A4808" r:id="rId12240" xr:uid="{00000000-0004-0000-0200-0000CF2F0000}"/>
    <hyperlink ref="B4808" r:id="rId12241" xr:uid="{00000000-0004-0000-0200-0000D02F0000}"/>
    <hyperlink ref="C4808" r:id="rId12242" xr:uid="{00000000-0004-0000-0200-0000D12F0000}"/>
    <hyperlink ref="A4809" r:id="rId12243" xr:uid="{00000000-0004-0000-0200-0000D22F0000}"/>
    <hyperlink ref="B4809" r:id="rId12244" xr:uid="{00000000-0004-0000-0200-0000D32F0000}"/>
    <hyperlink ref="C4809" r:id="rId12245" xr:uid="{00000000-0004-0000-0200-0000D42F0000}"/>
    <hyperlink ref="A4810" r:id="rId12246" xr:uid="{00000000-0004-0000-0200-0000D52F0000}"/>
    <hyperlink ref="B4810" r:id="rId12247" xr:uid="{00000000-0004-0000-0200-0000D62F0000}"/>
    <hyperlink ref="C4810" r:id="rId12248" xr:uid="{00000000-0004-0000-0200-0000D72F0000}"/>
    <hyperlink ref="A4811" r:id="rId12249" xr:uid="{00000000-0004-0000-0200-0000D82F0000}"/>
    <hyperlink ref="B4811" r:id="rId12250" xr:uid="{00000000-0004-0000-0200-0000D92F0000}"/>
    <hyperlink ref="C4811" r:id="rId12251" xr:uid="{00000000-0004-0000-0200-0000DA2F0000}"/>
    <hyperlink ref="A4812" r:id="rId12252" xr:uid="{00000000-0004-0000-0200-0000DB2F0000}"/>
    <hyperlink ref="B4812" r:id="rId12253" xr:uid="{00000000-0004-0000-0200-0000DC2F0000}"/>
    <hyperlink ref="C4812" r:id="rId12254" xr:uid="{00000000-0004-0000-0200-0000DD2F0000}"/>
    <hyperlink ref="A4813" r:id="rId12255" xr:uid="{00000000-0004-0000-0200-0000DE2F0000}"/>
    <hyperlink ref="B4813" r:id="rId12256" xr:uid="{00000000-0004-0000-0200-0000DF2F0000}"/>
    <hyperlink ref="C4813" r:id="rId12257" xr:uid="{00000000-0004-0000-0200-0000E02F0000}"/>
    <hyperlink ref="A4814" r:id="rId12258" xr:uid="{00000000-0004-0000-0200-0000E12F0000}"/>
    <hyperlink ref="B4814" r:id="rId12259" xr:uid="{00000000-0004-0000-0200-0000E22F0000}"/>
    <hyperlink ref="C4814" r:id="rId12260" xr:uid="{00000000-0004-0000-0200-0000E32F0000}"/>
    <hyperlink ref="A4815" r:id="rId12261" xr:uid="{00000000-0004-0000-0200-0000E42F0000}"/>
    <hyperlink ref="B4815" r:id="rId12262" xr:uid="{00000000-0004-0000-0200-0000E52F0000}"/>
    <hyperlink ref="C4815" r:id="rId12263" xr:uid="{00000000-0004-0000-0200-0000E62F0000}"/>
    <hyperlink ref="A4816" r:id="rId12264" xr:uid="{00000000-0004-0000-0200-0000E72F0000}"/>
    <hyperlink ref="B4816" r:id="rId12265" xr:uid="{00000000-0004-0000-0200-0000E82F0000}"/>
    <hyperlink ref="C4816" r:id="rId12266" xr:uid="{00000000-0004-0000-0200-0000E92F0000}"/>
    <hyperlink ref="A4817" r:id="rId12267" xr:uid="{00000000-0004-0000-0200-0000EA2F0000}"/>
    <hyperlink ref="B4817" r:id="rId12268" xr:uid="{00000000-0004-0000-0200-0000EB2F0000}"/>
    <hyperlink ref="C4817" r:id="rId12269" xr:uid="{00000000-0004-0000-0200-0000EC2F0000}"/>
    <hyperlink ref="A4818" r:id="rId12270" xr:uid="{00000000-0004-0000-0200-0000ED2F0000}"/>
    <hyperlink ref="B4818" r:id="rId12271" xr:uid="{00000000-0004-0000-0200-0000EE2F0000}"/>
    <hyperlink ref="C4818" r:id="rId12272" xr:uid="{00000000-0004-0000-0200-0000EF2F0000}"/>
    <hyperlink ref="A4819" r:id="rId12273" xr:uid="{00000000-0004-0000-0200-0000F02F0000}"/>
    <hyperlink ref="B4819" r:id="rId12274" xr:uid="{00000000-0004-0000-0200-0000F12F0000}"/>
    <hyperlink ref="C4819" r:id="rId12275" xr:uid="{00000000-0004-0000-0200-0000F22F0000}"/>
    <hyperlink ref="A4820" r:id="rId12276" xr:uid="{00000000-0004-0000-0200-0000F32F0000}"/>
    <hyperlink ref="B4820" r:id="rId12277" xr:uid="{00000000-0004-0000-0200-0000F42F0000}"/>
    <hyperlink ref="C4820" r:id="rId12278" xr:uid="{00000000-0004-0000-0200-0000F52F0000}"/>
    <hyperlink ref="A4821" r:id="rId12279" xr:uid="{00000000-0004-0000-0200-0000F62F0000}"/>
    <hyperlink ref="B4821" r:id="rId12280" xr:uid="{00000000-0004-0000-0200-0000F72F0000}"/>
    <hyperlink ref="C4821" r:id="rId12281" xr:uid="{00000000-0004-0000-0200-0000F82F0000}"/>
    <hyperlink ref="A4822" r:id="rId12282" xr:uid="{00000000-0004-0000-0200-0000F92F0000}"/>
    <hyperlink ref="B4822" r:id="rId12283" xr:uid="{00000000-0004-0000-0200-0000FA2F0000}"/>
    <hyperlink ref="C4822" r:id="rId12284" xr:uid="{00000000-0004-0000-0200-0000FB2F0000}"/>
    <hyperlink ref="A4823" r:id="rId12285" xr:uid="{00000000-0004-0000-0200-0000FC2F0000}"/>
    <hyperlink ref="B4823" r:id="rId12286" xr:uid="{00000000-0004-0000-0200-0000FD2F0000}"/>
    <hyperlink ref="C4823" r:id="rId12287" xr:uid="{00000000-0004-0000-0200-0000FE2F0000}"/>
    <hyperlink ref="A4824" r:id="rId12288" xr:uid="{00000000-0004-0000-0200-0000FF2F0000}"/>
    <hyperlink ref="B4824" r:id="rId12289" xr:uid="{00000000-0004-0000-0200-000000300000}"/>
    <hyperlink ref="C4824" r:id="rId12290" xr:uid="{00000000-0004-0000-0200-000001300000}"/>
    <hyperlink ref="A4825" r:id="rId12291" xr:uid="{00000000-0004-0000-0200-000002300000}"/>
    <hyperlink ref="B4825" r:id="rId12292" xr:uid="{00000000-0004-0000-0200-000003300000}"/>
    <hyperlink ref="C4825" r:id="rId12293" xr:uid="{00000000-0004-0000-0200-000004300000}"/>
    <hyperlink ref="A4826" r:id="rId12294" xr:uid="{00000000-0004-0000-0200-000005300000}"/>
    <hyperlink ref="B4826" r:id="rId12295" xr:uid="{00000000-0004-0000-0200-000006300000}"/>
    <hyperlink ref="C4826" r:id="rId12296" xr:uid="{00000000-0004-0000-0200-000007300000}"/>
    <hyperlink ref="A4827" r:id="rId12297" xr:uid="{00000000-0004-0000-0200-000008300000}"/>
    <hyperlink ref="B4827" r:id="rId12298" xr:uid="{00000000-0004-0000-0200-000009300000}"/>
    <hyperlink ref="C4827" r:id="rId12299" xr:uid="{00000000-0004-0000-0200-00000A300000}"/>
    <hyperlink ref="A4828" r:id="rId12300" xr:uid="{00000000-0004-0000-0200-00000B300000}"/>
    <hyperlink ref="B4828" r:id="rId12301" xr:uid="{00000000-0004-0000-0200-00000C300000}"/>
    <hyperlink ref="C4828" r:id="rId12302" xr:uid="{00000000-0004-0000-0200-00000D300000}"/>
    <hyperlink ref="A4829" r:id="rId12303" xr:uid="{00000000-0004-0000-0200-00000E300000}"/>
    <hyperlink ref="B4829" r:id="rId12304" xr:uid="{00000000-0004-0000-0200-00000F300000}"/>
    <hyperlink ref="C4829" r:id="rId12305" xr:uid="{00000000-0004-0000-0200-000010300000}"/>
    <hyperlink ref="A4830" r:id="rId12306" xr:uid="{00000000-0004-0000-0200-000011300000}"/>
    <hyperlink ref="B4830" r:id="rId12307" xr:uid="{00000000-0004-0000-0200-000012300000}"/>
    <hyperlink ref="C4830" r:id="rId12308" xr:uid="{00000000-0004-0000-0200-000013300000}"/>
    <hyperlink ref="A4831" r:id="rId12309" xr:uid="{00000000-0004-0000-0200-000014300000}"/>
    <hyperlink ref="B4831" r:id="rId12310" xr:uid="{00000000-0004-0000-0200-000015300000}"/>
    <hyperlink ref="C4831" r:id="rId12311" xr:uid="{00000000-0004-0000-0200-000016300000}"/>
    <hyperlink ref="A4832" r:id="rId12312" xr:uid="{00000000-0004-0000-0200-000017300000}"/>
    <hyperlink ref="B4832" r:id="rId12313" xr:uid="{00000000-0004-0000-0200-000018300000}"/>
    <hyperlink ref="C4832" r:id="rId12314" xr:uid="{00000000-0004-0000-0200-000019300000}"/>
    <hyperlink ref="A4833" r:id="rId12315" xr:uid="{00000000-0004-0000-0200-00001A300000}"/>
    <hyperlink ref="B4833" r:id="rId12316" xr:uid="{00000000-0004-0000-0200-00001B300000}"/>
    <hyperlink ref="C4833" r:id="rId12317" xr:uid="{00000000-0004-0000-0200-00001C300000}"/>
    <hyperlink ref="A4834" r:id="rId12318" xr:uid="{00000000-0004-0000-0200-00001D300000}"/>
    <hyperlink ref="B4834" r:id="rId12319" xr:uid="{00000000-0004-0000-0200-00001E300000}"/>
    <hyperlink ref="C4834" r:id="rId12320" xr:uid="{00000000-0004-0000-0200-00001F300000}"/>
    <hyperlink ref="A4835" r:id="rId12321" xr:uid="{00000000-0004-0000-0200-000020300000}"/>
    <hyperlink ref="B4835" r:id="rId12322" xr:uid="{00000000-0004-0000-0200-000021300000}"/>
    <hyperlink ref="C4835" r:id="rId12323" xr:uid="{00000000-0004-0000-0200-000022300000}"/>
    <hyperlink ref="A4836" r:id="rId12324" xr:uid="{00000000-0004-0000-0200-000023300000}"/>
    <hyperlink ref="B4836" r:id="rId12325" xr:uid="{00000000-0004-0000-0200-000024300000}"/>
    <hyperlink ref="C4836" r:id="rId12326" xr:uid="{00000000-0004-0000-0200-000025300000}"/>
    <hyperlink ref="A4837" r:id="rId12327" xr:uid="{00000000-0004-0000-0200-000026300000}"/>
    <hyperlink ref="B4837" r:id="rId12328" xr:uid="{00000000-0004-0000-0200-000027300000}"/>
    <hyperlink ref="C4837" r:id="rId12329" xr:uid="{00000000-0004-0000-0200-000028300000}"/>
    <hyperlink ref="A4838" r:id="rId12330" xr:uid="{00000000-0004-0000-0200-000029300000}"/>
    <hyperlink ref="B4838" r:id="rId12331" xr:uid="{00000000-0004-0000-0200-00002A300000}"/>
    <hyperlink ref="C4838" r:id="rId12332" xr:uid="{00000000-0004-0000-0200-00002B300000}"/>
    <hyperlink ref="A4839" r:id="rId12333" xr:uid="{00000000-0004-0000-0200-00002C300000}"/>
    <hyperlink ref="B4839" r:id="rId12334" xr:uid="{00000000-0004-0000-0200-00002D300000}"/>
    <hyperlink ref="C4839" r:id="rId12335" xr:uid="{00000000-0004-0000-0200-00002E300000}"/>
    <hyperlink ref="A4840" r:id="rId12336" xr:uid="{00000000-0004-0000-0200-00002F300000}"/>
    <hyperlink ref="B4840" r:id="rId12337" xr:uid="{00000000-0004-0000-0200-000030300000}"/>
    <hyperlink ref="C4840" r:id="rId12338" xr:uid="{00000000-0004-0000-0200-000031300000}"/>
    <hyperlink ref="A4841" r:id="rId12339" xr:uid="{00000000-0004-0000-0200-000032300000}"/>
    <hyperlink ref="B4841" r:id="rId12340" xr:uid="{00000000-0004-0000-0200-000033300000}"/>
    <hyperlink ref="C4841" r:id="rId12341" xr:uid="{00000000-0004-0000-0200-000034300000}"/>
    <hyperlink ref="A4842" r:id="rId12342" xr:uid="{00000000-0004-0000-0200-000035300000}"/>
    <hyperlink ref="B4842" r:id="rId12343" xr:uid="{00000000-0004-0000-0200-000036300000}"/>
    <hyperlink ref="C4842" r:id="rId12344" xr:uid="{00000000-0004-0000-0200-000037300000}"/>
    <hyperlink ref="A4843" r:id="rId12345" xr:uid="{00000000-0004-0000-0200-000038300000}"/>
    <hyperlink ref="B4843" r:id="rId12346" xr:uid="{00000000-0004-0000-0200-000039300000}"/>
    <hyperlink ref="C4843" r:id="rId12347" xr:uid="{00000000-0004-0000-0200-00003A300000}"/>
    <hyperlink ref="A4844" r:id="rId12348" xr:uid="{00000000-0004-0000-0200-00003B300000}"/>
    <hyperlink ref="B4844" r:id="rId12349" xr:uid="{00000000-0004-0000-0200-00003C300000}"/>
    <hyperlink ref="C4844" r:id="rId12350" xr:uid="{00000000-0004-0000-0200-00003D300000}"/>
    <hyperlink ref="A4845" r:id="rId12351" xr:uid="{00000000-0004-0000-0200-00003E300000}"/>
    <hyperlink ref="B4845" r:id="rId12352" xr:uid="{00000000-0004-0000-0200-00003F300000}"/>
    <hyperlink ref="C4845" r:id="rId12353" xr:uid="{00000000-0004-0000-0200-000040300000}"/>
    <hyperlink ref="A4846" r:id="rId12354" xr:uid="{00000000-0004-0000-0200-000041300000}"/>
    <hyperlink ref="B4846" r:id="rId12355" xr:uid="{00000000-0004-0000-0200-000042300000}"/>
    <hyperlink ref="C4846" r:id="rId12356" xr:uid="{00000000-0004-0000-0200-000043300000}"/>
    <hyperlink ref="A4847" r:id="rId12357" xr:uid="{00000000-0004-0000-0200-000044300000}"/>
    <hyperlink ref="B4847" r:id="rId12358" xr:uid="{00000000-0004-0000-0200-000045300000}"/>
    <hyperlink ref="C4847" r:id="rId12359" xr:uid="{00000000-0004-0000-0200-000046300000}"/>
    <hyperlink ref="A4848" r:id="rId12360" xr:uid="{00000000-0004-0000-0200-000047300000}"/>
    <hyperlink ref="B4848" r:id="rId12361" xr:uid="{00000000-0004-0000-0200-000048300000}"/>
    <hyperlink ref="C4848" r:id="rId12362" xr:uid="{00000000-0004-0000-0200-000049300000}"/>
    <hyperlink ref="A4849" r:id="rId12363" xr:uid="{00000000-0004-0000-0200-00004A300000}"/>
    <hyperlink ref="B4849" r:id="rId12364" xr:uid="{00000000-0004-0000-0200-00004B300000}"/>
    <hyperlink ref="C4849" r:id="rId12365" xr:uid="{00000000-0004-0000-0200-00004C300000}"/>
    <hyperlink ref="A4850" r:id="rId12366" xr:uid="{00000000-0004-0000-0200-00004D300000}"/>
    <hyperlink ref="B4850" r:id="rId12367" xr:uid="{00000000-0004-0000-0200-00004E300000}"/>
    <hyperlink ref="C4850" r:id="rId12368" xr:uid="{00000000-0004-0000-0200-00004F300000}"/>
    <hyperlink ref="A4851" r:id="rId12369" xr:uid="{00000000-0004-0000-0200-000050300000}"/>
    <hyperlink ref="B4851" r:id="rId12370" xr:uid="{00000000-0004-0000-0200-000051300000}"/>
    <hyperlink ref="C4851" r:id="rId12371" xr:uid="{00000000-0004-0000-0200-000052300000}"/>
    <hyperlink ref="A4852" r:id="rId12372" xr:uid="{00000000-0004-0000-0200-000053300000}"/>
    <hyperlink ref="B4852" r:id="rId12373" xr:uid="{00000000-0004-0000-0200-000054300000}"/>
    <hyperlink ref="C4852" r:id="rId12374" xr:uid="{00000000-0004-0000-0200-000055300000}"/>
    <hyperlink ref="A4853" r:id="rId12375" xr:uid="{00000000-0004-0000-0200-000056300000}"/>
    <hyperlink ref="B4853" r:id="rId12376" xr:uid="{00000000-0004-0000-0200-000057300000}"/>
    <hyperlink ref="C4853" r:id="rId12377" xr:uid="{00000000-0004-0000-0200-000058300000}"/>
    <hyperlink ref="A4854" r:id="rId12378" xr:uid="{00000000-0004-0000-0200-000059300000}"/>
    <hyperlink ref="B4854" r:id="rId12379" xr:uid="{00000000-0004-0000-0200-00005A300000}"/>
    <hyperlink ref="C4854" r:id="rId12380" xr:uid="{00000000-0004-0000-0200-00005B300000}"/>
    <hyperlink ref="A4855" r:id="rId12381" xr:uid="{00000000-0004-0000-0200-00005C300000}"/>
    <hyperlink ref="B4855" r:id="rId12382" xr:uid="{00000000-0004-0000-0200-00005D300000}"/>
    <hyperlink ref="C4855" r:id="rId12383" xr:uid="{00000000-0004-0000-0200-00005E300000}"/>
    <hyperlink ref="A4856" r:id="rId12384" xr:uid="{00000000-0004-0000-0200-00005F300000}"/>
    <hyperlink ref="B4856" r:id="rId12385" xr:uid="{00000000-0004-0000-0200-000060300000}"/>
    <hyperlink ref="C4856" r:id="rId12386" xr:uid="{00000000-0004-0000-0200-000061300000}"/>
    <hyperlink ref="A4857" r:id="rId12387" xr:uid="{00000000-0004-0000-0200-000062300000}"/>
    <hyperlink ref="B4857" r:id="rId12388" xr:uid="{00000000-0004-0000-0200-000063300000}"/>
    <hyperlink ref="C4857" r:id="rId12389" xr:uid="{00000000-0004-0000-0200-000064300000}"/>
    <hyperlink ref="A4858" r:id="rId12390" xr:uid="{00000000-0004-0000-0200-000065300000}"/>
    <hyperlink ref="B4858" r:id="rId12391" xr:uid="{00000000-0004-0000-0200-000066300000}"/>
    <hyperlink ref="C4858" r:id="rId12392" xr:uid="{00000000-0004-0000-0200-000067300000}"/>
    <hyperlink ref="A4859" r:id="rId12393" xr:uid="{00000000-0004-0000-0200-000068300000}"/>
    <hyperlink ref="B4859" r:id="rId12394" xr:uid="{00000000-0004-0000-0200-000069300000}"/>
    <hyperlink ref="C4859" r:id="rId12395" xr:uid="{00000000-0004-0000-0200-00006A300000}"/>
    <hyperlink ref="A4860" r:id="rId12396" xr:uid="{00000000-0004-0000-0200-00006B300000}"/>
    <hyperlink ref="B4860" r:id="rId12397" xr:uid="{00000000-0004-0000-0200-00006C300000}"/>
    <hyperlink ref="C4860" r:id="rId12398" xr:uid="{00000000-0004-0000-0200-00006D300000}"/>
    <hyperlink ref="A4861" r:id="rId12399" xr:uid="{00000000-0004-0000-0200-00006E300000}"/>
    <hyperlink ref="B4861" r:id="rId12400" xr:uid="{00000000-0004-0000-0200-00006F300000}"/>
    <hyperlink ref="C4861" r:id="rId12401" xr:uid="{00000000-0004-0000-0200-000070300000}"/>
    <hyperlink ref="A4862" r:id="rId12402" xr:uid="{00000000-0004-0000-0200-000071300000}"/>
    <hyperlink ref="B4862" r:id="rId12403" xr:uid="{00000000-0004-0000-0200-000072300000}"/>
    <hyperlink ref="C4862" r:id="rId12404" xr:uid="{00000000-0004-0000-0200-000073300000}"/>
    <hyperlink ref="A4863" r:id="rId12405" xr:uid="{00000000-0004-0000-0200-000074300000}"/>
    <hyperlink ref="B4863" r:id="rId12406" xr:uid="{00000000-0004-0000-0200-000075300000}"/>
    <hyperlink ref="C4863" r:id="rId12407" xr:uid="{00000000-0004-0000-0200-000076300000}"/>
    <hyperlink ref="A4864" r:id="rId12408" xr:uid="{00000000-0004-0000-0200-000077300000}"/>
    <hyperlink ref="B4864" r:id="rId12409" xr:uid="{00000000-0004-0000-0200-000078300000}"/>
    <hyperlink ref="C4864" r:id="rId12410" xr:uid="{00000000-0004-0000-0200-000079300000}"/>
    <hyperlink ref="A4865" r:id="rId12411" xr:uid="{00000000-0004-0000-0200-00007A300000}"/>
    <hyperlink ref="B4865" r:id="rId12412" xr:uid="{00000000-0004-0000-0200-00007B300000}"/>
    <hyperlink ref="C4865" r:id="rId12413" xr:uid="{00000000-0004-0000-0200-00007C300000}"/>
    <hyperlink ref="A4866" r:id="rId12414" xr:uid="{00000000-0004-0000-0200-00007D300000}"/>
    <hyperlink ref="B4866" r:id="rId12415" xr:uid="{00000000-0004-0000-0200-00007E300000}"/>
    <hyperlink ref="C4866" r:id="rId12416" xr:uid="{00000000-0004-0000-0200-00007F300000}"/>
    <hyperlink ref="A4867" r:id="rId12417" xr:uid="{00000000-0004-0000-0200-000080300000}"/>
    <hyperlink ref="B4867" r:id="rId12418" xr:uid="{00000000-0004-0000-0200-000081300000}"/>
    <hyperlink ref="C4867" r:id="rId12419" xr:uid="{00000000-0004-0000-0200-000082300000}"/>
    <hyperlink ref="A4868" r:id="rId12420" xr:uid="{00000000-0004-0000-0200-000083300000}"/>
    <hyperlink ref="B4868" r:id="rId12421" xr:uid="{00000000-0004-0000-0200-000084300000}"/>
    <hyperlink ref="C4868" r:id="rId12422" xr:uid="{00000000-0004-0000-0200-000085300000}"/>
    <hyperlink ref="A4869" r:id="rId12423" xr:uid="{00000000-0004-0000-0200-000086300000}"/>
    <hyperlink ref="B4869" r:id="rId12424" xr:uid="{00000000-0004-0000-0200-000087300000}"/>
    <hyperlink ref="C4869" r:id="rId12425" xr:uid="{00000000-0004-0000-0200-000088300000}"/>
    <hyperlink ref="A4870" r:id="rId12426" xr:uid="{00000000-0004-0000-0200-000089300000}"/>
    <hyperlink ref="B4870" r:id="rId12427" xr:uid="{00000000-0004-0000-0200-00008A300000}"/>
    <hyperlink ref="C4870" r:id="rId12428" xr:uid="{00000000-0004-0000-0200-00008B300000}"/>
    <hyperlink ref="A4871" r:id="rId12429" xr:uid="{00000000-0004-0000-0200-00008C300000}"/>
    <hyperlink ref="B4871" r:id="rId12430" xr:uid="{00000000-0004-0000-0200-00008D300000}"/>
    <hyperlink ref="C4871" r:id="rId12431" xr:uid="{00000000-0004-0000-0200-00008E300000}"/>
    <hyperlink ref="A4872" r:id="rId12432" xr:uid="{00000000-0004-0000-0200-00008F300000}"/>
    <hyperlink ref="B4872" r:id="rId12433" xr:uid="{00000000-0004-0000-0200-000090300000}"/>
    <hyperlink ref="C4872" r:id="rId12434" xr:uid="{00000000-0004-0000-0200-000091300000}"/>
    <hyperlink ref="A4873" r:id="rId12435" xr:uid="{00000000-0004-0000-0200-000092300000}"/>
    <hyperlink ref="B4873" r:id="rId12436" xr:uid="{00000000-0004-0000-0200-000093300000}"/>
    <hyperlink ref="C4873" r:id="rId12437" xr:uid="{00000000-0004-0000-0200-000094300000}"/>
    <hyperlink ref="A4874" r:id="rId12438" xr:uid="{00000000-0004-0000-0200-000095300000}"/>
    <hyperlink ref="B4874" r:id="rId12439" xr:uid="{00000000-0004-0000-0200-000096300000}"/>
    <hyperlink ref="C4874" r:id="rId12440" xr:uid="{00000000-0004-0000-0200-000097300000}"/>
    <hyperlink ref="A4875" r:id="rId12441" xr:uid="{00000000-0004-0000-0200-000098300000}"/>
    <hyperlink ref="B4875" r:id="rId12442" xr:uid="{00000000-0004-0000-0200-000099300000}"/>
    <hyperlink ref="C4875" r:id="rId12443" xr:uid="{00000000-0004-0000-0200-00009A300000}"/>
    <hyperlink ref="A4876" r:id="rId12444" xr:uid="{00000000-0004-0000-0200-00009B300000}"/>
    <hyperlink ref="B4876" r:id="rId12445" xr:uid="{00000000-0004-0000-0200-00009C300000}"/>
    <hyperlink ref="C4876" r:id="rId12446" xr:uid="{00000000-0004-0000-0200-00009D300000}"/>
    <hyperlink ref="A4877" r:id="rId12447" xr:uid="{00000000-0004-0000-0200-00009E300000}"/>
    <hyperlink ref="B4877" r:id="rId12448" xr:uid="{00000000-0004-0000-0200-00009F300000}"/>
    <hyperlink ref="C4877" r:id="rId12449" xr:uid="{00000000-0004-0000-0200-0000A0300000}"/>
    <hyperlink ref="A4878" r:id="rId12450" xr:uid="{00000000-0004-0000-0200-0000A1300000}"/>
    <hyperlink ref="B4878" r:id="rId12451" xr:uid="{00000000-0004-0000-0200-0000A2300000}"/>
    <hyperlink ref="C4878" r:id="rId12452" xr:uid="{00000000-0004-0000-0200-0000A3300000}"/>
    <hyperlink ref="A4879" r:id="rId12453" xr:uid="{00000000-0004-0000-0200-0000A4300000}"/>
    <hyperlink ref="B4879" r:id="rId12454" xr:uid="{00000000-0004-0000-0200-0000A5300000}"/>
    <hyperlink ref="C4879" r:id="rId12455" xr:uid="{00000000-0004-0000-0200-0000A6300000}"/>
    <hyperlink ref="A4880" r:id="rId12456" xr:uid="{00000000-0004-0000-0200-0000A7300000}"/>
    <hyperlink ref="B4880" r:id="rId12457" xr:uid="{00000000-0004-0000-0200-0000A8300000}"/>
    <hyperlink ref="C4880" r:id="rId12458" xr:uid="{00000000-0004-0000-0200-0000A9300000}"/>
    <hyperlink ref="A4881" r:id="rId12459" xr:uid="{00000000-0004-0000-0200-0000AA300000}"/>
    <hyperlink ref="B4881" r:id="rId12460" xr:uid="{00000000-0004-0000-0200-0000AB300000}"/>
    <hyperlink ref="C4881" r:id="rId12461" xr:uid="{00000000-0004-0000-0200-0000AC300000}"/>
    <hyperlink ref="A4882" r:id="rId12462" xr:uid="{00000000-0004-0000-0200-0000AD300000}"/>
    <hyperlink ref="B4882" r:id="rId12463" xr:uid="{00000000-0004-0000-0200-0000AE300000}"/>
    <hyperlink ref="C4882" r:id="rId12464" xr:uid="{00000000-0004-0000-0200-0000AF300000}"/>
    <hyperlink ref="A4883" r:id="rId12465" xr:uid="{00000000-0004-0000-0200-0000B0300000}"/>
    <hyperlink ref="B4883" r:id="rId12466" xr:uid="{00000000-0004-0000-0200-0000B1300000}"/>
    <hyperlink ref="C4883" r:id="rId12467" xr:uid="{00000000-0004-0000-0200-0000B2300000}"/>
    <hyperlink ref="A4884" r:id="rId12468" xr:uid="{00000000-0004-0000-0200-0000B3300000}"/>
    <hyperlink ref="B4884" r:id="rId12469" xr:uid="{00000000-0004-0000-0200-0000B4300000}"/>
    <hyperlink ref="C4884" r:id="rId12470" xr:uid="{00000000-0004-0000-0200-0000B5300000}"/>
    <hyperlink ref="A4885" r:id="rId12471" xr:uid="{00000000-0004-0000-0200-0000B6300000}"/>
    <hyperlink ref="B4885" r:id="rId12472" xr:uid="{00000000-0004-0000-0200-0000B7300000}"/>
    <hyperlink ref="C4885" r:id="rId12473" xr:uid="{00000000-0004-0000-0200-0000B8300000}"/>
    <hyperlink ref="A4886" r:id="rId12474" xr:uid="{00000000-0004-0000-0200-0000B9300000}"/>
    <hyperlink ref="B4886" r:id="rId12475" xr:uid="{00000000-0004-0000-0200-0000BA300000}"/>
    <hyperlink ref="C4886" r:id="rId12476" xr:uid="{00000000-0004-0000-0200-0000BB300000}"/>
    <hyperlink ref="A4887" r:id="rId12477" xr:uid="{00000000-0004-0000-0200-0000BC300000}"/>
    <hyperlink ref="B4887" r:id="rId12478" xr:uid="{00000000-0004-0000-0200-0000BD300000}"/>
    <hyperlink ref="C4887" r:id="rId12479" xr:uid="{00000000-0004-0000-0200-0000BE300000}"/>
    <hyperlink ref="A4888" r:id="rId12480" xr:uid="{00000000-0004-0000-0200-0000BF300000}"/>
    <hyperlink ref="B4888" r:id="rId12481" xr:uid="{00000000-0004-0000-0200-0000C0300000}"/>
    <hyperlink ref="C4888" r:id="rId12482" xr:uid="{00000000-0004-0000-0200-0000C1300000}"/>
    <hyperlink ref="A4889" r:id="rId12483" xr:uid="{00000000-0004-0000-0200-0000C2300000}"/>
    <hyperlink ref="B4889" r:id="rId12484" xr:uid="{00000000-0004-0000-0200-0000C3300000}"/>
    <hyperlink ref="C4889" r:id="rId12485" xr:uid="{00000000-0004-0000-0200-0000C4300000}"/>
    <hyperlink ref="A4890" r:id="rId12486" xr:uid="{00000000-0004-0000-0200-0000C5300000}"/>
    <hyperlink ref="B4890" r:id="rId12487" xr:uid="{00000000-0004-0000-0200-0000C6300000}"/>
    <hyperlink ref="C4890" r:id="rId12488" xr:uid="{00000000-0004-0000-0200-0000C7300000}"/>
    <hyperlink ref="A4891" r:id="rId12489" xr:uid="{00000000-0004-0000-0200-0000C8300000}"/>
    <hyperlink ref="B4891" r:id="rId12490" xr:uid="{00000000-0004-0000-0200-0000C9300000}"/>
    <hyperlink ref="C4891" r:id="rId12491" xr:uid="{00000000-0004-0000-0200-0000CA300000}"/>
    <hyperlink ref="A4892" r:id="rId12492" xr:uid="{00000000-0004-0000-0200-0000CB300000}"/>
    <hyperlink ref="B4892" r:id="rId12493" xr:uid="{00000000-0004-0000-0200-0000CC300000}"/>
    <hyperlink ref="C4892" r:id="rId12494" xr:uid="{00000000-0004-0000-0200-0000CD300000}"/>
    <hyperlink ref="A4893" r:id="rId12495" xr:uid="{00000000-0004-0000-0200-0000CE300000}"/>
    <hyperlink ref="B4893" r:id="rId12496" xr:uid="{00000000-0004-0000-0200-0000CF300000}"/>
    <hyperlink ref="C4893" r:id="rId12497" xr:uid="{00000000-0004-0000-0200-0000D0300000}"/>
    <hyperlink ref="I4893" r:id="rId12498" xr:uid="{00000000-0004-0000-0200-0000D1300000}"/>
    <hyperlink ref="A4894" r:id="rId12499" xr:uid="{00000000-0004-0000-0200-0000D2300000}"/>
    <hyperlink ref="B4894" r:id="rId12500" xr:uid="{00000000-0004-0000-0200-0000D3300000}"/>
    <hyperlink ref="C4894" r:id="rId12501" xr:uid="{00000000-0004-0000-0200-0000D4300000}"/>
    <hyperlink ref="A4895" r:id="rId12502" xr:uid="{00000000-0004-0000-0200-0000D5300000}"/>
    <hyperlink ref="B4895" r:id="rId12503" xr:uid="{00000000-0004-0000-0200-0000D6300000}"/>
    <hyperlink ref="C4895" r:id="rId12504" xr:uid="{00000000-0004-0000-0200-0000D7300000}"/>
    <hyperlink ref="A4896" r:id="rId12505" xr:uid="{00000000-0004-0000-0200-0000D8300000}"/>
    <hyperlink ref="B4896" r:id="rId12506" xr:uid="{00000000-0004-0000-0200-0000D9300000}"/>
    <hyperlink ref="C4896" r:id="rId12507" xr:uid="{00000000-0004-0000-0200-0000DA300000}"/>
    <hyperlink ref="A4897" r:id="rId12508" xr:uid="{00000000-0004-0000-0200-0000DB300000}"/>
    <hyperlink ref="B4897" r:id="rId12509" xr:uid="{00000000-0004-0000-0200-0000DC300000}"/>
    <hyperlink ref="C4897" r:id="rId12510" xr:uid="{00000000-0004-0000-0200-0000DD300000}"/>
    <hyperlink ref="A4898" r:id="rId12511" xr:uid="{00000000-0004-0000-0200-0000DE300000}"/>
    <hyperlink ref="B4898" r:id="rId12512" xr:uid="{00000000-0004-0000-0200-0000DF300000}"/>
    <hyperlink ref="C4898" r:id="rId12513" xr:uid="{00000000-0004-0000-0200-0000E0300000}"/>
    <hyperlink ref="A4899" r:id="rId12514" xr:uid="{00000000-0004-0000-0200-0000E1300000}"/>
    <hyperlink ref="B4899" r:id="rId12515" xr:uid="{00000000-0004-0000-0200-0000E2300000}"/>
    <hyperlink ref="C4899" r:id="rId12516" xr:uid="{00000000-0004-0000-0200-0000E3300000}"/>
    <hyperlink ref="A4900" r:id="rId12517" xr:uid="{00000000-0004-0000-0200-0000E4300000}"/>
    <hyperlink ref="B4900" r:id="rId12518" xr:uid="{00000000-0004-0000-0200-0000E5300000}"/>
    <hyperlink ref="C4900" r:id="rId12519" xr:uid="{00000000-0004-0000-0200-0000E6300000}"/>
    <hyperlink ref="A4901" r:id="rId12520" xr:uid="{00000000-0004-0000-0200-0000E7300000}"/>
    <hyperlink ref="B4901" r:id="rId12521" xr:uid="{00000000-0004-0000-0200-0000E8300000}"/>
    <hyperlink ref="C4901" r:id="rId12522" xr:uid="{00000000-0004-0000-0200-0000E9300000}"/>
    <hyperlink ref="A4902" r:id="rId12523" xr:uid="{00000000-0004-0000-0200-0000EA300000}"/>
    <hyperlink ref="B4902" r:id="rId12524" xr:uid="{00000000-0004-0000-0200-0000EB300000}"/>
    <hyperlink ref="C4902" r:id="rId12525" xr:uid="{00000000-0004-0000-0200-0000EC300000}"/>
    <hyperlink ref="A4903" r:id="rId12526" xr:uid="{00000000-0004-0000-0200-0000ED300000}"/>
    <hyperlink ref="B4903" r:id="rId12527" xr:uid="{00000000-0004-0000-0200-0000EE300000}"/>
    <hyperlink ref="C4903" r:id="rId12528" xr:uid="{00000000-0004-0000-0200-0000EF300000}"/>
    <hyperlink ref="A4904" r:id="rId12529" xr:uid="{00000000-0004-0000-0200-0000F0300000}"/>
    <hyperlink ref="B4904" r:id="rId12530" xr:uid="{00000000-0004-0000-0200-0000F1300000}"/>
    <hyperlink ref="C4904" r:id="rId12531" xr:uid="{00000000-0004-0000-0200-0000F2300000}"/>
    <hyperlink ref="A4905" r:id="rId12532" xr:uid="{00000000-0004-0000-0200-0000F3300000}"/>
    <hyperlink ref="B4905" r:id="rId12533" xr:uid="{00000000-0004-0000-0200-0000F4300000}"/>
    <hyperlink ref="C4905" r:id="rId12534" xr:uid="{00000000-0004-0000-0200-0000F5300000}"/>
    <hyperlink ref="A4906" r:id="rId12535" xr:uid="{00000000-0004-0000-0200-0000F6300000}"/>
    <hyperlink ref="B4906" r:id="rId12536" xr:uid="{00000000-0004-0000-0200-0000F7300000}"/>
    <hyperlink ref="C4906" r:id="rId12537" xr:uid="{00000000-0004-0000-0200-0000F8300000}"/>
    <hyperlink ref="A4907" r:id="rId12538" xr:uid="{00000000-0004-0000-0200-0000F9300000}"/>
    <hyperlink ref="B4907" r:id="rId12539" xr:uid="{00000000-0004-0000-0200-0000FA300000}"/>
    <hyperlink ref="C4907" r:id="rId12540" xr:uid="{00000000-0004-0000-0200-0000FB300000}"/>
    <hyperlink ref="A4908" r:id="rId12541" xr:uid="{00000000-0004-0000-0200-0000FC300000}"/>
    <hyperlink ref="B4908" r:id="rId12542" xr:uid="{00000000-0004-0000-0200-0000FD300000}"/>
    <hyperlink ref="C4908" r:id="rId12543" xr:uid="{00000000-0004-0000-0200-0000FE300000}"/>
    <hyperlink ref="A4909" r:id="rId12544" xr:uid="{00000000-0004-0000-0200-0000FF300000}"/>
    <hyperlink ref="B4909" r:id="rId12545" xr:uid="{00000000-0004-0000-0200-000000310000}"/>
    <hyperlink ref="C4909" r:id="rId12546" xr:uid="{00000000-0004-0000-0200-000001310000}"/>
    <hyperlink ref="A4910" r:id="rId12547" xr:uid="{00000000-0004-0000-0200-000002310000}"/>
    <hyperlink ref="B4910" r:id="rId12548" xr:uid="{00000000-0004-0000-0200-000003310000}"/>
    <hyperlink ref="C4910" r:id="rId12549" xr:uid="{00000000-0004-0000-0200-000004310000}"/>
    <hyperlink ref="A4911" r:id="rId12550" xr:uid="{00000000-0004-0000-0200-000005310000}"/>
    <hyperlink ref="B4911" r:id="rId12551" xr:uid="{00000000-0004-0000-0200-000006310000}"/>
    <hyperlink ref="C4911" r:id="rId12552" xr:uid="{00000000-0004-0000-0200-000007310000}"/>
    <hyperlink ref="A4912" r:id="rId12553" xr:uid="{00000000-0004-0000-0200-000008310000}"/>
    <hyperlink ref="B4912" r:id="rId12554" xr:uid="{00000000-0004-0000-0200-000009310000}"/>
    <hyperlink ref="C4912" r:id="rId12555" xr:uid="{00000000-0004-0000-0200-00000A310000}"/>
    <hyperlink ref="A4913" r:id="rId12556" xr:uid="{00000000-0004-0000-0200-00000B310000}"/>
    <hyperlink ref="B4913" r:id="rId12557" xr:uid="{00000000-0004-0000-0200-00000C310000}"/>
    <hyperlink ref="C4913" r:id="rId12558" xr:uid="{00000000-0004-0000-0200-00000D310000}"/>
    <hyperlink ref="A4914" r:id="rId12559" xr:uid="{00000000-0004-0000-0200-00000E310000}"/>
    <hyperlink ref="B4914" r:id="rId12560" xr:uid="{00000000-0004-0000-0200-00000F310000}"/>
    <hyperlink ref="C4914" r:id="rId12561" xr:uid="{00000000-0004-0000-0200-000010310000}"/>
    <hyperlink ref="A4915" r:id="rId12562" xr:uid="{00000000-0004-0000-0200-000011310000}"/>
    <hyperlink ref="B4915" r:id="rId12563" xr:uid="{00000000-0004-0000-0200-000012310000}"/>
    <hyperlink ref="C4915" r:id="rId12564" xr:uid="{00000000-0004-0000-0200-000013310000}"/>
    <hyperlink ref="A4916" r:id="rId12565" xr:uid="{00000000-0004-0000-0200-000014310000}"/>
    <hyperlink ref="B4916" r:id="rId12566" xr:uid="{00000000-0004-0000-0200-000015310000}"/>
    <hyperlink ref="C4916" r:id="rId12567" xr:uid="{00000000-0004-0000-0200-000016310000}"/>
    <hyperlink ref="A4917" r:id="rId12568" xr:uid="{00000000-0004-0000-0200-000017310000}"/>
    <hyperlink ref="B4917" r:id="rId12569" xr:uid="{00000000-0004-0000-0200-000018310000}"/>
    <hyperlink ref="C4917" r:id="rId12570" xr:uid="{00000000-0004-0000-0200-000019310000}"/>
    <hyperlink ref="A4918" r:id="rId12571" xr:uid="{00000000-0004-0000-0200-00001A310000}"/>
    <hyperlink ref="B4918" r:id="rId12572" xr:uid="{00000000-0004-0000-0200-00001B310000}"/>
    <hyperlink ref="C4918" r:id="rId12573" xr:uid="{00000000-0004-0000-0200-00001C310000}"/>
    <hyperlink ref="A4919" r:id="rId12574" xr:uid="{00000000-0004-0000-0200-00001D310000}"/>
    <hyperlink ref="B4919" r:id="rId12575" xr:uid="{00000000-0004-0000-0200-00001E310000}"/>
    <hyperlink ref="C4919" r:id="rId12576" xr:uid="{00000000-0004-0000-0200-00001F310000}"/>
    <hyperlink ref="A4920" r:id="rId12577" xr:uid="{00000000-0004-0000-0200-000020310000}"/>
    <hyperlink ref="B4920" r:id="rId12578" xr:uid="{00000000-0004-0000-0200-000021310000}"/>
    <hyperlink ref="C4920" r:id="rId12579" xr:uid="{00000000-0004-0000-0200-000022310000}"/>
    <hyperlink ref="A4921" r:id="rId12580" xr:uid="{00000000-0004-0000-0200-000023310000}"/>
    <hyperlink ref="B4921" r:id="rId12581" xr:uid="{00000000-0004-0000-0200-000024310000}"/>
    <hyperlink ref="C4921" r:id="rId12582" xr:uid="{00000000-0004-0000-0200-000025310000}"/>
    <hyperlink ref="A4922" r:id="rId12583" xr:uid="{00000000-0004-0000-0200-000026310000}"/>
    <hyperlink ref="B4922" r:id="rId12584" xr:uid="{00000000-0004-0000-0200-000027310000}"/>
    <hyperlink ref="C4922" r:id="rId12585" xr:uid="{00000000-0004-0000-0200-000028310000}"/>
    <hyperlink ref="A4923" r:id="rId12586" xr:uid="{00000000-0004-0000-0200-000029310000}"/>
    <hyperlink ref="B4923" r:id="rId12587" xr:uid="{00000000-0004-0000-0200-00002A310000}"/>
    <hyperlink ref="C4923" r:id="rId12588" xr:uid="{00000000-0004-0000-0200-00002B310000}"/>
    <hyperlink ref="A4924" r:id="rId12589" xr:uid="{00000000-0004-0000-0200-00002C310000}"/>
    <hyperlink ref="B4924" r:id="rId12590" xr:uid="{00000000-0004-0000-0200-00002D310000}"/>
    <hyperlink ref="C4924" r:id="rId12591" xr:uid="{00000000-0004-0000-0200-00002E310000}"/>
    <hyperlink ref="A4925" r:id="rId12592" xr:uid="{00000000-0004-0000-0200-00002F310000}"/>
    <hyperlink ref="B4925" r:id="rId12593" xr:uid="{00000000-0004-0000-0200-000030310000}"/>
    <hyperlink ref="C4925" r:id="rId12594" xr:uid="{00000000-0004-0000-0200-000031310000}"/>
    <hyperlink ref="A4926" r:id="rId12595" xr:uid="{00000000-0004-0000-0200-000032310000}"/>
    <hyperlink ref="B4926" r:id="rId12596" xr:uid="{00000000-0004-0000-0200-000033310000}"/>
    <hyperlink ref="C4926" r:id="rId12597" xr:uid="{00000000-0004-0000-0200-000034310000}"/>
    <hyperlink ref="A4927" r:id="rId12598" xr:uid="{00000000-0004-0000-0200-000035310000}"/>
    <hyperlink ref="B4927" r:id="rId12599" xr:uid="{00000000-0004-0000-0200-000036310000}"/>
    <hyperlink ref="C4927" r:id="rId12600" xr:uid="{00000000-0004-0000-0200-000037310000}"/>
    <hyperlink ref="A4928" r:id="rId12601" xr:uid="{00000000-0004-0000-0200-000038310000}"/>
    <hyperlink ref="B4928" r:id="rId12602" xr:uid="{00000000-0004-0000-0200-000039310000}"/>
    <hyperlink ref="C4928" r:id="rId12603" xr:uid="{00000000-0004-0000-0200-00003A310000}"/>
    <hyperlink ref="A4929" r:id="rId12604" xr:uid="{00000000-0004-0000-0200-00003B310000}"/>
    <hyperlink ref="B4929" r:id="rId12605" xr:uid="{00000000-0004-0000-0200-00003C310000}"/>
    <hyperlink ref="C4929" r:id="rId12606" xr:uid="{00000000-0004-0000-0200-00003D310000}"/>
    <hyperlink ref="A4930" r:id="rId12607" xr:uid="{00000000-0004-0000-0200-00003E310000}"/>
    <hyperlink ref="B4930" r:id="rId12608" xr:uid="{00000000-0004-0000-0200-00003F310000}"/>
    <hyperlink ref="C4930" r:id="rId12609" xr:uid="{00000000-0004-0000-0200-000040310000}"/>
    <hyperlink ref="A4931" r:id="rId12610" xr:uid="{00000000-0004-0000-0200-000041310000}"/>
    <hyperlink ref="B4931" r:id="rId12611" xr:uid="{00000000-0004-0000-0200-000042310000}"/>
    <hyperlink ref="C4931" r:id="rId12612" xr:uid="{00000000-0004-0000-0200-000043310000}"/>
    <hyperlink ref="A4932" r:id="rId12613" xr:uid="{00000000-0004-0000-0200-000044310000}"/>
    <hyperlink ref="B4932" r:id="rId12614" xr:uid="{00000000-0004-0000-0200-000045310000}"/>
    <hyperlink ref="C4932" r:id="rId12615" xr:uid="{00000000-0004-0000-0200-000046310000}"/>
    <hyperlink ref="A4933" r:id="rId12616" xr:uid="{00000000-0004-0000-0200-000047310000}"/>
    <hyperlink ref="B4933" r:id="rId12617" xr:uid="{00000000-0004-0000-0200-000048310000}"/>
    <hyperlink ref="C4933" r:id="rId12618" xr:uid="{00000000-0004-0000-0200-000049310000}"/>
    <hyperlink ref="A4934" r:id="rId12619" xr:uid="{00000000-0004-0000-0200-00004A310000}"/>
    <hyperlink ref="B4934" r:id="rId12620" xr:uid="{00000000-0004-0000-0200-00004B310000}"/>
    <hyperlink ref="C4934" r:id="rId12621" xr:uid="{00000000-0004-0000-0200-00004C310000}"/>
    <hyperlink ref="A4935" r:id="rId12622" xr:uid="{00000000-0004-0000-0200-00004D310000}"/>
    <hyperlink ref="B4935" r:id="rId12623" xr:uid="{00000000-0004-0000-0200-00004E310000}"/>
    <hyperlink ref="C4935" r:id="rId12624" xr:uid="{00000000-0004-0000-0200-00004F310000}"/>
    <hyperlink ref="A4936" r:id="rId12625" xr:uid="{00000000-0004-0000-0200-000050310000}"/>
    <hyperlink ref="B4936" r:id="rId12626" xr:uid="{00000000-0004-0000-0200-000051310000}"/>
    <hyperlink ref="C4936" r:id="rId12627" xr:uid="{00000000-0004-0000-0200-000052310000}"/>
    <hyperlink ref="A4937" r:id="rId12628" xr:uid="{00000000-0004-0000-0200-000053310000}"/>
    <hyperlink ref="B4937" r:id="rId12629" xr:uid="{00000000-0004-0000-0200-000054310000}"/>
    <hyperlink ref="C4937" r:id="rId12630" xr:uid="{00000000-0004-0000-0200-000055310000}"/>
    <hyperlink ref="A4938" r:id="rId12631" xr:uid="{00000000-0004-0000-0200-000056310000}"/>
    <hyperlink ref="B4938" r:id="rId12632" xr:uid="{00000000-0004-0000-0200-000057310000}"/>
    <hyperlink ref="C4938" r:id="rId12633" xr:uid="{00000000-0004-0000-0200-000058310000}"/>
    <hyperlink ref="A4939" r:id="rId12634" xr:uid="{00000000-0004-0000-0200-000059310000}"/>
    <hyperlink ref="B4939" r:id="rId12635" xr:uid="{00000000-0004-0000-0200-00005A310000}"/>
    <hyperlink ref="C4939" r:id="rId12636" xr:uid="{00000000-0004-0000-0200-00005B310000}"/>
    <hyperlink ref="A4940" r:id="rId12637" xr:uid="{00000000-0004-0000-0200-00005C310000}"/>
    <hyperlink ref="B4940" r:id="rId12638" xr:uid="{00000000-0004-0000-0200-00005D310000}"/>
    <hyperlink ref="C4940" r:id="rId12639" xr:uid="{00000000-0004-0000-0200-00005E310000}"/>
    <hyperlink ref="A4941" r:id="rId12640" xr:uid="{00000000-0004-0000-0200-00005F310000}"/>
    <hyperlink ref="B4941" r:id="rId12641" xr:uid="{00000000-0004-0000-0200-000060310000}"/>
    <hyperlink ref="C4941" r:id="rId12642" xr:uid="{00000000-0004-0000-0200-000061310000}"/>
    <hyperlink ref="A4942" r:id="rId12643" xr:uid="{00000000-0004-0000-0200-000062310000}"/>
    <hyperlink ref="B4942" r:id="rId12644" xr:uid="{00000000-0004-0000-0200-000063310000}"/>
    <hyperlink ref="C4942" r:id="rId12645" xr:uid="{00000000-0004-0000-0200-000064310000}"/>
    <hyperlink ref="A4943" r:id="rId12646" xr:uid="{00000000-0004-0000-0200-000065310000}"/>
    <hyperlink ref="B4943" r:id="rId12647" xr:uid="{00000000-0004-0000-0200-000066310000}"/>
    <hyperlink ref="C4943" r:id="rId12648" xr:uid="{00000000-0004-0000-0200-000067310000}"/>
    <hyperlink ref="A4944" r:id="rId12649" xr:uid="{00000000-0004-0000-0200-000068310000}"/>
    <hyperlink ref="B4944" r:id="rId12650" xr:uid="{00000000-0004-0000-0200-000069310000}"/>
    <hyperlink ref="C4944" r:id="rId12651" xr:uid="{00000000-0004-0000-0200-00006A310000}"/>
    <hyperlink ref="A4945" r:id="rId12652" xr:uid="{00000000-0004-0000-0200-00006B310000}"/>
    <hyperlink ref="B4945" r:id="rId12653" xr:uid="{00000000-0004-0000-0200-00006C310000}"/>
    <hyperlink ref="C4945" r:id="rId12654" xr:uid="{00000000-0004-0000-0200-00006D310000}"/>
    <hyperlink ref="A4946" r:id="rId12655" xr:uid="{00000000-0004-0000-0200-00006E310000}"/>
    <hyperlink ref="B4946" r:id="rId12656" xr:uid="{00000000-0004-0000-0200-00006F310000}"/>
    <hyperlink ref="C4946" r:id="rId12657" xr:uid="{00000000-0004-0000-0200-000070310000}"/>
    <hyperlink ref="A4947" r:id="rId12658" xr:uid="{00000000-0004-0000-0200-000071310000}"/>
    <hyperlink ref="B4947" r:id="rId12659" xr:uid="{00000000-0004-0000-0200-000072310000}"/>
    <hyperlink ref="C4947" r:id="rId12660" xr:uid="{00000000-0004-0000-0200-000073310000}"/>
    <hyperlink ref="A4948" r:id="rId12661" xr:uid="{00000000-0004-0000-0200-000074310000}"/>
    <hyperlink ref="B4948" r:id="rId12662" xr:uid="{00000000-0004-0000-0200-000075310000}"/>
    <hyperlink ref="C4948" r:id="rId12663" xr:uid="{00000000-0004-0000-0200-000076310000}"/>
    <hyperlink ref="A4949" r:id="rId12664" xr:uid="{00000000-0004-0000-0200-000077310000}"/>
    <hyperlink ref="B4949" r:id="rId12665" xr:uid="{00000000-0004-0000-0200-000078310000}"/>
    <hyperlink ref="C4949" r:id="rId12666" xr:uid="{00000000-0004-0000-0200-000079310000}"/>
    <hyperlink ref="A4950" r:id="rId12667" xr:uid="{00000000-0004-0000-0200-00007A310000}"/>
    <hyperlink ref="B4950" r:id="rId12668" xr:uid="{00000000-0004-0000-0200-00007B310000}"/>
    <hyperlink ref="C4950" r:id="rId12669" xr:uid="{00000000-0004-0000-0200-00007C310000}"/>
    <hyperlink ref="A4951" r:id="rId12670" xr:uid="{00000000-0004-0000-0200-00007D310000}"/>
    <hyperlink ref="B4951" r:id="rId12671" xr:uid="{00000000-0004-0000-0200-00007E310000}"/>
    <hyperlink ref="C4951" r:id="rId12672" xr:uid="{00000000-0004-0000-0200-00007F310000}"/>
    <hyperlink ref="A4952" r:id="rId12673" xr:uid="{00000000-0004-0000-0200-000080310000}"/>
    <hyperlink ref="B4952" r:id="rId12674" xr:uid="{00000000-0004-0000-0200-000081310000}"/>
    <hyperlink ref="C4952" r:id="rId12675" xr:uid="{00000000-0004-0000-0200-000082310000}"/>
    <hyperlink ref="A4953" r:id="rId12676" xr:uid="{00000000-0004-0000-0200-000083310000}"/>
    <hyperlink ref="B4953" r:id="rId12677" xr:uid="{00000000-0004-0000-0200-000084310000}"/>
    <hyperlink ref="C4953" r:id="rId12678" xr:uid="{00000000-0004-0000-0200-000085310000}"/>
    <hyperlink ref="A4954" r:id="rId12679" xr:uid="{00000000-0004-0000-0200-000086310000}"/>
    <hyperlink ref="B4954" r:id="rId12680" xr:uid="{00000000-0004-0000-0200-000087310000}"/>
    <hyperlink ref="C4954" r:id="rId12681" xr:uid="{00000000-0004-0000-0200-000088310000}"/>
    <hyperlink ref="A4955" r:id="rId12682" xr:uid="{00000000-0004-0000-0200-000089310000}"/>
    <hyperlink ref="B4955" r:id="rId12683" xr:uid="{00000000-0004-0000-0200-00008A310000}"/>
    <hyperlink ref="C4955" r:id="rId12684" xr:uid="{00000000-0004-0000-0200-00008B310000}"/>
    <hyperlink ref="A4956" r:id="rId12685" xr:uid="{00000000-0004-0000-0200-00008C310000}"/>
    <hyperlink ref="B4956" r:id="rId12686" xr:uid="{00000000-0004-0000-0200-00008D310000}"/>
    <hyperlink ref="C4956" r:id="rId12687" xr:uid="{00000000-0004-0000-0200-00008E310000}"/>
    <hyperlink ref="A4957" r:id="rId12688" xr:uid="{00000000-0004-0000-0200-00008F310000}"/>
    <hyperlink ref="B4957" r:id="rId12689" xr:uid="{00000000-0004-0000-0200-000090310000}"/>
    <hyperlink ref="C4957" r:id="rId12690" xr:uid="{00000000-0004-0000-0200-000091310000}"/>
    <hyperlink ref="A4958" r:id="rId12691" xr:uid="{00000000-0004-0000-0200-000092310000}"/>
    <hyperlink ref="B4958" r:id="rId12692" xr:uid="{00000000-0004-0000-0200-000093310000}"/>
    <hyperlink ref="C4958" r:id="rId12693" xr:uid="{00000000-0004-0000-0200-000094310000}"/>
    <hyperlink ref="A4959" r:id="rId12694" xr:uid="{00000000-0004-0000-0200-000095310000}"/>
    <hyperlink ref="B4959" r:id="rId12695" xr:uid="{00000000-0004-0000-0200-000096310000}"/>
    <hyperlink ref="C4959" r:id="rId12696" xr:uid="{00000000-0004-0000-0200-000097310000}"/>
    <hyperlink ref="A4960" r:id="rId12697" xr:uid="{00000000-0004-0000-0200-000098310000}"/>
    <hyperlink ref="B4960" r:id="rId12698" xr:uid="{00000000-0004-0000-0200-000099310000}"/>
    <hyperlink ref="C4960" r:id="rId12699" xr:uid="{00000000-0004-0000-0200-00009A310000}"/>
    <hyperlink ref="A4961" r:id="rId12700" xr:uid="{00000000-0004-0000-0200-00009B310000}"/>
    <hyperlink ref="B4961" r:id="rId12701" xr:uid="{00000000-0004-0000-0200-00009C310000}"/>
    <hyperlink ref="C4961" r:id="rId12702" xr:uid="{00000000-0004-0000-0200-00009D310000}"/>
    <hyperlink ref="A4962" r:id="rId12703" xr:uid="{00000000-0004-0000-0200-00009E310000}"/>
    <hyperlink ref="B4962" r:id="rId12704" xr:uid="{00000000-0004-0000-0200-00009F310000}"/>
    <hyperlink ref="C4962" r:id="rId12705" xr:uid="{00000000-0004-0000-0200-0000A0310000}"/>
    <hyperlink ref="A4963" r:id="rId12706" xr:uid="{00000000-0004-0000-0200-0000A1310000}"/>
    <hyperlink ref="B4963" r:id="rId12707" xr:uid="{00000000-0004-0000-0200-0000A2310000}"/>
    <hyperlink ref="C4963" r:id="rId12708" xr:uid="{00000000-0004-0000-0200-0000A3310000}"/>
    <hyperlink ref="A4964" r:id="rId12709" xr:uid="{00000000-0004-0000-0200-0000A4310000}"/>
    <hyperlink ref="B4964" r:id="rId12710" xr:uid="{00000000-0004-0000-0200-0000A5310000}"/>
    <hyperlink ref="C4964" r:id="rId12711" xr:uid="{00000000-0004-0000-0200-0000A6310000}"/>
    <hyperlink ref="A4965" r:id="rId12712" xr:uid="{00000000-0004-0000-0200-0000A7310000}"/>
    <hyperlink ref="B4965" r:id="rId12713" xr:uid="{00000000-0004-0000-0200-0000A8310000}"/>
    <hyperlink ref="C4965" r:id="rId12714" xr:uid="{00000000-0004-0000-0200-0000A9310000}"/>
    <hyperlink ref="A4966" r:id="rId12715" xr:uid="{00000000-0004-0000-0200-0000AA310000}"/>
    <hyperlink ref="B4966" r:id="rId12716" xr:uid="{00000000-0004-0000-0200-0000AB310000}"/>
    <hyperlink ref="C4966" r:id="rId12717" xr:uid="{00000000-0004-0000-0200-0000AC310000}"/>
    <hyperlink ref="A4967" r:id="rId12718" xr:uid="{00000000-0004-0000-0200-0000AD310000}"/>
    <hyperlink ref="B4967" r:id="rId12719" xr:uid="{00000000-0004-0000-0200-0000AE310000}"/>
    <hyperlink ref="C4967" r:id="rId12720" xr:uid="{00000000-0004-0000-0200-0000AF310000}"/>
    <hyperlink ref="A4968" r:id="rId12721" xr:uid="{00000000-0004-0000-0200-0000B0310000}"/>
    <hyperlink ref="B4968" r:id="rId12722" xr:uid="{00000000-0004-0000-0200-0000B1310000}"/>
    <hyperlink ref="C4968" r:id="rId12723" xr:uid="{00000000-0004-0000-0200-0000B2310000}"/>
    <hyperlink ref="A4969" r:id="rId12724" xr:uid="{00000000-0004-0000-0200-0000B3310000}"/>
    <hyperlink ref="B4969" r:id="rId12725" xr:uid="{00000000-0004-0000-0200-0000B4310000}"/>
    <hyperlink ref="C4969" r:id="rId12726" xr:uid="{00000000-0004-0000-0200-0000B5310000}"/>
    <hyperlink ref="A4970" r:id="rId12727" xr:uid="{00000000-0004-0000-0200-0000B6310000}"/>
    <hyperlink ref="B4970" r:id="rId12728" xr:uid="{00000000-0004-0000-0200-0000B7310000}"/>
    <hyperlink ref="C4970" r:id="rId12729" xr:uid="{00000000-0004-0000-0200-0000B8310000}"/>
    <hyperlink ref="A4971" r:id="rId12730" xr:uid="{00000000-0004-0000-0200-0000B9310000}"/>
    <hyperlink ref="B4971" r:id="rId12731" xr:uid="{00000000-0004-0000-0200-0000BA310000}"/>
    <hyperlink ref="C4971" r:id="rId12732" xr:uid="{00000000-0004-0000-0200-0000BB310000}"/>
    <hyperlink ref="A4972" r:id="rId12733" xr:uid="{00000000-0004-0000-0200-0000BC310000}"/>
    <hyperlink ref="B4972" r:id="rId12734" xr:uid="{00000000-0004-0000-0200-0000BD310000}"/>
    <hyperlink ref="C4972" r:id="rId12735" xr:uid="{00000000-0004-0000-0200-0000BE310000}"/>
    <hyperlink ref="A4973" r:id="rId12736" xr:uid="{00000000-0004-0000-0200-0000BF310000}"/>
    <hyperlink ref="B4973" r:id="rId12737" xr:uid="{00000000-0004-0000-0200-0000C0310000}"/>
    <hyperlink ref="C4973" r:id="rId12738" xr:uid="{00000000-0004-0000-0200-0000C1310000}"/>
    <hyperlink ref="A4974" r:id="rId12739" xr:uid="{00000000-0004-0000-0200-0000C2310000}"/>
    <hyperlink ref="B4974" r:id="rId12740" xr:uid="{00000000-0004-0000-0200-0000C3310000}"/>
    <hyperlink ref="C4974" r:id="rId12741" xr:uid="{00000000-0004-0000-0200-0000C4310000}"/>
    <hyperlink ref="A4975" r:id="rId12742" xr:uid="{00000000-0004-0000-0200-0000C5310000}"/>
    <hyperlink ref="B4975" r:id="rId12743" xr:uid="{00000000-0004-0000-0200-0000C6310000}"/>
    <hyperlink ref="C4975" r:id="rId12744" xr:uid="{00000000-0004-0000-0200-0000C7310000}"/>
    <hyperlink ref="A4976" r:id="rId12745" xr:uid="{00000000-0004-0000-0200-0000C8310000}"/>
    <hyperlink ref="B4976" r:id="rId12746" xr:uid="{00000000-0004-0000-0200-0000C9310000}"/>
    <hyperlink ref="C4976" r:id="rId12747" xr:uid="{00000000-0004-0000-0200-0000CA310000}"/>
    <hyperlink ref="A4977" r:id="rId12748" xr:uid="{00000000-0004-0000-0200-0000CB310000}"/>
    <hyperlink ref="B4977" r:id="rId12749" xr:uid="{00000000-0004-0000-0200-0000CC310000}"/>
    <hyperlink ref="C4977" r:id="rId12750" xr:uid="{00000000-0004-0000-0200-0000CD310000}"/>
    <hyperlink ref="A4978" r:id="rId12751" xr:uid="{00000000-0004-0000-0200-0000CE310000}"/>
    <hyperlink ref="B4978" r:id="rId12752" xr:uid="{00000000-0004-0000-0200-0000CF310000}"/>
    <hyperlink ref="C4978" r:id="rId12753" xr:uid="{00000000-0004-0000-0200-0000D0310000}"/>
    <hyperlink ref="A4979" r:id="rId12754" xr:uid="{00000000-0004-0000-0200-0000D1310000}"/>
    <hyperlink ref="B4979" r:id="rId12755" xr:uid="{00000000-0004-0000-0200-0000D2310000}"/>
    <hyperlink ref="C4979" r:id="rId12756" xr:uid="{00000000-0004-0000-0200-0000D3310000}"/>
    <hyperlink ref="A4980" r:id="rId12757" xr:uid="{00000000-0004-0000-0200-0000D4310000}"/>
    <hyperlink ref="B4980" r:id="rId12758" xr:uid="{00000000-0004-0000-0200-0000D5310000}"/>
    <hyperlink ref="C4980" r:id="rId12759" xr:uid="{00000000-0004-0000-0200-0000D6310000}"/>
    <hyperlink ref="A4981" r:id="rId12760" xr:uid="{00000000-0004-0000-0200-0000D7310000}"/>
    <hyperlink ref="B4981" r:id="rId12761" xr:uid="{00000000-0004-0000-0200-0000D8310000}"/>
    <hyperlink ref="C4981" r:id="rId12762" xr:uid="{00000000-0004-0000-0200-0000D9310000}"/>
    <hyperlink ref="A4982" r:id="rId12763" xr:uid="{00000000-0004-0000-0200-0000DA310000}"/>
    <hyperlink ref="B4982" r:id="rId12764" xr:uid="{00000000-0004-0000-0200-0000DB310000}"/>
    <hyperlink ref="C4982" r:id="rId12765" xr:uid="{00000000-0004-0000-0200-0000DC310000}"/>
    <hyperlink ref="A4983" r:id="rId12766" xr:uid="{00000000-0004-0000-0200-0000DD310000}"/>
    <hyperlink ref="B4983" r:id="rId12767" xr:uid="{00000000-0004-0000-0200-0000DE310000}"/>
    <hyperlink ref="C4983" r:id="rId12768" xr:uid="{00000000-0004-0000-0200-0000DF310000}"/>
    <hyperlink ref="A4984" r:id="rId12769" xr:uid="{00000000-0004-0000-0200-0000E0310000}"/>
    <hyperlink ref="B4984" r:id="rId12770" xr:uid="{00000000-0004-0000-0200-0000E1310000}"/>
    <hyperlink ref="C4984" r:id="rId12771" xr:uid="{00000000-0004-0000-0200-0000E2310000}"/>
    <hyperlink ref="A4985" r:id="rId12772" xr:uid="{00000000-0004-0000-0200-0000E3310000}"/>
    <hyperlink ref="B4985" r:id="rId12773" xr:uid="{00000000-0004-0000-0200-0000E4310000}"/>
    <hyperlink ref="C4985" r:id="rId12774" xr:uid="{00000000-0004-0000-0200-0000E5310000}"/>
    <hyperlink ref="A4986" r:id="rId12775" xr:uid="{00000000-0004-0000-0200-0000E6310000}"/>
    <hyperlink ref="B4986" r:id="rId12776" xr:uid="{00000000-0004-0000-0200-0000E7310000}"/>
    <hyperlink ref="C4986" r:id="rId12777" xr:uid="{00000000-0004-0000-0200-0000E8310000}"/>
    <hyperlink ref="A4987" r:id="rId12778" xr:uid="{00000000-0004-0000-0200-0000E9310000}"/>
    <hyperlink ref="B4987" r:id="rId12779" xr:uid="{00000000-0004-0000-0200-0000EA310000}"/>
    <hyperlink ref="C4987" r:id="rId12780" xr:uid="{00000000-0004-0000-0200-0000EB310000}"/>
    <hyperlink ref="A4988" r:id="rId12781" xr:uid="{00000000-0004-0000-0200-0000EC310000}"/>
    <hyperlink ref="B4988" r:id="rId12782" xr:uid="{00000000-0004-0000-0200-0000ED310000}"/>
    <hyperlink ref="C4988" r:id="rId12783" xr:uid="{00000000-0004-0000-0200-0000EE310000}"/>
    <hyperlink ref="A4989" r:id="rId12784" xr:uid="{00000000-0004-0000-0200-0000EF310000}"/>
    <hyperlink ref="B4989" r:id="rId12785" xr:uid="{00000000-0004-0000-0200-0000F0310000}"/>
    <hyperlink ref="C4989" r:id="rId12786" xr:uid="{00000000-0004-0000-0200-0000F1310000}"/>
    <hyperlink ref="A4990" r:id="rId12787" xr:uid="{00000000-0004-0000-0200-0000F2310000}"/>
    <hyperlink ref="B4990" r:id="rId12788" xr:uid="{00000000-0004-0000-0200-0000F3310000}"/>
    <hyperlink ref="C4990" r:id="rId12789" xr:uid="{00000000-0004-0000-0200-0000F4310000}"/>
    <hyperlink ref="A4991" r:id="rId12790" xr:uid="{00000000-0004-0000-0200-0000F5310000}"/>
    <hyperlink ref="B4991" r:id="rId12791" xr:uid="{00000000-0004-0000-0200-0000F6310000}"/>
    <hyperlink ref="C4991" r:id="rId12792" xr:uid="{00000000-0004-0000-0200-0000F7310000}"/>
    <hyperlink ref="A4992" r:id="rId12793" xr:uid="{00000000-0004-0000-0200-0000F8310000}"/>
    <hyperlink ref="B4992" r:id="rId12794" xr:uid="{00000000-0004-0000-0200-0000F9310000}"/>
    <hyperlink ref="C4992" r:id="rId12795" xr:uid="{00000000-0004-0000-0200-0000FA310000}"/>
    <hyperlink ref="A4993" r:id="rId12796" xr:uid="{00000000-0004-0000-0200-0000FB310000}"/>
    <hyperlink ref="B4993" r:id="rId12797" xr:uid="{00000000-0004-0000-0200-0000FC310000}"/>
    <hyperlink ref="C4993" r:id="rId12798" xr:uid="{00000000-0004-0000-0200-0000FD310000}"/>
    <hyperlink ref="A4994" r:id="rId12799" xr:uid="{00000000-0004-0000-0200-0000FE310000}"/>
    <hyperlink ref="B4994" r:id="rId12800" xr:uid="{00000000-0004-0000-0200-0000FF310000}"/>
    <hyperlink ref="C4994" r:id="rId12801" xr:uid="{00000000-0004-0000-0200-000000320000}"/>
    <hyperlink ref="A4995" r:id="rId12802" xr:uid="{00000000-0004-0000-0200-000001320000}"/>
    <hyperlink ref="B4995" r:id="rId12803" xr:uid="{00000000-0004-0000-0200-000002320000}"/>
    <hyperlink ref="C4995" r:id="rId12804" xr:uid="{00000000-0004-0000-0200-000003320000}"/>
    <hyperlink ref="A4996" r:id="rId12805" xr:uid="{00000000-0004-0000-0200-000004320000}"/>
    <hyperlink ref="B4996" r:id="rId12806" xr:uid="{00000000-0004-0000-0200-000005320000}"/>
    <hyperlink ref="C4996" r:id="rId12807" xr:uid="{00000000-0004-0000-0200-000006320000}"/>
    <hyperlink ref="A4997" r:id="rId12808" xr:uid="{00000000-0004-0000-0200-000007320000}"/>
    <hyperlink ref="B4997" r:id="rId12809" xr:uid="{00000000-0004-0000-0200-000008320000}"/>
    <hyperlink ref="C4997" r:id="rId12810" xr:uid="{00000000-0004-0000-0200-000009320000}"/>
    <hyperlink ref="A4998" r:id="rId12811" xr:uid="{00000000-0004-0000-0200-00000A320000}"/>
    <hyperlink ref="B4998" r:id="rId12812" xr:uid="{00000000-0004-0000-0200-00000B320000}"/>
    <hyperlink ref="C4998" r:id="rId12813" xr:uid="{00000000-0004-0000-0200-00000C320000}"/>
    <hyperlink ref="A4999" r:id="rId12814" xr:uid="{00000000-0004-0000-0200-00000D320000}"/>
    <hyperlink ref="B4999" r:id="rId12815" xr:uid="{00000000-0004-0000-0200-00000E320000}"/>
    <hyperlink ref="C4999" r:id="rId12816" xr:uid="{00000000-0004-0000-0200-00000F320000}"/>
    <hyperlink ref="A5000" r:id="rId12817" xr:uid="{00000000-0004-0000-0200-000010320000}"/>
    <hyperlink ref="B5000" r:id="rId12818" xr:uid="{00000000-0004-0000-0200-000011320000}"/>
    <hyperlink ref="C5000" r:id="rId12819" xr:uid="{00000000-0004-0000-0200-000012320000}"/>
    <hyperlink ref="A5001" r:id="rId12820" xr:uid="{00000000-0004-0000-0200-000013320000}"/>
    <hyperlink ref="B5001" r:id="rId12821" xr:uid="{00000000-0004-0000-0200-000014320000}"/>
    <hyperlink ref="C5001" r:id="rId12822" xr:uid="{00000000-0004-0000-0200-000015320000}"/>
    <hyperlink ref="A5002" r:id="rId12823" xr:uid="{00000000-0004-0000-0200-000016320000}"/>
    <hyperlink ref="B5002" r:id="rId12824" xr:uid="{00000000-0004-0000-0200-000017320000}"/>
    <hyperlink ref="C5002" r:id="rId12825" xr:uid="{00000000-0004-0000-0200-000018320000}"/>
    <hyperlink ref="A5003" r:id="rId12826" xr:uid="{00000000-0004-0000-0200-000019320000}"/>
    <hyperlink ref="B5003" r:id="rId12827" xr:uid="{00000000-0004-0000-0200-00001A320000}"/>
    <hyperlink ref="C5003" r:id="rId12828" xr:uid="{00000000-0004-0000-0200-00001B320000}"/>
    <hyperlink ref="A5004" r:id="rId12829" xr:uid="{00000000-0004-0000-0200-00001C320000}"/>
    <hyperlink ref="B5004" r:id="rId12830" xr:uid="{00000000-0004-0000-0200-00001D320000}"/>
    <hyperlink ref="C5004" r:id="rId12831" xr:uid="{00000000-0004-0000-0200-00001E320000}"/>
    <hyperlink ref="A5005" r:id="rId12832" xr:uid="{00000000-0004-0000-0200-00001F320000}"/>
    <hyperlink ref="B5005" r:id="rId12833" xr:uid="{00000000-0004-0000-0200-000020320000}"/>
    <hyperlink ref="C5005" r:id="rId12834" xr:uid="{00000000-0004-0000-0200-000021320000}"/>
    <hyperlink ref="A5006" r:id="rId12835" xr:uid="{00000000-0004-0000-0200-000022320000}"/>
    <hyperlink ref="B5006" r:id="rId12836" xr:uid="{00000000-0004-0000-0200-000023320000}"/>
    <hyperlink ref="C5006" r:id="rId12837" xr:uid="{00000000-0004-0000-0200-000024320000}"/>
    <hyperlink ref="A5007" r:id="rId12838" xr:uid="{00000000-0004-0000-0200-000025320000}"/>
    <hyperlink ref="B5007" r:id="rId12839" xr:uid="{00000000-0004-0000-0200-000026320000}"/>
    <hyperlink ref="C5007" r:id="rId12840" xr:uid="{00000000-0004-0000-0200-000027320000}"/>
    <hyperlink ref="A5008" r:id="rId12841" xr:uid="{00000000-0004-0000-0200-000028320000}"/>
    <hyperlink ref="B5008" r:id="rId12842" xr:uid="{00000000-0004-0000-0200-000029320000}"/>
    <hyperlink ref="C5008" r:id="rId12843" xr:uid="{00000000-0004-0000-0200-00002A320000}"/>
    <hyperlink ref="A5009" r:id="rId12844" xr:uid="{00000000-0004-0000-0200-00002B320000}"/>
    <hyperlink ref="B5009" r:id="rId12845" xr:uid="{00000000-0004-0000-0200-00002C320000}"/>
    <hyperlink ref="C5009" r:id="rId12846" xr:uid="{00000000-0004-0000-0200-00002D320000}"/>
    <hyperlink ref="A5010" r:id="rId12847" xr:uid="{00000000-0004-0000-0200-00002E320000}"/>
    <hyperlink ref="B5010" r:id="rId12848" xr:uid="{00000000-0004-0000-0200-00002F320000}"/>
    <hyperlink ref="C5010" r:id="rId12849" xr:uid="{00000000-0004-0000-0200-000030320000}"/>
    <hyperlink ref="A5011" r:id="rId12850" xr:uid="{00000000-0004-0000-0200-000031320000}"/>
    <hyperlink ref="B5011" r:id="rId12851" xr:uid="{00000000-0004-0000-0200-000032320000}"/>
    <hyperlink ref="C5011" r:id="rId12852" xr:uid="{00000000-0004-0000-0200-000033320000}"/>
    <hyperlink ref="A5012" r:id="rId12853" xr:uid="{00000000-0004-0000-0200-000034320000}"/>
    <hyperlink ref="B5012" r:id="rId12854" xr:uid="{00000000-0004-0000-0200-000035320000}"/>
    <hyperlink ref="C5012" r:id="rId12855" xr:uid="{00000000-0004-0000-0200-000036320000}"/>
    <hyperlink ref="A5013" r:id="rId12856" xr:uid="{00000000-0004-0000-0200-000037320000}"/>
    <hyperlink ref="B5013" r:id="rId12857" xr:uid="{00000000-0004-0000-0200-000038320000}"/>
    <hyperlink ref="C5013" r:id="rId12858" xr:uid="{00000000-0004-0000-0200-000039320000}"/>
    <hyperlink ref="A5014" r:id="rId12859" xr:uid="{00000000-0004-0000-0200-00003A320000}"/>
    <hyperlink ref="B5014" r:id="rId12860" xr:uid="{00000000-0004-0000-0200-00003B320000}"/>
    <hyperlink ref="C5014" r:id="rId12861" xr:uid="{00000000-0004-0000-0200-00003C320000}"/>
    <hyperlink ref="A5015" r:id="rId12862" xr:uid="{00000000-0004-0000-0200-00003D320000}"/>
    <hyperlink ref="B5015" r:id="rId12863" xr:uid="{00000000-0004-0000-0200-00003E320000}"/>
    <hyperlink ref="C5015" r:id="rId12864" xr:uid="{00000000-0004-0000-0200-00003F320000}"/>
    <hyperlink ref="A5016" r:id="rId12865" xr:uid="{00000000-0004-0000-0200-000040320000}"/>
    <hyperlink ref="B5016" r:id="rId12866" xr:uid="{00000000-0004-0000-0200-000041320000}"/>
    <hyperlink ref="C5016" r:id="rId12867" xr:uid="{00000000-0004-0000-0200-000042320000}"/>
    <hyperlink ref="A5017" r:id="rId12868" xr:uid="{00000000-0004-0000-0200-000043320000}"/>
    <hyperlink ref="B5017" r:id="rId12869" xr:uid="{00000000-0004-0000-0200-000044320000}"/>
    <hyperlink ref="C5017" r:id="rId12870" xr:uid="{00000000-0004-0000-0200-000045320000}"/>
    <hyperlink ref="A5018" r:id="rId12871" xr:uid="{00000000-0004-0000-0200-000046320000}"/>
    <hyperlink ref="B5018" r:id="rId12872" xr:uid="{00000000-0004-0000-0200-000047320000}"/>
    <hyperlink ref="C5018" r:id="rId12873" xr:uid="{00000000-0004-0000-0200-000048320000}"/>
    <hyperlink ref="A5019" r:id="rId12874" xr:uid="{00000000-0004-0000-0200-000049320000}"/>
    <hyperlink ref="B5019" r:id="rId12875" xr:uid="{00000000-0004-0000-0200-00004A320000}"/>
    <hyperlink ref="C5019" r:id="rId12876" xr:uid="{00000000-0004-0000-0200-00004B320000}"/>
    <hyperlink ref="A5020" r:id="rId12877" xr:uid="{00000000-0004-0000-0200-00004C320000}"/>
    <hyperlink ref="B5020" r:id="rId12878" xr:uid="{00000000-0004-0000-0200-00004D320000}"/>
    <hyperlink ref="C5020" r:id="rId12879" xr:uid="{00000000-0004-0000-0200-00004E320000}"/>
    <hyperlink ref="A5021" r:id="rId12880" xr:uid="{00000000-0004-0000-0200-00004F320000}"/>
    <hyperlink ref="B5021" r:id="rId12881" xr:uid="{00000000-0004-0000-0200-000050320000}"/>
    <hyperlink ref="C5021" r:id="rId12882" xr:uid="{00000000-0004-0000-0200-000051320000}"/>
    <hyperlink ref="A5022" r:id="rId12883" xr:uid="{00000000-0004-0000-0200-000052320000}"/>
    <hyperlink ref="B5022" r:id="rId12884" xr:uid="{00000000-0004-0000-0200-000053320000}"/>
    <hyperlink ref="C5022" r:id="rId12885" xr:uid="{00000000-0004-0000-0200-000054320000}"/>
    <hyperlink ref="A5023" r:id="rId12886" xr:uid="{00000000-0004-0000-0200-000055320000}"/>
    <hyperlink ref="B5023" r:id="rId12887" xr:uid="{00000000-0004-0000-0200-000056320000}"/>
    <hyperlink ref="C5023" r:id="rId12888" xr:uid="{00000000-0004-0000-0200-000057320000}"/>
    <hyperlink ref="A5024" r:id="rId12889" xr:uid="{00000000-0004-0000-0200-000058320000}"/>
    <hyperlink ref="B5024" r:id="rId12890" xr:uid="{00000000-0004-0000-0200-000059320000}"/>
    <hyperlink ref="C5024" r:id="rId12891" xr:uid="{00000000-0004-0000-0200-00005A320000}"/>
    <hyperlink ref="A5025" r:id="rId12892" xr:uid="{00000000-0004-0000-0200-00005B320000}"/>
    <hyperlink ref="B5025" r:id="rId12893" xr:uid="{00000000-0004-0000-0200-00005C320000}"/>
    <hyperlink ref="C5025" r:id="rId12894" xr:uid="{00000000-0004-0000-0200-00005D320000}"/>
    <hyperlink ref="A5026" r:id="rId12895" xr:uid="{00000000-0004-0000-0200-00005E320000}"/>
    <hyperlink ref="B5026" r:id="rId12896" xr:uid="{00000000-0004-0000-0200-00005F320000}"/>
    <hyperlink ref="C5026" r:id="rId12897" xr:uid="{00000000-0004-0000-0200-000060320000}"/>
    <hyperlink ref="A5027" r:id="rId12898" xr:uid="{00000000-0004-0000-0200-000061320000}"/>
    <hyperlink ref="B5027" r:id="rId12899" xr:uid="{00000000-0004-0000-0200-000062320000}"/>
    <hyperlink ref="C5027" r:id="rId12900" xr:uid="{00000000-0004-0000-0200-000063320000}"/>
    <hyperlink ref="A5028" r:id="rId12901" xr:uid="{00000000-0004-0000-0200-000064320000}"/>
    <hyperlink ref="B5028" r:id="rId12902" xr:uid="{00000000-0004-0000-0200-000065320000}"/>
    <hyperlink ref="C5028" r:id="rId12903" xr:uid="{00000000-0004-0000-0200-000066320000}"/>
    <hyperlink ref="A5029" r:id="rId12904" xr:uid="{00000000-0004-0000-0200-000067320000}"/>
    <hyperlink ref="B5029" r:id="rId12905" xr:uid="{00000000-0004-0000-0200-000068320000}"/>
    <hyperlink ref="C5029" r:id="rId12906" xr:uid="{00000000-0004-0000-0200-000069320000}"/>
    <hyperlink ref="A5030" r:id="rId12907" xr:uid="{00000000-0004-0000-0200-00006A320000}"/>
    <hyperlink ref="B5030" r:id="rId12908" xr:uid="{00000000-0004-0000-0200-00006B320000}"/>
    <hyperlink ref="C5030" r:id="rId12909" xr:uid="{00000000-0004-0000-0200-00006C320000}"/>
    <hyperlink ref="A5031" r:id="rId12910" xr:uid="{00000000-0004-0000-0200-00006D320000}"/>
    <hyperlink ref="B5031" r:id="rId12911" xr:uid="{00000000-0004-0000-0200-00006E320000}"/>
    <hyperlink ref="C5031" r:id="rId12912" xr:uid="{00000000-0004-0000-0200-00006F320000}"/>
    <hyperlink ref="A5032" r:id="rId12913" xr:uid="{00000000-0004-0000-0200-000070320000}"/>
    <hyperlink ref="B5032" r:id="rId12914" xr:uid="{00000000-0004-0000-0200-000071320000}"/>
    <hyperlink ref="C5032" r:id="rId12915" xr:uid="{00000000-0004-0000-0200-000072320000}"/>
    <hyperlink ref="A5033" r:id="rId12916" xr:uid="{00000000-0004-0000-0200-000073320000}"/>
    <hyperlink ref="B5033" r:id="rId12917" xr:uid="{00000000-0004-0000-0200-000074320000}"/>
    <hyperlink ref="C5033" r:id="rId12918" xr:uid="{00000000-0004-0000-0200-000075320000}"/>
    <hyperlink ref="A5034" r:id="rId12919" xr:uid="{00000000-0004-0000-0200-000076320000}"/>
    <hyperlink ref="B5034" r:id="rId12920" xr:uid="{00000000-0004-0000-0200-000077320000}"/>
    <hyperlink ref="C5034" r:id="rId12921" xr:uid="{00000000-0004-0000-0200-000078320000}"/>
    <hyperlink ref="A5035" r:id="rId12922" xr:uid="{00000000-0004-0000-0200-000079320000}"/>
    <hyperlink ref="B5035" r:id="rId12923" xr:uid="{00000000-0004-0000-0200-00007A320000}"/>
    <hyperlink ref="C5035" r:id="rId12924" xr:uid="{00000000-0004-0000-0200-00007B320000}"/>
    <hyperlink ref="A5036" r:id="rId12925" xr:uid="{00000000-0004-0000-0200-00007C320000}"/>
    <hyperlink ref="B5036" r:id="rId12926" xr:uid="{00000000-0004-0000-0200-00007D320000}"/>
    <hyperlink ref="C5036" r:id="rId12927" xr:uid="{00000000-0004-0000-0200-00007E320000}"/>
    <hyperlink ref="A5037" r:id="rId12928" xr:uid="{00000000-0004-0000-0200-00007F320000}"/>
    <hyperlink ref="B5037" r:id="rId12929" xr:uid="{00000000-0004-0000-0200-000080320000}"/>
    <hyperlink ref="C5037" r:id="rId12930" xr:uid="{00000000-0004-0000-0200-000081320000}"/>
    <hyperlink ref="A5038" r:id="rId12931" xr:uid="{00000000-0004-0000-0200-000082320000}"/>
    <hyperlink ref="B5038" r:id="rId12932" xr:uid="{00000000-0004-0000-0200-000083320000}"/>
    <hyperlink ref="C5038" r:id="rId12933" xr:uid="{00000000-0004-0000-0200-000084320000}"/>
    <hyperlink ref="A5039" r:id="rId12934" xr:uid="{00000000-0004-0000-0200-000085320000}"/>
    <hyperlink ref="B5039" r:id="rId12935" xr:uid="{00000000-0004-0000-0200-000086320000}"/>
    <hyperlink ref="C5039" r:id="rId12936" xr:uid="{00000000-0004-0000-0200-000087320000}"/>
    <hyperlink ref="A5040" r:id="rId12937" xr:uid="{00000000-0004-0000-0200-000088320000}"/>
    <hyperlink ref="B5040" r:id="rId12938" xr:uid="{00000000-0004-0000-0200-000089320000}"/>
    <hyperlink ref="C5040" r:id="rId12939" xr:uid="{00000000-0004-0000-0200-00008A320000}"/>
    <hyperlink ref="A5041" r:id="rId12940" xr:uid="{00000000-0004-0000-0200-00008B320000}"/>
    <hyperlink ref="B5041" r:id="rId12941" xr:uid="{00000000-0004-0000-0200-00008C320000}"/>
    <hyperlink ref="C5041" r:id="rId12942" xr:uid="{00000000-0004-0000-0200-00008D320000}"/>
    <hyperlink ref="A5042" r:id="rId12943" xr:uid="{00000000-0004-0000-0200-00008E320000}"/>
    <hyperlink ref="B5042" r:id="rId12944" xr:uid="{00000000-0004-0000-0200-00008F320000}"/>
    <hyperlink ref="C5042" r:id="rId12945" xr:uid="{00000000-0004-0000-0200-000090320000}"/>
    <hyperlink ref="A5043" r:id="rId12946" xr:uid="{00000000-0004-0000-0200-000091320000}"/>
    <hyperlink ref="B5043" r:id="rId12947" xr:uid="{00000000-0004-0000-0200-000092320000}"/>
    <hyperlink ref="C5043" r:id="rId12948" xr:uid="{00000000-0004-0000-0200-000093320000}"/>
    <hyperlink ref="A5044" r:id="rId12949" xr:uid="{00000000-0004-0000-0200-000094320000}"/>
    <hyperlink ref="B5044" r:id="rId12950" xr:uid="{00000000-0004-0000-0200-000095320000}"/>
    <hyperlink ref="C5044" r:id="rId12951" xr:uid="{00000000-0004-0000-0200-000096320000}"/>
    <hyperlink ref="A5045" r:id="rId12952" xr:uid="{00000000-0004-0000-0200-000097320000}"/>
    <hyperlink ref="B5045" r:id="rId12953" xr:uid="{00000000-0004-0000-0200-000098320000}"/>
    <hyperlink ref="C5045" r:id="rId12954" xr:uid="{00000000-0004-0000-0200-000099320000}"/>
    <hyperlink ref="A5046" r:id="rId12955" xr:uid="{00000000-0004-0000-0200-00009A320000}"/>
    <hyperlink ref="B5046" r:id="rId12956" xr:uid="{00000000-0004-0000-0200-00009B320000}"/>
    <hyperlink ref="C5046" r:id="rId12957" xr:uid="{00000000-0004-0000-0200-00009C320000}"/>
    <hyperlink ref="A5047" r:id="rId12958" xr:uid="{00000000-0004-0000-0200-00009D320000}"/>
    <hyperlink ref="B5047" r:id="rId12959" xr:uid="{00000000-0004-0000-0200-00009E320000}"/>
    <hyperlink ref="C5047" r:id="rId12960" xr:uid="{00000000-0004-0000-0200-00009F320000}"/>
    <hyperlink ref="A5048" r:id="rId12961" xr:uid="{00000000-0004-0000-0200-0000A0320000}"/>
    <hyperlink ref="B5048" r:id="rId12962" xr:uid="{00000000-0004-0000-0200-0000A1320000}"/>
    <hyperlink ref="C5048" r:id="rId12963" xr:uid="{00000000-0004-0000-0200-0000A2320000}"/>
    <hyperlink ref="A5049" r:id="rId12964" xr:uid="{00000000-0004-0000-0200-0000A3320000}"/>
    <hyperlink ref="B5049" r:id="rId12965" xr:uid="{00000000-0004-0000-0200-0000A4320000}"/>
    <hyperlink ref="C5049" r:id="rId12966" xr:uid="{00000000-0004-0000-0200-0000A5320000}"/>
    <hyperlink ref="A5050" r:id="rId12967" xr:uid="{00000000-0004-0000-0200-0000A6320000}"/>
    <hyperlink ref="B5050" r:id="rId12968" xr:uid="{00000000-0004-0000-0200-0000A7320000}"/>
    <hyperlink ref="C5050" r:id="rId12969" xr:uid="{00000000-0004-0000-0200-0000A8320000}"/>
    <hyperlink ref="A5051" r:id="rId12970" xr:uid="{00000000-0004-0000-0200-0000A9320000}"/>
    <hyperlink ref="B5051" r:id="rId12971" xr:uid="{00000000-0004-0000-0200-0000AA320000}"/>
    <hyperlink ref="C5051" r:id="rId12972" xr:uid="{00000000-0004-0000-0200-0000AB320000}"/>
    <hyperlink ref="A5052" r:id="rId12973" xr:uid="{00000000-0004-0000-0200-0000AC320000}"/>
    <hyperlink ref="B5052" r:id="rId12974" xr:uid="{00000000-0004-0000-0200-0000AD320000}"/>
    <hyperlink ref="C5052" r:id="rId12975" xr:uid="{00000000-0004-0000-0200-0000AE320000}"/>
    <hyperlink ref="A5053" r:id="rId12976" xr:uid="{00000000-0004-0000-0200-0000AF320000}"/>
    <hyperlink ref="B5053" r:id="rId12977" xr:uid="{00000000-0004-0000-0200-0000B0320000}"/>
    <hyperlink ref="C5053" r:id="rId12978" xr:uid="{00000000-0004-0000-0200-0000B1320000}"/>
    <hyperlink ref="A5054" r:id="rId12979" xr:uid="{00000000-0004-0000-0200-0000B2320000}"/>
    <hyperlink ref="B5054" r:id="rId12980" xr:uid="{00000000-0004-0000-0200-0000B3320000}"/>
    <hyperlink ref="C5054" r:id="rId12981" xr:uid="{00000000-0004-0000-0200-0000B4320000}"/>
    <hyperlink ref="A5055" r:id="rId12982" xr:uid="{00000000-0004-0000-0200-0000B5320000}"/>
    <hyperlink ref="B5055" r:id="rId12983" xr:uid="{00000000-0004-0000-0200-0000B6320000}"/>
    <hyperlink ref="C5055" r:id="rId12984" xr:uid="{00000000-0004-0000-0200-0000B7320000}"/>
    <hyperlink ref="A5056" r:id="rId12985" xr:uid="{00000000-0004-0000-0200-0000B8320000}"/>
    <hyperlink ref="B5056" r:id="rId12986" xr:uid="{00000000-0004-0000-0200-0000B9320000}"/>
    <hyperlink ref="C5056" r:id="rId12987" xr:uid="{00000000-0004-0000-0200-0000BA320000}"/>
    <hyperlink ref="A5057" r:id="rId12988" xr:uid="{00000000-0004-0000-0200-0000BB320000}"/>
    <hyperlink ref="B5057" r:id="rId12989" xr:uid="{00000000-0004-0000-0200-0000BC320000}"/>
    <hyperlink ref="C5057" r:id="rId12990" xr:uid="{00000000-0004-0000-0200-0000BD320000}"/>
    <hyperlink ref="A5058" r:id="rId12991" xr:uid="{00000000-0004-0000-0200-0000BE320000}"/>
    <hyperlink ref="B5058" r:id="rId12992" xr:uid="{00000000-0004-0000-0200-0000BF320000}"/>
    <hyperlink ref="C5058" r:id="rId12993" xr:uid="{00000000-0004-0000-0200-0000C0320000}"/>
    <hyperlink ref="A5059" r:id="rId12994" xr:uid="{00000000-0004-0000-0200-0000C1320000}"/>
    <hyperlink ref="B5059" r:id="rId12995" xr:uid="{00000000-0004-0000-0200-0000C2320000}"/>
    <hyperlink ref="C5059" r:id="rId12996" xr:uid="{00000000-0004-0000-0200-0000C3320000}"/>
    <hyperlink ref="A5060" r:id="rId12997" xr:uid="{00000000-0004-0000-0200-0000C4320000}"/>
    <hyperlink ref="B5060" r:id="rId12998" xr:uid="{00000000-0004-0000-0200-0000C5320000}"/>
    <hyperlink ref="C5060" r:id="rId12999" xr:uid="{00000000-0004-0000-0200-0000C6320000}"/>
    <hyperlink ref="A5061" r:id="rId13000" xr:uid="{00000000-0004-0000-0200-0000C7320000}"/>
    <hyperlink ref="B5061" r:id="rId13001" xr:uid="{00000000-0004-0000-0200-0000C8320000}"/>
    <hyperlink ref="C5061" r:id="rId13002" xr:uid="{00000000-0004-0000-0200-0000C9320000}"/>
    <hyperlink ref="A5062" r:id="rId13003" xr:uid="{00000000-0004-0000-0200-0000CA320000}"/>
    <hyperlink ref="B5062" r:id="rId13004" xr:uid="{00000000-0004-0000-0200-0000CB320000}"/>
    <hyperlink ref="C5062" r:id="rId13005" xr:uid="{00000000-0004-0000-0200-0000CC320000}"/>
    <hyperlink ref="A5063" r:id="rId13006" xr:uid="{00000000-0004-0000-0200-0000CD320000}"/>
    <hyperlink ref="B5063" r:id="rId13007" xr:uid="{00000000-0004-0000-0200-0000CE320000}"/>
    <hyperlink ref="C5063" r:id="rId13008" xr:uid="{00000000-0004-0000-0200-0000CF320000}"/>
    <hyperlink ref="A5064" r:id="rId13009" xr:uid="{00000000-0004-0000-0200-0000D0320000}"/>
    <hyperlink ref="B5064" r:id="rId13010" xr:uid="{00000000-0004-0000-0200-0000D1320000}"/>
    <hyperlink ref="C5064" r:id="rId13011" xr:uid="{00000000-0004-0000-0200-0000D2320000}"/>
    <hyperlink ref="A5065" r:id="rId13012" xr:uid="{00000000-0004-0000-0200-0000D3320000}"/>
    <hyperlink ref="B5065" r:id="rId13013" xr:uid="{00000000-0004-0000-0200-0000D4320000}"/>
    <hyperlink ref="C5065" r:id="rId13014" xr:uid="{00000000-0004-0000-0200-0000D5320000}"/>
    <hyperlink ref="A5066" r:id="rId13015" xr:uid="{00000000-0004-0000-0200-0000D6320000}"/>
    <hyperlink ref="B5066" r:id="rId13016" xr:uid="{00000000-0004-0000-0200-0000D7320000}"/>
    <hyperlink ref="C5066" r:id="rId13017" xr:uid="{00000000-0004-0000-0200-0000D8320000}"/>
    <hyperlink ref="A5067" r:id="rId13018" xr:uid="{00000000-0004-0000-0200-0000D9320000}"/>
    <hyperlink ref="B5067" r:id="rId13019" xr:uid="{00000000-0004-0000-0200-0000DA320000}"/>
    <hyperlink ref="C5067" r:id="rId13020" xr:uid="{00000000-0004-0000-0200-0000DB320000}"/>
    <hyperlink ref="A5068" r:id="rId13021" xr:uid="{00000000-0004-0000-0200-0000DC320000}"/>
    <hyperlink ref="B5068" r:id="rId13022" xr:uid="{00000000-0004-0000-0200-0000DD320000}"/>
    <hyperlink ref="C5068" r:id="rId13023" xr:uid="{00000000-0004-0000-0200-0000DE320000}"/>
    <hyperlink ref="A5069" r:id="rId13024" xr:uid="{00000000-0004-0000-0200-0000DF320000}"/>
    <hyperlink ref="B5069" r:id="rId13025" xr:uid="{00000000-0004-0000-0200-0000E0320000}"/>
    <hyperlink ref="C5069" r:id="rId13026" xr:uid="{00000000-0004-0000-0200-0000E1320000}"/>
    <hyperlink ref="A5070" r:id="rId13027" xr:uid="{00000000-0004-0000-0200-0000E2320000}"/>
    <hyperlink ref="B5070" r:id="rId13028" xr:uid="{00000000-0004-0000-0200-0000E3320000}"/>
    <hyperlink ref="C5070" r:id="rId13029" xr:uid="{00000000-0004-0000-0200-0000E4320000}"/>
    <hyperlink ref="A5071" r:id="rId13030" xr:uid="{00000000-0004-0000-0200-0000E5320000}"/>
    <hyperlink ref="B5071" r:id="rId13031" xr:uid="{00000000-0004-0000-0200-0000E6320000}"/>
    <hyperlink ref="C5071" r:id="rId13032" xr:uid="{00000000-0004-0000-0200-0000E7320000}"/>
    <hyperlink ref="A5072" r:id="rId13033" xr:uid="{00000000-0004-0000-0200-0000E8320000}"/>
    <hyperlink ref="B5072" r:id="rId13034" xr:uid="{00000000-0004-0000-0200-0000E9320000}"/>
    <hyperlink ref="C5072" r:id="rId13035" xr:uid="{00000000-0004-0000-0200-0000EA320000}"/>
    <hyperlink ref="A5073" r:id="rId13036" xr:uid="{00000000-0004-0000-0200-0000EB320000}"/>
    <hyperlink ref="B5073" r:id="rId13037" xr:uid="{00000000-0004-0000-0200-0000EC320000}"/>
    <hyperlink ref="C5073" r:id="rId13038" xr:uid="{00000000-0004-0000-0200-0000ED320000}"/>
    <hyperlink ref="A5074" r:id="rId13039" xr:uid="{00000000-0004-0000-0200-0000EE320000}"/>
    <hyperlink ref="B5074" r:id="rId13040" xr:uid="{00000000-0004-0000-0200-0000EF320000}"/>
    <hyperlink ref="C5074" r:id="rId13041" xr:uid="{00000000-0004-0000-0200-0000F0320000}"/>
    <hyperlink ref="A5075" r:id="rId13042" xr:uid="{00000000-0004-0000-0200-0000F1320000}"/>
    <hyperlink ref="B5075" r:id="rId13043" xr:uid="{00000000-0004-0000-0200-0000F2320000}"/>
    <hyperlink ref="C5075" r:id="rId13044" xr:uid="{00000000-0004-0000-0200-0000F3320000}"/>
    <hyperlink ref="A5076" r:id="rId13045" xr:uid="{00000000-0004-0000-0200-0000F4320000}"/>
    <hyperlink ref="B5076" r:id="rId13046" xr:uid="{00000000-0004-0000-0200-0000F5320000}"/>
    <hyperlink ref="C5076" r:id="rId13047" xr:uid="{00000000-0004-0000-0200-0000F6320000}"/>
    <hyperlink ref="A5077" r:id="rId13048" xr:uid="{00000000-0004-0000-0200-0000F7320000}"/>
    <hyperlink ref="B5077" r:id="rId13049" xr:uid="{00000000-0004-0000-0200-0000F8320000}"/>
    <hyperlink ref="C5077" r:id="rId13050" xr:uid="{00000000-0004-0000-0200-0000F9320000}"/>
    <hyperlink ref="A5078" r:id="rId13051" xr:uid="{00000000-0004-0000-0200-0000FA320000}"/>
    <hyperlink ref="B5078" r:id="rId13052" xr:uid="{00000000-0004-0000-0200-0000FB320000}"/>
    <hyperlink ref="C5078" r:id="rId13053" xr:uid="{00000000-0004-0000-0200-0000FC320000}"/>
    <hyperlink ref="A5079" r:id="rId13054" xr:uid="{00000000-0004-0000-0200-0000FD320000}"/>
    <hyperlink ref="B5079" r:id="rId13055" xr:uid="{00000000-0004-0000-0200-0000FE320000}"/>
    <hyperlink ref="C5079" r:id="rId13056" xr:uid="{00000000-0004-0000-0200-0000FF320000}"/>
    <hyperlink ref="A5080" r:id="rId13057" xr:uid="{00000000-0004-0000-0200-000000330000}"/>
    <hyperlink ref="B5080" r:id="rId13058" xr:uid="{00000000-0004-0000-0200-000001330000}"/>
    <hyperlink ref="C5080" r:id="rId13059" xr:uid="{00000000-0004-0000-0200-000002330000}"/>
    <hyperlink ref="A5081" r:id="rId13060" xr:uid="{00000000-0004-0000-0200-000003330000}"/>
    <hyperlink ref="B5081" r:id="rId13061" xr:uid="{00000000-0004-0000-0200-000004330000}"/>
    <hyperlink ref="C5081" r:id="rId13062" xr:uid="{00000000-0004-0000-0200-000005330000}"/>
    <hyperlink ref="A5082" r:id="rId13063" xr:uid="{00000000-0004-0000-0200-000006330000}"/>
    <hyperlink ref="B5082" r:id="rId13064" xr:uid="{00000000-0004-0000-0200-000007330000}"/>
    <hyperlink ref="C5082" r:id="rId13065" xr:uid="{00000000-0004-0000-0200-000008330000}"/>
    <hyperlink ref="A5083" r:id="rId13066" xr:uid="{00000000-0004-0000-0200-000009330000}"/>
    <hyperlink ref="B5083" r:id="rId13067" xr:uid="{00000000-0004-0000-0200-00000A330000}"/>
    <hyperlink ref="C5083" r:id="rId13068" xr:uid="{00000000-0004-0000-0200-00000B330000}"/>
    <hyperlink ref="A5084" r:id="rId13069" xr:uid="{00000000-0004-0000-0200-00000C330000}"/>
    <hyperlink ref="B5084" r:id="rId13070" xr:uid="{00000000-0004-0000-0200-00000D330000}"/>
    <hyperlink ref="C5084" r:id="rId13071" xr:uid="{00000000-0004-0000-0200-00000E330000}"/>
    <hyperlink ref="A5085" r:id="rId13072" xr:uid="{00000000-0004-0000-0200-00000F330000}"/>
    <hyperlink ref="B5085" r:id="rId13073" xr:uid="{00000000-0004-0000-0200-000010330000}"/>
    <hyperlink ref="C5085" r:id="rId13074" xr:uid="{00000000-0004-0000-0200-000011330000}"/>
    <hyperlink ref="A5086" r:id="rId13075" xr:uid="{00000000-0004-0000-0200-000012330000}"/>
    <hyperlink ref="B5086" r:id="rId13076" xr:uid="{00000000-0004-0000-0200-000013330000}"/>
    <hyperlink ref="C5086" r:id="rId13077" xr:uid="{00000000-0004-0000-0200-000014330000}"/>
    <hyperlink ref="A5087" r:id="rId13078" xr:uid="{00000000-0004-0000-0200-000015330000}"/>
    <hyperlink ref="B5087" r:id="rId13079" xr:uid="{00000000-0004-0000-0200-000016330000}"/>
    <hyperlink ref="C5087" r:id="rId13080" xr:uid="{00000000-0004-0000-0200-000017330000}"/>
    <hyperlink ref="A5088" r:id="rId13081" xr:uid="{00000000-0004-0000-0200-000018330000}"/>
    <hyperlink ref="B5088" r:id="rId13082" xr:uid="{00000000-0004-0000-0200-000019330000}"/>
    <hyperlink ref="C5088" r:id="rId13083" xr:uid="{00000000-0004-0000-0200-00001A330000}"/>
    <hyperlink ref="A5089" r:id="rId13084" xr:uid="{00000000-0004-0000-0200-00001B330000}"/>
    <hyperlink ref="B5089" r:id="rId13085" xr:uid="{00000000-0004-0000-0200-00001C330000}"/>
    <hyperlink ref="C5089" r:id="rId13086" xr:uid="{00000000-0004-0000-0200-00001D330000}"/>
    <hyperlink ref="A5090" r:id="rId13087" xr:uid="{00000000-0004-0000-0200-00001E330000}"/>
    <hyperlink ref="B5090" r:id="rId13088" xr:uid="{00000000-0004-0000-0200-00001F330000}"/>
    <hyperlink ref="C5090" r:id="rId13089" xr:uid="{00000000-0004-0000-0200-000020330000}"/>
    <hyperlink ref="A5091" r:id="rId13090" xr:uid="{00000000-0004-0000-0200-000021330000}"/>
    <hyperlink ref="B5091" r:id="rId13091" xr:uid="{00000000-0004-0000-0200-000022330000}"/>
    <hyperlink ref="C5091" r:id="rId13092" xr:uid="{00000000-0004-0000-0200-000023330000}"/>
    <hyperlink ref="A5092" r:id="rId13093" xr:uid="{00000000-0004-0000-0200-000024330000}"/>
    <hyperlink ref="B5092" r:id="rId13094" xr:uid="{00000000-0004-0000-0200-000025330000}"/>
    <hyperlink ref="C5092" r:id="rId13095" xr:uid="{00000000-0004-0000-0200-000026330000}"/>
    <hyperlink ref="A5093" r:id="rId13096" xr:uid="{00000000-0004-0000-0200-000027330000}"/>
    <hyperlink ref="B5093" r:id="rId13097" xr:uid="{00000000-0004-0000-0200-000028330000}"/>
    <hyperlink ref="C5093" r:id="rId13098" xr:uid="{00000000-0004-0000-0200-000029330000}"/>
    <hyperlink ref="A5094" r:id="rId13099" xr:uid="{00000000-0004-0000-0200-00002A330000}"/>
    <hyperlink ref="B5094" r:id="rId13100" xr:uid="{00000000-0004-0000-0200-00002B330000}"/>
    <hyperlink ref="C5094" r:id="rId13101" xr:uid="{00000000-0004-0000-0200-00002C330000}"/>
    <hyperlink ref="A5095" r:id="rId13102" xr:uid="{00000000-0004-0000-0200-00002D330000}"/>
    <hyperlink ref="B5095" r:id="rId13103" xr:uid="{00000000-0004-0000-0200-00002E330000}"/>
    <hyperlink ref="C5095" r:id="rId13104" xr:uid="{00000000-0004-0000-0200-00002F330000}"/>
    <hyperlink ref="A5096" r:id="rId13105" xr:uid="{00000000-0004-0000-0200-000030330000}"/>
    <hyperlink ref="B5096" r:id="rId13106" xr:uid="{00000000-0004-0000-0200-000031330000}"/>
    <hyperlink ref="C5096" r:id="rId13107" xr:uid="{00000000-0004-0000-0200-000032330000}"/>
    <hyperlink ref="A5097" r:id="rId13108" xr:uid="{00000000-0004-0000-0200-000033330000}"/>
    <hyperlink ref="B5097" r:id="rId13109" xr:uid="{00000000-0004-0000-0200-000034330000}"/>
    <hyperlink ref="C5097" r:id="rId13110" xr:uid="{00000000-0004-0000-0200-000035330000}"/>
    <hyperlink ref="A5098" r:id="rId13111" xr:uid="{00000000-0004-0000-0200-000036330000}"/>
    <hyperlink ref="B5098" r:id="rId13112" xr:uid="{00000000-0004-0000-0200-000037330000}"/>
    <hyperlink ref="C5098" r:id="rId13113" xr:uid="{00000000-0004-0000-0200-000038330000}"/>
    <hyperlink ref="A5099" r:id="rId13114" xr:uid="{00000000-0004-0000-0200-000039330000}"/>
    <hyperlink ref="B5099" r:id="rId13115" xr:uid="{00000000-0004-0000-0200-00003A330000}"/>
    <hyperlink ref="C5099" r:id="rId13116" xr:uid="{00000000-0004-0000-0200-00003B330000}"/>
    <hyperlink ref="A5100" r:id="rId13117" xr:uid="{00000000-0004-0000-0200-00003C330000}"/>
    <hyperlink ref="B5100" r:id="rId13118" xr:uid="{00000000-0004-0000-0200-00003D330000}"/>
    <hyperlink ref="C5100" r:id="rId13119" xr:uid="{00000000-0004-0000-0200-00003E330000}"/>
    <hyperlink ref="A5101" r:id="rId13120" xr:uid="{00000000-0004-0000-0200-00003F330000}"/>
    <hyperlink ref="B5101" r:id="rId13121" xr:uid="{00000000-0004-0000-0200-000040330000}"/>
    <hyperlink ref="C5101" r:id="rId13122" xr:uid="{00000000-0004-0000-0200-000041330000}"/>
    <hyperlink ref="A5102" r:id="rId13123" xr:uid="{00000000-0004-0000-0200-000042330000}"/>
    <hyperlink ref="B5102" r:id="rId13124" xr:uid="{00000000-0004-0000-0200-000043330000}"/>
    <hyperlink ref="C5102" r:id="rId13125" xr:uid="{00000000-0004-0000-0200-000044330000}"/>
    <hyperlink ref="A5103" r:id="rId13126" xr:uid="{00000000-0004-0000-0200-000045330000}"/>
    <hyperlink ref="B5103" r:id="rId13127" xr:uid="{00000000-0004-0000-0200-000046330000}"/>
    <hyperlink ref="C5103" r:id="rId13128" xr:uid="{00000000-0004-0000-0200-000047330000}"/>
    <hyperlink ref="A5104" r:id="rId13129" xr:uid="{00000000-0004-0000-0200-000048330000}"/>
    <hyperlink ref="B5104" r:id="rId13130" xr:uid="{00000000-0004-0000-0200-000049330000}"/>
    <hyperlink ref="C5104" r:id="rId13131" xr:uid="{00000000-0004-0000-0200-00004A330000}"/>
    <hyperlink ref="A5105" r:id="rId13132" xr:uid="{00000000-0004-0000-0200-00004B330000}"/>
    <hyperlink ref="B5105" r:id="rId13133" xr:uid="{00000000-0004-0000-0200-00004C330000}"/>
    <hyperlink ref="C5105" r:id="rId13134" xr:uid="{00000000-0004-0000-0200-00004D330000}"/>
    <hyperlink ref="A5106" r:id="rId13135" xr:uid="{00000000-0004-0000-0200-00004E330000}"/>
    <hyperlink ref="B5106" r:id="rId13136" xr:uid="{00000000-0004-0000-0200-00004F330000}"/>
    <hyperlink ref="C5106" r:id="rId13137" xr:uid="{00000000-0004-0000-0200-000050330000}"/>
    <hyperlink ref="A5107" r:id="rId13138" xr:uid="{00000000-0004-0000-0200-000051330000}"/>
    <hyperlink ref="B5107" r:id="rId13139" xr:uid="{00000000-0004-0000-0200-000052330000}"/>
    <hyperlink ref="C5107" r:id="rId13140" xr:uid="{00000000-0004-0000-0200-000053330000}"/>
    <hyperlink ref="A5108" r:id="rId13141" xr:uid="{00000000-0004-0000-0200-000054330000}"/>
    <hyperlink ref="B5108" r:id="rId13142" xr:uid="{00000000-0004-0000-0200-000055330000}"/>
    <hyperlink ref="C5108" r:id="rId13143" xr:uid="{00000000-0004-0000-0200-000056330000}"/>
    <hyperlink ref="A5109" r:id="rId13144" xr:uid="{00000000-0004-0000-0200-000057330000}"/>
    <hyperlink ref="B5109" r:id="rId13145" xr:uid="{00000000-0004-0000-0200-000058330000}"/>
    <hyperlink ref="C5109" r:id="rId13146" xr:uid="{00000000-0004-0000-0200-000059330000}"/>
    <hyperlink ref="A5110" r:id="rId13147" xr:uid="{00000000-0004-0000-0200-00005A330000}"/>
    <hyperlink ref="B5110" r:id="rId13148" xr:uid="{00000000-0004-0000-0200-00005B330000}"/>
    <hyperlink ref="C5110" r:id="rId13149" xr:uid="{00000000-0004-0000-0200-00005C330000}"/>
    <hyperlink ref="A5111" r:id="rId13150" xr:uid="{00000000-0004-0000-0200-00005D330000}"/>
    <hyperlink ref="B5111" r:id="rId13151" xr:uid="{00000000-0004-0000-0200-00005E330000}"/>
    <hyperlink ref="C5111" r:id="rId13152" xr:uid="{00000000-0004-0000-0200-00005F330000}"/>
    <hyperlink ref="A5112" r:id="rId13153" xr:uid="{00000000-0004-0000-0200-000060330000}"/>
    <hyperlink ref="B5112" r:id="rId13154" xr:uid="{00000000-0004-0000-0200-000061330000}"/>
    <hyperlink ref="C5112" r:id="rId13155" xr:uid="{00000000-0004-0000-0200-000062330000}"/>
    <hyperlink ref="A5113" r:id="rId13156" xr:uid="{00000000-0004-0000-0200-000063330000}"/>
    <hyperlink ref="B5113" r:id="rId13157" xr:uid="{00000000-0004-0000-0200-000064330000}"/>
    <hyperlink ref="C5113" r:id="rId13158" location="e-a-t-and-the-ymyl-sector" xr:uid="{00000000-0004-0000-0200-000065330000}"/>
    <hyperlink ref="A5114" r:id="rId13159" xr:uid="{00000000-0004-0000-0200-000066330000}"/>
    <hyperlink ref="B5114" r:id="rId13160" xr:uid="{00000000-0004-0000-0200-000067330000}"/>
    <hyperlink ref="C5114" r:id="rId13161" xr:uid="{00000000-0004-0000-0200-000068330000}"/>
    <hyperlink ref="A5115" r:id="rId13162" xr:uid="{00000000-0004-0000-0200-000069330000}"/>
    <hyperlink ref="B5115" r:id="rId13163" xr:uid="{00000000-0004-0000-0200-00006A330000}"/>
    <hyperlink ref="C5115" r:id="rId13164" xr:uid="{00000000-0004-0000-0200-00006B330000}"/>
    <hyperlink ref="A5116" r:id="rId13165" xr:uid="{00000000-0004-0000-0200-00006C330000}"/>
    <hyperlink ref="B5116" r:id="rId13166" xr:uid="{00000000-0004-0000-0200-00006D330000}"/>
    <hyperlink ref="C5116" r:id="rId13167" xr:uid="{00000000-0004-0000-0200-00006E330000}"/>
    <hyperlink ref="A5117" r:id="rId13168" xr:uid="{00000000-0004-0000-0200-00006F330000}"/>
    <hyperlink ref="B5117" r:id="rId13169" xr:uid="{00000000-0004-0000-0200-000070330000}"/>
    <hyperlink ref="C5117" r:id="rId13170" xr:uid="{00000000-0004-0000-0200-000071330000}"/>
    <hyperlink ref="A5118" r:id="rId13171" xr:uid="{00000000-0004-0000-0200-000072330000}"/>
    <hyperlink ref="B5118" r:id="rId13172" xr:uid="{00000000-0004-0000-0200-000073330000}"/>
    <hyperlink ref="C5118" r:id="rId13173" xr:uid="{00000000-0004-0000-0200-000074330000}"/>
    <hyperlink ref="A5119" r:id="rId13174" xr:uid="{00000000-0004-0000-0200-000075330000}"/>
    <hyperlink ref="B5119" r:id="rId13175" xr:uid="{00000000-0004-0000-0200-000076330000}"/>
    <hyperlink ref="C5119" r:id="rId13176" xr:uid="{00000000-0004-0000-0200-000077330000}"/>
    <hyperlink ref="A5120" r:id="rId13177" xr:uid="{00000000-0004-0000-0200-000078330000}"/>
    <hyperlink ref="B5120" r:id="rId13178" xr:uid="{00000000-0004-0000-0200-000079330000}"/>
    <hyperlink ref="C5120" r:id="rId13179" xr:uid="{00000000-0004-0000-0200-00007A330000}"/>
    <hyperlink ref="A5121" r:id="rId13180" xr:uid="{00000000-0004-0000-0200-00007B330000}"/>
    <hyperlink ref="B5121" r:id="rId13181" xr:uid="{00000000-0004-0000-0200-00007C330000}"/>
    <hyperlink ref="C5121" r:id="rId13182" xr:uid="{00000000-0004-0000-0200-00007D330000}"/>
    <hyperlink ref="A5122" r:id="rId13183" xr:uid="{00000000-0004-0000-0200-00007E330000}"/>
    <hyperlink ref="B5122" r:id="rId13184" xr:uid="{00000000-0004-0000-0200-00007F330000}"/>
    <hyperlink ref="C5122" r:id="rId13185" xr:uid="{00000000-0004-0000-0200-000080330000}"/>
    <hyperlink ref="A5123" r:id="rId13186" xr:uid="{00000000-0004-0000-0200-000081330000}"/>
    <hyperlink ref="B5123" r:id="rId13187" xr:uid="{00000000-0004-0000-0200-000082330000}"/>
    <hyperlink ref="C5123" r:id="rId13188" xr:uid="{00000000-0004-0000-0200-000083330000}"/>
    <hyperlink ref="A5124" r:id="rId13189" xr:uid="{00000000-0004-0000-0200-000084330000}"/>
    <hyperlink ref="B5124" r:id="rId13190" xr:uid="{00000000-0004-0000-0200-000085330000}"/>
    <hyperlink ref="C5124" r:id="rId13191" xr:uid="{00000000-0004-0000-0200-000086330000}"/>
    <hyperlink ref="A5125" r:id="rId13192" xr:uid="{00000000-0004-0000-0200-000087330000}"/>
    <hyperlink ref="B5125" r:id="rId13193" xr:uid="{00000000-0004-0000-0200-000088330000}"/>
    <hyperlink ref="C5125" r:id="rId13194" xr:uid="{00000000-0004-0000-0200-000089330000}"/>
    <hyperlink ref="A5126" r:id="rId13195" xr:uid="{00000000-0004-0000-0200-00008A330000}"/>
    <hyperlink ref="B5126" r:id="rId13196" xr:uid="{00000000-0004-0000-0200-00008B330000}"/>
    <hyperlink ref="C5126" r:id="rId13197" xr:uid="{00000000-0004-0000-0200-00008C330000}"/>
    <hyperlink ref="A5127" r:id="rId13198" xr:uid="{00000000-0004-0000-0200-00008D330000}"/>
    <hyperlink ref="B5127" r:id="rId13199" xr:uid="{00000000-0004-0000-0200-00008E330000}"/>
    <hyperlink ref="C5127" r:id="rId13200" xr:uid="{00000000-0004-0000-0200-00008F330000}"/>
    <hyperlink ref="A5128" r:id="rId13201" xr:uid="{00000000-0004-0000-0200-000090330000}"/>
    <hyperlink ref="B5128" r:id="rId13202" xr:uid="{00000000-0004-0000-0200-000091330000}"/>
    <hyperlink ref="C5128" r:id="rId13203" xr:uid="{00000000-0004-0000-0200-000092330000}"/>
    <hyperlink ref="A5129" r:id="rId13204" xr:uid="{00000000-0004-0000-0200-000093330000}"/>
    <hyperlink ref="B5129" r:id="rId13205" xr:uid="{00000000-0004-0000-0200-000094330000}"/>
    <hyperlink ref="C5129" r:id="rId13206" xr:uid="{00000000-0004-0000-0200-000095330000}"/>
    <hyperlink ref="A5130" r:id="rId13207" xr:uid="{00000000-0004-0000-0200-000096330000}"/>
    <hyperlink ref="B5130" r:id="rId13208" xr:uid="{00000000-0004-0000-0200-000097330000}"/>
    <hyperlink ref="C5130" r:id="rId13209" xr:uid="{00000000-0004-0000-0200-000098330000}"/>
    <hyperlink ref="A5131" r:id="rId13210" xr:uid="{00000000-0004-0000-0200-000099330000}"/>
    <hyperlink ref="B5131" r:id="rId13211" xr:uid="{00000000-0004-0000-0200-00009A330000}"/>
    <hyperlink ref="C5131" r:id="rId13212" xr:uid="{00000000-0004-0000-0200-00009B330000}"/>
    <hyperlink ref="A5132" r:id="rId13213" xr:uid="{00000000-0004-0000-0200-00009C330000}"/>
    <hyperlink ref="B5132" r:id="rId13214" xr:uid="{00000000-0004-0000-0200-00009D330000}"/>
    <hyperlink ref="C5132" r:id="rId13215" xr:uid="{00000000-0004-0000-0200-00009E330000}"/>
    <hyperlink ref="A5133" r:id="rId13216" xr:uid="{00000000-0004-0000-0200-00009F330000}"/>
    <hyperlink ref="B5133" r:id="rId13217" xr:uid="{00000000-0004-0000-0200-0000A0330000}"/>
    <hyperlink ref="C5133" r:id="rId13218" xr:uid="{00000000-0004-0000-0200-0000A1330000}"/>
    <hyperlink ref="A5134" r:id="rId13219" xr:uid="{00000000-0004-0000-0200-0000A2330000}"/>
    <hyperlink ref="B5134" r:id="rId13220" xr:uid="{00000000-0004-0000-0200-0000A3330000}"/>
    <hyperlink ref="C5134" r:id="rId13221" xr:uid="{00000000-0004-0000-0200-0000A4330000}"/>
    <hyperlink ref="A5135" r:id="rId13222" xr:uid="{00000000-0004-0000-0200-0000A5330000}"/>
    <hyperlink ref="B5135" r:id="rId13223" xr:uid="{00000000-0004-0000-0200-0000A6330000}"/>
    <hyperlink ref="C5135" r:id="rId13224" xr:uid="{00000000-0004-0000-0200-0000A7330000}"/>
    <hyperlink ref="A5136" r:id="rId13225" xr:uid="{00000000-0004-0000-0200-0000A8330000}"/>
    <hyperlink ref="B5136" r:id="rId13226" xr:uid="{00000000-0004-0000-0200-0000A9330000}"/>
    <hyperlink ref="C5136" r:id="rId13227" xr:uid="{00000000-0004-0000-0200-0000AA330000}"/>
    <hyperlink ref="A5137" r:id="rId13228" xr:uid="{00000000-0004-0000-0200-0000AB330000}"/>
    <hyperlink ref="B5137" r:id="rId13229" xr:uid="{00000000-0004-0000-0200-0000AC330000}"/>
    <hyperlink ref="C5137" r:id="rId13230" xr:uid="{00000000-0004-0000-0200-0000AD330000}"/>
    <hyperlink ref="A5138" r:id="rId13231" xr:uid="{00000000-0004-0000-0200-0000AE330000}"/>
    <hyperlink ref="B5138" r:id="rId13232" xr:uid="{00000000-0004-0000-0200-0000AF330000}"/>
    <hyperlink ref="C5138" r:id="rId13233" xr:uid="{00000000-0004-0000-0200-0000B0330000}"/>
    <hyperlink ref="A5139" r:id="rId13234" xr:uid="{00000000-0004-0000-0200-0000B1330000}"/>
    <hyperlink ref="B5139" r:id="rId13235" xr:uid="{00000000-0004-0000-0200-0000B2330000}"/>
    <hyperlink ref="C5139" r:id="rId13236" xr:uid="{00000000-0004-0000-0200-0000B3330000}"/>
    <hyperlink ref="A5140" r:id="rId13237" xr:uid="{00000000-0004-0000-0200-0000B4330000}"/>
    <hyperlink ref="B5140" r:id="rId13238" xr:uid="{00000000-0004-0000-0200-0000B5330000}"/>
    <hyperlink ref="C5140" r:id="rId13239" xr:uid="{00000000-0004-0000-0200-0000B6330000}"/>
    <hyperlink ref="A5141" r:id="rId13240" xr:uid="{00000000-0004-0000-0200-0000B7330000}"/>
    <hyperlink ref="B5141" r:id="rId13241" xr:uid="{00000000-0004-0000-0200-0000B8330000}"/>
    <hyperlink ref="C5141" r:id="rId13242" xr:uid="{00000000-0004-0000-0200-0000B9330000}"/>
    <hyperlink ref="A5142" r:id="rId13243" xr:uid="{00000000-0004-0000-0200-0000BA330000}"/>
    <hyperlink ref="B5142" r:id="rId13244" xr:uid="{00000000-0004-0000-0200-0000BB330000}"/>
    <hyperlink ref="C5142" r:id="rId13245" xr:uid="{00000000-0004-0000-0200-0000BC330000}"/>
    <hyperlink ref="A5143" r:id="rId13246" xr:uid="{00000000-0004-0000-0200-0000BD330000}"/>
    <hyperlink ref="B5143" r:id="rId13247" xr:uid="{00000000-0004-0000-0200-0000BE330000}"/>
    <hyperlink ref="C5143" r:id="rId13248" xr:uid="{00000000-0004-0000-0200-0000BF330000}"/>
    <hyperlink ref="A5144" r:id="rId13249" xr:uid="{00000000-0004-0000-0200-0000C0330000}"/>
    <hyperlink ref="B5144" r:id="rId13250" xr:uid="{00000000-0004-0000-0200-0000C1330000}"/>
    <hyperlink ref="C5144" r:id="rId13251" xr:uid="{00000000-0004-0000-0200-0000C2330000}"/>
    <hyperlink ref="A5145" r:id="rId13252" xr:uid="{00000000-0004-0000-0200-0000C3330000}"/>
    <hyperlink ref="B5145" r:id="rId13253" xr:uid="{00000000-0004-0000-0200-0000C4330000}"/>
    <hyperlink ref="C5145" r:id="rId13254" xr:uid="{00000000-0004-0000-0200-0000C5330000}"/>
    <hyperlink ref="A5146" r:id="rId13255" xr:uid="{00000000-0004-0000-0200-0000C6330000}"/>
    <hyperlink ref="B5146" r:id="rId13256" xr:uid="{00000000-0004-0000-0200-0000C7330000}"/>
    <hyperlink ref="C5146" r:id="rId13257" xr:uid="{00000000-0004-0000-0200-0000C8330000}"/>
    <hyperlink ref="A5147" r:id="rId13258" xr:uid="{00000000-0004-0000-0200-0000C9330000}"/>
    <hyperlink ref="B5147" r:id="rId13259" xr:uid="{00000000-0004-0000-0200-0000CA330000}"/>
    <hyperlink ref="C5147" r:id="rId13260" xr:uid="{00000000-0004-0000-0200-0000CB330000}"/>
    <hyperlink ref="A5148" r:id="rId13261" xr:uid="{00000000-0004-0000-0200-0000CC330000}"/>
    <hyperlink ref="B5148" r:id="rId13262" xr:uid="{00000000-0004-0000-0200-0000CD330000}"/>
    <hyperlink ref="C5148" r:id="rId13263" xr:uid="{00000000-0004-0000-0200-0000CE330000}"/>
    <hyperlink ref="A5149" r:id="rId13264" xr:uid="{00000000-0004-0000-0200-0000CF330000}"/>
    <hyperlink ref="B5149" r:id="rId13265" xr:uid="{00000000-0004-0000-0200-0000D0330000}"/>
    <hyperlink ref="C5149" r:id="rId13266" xr:uid="{00000000-0004-0000-0200-0000D1330000}"/>
    <hyperlink ref="A5150" r:id="rId13267" xr:uid="{00000000-0004-0000-0200-0000D2330000}"/>
    <hyperlink ref="B5150" r:id="rId13268" xr:uid="{00000000-0004-0000-0200-0000D3330000}"/>
    <hyperlink ref="C5150" r:id="rId13269" xr:uid="{00000000-0004-0000-0200-0000D4330000}"/>
    <hyperlink ref="A5151" r:id="rId13270" xr:uid="{00000000-0004-0000-0200-0000D5330000}"/>
    <hyperlink ref="B5151" r:id="rId13271" xr:uid="{00000000-0004-0000-0200-0000D6330000}"/>
    <hyperlink ref="C5151" r:id="rId13272" xr:uid="{00000000-0004-0000-0200-0000D7330000}"/>
    <hyperlink ref="A5152" r:id="rId13273" xr:uid="{00000000-0004-0000-0200-0000D8330000}"/>
    <hyperlink ref="B5152" r:id="rId13274" xr:uid="{00000000-0004-0000-0200-0000D9330000}"/>
    <hyperlink ref="C5152" r:id="rId13275" xr:uid="{00000000-0004-0000-0200-0000DA330000}"/>
    <hyperlink ref="A5153" r:id="rId13276" xr:uid="{00000000-0004-0000-0200-0000DB330000}"/>
    <hyperlink ref="B5153" r:id="rId13277" xr:uid="{00000000-0004-0000-0200-0000DC330000}"/>
    <hyperlink ref="C5153" r:id="rId13278" xr:uid="{00000000-0004-0000-0200-0000DD330000}"/>
    <hyperlink ref="A5154" r:id="rId13279" xr:uid="{00000000-0004-0000-0200-0000DE330000}"/>
    <hyperlink ref="B5154" r:id="rId13280" xr:uid="{00000000-0004-0000-0200-0000DF330000}"/>
    <hyperlink ref="C5154" r:id="rId13281" xr:uid="{00000000-0004-0000-0200-0000E0330000}"/>
    <hyperlink ref="A5155" r:id="rId13282" xr:uid="{00000000-0004-0000-0200-0000E1330000}"/>
    <hyperlink ref="B5155" r:id="rId13283" xr:uid="{00000000-0004-0000-0200-0000E2330000}"/>
    <hyperlink ref="C5155" r:id="rId13284" xr:uid="{00000000-0004-0000-0200-0000E3330000}"/>
    <hyperlink ref="A5156" r:id="rId13285" xr:uid="{00000000-0004-0000-0200-0000E4330000}"/>
    <hyperlink ref="B5156" r:id="rId13286" xr:uid="{00000000-0004-0000-0200-0000E5330000}"/>
    <hyperlink ref="C5156" r:id="rId13287" xr:uid="{00000000-0004-0000-0200-0000E6330000}"/>
    <hyperlink ref="A5157" r:id="rId13288" xr:uid="{00000000-0004-0000-0200-0000E7330000}"/>
    <hyperlink ref="B5157" r:id="rId13289" xr:uid="{00000000-0004-0000-0200-0000E8330000}"/>
    <hyperlink ref="C5157" r:id="rId13290" xr:uid="{00000000-0004-0000-0200-0000E9330000}"/>
    <hyperlink ref="A5158" r:id="rId13291" xr:uid="{00000000-0004-0000-0200-0000EA330000}"/>
    <hyperlink ref="B5158" r:id="rId13292" xr:uid="{00000000-0004-0000-0200-0000EB330000}"/>
    <hyperlink ref="C5158" r:id="rId13293" xr:uid="{00000000-0004-0000-0200-0000EC330000}"/>
    <hyperlink ref="A5159" r:id="rId13294" xr:uid="{00000000-0004-0000-0200-0000ED330000}"/>
    <hyperlink ref="B5159" r:id="rId13295" xr:uid="{00000000-0004-0000-0200-0000EE330000}"/>
    <hyperlink ref="C5159" r:id="rId13296" xr:uid="{00000000-0004-0000-0200-0000EF330000}"/>
    <hyperlink ref="A9149" r:id="rId13297" xr:uid="{00000000-0004-0000-0200-0000F0330000}"/>
    <hyperlink ref="B9149" r:id="rId13298" xr:uid="{00000000-0004-0000-0200-0000F1330000}"/>
    <hyperlink ref="C9149" r:id="rId13299" xr:uid="{00000000-0004-0000-0200-0000F2330000}"/>
    <hyperlink ref="A9150" r:id="rId13300" xr:uid="{00000000-0004-0000-0200-0000F3330000}"/>
    <hyperlink ref="B9150" r:id="rId13301" xr:uid="{00000000-0004-0000-0200-0000F4330000}"/>
    <hyperlink ref="C9150" r:id="rId13302" xr:uid="{00000000-0004-0000-0200-0000F5330000}"/>
    <hyperlink ref="A9151" r:id="rId13303" xr:uid="{00000000-0004-0000-0200-0000F6330000}"/>
    <hyperlink ref="B9151" r:id="rId13304" xr:uid="{00000000-0004-0000-0200-0000F7330000}"/>
    <hyperlink ref="C9151" r:id="rId13305" xr:uid="{00000000-0004-0000-0200-0000F8330000}"/>
    <hyperlink ref="A9152" r:id="rId13306" xr:uid="{00000000-0004-0000-0200-0000F9330000}"/>
    <hyperlink ref="B9152" r:id="rId13307" xr:uid="{00000000-0004-0000-0200-0000FA330000}"/>
    <hyperlink ref="C9152" r:id="rId13308" xr:uid="{00000000-0004-0000-0200-0000FB330000}"/>
    <hyperlink ref="A9153" r:id="rId13309" xr:uid="{00000000-0004-0000-0200-0000FC330000}"/>
    <hyperlink ref="B9153" r:id="rId13310" xr:uid="{00000000-0004-0000-0200-0000FD330000}"/>
    <hyperlink ref="C9153" r:id="rId13311" xr:uid="{00000000-0004-0000-0200-0000FE330000}"/>
    <hyperlink ref="A9154" r:id="rId13312" xr:uid="{00000000-0004-0000-0200-0000FF330000}"/>
    <hyperlink ref="B9154" r:id="rId13313" xr:uid="{00000000-0004-0000-0200-000000340000}"/>
    <hyperlink ref="C9154" r:id="rId13314" xr:uid="{00000000-0004-0000-0200-000001340000}"/>
    <hyperlink ref="A9155" r:id="rId13315" xr:uid="{00000000-0004-0000-0200-000002340000}"/>
    <hyperlink ref="B9155" r:id="rId13316" xr:uid="{00000000-0004-0000-0200-000003340000}"/>
    <hyperlink ref="C9155" r:id="rId13317" xr:uid="{00000000-0004-0000-0200-000004340000}"/>
    <hyperlink ref="A9156" r:id="rId13318" xr:uid="{00000000-0004-0000-0200-000005340000}"/>
    <hyperlink ref="B9156" r:id="rId13319" xr:uid="{00000000-0004-0000-0200-000006340000}"/>
    <hyperlink ref="C9156" r:id="rId13320" xr:uid="{00000000-0004-0000-0200-000007340000}"/>
    <hyperlink ref="A9157" r:id="rId13321" xr:uid="{00000000-0004-0000-0200-000008340000}"/>
    <hyperlink ref="B9157" r:id="rId13322" xr:uid="{00000000-0004-0000-0200-000009340000}"/>
    <hyperlink ref="C9157" r:id="rId13323" xr:uid="{00000000-0004-0000-0200-00000A340000}"/>
    <hyperlink ref="A9158" r:id="rId13324" xr:uid="{00000000-0004-0000-0200-00000B340000}"/>
    <hyperlink ref="B9158" r:id="rId13325" xr:uid="{00000000-0004-0000-0200-00000C340000}"/>
    <hyperlink ref="C9158" r:id="rId13326" xr:uid="{00000000-0004-0000-0200-00000D340000}"/>
    <hyperlink ref="A9159" r:id="rId13327" xr:uid="{00000000-0004-0000-0200-00000E340000}"/>
    <hyperlink ref="B9159" r:id="rId13328" xr:uid="{00000000-0004-0000-0200-00000F340000}"/>
    <hyperlink ref="C9159" r:id="rId13329" xr:uid="{00000000-0004-0000-0200-000010340000}"/>
    <hyperlink ref="A9160" r:id="rId13330" xr:uid="{00000000-0004-0000-0200-000011340000}"/>
    <hyperlink ref="B9160" r:id="rId13331" xr:uid="{00000000-0004-0000-0200-000012340000}"/>
    <hyperlink ref="C9160" r:id="rId13332" xr:uid="{00000000-0004-0000-0200-000013340000}"/>
    <hyperlink ref="A9161" r:id="rId13333" xr:uid="{00000000-0004-0000-0200-000014340000}"/>
    <hyperlink ref="B9161" r:id="rId13334" xr:uid="{00000000-0004-0000-0200-000015340000}"/>
    <hyperlink ref="C9161" r:id="rId13335" xr:uid="{00000000-0004-0000-0200-000016340000}"/>
    <hyperlink ref="A9162" r:id="rId13336" xr:uid="{00000000-0004-0000-0200-000017340000}"/>
    <hyperlink ref="B9162" r:id="rId13337" xr:uid="{00000000-0004-0000-0200-000018340000}"/>
    <hyperlink ref="C9162" r:id="rId13338" xr:uid="{00000000-0004-0000-0200-000019340000}"/>
    <hyperlink ref="A9163" r:id="rId13339" xr:uid="{00000000-0004-0000-0200-00001A340000}"/>
    <hyperlink ref="B9163" r:id="rId13340" xr:uid="{00000000-0004-0000-0200-00001B340000}"/>
    <hyperlink ref="C9163" r:id="rId13341" xr:uid="{00000000-0004-0000-0200-00001C340000}"/>
    <hyperlink ref="A9164" r:id="rId13342" xr:uid="{00000000-0004-0000-0200-00001D340000}"/>
    <hyperlink ref="B9164" r:id="rId13343" xr:uid="{00000000-0004-0000-0200-00001E340000}"/>
    <hyperlink ref="C9164" r:id="rId13344" xr:uid="{00000000-0004-0000-0200-00001F340000}"/>
    <hyperlink ref="A9165" r:id="rId13345" xr:uid="{00000000-0004-0000-0200-000020340000}"/>
    <hyperlink ref="B9165" r:id="rId13346" xr:uid="{00000000-0004-0000-0200-000021340000}"/>
    <hyperlink ref="C9165" r:id="rId13347" xr:uid="{00000000-0004-0000-0200-000022340000}"/>
    <hyperlink ref="A9166" r:id="rId13348" xr:uid="{00000000-0004-0000-0200-000023340000}"/>
    <hyperlink ref="B9166" r:id="rId13349" xr:uid="{00000000-0004-0000-0200-000024340000}"/>
    <hyperlink ref="C9166" r:id="rId13350" xr:uid="{00000000-0004-0000-0200-000025340000}"/>
    <hyperlink ref="A9167" r:id="rId13351" xr:uid="{00000000-0004-0000-0200-000026340000}"/>
    <hyperlink ref="B9167" r:id="rId13352" xr:uid="{00000000-0004-0000-0200-000027340000}"/>
    <hyperlink ref="C9167" r:id="rId13353" xr:uid="{00000000-0004-0000-0200-000028340000}"/>
    <hyperlink ref="A9168" r:id="rId13354" xr:uid="{00000000-0004-0000-0200-000029340000}"/>
    <hyperlink ref="B9168" r:id="rId13355" xr:uid="{00000000-0004-0000-0200-00002A340000}"/>
    <hyperlink ref="C9168" r:id="rId13356" xr:uid="{00000000-0004-0000-0200-00002B340000}"/>
    <hyperlink ref="A9169" r:id="rId13357" xr:uid="{00000000-0004-0000-0200-00002C340000}"/>
    <hyperlink ref="B9169" r:id="rId13358" xr:uid="{00000000-0004-0000-0200-00002D340000}"/>
    <hyperlink ref="C9169" r:id="rId13359" xr:uid="{00000000-0004-0000-0200-00002E340000}"/>
    <hyperlink ref="A9170" r:id="rId13360" xr:uid="{00000000-0004-0000-0200-00002F340000}"/>
    <hyperlink ref="B9170" r:id="rId13361" xr:uid="{00000000-0004-0000-0200-000030340000}"/>
    <hyperlink ref="C9170" r:id="rId13362" xr:uid="{00000000-0004-0000-0200-000031340000}"/>
    <hyperlink ref="A9171" r:id="rId13363" xr:uid="{00000000-0004-0000-0200-000032340000}"/>
    <hyperlink ref="B9171" r:id="rId13364" xr:uid="{00000000-0004-0000-0200-000033340000}"/>
    <hyperlink ref="C9171" r:id="rId13365" xr:uid="{00000000-0004-0000-0200-000034340000}"/>
    <hyperlink ref="A9172" r:id="rId13366" xr:uid="{00000000-0004-0000-0200-000035340000}"/>
    <hyperlink ref="B9172" r:id="rId13367" xr:uid="{00000000-0004-0000-0200-000036340000}"/>
    <hyperlink ref="C9172" r:id="rId13368" xr:uid="{00000000-0004-0000-0200-000037340000}"/>
    <hyperlink ref="A9173" r:id="rId13369" xr:uid="{00000000-0004-0000-0200-000038340000}"/>
    <hyperlink ref="B9173" r:id="rId13370" xr:uid="{00000000-0004-0000-0200-000039340000}"/>
    <hyperlink ref="C9173" r:id="rId13371" xr:uid="{00000000-0004-0000-0200-00003A340000}"/>
    <hyperlink ref="A9174" r:id="rId13372" xr:uid="{00000000-0004-0000-0200-00003B340000}"/>
    <hyperlink ref="B9174" r:id="rId13373" xr:uid="{00000000-0004-0000-0200-00003C340000}"/>
    <hyperlink ref="C9174" r:id="rId13374" xr:uid="{00000000-0004-0000-0200-00003D340000}"/>
    <hyperlink ref="A9175" r:id="rId13375" xr:uid="{00000000-0004-0000-0200-00003E340000}"/>
    <hyperlink ref="B9175" r:id="rId13376" xr:uid="{00000000-0004-0000-0200-00003F340000}"/>
    <hyperlink ref="C9175" r:id="rId13377" xr:uid="{00000000-0004-0000-0200-000040340000}"/>
    <hyperlink ref="A9176" r:id="rId13378" xr:uid="{00000000-0004-0000-0200-000041340000}"/>
    <hyperlink ref="B9176" r:id="rId13379" xr:uid="{00000000-0004-0000-0200-000042340000}"/>
    <hyperlink ref="C9176" r:id="rId13380" xr:uid="{00000000-0004-0000-0200-000043340000}"/>
    <hyperlink ref="A9177" r:id="rId13381" xr:uid="{00000000-0004-0000-0200-000044340000}"/>
    <hyperlink ref="B9177" r:id="rId13382" xr:uid="{00000000-0004-0000-0200-000045340000}"/>
    <hyperlink ref="C9177" r:id="rId13383" xr:uid="{00000000-0004-0000-0200-000046340000}"/>
    <hyperlink ref="A9178" r:id="rId13384" xr:uid="{00000000-0004-0000-0200-000047340000}"/>
    <hyperlink ref="B9178" r:id="rId13385" xr:uid="{00000000-0004-0000-0200-000048340000}"/>
    <hyperlink ref="C9178" r:id="rId13386" xr:uid="{00000000-0004-0000-0200-000049340000}"/>
    <hyperlink ref="A9179" r:id="rId13387" xr:uid="{00000000-0004-0000-0200-00004A340000}"/>
    <hyperlink ref="B9179" r:id="rId13388" xr:uid="{00000000-0004-0000-0200-00004B340000}"/>
    <hyperlink ref="C9179" r:id="rId13389" xr:uid="{00000000-0004-0000-0200-00004C340000}"/>
    <hyperlink ref="A9180" r:id="rId13390" xr:uid="{00000000-0004-0000-0200-00004D340000}"/>
    <hyperlink ref="B9180" r:id="rId13391" xr:uid="{00000000-0004-0000-0200-00004E340000}"/>
    <hyperlink ref="C9180" r:id="rId13392" xr:uid="{00000000-0004-0000-0200-00004F340000}"/>
    <hyperlink ref="A9181" r:id="rId13393" xr:uid="{00000000-0004-0000-0200-000050340000}"/>
    <hyperlink ref="B9181" r:id="rId13394" xr:uid="{00000000-0004-0000-0200-000051340000}"/>
    <hyperlink ref="C9181" r:id="rId13395" xr:uid="{00000000-0004-0000-0200-000052340000}"/>
    <hyperlink ref="A9182" r:id="rId13396" xr:uid="{00000000-0004-0000-0200-000053340000}"/>
    <hyperlink ref="B9182" r:id="rId13397" xr:uid="{00000000-0004-0000-0200-000054340000}"/>
    <hyperlink ref="C9182" r:id="rId13398" xr:uid="{00000000-0004-0000-0200-000055340000}"/>
    <hyperlink ref="A9183" r:id="rId13399" xr:uid="{00000000-0004-0000-0200-000056340000}"/>
    <hyperlink ref="B9183" r:id="rId13400" xr:uid="{00000000-0004-0000-0200-000057340000}"/>
    <hyperlink ref="C9183" r:id="rId13401" xr:uid="{00000000-0004-0000-0200-000058340000}"/>
    <hyperlink ref="A9184" r:id="rId13402" xr:uid="{00000000-0004-0000-0200-000059340000}"/>
    <hyperlink ref="B9184" r:id="rId13403" xr:uid="{00000000-0004-0000-0200-00005A340000}"/>
    <hyperlink ref="C9184" r:id="rId13404" xr:uid="{00000000-0004-0000-0200-00005B340000}"/>
    <hyperlink ref="A9185" r:id="rId13405" xr:uid="{00000000-0004-0000-0200-00005C340000}"/>
    <hyperlink ref="B9185" r:id="rId13406" xr:uid="{00000000-0004-0000-0200-00005D340000}"/>
    <hyperlink ref="C9185" r:id="rId13407" xr:uid="{00000000-0004-0000-0200-00005E340000}"/>
    <hyperlink ref="A9186" r:id="rId13408" xr:uid="{00000000-0004-0000-0200-00005F340000}"/>
    <hyperlink ref="B9186" r:id="rId13409" xr:uid="{00000000-0004-0000-0200-000060340000}"/>
    <hyperlink ref="C9186" r:id="rId13410" xr:uid="{00000000-0004-0000-0200-000061340000}"/>
    <hyperlink ref="A9187" r:id="rId13411" xr:uid="{00000000-0004-0000-0200-000062340000}"/>
    <hyperlink ref="B9187" r:id="rId13412" xr:uid="{00000000-0004-0000-0200-000063340000}"/>
    <hyperlink ref="C9187" r:id="rId13413" xr:uid="{00000000-0004-0000-0200-000064340000}"/>
    <hyperlink ref="A9188" r:id="rId13414" xr:uid="{00000000-0004-0000-0200-000065340000}"/>
    <hyperlink ref="B9188" r:id="rId13415" xr:uid="{00000000-0004-0000-0200-000066340000}"/>
    <hyperlink ref="C9188" r:id="rId13416" xr:uid="{00000000-0004-0000-0200-000067340000}"/>
    <hyperlink ref="A9189" r:id="rId13417" xr:uid="{00000000-0004-0000-0200-000068340000}"/>
    <hyperlink ref="B9189" r:id="rId13418" xr:uid="{00000000-0004-0000-0200-000069340000}"/>
    <hyperlink ref="C9189" r:id="rId13419" xr:uid="{00000000-0004-0000-0200-00006A340000}"/>
    <hyperlink ref="A9190" r:id="rId13420" xr:uid="{00000000-0004-0000-0200-00006B340000}"/>
    <hyperlink ref="B9190" r:id="rId13421" xr:uid="{00000000-0004-0000-0200-00006C340000}"/>
    <hyperlink ref="C9190" r:id="rId13422" xr:uid="{00000000-0004-0000-0200-00006D340000}"/>
    <hyperlink ref="A9191" r:id="rId13423" xr:uid="{00000000-0004-0000-0200-00006E340000}"/>
    <hyperlink ref="B9191" r:id="rId13424" xr:uid="{00000000-0004-0000-0200-00006F340000}"/>
    <hyperlink ref="C9191" r:id="rId13425" xr:uid="{00000000-0004-0000-0200-000070340000}"/>
    <hyperlink ref="A9192" r:id="rId13426" xr:uid="{00000000-0004-0000-0200-000071340000}"/>
    <hyperlink ref="B9192" r:id="rId13427" xr:uid="{00000000-0004-0000-0200-000072340000}"/>
    <hyperlink ref="C9192" r:id="rId13428" xr:uid="{00000000-0004-0000-0200-000073340000}"/>
    <hyperlink ref="A9193" r:id="rId13429" xr:uid="{00000000-0004-0000-0200-000074340000}"/>
    <hyperlink ref="B9193" r:id="rId13430" xr:uid="{00000000-0004-0000-0200-000075340000}"/>
    <hyperlink ref="C9193" r:id="rId13431" xr:uid="{00000000-0004-0000-0200-000076340000}"/>
    <hyperlink ref="A9194" r:id="rId13432" xr:uid="{00000000-0004-0000-0200-000077340000}"/>
    <hyperlink ref="B9194" r:id="rId13433" xr:uid="{00000000-0004-0000-0200-000078340000}"/>
    <hyperlink ref="C9194" r:id="rId13434" xr:uid="{00000000-0004-0000-0200-000079340000}"/>
    <hyperlink ref="A9195" r:id="rId13435" xr:uid="{00000000-0004-0000-0200-00007A340000}"/>
    <hyperlink ref="B9195" r:id="rId13436" xr:uid="{00000000-0004-0000-0200-00007B340000}"/>
    <hyperlink ref="C9195" r:id="rId13437" xr:uid="{00000000-0004-0000-0200-00007C340000}"/>
    <hyperlink ref="A9196" r:id="rId13438" xr:uid="{00000000-0004-0000-0200-00007D340000}"/>
    <hyperlink ref="B9196" r:id="rId13439" xr:uid="{00000000-0004-0000-0200-00007E340000}"/>
    <hyperlink ref="C9196" r:id="rId13440" xr:uid="{00000000-0004-0000-0200-00007F340000}"/>
    <hyperlink ref="A9197" r:id="rId13441" xr:uid="{00000000-0004-0000-0200-000080340000}"/>
    <hyperlink ref="B9197" r:id="rId13442" xr:uid="{00000000-0004-0000-0200-000081340000}"/>
    <hyperlink ref="C9197" r:id="rId13443" xr:uid="{00000000-0004-0000-0200-000082340000}"/>
    <hyperlink ref="A9198" r:id="rId13444" xr:uid="{00000000-0004-0000-0200-000083340000}"/>
    <hyperlink ref="B9198" r:id="rId13445" xr:uid="{00000000-0004-0000-0200-000084340000}"/>
    <hyperlink ref="C9198" r:id="rId13446" xr:uid="{00000000-0004-0000-0200-000085340000}"/>
    <hyperlink ref="A9199" r:id="rId13447" xr:uid="{00000000-0004-0000-0200-000086340000}"/>
    <hyperlink ref="B9199" r:id="rId13448" xr:uid="{00000000-0004-0000-0200-000087340000}"/>
    <hyperlink ref="C9199" r:id="rId13449" xr:uid="{00000000-0004-0000-0200-000088340000}"/>
    <hyperlink ref="A9200" r:id="rId13450" xr:uid="{00000000-0004-0000-0200-000089340000}"/>
    <hyperlink ref="B9200" r:id="rId13451" xr:uid="{00000000-0004-0000-0200-00008A340000}"/>
    <hyperlink ref="C9200" r:id="rId13452" xr:uid="{00000000-0004-0000-0200-00008B340000}"/>
    <hyperlink ref="A9201" r:id="rId13453" xr:uid="{00000000-0004-0000-0200-00008C340000}"/>
    <hyperlink ref="B9201" r:id="rId13454" xr:uid="{00000000-0004-0000-0200-00008D340000}"/>
    <hyperlink ref="C9201" r:id="rId13455" xr:uid="{00000000-0004-0000-0200-00008E340000}"/>
    <hyperlink ref="A9202" r:id="rId13456" xr:uid="{00000000-0004-0000-0200-00008F340000}"/>
    <hyperlink ref="B9202" r:id="rId13457" xr:uid="{00000000-0004-0000-0200-000090340000}"/>
    <hyperlink ref="C9202" r:id="rId13458" xr:uid="{00000000-0004-0000-0200-000091340000}"/>
    <hyperlink ref="A9203" r:id="rId13459" xr:uid="{00000000-0004-0000-0200-000092340000}"/>
    <hyperlink ref="B9203" r:id="rId13460" xr:uid="{00000000-0004-0000-0200-000093340000}"/>
    <hyperlink ref="C9203" r:id="rId13461" xr:uid="{00000000-0004-0000-0200-000094340000}"/>
    <hyperlink ref="A9204" r:id="rId13462" xr:uid="{00000000-0004-0000-0200-000095340000}"/>
    <hyperlink ref="B9204" r:id="rId13463" xr:uid="{00000000-0004-0000-0200-000096340000}"/>
    <hyperlink ref="C9204" r:id="rId13464" xr:uid="{00000000-0004-0000-0200-000097340000}"/>
    <hyperlink ref="A9205" r:id="rId13465" xr:uid="{00000000-0004-0000-0200-000098340000}"/>
    <hyperlink ref="B9205" r:id="rId13466" xr:uid="{00000000-0004-0000-0200-000099340000}"/>
    <hyperlink ref="C9205" r:id="rId13467" xr:uid="{00000000-0004-0000-0200-00009A340000}"/>
    <hyperlink ref="A9206" r:id="rId13468" xr:uid="{00000000-0004-0000-0200-00009B340000}"/>
    <hyperlink ref="B9206" r:id="rId13469" xr:uid="{00000000-0004-0000-0200-00009C340000}"/>
    <hyperlink ref="C9206" r:id="rId13470" xr:uid="{00000000-0004-0000-0200-00009D340000}"/>
    <hyperlink ref="A9207" r:id="rId13471" xr:uid="{00000000-0004-0000-0200-00009E340000}"/>
    <hyperlink ref="B9207" r:id="rId13472" xr:uid="{00000000-0004-0000-0200-00009F340000}"/>
    <hyperlink ref="C9207" r:id="rId13473" xr:uid="{00000000-0004-0000-0200-0000A0340000}"/>
    <hyperlink ref="A9208" r:id="rId13474" xr:uid="{00000000-0004-0000-0200-0000A1340000}"/>
    <hyperlink ref="B9208" r:id="rId13475" xr:uid="{00000000-0004-0000-0200-0000A2340000}"/>
    <hyperlink ref="C9208" r:id="rId13476" xr:uid="{00000000-0004-0000-0200-0000A3340000}"/>
    <hyperlink ref="A9209" r:id="rId13477" xr:uid="{00000000-0004-0000-0200-0000A4340000}"/>
    <hyperlink ref="B9209" r:id="rId13478" xr:uid="{00000000-0004-0000-0200-0000A5340000}"/>
    <hyperlink ref="C9209" r:id="rId13479" xr:uid="{00000000-0004-0000-0200-0000A6340000}"/>
    <hyperlink ref="A9210" r:id="rId13480" xr:uid="{00000000-0004-0000-0200-0000A7340000}"/>
    <hyperlink ref="B9210" r:id="rId13481" xr:uid="{00000000-0004-0000-0200-0000A8340000}"/>
    <hyperlink ref="C9210" r:id="rId13482" xr:uid="{00000000-0004-0000-0200-0000A9340000}"/>
    <hyperlink ref="A9211" r:id="rId13483" xr:uid="{00000000-0004-0000-0200-0000AA340000}"/>
    <hyperlink ref="B9211" r:id="rId13484" xr:uid="{00000000-0004-0000-0200-0000AB340000}"/>
    <hyperlink ref="C9211" r:id="rId13485" xr:uid="{00000000-0004-0000-0200-0000AC340000}"/>
    <hyperlink ref="A9212" r:id="rId13486" xr:uid="{00000000-0004-0000-0200-0000AD340000}"/>
    <hyperlink ref="B9212" r:id="rId13487" xr:uid="{00000000-0004-0000-0200-0000AE340000}"/>
    <hyperlink ref="C9212" r:id="rId13488" xr:uid="{00000000-0004-0000-0200-0000AF340000}"/>
    <hyperlink ref="A9213" r:id="rId13489" xr:uid="{00000000-0004-0000-0200-0000B0340000}"/>
    <hyperlink ref="B9213" r:id="rId13490" xr:uid="{00000000-0004-0000-0200-0000B1340000}"/>
    <hyperlink ref="C9213" r:id="rId13491" xr:uid="{00000000-0004-0000-0200-0000B2340000}"/>
    <hyperlink ref="A9214" r:id="rId13492" xr:uid="{00000000-0004-0000-0200-0000B3340000}"/>
    <hyperlink ref="B9214" r:id="rId13493" xr:uid="{00000000-0004-0000-0200-0000B4340000}"/>
    <hyperlink ref="C9214" r:id="rId13494" xr:uid="{00000000-0004-0000-0200-0000B5340000}"/>
    <hyperlink ref="A9215" r:id="rId13495" xr:uid="{00000000-0004-0000-0200-0000B6340000}"/>
    <hyperlink ref="B9215" r:id="rId13496" xr:uid="{00000000-0004-0000-0200-0000B7340000}"/>
    <hyperlink ref="C9215" r:id="rId13497" xr:uid="{00000000-0004-0000-0200-0000B8340000}"/>
    <hyperlink ref="A9216" r:id="rId13498" xr:uid="{00000000-0004-0000-0200-0000B9340000}"/>
    <hyperlink ref="B9216" r:id="rId13499" xr:uid="{00000000-0004-0000-0200-0000BA340000}"/>
    <hyperlink ref="C9216" r:id="rId13500" xr:uid="{00000000-0004-0000-0200-0000BB340000}"/>
    <hyperlink ref="A9217" r:id="rId13501" xr:uid="{00000000-0004-0000-0200-0000BC340000}"/>
    <hyperlink ref="B9217" r:id="rId13502" xr:uid="{00000000-0004-0000-0200-0000BD340000}"/>
    <hyperlink ref="C9217" r:id="rId13503" xr:uid="{00000000-0004-0000-0200-0000BE340000}"/>
    <hyperlink ref="A9218" r:id="rId13504" xr:uid="{00000000-0004-0000-0200-0000BF340000}"/>
    <hyperlink ref="B9218" r:id="rId13505" xr:uid="{00000000-0004-0000-0200-0000C0340000}"/>
    <hyperlink ref="C9218" r:id="rId13506" xr:uid="{00000000-0004-0000-0200-0000C1340000}"/>
    <hyperlink ref="A9219" r:id="rId13507" xr:uid="{00000000-0004-0000-0200-0000C2340000}"/>
    <hyperlink ref="B9219" r:id="rId13508" xr:uid="{00000000-0004-0000-0200-0000C3340000}"/>
    <hyperlink ref="C9219" r:id="rId13509" xr:uid="{00000000-0004-0000-0200-0000C4340000}"/>
    <hyperlink ref="A9220" r:id="rId13510" xr:uid="{00000000-0004-0000-0200-0000C5340000}"/>
    <hyperlink ref="B9220" r:id="rId13511" xr:uid="{00000000-0004-0000-0200-0000C6340000}"/>
    <hyperlink ref="C9220" r:id="rId13512" xr:uid="{00000000-0004-0000-0200-0000C7340000}"/>
    <hyperlink ref="A9221" r:id="rId13513" xr:uid="{00000000-0004-0000-0200-0000C8340000}"/>
    <hyperlink ref="B9221" r:id="rId13514" xr:uid="{00000000-0004-0000-0200-0000C9340000}"/>
    <hyperlink ref="C9221" r:id="rId13515" xr:uid="{00000000-0004-0000-0200-0000CA340000}"/>
    <hyperlink ref="A9222" r:id="rId13516" xr:uid="{00000000-0004-0000-0200-0000CB340000}"/>
    <hyperlink ref="B9222" r:id="rId13517" xr:uid="{00000000-0004-0000-0200-0000CC340000}"/>
    <hyperlink ref="C9222" r:id="rId13518" xr:uid="{00000000-0004-0000-0200-0000CD340000}"/>
    <hyperlink ref="A9223" r:id="rId13519" xr:uid="{00000000-0004-0000-0200-0000CE340000}"/>
    <hyperlink ref="B9223" r:id="rId13520" xr:uid="{00000000-0004-0000-0200-0000CF340000}"/>
    <hyperlink ref="C9223" r:id="rId13521" xr:uid="{00000000-0004-0000-0200-0000D0340000}"/>
    <hyperlink ref="A9224" r:id="rId13522" xr:uid="{00000000-0004-0000-0200-0000D1340000}"/>
    <hyperlink ref="B9224" r:id="rId13523" xr:uid="{00000000-0004-0000-0200-0000D2340000}"/>
    <hyperlink ref="C9224" r:id="rId13524" xr:uid="{00000000-0004-0000-0200-0000D3340000}"/>
    <hyperlink ref="A9225" r:id="rId13525" xr:uid="{00000000-0004-0000-0200-0000D4340000}"/>
    <hyperlink ref="B9225" r:id="rId13526" xr:uid="{00000000-0004-0000-0200-0000D5340000}"/>
    <hyperlink ref="C9225" r:id="rId13527" xr:uid="{00000000-0004-0000-0200-0000D6340000}"/>
    <hyperlink ref="A9226" r:id="rId13528" xr:uid="{00000000-0004-0000-0200-0000D7340000}"/>
    <hyperlink ref="B9226" r:id="rId13529" xr:uid="{00000000-0004-0000-0200-0000D8340000}"/>
    <hyperlink ref="C9226" r:id="rId13530" xr:uid="{00000000-0004-0000-0200-0000D9340000}"/>
    <hyperlink ref="A9227" r:id="rId13531" xr:uid="{00000000-0004-0000-0200-0000DA340000}"/>
    <hyperlink ref="B9227" r:id="rId13532" xr:uid="{00000000-0004-0000-0200-0000DB340000}"/>
    <hyperlink ref="C9227" r:id="rId13533" xr:uid="{00000000-0004-0000-0200-0000DC340000}"/>
    <hyperlink ref="A9228" r:id="rId13534" xr:uid="{00000000-0004-0000-0200-0000DD340000}"/>
    <hyperlink ref="B9228" r:id="rId13535" xr:uid="{00000000-0004-0000-0200-0000DE340000}"/>
    <hyperlink ref="C9228" r:id="rId13536" xr:uid="{00000000-0004-0000-0200-0000DF340000}"/>
    <hyperlink ref="A9229" r:id="rId13537" xr:uid="{00000000-0004-0000-0200-0000E0340000}"/>
    <hyperlink ref="B9229" r:id="rId13538" xr:uid="{00000000-0004-0000-0200-0000E1340000}"/>
    <hyperlink ref="C9229" r:id="rId13539" xr:uid="{00000000-0004-0000-0200-0000E2340000}"/>
    <hyperlink ref="A9230" r:id="rId13540" xr:uid="{00000000-0004-0000-0200-0000E3340000}"/>
    <hyperlink ref="B9230" r:id="rId13541" xr:uid="{00000000-0004-0000-0200-0000E4340000}"/>
    <hyperlink ref="C9230" r:id="rId13542" xr:uid="{00000000-0004-0000-0200-0000E5340000}"/>
    <hyperlink ref="A9231" r:id="rId13543" xr:uid="{00000000-0004-0000-0200-0000E6340000}"/>
    <hyperlink ref="B9231" r:id="rId13544" xr:uid="{00000000-0004-0000-0200-0000E7340000}"/>
    <hyperlink ref="C9231" r:id="rId13545" xr:uid="{00000000-0004-0000-0200-0000E8340000}"/>
    <hyperlink ref="A9232" r:id="rId13546" xr:uid="{00000000-0004-0000-0200-0000E9340000}"/>
    <hyperlink ref="B9232" r:id="rId13547" xr:uid="{00000000-0004-0000-0200-0000EA340000}"/>
    <hyperlink ref="C9232" r:id="rId13548" xr:uid="{00000000-0004-0000-0200-0000EB340000}"/>
    <hyperlink ref="A9233" r:id="rId13549" xr:uid="{00000000-0004-0000-0200-0000EC340000}"/>
    <hyperlink ref="B9233" r:id="rId13550" xr:uid="{00000000-0004-0000-0200-0000ED340000}"/>
    <hyperlink ref="C9233" r:id="rId13551" xr:uid="{00000000-0004-0000-0200-0000EE340000}"/>
    <hyperlink ref="A9234" r:id="rId13552" xr:uid="{00000000-0004-0000-0200-0000EF340000}"/>
    <hyperlink ref="B9234" r:id="rId13553" xr:uid="{00000000-0004-0000-0200-0000F0340000}"/>
    <hyperlink ref="C9234" r:id="rId13554" xr:uid="{00000000-0004-0000-0200-0000F1340000}"/>
    <hyperlink ref="A9235" r:id="rId13555" xr:uid="{00000000-0004-0000-0200-0000F2340000}"/>
    <hyperlink ref="B9235" r:id="rId13556" xr:uid="{00000000-0004-0000-0200-0000F3340000}"/>
    <hyperlink ref="C9235" r:id="rId13557" xr:uid="{00000000-0004-0000-0200-0000F4340000}"/>
    <hyperlink ref="A9236" r:id="rId13558" xr:uid="{00000000-0004-0000-0200-0000F5340000}"/>
    <hyperlink ref="B9236" r:id="rId13559" xr:uid="{00000000-0004-0000-0200-0000F6340000}"/>
    <hyperlink ref="C9236" r:id="rId13560" xr:uid="{00000000-0004-0000-0200-0000F7340000}"/>
    <hyperlink ref="A9237" r:id="rId13561" xr:uid="{00000000-0004-0000-0200-0000F8340000}"/>
    <hyperlink ref="B9237" r:id="rId13562" xr:uid="{00000000-0004-0000-0200-0000F9340000}"/>
    <hyperlink ref="C9237" r:id="rId13563" xr:uid="{00000000-0004-0000-0200-0000FA340000}"/>
    <hyperlink ref="A9238" r:id="rId13564" xr:uid="{00000000-0004-0000-0200-0000FB340000}"/>
    <hyperlink ref="B9238" r:id="rId13565" xr:uid="{00000000-0004-0000-0200-0000FC340000}"/>
    <hyperlink ref="C9238" r:id="rId13566" xr:uid="{00000000-0004-0000-0200-0000FD340000}"/>
    <hyperlink ref="A9239" r:id="rId13567" xr:uid="{00000000-0004-0000-0200-0000FE340000}"/>
    <hyperlink ref="B9239" r:id="rId13568" xr:uid="{00000000-0004-0000-0200-0000FF340000}"/>
    <hyperlink ref="C9239" r:id="rId13569" xr:uid="{00000000-0004-0000-0200-000000350000}"/>
    <hyperlink ref="A9240" r:id="rId13570" xr:uid="{00000000-0004-0000-0200-000001350000}"/>
    <hyperlink ref="B9240" r:id="rId13571" xr:uid="{00000000-0004-0000-0200-000002350000}"/>
    <hyperlink ref="C9240" r:id="rId13572" xr:uid="{00000000-0004-0000-0200-000003350000}"/>
    <hyperlink ref="A9241" r:id="rId13573" xr:uid="{00000000-0004-0000-0200-000004350000}"/>
    <hyperlink ref="B9241" r:id="rId13574" xr:uid="{00000000-0004-0000-0200-000005350000}"/>
    <hyperlink ref="C9241" r:id="rId13575" xr:uid="{00000000-0004-0000-0200-000006350000}"/>
    <hyperlink ref="A9242" r:id="rId13576" xr:uid="{00000000-0004-0000-0200-000007350000}"/>
    <hyperlink ref="B9242" r:id="rId13577" xr:uid="{00000000-0004-0000-0200-000008350000}"/>
    <hyperlink ref="C9242" r:id="rId13578" xr:uid="{00000000-0004-0000-0200-000009350000}"/>
    <hyperlink ref="A9243" r:id="rId13579" xr:uid="{00000000-0004-0000-0200-00000A350000}"/>
    <hyperlink ref="B9243" r:id="rId13580" xr:uid="{00000000-0004-0000-0200-00000B350000}"/>
    <hyperlink ref="C9243" r:id="rId13581" xr:uid="{00000000-0004-0000-0200-00000C350000}"/>
    <hyperlink ref="A9244" r:id="rId13582" xr:uid="{00000000-0004-0000-0200-00000D350000}"/>
    <hyperlink ref="B9244" r:id="rId13583" xr:uid="{00000000-0004-0000-0200-00000E350000}"/>
    <hyperlink ref="C9244" r:id="rId13584" xr:uid="{00000000-0004-0000-0200-00000F350000}"/>
    <hyperlink ref="A9245" r:id="rId13585" xr:uid="{00000000-0004-0000-0200-000010350000}"/>
    <hyperlink ref="B9245" r:id="rId13586" xr:uid="{00000000-0004-0000-0200-000011350000}"/>
    <hyperlink ref="C9245" r:id="rId13587" xr:uid="{00000000-0004-0000-0200-000012350000}"/>
    <hyperlink ref="A9246" r:id="rId13588" xr:uid="{00000000-0004-0000-0200-000013350000}"/>
    <hyperlink ref="B9246" r:id="rId13589" xr:uid="{00000000-0004-0000-0200-000014350000}"/>
    <hyperlink ref="C9246" r:id="rId13590" xr:uid="{00000000-0004-0000-0200-000015350000}"/>
    <hyperlink ref="A9247" r:id="rId13591" xr:uid="{00000000-0004-0000-0200-000016350000}"/>
    <hyperlink ref="B9247" r:id="rId13592" xr:uid="{00000000-0004-0000-0200-000017350000}"/>
    <hyperlink ref="C9247" r:id="rId13593" xr:uid="{00000000-0004-0000-0200-000018350000}"/>
    <hyperlink ref="A9248" r:id="rId13594" xr:uid="{00000000-0004-0000-0200-000019350000}"/>
    <hyperlink ref="B9248" r:id="rId13595" xr:uid="{00000000-0004-0000-0200-00001A350000}"/>
    <hyperlink ref="C9248" r:id="rId13596" xr:uid="{00000000-0004-0000-0200-00001B350000}"/>
    <hyperlink ref="A9249" r:id="rId13597" xr:uid="{00000000-0004-0000-0200-00001C350000}"/>
    <hyperlink ref="B9249" r:id="rId13598" xr:uid="{00000000-0004-0000-0200-00001D350000}"/>
    <hyperlink ref="C9249" r:id="rId13599" xr:uid="{00000000-0004-0000-0200-00001E350000}"/>
    <hyperlink ref="A9250" r:id="rId13600" xr:uid="{00000000-0004-0000-0200-00001F350000}"/>
    <hyperlink ref="B9250" r:id="rId13601" xr:uid="{00000000-0004-0000-0200-000020350000}"/>
    <hyperlink ref="C9250" r:id="rId13602" xr:uid="{00000000-0004-0000-0200-000021350000}"/>
    <hyperlink ref="A9251" r:id="rId13603" xr:uid="{00000000-0004-0000-0200-000022350000}"/>
    <hyperlink ref="B9251" r:id="rId13604" xr:uid="{00000000-0004-0000-0200-000023350000}"/>
    <hyperlink ref="C9251" r:id="rId13605" xr:uid="{00000000-0004-0000-0200-000024350000}"/>
    <hyperlink ref="A9252" r:id="rId13606" xr:uid="{00000000-0004-0000-0200-000025350000}"/>
    <hyperlink ref="B9252" r:id="rId13607" xr:uid="{00000000-0004-0000-0200-000026350000}"/>
    <hyperlink ref="C9252" r:id="rId13608" xr:uid="{00000000-0004-0000-0200-000027350000}"/>
    <hyperlink ref="A9253" r:id="rId13609" xr:uid="{00000000-0004-0000-0200-000028350000}"/>
    <hyperlink ref="B9253" r:id="rId13610" xr:uid="{00000000-0004-0000-0200-000029350000}"/>
    <hyperlink ref="C9253" r:id="rId13611" xr:uid="{00000000-0004-0000-0200-00002A350000}"/>
    <hyperlink ref="A9254" r:id="rId13612" xr:uid="{00000000-0004-0000-0200-00002B350000}"/>
    <hyperlink ref="B9254" r:id="rId13613" xr:uid="{00000000-0004-0000-0200-00002C350000}"/>
    <hyperlink ref="C9254" r:id="rId13614" xr:uid="{00000000-0004-0000-0200-00002D350000}"/>
    <hyperlink ref="A9255" r:id="rId13615" xr:uid="{00000000-0004-0000-0200-00002E350000}"/>
    <hyperlink ref="B9255" r:id="rId13616" xr:uid="{00000000-0004-0000-0200-00002F350000}"/>
    <hyperlink ref="C9255" r:id="rId13617" xr:uid="{00000000-0004-0000-0200-000030350000}"/>
    <hyperlink ref="A9256" r:id="rId13618" xr:uid="{00000000-0004-0000-0200-000031350000}"/>
    <hyperlink ref="B9256" r:id="rId13619" xr:uid="{00000000-0004-0000-0200-000032350000}"/>
    <hyperlink ref="C9256" r:id="rId13620" xr:uid="{00000000-0004-0000-0200-000033350000}"/>
    <hyperlink ref="A9257" r:id="rId13621" xr:uid="{00000000-0004-0000-0200-000034350000}"/>
    <hyperlink ref="B9257" r:id="rId13622" xr:uid="{00000000-0004-0000-0200-000035350000}"/>
    <hyperlink ref="C9257" r:id="rId13623" xr:uid="{00000000-0004-0000-0200-000036350000}"/>
    <hyperlink ref="A9258" r:id="rId13624" xr:uid="{00000000-0004-0000-0200-000037350000}"/>
    <hyperlink ref="B9258" r:id="rId13625" xr:uid="{00000000-0004-0000-0200-000038350000}"/>
    <hyperlink ref="C9258" r:id="rId13626" xr:uid="{00000000-0004-0000-0200-000039350000}"/>
    <hyperlink ref="A9259" r:id="rId13627" xr:uid="{00000000-0004-0000-0200-00003A350000}"/>
    <hyperlink ref="B9259" r:id="rId13628" xr:uid="{00000000-0004-0000-0200-00003B350000}"/>
    <hyperlink ref="C9259" r:id="rId13629" xr:uid="{00000000-0004-0000-0200-00003C350000}"/>
    <hyperlink ref="A9260" r:id="rId13630" xr:uid="{00000000-0004-0000-0200-00003D350000}"/>
    <hyperlink ref="B9260" r:id="rId13631" xr:uid="{00000000-0004-0000-0200-00003E350000}"/>
    <hyperlink ref="C9260" r:id="rId13632" xr:uid="{00000000-0004-0000-0200-00003F350000}"/>
    <hyperlink ref="A9261" r:id="rId13633" xr:uid="{00000000-0004-0000-0200-000040350000}"/>
    <hyperlink ref="B9261" r:id="rId13634" xr:uid="{00000000-0004-0000-0200-000041350000}"/>
    <hyperlink ref="C9261" r:id="rId13635" xr:uid="{00000000-0004-0000-0200-000042350000}"/>
    <hyperlink ref="A9262" r:id="rId13636" xr:uid="{00000000-0004-0000-0200-000043350000}"/>
    <hyperlink ref="B9262" r:id="rId13637" xr:uid="{00000000-0004-0000-0200-000044350000}"/>
    <hyperlink ref="C9262" r:id="rId13638" xr:uid="{00000000-0004-0000-0200-000045350000}"/>
    <hyperlink ref="A9263" r:id="rId13639" xr:uid="{00000000-0004-0000-0200-000046350000}"/>
    <hyperlink ref="B9263" r:id="rId13640" xr:uid="{00000000-0004-0000-0200-000047350000}"/>
    <hyperlink ref="C9263" r:id="rId13641" xr:uid="{00000000-0004-0000-0200-000048350000}"/>
    <hyperlink ref="A9264" r:id="rId13642" xr:uid="{00000000-0004-0000-0200-000049350000}"/>
    <hyperlink ref="B9264" r:id="rId13643" xr:uid="{00000000-0004-0000-0200-00004A350000}"/>
    <hyperlink ref="C9264" r:id="rId13644" xr:uid="{00000000-0004-0000-0200-00004B350000}"/>
    <hyperlink ref="A9265" r:id="rId13645" xr:uid="{00000000-0004-0000-0200-00004C350000}"/>
    <hyperlink ref="B9265" r:id="rId13646" xr:uid="{00000000-0004-0000-0200-00004D350000}"/>
    <hyperlink ref="C9265" r:id="rId13647" xr:uid="{00000000-0004-0000-0200-00004E350000}"/>
    <hyperlink ref="A9266" r:id="rId13648" xr:uid="{00000000-0004-0000-0200-00004F350000}"/>
    <hyperlink ref="B9266" r:id="rId13649" xr:uid="{00000000-0004-0000-0200-000050350000}"/>
    <hyperlink ref="C9266" r:id="rId13650" xr:uid="{00000000-0004-0000-0200-000051350000}"/>
    <hyperlink ref="A9267" r:id="rId13651" xr:uid="{00000000-0004-0000-0200-000052350000}"/>
    <hyperlink ref="B9267" r:id="rId13652" xr:uid="{00000000-0004-0000-0200-000053350000}"/>
    <hyperlink ref="C9267" r:id="rId13653" xr:uid="{00000000-0004-0000-0200-000054350000}"/>
    <hyperlink ref="A9268" r:id="rId13654" xr:uid="{00000000-0004-0000-0200-000055350000}"/>
    <hyperlink ref="B9268" r:id="rId13655" xr:uid="{00000000-0004-0000-0200-000056350000}"/>
    <hyperlink ref="C9268" r:id="rId13656" xr:uid="{00000000-0004-0000-0200-000057350000}"/>
    <hyperlink ref="A9269" r:id="rId13657" xr:uid="{00000000-0004-0000-0200-000058350000}"/>
    <hyperlink ref="B9269" r:id="rId13658" xr:uid="{00000000-0004-0000-0200-000059350000}"/>
    <hyperlink ref="C9269" r:id="rId13659" xr:uid="{00000000-0004-0000-0200-00005A350000}"/>
    <hyperlink ref="A9270" r:id="rId13660" xr:uid="{00000000-0004-0000-0200-00005B350000}"/>
    <hyperlink ref="B9270" r:id="rId13661" xr:uid="{00000000-0004-0000-0200-00005C350000}"/>
    <hyperlink ref="C9270" r:id="rId13662" xr:uid="{00000000-0004-0000-0200-00005D350000}"/>
    <hyperlink ref="A9271" r:id="rId13663" xr:uid="{00000000-0004-0000-0200-00005E350000}"/>
    <hyperlink ref="B9271" r:id="rId13664" xr:uid="{00000000-0004-0000-0200-00005F350000}"/>
    <hyperlink ref="C9271" r:id="rId13665" xr:uid="{00000000-0004-0000-0200-000060350000}"/>
    <hyperlink ref="A9272" r:id="rId13666" xr:uid="{00000000-0004-0000-0200-000061350000}"/>
    <hyperlink ref="B9272" r:id="rId13667" xr:uid="{00000000-0004-0000-0200-000062350000}"/>
    <hyperlink ref="C9272" r:id="rId13668" xr:uid="{00000000-0004-0000-0200-000063350000}"/>
    <hyperlink ref="A9273" r:id="rId13669" xr:uid="{00000000-0004-0000-0200-000064350000}"/>
    <hyperlink ref="B9273" r:id="rId13670" xr:uid="{00000000-0004-0000-0200-000065350000}"/>
    <hyperlink ref="C9273" r:id="rId13671" xr:uid="{00000000-0004-0000-0200-000066350000}"/>
    <hyperlink ref="A9274" r:id="rId13672" xr:uid="{00000000-0004-0000-0200-000067350000}"/>
    <hyperlink ref="B9274" r:id="rId13673" xr:uid="{00000000-0004-0000-0200-000068350000}"/>
    <hyperlink ref="C9274" r:id="rId13674" xr:uid="{00000000-0004-0000-0200-000069350000}"/>
    <hyperlink ref="A9275" r:id="rId13675" xr:uid="{00000000-0004-0000-0200-00006A350000}"/>
    <hyperlink ref="B9275" r:id="rId13676" xr:uid="{00000000-0004-0000-0200-00006B350000}"/>
    <hyperlink ref="C9275" r:id="rId13677" xr:uid="{00000000-0004-0000-0200-00006C350000}"/>
    <hyperlink ref="A9276" r:id="rId13678" xr:uid="{00000000-0004-0000-0200-00006D350000}"/>
    <hyperlink ref="B9276" r:id="rId13679" xr:uid="{00000000-0004-0000-0200-00006E350000}"/>
    <hyperlink ref="C9276" r:id="rId13680" xr:uid="{00000000-0004-0000-0200-00006F350000}"/>
    <hyperlink ref="A9277" r:id="rId13681" xr:uid="{00000000-0004-0000-0200-000070350000}"/>
    <hyperlink ref="B9277" r:id="rId13682" xr:uid="{00000000-0004-0000-0200-000071350000}"/>
    <hyperlink ref="C9277" r:id="rId13683" xr:uid="{00000000-0004-0000-0200-000072350000}"/>
    <hyperlink ref="A9278" r:id="rId13684" xr:uid="{00000000-0004-0000-0200-000073350000}"/>
    <hyperlink ref="B9278" r:id="rId13685" xr:uid="{00000000-0004-0000-0200-000074350000}"/>
    <hyperlink ref="C9278" r:id="rId13686" xr:uid="{00000000-0004-0000-0200-000075350000}"/>
    <hyperlink ref="A9279" r:id="rId13687" xr:uid="{00000000-0004-0000-0200-000076350000}"/>
    <hyperlink ref="B9279" r:id="rId13688" xr:uid="{00000000-0004-0000-0200-000077350000}"/>
    <hyperlink ref="C9279" r:id="rId13689" xr:uid="{00000000-0004-0000-0200-000078350000}"/>
    <hyperlink ref="A9280" r:id="rId13690" xr:uid="{00000000-0004-0000-0200-000079350000}"/>
    <hyperlink ref="B9280" r:id="rId13691" xr:uid="{00000000-0004-0000-0200-00007A350000}"/>
    <hyperlink ref="C9280" r:id="rId13692" xr:uid="{00000000-0004-0000-0200-00007B350000}"/>
    <hyperlink ref="A9281" r:id="rId13693" xr:uid="{00000000-0004-0000-0200-00007C350000}"/>
    <hyperlink ref="B9281" r:id="rId13694" xr:uid="{00000000-0004-0000-0200-00007D350000}"/>
    <hyperlink ref="C9281" r:id="rId13695" xr:uid="{00000000-0004-0000-0200-00007E350000}"/>
    <hyperlink ref="A9282" r:id="rId13696" xr:uid="{00000000-0004-0000-0200-00007F350000}"/>
    <hyperlink ref="B9282" r:id="rId13697" xr:uid="{00000000-0004-0000-0200-000080350000}"/>
    <hyperlink ref="C9282" r:id="rId13698" xr:uid="{00000000-0004-0000-0200-000081350000}"/>
    <hyperlink ref="A9283" r:id="rId13699" xr:uid="{00000000-0004-0000-0200-000082350000}"/>
    <hyperlink ref="B9283" r:id="rId13700" xr:uid="{00000000-0004-0000-0200-000083350000}"/>
    <hyperlink ref="C9283" r:id="rId13701" xr:uid="{00000000-0004-0000-0200-000084350000}"/>
    <hyperlink ref="A9284" r:id="rId13702" xr:uid="{00000000-0004-0000-0200-000085350000}"/>
    <hyperlink ref="B9284" r:id="rId13703" xr:uid="{00000000-0004-0000-0200-000086350000}"/>
    <hyperlink ref="C9284" r:id="rId13704" xr:uid="{00000000-0004-0000-0200-000087350000}"/>
    <hyperlink ref="A9285" r:id="rId13705" xr:uid="{00000000-0004-0000-0200-000088350000}"/>
    <hyperlink ref="B9285" r:id="rId13706" xr:uid="{00000000-0004-0000-0200-000089350000}"/>
    <hyperlink ref="C9285" r:id="rId13707" xr:uid="{00000000-0004-0000-0200-00008A350000}"/>
    <hyperlink ref="A9286" r:id="rId13708" xr:uid="{00000000-0004-0000-0200-00008B350000}"/>
    <hyperlink ref="B9286" r:id="rId13709" xr:uid="{00000000-0004-0000-0200-00008C350000}"/>
    <hyperlink ref="C9286" r:id="rId13710" xr:uid="{00000000-0004-0000-0200-00008D350000}"/>
    <hyperlink ref="A9287" r:id="rId13711" xr:uid="{00000000-0004-0000-0200-00008E350000}"/>
    <hyperlink ref="B9287" r:id="rId13712" xr:uid="{00000000-0004-0000-0200-00008F350000}"/>
    <hyperlink ref="C9287" r:id="rId13713" xr:uid="{00000000-0004-0000-0200-000090350000}"/>
    <hyperlink ref="A9288" r:id="rId13714" xr:uid="{00000000-0004-0000-0200-000091350000}"/>
    <hyperlink ref="B9288" r:id="rId13715" xr:uid="{00000000-0004-0000-0200-000092350000}"/>
    <hyperlink ref="C9288" r:id="rId13716" xr:uid="{00000000-0004-0000-0200-000093350000}"/>
    <hyperlink ref="A9289" r:id="rId13717" xr:uid="{00000000-0004-0000-0200-000094350000}"/>
    <hyperlink ref="B9289" r:id="rId13718" xr:uid="{00000000-0004-0000-0200-000095350000}"/>
    <hyperlink ref="C9289" r:id="rId13719" xr:uid="{00000000-0004-0000-0200-000096350000}"/>
    <hyperlink ref="A9290" r:id="rId13720" xr:uid="{00000000-0004-0000-0200-000097350000}"/>
    <hyperlink ref="B9290" r:id="rId13721" xr:uid="{00000000-0004-0000-0200-000098350000}"/>
    <hyperlink ref="C9290" r:id="rId13722" xr:uid="{00000000-0004-0000-0200-000099350000}"/>
    <hyperlink ref="A9291" r:id="rId13723" xr:uid="{00000000-0004-0000-0200-00009A350000}"/>
    <hyperlink ref="B9291" r:id="rId13724" xr:uid="{00000000-0004-0000-0200-00009B350000}"/>
    <hyperlink ref="C9291" r:id="rId13725" xr:uid="{00000000-0004-0000-0200-00009C350000}"/>
    <hyperlink ref="A9292" r:id="rId13726" xr:uid="{00000000-0004-0000-0200-00009D350000}"/>
    <hyperlink ref="B9292" r:id="rId13727" xr:uid="{00000000-0004-0000-0200-00009E350000}"/>
    <hyperlink ref="C9292" r:id="rId13728" xr:uid="{00000000-0004-0000-0200-00009F350000}"/>
    <hyperlink ref="A9293" r:id="rId13729" xr:uid="{00000000-0004-0000-0200-0000A0350000}"/>
    <hyperlink ref="B9293" r:id="rId13730" xr:uid="{00000000-0004-0000-0200-0000A1350000}"/>
    <hyperlink ref="C9293" r:id="rId13731" xr:uid="{00000000-0004-0000-0200-0000A2350000}"/>
    <hyperlink ref="A9294" r:id="rId13732" xr:uid="{00000000-0004-0000-0200-0000A3350000}"/>
    <hyperlink ref="B9294" r:id="rId13733" xr:uid="{00000000-0004-0000-0200-0000A4350000}"/>
    <hyperlink ref="C9294" r:id="rId13734" xr:uid="{00000000-0004-0000-0200-0000A5350000}"/>
    <hyperlink ref="A9295" r:id="rId13735" xr:uid="{00000000-0004-0000-0200-0000A6350000}"/>
    <hyperlink ref="B9295" r:id="rId13736" xr:uid="{00000000-0004-0000-0200-0000A7350000}"/>
    <hyperlink ref="C9295" r:id="rId13737" xr:uid="{00000000-0004-0000-0200-0000A8350000}"/>
    <hyperlink ref="A9296" r:id="rId13738" xr:uid="{00000000-0004-0000-0200-0000A9350000}"/>
    <hyperlink ref="B9296" r:id="rId13739" xr:uid="{00000000-0004-0000-0200-0000AA350000}"/>
    <hyperlink ref="C9296" r:id="rId13740" xr:uid="{00000000-0004-0000-0200-0000AB350000}"/>
    <hyperlink ref="A9297" r:id="rId13741" xr:uid="{00000000-0004-0000-0200-0000AC350000}"/>
    <hyperlink ref="B9297" r:id="rId13742" xr:uid="{00000000-0004-0000-0200-0000AD350000}"/>
    <hyperlink ref="C9297" r:id="rId13743" xr:uid="{00000000-0004-0000-0200-0000AE350000}"/>
    <hyperlink ref="A9298" r:id="rId13744" xr:uid="{00000000-0004-0000-0200-0000AF350000}"/>
    <hyperlink ref="B9298" r:id="rId13745" xr:uid="{00000000-0004-0000-0200-0000B0350000}"/>
    <hyperlink ref="C9298" r:id="rId13746" xr:uid="{00000000-0004-0000-0200-0000B1350000}"/>
    <hyperlink ref="A9299" r:id="rId13747" xr:uid="{00000000-0004-0000-0200-0000B2350000}"/>
    <hyperlink ref="B9299" r:id="rId13748" xr:uid="{00000000-0004-0000-0200-0000B3350000}"/>
    <hyperlink ref="C9299" r:id="rId13749" xr:uid="{00000000-0004-0000-0200-0000B4350000}"/>
    <hyperlink ref="A9300" r:id="rId13750" xr:uid="{00000000-0004-0000-0200-0000B5350000}"/>
    <hyperlink ref="B9300" r:id="rId13751" xr:uid="{00000000-0004-0000-0200-0000B6350000}"/>
    <hyperlink ref="C9300" r:id="rId13752" xr:uid="{00000000-0004-0000-0200-0000B7350000}"/>
    <hyperlink ref="A9301" r:id="rId13753" xr:uid="{00000000-0004-0000-0200-0000B8350000}"/>
    <hyperlink ref="B9301" r:id="rId13754" xr:uid="{00000000-0004-0000-0200-0000B9350000}"/>
    <hyperlink ref="C9301" r:id="rId13755" xr:uid="{00000000-0004-0000-0200-0000BA350000}"/>
    <hyperlink ref="A9302" r:id="rId13756" xr:uid="{00000000-0004-0000-0200-0000BB350000}"/>
    <hyperlink ref="B9302" r:id="rId13757" xr:uid="{00000000-0004-0000-0200-0000BC350000}"/>
    <hyperlink ref="C9302" r:id="rId13758" xr:uid="{00000000-0004-0000-0200-0000BD350000}"/>
    <hyperlink ref="A9303" r:id="rId13759" xr:uid="{00000000-0004-0000-0200-0000BE350000}"/>
    <hyperlink ref="B9303" r:id="rId13760" xr:uid="{00000000-0004-0000-0200-0000BF350000}"/>
    <hyperlink ref="C9303" r:id="rId13761" xr:uid="{00000000-0004-0000-0200-0000C0350000}"/>
    <hyperlink ref="A9304" r:id="rId13762" xr:uid="{00000000-0004-0000-0200-0000C1350000}"/>
    <hyperlink ref="B9304" r:id="rId13763" xr:uid="{00000000-0004-0000-0200-0000C2350000}"/>
    <hyperlink ref="C9304" r:id="rId13764" xr:uid="{00000000-0004-0000-0200-0000C3350000}"/>
    <hyperlink ref="A9305" r:id="rId13765" xr:uid="{00000000-0004-0000-0200-0000C4350000}"/>
    <hyperlink ref="B9305" r:id="rId13766" xr:uid="{00000000-0004-0000-0200-0000C5350000}"/>
    <hyperlink ref="C9305" r:id="rId13767" xr:uid="{00000000-0004-0000-0200-0000C6350000}"/>
    <hyperlink ref="A9306" r:id="rId13768" xr:uid="{00000000-0004-0000-0200-0000C7350000}"/>
    <hyperlink ref="B9306" r:id="rId13769" xr:uid="{00000000-0004-0000-0200-0000C8350000}"/>
    <hyperlink ref="C9306" r:id="rId13770" xr:uid="{00000000-0004-0000-0200-0000C9350000}"/>
    <hyperlink ref="A9307" r:id="rId13771" xr:uid="{00000000-0004-0000-0200-0000CA350000}"/>
    <hyperlink ref="B9307" r:id="rId13772" xr:uid="{00000000-0004-0000-0200-0000CB350000}"/>
    <hyperlink ref="C9307" r:id="rId13773" xr:uid="{00000000-0004-0000-0200-0000CC350000}"/>
    <hyperlink ref="A9308" r:id="rId13774" xr:uid="{00000000-0004-0000-0200-0000CD350000}"/>
    <hyperlink ref="B9308" r:id="rId13775" xr:uid="{00000000-0004-0000-0200-0000CE350000}"/>
    <hyperlink ref="C9308" r:id="rId13776" xr:uid="{00000000-0004-0000-0200-0000CF350000}"/>
    <hyperlink ref="A9309" r:id="rId13777" xr:uid="{00000000-0004-0000-0200-0000D0350000}"/>
    <hyperlink ref="B9309" r:id="rId13778" xr:uid="{00000000-0004-0000-0200-0000D1350000}"/>
    <hyperlink ref="C9309" r:id="rId13779" xr:uid="{00000000-0004-0000-0200-0000D2350000}"/>
    <hyperlink ref="A9310" r:id="rId13780" xr:uid="{00000000-0004-0000-0200-0000D3350000}"/>
    <hyperlink ref="B9310" r:id="rId13781" xr:uid="{00000000-0004-0000-0200-0000D4350000}"/>
    <hyperlink ref="C9310" r:id="rId13782" xr:uid="{00000000-0004-0000-0200-0000D5350000}"/>
    <hyperlink ref="A9311" r:id="rId13783" xr:uid="{00000000-0004-0000-0200-0000D6350000}"/>
    <hyperlink ref="B9311" r:id="rId13784" xr:uid="{00000000-0004-0000-0200-0000D7350000}"/>
    <hyperlink ref="C9311" r:id="rId13785" xr:uid="{00000000-0004-0000-0200-0000D8350000}"/>
    <hyperlink ref="A9312" r:id="rId13786" xr:uid="{00000000-0004-0000-0200-0000D9350000}"/>
    <hyperlink ref="B9312" r:id="rId13787" xr:uid="{00000000-0004-0000-0200-0000DA350000}"/>
    <hyperlink ref="C9312" r:id="rId13788" xr:uid="{00000000-0004-0000-0200-0000DB350000}"/>
    <hyperlink ref="A9313" r:id="rId13789" xr:uid="{00000000-0004-0000-0200-0000DC350000}"/>
    <hyperlink ref="B9313" r:id="rId13790" xr:uid="{00000000-0004-0000-0200-0000DD350000}"/>
    <hyperlink ref="C9313" r:id="rId13791" xr:uid="{00000000-0004-0000-0200-0000DE350000}"/>
    <hyperlink ref="A9314" r:id="rId13792" xr:uid="{00000000-0004-0000-0200-0000DF350000}"/>
    <hyperlink ref="B9314" r:id="rId13793" xr:uid="{00000000-0004-0000-0200-0000E0350000}"/>
    <hyperlink ref="C9314" r:id="rId13794" xr:uid="{00000000-0004-0000-0200-0000E1350000}"/>
    <hyperlink ref="A9315" r:id="rId13795" xr:uid="{00000000-0004-0000-0200-0000E2350000}"/>
    <hyperlink ref="B9315" r:id="rId13796" xr:uid="{00000000-0004-0000-0200-0000E3350000}"/>
    <hyperlink ref="C9315" r:id="rId13797" xr:uid="{00000000-0004-0000-0200-0000E4350000}"/>
    <hyperlink ref="A9316" r:id="rId13798" xr:uid="{00000000-0004-0000-0200-0000E5350000}"/>
    <hyperlink ref="B9316" r:id="rId13799" xr:uid="{00000000-0004-0000-0200-0000E6350000}"/>
    <hyperlink ref="C9316" r:id="rId13800" xr:uid="{00000000-0004-0000-0200-0000E7350000}"/>
    <hyperlink ref="A9317" r:id="rId13801" xr:uid="{00000000-0004-0000-0200-0000E8350000}"/>
    <hyperlink ref="B9317" r:id="rId13802" xr:uid="{00000000-0004-0000-0200-0000E9350000}"/>
    <hyperlink ref="C9317" r:id="rId13803" xr:uid="{00000000-0004-0000-0200-0000EA350000}"/>
    <hyperlink ref="A9318" r:id="rId13804" xr:uid="{00000000-0004-0000-0200-0000EB350000}"/>
    <hyperlink ref="B9318" r:id="rId13805" xr:uid="{00000000-0004-0000-0200-0000EC350000}"/>
    <hyperlink ref="C9318" r:id="rId13806" xr:uid="{00000000-0004-0000-0200-0000ED350000}"/>
    <hyperlink ref="A9319" r:id="rId13807" xr:uid="{00000000-0004-0000-0200-0000EE350000}"/>
    <hyperlink ref="B9319" r:id="rId13808" xr:uid="{00000000-0004-0000-0200-0000EF350000}"/>
    <hyperlink ref="C9319" r:id="rId13809" xr:uid="{00000000-0004-0000-0200-0000F0350000}"/>
    <hyperlink ref="A9320" r:id="rId13810" xr:uid="{00000000-0004-0000-0200-0000F1350000}"/>
    <hyperlink ref="B9320" r:id="rId13811" xr:uid="{00000000-0004-0000-0200-0000F2350000}"/>
    <hyperlink ref="C9320" r:id="rId13812" xr:uid="{00000000-0004-0000-0200-0000F3350000}"/>
    <hyperlink ref="A9321" r:id="rId13813" xr:uid="{00000000-0004-0000-0200-0000F4350000}"/>
    <hyperlink ref="B9321" r:id="rId13814" xr:uid="{00000000-0004-0000-0200-0000F5350000}"/>
    <hyperlink ref="C9321" r:id="rId13815" xr:uid="{00000000-0004-0000-0200-0000F6350000}"/>
    <hyperlink ref="A9322" r:id="rId13816" xr:uid="{00000000-0004-0000-0200-0000F7350000}"/>
    <hyperlink ref="B9322" r:id="rId13817" xr:uid="{00000000-0004-0000-0200-0000F8350000}"/>
    <hyperlink ref="C9322" r:id="rId13818" xr:uid="{00000000-0004-0000-0200-0000F9350000}"/>
    <hyperlink ref="A9323" r:id="rId13819" xr:uid="{00000000-0004-0000-0200-0000FA350000}"/>
    <hyperlink ref="B9323" r:id="rId13820" xr:uid="{00000000-0004-0000-0200-0000FB350000}"/>
    <hyperlink ref="C9323" r:id="rId13821" xr:uid="{00000000-0004-0000-0200-0000FC350000}"/>
    <hyperlink ref="A9324" r:id="rId13822" xr:uid="{00000000-0004-0000-0200-0000FD350000}"/>
    <hyperlink ref="B9324" r:id="rId13823" xr:uid="{00000000-0004-0000-0200-0000FE350000}"/>
    <hyperlink ref="C9324" r:id="rId13824" xr:uid="{00000000-0004-0000-0200-0000FF350000}"/>
    <hyperlink ref="A9325" r:id="rId13825" xr:uid="{00000000-0004-0000-0200-000000360000}"/>
    <hyperlink ref="B9325" r:id="rId13826" xr:uid="{00000000-0004-0000-0200-000001360000}"/>
    <hyperlink ref="C9325" r:id="rId13827" xr:uid="{00000000-0004-0000-0200-000002360000}"/>
    <hyperlink ref="A9326" r:id="rId13828" xr:uid="{00000000-0004-0000-0200-000003360000}"/>
    <hyperlink ref="B9326" r:id="rId13829" xr:uid="{00000000-0004-0000-0200-000004360000}"/>
    <hyperlink ref="C9326" r:id="rId13830" xr:uid="{00000000-0004-0000-0200-000005360000}"/>
    <hyperlink ref="A9327" r:id="rId13831" xr:uid="{00000000-0004-0000-0200-000006360000}"/>
    <hyperlink ref="B9327" r:id="rId13832" xr:uid="{00000000-0004-0000-0200-000007360000}"/>
    <hyperlink ref="C9327" r:id="rId13833" xr:uid="{00000000-0004-0000-0200-000008360000}"/>
    <hyperlink ref="A9328" r:id="rId13834" xr:uid="{00000000-0004-0000-0200-000009360000}"/>
    <hyperlink ref="B9328" r:id="rId13835" xr:uid="{00000000-0004-0000-0200-00000A360000}"/>
    <hyperlink ref="C9328" r:id="rId13836" xr:uid="{00000000-0004-0000-0200-00000B360000}"/>
    <hyperlink ref="A9329" r:id="rId13837" xr:uid="{00000000-0004-0000-0200-00000C360000}"/>
    <hyperlink ref="B9329" r:id="rId13838" xr:uid="{00000000-0004-0000-0200-00000D360000}"/>
    <hyperlink ref="C9329" r:id="rId13839" xr:uid="{00000000-0004-0000-0200-00000E360000}"/>
    <hyperlink ref="A9330" r:id="rId13840" xr:uid="{00000000-0004-0000-0200-00000F360000}"/>
    <hyperlink ref="B9330" r:id="rId13841" xr:uid="{00000000-0004-0000-0200-000010360000}"/>
    <hyperlink ref="C9330" r:id="rId13842" xr:uid="{00000000-0004-0000-0200-000011360000}"/>
    <hyperlink ref="A9331" r:id="rId13843" xr:uid="{00000000-0004-0000-0200-000012360000}"/>
    <hyperlink ref="B9331" r:id="rId13844" xr:uid="{00000000-0004-0000-0200-000013360000}"/>
    <hyperlink ref="C9331" r:id="rId13845" xr:uid="{00000000-0004-0000-0200-000014360000}"/>
    <hyperlink ref="A9332" r:id="rId13846" xr:uid="{00000000-0004-0000-0200-000015360000}"/>
    <hyperlink ref="B9332" r:id="rId13847" xr:uid="{00000000-0004-0000-0200-000016360000}"/>
    <hyperlink ref="C9332" r:id="rId13848" xr:uid="{00000000-0004-0000-0200-000017360000}"/>
    <hyperlink ref="A9333" r:id="rId13849" xr:uid="{00000000-0004-0000-0200-000018360000}"/>
    <hyperlink ref="B9333" r:id="rId13850" xr:uid="{00000000-0004-0000-0200-000019360000}"/>
    <hyperlink ref="C9333" r:id="rId13851" xr:uid="{00000000-0004-0000-0200-00001A360000}"/>
    <hyperlink ref="A9334" r:id="rId13852" xr:uid="{00000000-0004-0000-0200-00001B360000}"/>
    <hyperlink ref="B9334" r:id="rId13853" xr:uid="{00000000-0004-0000-0200-00001C360000}"/>
    <hyperlink ref="C9334" r:id="rId13854" xr:uid="{00000000-0004-0000-0200-00001D360000}"/>
    <hyperlink ref="A9335" r:id="rId13855" xr:uid="{00000000-0004-0000-0200-00001E360000}"/>
    <hyperlink ref="B9335" r:id="rId13856" xr:uid="{00000000-0004-0000-0200-00001F360000}"/>
    <hyperlink ref="C9335" r:id="rId13857" xr:uid="{00000000-0004-0000-0200-000020360000}"/>
    <hyperlink ref="A9336" r:id="rId13858" xr:uid="{00000000-0004-0000-0200-000021360000}"/>
    <hyperlink ref="B9336" r:id="rId13859" xr:uid="{00000000-0004-0000-0200-000022360000}"/>
    <hyperlink ref="C9336" r:id="rId13860" xr:uid="{00000000-0004-0000-0200-000023360000}"/>
    <hyperlink ref="A9337" r:id="rId13861" xr:uid="{00000000-0004-0000-0200-000024360000}"/>
    <hyperlink ref="B9337" r:id="rId13862" xr:uid="{00000000-0004-0000-0200-000025360000}"/>
    <hyperlink ref="C9337" r:id="rId13863" xr:uid="{00000000-0004-0000-0200-000026360000}"/>
    <hyperlink ref="A9338" r:id="rId13864" xr:uid="{00000000-0004-0000-0200-000027360000}"/>
    <hyperlink ref="B9338" r:id="rId13865" xr:uid="{00000000-0004-0000-0200-000028360000}"/>
    <hyperlink ref="C9338" r:id="rId13866" xr:uid="{00000000-0004-0000-0200-000029360000}"/>
    <hyperlink ref="A9339" r:id="rId13867" xr:uid="{00000000-0004-0000-0200-00002A360000}"/>
    <hyperlink ref="B9339" r:id="rId13868" xr:uid="{00000000-0004-0000-0200-00002B360000}"/>
    <hyperlink ref="C9339" r:id="rId13869" xr:uid="{00000000-0004-0000-0200-00002C360000}"/>
    <hyperlink ref="A9340" r:id="rId13870" xr:uid="{00000000-0004-0000-0200-00002D360000}"/>
    <hyperlink ref="B9340" r:id="rId13871" xr:uid="{00000000-0004-0000-0200-00002E360000}"/>
    <hyperlink ref="C9340" r:id="rId13872" xr:uid="{00000000-0004-0000-0200-00002F360000}"/>
    <hyperlink ref="A9341" r:id="rId13873" xr:uid="{00000000-0004-0000-0200-000030360000}"/>
    <hyperlink ref="B9341" r:id="rId13874" xr:uid="{00000000-0004-0000-0200-000031360000}"/>
    <hyperlink ref="C9341" r:id="rId13875" xr:uid="{00000000-0004-0000-0200-000032360000}"/>
    <hyperlink ref="A9342" r:id="rId13876" xr:uid="{00000000-0004-0000-0200-000033360000}"/>
    <hyperlink ref="B9342" r:id="rId13877" xr:uid="{00000000-0004-0000-0200-000034360000}"/>
    <hyperlink ref="C9342" r:id="rId13878" xr:uid="{00000000-0004-0000-0200-000035360000}"/>
    <hyperlink ref="A9343" r:id="rId13879" xr:uid="{00000000-0004-0000-0200-000036360000}"/>
    <hyperlink ref="B9343" r:id="rId13880" xr:uid="{00000000-0004-0000-0200-000037360000}"/>
    <hyperlink ref="C9343" r:id="rId13881" xr:uid="{00000000-0004-0000-0200-000038360000}"/>
    <hyperlink ref="A9344" r:id="rId13882" xr:uid="{00000000-0004-0000-0200-000039360000}"/>
    <hyperlink ref="B9344" r:id="rId13883" xr:uid="{00000000-0004-0000-0200-00003A360000}"/>
    <hyperlink ref="C9344" r:id="rId13884" xr:uid="{00000000-0004-0000-0200-00003B360000}"/>
    <hyperlink ref="A9345" r:id="rId13885" xr:uid="{00000000-0004-0000-0200-00003C360000}"/>
    <hyperlink ref="B9345" r:id="rId13886" xr:uid="{00000000-0004-0000-0200-00003D360000}"/>
    <hyperlink ref="C9345" r:id="rId13887" xr:uid="{00000000-0004-0000-0200-00003E360000}"/>
    <hyperlink ref="A9346" r:id="rId13888" xr:uid="{00000000-0004-0000-0200-00003F360000}"/>
    <hyperlink ref="B9346" r:id="rId13889" xr:uid="{00000000-0004-0000-0200-000040360000}"/>
    <hyperlink ref="C9346" r:id="rId13890" xr:uid="{00000000-0004-0000-0200-000041360000}"/>
    <hyperlink ref="A9347" r:id="rId13891" xr:uid="{00000000-0004-0000-0200-000042360000}"/>
    <hyperlink ref="B9347" r:id="rId13892" xr:uid="{00000000-0004-0000-0200-000043360000}"/>
    <hyperlink ref="C9347" r:id="rId13893" xr:uid="{00000000-0004-0000-0200-000044360000}"/>
    <hyperlink ref="A9348" r:id="rId13894" xr:uid="{00000000-0004-0000-0200-000045360000}"/>
    <hyperlink ref="B9348" r:id="rId13895" xr:uid="{00000000-0004-0000-0200-000046360000}"/>
    <hyperlink ref="C9348" r:id="rId13896" xr:uid="{00000000-0004-0000-0200-000047360000}"/>
    <hyperlink ref="A9349" r:id="rId13897" xr:uid="{00000000-0004-0000-0200-000048360000}"/>
    <hyperlink ref="B9349" r:id="rId13898" xr:uid="{00000000-0004-0000-0200-000049360000}"/>
    <hyperlink ref="C9349" r:id="rId13899" xr:uid="{00000000-0004-0000-0200-00004A360000}"/>
    <hyperlink ref="A9350" r:id="rId13900" xr:uid="{00000000-0004-0000-0200-00004B360000}"/>
    <hyperlink ref="B9350" r:id="rId13901" xr:uid="{00000000-0004-0000-0200-00004C360000}"/>
    <hyperlink ref="C9350" r:id="rId13902" xr:uid="{00000000-0004-0000-0200-00004D360000}"/>
    <hyperlink ref="A9351" r:id="rId13903" xr:uid="{00000000-0004-0000-0200-00004E360000}"/>
    <hyperlink ref="B9351" r:id="rId13904" xr:uid="{00000000-0004-0000-0200-00004F360000}"/>
    <hyperlink ref="C9351" r:id="rId13905" xr:uid="{00000000-0004-0000-0200-000050360000}"/>
    <hyperlink ref="A9352" r:id="rId13906" xr:uid="{00000000-0004-0000-0200-000051360000}"/>
    <hyperlink ref="B9352" r:id="rId13907" xr:uid="{00000000-0004-0000-0200-000052360000}"/>
    <hyperlink ref="C9352" r:id="rId13908" xr:uid="{00000000-0004-0000-0200-000053360000}"/>
    <hyperlink ref="A9353" r:id="rId13909" xr:uid="{00000000-0004-0000-0200-000054360000}"/>
    <hyperlink ref="B9353" r:id="rId13910" xr:uid="{00000000-0004-0000-0200-000055360000}"/>
    <hyperlink ref="C9353" r:id="rId13911" xr:uid="{00000000-0004-0000-0200-000056360000}"/>
    <hyperlink ref="A9354" r:id="rId13912" xr:uid="{00000000-0004-0000-0200-000057360000}"/>
    <hyperlink ref="B9354" r:id="rId13913" xr:uid="{00000000-0004-0000-0200-000058360000}"/>
    <hyperlink ref="C9354" r:id="rId13914" xr:uid="{00000000-0004-0000-0200-000059360000}"/>
    <hyperlink ref="A9355" r:id="rId13915" xr:uid="{00000000-0004-0000-0200-00005A360000}"/>
    <hyperlink ref="B9355" r:id="rId13916" xr:uid="{00000000-0004-0000-0200-00005B360000}"/>
    <hyperlink ref="C9355" r:id="rId13917" xr:uid="{00000000-0004-0000-0200-00005C360000}"/>
    <hyperlink ref="A9356" r:id="rId13918" xr:uid="{00000000-0004-0000-0200-00005D360000}"/>
    <hyperlink ref="B9356" r:id="rId13919" xr:uid="{00000000-0004-0000-0200-00005E360000}"/>
    <hyperlink ref="C9356" r:id="rId13920" xr:uid="{00000000-0004-0000-0200-00005F360000}"/>
    <hyperlink ref="A9357" r:id="rId13921" xr:uid="{00000000-0004-0000-0200-000060360000}"/>
    <hyperlink ref="B9357" r:id="rId13922" xr:uid="{00000000-0004-0000-0200-000061360000}"/>
    <hyperlink ref="C9357" r:id="rId13923" xr:uid="{00000000-0004-0000-0200-000062360000}"/>
    <hyperlink ref="A9358" r:id="rId13924" xr:uid="{00000000-0004-0000-0200-000063360000}"/>
    <hyperlink ref="B9358" r:id="rId13925" xr:uid="{00000000-0004-0000-0200-000064360000}"/>
    <hyperlink ref="C9358" r:id="rId13926" xr:uid="{00000000-0004-0000-0200-000065360000}"/>
    <hyperlink ref="A9359" r:id="rId13927" xr:uid="{00000000-0004-0000-0200-000066360000}"/>
    <hyperlink ref="B9359" r:id="rId13928" xr:uid="{00000000-0004-0000-0200-000067360000}"/>
    <hyperlink ref="C9359" r:id="rId13929" xr:uid="{00000000-0004-0000-0200-000068360000}"/>
    <hyperlink ref="A9360" r:id="rId13930" xr:uid="{00000000-0004-0000-0200-000069360000}"/>
    <hyperlink ref="B9360" r:id="rId13931" xr:uid="{00000000-0004-0000-0200-00006A360000}"/>
    <hyperlink ref="C9360" r:id="rId13932" xr:uid="{00000000-0004-0000-0200-00006B360000}"/>
    <hyperlink ref="A9361" r:id="rId13933" xr:uid="{00000000-0004-0000-0200-00006C360000}"/>
    <hyperlink ref="B9361" r:id="rId13934" xr:uid="{00000000-0004-0000-0200-00006D360000}"/>
    <hyperlink ref="C9361" r:id="rId13935" xr:uid="{00000000-0004-0000-0200-00006E360000}"/>
    <hyperlink ref="A9362" r:id="rId13936" xr:uid="{00000000-0004-0000-0200-00006F360000}"/>
    <hyperlink ref="B9362" r:id="rId13937" xr:uid="{00000000-0004-0000-0200-000070360000}"/>
    <hyperlink ref="C9362" r:id="rId13938" xr:uid="{00000000-0004-0000-0200-000071360000}"/>
    <hyperlink ref="A9363" r:id="rId13939" xr:uid="{00000000-0004-0000-0200-000072360000}"/>
    <hyperlink ref="B9363" r:id="rId13940" xr:uid="{00000000-0004-0000-0200-000073360000}"/>
    <hyperlink ref="C9363" r:id="rId13941" xr:uid="{00000000-0004-0000-0200-000074360000}"/>
    <hyperlink ref="A9364" r:id="rId13942" xr:uid="{00000000-0004-0000-0200-000075360000}"/>
    <hyperlink ref="B9364" r:id="rId13943" xr:uid="{00000000-0004-0000-0200-000076360000}"/>
    <hyperlink ref="C9364" r:id="rId13944" xr:uid="{00000000-0004-0000-0200-000077360000}"/>
    <hyperlink ref="A9365" r:id="rId13945" xr:uid="{00000000-0004-0000-0200-000078360000}"/>
    <hyperlink ref="B9365" r:id="rId13946" xr:uid="{00000000-0004-0000-0200-000079360000}"/>
    <hyperlink ref="C9365" r:id="rId13947" xr:uid="{00000000-0004-0000-0200-00007A360000}"/>
    <hyperlink ref="A9366" r:id="rId13948" xr:uid="{00000000-0004-0000-0200-00007B360000}"/>
    <hyperlink ref="B9366" r:id="rId13949" xr:uid="{00000000-0004-0000-0200-00007C360000}"/>
    <hyperlink ref="C9366" r:id="rId13950" xr:uid="{00000000-0004-0000-0200-00007D360000}"/>
    <hyperlink ref="A9367" r:id="rId13951" xr:uid="{00000000-0004-0000-0200-00007E360000}"/>
    <hyperlink ref="B9367" r:id="rId13952" xr:uid="{00000000-0004-0000-0200-00007F360000}"/>
    <hyperlink ref="C9367" r:id="rId13953" xr:uid="{00000000-0004-0000-0200-000080360000}"/>
    <hyperlink ref="A9368" r:id="rId13954" xr:uid="{00000000-0004-0000-0200-000081360000}"/>
    <hyperlink ref="B9368" r:id="rId13955" xr:uid="{00000000-0004-0000-0200-000082360000}"/>
    <hyperlink ref="C9368" r:id="rId13956" xr:uid="{00000000-0004-0000-0200-000083360000}"/>
    <hyperlink ref="A9369" r:id="rId13957" xr:uid="{00000000-0004-0000-0200-000084360000}"/>
    <hyperlink ref="B9369" r:id="rId13958" xr:uid="{00000000-0004-0000-0200-000085360000}"/>
    <hyperlink ref="C9369" r:id="rId13959" xr:uid="{00000000-0004-0000-0200-000086360000}"/>
    <hyperlink ref="A9370" r:id="rId13960" xr:uid="{00000000-0004-0000-0200-000087360000}"/>
    <hyperlink ref="B9370" r:id="rId13961" xr:uid="{00000000-0004-0000-0200-000088360000}"/>
    <hyperlink ref="C9370" r:id="rId13962" xr:uid="{00000000-0004-0000-0200-000089360000}"/>
    <hyperlink ref="A9371" r:id="rId13963" xr:uid="{00000000-0004-0000-0200-00008A360000}"/>
    <hyperlink ref="B9371" r:id="rId13964" xr:uid="{00000000-0004-0000-0200-00008B360000}"/>
    <hyperlink ref="C9371" r:id="rId13965" xr:uid="{00000000-0004-0000-0200-00008C360000}"/>
    <hyperlink ref="A9372" r:id="rId13966" xr:uid="{00000000-0004-0000-0200-00008D360000}"/>
    <hyperlink ref="B9372" r:id="rId13967" xr:uid="{00000000-0004-0000-0200-00008E360000}"/>
    <hyperlink ref="C9372" r:id="rId13968" xr:uid="{00000000-0004-0000-0200-00008F360000}"/>
    <hyperlink ref="A9373" r:id="rId13969" xr:uid="{00000000-0004-0000-0200-000090360000}"/>
    <hyperlink ref="B9373" r:id="rId13970" xr:uid="{00000000-0004-0000-0200-000091360000}"/>
    <hyperlink ref="C9373" r:id="rId13971" xr:uid="{00000000-0004-0000-0200-000092360000}"/>
    <hyperlink ref="A9374" r:id="rId13972" xr:uid="{00000000-0004-0000-0200-000093360000}"/>
    <hyperlink ref="B9374" r:id="rId13973" xr:uid="{00000000-0004-0000-0200-000094360000}"/>
    <hyperlink ref="C9374" r:id="rId13974" xr:uid="{00000000-0004-0000-0200-000095360000}"/>
    <hyperlink ref="A9375" r:id="rId13975" xr:uid="{00000000-0004-0000-0200-000096360000}"/>
    <hyperlink ref="B9375" r:id="rId13976" xr:uid="{00000000-0004-0000-0200-000097360000}"/>
    <hyperlink ref="C9375" r:id="rId13977" xr:uid="{00000000-0004-0000-0200-000098360000}"/>
    <hyperlink ref="A9376" r:id="rId13978" xr:uid="{00000000-0004-0000-0200-000099360000}"/>
    <hyperlink ref="B9376" r:id="rId13979" xr:uid="{00000000-0004-0000-0200-00009A360000}"/>
    <hyperlink ref="C9376" r:id="rId13980" xr:uid="{00000000-0004-0000-0200-00009B360000}"/>
    <hyperlink ref="A9377" r:id="rId13981" xr:uid="{00000000-0004-0000-0200-00009C360000}"/>
    <hyperlink ref="B9377" r:id="rId13982" xr:uid="{00000000-0004-0000-0200-00009D360000}"/>
    <hyperlink ref="C9377" r:id="rId13983" xr:uid="{00000000-0004-0000-0200-00009E360000}"/>
    <hyperlink ref="A9378" r:id="rId13984" xr:uid="{00000000-0004-0000-0200-00009F360000}"/>
    <hyperlink ref="B9378" r:id="rId13985" xr:uid="{00000000-0004-0000-0200-0000A0360000}"/>
    <hyperlink ref="C9378" r:id="rId13986" xr:uid="{00000000-0004-0000-0200-0000A1360000}"/>
    <hyperlink ref="A9379" r:id="rId13987" xr:uid="{00000000-0004-0000-0200-0000A2360000}"/>
    <hyperlink ref="B9379" r:id="rId13988" xr:uid="{00000000-0004-0000-0200-0000A3360000}"/>
    <hyperlink ref="C9379" r:id="rId13989" xr:uid="{00000000-0004-0000-0200-0000A4360000}"/>
    <hyperlink ref="A9380" r:id="rId13990" xr:uid="{00000000-0004-0000-0200-0000A5360000}"/>
    <hyperlink ref="B9380" r:id="rId13991" xr:uid="{00000000-0004-0000-0200-0000A6360000}"/>
    <hyperlink ref="C9380" r:id="rId13992" xr:uid="{00000000-0004-0000-0200-0000A7360000}"/>
    <hyperlink ref="A9381" r:id="rId13993" xr:uid="{00000000-0004-0000-0200-0000A8360000}"/>
    <hyperlink ref="B9381" r:id="rId13994" xr:uid="{00000000-0004-0000-0200-0000A9360000}"/>
    <hyperlink ref="C9381" r:id="rId13995" xr:uid="{00000000-0004-0000-0200-0000AA360000}"/>
    <hyperlink ref="A9382" r:id="rId13996" xr:uid="{00000000-0004-0000-0200-0000AB360000}"/>
    <hyperlink ref="B9382" r:id="rId13997" xr:uid="{00000000-0004-0000-0200-0000AC360000}"/>
    <hyperlink ref="C9382" r:id="rId13998" xr:uid="{00000000-0004-0000-0200-0000AD360000}"/>
    <hyperlink ref="A9383" r:id="rId13999" xr:uid="{00000000-0004-0000-0200-0000AE360000}"/>
    <hyperlink ref="B9383" r:id="rId14000" xr:uid="{00000000-0004-0000-0200-0000AF360000}"/>
    <hyperlink ref="C9383" r:id="rId14001" xr:uid="{00000000-0004-0000-0200-0000B0360000}"/>
    <hyperlink ref="A9384" r:id="rId14002" xr:uid="{00000000-0004-0000-0200-0000B1360000}"/>
    <hyperlink ref="B9384" r:id="rId14003" xr:uid="{00000000-0004-0000-0200-0000B2360000}"/>
    <hyperlink ref="C9384" r:id="rId14004" xr:uid="{00000000-0004-0000-0200-0000B3360000}"/>
    <hyperlink ref="A9385" r:id="rId14005" xr:uid="{00000000-0004-0000-0200-0000B4360000}"/>
    <hyperlink ref="B9385" r:id="rId14006" xr:uid="{00000000-0004-0000-0200-0000B5360000}"/>
    <hyperlink ref="C9385" r:id="rId14007" xr:uid="{00000000-0004-0000-0200-0000B6360000}"/>
    <hyperlink ref="A9386" r:id="rId14008" xr:uid="{00000000-0004-0000-0200-0000B7360000}"/>
    <hyperlink ref="B9386" r:id="rId14009" xr:uid="{00000000-0004-0000-0200-0000B8360000}"/>
    <hyperlink ref="C9386" r:id="rId14010" xr:uid="{00000000-0004-0000-0200-0000B9360000}"/>
    <hyperlink ref="A9387" r:id="rId14011" xr:uid="{00000000-0004-0000-0200-0000BA360000}"/>
    <hyperlink ref="B9387" r:id="rId14012" xr:uid="{00000000-0004-0000-0200-0000BB360000}"/>
    <hyperlink ref="C9387" r:id="rId14013" xr:uid="{00000000-0004-0000-0200-0000BC360000}"/>
    <hyperlink ref="A9388" r:id="rId14014" xr:uid="{00000000-0004-0000-0200-0000BD360000}"/>
    <hyperlink ref="B9388" r:id="rId14015" xr:uid="{00000000-0004-0000-0200-0000BE360000}"/>
    <hyperlink ref="C9388" r:id="rId14016" xr:uid="{00000000-0004-0000-0200-0000BF360000}"/>
    <hyperlink ref="A9389" r:id="rId14017" xr:uid="{00000000-0004-0000-0200-0000C0360000}"/>
    <hyperlink ref="B9389" r:id="rId14018" xr:uid="{00000000-0004-0000-0200-0000C1360000}"/>
    <hyperlink ref="C9389" r:id="rId14019" xr:uid="{00000000-0004-0000-0200-0000C2360000}"/>
    <hyperlink ref="A9390" r:id="rId14020" xr:uid="{00000000-0004-0000-0200-0000C3360000}"/>
    <hyperlink ref="B9390" r:id="rId14021" xr:uid="{00000000-0004-0000-0200-0000C4360000}"/>
    <hyperlink ref="C9390" r:id="rId14022" xr:uid="{00000000-0004-0000-0200-0000C5360000}"/>
    <hyperlink ref="A9391" r:id="rId14023" xr:uid="{00000000-0004-0000-0200-0000C6360000}"/>
    <hyperlink ref="B9391" r:id="rId14024" xr:uid="{00000000-0004-0000-0200-0000C7360000}"/>
    <hyperlink ref="C9391" r:id="rId14025" xr:uid="{00000000-0004-0000-0200-0000C8360000}"/>
    <hyperlink ref="A9392" r:id="rId14026" xr:uid="{00000000-0004-0000-0200-0000C9360000}"/>
    <hyperlink ref="B9392" r:id="rId14027" xr:uid="{00000000-0004-0000-0200-0000CA360000}"/>
    <hyperlink ref="C9392" r:id="rId14028" xr:uid="{00000000-0004-0000-0200-0000CB360000}"/>
    <hyperlink ref="A9393" r:id="rId14029" xr:uid="{00000000-0004-0000-0200-0000CC360000}"/>
    <hyperlink ref="B9393" r:id="rId14030" xr:uid="{00000000-0004-0000-0200-0000CD360000}"/>
    <hyperlink ref="C9393" r:id="rId14031" xr:uid="{00000000-0004-0000-0200-0000CE360000}"/>
    <hyperlink ref="A9394" r:id="rId14032" xr:uid="{00000000-0004-0000-0200-0000CF360000}"/>
    <hyperlink ref="B9394" r:id="rId14033" xr:uid="{00000000-0004-0000-0200-0000D0360000}"/>
    <hyperlink ref="C9394" r:id="rId14034" xr:uid="{00000000-0004-0000-0200-0000D1360000}"/>
    <hyperlink ref="A9395" r:id="rId14035" xr:uid="{00000000-0004-0000-0200-0000D2360000}"/>
    <hyperlink ref="B9395" r:id="rId14036" xr:uid="{00000000-0004-0000-0200-0000D3360000}"/>
    <hyperlink ref="C9395" r:id="rId14037" xr:uid="{00000000-0004-0000-0200-0000D4360000}"/>
    <hyperlink ref="A9396" r:id="rId14038" xr:uid="{00000000-0004-0000-0200-0000D5360000}"/>
    <hyperlink ref="B9396" r:id="rId14039" xr:uid="{00000000-0004-0000-0200-0000D6360000}"/>
    <hyperlink ref="C9396" r:id="rId14040" xr:uid="{00000000-0004-0000-0200-0000D7360000}"/>
    <hyperlink ref="A9397" r:id="rId14041" xr:uid="{00000000-0004-0000-0200-0000D8360000}"/>
    <hyperlink ref="B9397" r:id="rId14042" xr:uid="{00000000-0004-0000-0200-0000D9360000}"/>
    <hyperlink ref="C9397" r:id="rId14043" xr:uid="{00000000-0004-0000-0200-0000DA360000}"/>
    <hyperlink ref="A9398" r:id="rId14044" xr:uid="{00000000-0004-0000-0200-0000DB360000}"/>
    <hyperlink ref="B9398" r:id="rId14045" xr:uid="{00000000-0004-0000-0200-0000DC360000}"/>
    <hyperlink ref="C9398" r:id="rId14046" xr:uid="{00000000-0004-0000-0200-0000DD360000}"/>
    <hyperlink ref="A9399" r:id="rId14047" xr:uid="{00000000-0004-0000-0200-0000DE360000}"/>
    <hyperlink ref="B9399" r:id="rId14048" xr:uid="{00000000-0004-0000-0200-0000DF360000}"/>
    <hyperlink ref="C9399" r:id="rId14049" xr:uid="{00000000-0004-0000-0200-0000E0360000}"/>
    <hyperlink ref="A9400" r:id="rId14050" xr:uid="{00000000-0004-0000-0200-0000E1360000}"/>
    <hyperlink ref="B9400" r:id="rId14051" xr:uid="{00000000-0004-0000-0200-0000E2360000}"/>
    <hyperlink ref="C9400" r:id="rId14052" xr:uid="{00000000-0004-0000-0200-0000E3360000}"/>
    <hyperlink ref="A9401" r:id="rId14053" xr:uid="{00000000-0004-0000-0200-0000E4360000}"/>
    <hyperlink ref="B9401" r:id="rId14054" xr:uid="{00000000-0004-0000-0200-0000E5360000}"/>
    <hyperlink ref="C9401" r:id="rId14055" xr:uid="{00000000-0004-0000-0200-0000E6360000}"/>
    <hyperlink ref="A9402" r:id="rId14056" xr:uid="{00000000-0004-0000-0200-0000E7360000}"/>
    <hyperlink ref="B9402" r:id="rId14057" xr:uid="{00000000-0004-0000-0200-0000E8360000}"/>
    <hyperlink ref="C9402" r:id="rId14058" xr:uid="{00000000-0004-0000-0200-0000E9360000}"/>
    <hyperlink ref="A9403" r:id="rId14059" xr:uid="{00000000-0004-0000-0200-0000EA360000}"/>
    <hyperlink ref="B9403" r:id="rId14060" xr:uid="{00000000-0004-0000-0200-0000EB360000}"/>
    <hyperlink ref="C9403" r:id="rId14061" xr:uid="{00000000-0004-0000-0200-0000EC360000}"/>
    <hyperlink ref="A9404" r:id="rId14062" xr:uid="{00000000-0004-0000-0200-0000ED360000}"/>
    <hyperlink ref="B9404" r:id="rId14063" xr:uid="{00000000-0004-0000-0200-0000EE360000}"/>
    <hyperlink ref="C9404" r:id="rId14064" xr:uid="{00000000-0004-0000-0200-0000EF360000}"/>
    <hyperlink ref="A9405" r:id="rId14065" xr:uid="{00000000-0004-0000-0200-0000F0360000}"/>
    <hyperlink ref="B9405" r:id="rId14066" xr:uid="{00000000-0004-0000-0200-0000F1360000}"/>
    <hyperlink ref="C9405" r:id="rId14067" xr:uid="{00000000-0004-0000-0200-0000F2360000}"/>
    <hyperlink ref="A9406" r:id="rId14068" xr:uid="{00000000-0004-0000-0200-0000F3360000}"/>
    <hyperlink ref="B9406" r:id="rId14069" xr:uid="{00000000-0004-0000-0200-0000F4360000}"/>
    <hyperlink ref="C9406" r:id="rId14070" xr:uid="{00000000-0004-0000-0200-0000F5360000}"/>
    <hyperlink ref="A9407" r:id="rId14071" xr:uid="{00000000-0004-0000-0200-0000F6360000}"/>
    <hyperlink ref="B9407" r:id="rId14072" xr:uid="{00000000-0004-0000-0200-0000F7360000}"/>
    <hyperlink ref="C9407" r:id="rId14073" xr:uid="{00000000-0004-0000-0200-0000F8360000}"/>
    <hyperlink ref="A9408" r:id="rId14074" xr:uid="{00000000-0004-0000-0200-0000F9360000}"/>
    <hyperlink ref="B9408" r:id="rId14075" xr:uid="{00000000-0004-0000-0200-0000FA360000}"/>
    <hyperlink ref="C9408" r:id="rId14076" xr:uid="{00000000-0004-0000-0200-0000FB360000}"/>
    <hyperlink ref="A9409" r:id="rId14077" xr:uid="{00000000-0004-0000-0200-0000FC360000}"/>
    <hyperlink ref="B9409" r:id="rId14078" xr:uid="{00000000-0004-0000-0200-0000FD360000}"/>
    <hyperlink ref="C9409" r:id="rId14079" xr:uid="{00000000-0004-0000-0200-0000FE360000}"/>
    <hyperlink ref="A9410" r:id="rId14080" xr:uid="{00000000-0004-0000-0200-0000FF360000}"/>
    <hyperlink ref="B9410" r:id="rId14081" xr:uid="{00000000-0004-0000-0200-000000370000}"/>
    <hyperlink ref="C9410" r:id="rId14082" xr:uid="{00000000-0004-0000-0200-000001370000}"/>
    <hyperlink ref="A9411" r:id="rId14083" xr:uid="{00000000-0004-0000-0200-000002370000}"/>
    <hyperlink ref="B9411" r:id="rId14084" xr:uid="{00000000-0004-0000-0200-000003370000}"/>
    <hyperlink ref="C9411" r:id="rId14085" xr:uid="{00000000-0004-0000-0200-000004370000}"/>
    <hyperlink ref="A9412" r:id="rId14086" xr:uid="{00000000-0004-0000-0200-000005370000}"/>
    <hyperlink ref="B9412" r:id="rId14087" xr:uid="{00000000-0004-0000-0200-000006370000}"/>
    <hyperlink ref="C9412" r:id="rId14088" xr:uid="{00000000-0004-0000-0200-000007370000}"/>
    <hyperlink ref="A9413" r:id="rId14089" xr:uid="{00000000-0004-0000-0200-000008370000}"/>
    <hyperlink ref="B9413" r:id="rId14090" xr:uid="{00000000-0004-0000-0200-000009370000}"/>
    <hyperlink ref="C9413" r:id="rId14091" xr:uid="{00000000-0004-0000-0200-00000A370000}"/>
    <hyperlink ref="A9414" r:id="rId14092" xr:uid="{00000000-0004-0000-0200-00000B370000}"/>
    <hyperlink ref="B9414" r:id="rId14093" xr:uid="{00000000-0004-0000-0200-00000C370000}"/>
    <hyperlink ref="C9414" r:id="rId14094" xr:uid="{00000000-0004-0000-0200-00000D370000}"/>
    <hyperlink ref="A9415" r:id="rId14095" xr:uid="{00000000-0004-0000-0200-00000E370000}"/>
    <hyperlink ref="B9415" r:id="rId14096" xr:uid="{00000000-0004-0000-0200-00000F370000}"/>
    <hyperlink ref="C9415" r:id="rId14097" xr:uid="{00000000-0004-0000-0200-000010370000}"/>
    <hyperlink ref="A9416" r:id="rId14098" xr:uid="{00000000-0004-0000-0200-000011370000}"/>
    <hyperlink ref="B9416" r:id="rId14099" xr:uid="{00000000-0004-0000-0200-000012370000}"/>
    <hyperlink ref="C9416" r:id="rId14100" xr:uid="{00000000-0004-0000-0200-000013370000}"/>
    <hyperlink ref="A9417" r:id="rId14101" xr:uid="{00000000-0004-0000-0200-000014370000}"/>
    <hyperlink ref="B9417" r:id="rId14102" xr:uid="{00000000-0004-0000-0200-000015370000}"/>
    <hyperlink ref="C9417" r:id="rId14103" xr:uid="{00000000-0004-0000-0200-000016370000}"/>
    <hyperlink ref="A9418" r:id="rId14104" xr:uid="{00000000-0004-0000-0200-000017370000}"/>
    <hyperlink ref="B9418" r:id="rId14105" xr:uid="{00000000-0004-0000-0200-000018370000}"/>
    <hyperlink ref="C9418" r:id="rId14106" xr:uid="{00000000-0004-0000-0200-000019370000}"/>
    <hyperlink ref="A9419" r:id="rId14107" xr:uid="{00000000-0004-0000-0200-00001A370000}"/>
    <hyperlink ref="B9419" r:id="rId14108" xr:uid="{00000000-0004-0000-0200-00001B370000}"/>
    <hyperlink ref="C9419" r:id="rId14109" xr:uid="{00000000-0004-0000-0200-00001C370000}"/>
    <hyperlink ref="A9420" r:id="rId14110" xr:uid="{00000000-0004-0000-0200-00001D370000}"/>
    <hyperlink ref="B9420" r:id="rId14111" xr:uid="{00000000-0004-0000-0200-00001E370000}"/>
    <hyperlink ref="C9420" r:id="rId14112" xr:uid="{00000000-0004-0000-0200-00001F370000}"/>
    <hyperlink ref="A9421" r:id="rId14113" xr:uid="{00000000-0004-0000-0200-000020370000}"/>
    <hyperlink ref="B9421" r:id="rId14114" xr:uid="{00000000-0004-0000-0200-000021370000}"/>
    <hyperlink ref="C9421" r:id="rId14115" xr:uid="{00000000-0004-0000-0200-000022370000}"/>
    <hyperlink ref="A9422" r:id="rId14116" xr:uid="{00000000-0004-0000-0200-000023370000}"/>
    <hyperlink ref="B9422" r:id="rId14117" xr:uid="{00000000-0004-0000-0200-000024370000}"/>
    <hyperlink ref="C9422" r:id="rId14118" xr:uid="{00000000-0004-0000-0200-000025370000}"/>
    <hyperlink ref="A9423" r:id="rId14119" xr:uid="{00000000-0004-0000-0200-000026370000}"/>
    <hyperlink ref="B9423" r:id="rId14120" xr:uid="{00000000-0004-0000-0200-000027370000}"/>
    <hyperlink ref="C9423" r:id="rId14121" xr:uid="{00000000-0004-0000-0200-000028370000}"/>
    <hyperlink ref="A9424" r:id="rId14122" xr:uid="{00000000-0004-0000-0200-000029370000}"/>
    <hyperlink ref="B9424" r:id="rId14123" xr:uid="{00000000-0004-0000-0200-00002A370000}"/>
    <hyperlink ref="C9424" r:id="rId14124" xr:uid="{00000000-0004-0000-0200-00002B370000}"/>
    <hyperlink ref="A9425" r:id="rId14125" xr:uid="{00000000-0004-0000-0200-00002C370000}"/>
    <hyperlink ref="B9425" r:id="rId14126" xr:uid="{00000000-0004-0000-0200-00002D370000}"/>
    <hyperlink ref="C9425" r:id="rId14127" xr:uid="{00000000-0004-0000-0200-00002E370000}"/>
    <hyperlink ref="A9426" r:id="rId14128" xr:uid="{00000000-0004-0000-0200-00002F370000}"/>
    <hyperlink ref="B9426" r:id="rId14129" xr:uid="{00000000-0004-0000-0200-000030370000}"/>
    <hyperlink ref="C9426" r:id="rId14130" xr:uid="{00000000-0004-0000-0200-000031370000}"/>
    <hyperlink ref="A9427" r:id="rId14131" xr:uid="{00000000-0004-0000-0200-000032370000}"/>
    <hyperlink ref="B9427" r:id="rId14132" xr:uid="{00000000-0004-0000-0200-000033370000}"/>
    <hyperlink ref="C9427" r:id="rId14133" xr:uid="{00000000-0004-0000-0200-000034370000}"/>
    <hyperlink ref="A9428" r:id="rId14134" xr:uid="{00000000-0004-0000-0200-000035370000}"/>
    <hyperlink ref="B9428" r:id="rId14135" xr:uid="{00000000-0004-0000-0200-000036370000}"/>
    <hyperlink ref="C9428" r:id="rId14136" xr:uid="{00000000-0004-0000-0200-000037370000}"/>
    <hyperlink ref="A9429" r:id="rId14137" xr:uid="{00000000-0004-0000-0200-000038370000}"/>
    <hyperlink ref="B9429" r:id="rId14138" xr:uid="{00000000-0004-0000-0200-000039370000}"/>
    <hyperlink ref="C9429" r:id="rId14139" xr:uid="{00000000-0004-0000-0200-00003A370000}"/>
    <hyperlink ref="A9430" r:id="rId14140" xr:uid="{00000000-0004-0000-0200-00003B370000}"/>
    <hyperlink ref="B9430" r:id="rId14141" xr:uid="{00000000-0004-0000-0200-00003C370000}"/>
    <hyperlink ref="C9430" r:id="rId14142" xr:uid="{00000000-0004-0000-0200-00003D370000}"/>
    <hyperlink ref="A9431" r:id="rId14143" xr:uid="{00000000-0004-0000-0200-00003E370000}"/>
    <hyperlink ref="B9431" r:id="rId14144" xr:uid="{00000000-0004-0000-0200-00003F370000}"/>
    <hyperlink ref="C9431" r:id="rId14145" xr:uid="{00000000-0004-0000-0200-000040370000}"/>
    <hyperlink ref="A9432" r:id="rId14146" xr:uid="{00000000-0004-0000-0200-000041370000}"/>
    <hyperlink ref="B9432" r:id="rId14147" xr:uid="{00000000-0004-0000-0200-000042370000}"/>
    <hyperlink ref="C9432" r:id="rId14148" xr:uid="{00000000-0004-0000-0200-000043370000}"/>
    <hyperlink ref="A9433" r:id="rId14149" xr:uid="{00000000-0004-0000-0200-000044370000}"/>
    <hyperlink ref="B9433" r:id="rId14150" xr:uid="{00000000-0004-0000-0200-000045370000}"/>
    <hyperlink ref="C9433" r:id="rId14151" xr:uid="{00000000-0004-0000-0200-000046370000}"/>
    <hyperlink ref="A9434" r:id="rId14152" xr:uid="{00000000-0004-0000-0200-000047370000}"/>
    <hyperlink ref="B9434" r:id="rId14153" xr:uid="{00000000-0004-0000-0200-000048370000}"/>
    <hyperlink ref="C9434" r:id="rId14154" xr:uid="{00000000-0004-0000-0200-000049370000}"/>
    <hyperlink ref="A9435" r:id="rId14155" xr:uid="{00000000-0004-0000-0200-00004A370000}"/>
    <hyperlink ref="B9435" r:id="rId14156" xr:uid="{00000000-0004-0000-0200-00004B370000}"/>
    <hyperlink ref="C9435" r:id="rId14157" xr:uid="{00000000-0004-0000-0200-00004C370000}"/>
    <hyperlink ref="A9436" r:id="rId14158" xr:uid="{00000000-0004-0000-0200-00004D370000}"/>
    <hyperlink ref="B9436" r:id="rId14159" xr:uid="{00000000-0004-0000-0200-00004E370000}"/>
    <hyperlink ref="C9436" r:id="rId14160" xr:uid="{00000000-0004-0000-0200-00004F370000}"/>
    <hyperlink ref="A9437" r:id="rId14161" xr:uid="{00000000-0004-0000-0200-000050370000}"/>
    <hyperlink ref="B9437" r:id="rId14162" xr:uid="{00000000-0004-0000-0200-000051370000}"/>
    <hyperlink ref="C9437" r:id="rId14163" xr:uid="{00000000-0004-0000-0200-000052370000}"/>
    <hyperlink ref="A9438" r:id="rId14164" xr:uid="{00000000-0004-0000-0200-000053370000}"/>
    <hyperlink ref="B9438" r:id="rId14165" xr:uid="{00000000-0004-0000-0200-000054370000}"/>
    <hyperlink ref="C9438" r:id="rId14166" xr:uid="{00000000-0004-0000-0200-000055370000}"/>
    <hyperlink ref="A9439" r:id="rId14167" xr:uid="{00000000-0004-0000-0200-000056370000}"/>
    <hyperlink ref="B9439" r:id="rId14168" xr:uid="{00000000-0004-0000-0200-000057370000}"/>
    <hyperlink ref="C9439" r:id="rId14169" xr:uid="{00000000-0004-0000-0200-000058370000}"/>
    <hyperlink ref="A9440" r:id="rId14170" xr:uid="{00000000-0004-0000-0200-000059370000}"/>
    <hyperlink ref="B9440" r:id="rId14171" xr:uid="{00000000-0004-0000-0200-00005A370000}"/>
    <hyperlink ref="C9440" r:id="rId14172" xr:uid="{00000000-0004-0000-0200-00005B370000}"/>
    <hyperlink ref="A9441" r:id="rId14173" xr:uid="{00000000-0004-0000-0200-00005C370000}"/>
    <hyperlink ref="B9441" r:id="rId14174" xr:uid="{00000000-0004-0000-0200-00005D370000}"/>
    <hyperlink ref="C9441" r:id="rId14175" xr:uid="{00000000-0004-0000-0200-00005E370000}"/>
    <hyperlink ref="A9442" r:id="rId14176" xr:uid="{00000000-0004-0000-0200-00005F370000}"/>
    <hyperlink ref="B9442" r:id="rId14177" xr:uid="{00000000-0004-0000-0200-000060370000}"/>
    <hyperlink ref="C9442" r:id="rId14178" xr:uid="{00000000-0004-0000-0200-000061370000}"/>
    <hyperlink ref="A9443" r:id="rId14179" xr:uid="{00000000-0004-0000-0200-000062370000}"/>
    <hyperlink ref="B9443" r:id="rId14180" xr:uid="{00000000-0004-0000-0200-000063370000}"/>
    <hyperlink ref="C9443" r:id="rId14181" xr:uid="{00000000-0004-0000-0200-000064370000}"/>
    <hyperlink ref="A9444" r:id="rId14182" xr:uid="{00000000-0004-0000-0200-000065370000}"/>
    <hyperlink ref="B9444" r:id="rId14183" xr:uid="{00000000-0004-0000-0200-000066370000}"/>
    <hyperlink ref="C9444" r:id="rId14184" xr:uid="{00000000-0004-0000-0200-000067370000}"/>
    <hyperlink ref="A9445" r:id="rId14185" xr:uid="{00000000-0004-0000-0200-000068370000}"/>
    <hyperlink ref="B9445" r:id="rId14186" xr:uid="{00000000-0004-0000-0200-000069370000}"/>
    <hyperlink ref="C9445" r:id="rId14187" xr:uid="{00000000-0004-0000-0200-00006A370000}"/>
    <hyperlink ref="A9446" r:id="rId14188" xr:uid="{00000000-0004-0000-0200-00006B370000}"/>
    <hyperlink ref="B9446" r:id="rId14189" xr:uid="{00000000-0004-0000-0200-00006C370000}"/>
    <hyperlink ref="C9446" r:id="rId14190" xr:uid="{00000000-0004-0000-0200-00006D370000}"/>
    <hyperlink ref="A9447" r:id="rId14191" xr:uid="{00000000-0004-0000-0200-00006E370000}"/>
    <hyperlink ref="B9447" r:id="rId14192" xr:uid="{00000000-0004-0000-0200-00006F370000}"/>
    <hyperlink ref="C9447" r:id="rId14193" xr:uid="{00000000-0004-0000-0200-000070370000}"/>
    <hyperlink ref="A9448" r:id="rId14194" xr:uid="{00000000-0004-0000-0200-000071370000}"/>
    <hyperlink ref="B9448" r:id="rId14195" xr:uid="{00000000-0004-0000-0200-000072370000}"/>
    <hyperlink ref="C9448" r:id="rId14196" xr:uid="{00000000-0004-0000-0200-000073370000}"/>
    <hyperlink ref="A9449" r:id="rId14197" xr:uid="{00000000-0004-0000-0200-000074370000}"/>
    <hyperlink ref="B9449" r:id="rId14198" xr:uid="{00000000-0004-0000-0200-000075370000}"/>
    <hyperlink ref="C9449" r:id="rId14199" xr:uid="{00000000-0004-0000-0200-000076370000}"/>
    <hyperlink ref="A9450" r:id="rId14200" xr:uid="{00000000-0004-0000-0200-000077370000}"/>
    <hyperlink ref="B9450" r:id="rId14201" xr:uid="{00000000-0004-0000-0200-000078370000}"/>
    <hyperlink ref="C9450" r:id="rId14202" xr:uid="{00000000-0004-0000-0200-000079370000}"/>
    <hyperlink ref="A9451" r:id="rId14203" xr:uid="{00000000-0004-0000-0200-00007A370000}"/>
    <hyperlink ref="B9451" r:id="rId14204" xr:uid="{00000000-0004-0000-0200-00007B370000}"/>
    <hyperlink ref="C9451" r:id="rId14205" xr:uid="{00000000-0004-0000-0200-00007C370000}"/>
    <hyperlink ref="A9452" r:id="rId14206" xr:uid="{00000000-0004-0000-0200-00007D370000}"/>
    <hyperlink ref="B9452" r:id="rId14207" xr:uid="{00000000-0004-0000-0200-00007E370000}"/>
    <hyperlink ref="C9452" r:id="rId14208" xr:uid="{00000000-0004-0000-0200-00007F370000}"/>
    <hyperlink ref="A9453" r:id="rId14209" xr:uid="{00000000-0004-0000-0200-000080370000}"/>
    <hyperlink ref="B9453" r:id="rId14210" xr:uid="{00000000-0004-0000-0200-000081370000}"/>
    <hyperlink ref="C9453" r:id="rId14211" xr:uid="{00000000-0004-0000-0200-000082370000}"/>
    <hyperlink ref="A9454" r:id="rId14212" xr:uid="{00000000-0004-0000-0200-000083370000}"/>
    <hyperlink ref="B9454" r:id="rId14213" xr:uid="{00000000-0004-0000-0200-000084370000}"/>
    <hyperlink ref="C9454" r:id="rId14214" xr:uid="{00000000-0004-0000-0200-000085370000}"/>
    <hyperlink ref="A9455" r:id="rId14215" xr:uid="{00000000-0004-0000-0200-000086370000}"/>
    <hyperlink ref="B9455" r:id="rId14216" xr:uid="{00000000-0004-0000-0200-000087370000}"/>
    <hyperlink ref="C9455" r:id="rId14217" xr:uid="{00000000-0004-0000-0200-000088370000}"/>
    <hyperlink ref="A9456" r:id="rId14218" xr:uid="{00000000-0004-0000-0200-000089370000}"/>
    <hyperlink ref="B9456" r:id="rId14219" xr:uid="{00000000-0004-0000-0200-00008A370000}"/>
    <hyperlink ref="C9456" r:id="rId14220" xr:uid="{00000000-0004-0000-0200-00008B370000}"/>
    <hyperlink ref="A9457" r:id="rId14221" xr:uid="{00000000-0004-0000-0200-00008C370000}"/>
    <hyperlink ref="B9457" r:id="rId14222" xr:uid="{00000000-0004-0000-0200-00008D370000}"/>
    <hyperlink ref="C9457" r:id="rId14223" xr:uid="{00000000-0004-0000-0200-00008E370000}"/>
    <hyperlink ref="A9458" r:id="rId14224" xr:uid="{00000000-0004-0000-0200-00008F370000}"/>
    <hyperlink ref="B9458" r:id="rId14225" xr:uid="{00000000-0004-0000-0200-000090370000}"/>
    <hyperlink ref="C9458" r:id="rId14226" xr:uid="{00000000-0004-0000-0200-000091370000}"/>
    <hyperlink ref="A9459" r:id="rId14227" xr:uid="{00000000-0004-0000-0200-000092370000}"/>
    <hyperlink ref="B9459" r:id="rId14228" xr:uid="{00000000-0004-0000-0200-000093370000}"/>
    <hyperlink ref="C9459" r:id="rId14229" xr:uid="{00000000-0004-0000-0200-000094370000}"/>
    <hyperlink ref="A9460" r:id="rId14230" xr:uid="{00000000-0004-0000-0200-000095370000}"/>
    <hyperlink ref="B9460" r:id="rId14231" xr:uid="{00000000-0004-0000-0200-000096370000}"/>
    <hyperlink ref="C9460" r:id="rId14232" xr:uid="{00000000-0004-0000-0200-000097370000}"/>
    <hyperlink ref="A9461" r:id="rId14233" xr:uid="{00000000-0004-0000-0200-000098370000}"/>
    <hyperlink ref="B9461" r:id="rId14234" xr:uid="{00000000-0004-0000-0200-000099370000}"/>
    <hyperlink ref="C9461" r:id="rId14235" xr:uid="{00000000-0004-0000-0200-00009A370000}"/>
    <hyperlink ref="A9462" r:id="rId14236" xr:uid="{00000000-0004-0000-0200-00009B370000}"/>
    <hyperlink ref="B9462" r:id="rId14237" xr:uid="{00000000-0004-0000-0200-00009C370000}"/>
    <hyperlink ref="C9462" r:id="rId14238" xr:uid="{00000000-0004-0000-0200-00009D370000}"/>
    <hyperlink ref="A9463" r:id="rId14239" xr:uid="{00000000-0004-0000-0200-00009E370000}"/>
    <hyperlink ref="B9463" r:id="rId14240" xr:uid="{00000000-0004-0000-0200-00009F370000}"/>
    <hyperlink ref="C9463" r:id="rId14241" xr:uid="{00000000-0004-0000-0200-0000A0370000}"/>
    <hyperlink ref="A9464" r:id="rId14242" xr:uid="{00000000-0004-0000-0200-0000A1370000}"/>
    <hyperlink ref="B9464" r:id="rId14243" xr:uid="{00000000-0004-0000-0200-0000A2370000}"/>
    <hyperlink ref="C9464" r:id="rId14244" xr:uid="{00000000-0004-0000-0200-0000A3370000}"/>
    <hyperlink ref="A9465" r:id="rId14245" xr:uid="{00000000-0004-0000-0200-0000A4370000}"/>
    <hyperlink ref="B9465" r:id="rId14246" xr:uid="{00000000-0004-0000-0200-0000A5370000}"/>
    <hyperlink ref="C9465" r:id="rId14247" xr:uid="{00000000-0004-0000-0200-0000A6370000}"/>
    <hyperlink ref="A9466" r:id="rId14248" xr:uid="{00000000-0004-0000-0200-0000A7370000}"/>
    <hyperlink ref="B9466" r:id="rId14249" xr:uid="{00000000-0004-0000-0200-0000A8370000}"/>
    <hyperlink ref="C9466" r:id="rId14250" xr:uid="{00000000-0004-0000-0200-0000A9370000}"/>
    <hyperlink ref="A9467" r:id="rId14251" xr:uid="{00000000-0004-0000-0200-0000AA370000}"/>
    <hyperlink ref="B9467" r:id="rId14252" xr:uid="{00000000-0004-0000-0200-0000AB370000}"/>
    <hyperlink ref="C9467" r:id="rId14253" xr:uid="{00000000-0004-0000-0200-0000AC370000}"/>
    <hyperlink ref="A9468" r:id="rId14254" xr:uid="{00000000-0004-0000-0200-0000AD370000}"/>
    <hyperlink ref="B9468" r:id="rId14255" xr:uid="{00000000-0004-0000-0200-0000AE370000}"/>
    <hyperlink ref="C9468" r:id="rId14256" xr:uid="{00000000-0004-0000-0200-0000AF370000}"/>
    <hyperlink ref="A9469" r:id="rId14257" xr:uid="{00000000-0004-0000-0200-0000B0370000}"/>
    <hyperlink ref="B9469" r:id="rId14258" xr:uid="{00000000-0004-0000-0200-0000B1370000}"/>
    <hyperlink ref="C9469" r:id="rId14259" xr:uid="{00000000-0004-0000-0200-0000B2370000}"/>
    <hyperlink ref="A9470" r:id="rId14260" xr:uid="{00000000-0004-0000-0200-0000B3370000}"/>
    <hyperlink ref="B9470" r:id="rId14261" xr:uid="{00000000-0004-0000-0200-0000B4370000}"/>
    <hyperlink ref="C9470" r:id="rId14262" xr:uid="{00000000-0004-0000-0200-0000B5370000}"/>
    <hyperlink ref="A9471" r:id="rId14263" xr:uid="{00000000-0004-0000-0200-0000B6370000}"/>
    <hyperlink ref="B9471" r:id="rId14264" xr:uid="{00000000-0004-0000-0200-0000B7370000}"/>
    <hyperlink ref="C9471" r:id="rId14265" xr:uid="{00000000-0004-0000-0200-0000B8370000}"/>
    <hyperlink ref="A9472" r:id="rId14266" xr:uid="{00000000-0004-0000-0200-0000B9370000}"/>
    <hyperlink ref="B9472" r:id="rId14267" xr:uid="{00000000-0004-0000-0200-0000BA370000}"/>
    <hyperlink ref="C9472" r:id="rId14268" xr:uid="{00000000-0004-0000-0200-0000BB370000}"/>
    <hyperlink ref="A9473" r:id="rId14269" xr:uid="{00000000-0004-0000-0200-0000BC370000}"/>
    <hyperlink ref="B9473" r:id="rId14270" xr:uid="{00000000-0004-0000-0200-0000BD370000}"/>
    <hyperlink ref="C9473" r:id="rId14271" xr:uid="{00000000-0004-0000-0200-0000BE370000}"/>
    <hyperlink ref="A9474" r:id="rId14272" xr:uid="{00000000-0004-0000-0200-0000BF370000}"/>
    <hyperlink ref="B9474" r:id="rId14273" xr:uid="{00000000-0004-0000-0200-0000C0370000}"/>
    <hyperlink ref="C9474" r:id="rId14274" xr:uid="{00000000-0004-0000-0200-0000C1370000}"/>
    <hyperlink ref="A9475" r:id="rId14275" xr:uid="{00000000-0004-0000-0200-0000C2370000}"/>
    <hyperlink ref="B9475" r:id="rId14276" xr:uid="{00000000-0004-0000-0200-0000C3370000}"/>
    <hyperlink ref="C9475" r:id="rId14277" xr:uid="{00000000-0004-0000-0200-0000C4370000}"/>
    <hyperlink ref="A9476" r:id="rId14278" xr:uid="{00000000-0004-0000-0200-0000C5370000}"/>
    <hyperlink ref="B9476" r:id="rId14279" xr:uid="{00000000-0004-0000-0200-0000C6370000}"/>
    <hyperlink ref="C9476" r:id="rId14280" xr:uid="{00000000-0004-0000-0200-0000C7370000}"/>
    <hyperlink ref="A9477" r:id="rId14281" xr:uid="{00000000-0004-0000-0200-0000C8370000}"/>
    <hyperlink ref="B9477" r:id="rId14282" xr:uid="{00000000-0004-0000-0200-0000C9370000}"/>
    <hyperlink ref="C9477" r:id="rId14283" xr:uid="{00000000-0004-0000-0200-0000CA370000}"/>
    <hyperlink ref="A9478" r:id="rId14284" xr:uid="{00000000-0004-0000-0200-0000CB370000}"/>
    <hyperlink ref="B9478" r:id="rId14285" xr:uid="{00000000-0004-0000-0200-0000CC370000}"/>
    <hyperlink ref="C9478" r:id="rId14286" xr:uid="{00000000-0004-0000-0200-0000CD370000}"/>
    <hyperlink ref="A9479" r:id="rId14287" xr:uid="{00000000-0004-0000-0200-0000CE370000}"/>
    <hyperlink ref="B9479" r:id="rId14288" xr:uid="{00000000-0004-0000-0200-0000CF370000}"/>
    <hyperlink ref="C9479" r:id="rId14289" xr:uid="{00000000-0004-0000-0200-0000D0370000}"/>
    <hyperlink ref="A9480" r:id="rId14290" xr:uid="{00000000-0004-0000-0200-0000D1370000}"/>
    <hyperlink ref="B9480" r:id="rId14291" xr:uid="{00000000-0004-0000-0200-0000D2370000}"/>
    <hyperlink ref="C9480" r:id="rId14292" xr:uid="{00000000-0004-0000-0200-0000D3370000}"/>
    <hyperlink ref="A9481" r:id="rId14293" xr:uid="{00000000-0004-0000-0200-0000D4370000}"/>
    <hyperlink ref="B9481" r:id="rId14294" xr:uid="{00000000-0004-0000-0200-0000D5370000}"/>
    <hyperlink ref="C9481" r:id="rId14295" xr:uid="{00000000-0004-0000-0200-0000D6370000}"/>
    <hyperlink ref="A9482" r:id="rId14296" xr:uid="{00000000-0004-0000-0200-0000D7370000}"/>
    <hyperlink ref="B9482" r:id="rId14297" xr:uid="{00000000-0004-0000-0200-0000D8370000}"/>
    <hyperlink ref="C9482" r:id="rId14298" xr:uid="{00000000-0004-0000-0200-0000D9370000}"/>
    <hyperlink ref="A9483" r:id="rId14299" xr:uid="{00000000-0004-0000-0200-0000DA370000}"/>
    <hyperlink ref="B9483" r:id="rId14300" xr:uid="{00000000-0004-0000-0200-0000DB370000}"/>
    <hyperlink ref="C9483" r:id="rId14301" xr:uid="{00000000-0004-0000-0200-0000DC370000}"/>
    <hyperlink ref="A9484" r:id="rId14302" xr:uid="{00000000-0004-0000-0200-0000DD370000}"/>
    <hyperlink ref="B9484" r:id="rId14303" xr:uid="{00000000-0004-0000-0200-0000DE370000}"/>
    <hyperlink ref="C9484" r:id="rId14304" xr:uid="{00000000-0004-0000-0200-0000DF370000}"/>
    <hyperlink ref="A9485" r:id="rId14305" xr:uid="{00000000-0004-0000-0200-0000E0370000}"/>
    <hyperlink ref="B9485" r:id="rId14306" xr:uid="{00000000-0004-0000-0200-0000E1370000}"/>
    <hyperlink ref="C9485" r:id="rId14307" xr:uid="{00000000-0004-0000-0200-0000E2370000}"/>
    <hyperlink ref="A9486" r:id="rId14308" xr:uid="{00000000-0004-0000-0200-0000E3370000}"/>
    <hyperlink ref="B9486" r:id="rId14309" xr:uid="{00000000-0004-0000-0200-0000E4370000}"/>
    <hyperlink ref="C9486" r:id="rId14310" xr:uid="{00000000-0004-0000-0200-0000E5370000}"/>
    <hyperlink ref="A9487" r:id="rId14311" xr:uid="{00000000-0004-0000-0200-0000E6370000}"/>
    <hyperlink ref="B9487" r:id="rId14312" xr:uid="{00000000-0004-0000-0200-0000E7370000}"/>
    <hyperlink ref="C9487" r:id="rId14313" xr:uid="{00000000-0004-0000-0200-0000E8370000}"/>
    <hyperlink ref="A9488" r:id="rId14314" xr:uid="{00000000-0004-0000-0200-0000E9370000}"/>
    <hyperlink ref="B9488" r:id="rId14315" xr:uid="{00000000-0004-0000-0200-0000EA370000}"/>
    <hyperlink ref="C9488" r:id="rId14316" xr:uid="{00000000-0004-0000-0200-0000EB370000}"/>
    <hyperlink ref="A9489" r:id="rId14317" xr:uid="{00000000-0004-0000-0200-0000EC370000}"/>
    <hyperlink ref="B9489" r:id="rId14318" xr:uid="{00000000-0004-0000-0200-0000ED370000}"/>
    <hyperlink ref="C9489" r:id="rId14319" xr:uid="{00000000-0004-0000-0200-0000EE370000}"/>
    <hyperlink ref="A9490" r:id="rId14320" xr:uid="{00000000-0004-0000-0200-0000EF370000}"/>
    <hyperlink ref="B9490" r:id="rId14321" xr:uid="{00000000-0004-0000-0200-0000F0370000}"/>
    <hyperlink ref="C9490" r:id="rId14322" xr:uid="{00000000-0004-0000-0200-0000F1370000}"/>
    <hyperlink ref="A9491" r:id="rId14323" xr:uid="{00000000-0004-0000-0200-0000F2370000}"/>
    <hyperlink ref="B9491" r:id="rId14324" xr:uid="{00000000-0004-0000-0200-0000F3370000}"/>
    <hyperlink ref="C9491" r:id="rId14325" xr:uid="{00000000-0004-0000-0200-0000F4370000}"/>
    <hyperlink ref="A9492" r:id="rId14326" xr:uid="{00000000-0004-0000-0200-0000F5370000}"/>
    <hyperlink ref="B9492" r:id="rId14327" xr:uid="{00000000-0004-0000-0200-0000F6370000}"/>
    <hyperlink ref="C9492" r:id="rId14328" xr:uid="{00000000-0004-0000-0200-0000F7370000}"/>
    <hyperlink ref="A9493" r:id="rId14329" xr:uid="{00000000-0004-0000-0200-0000F8370000}"/>
    <hyperlink ref="B9493" r:id="rId14330" xr:uid="{00000000-0004-0000-0200-0000F9370000}"/>
    <hyperlink ref="C9493" r:id="rId14331" xr:uid="{00000000-0004-0000-0200-0000FA370000}"/>
    <hyperlink ref="A9494" r:id="rId14332" xr:uid="{00000000-0004-0000-0200-0000FB370000}"/>
    <hyperlink ref="B9494" r:id="rId14333" xr:uid="{00000000-0004-0000-0200-0000FC370000}"/>
    <hyperlink ref="C9494" r:id="rId14334" xr:uid="{00000000-0004-0000-0200-0000FD370000}"/>
    <hyperlink ref="A9495" r:id="rId14335" xr:uid="{00000000-0004-0000-0200-0000FE370000}"/>
    <hyperlink ref="B9495" r:id="rId14336" xr:uid="{00000000-0004-0000-0200-0000FF370000}"/>
    <hyperlink ref="C9495" r:id="rId14337" xr:uid="{00000000-0004-0000-0200-000000380000}"/>
    <hyperlink ref="A9496" r:id="rId14338" xr:uid="{00000000-0004-0000-0200-000001380000}"/>
    <hyperlink ref="B9496" r:id="rId14339" xr:uid="{00000000-0004-0000-0200-000002380000}"/>
    <hyperlink ref="C9496" r:id="rId14340" xr:uid="{00000000-0004-0000-0200-000003380000}"/>
    <hyperlink ref="A9497" r:id="rId14341" xr:uid="{00000000-0004-0000-0200-000004380000}"/>
    <hyperlink ref="B9497" r:id="rId14342" xr:uid="{00000000-0004-0000-0200-000005380000}"/>
    <hyperlink ref="C9497" r:id="rId14343" xr:uid="{00000000-0004-0000-0200-000006380000}"/>
    <hyperlink ref="A9498" r:id="rId14344" xr:uid="{00000000-0004-0000-0200-000007380000}"/>
    <hyperlink ref="B9498" r:id="rId14345" xr:uid="{00000000-0004-0000-0200-000008380000}"/>
    <hyperlink ref="C9498" r:id="rId14346" xr:uid="{00000000-0004-0000-0200-000009380000}"/>
    <hyperlink ref="A9499" r:id="rId14347" xr:uid="{00000000-0004-0000-0200-00000A380000}"/>
    <hyperlink ref="B9499" r:id="rId14348" xr:uid="{00000000-0004-0000-0200-00000B380000}"/>
    <hyperlink ref="C9499" r:id="rId14349" xr:uid="{00000000-0004-0000-0200-00000C380000}"/>
    <hyperlink ref="A9500" r:id="rId14350" xr:uid="{00000000-0004-0000-0200-00000D380000}"/>
    <hyperlink ref="B9500" r:id="rId14351" xr:uid="{00000000-0004-0000-0200-00000E380000}"/>
    <hyperlink ref="C9500" r:id="rId14352" xr:uid="{00000000-0004-0000-0200-00000F380000}"/>
    <hyperlink ref="A9501" r:id="rId14353" xr:uid="{00000000-0004-0000-0200-000010380000}"/>
    <hyperlink ref="B9501" r:id="rId14354" xr:uid="{00000000-0004-0000-0200-000011380000}"/>
    <hyperlink ref="C9501" r:id="rId14355" xr:uid="{00000000-0004-0000-0200-000012380000}"/>
    <hyperlink ref="A9502" r:id="rId14356" xr:uid="{00000000-0004-0000-0200-000013380000}"/>
    <hyperlink ref="B9502" r:id="rId14357" xr:uid="{00000000-0004-0000-0200-000014380000}"/>
    <hyperlink ref="C9502" r:id="rId14358" xr:uid="{00000000-0004-0000-0200-000015380000}"/>
    <hyperlink ref="A9503" r:id="rId14359" xr:uid="{00000000-0004-0000-0200-000016380000}"/>
    <hyperlink ref="B9503" r:id="rId14360" xr:uid="{00000000-0004-0000-0200-000017380000}"/>
    <hyperlink ref="C9503" r:id="rId14361" xr:uid="{00000000-0004-0000-0200-000018380000}"/>
    <hyperlink ref="A9504" r:id="rId14362" xr:uid="{00000000-0004-0000-0200-000019380000}"/>
    <hyperlink ref="B9504" r:id="rId14363" xr:uid="{00000000-0004-0000-0200-00001A380000}"/>
    <hyperlink ref="C9504" r:id="rId14364" xr:uid="{00000000-0004-0000-0200-00001B380000}"/>
    <hyperlink ref="A9505" r:id="rId14365" xr:uid="{00000000-0004-0000-0200-00001C380000}"/>
    <hyperlink ref="B9505" r:id="rId14366" xr:uid="{00000000-0004-0000-0200-00001D380000}"/>
    <hyperlink ref="C9505" r:id="rId14367" xr:uid="{00000000-0004-0000-0200-00001E380000}"/>
    <hyperlink ref="A9506" r:id="rId14368" xr:uid="{00000000-0004-0000-0200-00001F380000}"/>
    <hyperlink ref="B9506" r:id="rId14369" xr:uid="{00000000-0004-0000-0200-000020380000}"/>
    <hyperlink ref="C9506" r:id="rId14370" xr:uid="{00000000-0004-0000-0200-000021380000}"/>
    <hyperlink ref="A9507" r:id="rId14371" xr:uid="{00000000-0004-0000-0200-000022380000}"/>
    <hyperlink ref="B9507" r:id="rId14372" xr:uid="{00000000-0004-0000-0200-000023380000}"/>
    <hyperlink ref="C9507" r:id="rId14373" xr:uid="{00000000-0004-0000-0200-000024380000}"/>
    <hyperlink ref="A9508" r:id="rId14374" xr:uid="{00000000-0004-0000-0200-000025380000}"/>
    <hyperlink ref="B9508" r:id="rId14375" xr:uid="{00000000-0004-0000-0200-000026380000}"/>
    <hyperlink ref="C9508" r:id="rId14376" xr:uid="{00000000-0004-0000-0200-000027380000}"/>
    <hyperlink ref="A9509" r:id="rId14377" xr:uid="{00000000-0004-0000-0200-000028380000}"/>
    <hyperlink ref="B9509" r:id="rId14378" xr:uid="{00000000-0004-0000-0200-000029380000}"/>
    <hyperlink ref="C9509" r:id="rId14379" xr:uid="{00000000-0004-0000-0200-00002A380000}"/>
    <hyperlink ref="A9510" r:id="rId14380" xr:uid="{00000000-0004-0000-0200-00002B380000}"/>
    <hyperlink ref="B9510" r:id="rId14381" xr:uid="{00000000-0004-0000-0200-00002C380000}"/>
    <hyperlink ref="C9510" r:id="rId14382" xr:uid="{00000000-0004-0000-0200-00002D380000}"/>
    <hyperlink ref="A9511" r:id="rId14383" xr:uid="{00000000-0004-0000-0200-00002E380000}"/>
    <hyperlink ref="B9511" r:id="rId14384" xr:uid="{00000000-0004-0000-0200-00002F380000}"/>
    <hyperlink ref="C9511" r:id="rId14385" xr:uid="{00000000-0004-0000-0200-000030380000}"/>
    <hyperlink ref="A9512" r:id="rId14386" xr:uid="{00000000-0004-0000-0200-000031380000}"/>
    <hyperlink ref="B9512" r:id="rId14387" xr:uid="{00000000-0004-0000-0200-000032380000}"/>
    <hyperlink ref="C9512" r:id="rId14388" xr:uid="{00000000-0004-0000-0200-000033380000}"/>
    <hyperlink ref="A9513" r:id="rId14389" xr:uid="{00000000-0004-0000-0200-000034380000}"/>
    <hyperlink ref="B9513" r:id="rId14390" xr:uid="{00000000-0004-0000-0200-000035380000}"/>
    <hyperlink ref="C9513" r:id="rId14391" xr:uid="{00000000-0004-0000-0200-000036380000}"/>
    <hyperlink ref="A9514" r:id="rId14392" xr:uid="{00000000-0004-0000-0200-000037380000}"/>
    <hyperlink ref="B9514" r:id="rId14393" xr:uid="{00000000-0004-0000-0200-000038380000}"/>
    <hyperlink ref="C9514" r:id="rId14394" xr:uid="{00000000-0004-0000-0200-000039380000}"/>
    <hyperlink ref="A9515" r:id="rId14395" xr:uid="{00000000-0004-0000-0200-00003A380000}"/>
    <hyperlink ref="B9515" r:id="rId14396" xr:uid="{00000000-0004-0000-0200-00003B380000}"/>
    <hyperlink ref="C9515" r:id="rId14397" xr:uid="{00000000-0004-0000-0200-00003C380000}"/>
    <hyperlink ref="A9516" r:id="rId14398" xr:uid="{00000000-0004-0000-0200-00003D380000}"/>
    <hyperlink ref="B9516" r:id="rId14399" xr:uid="{00000000-0004-0000-0200-00003E380000}"/>
    <hyperlink ref="C9516" r:id="rId14400" xr:uid="{00000000-0004-0000-0200-00003F380000}"/>
    <hyperlink ref="A9517" r:id="rId14401" xr:uid="{00000000-0004-0000-0200-000040380000}"/>
    <hyperlink ref="B9517" r:id="rId14402" xr:uid="{00000000-0004-0000-0200-000041380000}"/>
    <hyperlink ref="C9517" r:id="rId14403" xr:uid="{00000000-0004-0000-0200-000042380000}"/>
    <hyperlink ref="A9518" r:id="rId14404" xr:uid="{00000000-0004-0000-0200-000043380000}"/>
    <hyperlink ref="B9518" r:id="rId14405" xr:uid="{00000000-0004-0000-0200-000044380000}"/>
    <hyperlink ref="C9518" r:id="rId14406" xr:uid="{00000000-0004-0000-0200-000045380000}"/>
    <hyperlink ref="A9519" r:id="rId14407" xr:uid="{00000000-0004-0000-0200-000046380000}"/>
    <hyperlink ref="B9519" r:id="rId14408" xr:uid="{00000000-0004-0000-0200-000047380000}"/>
    <hyperlink ref="C9519" r:id="rId14409" xr:uid="{00000000-0004-0000-0200-000048380000}"/>
    <hyperlink ref="A9520" r:id="rId14410" xr:uid="{00000000-0004-0000-0200-000049380000}"/>
    <hyperlink ref="B9520" r:id="rId14411" xr:uid="{00000000-0004-0000-0200-00004A380000}"/>
    <hyperlink ref="C9520" r:id="rId14412" xr:uid="{00000000-0004-0000-0200-00004B380000}"/>
    <hyperlink ref="A9521" r:id="rId14413" xr:uid="{00000000-0004-0000-0200-00004C380000}"/>
    <hyperlink ref="B9521" r:id="rId14414" xr:uid="{00000000-0004-0000-0200-00004D380000}"/>
    <hyperlink ref="C9521" r:id="rId14415" xr:uid="{00000000-0004-0000-0200-00004E380000}"/>
    <hyperlink ref="A9522" r:id="rId14416" xr:uid="{00000000-0004-0000-0200-00004F380000}"/>
    <hyperlink ref="B9522" r:id="rId14417" xr:uid="{00000000-0004-0000-0200-000050380000}"/>
    <hyperlink ref="C9522" r:id="rId14418" xr:uid="{00000000-0004-0000-0200-000051380000}"/>
    <hyperlink ref="A9523" r:id="rId14419" xr:uid="{00000000-0004-0000-0200-000052380000}"/>
    <hyperlink ref="B9523" r:id="rId14420" xr:uid="{00000000-0004-0000-0200-000053380000}"/>
    <hyperlink ref="C9523" r:id="rId14421" xr:uid="{00000000-0004-0000-0200-000054380000}"/>
    <hyperlink ref="A9524" r:id="rId14422" xr:uid="{00000000-0004-0000-0200-000055380000}"/>
    <hyperlink ref="B9524" r:id="rId14423" xr:uid="{00000000-0004-0000-0200-000056380000}"/>
    <hyperlink ref="C9524" r:id="rId14424" xr:uid="{00000000-0004-0000-0200-000057380000}"/>
    <hyperlink ref="A9525" r:id="rId14425" xr:uid="{00000000-0004-0000-0200-000058380000}"/>
    <hyperlink ref="B9525" r:id="rId14426" xr:uid="{00000000-0004-0000-0200-000059380000}"/>
    <hyperlink ref="C9525" r:id="rId14427" xr:uid="{00000000-0004-0000-0200-00005A380000}"/>
    <hyperlink ref="A9526" r:id="rId14428" xr:uid="{00000000-0004-0000-0200-00005B380000}"/>
    <hyperlink ref="B9526" r:id="rId14429" xr:uid="{00000000-0004-0000-0200-00005C380000}"/>
    <hyperlink ref="C9526" r:id="rId14430" xr:uid="{00000000-0004-0000-0200-00005D380000}"/>
    <hyperlink ref="A9527" r:id="rId14431" xr:uid="{00000000-0004-0000-0200-00005E380000}"/>
    <hyperlink ref="B9527" r:id="rId14432" xr:uid="{00000000-0004-0000-0200-00005F380000}"/>
    <hyperlink ref="C9527" r:id="rId14433" xr:uid="{00000000-0004-0000-0200-000060380000}"/>
    <hyperlink ref="A9528" r:id="rId14434" xr:uid="{00000000-0004-0000-0200-000061380000}"/>
    <hyperlink ref="B9528" r:id="rId14435" xr:uid="{00000000-0004-0000-0200-000062380000}"/>
    <hyperlink ref="C9528" r:id="rId14436" xr:uid="{00000000-0004-0000-0200-000063380000}"/>
    <hyperlink ref="A9529" r:id="rId14437" xr:uid="{00000000-0004-0000-0200-000064380000}"/>
    <hyperlink ref="B9529" r:id="rId14438" xr:uid="{00000000-0004-0000-0200-000065380000}"/>
    <hyperlink ref="C9529" r:id="rId14439" xr:uid="{00000000-0004-0000-0200-000066380000}"/>
    <hyperlink ref="A9530" r:id="rId14440" xr:uid="{00000000-0004-0000-0200-000067380000}"/>
    <hyperlink ref="B9530" r:id="rId14441" xr:uid="{00000000-0004-0000-0200-000068380000}"/>
    <hyperlink ref="C9530" r:id="rId14442" xr:uid="{00000000-0004-0000-0200-000069380000}"/>
    <hyperlink ref="A9531" r:id="rId14443" xr:uid="{00000000-0004-0000-0200-00006A380000}"/>
    <hyperlink ref="B9531" r:id="rId14444" xr:uid="{00000000-0004-0000-0200-00006B380000}"/>
    <hyperlink ref="C9531" r:id="rId14445" xr:uid="{00000000-0004-0000-0200-00006C380000}"/>
    <hyperlink ref="A9532" r:id="rId14446" xr:uid="{00000000-0004-0000-0200-00006D380000}"/>
    <hyperlink ref="B9532" r:id="rId14447" xr:uid="{00000000-0004-0000-0200-00006E380000}"/>
    <hyperlink ref="C9532" r:id="rId14448" xr:uid="{00000000-0004-0000-0200-00006F380000}"/>
    <hyperlink ref="A9533" r:id="rId14449" xr:uid="{00000000-0004-0000-0200-000070380000}"/>
    <hyperlink ref="B9533" r:id="rId14450" xr:uid="{00000000-0004-0000-0200-000071380000}"/>
    <hyperlink ref="C9533" r:id="rId14451" xr:uid="{00000000-0004-0000-0200-000072380000}"/>
    <hyperlink ref="A9534" r:id="rId14452" xr:uid="{00000000-0004-0000-0200-000073380000}"/>
    <hyperlink ref="B9534" r:id="rId14453" xr:uid="{00000000-0004-0000-0200-000074380000}"/>
    <hyperlink ref="C9534" r:id="rId14454" xr:uid="{00000000-0004-0000-0200-000075380000}"/>
    <hyperlink ref="A9535" r:id="rId14455" xr:uid="{00000000-0004-0000-0200-000076380000}"/>
    <hyperlink ref="B9535" r:id="rId14456" xr:uid="{00000000-0004-0000-0200-000077380000}"/>
    <hyperlink ref="C9535" r:id="rId14457" xr:uid="{00000000-0004-0000-0200-000078380000}"/>
    <hyperlink ref="A9536" r:id="rId14458" xr:uid="{00000000-0004-0000-0200-000079380000}"/>
    <hyperlink ref="B9536" r:id="rId14459" xr:uid="{00000000-0004-0000-0200-00007A380000}"/>
    <hyperlink ref="C9536" r:id="rId14460" xr:uid="{00000000-0004-0000-0200-00007B380000}"/>
    <hyperlink ref="A9537" r:id="rId14461" xr:uid="{00000000-0004-0000-0200-00007C380000}"/>
    <hyperlink ref="B9537" r:id="rId14462" xr:uid="{00000000-0004-0000-0200-00007D380000}"/>
    <hyperlink ref="C9537" r:id="rId14463" xr:uid="{00000000-0004-0000-0200-00007E380000}"/>
    <hyperlink ref="A9538" r:id="rId14464" xr:uid="{00000000-0004-0000-0200-00007F380000}"/>
    <hyperlink ref="B9538" r:id="rId14465" xr:uid="{00000000-0004-0000-0200-000080380000}"/>
    <hyperlink ref="C9538" r:id="rId14466" xr:uid="{00000000-0004-0000-0200-000081380000}"/>
    <hyperlink ref="A9539" r:id="rId14467" xr:uid="{00000000-0004-0000-0200-000082380000}"/>
    <hyperlink ref="B9539" r:id="rId14468" xr:uid="{00000000-0004-0000-0200-000083380000}"/>
    <hyperlink ref="C9539" r:id="rId14469" xr:uid="{00000000-0004-0000-0200-000084380000}"/>
    <hyperlink ref="A9540" r:id="rId14470" xr:uid="{00000000-0004-0000-0200-000085380000}"/>
    <hyperlink ref="B9540" r:id="rId14471" xr:uid="{00000000-0004-0000-0200-000086380000}"/>
    <hyperlink ref="C9540" r:id="rId14472" xr:uid="{00000000-0004-0000-0200-000087380000}"/>
    <hyperlink ref="A9541" r:id="rId14473" xr:uid="{00000000-0004-0000-0200-000088380000}"/>
    <hyperlink ref="B9541" r:id="rId14474" xr:uid="{00000000-0004-0000-0200-000089380000}"/>
    <hyperlink ref="C9541" r:id="rId14475" xr:uid="{00000000-0004-0000-0200-00008A380000}"/>
    <hyperlink ref="A9542" r:id="rId14476" xr:uid="{00000000-0004-0000-0200-00008B380000}"/>
    <hyperlink ref="B9542" r:id="rId14477" xr:uid="{00000000-0004-0000-0200-00008C380000}"/>
    <hyperlink ref="C9542" r:id="rId14478" xr:uid="{00000000-0004-0000-0200-00008D380000}"/>
    <hyperlink ref="A9543" r:id="rId14479" xr:uid="{00000000-0004-0000-0200-00008E380000}"/>
    <hyperlink ref="B9543" r:id="rId14480" xr:uid="{00000000-0004-0000-0200-00008F380000}"/>
    <hyperlink ref="C9543" r:id="rId14481" xr:uid="{00000000-0004-0000-0200-000090380000}"/>
    <hyperlink ref="A9544" r:id="rId14482" xr:uid="{00000000-0004-0000-0200-000091380000}"/>
    <hyperlink ref="B9544" r:id="rId14483" xr:uid="{00000000-0004-0000-0200-000092380000}"/>
    <hyperlink ref="C9544" r:id="rId14484" xr:uid="{00000000-0004-0000-0200-000093380000}"/>
    <hyperlink ref="A9545" r:id="rId14485" xr:uid="{00000000-0004-0000-0200-000094380000}"/>
    <hyperlink ref="B9545" r:id="rId14486" xr:uid="{00000000-0004-0000-0200-000095380000}"/>
    <hyperlink ref="C9545" r:id="rId14487" xr:uid="{00000000-0004-0000-0200-000096380000}"/>
    <hyperlink ref="A9546" r:id="rId14488" xr:uid="{00000000-0004-0000-0200-000097380000}"/>
    <hyperlink ref="B9546" r:id="rId14489" xr:uid="{00000000-0004-0000-0200-000098380000}"/>
    <hyperlink ref="C9546" r:id="rId14490" xr:uid="{00000000-0004-0000-0200-000099380000}"/>
    <hyperlink ref="A9547" r:id="rId14491" xr:uid="{00000000-0004-0000-0200-00009A380000}"/>
    <hyperlink ref="B9547" r:id="rId14492" xr:uid="{00000000-0004-0000-0200-00009B380000}"/>
    <hyperlink ref="C9547" r:id="rId14493" xr:uid="{00000000-0004-0000-0200-00009C380000}"/>
    <hyperlink ref="A9548" r:id="rId14494" xr:uid="{00000000-0004-0000-0200-00009D380000}"/>
    <hyperlink ref="B9548" r:id="rId14495" xr:uid="{00000000-0004-0000-0200-00009E380000}"/>
    <hyperlink ref="C9548" r:id="rId14496" xr:uid="{00000000-0004-0000-0200-00009F380000}"/>
    <hyperlink ref="A9549" r:id="rId14497" xr:uid="{00000000-0004-0000-0200-0000A0380000}"/>
    <hyperlink ref="B9549" r:id="rId14498" xr:uid="{00000000-0004-0000-0200-0000A1380000}"/>
    <hyperlink ref="C9549" r:id="rId14499" xr:uid="{00000000-0004-0000-0200-0000A2380000}"/>
    <hyperlink ref="A9550" r:id="rId14500" xr:uid="{00000000-0004-0000-0200-0000A3380000}"/>
    <hyperlink ref="B9550" r:id="rId14501" xr:uid="{00000000-0004-0000-0200-0000A4380000}"/>
    <hyperlink ref="C9550" r:id="rId14502" xr:uid="{00000000-0004-0000-0200-0000A5380000}"/>
    <hyperlink ref="A9551" r:id="rId14503" xr:uid="{00000000-0004-0000-0200-0000A6380000}"/>
    <hyperlink ref="B9551" r:id="rId14504" xr:uid="{00000000-0004-0000-0200-0000A7380000}"/>
    <hyperlink ref="C9551" r:id="rId14505" xr:uid="{00000000-0004-0000-0200-0000A8380000}"/>
    <hyperlink ref="A9552" r:id="rId14506" xr:uid="{00000000-0004-0000-0200-0000A9380000}"/>
    <hyperlink ref="B9552" r:id="rId14507" xr:uid="{00000000-0004-0000-0200-0000AA380000}"/>
    <hyperlink ref="C9552" r:id="rId14508" xr:uid="{00000000-0004-0000-0200-0000AB380000}"/>
    <hyperlink ref="A9553" r:id="rId14509" xr:uid="{00000000-0004-0000-0200-0000AC380000}"/>
    <hyperlink ref="B9553" r:id="rId14510" xr:uid="{00000000-0004-0000-0200-0000AD380000}"/>
    <hyperlink ref="C9553" r:id="rId14511" xr:uid="{00000000-0004-0000-0200-0000AE380000}"/>
    <hyperlink ref="A9554" r:id="rId14512" xr:uid="{00000000-0004-0000-0200-0000AF380000}"/>
    <hyperlink ref="B9554" r:id="rId14513" xr:uid="{00000000-0004-0000-0200-0000B0380000}"/>
    <hyperlink ref="C9554" r:id="rId14514" xr:uid="{00000000-0004-0000-0200-0000B1380000}"/>
    <hyperlink ref="A9555" r:id="rId14515" xr:uid="{00000000-0004-0000-0200-0000B2380000}"/>
    <hyperlink ref="B9555" r:id="rId14516" xr:uid="{00000000-0004-0000-0200-0000B3380000}"/>
    <hyperlink ref="C9555" r:id="rId14517" xr:uid="{00000000-0004-0000-0200-0000B4380000}"/>
    <hyperlink ref="A9556" r:id="rId14518" xr:uid="{00000000-0004-0000-0200-0000B5380000}"/>
    <hyperlink ref="B9556" r:id="rId14519" xr:uid="{00000000-0004-0000-0200-0000B6380000}"/>
    <hyperlink ref="C9556" r:id="rId14520" xr:uid="{00000000-0004-0000-0200-0000B7380000}"/>
    <hyperlink ref="A9557" r:id="rId14521" xr:uid="{00000000-0004-0000-0200-0000B8380000}"/>
    <hyperlink ref="B9557" r:id="rId14522" xr:uid="{00000000-0004-0000-0200-0000B9380000}"/>
    <hyperlink ref="C9557" r:id="rId14523" xr:uid="{00000000-0004-0000-0200-0000BA380000}"/>
    <hyperlink ref="A9558" r:id="rId14524" xr:uid="{00000000-0004-0000-0200-0000BB380000}"/>
    <hyperlink ref="B9558" r:id="rId14525" xr:uid="{00000000-0004-0000-0200-0000BC380000}"/>
    <hyperlink ref="C9558" r:id="rId14526" xr:uid="{00000000-0004-0000-0200-0000BD380000}"/>
    <hyperlink ref="A9559" r:id="rId14527" xr:uid="{00000000-0004-0000-0200-0000BE380000}"/>
    <hyperlink ref="B9559" r:id="rId14528" xr:uid="{00000000-0004-0000-0200-0000BF380000}"/>
    <hyperlink ref="C9559" r:id="rId14529" xr:uid="{00000000-0004-0000-0200-0000C0380000}"/>
    <hyperlink ref="A9560" r:id="rId14530" xr:uid="{00000000-0004-0000-0200-0000C1380000}"/>
    <hyperlink ref="B9560" r:id="rId14531" xr:uid="{00000000-0004-0000-0200-0000C2380000}"/>
    <hyperlink ref="C9560" r:id="rId14532" xr:uid="{00000000-0004-0000-0200-0000C3380000}"/>
    <hyperlink ref="A9561" r:id="rId14533" xr:uid="{00000000-0004-0000-0200-0000C4380000}"/>
    <hyperlink ref="B9561" r:id="rId14534" xr:uid="{00000000-0004-0000-0200-0000C5380000}"/>
    <hyperlink ref="C9561" r:id="rId14535" xr:uid="{00000000-0004-0000-0200-0000C6380000}"/>
    <hyperlink ref="A9562" r:id="rId14536" xr:uid="{00000000-0004-0000-0200-0000C7380000}"/>
    <hyperlink ref="B9562" r:id="rId14537" xr:uid="{00000000-0004-0000-0200-0000C8380000}"/>
    <hyperlink ref="C9562" r:id="rId14538" xr:uid="{00000000-0004-0000-0200-0000C9380000}"/>
    <hyperlink ref="A9563" r:id="rId14539" xr:uid="{00000000-0004-0000-0200-0000CA380000}"/>
    <hyperlink ref="B9563" r:id="rId14540" xr:uid="{00000000-0004-0000-0200-0000CB380000}"/>
    <hyperlink ref="C9563" r:id="rId14541" xr:uid="{00000000-0004-0000-0200-0000CC380000}"/>
    <hyperlink ref="A9564" r:id="rId14542" xr:uid="{00000000-0004-0000-0200-0000CD380000}"/>
    <hyperlink ref="B9564" r:id="rId14543" xr:uid="{00000000-0004-0000-0200-0000CE380000}"/>
    <hyperlink ref="C9564" r:id="rId14544" xr:uid="{00000000-0004-0000-0200-0000CF380000}"/>
    <hyperlink ref="A9565" r:id="rId14545" xr:uid="{00000000-0004-0000-0200-0000D0380000}"/>
    <hyperlink ref="B9565" r:id="rId14546" xr:uid="{00000000-0004-0000-0200-0000D1380000}"/>
    <hyperlink ref="C9565" r:id="rId14547" xr:uid="{00000000-0004-0000-0200-0000D2380000}"/>
    <hyperlink ref="A9566" r:id="rId14548" xr:uid="{00000000-0004-0000-0200-0000D3380000}"/>
    <hyperlink ref="B9566" r:id="rId14549" xr:uid="{00000000-0004-0000-0200-0000D4380000}"/>
    <hyperlink ref="C9566" r:id="rId14550" xr:uid="{00000000-0004-0000-0200-0000D5380000}"/>
    <hyperlink ref="A9567" r:id="rId14551" xr:uid="{00000000-0004-0000-0200-0000D6380000}"/>
    <hyperlink ref="B9567" r:id="rId14552" xr:uid="{00000000-0004-0000-0200-0000D7380000}"/>
    <hyperlink ref="C9567" r:id="rId14553" xr:uid="{00000000-0004-0000-0200-0000D8380000}"/>
    <hyperlink ref="A9568" r:id="rId14554" xr:uid="{00000000-0004-0000-0200-0000D9380000}"/>
    <hyperlink ref="B9568" r:id="rId14555" xr:uid="{00000000-0004-0000-0200-0000DA380000}"/>
    <hyperlink ref="C9568" r:id="rId14556" xr:uid="{00000000-0004-0000-0200-0000DB380000}"/>
    <hyperlink ref="A9569" r:id="rId14557" xr:uid="{00000000-0004-0000-0200-0000DC380000}"/>
    <hyperlink ref="B9569" r:id="rId14558" xr:uid="{00000000-0004-0000-0200-0000DD380000}"/>
    <hyperlink ref="C9569" r:id="rId14559" xr:uid="{00000000-0004-0000-0200-0000DE380000}"/>
    <hyperlink ref="A9570" r:id="rId14560" xr:uid="{00000000-0004-0000-0200-0000DF380000}"/>
    <hyperlink ref="B9570" r:id="rId14561" xr:uid="{00000000-0004-0000-0200-0000E0380000}"/>
    <hyperlink ref="C9570" r:id="rId14562" xr:uid="{00000000-0004-0000-0200-0000E1380000}"/>
    <hyperlink ref="A9571" r:id="rId14563" xr:uid="{00000000-0004-0000-0200-0000E2380000}"/>
    <hyperlink ref="B9571" r:id="rId14564" xr:uid="{00000000-0004-0000-0200-0000E3380000}"/>
    <hyperlink ref="C9571" r:id="rId14565" xr:uid="{00000000-0004-0000-0200-0000E4380000}"/>
    <hyperlink ref="A9572" r:id="rId14566" xr:uid="{00000000-0004-0000-0200-0000E5380000}"/>
    <hyperlink ref="B9572" r:id="rId14567" xr:uid="{00000000-0004-0000-0200-0000E6380000}"/>
    <hyperlink ref="C9572" r:id="rId14568" xr:uid="{00000000-0004-0000-0200-0000E7380000}"/>
    <hyperlink ref="A9573" r:id="rId14569" xr:uid="{00000000-0004-0000-0200-0000E8380000}"/>
    <hyperlink ref="B9573" r:id="rId14570" xr:uid="{00000000-0004-0000-0200-0000E9380000}"/>
    <hyperlink ref="C9573" r:id="rId14571" xr:uid="{00000000-0004-0000-0200-0000EA380000}"/>
    <hyperlink ref="A9574" r:id="rId14572" xr:uid="{00000000-0004-0000-0200-0000EB380000}"/>
    <hyperlink ref="B9574" r:id="rId14573" xr:uid="{00000000-0004-0000-0200-0000EC380000}"/>
    <hyperlink ref="C9574" r:id="rId14574" xr:uid="{00000000-0004-0000-0200-0000ED380000}"/>
    <hyperlink ref="A9575" r:id="rId14575" xr:uid="{00000000-0004-0000-0200-0000EE380000}"/>
    <hyperlink ref="B9575" r:id="rId14576" xr:uid="{00000000-0004-0000-0200-0000EF380000}"/>
    <hyperlink ref="C9575" r:id="rId14577" xr:uid="{00000000-0004-0000-0200-0000F0380000}"/>
    <hyperlink ref="A9576" r:id="rId14578" xr:uid="{00000000-0004-0000-0200-0000F1380000}"/>
    <hyperlink ref="B9576" r:id="rId14579" xr:uid="{00000000-0004-0000-0200-0000F2380000}"/>
    <hyperlink ref="C9576" r:id="rId14580" xr:uid="{00000000-0004-0000-0200-0000F3380000}"/>
    <hyperlink ref="A9577" r:id="rId14581" xr:uid="{00000000-0004-0000-0200-0000F4380000}"/>
    <hyperlink ref="B9577" r:id="rId14582" xr:uid="{00000000-0004-0000-0200-0000F5380000}"/>
    <hyperlink ref="C9577" r:id="rId14583" xr:uid="{00000000-0004-0000-0200-0000F6380000}"/>
    <hyperlink ref="A9578" r:id="rId14584" xr:uid="{00000000-0004-0000-0200-0000F7380000}"/>
    <hyperlink ref="B9578" r:id="rId14585" xr:uid="{00000000-0004-0000-0200-0000F8380000}"/>
    <hyperlink ref="C9578" r:id="rId14586" xr:uid="{00000000-0004-0000-0200-0000F9380000}"/>
    <hyperlink ref="A9579" r:id="rId14587" xr:uid="{00000000-0004-0000-0200-0000FA380000}"/>
    <hyperlink ref="B9579" r:id="rId14588" xr:uid="{00000000-0004-0000-0200-0000FB380000}"/>
    <hyperlink ref="C9579" r:id="rId14589" xr:uid="{00000000-0004-0000-0200-0000FC380000}"/>
    <hyperlink ref="A9580" r:id="rId14590" xr:uid="{00000000-0004-0000-0200-0000FD380000}"/>
    <hyperlink ref="B9580" r:id="rId14591" xr:uid="{00000000-0004-0000-0200-0000FE380000}"/>
    <hyperlink ref="C9580" r:id="rId14592" xr:uid="{00000000-0004-0000-0200-0000FF380000}"/>
    <hyperlink ref="A9581" r:id="rId14593" xr:uid="{00000000-0004-0000-0200-000000390000}"/>
    <hyperlink ref="B9581" r:id="rId14594" xr:uid="{00000000-0004-0000-0200-000001390000}"/>
    <hyperlink ref="C9581" r:id="rId14595" xr:uid="{00000000-0004-0000-0200-000002390000}"/>
    <hyperlink ref="A9582" r:id="rId14596" xr:uid="{00000000-0004-0000-0200-000003390000}"/>
    <hyperlink ref="B9582" r:id="rId14597" xr:uid="{00000000-0004-0000-0200-000004390000}"/>
    <hyperlink ref="C9582" r:id="rId14598" xr:uid="{00000000-0004-0000-0200-000005390000}"/>
    <hyperlink ref="A9583" r:id="rId14599" xr:uid="{00000000-0004-0000-0200-000006390000}"/>
    <hyperlink ref="B9583" r:id="rId14600" xr:uid="{00000000-0004-0000-0200-000007390000}"/>
    <hyperlink ref="C9583" r:id="rId14601" xr:uid="{00000000-0004-0000-0200-000008390000}"/>
    <hyperlink ref="A9584" r:id="rId14602" xr:uid="{00000000-0004-0000-0200-000009390000}"/>
    <hyperlink ref="B9584" r:id="rId14603" xr:uid="{00000000-0004-0000-0200-00000A390000}"/>
    <hyperlink ref="C9584" r:id="rId14604" xr:uid="{00000000-0004-0000-0200-00000B390000}"/>
    <hyperlink ref="A9585" r:id="rId14605" xr:uid="{00000000-0004-0000-0200-00000C390000}"/>
    <hyperlink ref="B9585" r:id="rId14606" xr:uid="{00000000-0004-0000-0200-00000D390000}"/>
    <hyperlink ref="C9585" r:id="rId14607" xr:uid="{00000000-0004-0000-0200-00000E390000}"/>
    <hyperlink ref="A9586" r:id="rId14608" xr:uid="{00000000-0004-0000-0200-00000F390000}"/>
    <hyperlink ref="B9586" r:id="rId14609" xr:uid="{00000000-0004-0000-0200-000010390000}"/>
    <hyperlink ref="C9586" r:id="rId14610" xr:uid="{00000000-0004-0000-0200-000011390000}"/>
    <hyperlink ref="A9587" r:id="rId14611" xr:uid="{00000000-0004-0000-0200-000012390000}"/>
    <hyperlink ref="B9587" r:id="rId14612" xr:uid="{00000000-0004-0000-0200-000013390000}"/>
    <hyperlink ref="C9587" r:id="rId14613" xr:uid="{00000000-0004-0000-0200-000014390000}"/>
    <hyperlink ref="A9588" r:id="rId14614" xr:uid="{00000000-0004-0000-0200-000015390000}"/>
    <hyperlink ref="B9588" r:id="rId14615" xr:uid="{00000000-0004-0000-0200-000016390000}"/>
    <hyperlink ref="C9588" r:id="rId14616" xr:uid="{00000000-0004-0000-0200-000017390000}"/>
    <hyperlink ref="A9589" r:id="rId14617" xr:uid="{00000000-0004-0000-0200-000018390000}"/>
    <hyperlink ref="B9589" r:id="rId14618" xr:uid="{00000000-0004-0000-0200-000019390000}"/>
    <hyperlink ref="C9589" r:id="rId14619" xr:uid="{00000000-0004-0000-0200-00001A390000}"/>
    <hyperlink ref="A9590" r:id="rId14620" xr:uid="{00000000-0004-0000-0200-00001B390000}"/>
    <hyperlink ref="B9590" r:id="rId14621" xr:uid="{00000000-0004-0000-0200-00001C390000}"/>
    <hyperlink ref="C9590" r:id="rId14622" xr:uid="{00000000-0004-0000-0200-00001D390000}"/>
    <hyperlink ref="A9591" r:id="rId14623" xr:uid="{00000000-0004-0000-0200-00001E390000}"/>
    <hyperlink ref="B9591" r:id="rId14624" xr:uid="{00000000-0004-0000-0200-00001F390000}"/>
    <hyperlink ref="C9591" r:id="rId14625" xr:uid="{00000000-0004-0000-0200-000020390000}"/>
    <hyperlink ref="A9592" r:id="rId14626" xr:uid="{00000000-0004-0000-0200-000021390000}"/>
    <hyperlink ref="B9592" r:id="rId14627" xr:uid="{00000000-0004-0000-0200-000022390000}"/>
    <hyperlink ref="C9592" r:id="rId14628" xr:uid="{00000000-0004-0000-0200-000023390000}"/>
    <hyperlink ref="A9593" r:id="rId14629" xr:uid="{00000000-0004-0000-0200-000024390000}"/>
    <hyperlink ref="B9593" r:id="rId14630" xr:uid="{00000000-0004-0000-0200-000025390000}"/>
    <hyperlink ref="C9593" r:id="rId14631" xr:uid="{00000000-0004-0000-0200-000026390000}"/>
    <hyperlink ref="A9594" r:id="rId14632" xr:uid="{00000000-0004-0000-0200-000027390000}"/>
    <hyperlink ref="B9594" r:id="rId14633" xr:uid="{00000000-0004-0000-0200-000028390000}"/>
    <hyperlink ref="C9594" r:id="rId14634" xr:uid="{00000000-0004-0000-0200-000029390000}"/>
    <hyperlink ref="A9595" r:id="rId14635" xr:uid="{00000000-0004-0000-0200-00002A390000}"/>
    <hyperlink ref="B9595" r:id="rId14636" xr:uid="{00000000-0004-0000-0200-00002B390000}"/>
    <hyperlink ref="C9595" r:id="rId14637" xr:uid="{00000000-0004-0000-0200-00002C390000}"/>
    <hyperlink ref="A9596" r:id="rId14638" xr:uid="{00000000-0004-0000-0200-00002D390000}"/>
    <hyperlink ref="B9596" r:id="rId14639" xr:uid="{00000000-0004-0000-0200-00002E390000}"/>
    <hyperlink ref="C9596" r:id="rId14640" xr:uid="{00000000-0004-0000-0200-00002F390000}"/>
    <hyperlink ref="A9597" r:id="rId14641" xr:uid="{00000000-0004-0000-0200-000030390000}"/>
    <hyperlink ref="B9597" r:id="rId14642" xr:uid="{00000000-0004-0000-0200-000031390000}"/>
    <hyperlink ref="C9597" r:id="rId14643" xr:uid="{00000000-0004-0000-0200-000032390000}"/>
    <hyperlink ref="A9598" r:id="rId14644" xr:uid="{00000000-0004-0000-0200-000033390000}"/>
    <hyperlink ref="B9598" r:id="rId14645" xr:uid="{00000000-0004-0000-0200-000034390000}"/>
    <hyperlink ref="C9598" r:id="rId14646" xr:uid="{00000000-0004-0000-0200-000035390000}"/>
    <hyperlink ref="A9599" r:id="rId14647" xr:uid="{00000000-0004-0000-0200-000036390000}"/>
    <hyperlink ref="B9599" r:id="rId14648" xr:uid="{00000000-0004-0000-0200-000037390000}"/>
    <hyperlink ref="C9599" r:id="rId14649" xr:uid="{00000000-0004-0000-0200-000038390000}"/>
    <hyperlink ref="A9600" r:id="rId14650" xr:uid="{00000000-0004-0000-0200-000039390000}"/>
    <hyperlink ref="B9600" r:id="rId14651" xr:uid="{00000000-0004-0000-0200-00003A390000}"/>
    <hyperlink ref="C9600" r:id="rId14652" xr:uid="{00000000-0004-0000-0200-00003B390000}"/>
    <hyperlink ref="A9601" r:id="rId14653" xr:uid="{00000000-0004-0000-0200-00003C390000}"/>
    <hyperlink ref="B9601" r:id="rId14654" xr:uid="{00000000-0004-0000-0200-00003D390000}"/>
    <hyperlink ref="C9601" r:id="rId14655" xr:uid="{00000000-0004-0000-0200-00003E390000}"/>
    <hyperlink ref="A9602" r:id="rId14656" xr:uid="{00000000-0004-0000-0200-00003F390000}"/>
    <hyperlink ref="B9602" r:id="rId14657" xr:uid="{00000000-0004-0000-0200-000040390000}"/>
    <hyperlink ref="C9602" r:id="rId14658" xr:uid="{00000000-0004-0000-0200-000041390000}"/>
    <hyperlink ref="A9603" r:id="rId14659" xr:uid="{00000000-0004-0000-0200-000042390000}"/>
    <hyperlink ref="B9603" r:id="rId14660" xr:uid="{00000000-0004-0000-0200-000043390000}"/>
    <hyperlink ref="C9603" r:id="rId14661" xr:uid="{00000000-0004-0000-0200-000044390000}"/>
    <hyperlink ref="A9604" r:id="rId14662" xr:uid="{00000000-0004-0000-0200-000045390000}"/>
    <hyperlink ref="B9604" r:id="rId14663" xr:uid="{00000000-0004-0000-0200-000046390000}"/>
    <hyperlink ref="C9604" r:id="rId14664" xr:uid="{00000000-0004-0000-0200-000047390000}"/>
    <hyperlink ref="A9605" r:id="rId14665" xr:uid="{00000000-0004-0000-0200-000048390000}"/>
    <hyperlink ref="B9605" r:id="rId14666" xr:uid="{00000000-0004-0000-0200-000049390000}"/>
    <hyperlink ref="C9605" r:id="rId14667" xr:uid="{00000000-0004-0000-0200-00004A390000}"/>
    <hyperlink ref="A9606" r:id="rId14668" xr:uid="{00000000-0004-0000-0200-00004B390000}"/>
    <hyperlink ref="B9606" r:id="rId14669" xr:uid="{00000000-0004-0000-0200-00004C390000}"/>
    <hyperlink ref="C9606" r:id="rId14670" xr:uid="{00000000-0004-0000-0200-00004D390000}"/>
    <hyperlink ref="A9607" r:id="rId14671" xr:uid="{00000000-0004-0000-0200-00004E390000}"/>
    <hyperlink ref="B9607" r:id="rId14672" xr:uid="{00000000-0004-0000-0200-00004F390000}"/>
    <hyperlink ref="C9607" r:id="rId14673" xr:uid="{00000000-0004-0000-0200-000050390000}"/>
    <hyperlink ref="A9608" r:id="rId14674" xr:uid="{00000000-0004-0000-0200-000051390000}"/>
    <hyperlink ref="B9608" r:id="rId14675" xr:uid="{00000000-0004-0000-0200-000052390000}"/>
    <hyperlink ref="C9608" r:id="rId14676" xr:uid="{00000000-0004-0000-0200-000053390000}"/>
    <hyperlink ref="A9609" r:id="rId14677" xr:uid="{00000000-0004-0000-0200-000054390000}"/>
    <hyperlink ref="B9609" r:id="rId14678" xr:uid="{00000000-0004-0000-0200-000055390000}"/>
    <hyperlink ref="C9609" r:id="rId14679" xr:uid="{00000000-0004-0000-0200-000056390000}"/>
    <hyperlink ref="A9610" r:id="rId14680" xr:uid="{00000000-0004-0000-0200-000057390000}"/>
    <hyperlink ref="B9610" r:id="rId14681" xr:uid="{00000000-0004-0000-0200-000058390000}"/>
    <hyperlink ref="C9610" r:id="rId14682" xr:uid="{00000000-0004-0000-0200-000059390000}"/>
    <hyperlink ref="A9611" r:id="rId14683" xr:uid="{00000000-0004-0000-0200-00005A390000}"/>
    <hyperlink ref="B9611" r:id="rId14684" xr:uid="{00000000-0004-0000-0200-00005B390000}"/>
    <hyperlink ref="C9611" r:id="rId14685" xr:uid="{00000000-0004-0000-0200-00005C390000}"/>
    <hyperlink ref="A9612" r:id="rId14686" xr:uid="{00000000-0004-0000-0200-00005D390000}"/>
    <hyperlink ref="B9612" r:id="rId14687" xr:uid="{00000000-0004-0000-0200-00005E390000}"/>
    <hyperlink ref="C9612" r:id="rId14688" xr:uid="{00000000-0004-0000-0200-00005F390000}"/>
    <hyperlink ref="A9613" r:id="rId14689" xr:uid="{00000000-0004-0000-0200-000060390000}"/>
    <hyperlink ref="B9613" r:id="rId14690" xr:uid="{00000000-0004-0000-0200-000061390000}"/>
    <hyperlink ref="C9613" r:id="rId14691" xr:uid="{00000000-0004-0000-0200-000062390000}"/>
    <hyperlink ref="A9614" r:id="rId14692" xr:uid="{00000000-0004-0000-0200-000063390000}"/>
    <hyperlink ref="B9614" r:id="rId14693" xr:uid="{00000000-0004-0000-0200-000064390000}"/>
    <hyperlink ref="C9614" r:id="rId14694" xr:uid="{00000000-0004-0000-0200-000065390000}"/>
    <hyperlink ref="A9615" r:id="rId14695" xr:uid="{00000000-0004-0000-0200-000066390000}"/>
    <hyperlink ref="B9615" r:id="rId14696" xr:uid="{00000000-0004-0000-0200-000067390000}"/>
    <hyperlink ref="C9615" r:id="rId14697" xr:uid="{00000000-0004-0000-0200-000068390000}"/>
    <hyperlink ref="A9616" r:id="rId14698" xr:uid="{00000000-0004-0000-0200-000069390000}"/>
    <hyperlink ref="B9616" r:id="rId14699" xr:uid="{00000000-0004-0000-0200-00006A390000}"/>
    <hyperlink ref="C9616" r:id="rId14700" xr:uid="{00000000-0004-0000-0200-00006B390000}"/>
    <hyperlink ref="A9617" r:id="rId14701" xr:uid="{00000000-0004-0000-0200-00006C390000}"/>
    <hyperlink ref="B9617" r:id="rId14702" xr:uid="{00000000-0004-0000-0200-00006D390000}"/>
    <hyperlink ref="C9617" r:id="rId14703" xr:uid="{00000000-0004-0000-0200-00006E390000}"/>
    <hyperlink ref="A9618" r:id="rId14704" xr:uid="{00000000-0004-0000-0200-00006F390000}"/>
    <hyperlink ref="B9618" r:id="rId14705" xr:uid="{00000000-0004-0000-0200-000070390000}"/>
    <hyperlink ref="C9618" r:id="rId14706" xr:uid="{00000000-0004-0000-0200-000071390000}"/>
    <hyperlink ref="A9619" r:id="rId14707" xr:uid="{00000000-0004-0000-0200-000072390000}"/>
    <hyperlink ref="B9619" r:id="rId14708" xr:uid="{00000000-0004-0000-0200-000073390000}"/>
    <hyperlink ref="C9619" r:id="rId14709" xr:uid="{00000000-0004-0000-0200-000074390000}"/>
    <hyperlink ref="A9620" r:id="rId14710" xr:uid="{00000000-0004-0000-0200-000075390000}"/>
    <hyperlink ref="B9620" r:id="rId14711" xr:uid="{00000000-0004-0000-0200-000076390000}"/>
    <hyperlink ref="C9620" r:id="rId14712" xr:uid="{00000000-0004-0000-0200-000077390000}"/>
    <hyperlink ref="A9621" r:id="rId14713" xr:uid="{00000000-0004-0000-0200-000078390000}"/>
    <hyperlink ref="B9621" r:id="rId14714" xr:uid="{00000000-0004-0000-0200-000079390000}"/>
    <hyperlink ref="C9621" r:id="rId14715" xr:uid="{00000000-0004-0000-0200-00007A390000}"/>
    <hyperlink ref="A9622" r:id="rId14716" xr:uid="{00000000-0004-0000-0200-00007B390000}"/>
    <hyperlink ref="B9622" r:id="rId14717" xr:uid="{00000000-0004-0000-0200-00007C390000}"/>
    <hyperlink ref="C9622" r:id="rId14718" xr:uid="{00000000-0004-0000-0200-00007D390000}"/>
    <hyperlink ref="A9623" r:id="rId14719" xr:uid="{00000000-0004-0000-0200-00007E390000}"/>
    <hyperlink ref="B9623" r:id="rId14720" xr:uid="{00000000-0004-0000-0200-00007F390000}"/>
    <hyperlink ref="C9623" r:id="rId14721" xr:uid="{00000000-0004-0000-0200-000080390000}"/>
    <hyperlink ref="A9624" r:id="rId14722" xr:uid="{00000000-0004-0000-0200-000081390000}"/>
    <hyperlink ref="B9624" r:id="rId14723" xr:uid="{00000000-0004-0000-0200-000082390000}"/>
    <hyperlink ref="C9624" r:id="rId14724" xr:uid="{00000000-0004-0000-0200-000083390000}"/>
    <hyperlink ref="A9625" r:id="rId14725" xr:uid="{00000000-0004-0000-0200-000084390000}"/>
    <hyperlink ref="B9625" r:id="rId14726" xr:uid="{00000000-0004-0000-0200-000085390000}"/>
    <hyperlink ref="C9625" r:id="rId14727" xr:uid="{00000000-0004-0000-0200-000086390000}"/>
    <hyperlink ref="A9626" r:id="rId14728" xr:uid="{00000000-0004-0000-0200-000087390000}"/>
    <hyperlink ref="B9626" r:id="rId14729" xr:uid="{00000000-0004-0000-0200-000088390000}"/>
    <hyperlink ref="C9626" r:id="rId14730" xr:uid="{00000000-0004-0000-0200-000089390000}"/>
    <hyperlink ref="A9627" r:id="rId14731" xr:uid="{00000000-0004-0000-0200-00008A390000}"/>
    <hyperlink ref="B9627" r:id="rId14732" xr:uid="{00000000-0004-0000-0200-00008B390000}"/>
    <hyperlink ref="C9627" r:id="rId14733" xr:uid="{00000000-0004-0000-0200-00008C390000}"/>
    <hyperlink ref="A9628" r:id="rId14734" xr:uid="{00000000-0004-0000-0200-00008D390000}"/>
    <hyperlink ref="B9628" r:id="rId14735" xr:uid="{00000000-0004-0000-0200-00008E390000}"/>
    <hyperlink ref="C9628" r:id="rId14736" xr:uid="{00000000-0004-0000-0200-00008F390000}"/>
    <hyperlink ref="A9629" r:id="rId14737" xr:uid="{00000000-0004-0000-0200-000090390000}"/>
    <hyperlink ref="B9629" r:id="rId14738" xr:uid="{00000000-0004-0000-0200-000091390000}"/>
    <hyperlink ref="C9629" r:id="rId14739" xr:uid="{00000000-0004-0000-0200-000092390000}"/>
    <hyperlink ref="A9630" r:id="rId14740" xr:uid="{00000000-0004-0000-0200-000093390000}"/>
    <hyperlink ref="B9630" r:id="rId14741" xr:uid="{00000000-0004-0000-0200-000094390000}"/>
    <hyperlink ref="C9630" r:id="rId14742" xr:uid="{00000000-0004-0000-0200-000095390000}"/>
    <hyperlink ref="A9631" r:id="rId14743" xr:uid="{00000000-0004-0000-0200-000096390000}"/>
    <hyperlink ref="B9631" r:id="rId14744" xr:uid="{00000000-0004-0000-0200-000097390000}"/>
    <hyperlink ref="C9631" r:id="rId14745" xr:uid="{00000000-0004-0000-0200-000098390000}"/>
    <hyperlink ref="A9632" r:id="rId14746" xr:uid="{00000000-0004-0000-0200-000099390000}"/>
    <hyperlink ref="B9632" r:id="rId14747" xr:uid="{00000000-0004-0000-0200-00009A390000}"/>
    <hyperlink ref="C9632" r:id="rId14748" xr:uid="{00000000-0004-0000-0200-00009B390000}"/>
    <hyperlink ref="A9633" r:id="rId14749" xr:uid="{00000000-0004-0000-0200-00009C390000}"/>
    <hyperlink ref="B9633" r:id="rId14750" xr:uid="{00000000-0004-0000-0200-00009D390000}"/>
    <hyperlink ref="C9633" r:id="rId14751" xr:uid="{00000000-0004-0000-0200-00009E390000}"/>
    <hyperlink ref="A9634" r:id="rId14752" xr:uid="{00000000-0004-0000-0200-00009F390000}"/>
    <hyperlink ref="B9634" r:id="rId14753" xr:uid="{00000000-0004-0000-0200-0000A0390000}"/>
    <hyperlink ref="C9634" r:id="rId14754" xr:uid="{00000000-0004-0000-0200-0000A1390000}"/>
    <hyperlink ref="A9635" r:id="rId14755" xr:uid="{00000000-0004-0000-0200-0000A2390000}"/>
    <hyperlink ref="B9635" r:id="rId14756" xr:uid="{00000000-0004-0000-0200-0000A3390000}"/>
    <hyperlink ref="C9635" r:id="rId14757" xr:uid="{00000000-0004-0000-0200-0000A4390000}"/>
    <hyperlink ref="A9636" r:id="rId14758" xr:uid="{00000000-0004-0000-0200-0000A5390000}"/>
    <hyperlink ref="B9636" r:id="rId14759" xr:uid="{00000000-0004-0000-0200-0000A6390000}"/>
    <hyperlink ref="C9636" r:id="rId14760" xr:uid="{00000000-0004-0000-0200-0000A7390000}"/>
    <hyperlink ref="A9637" r:id="rId14761" xr:uid="{00000000-0004-0000-0200-0000A8390000}"/>
    <hyperlink ref="B9637" r:id="rId14762" xr:uid="{00000000-0004-0000-0200-0000A9390000}"/>
    <hyperlink ref="C9637" r:id="rId14763" xr:uid="{00000000-0004-0000-0200-0000AA390000}"/>
    <hyperlink ref="A9638" r:id="rId14764" xr:uid="{00000000-0004-0000-0200-0000AB390000}"/>
    <hyperlink ref="B9638" r:id="rId14765" xr:uid="{00000000-0004-0000-0200-0000AC390000}"/>
    <hyperlink ref="C9638" r:id="rId14766" xr:uid="{00000000-0004-0000-0200-0000AD390000}"/>
    <hyperlink ref="A9639" r:id="rId14767" xr:uid="{00000000-0004-0000-0200-0000AE390000}"/>
    <hyperlink ref="B9639" r:id="rId14768" xr:uid="{00000000-0004-0000-0200-0000AF390000}"/>
    <hyperlink ref="C9639" r:id="rId14769" xr:uid="{00000000-0004-0000-0200-0000B0390000}"/>
    <hyperlink ref="A9640" r:id="rId14770" xr:uid="{00000000-0004-0000-0200-0000B1390000}"/>
    <hyperlink ref="B9640" r:id="rId14771" xr:uid="{00000000-0004-0000-0200-0000B2390000}"/>
    <hyperlink ref="C9640" r:id="rId14772" xr:uid="{00000000-0004-0000-0200-0000B3390000}"/>
    <hyperlink ref="A9641" r:id="rId14773" xr:uid="{00000000-0004-0000-0200-0000B4390000}"/>
    <hyperlink ref="B9641" r:id="rId14774" xr:uid="{00000000-0004-0000-0200-0000B5390000}"/>
    <hyperlink ref="C9641" r:id="rId14775" xr:uid="{00000000-0004-0000-0200-0000B6390000}"/>
    <hyperlink ref="A9642" r:id="rId14776" xr:uid="{00000000-0004-0000-0200-0000B7390000}"/>
    <hyperlink ref="B9642" r:id="rId14777" xr:uid="{00000000-0004-0000-0200-0000B8390000}"/>
    <hyperlink ref="C9642" r:id="rId14778" xr:uid="{00000000-0004-0000-0200-0000B9390000}"/>
    <hyperlink ref="A9643" r:id="rId14779" xr:uid="{00000000-0004-0000-0200-0000BA390000}"/>
    <hyperlink ref="B9643" r:id="rId14780" xr:uid="{00000000-0004-0000-0200-0000BB390000}"/>
    <hyperlink ref="C9643" r:id="rId14781" xr:uid="{00000000-0004-0000-0200-0000BC390000}"/>
    <hyperlink ref="A9644" r:id="rId14782" xr:uid="{00000000-0004-0000-0200-0000BD390000}"/>
    <hyperlink ref="B9644" r:id="rId14783" xr:uid="{00000000-0004-0000-0200-0000BE390000}"/>
    <hyperlink ref="C9644" r:id="rId14784" xr:uid="{00000000-0004-0000-0200-0000BF390000}"/>
    <hyperlink ref="A9645" r:id="rId14785" xr:uid="{00000000-0004-0000-0200-0000C0390000}"/>
    <hyperlink ref="B9645" r:id="rId14786" xr:uid="{00000000-0004-0000-0200-0000C1390000}"/>
    <hyperlink ref="C9645" r:id="rId14787" xr:uid="{00000000-0004-0000-0200-0000C2390000}"/>
    <hyperlink ref="A9646" r:id="rId14788" xr:uid="{00000000-0004-0000-0200-0000C3390000}"/>
    <hyperlink ref="B9646" r:id="rId14789" xr:uid="{00000000-0004-0000-0200-0000C4390000}"/>
    <hyperlink ref="C9646" r:id="rId14790" xr:uid="{00000000-0004-0000-0200-0000C5390000}"/>
    <hyperlink ref="A9647" r:id="rId14791" xr:uid="{00000000-0004-0000-0200-0000C6390000}"/>
    <hyperlink ref="B9647" r:id="rId14792" xr:uid="{00000000-0004-0000-0200-0000C7390000}"/>
    <hyperlink ref="C9647" r:id="rId14793" xr:uid="{00000000-0004-0000-0200-0000C8390000}"/>
    <hyperlink ref="A9648" r:id="rId14794" xr:uid="{00000000-0004-0000-0200-0000C9390000}"/>
    <hyperlink ref="B9648" r:id="rId14795" xr:uid="{00000000-0004-0000-0200-0000CA390000}"/>
    <hyperlink ref="C9648" r:id="rId14796" xr:uid="{00000000-0004-0000-0200-0000CB390000}"/>
    <hyperlink ref="A9649" r:id="rId14797" xr:uid="{00000000-0004-0000-0200-0000CC390000}"/>
    <hyperlink ref="B9649" r:id="rId14798" xr:uid="{00000000-0004-0000-0200-0000CD390000}"/>
    <hyperlink ref="C9649" r:id="rId14799" xr:uid="{00000000-0004-0000-0200-0000CE390000}"/>
    <hyperlink ref="A9650" r:id="rId14800" xr:uid="{00000000-0004-0000-0200-0000CF390000}"/>
    <hyperlink ref="B9650" r:id="rId14801" xr:uid="{00000000-0004-0000-0200-0000D0390000}"/>
    <hyperlink ref="C9650" r:id="rId14802" xr:uid="{00000000-0004-0000-0200-0000D1390000}"/>
    <hyperlink ref="A9651" r:id="rId14803" xr:uid="{00000000-0004-0000-0200-0000D2390000}"/>
    <hyperlink ref="B9651" r:id="rId14804" xr:uid="{00000000-0004-0000-0200-0000D3390000}"/>
    <hyperlink ref="C9651" r:id="rId14805" xr:uid="{00000000-0004-0000-0200-0000D4390000}"/>
    <hyperlink ref="A9652" r:id="rId14806" xr:uid="{00000000-0004-0000-0200-0000D5390000}"/>
    <hyperlink ref="B9652" r:id="rId14807" xr:uid="{00000000-0004-0000-0200-0000D6390000}"/>
    <hyperlink ref="C9652" r:id="rId14808" xr:uid="{00000000-0004-0000-0200-0000D7390000}"/>
    <hyperlink ref="A9653" r:id="rId14809" xr:uid="{00000000-0004-0000-0200-0000D8390000}"/>
    <hyperlink ref="B9653" r:id="rId14810" xr:uid="{00000000-0004-0000-0200-0000D9390000}"/>
    <hyperlink ref="C9653" r:id="rId14811" xr:uid="{00000000-0004-0000-0200-0000DA390000}"/>
    <hyperlink ref="A9654" r:id="rId14812" xr:uid="{00000000-0004-0000-0200-0000DB390000}"/>
    <hyperlink ref="B9654" r:id="rId14813" xr:uid="{00000000-0004-0000-0200-0000DC390000}"/>
    <hyperlink ref="C9654" r:id="rId14814" xr:uid="{00000000-0004-0000-0200-0000DD390000}"/>
    <hyperlink ref="A9655" r:id="rId14815" xr:uid="{00000000-0004-0000-0200-0000DE390000}"/>
    <hyperlink ref="B9655" r:id="rId14816" xr:uid="{00000000-0004-0000-0200-0000DF390000}"/>
    <hyperlink ref="C9655" r:id="rId14817" xr:uid="{00000000-0004-0000-0200-0000E0390000}"/>
    <hyperlink ref="A9656" r:id="rId14818" xr:uid="{00000000-0004-0000-0200-0000E1390000}"/>
    <hyperlink ref="B9656" r:id="rId14819" xr:uid="{00000000-0004-0000-0200-0000E2390000}"/>
    <hyperlink ref="C9656" r:id="rId14820" xr:uid="{00000000-0004-0000-0200-0000E3390000}"/>
    <hyperlink ref="A9657" r:id="rId14821" xr:uid="{00000000-0004-0000-0200-0000E4390000}"/>
    <hyperlink ref="B9657" r:id="rId14822" xr:uid="{00000000-0004-0000-0200-0000E5390000}"/>
    <hyperlink ref="C9657" r:id="rId14823" xr:uid="{00000000-0004-0000-0200-0000E6390000}"/>
    <hyperlink ref="A9658" r:id="rId14824" xr:uid="{00000000-0004-0000-0200-0000E7390000}"/>
    <hyperlink ref="B9658" r:id="rId14825" xr:uid="{00000000-0004-0000-0200-0000E8390000}"/>
    <hyperlink ref="C9658" r:id="rId14826" xr:uid="{00000000-0004-0000-0200-0000E9390000}"/>
    <hyperlink ref="A9659" r:id="rId14827" xr:uid="{00000000-0004-0000-0200-0000EA390000}"/>
    <hyperlink ref="B9659" r:id="rId14828" xr:uid="{00000000-0004-0000-0200-0000EB390000}"/>
    <hyperlink ref="C9659" r:id="rId14829" xr:uid="{00000000-0004-0000-0200-0000EC390000}"/>
    <hyperlink ref="A9660" r:id="rId14830" xr:uid="{00000000-0004-0000-0200-0000ED390000}"/>
    <hyperlink ref="B9660" r:id="rId14831" xr:uid="{00000000-0004-0000-0200-0000EE390000}"/>
    <hyperlink ref="C9660" r:id="rId14832" xr:uid="{00000000-0004-0000-0200-0000EF390000}"/>
    <hyperlink ref="A9661" r:id="rId14833" xr:uid="{00000000-0004-0000-0200-0000F0390000}"/>
    <hyperlink ref="B9661" r:id="rId14834" xr:uid="{00000000-0004-0000-0200-0000F1390000}"/>
    <hyperlink ref="C9661" r:id="rId14835" xr:uid="{00000000-0004-0000-0200-0000F2390000}"/>
    <hyperlink ref="A9662" r:id="rId14836" xr:uid="{00000000-0004-0000-0200-0000F3390000}"/>
    <hyperlink ref="B9662" r:id="rId14837" xr:uid="{00000000-0004-0000-0200-0000F4390000}"/>
    <hyperlink ref="C9662" r:id="rId14838" xr:uid="{00000000-0004-0000-0200-0000F5390000}"/>
    <hyperlink ref="A9663" r:id="rId14839" xr:uid="{00000000-0004-0000-0200-0000F6390000}"/>
    <hyperlink ref="B9663" r:id="rId14840" xr:uid="{00000000-0004-0000-0200-0000F7390000}"/>
    <hyperlink ref="C9663" r:id="rId14841" xr:uid="{00000000-0004-0000-0200-0000F8390000}"/>
    <hyperlink ref="A9664" r:id="rId14842" xr:uid="{00000000-0004-0000-0200-0000F9390000}"/>
    <hyperlink ref="B9664" r:id="rId14843" xr:uid="{00000000-0004-0000-0200-0000FA390000}"/>
    <hyperlink ref="C9664" r:id="rId14844" xr:uid="{00000000-0004-0000-0200-0000FB390000}"/>
    <hyperlink ref="A9665" r:id="rId14845" xr:uid="{00000000-0004-0000-0200-0000FC390000}"/>
    <hyperlink ref="B9665" r:id="rId14846" xr:uid="{00000000-0004-0000-0200-0000FD390000}"/>
    <hyperlink ref="C9665" r:id="rId14847" xr:uid="{00000000-0004-0000-0200-0000FE390000}"/>
    <hyperlink ref="A9666" r:id="rId14848" xr:uid="{00000000-0004-0000-0200-0000FF390000}"/>
    <hyperlink ref="B9666" r:id="rId14849" xr:uid="{00000000-0004-0000-0200-0000003A0000}"/>
    <hyperlink ref="C9666" r:id="rId14850" xr:uid="{00000000-0004-0000-0200-0000013A0000}"/>
    <hyperlink ref="A9667" r:id="rId14851" xr:uid="{00000000-0004-0000-0200-0000023A0000}"/>
    <hyperlink ref="B9667" r:id="rId14852" xr:uid="{00000000-0004-0000-0200-0000033A0000}"/>
    <hyperlink ref="C9667" r:id="rId14853" xr:uid="{00000000-0004-0000-0200-0000043A0000}"/>
    <hyperlink ref="A9668" r:id="rId14854" xr:uid="{00000000-0004-0000-0200-0000053A0000}"/>
    <hyperlink ref="B9668" r:id="rId14855" xr:uid="{00000000-0004-0000-0200-0000063A0000}"/>
    <hyperlink ref="C9668" r:id="rId14856" xr:uid="{00000000-0004-0000-0200-0000073A0000}"/>
    <hyperlink ref="A9669" r:id="rId14857" xr:uid="{00000000-0004-0000-0200-0000083A0000}"/>
    <hyperlink ref="B9669" r:id="rId14858" xr:uid="{00000000-0004-0000-0200-0000093A0000}"/>
    <hyperlink ref="C9669" r:id="rId14859" xr:uid="{00000000-0004-0000-0200-00000A3A0000}"/>
    <hyperlink ref="A9670" r:id="rId14860" xr:uid="{00000000-0004-0000-0200-00000B3A0000}"/>
    <hyperlink ref="B9670" r:id="rId14861" xr:uid="{00000000-0004-0000-0200-00000C3A0000}"/>
    <hyperlink ref="C9670" r:id="rId14862" xr:uid="{00000000-0004-0000-0200-00000D3A0000}"/>
    <hyperlink ref="A9671" r:id="rId14863" xr:uid="{00000000-0004-0000-0200-00000E3A0000}"/>
    <hyperlink ref="B9671" r:id="rId14864" xr:uid="{00000000-0004-0000-0200-00000F3A0000}"/>
    <hyperlink ref="C9671" r:id="rId14865" xr:uid="{00000000-0004-0000-0200-0000103A0000}"/>
    <hyperlink ref="A9672" r:id="rId14866" xr:uid="{00000000-0004-0000-0200-0000113A0000}"/>
    <hyperlink ref="B9672" r:id="rId14867" xr:uid="{00000000-0004-0000-0200-0000123A0000}"/>
    <hyperlink ref="C9672" r:id="rId14868" xr:uid="{00000000-0004-0000-0200-0000133A0000}"/>
    <hyperlink ref="A9673" r:id="rId14869" xr:uid="{00000000-0004-0000-0200-0000143A0000}"/>
    <hyperlink ref="B9673" r:id="rId14870" xr:uid="{00000000-0004-0000-0200-0000153A0000}"/>
    <hyperlink ref="C9673" r:id="rId14871" xr:uid="{00000000-0004-0000-0200-0000163A0000}"/>
    <hyperlink ref="A9674" r:id="rId14872" xr:uid="{00000000-0004-0000-0200-0000173A0000}"/>
    <hyperlink ref="B9674" r:id="rId14873" xr:uid="{00000000-0004-0000-0200-0000183A0000}"/>
    <hyperlink ref="C9674" r:id="rId14874" xr:uid="{00000000-0004-0000-0200-0000193A0000}"/>
    <hyperlink ref="A9675" r:id="rId14875" xr:uid="{00000000-0004-0000-0200-00001A3A0000}"/>
    <hyperlink ref="B9675" r:id="rId14876" xr:uid="{00000000-0004-0000-0200-00001B3A0000}"/>
    <hyperlink ref="C9675" r:id="rId14877" xr:uid="{00000000-0004-0000-0200-00001C3A0000}"/>
    <hyperlink ref="A9676" r:id="rId14878" xr:uid="{00000000-0004-0000-0200-00001D3A0000}"/>
    <hyperlink ref="B9676" r:id="rId14879" xr:uid="{00000000-0004-0000-0200-00001E3A0000}"/>
    <hyperlink ref="C9676" r:id="rId14880" xr:uid="{00000000-0004-0000-0200-00001F3A0000}"/>
    <hyperlink ref="A9677" r:id="rId14881" xr:uid="{00000000-0004-0000-0200-0000203A0000}"/>
    <hyperlink ref="B9677" r:id="rId14882" xr:uid="{00000000-0004-0000-0200-0000213A0000}"/>
    <hyperlink ref="C9677" r:id="rId14883" xr:uid="{00000000-0004-0000-0200-0000223A0000}"/>
    <hyperlink ref="A9678" r:id="rId14884" xr:uid="{00000000-0004-0000-0200-0000233A0000}"/>
    <hyperlink ref="B9678" r:id="rId14885" xr:uid="{00000000-0004-0000-0200-0000243A0000}"/>
    <hyperlink ref="C9678" r:id="rId14886" xr:uid="{00000000-0004-0000-0200-0000253A0000}"/>
    <hyperlink ref="A9679" r:id="rId14887" xr:uid="{00000000-0004-0000-0200-0000263A0000}"/>
    <hyperlink ref="B9679" r:id="rId14888" xr:uid="{00000000-0004-0000-0200-0000273A0000}"/>
    <hyperlink ref="C9679" r:id="rId14889" xr:uid="{00000000-0004-0000-0200-0000283A0000}"/>
    <hyperlink ref="A9680" r:id="rId14890" xr:uid="{00000000-0004-0000-0200-0000293A0000}"/>
    <hyperlink ref="B9680" r:id="rId14891" xr:uid="{00000000-0004-0000-0200-00002A3A0000}"/>
    <hyperlink ref="C9680" r:id="rId14892" xr:uid="{00000000-0004-0000-0200-00002B3A0000}"/>
    <hyperlink ref="A9681" r:id="rId14893" xr:uid="{00000000-0004-0000-0200-00002C3A0000}"/>
    <hyperlink ref="B9681" r:id="rId14894" xr:uid="{00000000-0004-0000-0200-00002D3A0000}"/>
    <hyperlink ref="C9681" r:id="rId14895" xr:uid="{00000000-0004-0000-0200-00002E3A0000}"/>
    <hyperlink ref="A9682" r:id="rId14896" xr:uid="{00000000-0004-0000-0200-00002F3A0000}"/>
    <hyperlink ref="B9682" r:id="rId14897" xr:uid="{00000000-0004-0000-0200-0000303A0000}"/>
    <hyperlink ref="C9682" r:id="rId14898" xr:uid="{00000000-0004-0000-0200-0000313A0000}"/>
    <hyperlink ref="A9683" r:id="rId14899" xr:uid="{00000000-0004-0000-0200-0000323A0000}"/>
    <hyperlink ref="B9683" r:id="rId14900" xr:uid="{00000000-0004-0000-0200-0000333A0000}"/>
    <hyperlink ref="C9683" r:id="rId14901" xr:uid="{00000000-0004-0000-0200-0000343A0000}"/>
    <hyperlink ref="A9684" r:id="rId14902" xr:uid="{00000000-0004-0000-0200-0000353A0000}"/>
    <hyperlink ref="B9684" r:id="rId14903" xr:uid="{00000000-0004-0000-0200-0000363A0000}"/>
    <hyperlink ref="C9684" r:id="rId14904" xr:uid="{00000000-0004-0000-0200-0000373A0000}"/>
    <hyperlink ref="A9685" r:id="rId14905" xr:uid="{00000000-0004-0000-0200-0000383A0000}"/>
    <hyperlink ref="B9685" r:id="rId14906" xr:uid="{00000000-0004-0000-0200-0000393A0000}"/>
    <hyperlink ref="C9685" r:id="rId14907" xr:uid="{00000000-0004-0000-0200-00003A3A0000}"/>
    <hyperlink ref="A9686" r:id="rId14908" xr:uid="{00000000-0004-0000-0200-00003B3A0000}"/>
    <hyperlink ref="B9686" r:id="rId14909" xr:uid="{00000000-0004-0000-0200-00003C3A0000}"/>
    <hyperlink ref="C9686" r:id="rId14910" xr:uid="{00000000-0004-0000-0200-00003D3A0000}"/>
    <hyperlink ref="A9687" r:id="rId14911" xr:uid="{00000000-0004-0000-0200-00003E3A0000}"/>
    <hyperlink ref="B9687" r:id="rId14912" xr:uid="{00000000-0004-0000-0200-00003F3A0000}"/>
    <hyperlink ref="C9687" r:id="rId14913" xr:uid="{00000000-0004-0000-0200-0000403A0000}"/>
    <hyperlink ref="A9688" r:id="rId14914" xr:uid="{00000000-0004-0000-0200-0000413A0000}"/>
    <hyperlink ref="B9688" r:id="rId14915" xr:uid="{00000000-0004-0000-0200-0000423A0000}"/>
    <hyperlink ref="C9688" r:id="rId14916" xr:uid="{00000000-0004-0000-0200-0000433A0000}"/>
    <hyperlink ref="A9689" r:id="rId14917" xr:uid="{00000000-0004-0000-0200-0000443A0000}"/>
    <hyperlink ref="B9689" r:id="rId14918" xr:uid="{00000000-0004-0000-0200-0000453A0000}"/>
    <hyperlink ref="C9689" r:id="rId14919" xr:uid="{00000000-0004-0000-0200-0000463A0000}"/>
    <hyperlink ref="A9690" r:id="rId14920" xr:uid="{00000000-0004-0000-0200-0000473A0000}"/>
    <hyperlink ref="B9690" r:id="rId14921" xr:uid="{00000000-0004-0000-0200-0000483A0000}"/>
    <hyperlink ref="C9690" r:id="rId14922" xr:uid="{00000000-0004-0000-0200-0000493A0000}"/>
    <hyperlink ref="A9691" r:id="rId14923" xr:uid="{00000000-0004-0000-0200-00004A3A0000}"/>
    <hyperlink ref="B9691" r:id="rId14924" xr:uid="{00000000-0004-0000-0200-00004B3A0000}"/>
    <hyperlink ref="C9691" r:id="rId14925" xr:uid="{00000000-0004-0000-0200-00004C3A0000}"/>
    <hyperlink ref="A9692" r:id="rId14926" xr:uid="{00000000-0004-0000-0200-00004D3A0000}"/>
    <hyperlink ref="B9692" r:id="rId14927" xr:uid="{00000000-0004-0000-0200-00004E3A0000}"/>
    <hyperlink ref="C9692" r:id="rId14928" xr:uid="{00000000-0004-0000-0200-00004F3A0000}"/>
    <hyperlink ref="A9693" r:id="rId14929" xr:uid="{00000000-0004-0000-0200-0000503A0000}"/>
    <hyperlink ref="B9693" r:id="rId14930" xr:uid="{00000000-0004-0000-0200-0000513A0000}"/>
    <hyperlink ref="C9693" r:id="rId14931" xr:uid="{00000000-0004-0000-0200-0000523A0000}"/>
    <hyperlink ref="A9694" r:id="rId14932" xr:uid="{00000000-0004-0000-0200-0000533A0000}"/>
    <hyperlink ref="B9694" r:id="rId14933" xr:uid="{00000000-0004-0000-0200-0000543A0000}"/>
    <hyperlink ref="C9694" r:id="rId14934" xr:uid="{00000000-0004-0000-0200-0000553A0000}"/>
    <hyperlink ref="A9695" r:id="rId14935" xr:uid="{00000000-0004-0000-0200-0000563A0000}"/>
    <hyperlink ref="B9695" r:id="rId14936" xr:uid="{00000000-0004-0000-0200-0000573A0000}"/>
    <hyperlink ref="C9695" r:id="rId14937" xr:uid="{00000000-0004-0000-0200-0000583A0000}"/>
    <hyperlink ref="A9696" r:id="rId14938" xr:uid="{00000000-0004-0000-0200-0000593A0000}"/>
    <hyperlink ref="B9696" r:id="rId14939" xr:uid="{00000000-0004-0000-0200-00005A3A0000}"/>
    <hyperlink ref="C9696" r:id="rId14940" xr:uid="{00000000-0004-0000-0200-00005B3A0000}"/>
    <hyperlink ref="A9697" r:id="rId14941" xr:uid="{00000000-0004-0000-0200-00005C3A0000}"/>
    <hyperlink ref="B9697" r:id="rId14942" xr:uid="{00000000-0004-0000-0200-00005D3A0000}"/>
    <hyperlink ref="C9697" r:id="rId14943" xr:uid="{00000000-0004-0000-0200-00005E3A0000}"/>
    <hyperlink ref="A9698" r:id="rId14944" xr:uid="{00000000-0004-0000-0200-00005F3A0000}"/>
    <hyperlink ref="B9698" r:id="rId14945" xr:uid="{00000000-0004-0000-0200-0000603A0000}"/>
    <hyperlink ref="C9698" r:id="rId14946" xr:uid="{00000000-0004-0000-0200-0000613A0000}"/>
    <hyperlink ref="A9699" r:id="rId14947" xr:uid="{00000000-0004-0000-0200-0000623A0000}"/>
    <hyperlink ref="B9699" r:id="rId14948" xr:uid="{00000000-0004-0000-0200-0000633A0000}"/>
    <hyperlink ref="C9699" r:id="rId14949" xr:uid="{00000000-0004-0000-0200-0000643A0000}"/>
    <hyperlink ref="A9700" r:id="rId14950" xr:uid="{00000000-0004-0000-0200-0000653A0000}"/>
    <hyperlink ref="B9700" r:id="rId14951" xr:uid="{00000000-0004-0000-0200-0000663A0000}"/>
    <hyperlink ref="C9700" r:id="rId14952" xr:uid="{00000000-0004-0000-0200-0000673A0000}"/>
    <hyperlink ref="A9701" r:id="rId14953" xr:uid="{00000000-0004-0000-0200-0000683A0000}"/>
    <hyperlink ref="B9701" r:id="rId14954" xr:uid="{00000000-0004-0000-0200-0000693A0000}"/>
    <hyperlink ref="C9701" r:id="rId14955" xr:uid="{00000000-0004-0000-0200-00006A3A0000}"/>
    <hyperlink ref="A9702" r:id="rId14956" xr:uid="{00000000-0004-0000-0200-00006B3A0000}"/>
    <hyperlink ref="B9702" r:id="rId14957" xr:uid="{00000000-0004-0000-0200-00006C3A0000}"/>
    <hyperlink ref="C9702" r:id="rId14958" xr:uid="{00000000-0004-0000-0200-00006D3A0000}"/>
    <hyperlink ref="A9703" r:id="rId14959" xr:uid="{00000000-0004-0000-0200-00006E3A0000}"/>
    <hyperlink ref="B9703" r:id="rId14960" xr:uid="{00000000-0004-0000-0200-00006F3A0000}"/>
    <hyperlink ref="C9703" r:id="rId14961" xr:uid="{00000000-0004-0000-0200-0000703A0000}"/>
    <hyperlink ref="A9704" r:id="rId14962" xr:uid="{00000000-0004-0000-0200-0000713A0000}"/>
    <hyperlink ref="B9704" r:id="rId14963" xr:uid="{00000000-0004-0000-0200-0000723A0000}"/>
    <hyperlink ref="C9704" r:id="rId14964" xr:uid="{00000000-0004-0000-0200-0000733A0000}"/>
    <hyperlink ref="A9705" r:id="rId14965" xr:uid="{00000000-0004-0000-0200-0000743A0000}"/>
    <hyperlink ref="B9705" r:id="rId14966" xr:uid="{00000000-0004-0000-0200-0000753A0000}"/>
    <hyperlink ref="C9705" r:id="rId14967" xr:uid="{00000000-0004-0000-0200-0000763A0000}"/>
    <hyperlink ref="A9706" r:id="rId14968" xr:uid="{00000000-0004-0000-0200-0000773A0000}"/>
    <hyperlink ref="B9706" r:id="rId14969" xr:uid="{00000000-0004-0000-0200-0000783A0000}"/>
    <hyperlink ref="C9706" r:id="rId14970" xr:uid="{00000000-0004-0000-0200-0000793A0000}"/>
    <hyperlink ref="A9707" r:id="rId14971" xr:uid="{00000000-0004-0000-0200-00007A3A0000}"/>
    <hyperlink ref="B9707" r:id="rId14972" xr:uid="{00000000-0004-0000-0200-00007B3A0000}"/>
    <hyperlink ref="C9707" r:id="rId14973" xr:uid="{00000000-0004-0000-0200-00007C3A0000}"/>
    <hyperlink ref="A9708" r:id="rId14974" xr:uid="{00000000-0004-0000-0200-00007D3A0000}"/>
    <hyperlink ref="B9708" r:id="rId14975" xr:uid="{00000000-0004-0000-0200-00007E3A0000}"/>
    <hyperlink ref="C9708" r:id="rId14976" xr:uid="{00000000-0004-0000-0200-00007F3A0000}"/>
    <hyperlink ref="A9709" r:id="rId14977" xr:uid="{00000000-0004-0000-0200-0000803A0000}"/>
    <hyperlink ref="B9709" r:id="rId14978" xr:uid="{00000000-0004-0000-0200-0000813A0000}"/>
    <hyperlink ref="C9709" r:id="rId14979" xr:uid="{00000000-0004-0000-0200-0000823A0000}"/>
    <hyperlink ref="A9710" r:id="rId14980" xr:uid="{00000000-0004-0000-0200-0000833A0000}"/>
    <hyperlink ref="B9710" r:id="rId14981" xr:uid="{00000000-0004-0000-0200-0000843A0000}"/>
    <hyperlink ref="C9710" r:id="rId14982" xr:uid="{00000000-0004-0000-0200-0000853A0000}"/>
    <hyperlink ref="A9711" r:id="rId14983" xr:uid="{00000000-0004-0000-0200-0000863A0000}"/>
    <hyperlink ref="B9711" r:id="rId14984" xr:uid="{00000000-0004-0000-0200-0000873A0000}"/>
    <hyperlink ref="C9711" r:id="rId14985" xr:uid="{00000000-0004-0000-0200-0000883A0000}"/>
    <hyperlink ref="A9712" r:id="rId14986" xr:uid="{00000000-0004-0000-0200-0000893A0000}"/>
    <hyperlink ref="B9712" r:id="rId14987" xr:uid="{00000000-0004-0000-0200-00008A3A0000}"/>
    <hyperlink ref="C9712" r:id="rId14988" xr:uid="{00000000-0004-0000-0200-00008B3A0000}"/>
    <hyperlink ref="A9713" r:id="rId14989" xr:uid="{00000000-0004-0000-0200-00008C3A0000}"/>
    <hyperlink ref="B9713" r:id="rId14990" xr:uid="{00000000-0004-0000-0200-00008D3A0000}"/>
    <hyperlink ref="C9713" r:id="rId14991" xr:uid="{00000000-0004-0000-0200-00008E3A0000}"/>
    <hyperlink ref="A9714" r:id="rId14992" xr:uid="{00000000-0004-0000-0200-00008F3A0000}"/>
    <hyperlink ref="B9714" r:id="rId14993" xr:uid="{00000000-0004-0000-0200-0000903A0000}"/>
    <hyperlink ref="C9714" r:id="rId14994" xr:uid="{00000000-0004-0000-0200-0000913A0000}"/>
    <hyperlink ref="A9715" r:id="rId14995" xr:uid="{00000000-0004-0000-0200-0000923A0000}"/>
    <hyperlink ref="B9715" r:id="rId14996" xr:uid="{00000000-0004-0000-0200-0000933A0000}"/>
    <hyperlink ref="C9715" r:id="rId14997" xr:uid="{00000000-0004-0000-0200-0000943A0000}"/>
    <hyperlink ref="A9716" r:id="rId14998" xr:uid="{00000000-0004-0000-0200-0000953A0000}"/>
    <hyperlink ref="B9716" r:id="rId14999" xr:uid="{00000000-0004-0000-0200-0000963A0000}"/>
    <hyperlink ref="C9716" r:id="rId15000" xr:uid="{00000000-0004-0000-0200-0000973A0000}"/>
    <hyperlink ref="A9717" r:id="rId15001" xr:uid="{00000000-0004-0000-0200-0000983A0000}"/>
    <hyperlink ref="B9717" r:id="rId15002" xr:uid="{00000000-0004-0000-0200-0000993A0000}"/>
    <hyperlink ref="C9717" r:id="rId15003" xr:uid="{00000000-0004-0000-0200-00009A3A0000}"/>
    <hyperlink ref="A9718" r:id="rId15004" xr:uid="{00000000-0004-0000-0200-00009B3A0000}"/>
    <hyperlink ref="B9718" r:id="rId15005" xr:uid="{00000000-0004-0000-0200-00009C3A0000}"/>
    <hyperlink ref="C9718" r:id="rId15006" xr:uid="{00000000-0004-0000-0200-00009D3A0000}"/>
    <hyperlink ref="A9719" r:id="rId15007" xr:uid="{00000000-0004-0000-0200-00009E3A0000}"/>
    <hyperlink ref="B9719" r:id="rId15008" xr:uid="{00000000-0004-0000-0200-00009F3A0000}"/>
    <hyperlink ref="C9719" r:id="rId15009" xr:uid="{00000000-0004-0000-0200-0000A03A0000}"/>
    <hyperlink ref="A9720" r:id="rId15010" xr:uid="{00000000-0004-0000-0200-0000A13A0000}"/>
    <hyperlink ref="B9720" r:id="rId15011" xr:uid="{00000000-0004-0000-0200-0000A23A0000}"/>
    <hyperlink ref="C9720" r:id="rId15012" xr:uid="{00000000-0004-0000-0200-0000A33A0000}"/>
    <hyperlink ref="A9721" r:id="rId15013" xr:uid="{00000000-0004-0000-0200-0000A43A0000}"/>
    <hyperlink ref="B9721" r:id="rId15014" xr:uid="{00000000-0004-0000-0200-0000A53A0000}"/>
    <hyperlink ref="C9721" r:id="rId15015" xr:uid="{00000000-0004-0000-0200-0000A63A0000}"/>
    <hyperlink ref="A9722" r:id="rId15016" xr:uid="{00000000-0004-0000-0200-0000A73A0000}"/>
    <hyperlink ref="B9722" r:id="rId15017" xr:uid="{00000000-0004-0000-0200-0000A83A0000}"/>
    <hyperlink ref="C9722" r:id="rId15018" xr:uid="{00000000-0004-0000-0200-0000A93A0000}"/>
    <hyperlink ref="A9723" r:id="rId15019" xr:uid="{00000000-0004-0000-0200-0000AA3A0000}"/>
    <hyperlink ref="B9723" r:id="rId15020" xr:uid="{00000000-0004-0000-0200-0000AB3A0000}"/>
    <hyperlink ref="C9723" r:id="rId15021" xr:uid="{00000000-0004-0000-0200-0000AC3A0000}"/>
    <hyperlink ref="A9724" r:id="rId15022" xr:uid="{00000000-0004-0000-0200-0000AD3A0000}"/>
    <hyperlink ref="B9724" r:id="rId15023" xr:uid="{00000000-0004-0000-0200-0000AE3A0000}"/>
    <hyperlink ref="C9724" r:id="rId15024" xr:uid="{00000000-0004-0000-0200-0000AF3A0000}"/>
    <hyperlink ref="A9725" r:id="rId15025" xr:uid="{00000000-0004-0000-0200-0000B03A0000}"/>
    <hyperlink ref="B9725" r:id="rId15026" xr:uid="{00000000-0004-0000-0200-0000B13A0000}"/>
    <hyperlink ref="C9725" r:id="rId15027" xr:uid="{00000000-0004-0000-0200-0000B23A0000}"/>
    <hyperlink ref="A9726" r:id="rId15028" xr:uid="{00000000-0004-0000-0200-0000B33A0000}"/>
    <hyperlink ref="B9726" r:id="rId15029" xr:uid="{00000000-0004-0000-0200-0000B43A0000}"/>
    <hyperlink ref="C9726" r:id="rId15030" xr:uid="{00000000-0004-0000-0200-0000B53A0000}"/>
    <hyperlink ref="A9727" r:id="rId15031" xr:uid="{00000000-0004-0000-0200-0000B63A0000}"/>
    <hyperlink ref="B9727" r:id="rId15032" xr:uid="{00000000-0004-0000-0200-0000B73A0000}"/>
    <hyperlink ref="C9727" r:id="rId15033" xr:uid="{00000000-0004-0000-0200-0000B83A0000}"/>
    <hyperlink ref="A9728" r:id="rId15034" xr:uid="{00000000-0004-0000-0200-0000B93A0000}"/>
    <hyperlink ref="B9728" r:id="rId15035" xr:uid="{00000000-0004-0000-0200-0000BA3A0000}"/>
    <hyperlink ref="C9728" r:id="rId15036" xr:uid="{00000000-0004-0000-0200-0000BB3A0000}"/>
    <hyperlink ref="A9729" r:id="rId15037" xr:uid="{00000000-0004-0000-0200-0000BC3A0000}"/>
    <hyperlink ref="B9729" r:id="rId15038" xr:uid="{00000000-0004-0000-0200-0000BD3A0000}"/>
    <hyperlink ref="C9729" r:id="rId15039" xr:uid="{00000000-0004-0000-0200-0000BE3A0000}"/>
    <hyperlink ref="A9730" r:id="rId15040" xr:uid="{00000000-0004-0000-0200-0000BF3A0000}"/>
    <hyperlink ref="B9730" r:id="rId15041" xr:uid="{00000000-0004-0000-0200-0000C03A0000}"/>
    <hyperlink ref="C9730" r:id="rId15042" xr:uid="{00000000-0004-0000-0200-0000C13A0000}"/>
    <hyperlink ref="A9731" r:id="rId15043" xr:uid="{00000000-0004-0000-0200-0000C23A0000}"/>
    <hyperlink ref="B9731" r:id="rId15044" xr:uid="{00000000-0004-0000-0200-0000C33A0000}"/>
    <hyperlink ref="C9731" r:id="rId15045" xr:uid="{00000000-0004-0000-0200-0000C43A0000}"/>
    <hyperlink ref="A9732" r:id="rId15046" xr:uid="{00000000-0004-0000-0200-0000C53A0000}"/>
    <hyperlink ref="B9732" r:id="rId15047" xr:uid="{00000000-0004-0000-0200-0000C63A0000}"/>
    <hyperlink ref="C9732" r:id="rId15048" xr:uid="{00000000-0004-0000-0200-0000C73A0000}"/>
    <hyperlink ref="A9733" r:id="rId15049" xr:uid="{00000000-0004-0000-0200-0000C83A0000}"/>
    <hyperlink ref="B9733" r:id="rId15050" xr:uid="{00000000-0004-0000-0200-0000C93A0000}"/>
    <hyperlink ref="C9733" r:id="rId15051" xr:uid="{00000000-0004-0000-0200-0000CA3A0000}"/>
    <hyperlink ref="A9734" r:id="rId15052" xr:uid="{00000000-0004-0000-0200-0000CB3A0000}"/>
    <hyperlink ref="B9734" r:id="rId15053" xr:uid="{00000000-0004-0000-0200-0000CC3A0000}"/>
    <hyperlink ref="C9734" r:id="rId15054" xr:uid="{00000000-0004-0000-0200-0000CD3A0000}"/>
    <hyperlink ref="A9735" r:id="rId15055" xr:uid="{00000000-0004-0000-0200-0000CE3A0000}"/>
    <hyperlink ref="B9735" r:id="rId15056" xr:uid="{00000000-0004-0000-0200-0000CF3A0000}"/>
    <hyperlink ref="C9735" r:id="rId15057" xr:uid="{00000000-0004-0000-0200-0000D03A0000}"/>
    <hyperlink ref="A9736" r:id="rId15058" xr:uid="{00000000-0004-0000-0200-0000D13A0000}"/>
    <hyperlink ref="B9736" r:id="rId15059" xr:uid="{00000000-0004-0000-0200-0000D23A0000}"/>
    <hyperlink ref="C9736" r:id="rId15060" xr:uid="{00000000-0004-0000-0200-0000D33A0000}"/>
    <hyperlink ref="A9737" r:id="rId15061" xr:uid="{00000000-0004-0000-0200-0000D43A0000}"/>
    <hyperlink ref="B9737" r:id="rId15062" xr:uid="{00000000-0004-0000-0200-0000D53A0000}"/>
    <hyperlink ref="C9737" r:id="rId15063" xr:uid="{00000000-0004-0000-0200-0000D63A0000}"/>
    <hyperlink ref="A9738" r:id="rId15064" xr:uid="{00000000-0004-0000-0200-0000D73A0000}"/>
    <hyperlink ref="B9738" r:id="rId15065" xr:uid="{00000000-0004-0000-0200-0000D83A0000}"/>
    <hyperlink ref="C9738" r:id="rId15066" xr:uid="{00000000-0004-0000-0200-0000D93A0000}"/>
    <hyperlink ref="A9739" r:id="rId15067" xr:uid="{00000000-0004-0000-0200-0000DA3A0000}"/>
    <hyperlink ref="B9739" r:id="rId15068" xr:uid="{00000000-0004-0000-0200-0000DB3A0000}"/>
    <hyperlink ref="C9739" r:id="rId15069" xr:uid="{00000000-0004-0000-0200-0000DC3A0000}"/>
    <hyperlink ref="A9740" r:id="rId15070" xr:uid="{00000000-0004-0000-0200-0000DD3A0000}"/>
    <hyperlink ref="B9740" r:id="rId15071" xr:uid="{00000000-0004-0000-0200-0000DE3A0000}"/>
    <hyperlink ref="C9740" r:id="rId15072" xr:uid="{00000000-0004-0000-0200-0000DF3A0000}"/>
    <hyperlink ref="A9741" r:id="rId15073" xr:uid="{00000000-0004-0000-0200-0000E03A0000}"/>
    <hyperlink ref="B9741" r:id="rId15074" xr:uid="{00000000-0004-0000-0200-0000E13A0000}"/>
    <hyperlink ref="C9741" r:id="rId15075" xr:uid="{00000000-0004-0000-0200-0000E23A0000}"/>
    <hyperlink ref="A9742" r:id="rId15076" xr:uid="{00000000-0004-0000-0200-0000E33A0000}"/>
    <hyperlink ref="B9742" r:id="rId15077" xr:uid="{00000000-0004-0000-0200-0000E43A0000}"/>
    <hyperlink ref="C9742" r:id="rId15078" xr:uid="{00000000-0004-0000-0200-0000E53A0000}"/>
    <hyperlink ref="A9743" r:id="rId15079" xr:uid="{00000000-0004-0000-0200-0000E63A0000}"/>
    <hyperlink ref="B9743" r:id="rId15080" xr:uid="{00000000-0004-0000-0200-0000E73A0000}"/>
    <hyperlink ref="C9743" r:id="rId15081" xr:uid="{00000000-0004-0000-0200-0000E83A0000}"/>
    <hyperlink ref="A9744" r:id="rId15082" xr:uid="{00000000-0004-0000-0200-0000E93A0000}"/>
    <hyperlink ref="B9744" r:id="rId15083" xr:uid="{00000000-0004-0000-0200-0000EA3A0000}"/>
    <hyperlink ref="C9744" r:id="rId15084" xr:uid="{00000000-0004-0000-0200-0000EB3A0000}"/>
    <hyperlink ref="A9745" r:id="rId15085" xr:uid="{00000000-0004-0000-0200-0000EC3A0000}"/>
    <hyperlink ref="B9745" r:id="rId15086" xr:uid="{00000000-0004-0000-0200-0000ED3A0000}"/>
    <hyperlink ref="C9745" r:id="rId15087" xr:uid="{00000000-0004-0000-0200-0000EE3A0000}"/>
    <hyperlink ref="A9746" r:id="rId15088" xr:uid="{00000000-0004-0000-0200-0000EF3A0000}"/>
    <hyperlink ref="B9746" r:id="rId15089" xr:uid="{00000000-0004-0000-0200-0000F03A0000}"/>
    <hyperlink ref="C9746" r:id="rId15090" xr:uid="{00000000-0004-0000-0200-0000F13A0000}"/>
    <hyperlink ref="A9747" r:id="rId15091" xr:uid="{00000000-0004-0000-0200-0000F23A0000}"/>
    <hyperlink ref="B9747" r:id="rId15092" xr:uid="{00000000-0004-0000-0200-0000F33A0000}"/>
    <hyperlink ref="C9747" r:id="rId15093" xr:uid="{00000000-0004-0000-0200-0000F43A0000}"/>
    <hyperlink ref="A9748" r:id="rId15094" xr:uid="{00000000-0004-0000-0200-0000F53A0000}"/>
    <hyperlink ref="B9748" r:id="rId15095" xr:uid="{00000000-0004-0000-0200-0000F63A0000}"/>
    <hyperlink ref="C9748" r:id="rId15096" xr:uid="{00000000-0004-0000-0200-0000F73A0000}"/>
    <hyperlink ref="A9749" r:id="rId15097" xr:uid="{00000000-0004-0000-0200-0000F83A0000}"/>
    <hyperlink ref="B9749" r:id="rId15098" xr:uid="{00000000-0004-0000-0200-0000F93A0000}"/>
    <hyperlink ref="C9749" r:id="rId15099" xr:uid="{00000000-0004-0000-0200-0000FA3A0000}"/>
    <hyperlink ref="A9750" r:id="rId15100" xr:uid="{00000000-0004-0000-0200-0000FB3A0000}"/>
    <hyperlink ref="B9750" r:id="rId15101" xr:uid="{00000000-0004-0000-0200-0000FC3A0000}"/>
    <hyperlink ref="C9750" r:id="rId15102" xr:uid="{00000000-0004-0000-0200-0000FD3A0000}"/>
    <hyperlink ref="A9751" r:id="rId15103" xr:uid="{00000000-0004-0000-0200-0000FE3A0000}"/>
    <hyperlink ref="B9751" r:id="rId15104" xr:uid="{00000000-0004-0000-0200-0000FF3A0000}"/>
    <hyperlink ref="C9751" r:id="rId15105" xr:uid="{00000000-0004-0000-0200-0000003B0000}"/>
    <hyperlink ref="A9752" r:id="rId15106" xr:uid="{00000000-0004-0000-0200-0000013B0000}"/>
    <hyperlink ref="B9752" r:id="rId15107" xr:uid="{00000000-0004-0000-0200-0000023B0000}"/>
    <hyperlink ref="C9752" r:id="rId15108" xr:uid="{00000000-0004-0000-0200-0000033B0000}"/>
    <hyperlink ref="A9753" r:id="rId15109" xr:uid="{00000000-0004-0000-0200-0000043B0000}"/>
    <hyperlink ref="B9753" r:id="rId15110" xr:uid="{00000000-0004-0000-0200-0000053B0000}"/>
    <hyperlink ref="C9753" r:id="rId15111" xr:uid="{00000000-0004-0000-0200-0000063B0000}"/>
    <hyperlink ref="A9754" r:id="rId15112" xr:uid="{00000000-0004-0000-0200-0000073B0000}"/>
    <hyperlink ref="B9754" r:id="rId15113" xr:uid="{00000000-0004-0000-0200-0000083B0000}"/>
    <hyperlink ref="C9754" r:id="rId15114" xr:uid="{00000000-0004-0000-0200-0000093B0000}"/>
    <hyperlink ref="A9755" r:id="rId15115" xr:uid="{00000000-0004-0000-0200-00000A3B0000}"/>
    <hyperlink ref="B9755" r:id="rId15116" xr:uid="{00000000-0004-0000-0200-00000B3B0000}"/>
    <hyperlink ref="C9755" r:id="rId15117" xr:uid="{00000000-0004-0000-0200-00000C3B0000}"/>
    <hyperlink ref="A9756" r:id="rId15118" xr:uid="{00000000-0004-0000-0200-00000D3B0000}"/>
    <hyperlink ref="B9756" r:id="rId15119" xr:uid="{00000000-0004-0000-0200-00000E3B0000}"/>
    <hyperlink ref="C9756" r:id="rId15120" xr:uid="{00000000-0004-0000-0200-00000F3B0000}"/>
    <hyperlink ref="A9757" r:id="rId15121" xr:uid="{00000000-0004-0000-0200-0000103B0000}"/>
    <hyperlink ref="B9757" r:id="rId15122" xr:uid="{00000000-0004-0000-0200-0000113B0000}"/>
    <hyperlink ref="C9757" r:id="rId15123" xr:uid="{00000000-0004-0000-0200-0000123B0000}"/>
    <hyperlink ref="A9758" r:id="rId15124" xr:uid="{00000000-0004-0000-0200-0000133B0000}"/>
    <hyperlink ref="B9758" r:id="rId15125" xr:uid="{00000000-0004-0000-0200-0000143B0000}"/>
    <hyperlink ref="C9758" r:id="rId15126" xr:uid="{00000000-0004-0000-0200-0000153B0000}"/>
    <hyperlink ref="A9759" r:id="rId15127" xr:uid="{00000000-0004-0000-0200-0000163B0000}"/>
    <hyperlink ref="B9759" r:id="rId15128" xr:uid="{00000000-0004-0000-0200-0000173B0000}"/>
    <hyperlink ref="C9759" r:id="rId15129" xr:uid="{00000000-0004-0000-0200-0000183B0000}"/>
    <hyperlink ref="A9760" r:id="rId15130" xr:uid="{00000000-0004-0000-0200-0000193B0000}"/>
    <hyperlink ref="B9760" r:id="rId15131" xr:uid="{00000000-0004-0000-0200-00001A3B0000}"/>
    <hyperlink ref="C9760" r:id="rId15132" xr:uid="{00000000-0004-0000-0200-00001B3B0000}"/>
    <hyperlink ref="A9761" r:id="rId15133" xr:uid="{00000000-0004-0000-0200-00001C3B0000}"/>
    <hyperlink ref="B9761" r:id="rId15134" xr:uid="{00000000-0004-0000-0200-00001D3B0000}"/>
    <hyperlink ref="C9761" r:id="rId15135" xr:uid="{00000000-0004-0000-0200-00001E3B0000}"/>
    <hyperlink ref="A9762" r:id="rId15136" xr:uid="{00000000-0004-0000-0200-00001F3B0000}"/>
    <hyperlink ref="B9762" r:id="rId15137" xr:uid="{00000000-0004-0000-0200-0000203B0000}"/>
    <hyperlink ref="C9762" r:id="rId15138" xr:uid="{00000000-0004-0000-0200-0000213B0000}"/>
    <hyperlink ref="A9763" r:id="rId15139" xr:uid="{00000000-0004-0000-0200-0000223B0000}"/>
    <hyperlink ref="B9763" r:id="rId15140" xr:uid="{00000000-0004-0000-0200-0000233B0000}"/>
    <hyperlink ref="C9763" r:id="rId15141" xr:uid="{00000000-0004-0000-0200-0000243B0000}"/>
    <hyperlink ref="A9764" r:id="rId15142" xr:uid="{00000000-0004-0000-0200-0000253B0000}"/>
    <hyperlink ref="B9764" r:id="rId15143" xr:uid="{00000000-0004-0000-0200-0000263B0000}"/>
    <hyperlink ref="C9764" r:id="rId15144" xr:uid="{00000000-0004-0000-0200-0000273B0000}"/>
    <hyperlink ref="A9765" r:id="rId15145" xr:uid="{00000000-0004-0000-0200-0000283B0000}"/>
    <hyperlink ref="B9765" r:id="rId15146" xr:uid="{00000000-0004-0000-0200-0000293B0000}"/>
    <hyperlink ref="C9765" r:id="rId15147" xr:uid="{00000000-0004-0000-0200-00002A3B0000}"/>
    <hyperlink ref="A9766" r:id="rId15148" xr:uid="{00000000-0004-0000-0200-00002B3B0000}"/>
    <hyperlink ref="B9766" r:id="rId15149" xr:uid="{00000000-0004-0000-0200-00002C3B0000}"/>
    <hyperlink ref="C9766" r:id="rId15150" xr:uid="{00000000-0004-0000-0200-00002D3B0000}"/>
    <hyperlink ref="A9767" r:id="rId15151" xr:uid="{00000000-0004-0000-0200-00002E3B0000}"/>
    <hyperlink ref="B9767" r:id="rId15152" xr:uid="{00000000-0004-0000-0200-00002F3B0000}"/>
    <hyperlink ref="C9767" r:id="rId15153" xr:uid="{00000000-0004-0000-0200-0000303B0000}"/>
    <hyperlink ref="A9768" r:id="rId15154" xr:uid="{00000000-0004-0000-0200-0000313B0000}"/>
    <hyperlink ref="B9768" r:id="rId15155" xr:uid="{00000000-0004-0000-0200-0000323B0000}"/>
    <hyperlink ref="C9768" r:id="rId15156" xr:uid="{00000000-0004-0000-0200-0000333B0000}"/>
    <hyperlink ref="A9769" r:id="rId15157" xr:uid="{00000000-0004-0000-0200-0000343B0000}"/>
    <hyperlink ref="B9769" r:id="rId15158" xr:uid="{00000000-0004-0000-0200-0000353B0000}"/>
    <hyperlink ref="C9769" r:id="rId15159" xr:uid="{00000000-0004-0000-0200-0000363B0000}"/>
    <hyperlink ref="A9770" r:id="rId15160" xr:uid="{00000000-0004-0000-0200-0000373B0000}"/>
    <hyperlink ref="B9770" r:id="rId15161" xr:uid="{00000000-0004-0000-0200-0000383B0000}"/>
    <hyperlink ref="C9770" r:id="rId15162" xr:uid="{00000000-0004-0000-0200-0000393B0000}"/>
    <hyperlink ref="A9771" r:id="rId15163" xr:uid="{00000000-0004-0000-0200-00003A3B0000}"/>
    <hyperlink ref="B9771" r:id="rId15164" xr:uid="{00000000-0004-0000-0200-00003B3B0000}"/>
    <hyperlink ref="C9771" r:id="rId15165" xr:uid="{00000000-0004-0000-0200-00003C3B0000}"/>
    <hyperlink ref="A9772" r:id="rId15166" xr:uid="{00000000-0004-0000-0200-00003D3B0000}"/>
    <hyperlink ref="B9772" r:id="rId15167" xr:uid="{00000000-0004-0000-0200-00003E3B0000}"/>
    <hyperlink ref="C9772" r:id="rId15168" xr:uid="{00000000-0004-0000-0200-00003F3B0000}"/>
    <hyperlink ref="A9773" r:id="rId15169" xr:uid="{00000000-0004-0000-0200-0000403B0000}"/>
    <hyperlink ref="B9773" r:id="rId15170" xr:uid="{00000000-0004-0000-0200-0000413B0000}"/>
    <hyperlink ref="C9773" r:id="rId15171" xr:uid="{00000000-0004-0000-0200-0000423B0000}"/>
    <hyperlink ref="A9774" r:id="rId15172" xr:uid="{00000000-0004-0000-0200-0000433B0000}"/>
    <hyperlink ref="B9774" r:id="rId15173" xr:uid="{00000000-0004-0000-0200-0000443B0000}"/>
    <hyperlink ref="C9774" r:id="rId15174" xr:uid="{00000000-0004-0000-0200-0000453B0000}"/>
    <hyperlink ref="A9775" r:id="rId15175" xr:uid="{00000000-0004-0000-0200-0000463B0000}"/>
    <hyperlink ref="B9775" r:id="rId15176" xr:uid="{00000000-0004-0000-0200-0000473B0000}"/>
    <hyperlink ref="C9775" r:id="rId15177" xr:uid="{00000000-0004-0000-0200-0000483B0000}"/>
    <hyperlink ref="A9776" r:id="rId15178" xr:uid="{00000000-0004-0000-0200-0000493B0000}"/>
    <hyperlink ref="B9776" r:id="rId15179" xr:uid="{00000000-0004-0000-0200-00004A3B0000}"/>
    <hyperlink ref="C9776" r:id="rId15180" xr:uid="{00000000-0004-0000-0200-00004B3B0000}"/>
    <hyperlink ref="A9777" r:id="rId15181" xr:uid="{00000000-0004-0000-0200-00004C3B0000}"/>
    <hyperlink ref="B9777" r:id="rId15182" xr:uid="{00000000-0004-0000-0200-00004D3B0000}"/>
    <hyperlink ref="C9777" r:id="rId15183" xr:uid="{00000000-0004-0000-0200-00004E3B0000}"/>
    <hyperlink ref="A9778" r:id="rId15184" xr:uid="{00000000-0004-0000-0200-00004F3B0000}"/>
    <hyperlink ref="B9778" r:id="rId15185" xr:uid="{00000000-0004-0000-0200-0000503B0000}"/>
    <hyperlink ref="C9778" r:id="rId15186" xr:uid="{00000000-0004-0000-0200-0000513B0000}"/>
    <hyperlink ref="A9779" r:id="rId15187" xr:uid="{00000000-0004-0000-0200-0000523B0000}"/>
    <hyperlink ref="B9779" r:id="rId15188" xr:uid="{00000000-0004-0000-0200-0000533B0000}"/>
    <hyperlink ref="C9779" r:id="rId15189" xr:uid="{00000000-0004-0000-0200-0000543B0000}"/>
    <hyperlink ref="A9780" r:id="rId15190" xr:uid="{00000000-0004-0000-0200-0000553B0000}"/>
    <hyperlink ref="B9780" r:id="rId15191" xr:uid="{00000000-0004-0000-0200-0000563B0000}"/>
    <hyperlink ref="C9780" r:id="rId15192" xr:uid="{00000000-0004-0000-0200-0000573B0000}"/>
    <hyperlink ref="A9781" r:id="rId15193" xr:uid="{00000000-0004-0000-0200-0000583B0000}"/>
    <hyperlink ref="B9781" r:id="rId15194" xr:uid="{00000000-0004-0000-0200-0000593B0000}"/>
    <hyperlink ref="C9781" r:id="rId15195" xr:uid="{00000000-0004-0000-0200-00005A3B0000}"/>
    <hyperlink ref="A9782" r:id="rId15196" xr:uid="{00000000-0004-0000-0200-00005B3B0000}"/>
    <hyperlink ref="B9782" r:id="rId15197" xr:uid="{00000000-0004-0000-0200-00005C3B0000}"/>
    <hyperlink ref="C9782" r:id="rId15198" xr:uid="{00000000-0004-0000-0200-00005D3B0000}"/>
    <hyperlink ref="A9783" r:id="rId15199" xr:uid="{00000000-0004-0000-0200-00005E3B0000}"/>
    <hyperlink ref="B9783" r:id="rId15200" xr:uid="{00000000-0004-0000-0200-00005F3B0000}"/>
    <hyperlink ref="C9783" r:id="rId15201" xr:uid="{00000000-0004-0000-0200-0000603B0000}"/>
    <hyperlink ref="A9784" r:id="rId15202" xr:uid="{00000000-0004-0000-0200-0000613B0000}"/>
    <hyperlink ref="B9784" r:id="rId15203" xr:uid="{00000000-0004-0000-0200-0000623B0000}"/>
    <hyperlink ref="C9784" r:id="rId15204" xr:uid="{00000000-0004-0000-0200-0000633B0000}"/>
    <hyperlink ref="A9785" r:id="rId15205" xr:uid="{00000000-0004-0000-0200-0000643B0000}"/>
    <hyperlink ref="B9785" r:id="rId15206" xr:uid="{00000000-0004-0000-0200-0000653B0000}"/>
    <hyperlink ref="C9785" r:id="rId15207" xr:uid="{00000000-0004-0000-0200-0000663B0000}"/>
    <hyperlink ref="A9786" r:id="rId15208" xr:uid="{00000000-0004-0000-0200-0000673B0000}"/>
    <hyperlink ref="B9786" r:id="rId15209" xr:uid="{00000000-0004-0000-0200-0000683B0000}"/>
    <hyperlink ref="C9786" r:id="rId15210" xr:uid="{00000000-0004-0000-0200-0000693B0000}"/>
    <hyperlink ref="A9787" r:id="rId15211" xr:uid="{00000000-0004-0000-0200-00006A3B0000}"/>
    <hyperlink ref="B9787" r:id="rId15212" xr:uid="{00000000-0004-0000-0200-00006B3B0000}"/>
    <hyperlink ref="C9787" r:id="rId15213" xr:uid="{00000000-0004-0000-0200-00006C3B0000}"/>
    <hyperlink ref="A9788" r:id="rId15214" xr:uid="{00000000-0004-0000-0200-00006D3B0000}"/>
    <hyperlink ref="B9788" r:id="rId15215" xr:uid="{00000000-0004-0000-0200-00006E3B0000}"/>
    <hyperlink ref="C9788" r:id="rId15216" xr:uid="{00000000-0004-0000-0200-00006F3B0000}"/>
    <hyperlink ref="A9789" r:id="rId15217" xr:uid="{00000000-0004-0000-0200-0000703B0000}"/>
    <hyperlink ref="B9789" r:id="rId15218" xr:uid="{00000000-0004-0000-0200-0000713B0000}"/>
    <hyperlink ref="C9789" r:id="rId15219" xr:uid="{00000000-0004-0000-0200-0000723B0000}"/>
    <hyperlink ref="A9790" r:id="rId15220" xr:uid="{00000000-0004-0000-0200-0000733B0000}"/>
    <hyperlink ref="B9790" r:id="rId15221" xr:uid="{00000000-0004-0000-0200-0000743B0000}"/>
    <hyperlink ref="C9790" r:id="rId15222" xr:uid="{00000000-0004-0000-0200-0000753B0000}"/>
    <hyperlink ref="A9791" r:id="rId15223" xr:uid="{00000000-0004-0000-0200-0000763B0000}"/>
    <hyperlink ref="B9791" r:id="rId15224" xr:uid="{00000000-0004-0000-0200-0000773B0000}"/>
    <hyperlink ref="C9791" r:id="rId15225" xr:uid="{00000000-0004-0000-0200-0000783B0000}"/>
    <hyperlink ref="A9792" r:id="rId15226" xr:uid="{00000000-0004-0000-0200-0000793B0000}"/>
    <hyperlink ref="B9792" r:id="rId15227" xr:uid="{00000000-0004-0000-0200-00007A3B0000}"/>
    <hyperlink ref="C9792" r:id="rId15228" xr:uid="{00000000-0004-0000-0200-00007B3B0000}"/>
    <hyperlink ref="A9793" r:id="rId15229" xr:uid="{00000000-0004-0000-0200-00007C3B0000}"/>
    <hyperlink ref="B9793" r:id="rId15230" xr:uid="{00000000-0004-0000-0200-00007D3B0000}"/>
    <hyperlink ref="C9793" r:id="rId15231" xr:uid="{00000000-0004-0000-0200-00007E3B0000}"/>
    <hyperlink ref="A9794" r:id="rId15232" xr:uid="{00000000-0004-0000-0200-00007F3B0000}"/>
    <hyperlink ref="B9794" r:id="rId15233" xr:uid="{00000000-0004-0000-0200-0000803B0000}"/>
    <hyperlink ref="C9794" r:id="rId15234" xr:uid="{00000000-0004-0000-0200-0000813B0000}"/>
    <hyperlink ref="A9795" r:id="rId15235" xr:uid="{00000000-0004-0000-0200-0000823B0000}"/>
    <hyperlink ref="B9795" r:id="rId15236" xr:uid="{00000000-0004-0000-0200-0000833B0000}"/>
    <hyperlink ref="C9795" r:id="rId15237" xr:uid="{00000000-0004-0000-0200-0000843B0000}"/>
    <hyperlink ref="A9796" r:id="rId15238" xr:uid="{00000000-0004-0000-0200-0000853B0000}"/>
    <hyperlink ref="B9796" r:id="rId15239" xr:uid="{00000000-0004-0000-0200-0000863B0000}"/>
    <hyperlink ref="C9796" r:id="rId15240" xr:uid="{00000000-0004-0000-0200-0000873B0000}"/>
    <hyperlink ref="A9797" r:id="rId15241" xr:uid="{00000000-0004-0000-0200-0000883B0000}"/>
    <hyperlink ref="B9797" r:id="rId15242" xr:uid="{00000000-0004-0000-0200-0000893B0000}"/>
    <hyperlink ref="C9797" r:id="rId15243" xr:uid="{00000000-0004-0000-0200-00008A3B0000}"/>
    <hyperlink ref="A9798" r:id="rId15244" xr:uid="{00000000-0004-0000-0200-00008B3B0000}"/>
    <hyperlink ref="B9798" r:id="rId15245" xr:uid="{00000000-0004-0000-0200-00008C3B0000}"/>
    <hyperlink ref="C9798" r:id="rId15246" xr:uid="{00000000-0004-0000-0200-00008D3B0000}"/>
    <hyperlink ref="A9799" r:id="rId15247" xr:uid="{00000000-0004-0000-0200-00008E3B0000}"/>
    <hyperlink ref="B9799" r:id="rId15248" xr:uid="{00000000-0004-0000-0200-00008F3B0000}"/>
    <hyperlink ref="C9799" r:id="rId15249" xr:uid="{00000000-0004-0000-0200-0000903B0000}"/>
    <hyperlink ref="A9800" r:id="rId15250" xr:uid="{00000000-0004-0000-0200-0000913B0000}"/>
    <hyperlink ref="B9800" r:id="rId15251" xr:uid="{00000000-0004-0000-0200-0000923B0000}"/>
    <hyperlink ref="C9800" r:id="rId15252" xr:uid="{00000000-0004-0000-0200-0000933B0000}"/>
    <hyperlink ref="A9801" r:id="rId15253" xr:uid="{00000000-0004-0000-0200-0000943B0000}"/>
    <hyperlink ref="B9801" r:id="rId15254" xr:uid="{00000000-0004-0000-0200-0000953B0000}"/>
    <hyperlink ref="C9801" r:id="rId15255" xr:uid="{00000000-0004-0000-0200-0000963B0000}"/>
    <hyperlink ref="A9802" r:id="rId15256" xr:uid="{00000000-0004-0000-0200-0000973B0000}"/>
    <hyperlink ref="B9802" r:id="rId15257" xr:uid="{00000000-0004-0000-0200-0000983B0000}"/>
    <hyperlink ref="C9802" r:id="rId15258" xr:uid="{00000000-0004-0000-0200-0000993B0000}"/>
    <hyperlink ref="A9803" r:id="rId15259" xr:uid="{00000000-0004-0000-0200-00009A3B0000}"/>
    <hyperlink ref="B9803" r:id="rId15260" xr:uid="{00000000-0004-0000-0200-00009B3B0000}"/>
    <hyperlink ref="C9803" r:id="rId15261" xr:uid="{00000000-0004-0000-0200-00009C3B0000}"/>
    <hyperlink ref="A9804" r:id="rId15262" xr:uid="{00000000-0004-0000-0200-00009D3B0000}"/>
    <hyperlink ref="B9804" r:id="rId15263" xr:uid="{00000000-0004-0000-0200-00009E3B0000}"/>
    <hyperlink ref="C9804" r:id="rId15264" xr:uid="{00000000-0004-0000-0200-00009F3B0000}"/>
    <hyperlink ref="A9805" r:id="rId15265" xr:uid="{00000000-0004-0000-0200-0000A03B0000}"/>
    <hyperlink ref="B9805" r:id="rId15266" xr:uid="{00000000-0004-0000-0200-0000A13B0000}"/>
    <hyperlink ref="C9805" r:id="rId15267" xr:uid="{00000000-0004-0000-0200-0000A23B0000}"/>
    <hyperlink ref="A9806" r:id="rId15268" xr:uid="{00000000-0004-0000-0200-0000A33B0000}"/>
    <hyperlink ref="B9806" r:id="rId15269" xr:uid="{00000000-0004-0000-0200-0000A43B0000}"/>
    <hyperlink ref="C9806" r:id="rId15270" xr:uid="{00000000-0004-0000-0200-0000A53B0000}"/>
    <hyperlink ref="A9807" r:id="rId15271" xr:uid="{00000000-0004-0000-0200-0000A63B0000}"/>
    <hyperlink ref="B9807" r:id="rId15272" xr:uid="{00000000-0004-0000-0200-0000A73B0000}"/>
    <hyperlink ref="C9807" r:id="rId15273" xr:uid="{00000000-0004-0000-0200-0000A83B0000}"/>
    <hyperlink ref="A9808" r:id="rId15274" xr:uid="{00000000-0004-0000-0200-0000A93B0000}"/>
    <hyperlink ref="B9808" r:id="rId15275" xr:uid="{00000000-0004-0000-0200-0000AA3B0000}"/>
    <hyperlink ref="C9808" r:id="rId15276" xr:uid="{00000000-0004-0000-0200-0000AB3B0000}"/>
    <hyperlink ref="A9809" r:id="rId15277" xr:uid="{00000000-0004-0000-0200-0000AC3B0000}"/>
    <hyperlink ref="B9809" r:id="rId15278" xr:uid="{00000000-0004-0000-0200-0000AD3B0000}"/>
    <hyperlink ref="C9809" r:id="rId15279" xr:uid="{00000000-0004-0000-0200-0000AE3B0000}"/>
    <hyperlink ref="A9810" r:id="rId15280" xr:uid="{00000000-0004-0000-0200-0000AF3B0000}"/>
    <hyperlink ref="B9810" r:id="rId15281" xr:uid="{00000000-0004-0000-0200-0000B03B0000}"/>
    <hyperlink ref="C9810" r:id="rId15282" xr:uid="{00000000-0004-0000-0200-0000B13B0000}"/>
    <hyperlink ref="A9811" r:id="rId15283" xr:uid="{00000000-0004-0000-0200-0000B23B0000}"/>
    <hyperlink ref="B9811" r:id="rId15284" xr:uid="{00000000-0004-0000-0200-0000B33B0000}"/>
    <hyperlink ref="C9811" r:id="rId15285" xr:uid="{00000000-0004-0000-0200-0000B43B0000}"/>
    <hyperlink ref="A9812" r:id="rId15286" xr:uid="{00000000-0004-0000-0200-0000B53B0000}"/>
    <hyperlink ref="B9812" r:id="rId15287" xr:uid="{00000000-0004-0000-0200-0000B63B0000}"/>
    <hyperlink ref="C9812" r:id="rId15288" xr:uid="{00000000-0004-0000-0200-0000B73B0000}"/>
    <hyperlink ref="A9813" r:id="rId15289" xr:uid="{00000000-0004-0000-0200-0000B83B0000}"/>
    <hyperlink ref="B9813" r:id="rId15290" xr:uid="{00000000-0004-0000-0200-0000B93B0000}"/>
    <hyperlink ref="C9813" r:id="rId15291" xr:uid="{00000000-0004-0000-0200-0000BA3B0000}"/>
    <hyperlink ref="A9814" r:id="rId15292" xr:uid="{00000000-0004-0000-0200-0000BB3B0000}"/>
    <hyperlink ref="B9814" r:id="rId15293" xr:uid="{00000000-0004-0000-0200-0000BC3B0000}"/>
    <hyperlink ref="C9814" r:id="rId15294" xr:uid="{00000000-0004-0000-0200-0000BD3B0000}"/>
    <hyperlink ref="A9815" r:id="rId15295" xr:uid="{00000000-0004-0000-0200-0000BE3B0000}"/>
    <hyperlink ref="B9815" r:id="rId15296" xr:uid="{00000000-0004-0000-0200-0000BF3B0000}"/>
    <hyperlink ref="C9815" r:id="rId15297" xr:uid="{00000000-0004-0000-0200-0000C03B0000}"/>
    <hyperlink ref="A9816" r:id="rId15298" xr:uid="{00000000-0004-0000-0200-0000C13B0000}"/>
    <hyperlink ref="B9816" r:id="rId15299" xr:uid="{00000000-0004-0000-0200-0000C23B0000}"/>
    <hyperlink ref="C9816" r:id="rId15300" xr:uid="{00000000-0004-0000-0200-0000C33B0000}"/>
    <hyperlink ref="A9817" r:id="rId15301" xr:uid="{00000000-0004-0000-0200-0000C43B0000}"/>
    <hyperlink ref="B9817" r:id="rId15302" xr:uid="{00000000-0004-0000-0200-0000C53B0000}"/>
    <hyperlink ref="C9817" r:id="rId15303" xr:uid="{00000000-0004-0000-0200-0000C63B0000}"/>
    <hyperlink ref="A9818" r:id="rId15304" xr:uid="{00000000-0004-0000-0200-0000C73B0000}"/>
    <hyperlink ref="B9818" r:id="rId15305" xr:uid="{00000000-0004-0000-0200-0000C83B0000}"/>
    <hyperlink ref="C9818" r:id="rId15306" xr:uid="{00000000-0004-0000-0200-0000C93B0000}"/>
    <hyperlink ref="A9819" r:id="rId15307" xr:uid="{00000000-0004-0000-0200-0000CA3B0000}"/>
    <hyperlink ref="B9819" r:id="rId15308" xr:uid="{00000000-0004-0000-0200-0000CB3B0000}"/>
    <hyperlink ref="C9819" r:id="rId15309" xr:uid="{00000000-0004-0000-0200-0000CC3B0000}"/>
    <hyperlink ref="A9820" r:id="rId15310" xr:uid="{00000000-0004-0000-0200-0000CD3B0000}"/>
    <hyperlink ref="B9820" r:id="rId15311" xr:uid="{00000000-0004-0000-0200-0000CE3B0000}"/>
    <hyperlink ref="C9820" r:id="rId15312" xr:uid="{00000000-0004-0000-0200-0000CF3B0000}"/>
    <hyperlink ref="A9821" r:id="rId15313" xr:uid="{00000000-0004-0000-0200-0000D03B0000}"/>
    <hyperlink ref="B9821" r:id="rId15314" xr:uid="{00000000-0004-0000-0200-0000D13B0000}"/>
    <hyperlink ref="C9821" r:id="rId15315" xr:uid="{00000000-0004-0000-0200-0000D23B0000}"/>
    <hyperlink ref="A9822" r:id="rId15316" xr:uid="{00000000-0004-0000-0200-0000D33B0000}"/>
    <hyperlink ref="B9822" r:id="rId15317" xr:uid="{00000000-0004-0000-0200-0000D43B0000}"/>
    <hyperlink ref="C9822" r:id="rId15318" xr:uid="{00000000-0004-0000-0200-0000D53B0000}"/>
    <hyperlink ref="A9823" r:id="rId15319" xr:uid="{00000000-0004-0000-0200-0000D63B0000}"/>
    <hyperlink ref="B9823" r:id="rId15320" xr:uid="{00000000-0004-0000-0200-0000D73B0000}"/>
    <hyperlink ref="C9823" r:id="rId15321" xr:uid="{00000000-0004-0000-0200-0000D83B0000}"/>
    <hyperlink ref="A9824" r:id="rId15322" xr:uid="{00000000-0004-0000-0200-0000D93B0000}"/>
    <hyperlink ref="B9824" r:id="rId15323" xr:uid="{00000000-0004-0000-0200-0000DA3B0000}"/>
    <hyperlink ref="C9824" r:id="rId15324" xr:uid="{00000000-0004-0000-0200-0000DB3B0000}"/>
    <hyperlink ref="A9825" r:id="rId15325" xr:uid="{00000000-0004-0000-0200-0000DC3B0000}"/>
    <hyperlink ref="B9825" r:id="rId15326" xr:uid="{00000000-0004-0000-0200-0000DD3B0000}"/>
    <hyperlink ref="C9825" r:id="rId15327" xr:uid="{00000000-0004-0000-0200-0000DE3B0000}"/>
    <hyperlink ref="A9826" r:id="rId15328" xr:uid="{00000000-0004-0000-0200-0000DF3B0000}"/>
    <hyperlink ref="B9826" r:id="rId15329" xr:uid="{00000000-0004-0000-0200-0000E03B0000}"/>
    <hyperlink ref="C9826" r:id="rId15330" xr:uid="{00000000-0004-0000-0200-0000E13B0000}"/>
    <hyperlink ref="A9827" r:id="rId15331" xr:uid="{00000000-0004-0000-0200-0000E23B0000}"/>
    <hyperlink ref="B9827" r:id="rId15332" xr:uid="{00000000-0004-0000-0200-0000E33B0000}"/>
    <hyperlink ref="C9827" r:id="rId15333" xr:uid="{00000000-0004-0000-0200-0000E43B0000}"/>
    <hyperlink ref="A9828" r:id="rId15334" xr:uid="{00000000-0004-0000-0200-0000E53B0000}"/>
    <hyperlink ref="B9828" r:id="rId15335" xr:uid="{00000000-0004-0000-0200-0000E63B0000}"/>
    <hyperlink ref="C9828" r:id="rId15336" xr:uid="{00000000-0004-0000-0200-0000E73B0000}"/>
    <hyperlink ref="A9829" r:id="rId15337" xr:uid="{00000000-0004-0000-0200-0000E83B0000}"/>
    <hyperlink ref="B9829" r:id="rId15338" xr:uid="{00000000-0004-0000-0200-0000E93B0000}"/>
    <hyperlink ref="C9829" r:id="rId15339" xr:uid="{00000000-0004-0000-0200-0000EA3B0000}"/>
    <hyperlink ref="A9830" r:id="rId15340" xr:uid="{00000000-0004-0000-0200-0000EB3B0000}"/>
    <hyperlink ref="B9830" r:id="rId15341" xr:uid="{00000000-0004-0000-0200-0000EC3B0000}"/>
    <hyperlink ref="C9830" r:id="rId15342" xr:uid="{00000000-0004-0000-0200-0000ED3B0000}"/>
    <hyperlink ref="A9831" r:id="rId15343" xr:uid="{00000000-0004-0000-0200-0000EE3B0000}"/>
    <hyperlink ref="B9831" r:id="rId15344" xr:uid="{00000000-0004-0000-0200-0000EF3B0000}"/>
    <hyperlink ref="C9831" r:id="rId15345" xr:uid="{00000000-0004-0000-0200-0000F03B0000}"/>
    <hyperlink ref="A9832" r:id="rId15346" xr:uid="{00000000-0004-0000-0200-0000F13B0000}"/>
    <hyperlink ref="B9832" r:id="rId15347" xr:uid="{00000000-0004-0000-0200-0000F23B0000}"/>
    <hyperlink ref="C9832" r:id="rId15348" xr:uid="{00000000-0004-0000-0200-0000F33B0000}"/>
    <hyperlink ref="A9833" r:id="rId15349" xr:uid="{00000000-0004-0000-0200-0000F43B0000}"/>
    <hyperlink ref="B9833" r:id="rId15350" xr:uid="{00000000-0004-0000-0200-0000F53B0000}"/>
    <hyperlink ref="C9833" r:id="rId15351" xr:uid="{00000000-0004-0000-0200-0000F63B0000}"/>
    <hyperlink ref="A9834" r:id="rId15352" xr:uid="{00000000-0004-0000-0200-0000F73B0000}"/>
    <hyperlink ref="B9834" r:id="rId15353" xr:uid="{00000000-0004-0000-0200-0000F83B0000}"/>
    <hyperlink ref="C9834" r:id="rId15354" xr:uid="{00000000-0004-0000-0200-0000F93B0000}"/>
    <hyperlink ref="A9835" r:id="rId15355" xr:uid="{00000000-0004-0000-0200-0000FA3B0000}"/>
    <hyperlink ref="B9835" r:id="rId15356" xr:uid="{00000000-0004-0000-0200-0000FB3B0000}"/>
    <hyperlink ref="C9835" r:id="rId15357" xr:uid="{00000000-0004-0000-0200-0000FC3B0000}"/>
    <hyperlink ref="A9836" r:id="rId15358" xr:uid="{00000000-0004-0000-0200-0000FD3B0000}"/>
    <hyperlink ref="B9836" r:id="rId15359" xr:uid="{00000000-0004-0000-0200-0000FE3B0000}"/>
    <hyperlink ref="C9836" r:id="rId15360" xr:uid="{00000000-0004-0000-0200-0000FF3B0000}"/>
    <hyperlink ref="A9837" r:id="rId15361" xr:uid="{00000000-0004-0000-0200-0000003C0000}"/>
    <hyperlink ref="B9837" r:id="rId15362" xr:uid="{00000000-0004-0000-0200-0000013C0000}"/>
    <hyperlink ref="C9837" r:id="rId15363" xr:uid="{00000000-0004-0000-0200-0000023C0000}"/>
    <hyperlink ref="A9838" r:id="rId15364" xr:uid="{00000000-0004-0000-0200-0000033C0000}"/>
    <hyperlink ref="B9838" r:id="rId15365" xr:uid="{00000000-0004-0000-0200-0000043C0000}"/>
    <hyperlink ref="C9838" r:id="rId15366" xr:uid="{00000000-0004-0000-0200-0000053C0000}"/>
    <hyperlink ref="A9839" r:id="rId15367" xr:uid="{00000000-0004-0000-0200-0000063C0000}"/>
    <hyperlink ref="B9839" r:id="rId15368" xr:uid="{00000000-0004-0000-0200-0000073C0000}"/>
    <hyperlink ref="C9839" r:id="rId15369" xr:uid="{00000000-0004-0000-0200-0000083C0000}"/>
    <hyperlink ref="A9840" r:id="rId15370" xr:uid="{00000000-0004-0000-0200-0000093C0000}"/>
    <hyperlink ref="B9840" r:id="rId15371" xr:uid="{00000000-0004-0000-0200-00000A3C0000}"/>
    <hyperlink ref="C9840" r:id="rId15372" xr:uid="{00000000-0004-0000-0200-00000B3C0000}"/>
    <hyperlink ref="A9841" r:id="rId15373" xr:uid="{00000000-0004-0000-0200-00000C3C0000}"/>
    <hyperlink ref="B9841" r:id="rId15374" xr:uid="{00000000-0004-0000-0200-00000D3C0000}"/>
    <hyperlink ref="C9841" r:id="rId15375" xr:uid="{00000000-0004-0000-0200-00000E3C0000}"/>
    <hyperlink ref="A9842" r:id="rId15376" xr:uid="{00000000-0004-0000-0200-00000F3C0000}"/>
    <hyperlink ref="B9842" r:id="rId15377" xr:uid="{00000000-0004-0000-0200-0000103C0000}"/>
    <hyperlink ref="C9842" r:id="rId15378" xr:uid="{00000000-0004-0000-0200-0000113C0000}"/>
    <hyperlink ref="A9843" r:id="rId15379" xr:uid="{00000000-0004-0000-0200-0000123C0000}"/>
    <hyperlink ref="B9843" r:id="rId15380" xr:uid="{00000000-0004-0000-0200-0000133C0000}"/>
    <hyperlink ref="C9843" r:id="rId15381" xr:uid="{00000000-0004-0000-0200-0000143C0000}"/>
    <hyperlink ref="A9844" r:id="rId15382" xr:uid="{00000000-0004-0000-0200-0000153C0000}"/>
    <hyperlink ref="B9844" r:id="rId15383" xr:uid="{00000000-0004-0000-0200-0000163C0000}"/>
    <hyperlink ref="C9844" r:id="rId15384" xr:uid="{00000000-0004-0000-0200-0000173C0000}"/>
    <hyperlink ref="A9845" r:id="rId15385" xr:uid="{00000000-0004-0000-0200-0000183C0000}"/>
    <hyperlink ref="B9845" r:id="rId15386" xr:uid="{00000000-0004-0000-0200-0000193C0000}"/>
    <hyperlink ref="C9845" r:id="rId15387" xr:uid="{00000000-0004-0000-0200-00001A3C0000}"/>
    <hyperlink ref="A9846" r:id="rId15388" xr:uid="{00000000-0004-0000-0200-00001B3C0000}"/>
    <hyperlink ref="B9846" r:id="rId15389" xr:uid="{00000000-0004-0000-0200-00001C3C0000}"/>
    <hyperlink ref="C9846" r:id="rId15390" xr:uid="{00000000-0004-0000-0200-00001D3C0000}"/>
    <hyperlink ref="A9847" r:id="rId15391" xr:uid="{00000000-0004-0000-0200-00001E3C0000}"/>
    <hyperlink ref="B9847" r:id="rId15392" xr:uid="{00000000-0004-0000-0200-00001F3C0000}"/>
    <hyperlink ref="C9847" r:id="rId15393" xr:uid="{00000000-0004-0000-0200-0000203C0000}"/>
    <hyperlink ref="A9848" r:id="rId15394" xr:uid="{00000000-0004-0000-0200-0000213C0000}"/>
    <hyperlink ref="B9848" r:id="rId15395" xr:uid="{00000000-0004-0000-0200-0000223C0000}"/>
    <hyperlink ref="C9848" r:id="rId15396" xr:uid="{00000000-0004-0000-0200-0000233C0000}"/>
    <hyperlink ref="A9849" r:id="rId15397" xr:uid="{00000000-0004-0000-0200-0000243C0000}"/>
    <hyperlink ref="B9849" r:id="rId15398" xr:uid="{00000000-0004-0000-0200-0000253C0000}"/>
    <hyperlink ref="C9849" r:id="rId15399" xr:uid="{00000000-0004-0000-0200-0000263C0000}"/>
    <hyperlink ref="A9850" r:id="rId15400" xr:uid="{00000000-0004-0000-0200-0000273C0000}"/>
    <hyperlink ref="B9850" r:id="rId15401" xr:uid="{00000000-0004-0000-0200-0000283C0000}"/>
    <hyperlink ref="C9850" r:id="rId15402" xr:uid="{00000000-0004-0000-0200-0000293C0000}"/>
    <hyperlink ref="A9851" r:id="rId15403" xr:uid="{00000000-0004-0000-0200-00002A3C0000}"/>
    <hyperlink ref="B9851" r:id="rId15404" xr:uid="{00000000-0004-0000-0200-00002B3C0000}"/>
    <hyperlink ref="C9851" r:id="rId15405" xr:uid="{00000000-0004-0000-0200-00002C3C0000}"/>
    <hyperlink ref="A9852" r:id="rId15406" xr:uid="{00000000-0004-0000-0200-00002D3C0000}"/>
    <hyperlink ref="B9852" r:id="rId15407" xr:uid="{00000000-0004-0000-0200-00002E3C0000}"/>
    <hyperlink ref="C9852" r:id="rId15408" xr:uid="{00000000-0004-0000-0200-00002F3C0000}"/>
    <hyperlink ref="A9853" r:id="rId15409" xr:uid="{00000000-0004-0000-0200-0000303C0000}"/>
    <hyperlink ref="B9853" r:id="rId15410" xr:uid="{00000000-0004-0000-0200-0000313C0000}"/>
    <hyperlink ref="C9853" r:id="rId15411" xr:uid="{00000000-0004-0000-0200-0000323C0000}"/>
    <hyperlink ref="A9854" r:id="rId15412" xr:uid="{00000000-0004-0000-0200-0000333C0000}"/>
    <hyperlink ref="B9854" r:id="rId15413" xr:uid="{00000000-0004-0000-0200-0000343C0000}"/>
    <hyperlink ref="C9854" r:id="rId15414" xr:uid="{00000000-0004-0000-0200-0000353C0000}"/>
    <hyperlink ref="A9855" r:id="rId15415" xr:uid="{00000000-0004-0000-0200-0000363C0000}"/>
    <hyperlink ref="B9855" r:id="rId15416" xr:uid="{00000000-0004-0000-0200-0000373C0000}"/>
    <hyperlink ref="C9855" r:id="rId15417" xr:uid="{00000000-0004-0000-0200-0000383C0000}"/>
    <hyperlink ref="A9856" r:id="rId15418" xr:uid="{00000000-0004-0000-0200-0000393C0000}"/>
    <hyperlink ref="B9856" r:id="rId15419" xr:uid="{00000000-0004-0000-0200-00003A3C0000}"/>
    <hyperlink ref="C9856" r:id="rId15420" xr:uid="{00000000-0004-0000-0200-00003B3C0000}"/>
    <hyperlink ref="A9857" r:id="rId15421" xr:uid="{00000000-0004-0000-0200-00003C3C0000}"/>
    <hyperlink ref="B9857" r:id="rId15422" xr:uid="{00000000-0004-0000-0200-00003D3C0000}"/>
    <hyperlink ref="C9857" r:id="rId15423" xr:uid="{00000000-0004-0000-0200-00003E3C0000}"/>
    <hyperlink ref="A9858" r:id="rId15424" xr:uid="{00000000-0004-0000-0200-00003F3C0000}"/>
    <hyperlink ref="B9858" r:id="rId15425" xr:uid="{00000000-0004-0000-0200-0000403C0000}"/>
    <hyperlink ref="C9858" r:id="rId15426" xr:uid="{00000000-0004-0000-0200-0000413C0000}"/>
    <hyperlink ref="A9859" r:id="rId15427" xr:uid="{00000000-0004-0000-0200-0000423C0000}"/>
    <hyperlink ref="B9859" r:id="rId15428" xr:uid="{00000000-0004-0000-0200-0000433C0000}"/>
    <hyperlink ref="C9859" r:id="rId15429" xr:uid="{00000000-0004-0000-0200-0000443C0000}"/>
    <hyperlink ref="A9860" r:id="rId15430" xr:uid="{00000000-0004-0000-0200-0000453C0000}"/>
    <hyperlink ref="B9860" r:id="rId15431" xr:uid="{00000000-0004-0000-0200-0000463C0000}"/>
    <hyperlink ref="C9860" r:id="rId15432" xr:uid="{00000000-0004-0000-0200-0000473C0000}"/>
    <hyperlink ref="A9861" r:id="rId15433" xr:uid="{00000000-0004-0000-0200-0000483C0000}"/>
    <hyperlink ref="B9861" r:id="rId15434" xr:uid="{00000000-0004-0000-0200-0000493C0000}"/>
    <hyperlink ref="C9861" r:id="rId15435" xr:uid="{00000000-0004-0000-0200-00004A3C0000}"/>
    <hyperlink ref="A9862" r:id="rId15436" xr:uid="{00000000-0004-0000-0200-00004B3C0000}"/>
    <hyperlink ref="B9862" r:id="rId15437" xr:uid="{00000000-0004-0000-0200-00004C3C0000}"/>
    <hyperlink ref="C9862" r:id="rId15438" xr:uid="{00000000-0004-0000-0200-00004D3C0000}"/>
    <hyperlink ref="A9863" r:id="rId15439" xr:uid="{00000000-0004-0000-0200-00004E3C0000}"/>
    <hyperlink ref="B9863" r:id="rId15440" xr:uid="{00000000-0004-0000-0200-00004F3C0000}"/>
    <hyperlink ref="C9863" r:id="rId15441" xr:uid="{00000000-0004-0000-0200-0000503C0000}"/>
    <hyperlink ref="A9864" r:id="rId15442" xr:uid="{00000000-0004-0000-0200-0000513C0000}"/>
    <hyperlink ref="B9864" r:id="rId15443" xr:uid="{00000000-0004-0000-0200-0000523C0000}"/>
    <hyperlink ref="C9864" r:id="rId15444" xr:uid="{00000000-0004-0000-0200-0000533C0000}"/>
    <hyperlink ref="A9865" r:id="rId15445" xr:uid="{00000000-0004-0000-0200-0000543C0000}"/>
    <hyperlink ref="B9865" r:id="rId15446" xr:uid="{00000000-0004-0000-0200-0000553C0000}"/>
    <hyperlink ref="C9865" r:id="rId15447" xr:uid="{00000000-0004-0000-0200-0000563C0000}"/>
    <hyperlink ref="A9866" r:id="rId15448" xr:uid="{00000000-0004-0000-0200-0000573C0000}"/>
    <hyperlink ref="B9866" r:id="rId15449" xr:uid="{00000000-0004-0000-0200-0000583C0000}"/>
    <hyperlink ref="C9866" r:id="rId15450" xr:uid="{00000000-0004-0000-0200-0000593C0000}"/>
    <hyperlink ref="A9867" r:id="rId15451" xr:uid="{00000000-0004-0000-0200-00005A3C0000}"/>
    <hyperlink ref="B9867" r:id="rId15452" xr:uid="{00000000-0004-0000-0200-00005B3C0000}"/>
    <hyperlink ref="C9867" r:id="rId15453" xr:uid="{00000000-0004-0000-0200-00005C3C0000}"/>
    <hyperlink ref="A9868" r:id="rId15454" xr:uid="{00000000-0004-0000-0200-00005D3C0000}"/>
    <hyperlink ref="B9868" r:id="rId15455" xr:uid="{00000000-0004-0000-0200-00005E3C0000}"/>
    <hyperlink ref="C9868" r:id="rId15456" xr:uid="{00000000-0004-0000-0200-00005F3C0000}"/>
    <hyperlink ref="A9869" r:id="rId15457" xr:uid="{00000000-0004-0000-0200-0000603C0000}"/>
    <hyperlink ref="B9869" r:id="rId15458" xr:uid="{00000000-0004-0000-0200-0000613C0000}"/>
    <hyperlink ref="C9869" r:id="rId15459" xr:uid="{00000000-0004-0000-0200-0000623C0000}"/>
    <hyperlink ref="A9870" r:id="rId15460" xr:uid="{00000000-0004-0000-0200-0000633C0000}"/>
    <hyperlink ref="B9870" r:id="rId15461" xr:uid="{00000000-0004-0000-0200-0000643C0000}"/>
    <hyperlink ref="C9870" r:id="rId15462" xr:uid="{00000000-0004-0000-0200-0000653C0000}"/>
    <hyperlink ref="A9871" r:id="rId15463" xr:uid="{00000000-0004-0000-0200-0000663C0000}"/>
    <hyperlink ref="B9871" r:id="rId15464" xr:uid="{00000000-0004-0000-0200-0000673C0000}"/>
    <hyperlink ref="C9871" r:id="rId15465" xr:uid="{00000000-0004-0000-0200-0000683C0000}"/>
    <hyperlink ref="A9872" r:id="rId15466" xr:uid="{00000000-0004-0000-0200-0000693C0000}"/>
    <hyperlink ref="B9872" r:id="rId15467" xr:uid="{00000000-0004-0000-0200-00006A3C0000}"/>
    <hyperlink ref="C9872" r:id="rId15468" xr:uid="{00000000-0004-0000-0200-00006B3C0000}"/>
    <hyperlink ref="A9873" r:id="rId15469" xr:uid="{00000000-0004-0000-0200-00006C3C0000}"/>
    <hyperlink ref="B9873" r:id="rId15470" xr:uid="{00000000-0004-0000-0200-00006D3C0000}"/>
    <hyperlink ref="C9873" r:id="rId15471" xr:uid="{00000000-0004-0000-0200-00006E3C0000}"/>
    <hyperlink ref="A9874" r:id="rId15472" xr:uid="{00000000-0004-0000-0200-00006F3C0000}"/>
    <hyperlink ref="B9874" r:id="rId15473" xr:uid="{00000000-0004-0000-0200-0000703C0000}"/>
    <hyperlink ref="C9874" r:id="rId15474" xr:uid="{00000000-0004-0000-0200-0000713C0000}"/>
    <hyperlink ref="A9875" r:id="rId15475" xr:uid="{00000000-0004-0000-0200-0000723C0000}"/>
    <hyperlink ref="B9875" r:id="rId15476" xr:uid="{00000000-0004-0000-0200-0000733C0000}"/>
    <hyperlink ref="C9875" r:id="rId15477" xr:uid="{00000000-0004-0000-0200-0000743C0000}"/>
    <hyperlink ref="A9876" r:id="rId15478" xr:uid="{00000000-0004-0000-0200-0000753C0000}"/>
    <hyperlink ref="B9876" r:id="rId15479" xr:uid="{00000000-0004-0000-0200-0000763C0000}"/>
    <hyperlink ref="C9876" r:id="rId15480" xr:uid="{00000000-0004-0000-0200-0000773C0000}"/>
    <hyperlink ref="A9877" r:id="rId15481" xr:uid="{00000000-0004-0000-0200-0000783C0000}"/>
    <hyperlink ref="B9877" r:id="rId15482" xr:uid="{00000000-0004-0000-0200-0000793C0000}"/>
    <hyperlink ref="C9877" r:id="rId15483" xr:uid="{00000000-0004-0000-0200-00007A3C0000}"/>
    <hyperlink ref="A9878" r:id="rId15484" xr:uid="{00000000-0004-0000-0200-00007B3C0000}"/>
    <hyperlink ref="B9878" r:id="rId15485" xr:uid="{00000000-0004-0000-0200-00007C3C0000}"/>
    <hyperlink ref="C9878" r:id="rId15486" xr:uid="{00000000-0004-0000-0200-00007D3C0000}"/>
    <hyperlink ref="A9879" r:id="rId15487" xr:uid="{00000000-0004-0000-0200-00007E3C0000}"/>
    <hyperlink ref="B9879" r:id="rId15488" xr:uid="{00000000-0004-0000-0200-00007F3C0000}"/>
    <hyperlink ref="C9879" r:id="rId15489" xr:uid="{00000000-0004-0000-0200-0000803C0000}"/>
    <hyperlink ref="A9880" r:id="rId15490" xr:uid="{00000000-0004-0000-0200-0000813C0000}"/>
    <hyperlink ref="B9880" r:id="rId15491" xr:uid="{00000000-0004-0000-0200-0000823C0000}"/>
    <hyperlink ref="C9880" r:id="rId15492" xr:uid="{00000000-0004-0000-0200-0000833C0000}"/>
    <hyperlink ref="A9881" r:id="rId15493" xr:uid="{00000000-0004-0000-0200-0000843C0000}"/>
    <hyperlink ref="B9881" r:id="rId15494" xr:uid="{00000000-0004-0000-0200-0000853C0000}"/>
    <hyperlink ref="C9881" r:id="rId15495" xr:uid="{00000000-0004-0000-0200-0000863C0000}"/>
    <hyperlink ref="A9882" r:id="rId15496" xr:uid="{00000000-0004-0000-0200-0000873C0000}"/>
    <hyperlink ref="B9882" r:id="rId15497" xr:uid="{00000000-0004-0000-0200-0000883C0000}"/>
    <hyperlink ref="C9882" r:id="rId15498" xr:uid="{00000000-0004-0000-0200-0000893C0000}"/>
    <hyperlink ref="A9883" r:id="rId15499" xr:uid="{00000000-0004-0000-0200-00008A3C0000}"/>
    <hyperlink ref="B9883" r:id="rId15500" xr:uid="{00000000-0004-0000-0200-00008B3C0000}"/>
    <hyperlink ref="C9883" r:id="rId15501" xr:uid="{00000000-0004-0000-0200-00008C3C0000}"/>
    <hyperlink ref="A9884" r:id="rId15502" xr:uid="{00000000-0004-0000-0200-00008D3C0000}"/>
    <hyperlink ref="B9884" r:id="rId15503" xr:uid="{00000000-0004-0000-0200-00008E3C0000}"/>
    <hyperlink ref="C9884" r:id="rId15504" xr:uid="{00000000-0004-0000-0200-00008F3C0000}"/>
    <hyperlink ref="A9885" r:id="rId15505" xr:uid="{00000000-0004-0000-0200-0000903C0000}"/>
    <hyperlink ref="B9885" r:id="rId15506" xr:uid="{00000000-0004-0000-0200-0000913C0000}"/>
    <hyperlink ref="C9885" r:id="rId15507" xr:uid="{00000000-0004-0000-0200-0000923C0000}"/>
    <hyperlink ref="A9886" r:id="rId15508" xr:uid="{00000000-0004-0000-0200-0000933C0000}"/>
    <hyperlink ref="B9886" r:id="rId15509" xr:uid="{00000000-0004-0000-0200-0000943C0000}"/>
    <hyperlink ref="C9886" r:id="rId15510" xr:uid="{00000000-0004-0000-0200-0000953C0000}"/>
    <hyperlink ref="A9887" r:id="rId15511" xr:uid="{00000000-0004-0000-0200-0000963C0000}"/>
    <hyperlink ref="B9887" r:id="rId15512" xr:uid="{00000000-0004-0000-0200-0000973C0000}"/>
    <hyperlink ref="C9887" r:id="rId15513" xr:uid="{00000000-0004-0000-0200-0000983C0000}"/>
    <hyperlink ref="A9888" r:id="rId15514" xr:uid="{00000000-0004-0000-0200-0000993C0000}"/>
    <hyperlink ref="B9888" r:id="rId15515" xr:uid="{00000000-0004-0000-0200-00009A3C0000}"/>
    <hyperlink ref="C9888" r:id="rId15516" xr:uid="{00000000-0004-0000-0200-00009B3C0000}"/>
    <hyperlink ref="A9889" r:id="rId15517" xr:uid="{00000000-0004-0000-0200-00009C3C0000}"/>
    <hyperlink ref="B9889" r:id="rId15518" xr:uid="{00000000-0004-0000-0200-00009D3C0000}"/>
    <hyperlink ref="C9889" r:id="rId15519" xr:uid="{00000000-0004-0000-0200-00009E3C0000}"/>
    <hyperlink ref="A9890" r:id="rId15520" xr:uid="{00000000-0004-0000-0200-00009F3C0000}"/>
    <hyperlink ref="B9890" r:id="rId15521" xr:uid="{00000000-0004-0000-0200-0000A03C0000}"/>
    <hyperlink ref="C9890" r:id="rId15522" xr:uid="{00000000-0004-0000-0200-0000A13C0000}"/>
    <hyperlink ref="A9891" r:id="rId15523" xr:uid="{00000000-0004-0000-0200-0000A23C0000}"/>
    <hyperlink ref="B9891" r:id="rId15524" xr:uid="{00000000-0004-0000-0200-0000A33C0000}"/>
    <hyperlink ref="C9891" r:id="rId15525" xr:uid="{00000000-0004-0000-0200-0000A43C0000}"/>
    <hyperlink ref="A9892" r:id="rId15526" xr:uid="{00000000-0004-0000-0200-0000A53C0000}"/>
    <hyperlink ref="B9892" r:id="rId15527" xr:uid="{00000000-0004-0000-0200-0000A63C0000}"/>
    <hyperlink ref="C9892" r:id="rId15528" xr:uid="{00000000-0004-0000-0200-0000A73C0000}"/>
    <hyperlink ref="A9893" r:id="rId15529" xr:uid="{00000000-0004-0000-0200-0000A83C0000}"/>
    <hyperlink ref="B9893" r:id="rId15530" xr:uid="{00000000-0004-0000-0200-0000A93C0000}"/>
    <hyperlink ref="C9893" r:id="rId15531" xr:uid="{00000000-0004-0000-0200-0000AA3C0000}"/>
    <hyperlink ref="A9894" r:id="rId15532" xr:uid="{00000000-0004-0000-0200-0000AB3C0000}"/>
    <hyperlink ref="B9894" r:id="rId15533" xr:uid="{00000000-0004-0000-0200-0000AC3C0000}"/>
    <hyperlink ref="C9894" r:id="rId15534" xr:uid="{00000000-0004-0000-0200-0000AD3C0000}"/>
    <hyperlink ref="A9895" r:id="rId15535" xr:uid="{00000000-0004-0000-0200-0000AE3C0000}"/>
    <hyperlink ref="B9895" r:id="rId15536" xr:uid="{00000000-0004-0000-0200-0000AF3C0000}"/>
    <hyperlink ref="C9895" r:id="rId15537" xr:uid="{00000000-0004-0000-0200-0000B03C0000}"/>
    <hyperlink ref="A9896" r:id="rId15538" xr:uid="{00000000-0004-0000-0200-0000B13C0000}"/>
    <hyperlink ref="B9896" r:id="rId15539" xr:uid="{00000000-0004-0000-0200-0000B23C0000}"/>
    <hyperlink ref="C9896" r:id="rId15540" xr:uid="{00000000-0004-0000-0200-0000B33C0000}"/>
    <hyperlink ref="A9897" r:id="rId15541" xr:uid="{00000000-0004-0000-0200-0000B43C0000}"/>
    <hyperlink ref="B9897" r:id="rId15542" xr:uid="{00000000-0004-0000-0200-0000B53C0000}"/>
    <hyperlink ref="C9897" r:id="rId15543" xr:uid="{00000000-0004-0000-0200-0000B63C0000}"/>
    <hyperlink ref="A9898" r:id="rId15544" xr:uid="{00000000-0004-0000-0200-0000B73C0000}"/>
    <hyperlink ref="B9898" r:id="rId15545" xr:uid="{00000000-0004-0000-0200-0000B83C0000}"/>
    <hyperlink ref="C9898" r:id="rId15546" xr:uid="{00000000-0004-0000-0200-0000B93C0000}"/>
    <hyperlink ref="A9899" r:id="rId15547" xr:uid="{00000000-0004-0000-0200-0000BA3C0000}"/>
    <hyperlink ref="B9899" r:id="rId15548" xr:uid="{00000000-0004-0000-0200-0000BB3C0000}"/>
    <hyperlink ref="C9899" r:id="rId15549" xr:uid="{00000000-0004-0000-0200-0000BC3C0000}"/>
    <hyperlink ref="A9900" r:id="rId15550" xr:uid="{00000000-0004-0000-0200-0000BD3C0000}"/>
    <hyperlink ref="B9900" r:id="rId15551" xr:uid="{00000000-0004-0000-0200-0000BE3C0000}"/>
    <hyperlink ref="C9900" r:id="rId15552" xr:uid="{00000000-0004-0000-0200-0000BF3C0000}"/>
    <hyperlink ref="A9901" r:id="rId15553" xr:uid="{00000000-0004-0000-0200-0000C03C0000}"/>
    <hyperlink ref="B9901" r:id="rId15554" xr:uid="{00000000-0004-0000-0200-0000C13C0000}"/>
    <hyperlink ref="C9901" r:id="rId15555" xr:uid="{00000000-0004-0000-0200-0000C23C0000}"/>
    <hyperlink ref="A9902" r:id="rId15556" xr:uid="{00000000-0004-0000-0200-0000C33C0000}"/>
    <hyperlink ref="B9902" r:id="rId15557" xr:uid="{00000000-0004-0000-0200-0000C43C0000}"/>
    <hyperlink ref="C9902" r:id="rId15558" xr:uid="{00000000-0004-0000-0200-0000C53C0000}"/>
    <hyperlink ref="A9903" r:id="rId15559" xr:uid="{00000000-0004-0000-0200-0000C63C0000}"/>
    <hyperlink ref="B9903" r:id="rId15560" xr:uid="{00000000-0004-0000-0200-0000C73C0000}"/>
    <hyperlink ref="C9903" r:id="rId15561" xr:uid="{00000000-0004-0000-0200-0000C83C0000}"/>
    <hyperlink ref="A9904" r:id="rId15562" xr:uid="{00000000-0004-0000-0200-0000C93C0000}"/>
    <hyperlink ref="B9904" r:id="rId15563" xr:uid="{00000000-0004-0000-0200-0000CA3C0000}"/>
    <hyperlink ref="C9904" r:id="rId15564" xr:uid="{00000000-0004-0000-0200-0000CB3C0000}"/>
    <hyperlink ref="A9905" r:id="rId15565" xr:uid="{00000000-0004-0000-0200-0000CC3C0000}"/>
    <hyperlink ref="B9905" r:id="rId15566" xr:uid="{00000000-0004-0000-0200-0000CD3C0000}"/>
    <hyperlink ref="C9905" r:id="rId15567" xr:uid="{00000000-0004-0000-0200-0000CE3C0000}"/>
    <hyperlink ref="A9906" r:id="rId15568" xr:uid="{00000000-0004-0000-0200-0000CF3C0000}"/>
    <hyperlink ref="B9906" r:id="rId15569" xr:uid="{00000000-0004-0000-0200-0000D03C0000}"/>
    <hyperlink ref="C9906" r:id="rId15570" xr:uid="{00000000-0004-0000-0200-0000D13C0000}"/>
    <hyperlink ref="A9907" r:id="rId15571" xr:uid="{00000000-0004-0000-0200-0000D23C0000}"/>
    <hyperlink ref="B9907" r:id="rId15572" xr:uid="{00000000-0004-0000-0200-0000D33C0000}"/>
    <hyperlink ref="C9907" r:id="rId15573" xr:uid="{00000000-0004-0000-0200-0000D43C0000}"/>
    <hyperlink ref="A9908" r:id="rId15574" xr:uid="{00000000-0004-0000-0200-0000D53C0000}"/>
    <hyperlink ref="B9908" r:id="rId15575" xr:uid="{00000000-0004-0000-0200-0000D63C0000}"/>
    <hyperlink ref="C9908" r:id="rId15576" xr:uid="{00000000-0004-0000-0200-0000D73C0000}"/>
    <hyperlink ref="A9909" r:id="rId15577" xr:uid="{00000000-0004-0000-0200-0000D83C0000}"/>
    <hyperlink ref="B9909" r:id="rId15578" xr:uid="{00000000-0004-0000-0200-0000D93C0000}"/>
    <hyperlink ref="C9909" r:id="rId15579" xr:uid="{00000000-0004-0000-0200-0000DA3C0000}"/>
    <hyperlink ref="A9910" r:id="rId15580" xr:uid="{00000000-0004-0000-0200-0000DB3C0000}"/>
    <hyperlink ref="B9910" r:id="rId15581" xr:uid="{00000000-0004-0000-0200-0000DC3C0000}"/>
    <hyperlink ref="C9910" r:id="rId15582" xr:uid="{00000000-0004-0000-0200-0000DD3C0000}"/>
    <hyperlink ref="A9911" r:id="rId15583" xr:uid="{00000000-0004-0000-0200-0000DE3C0000}"/>
    <hyperlink ref="B9911" r:id="rId15584" xr:uid="{00000000-0004-0000-0200-0000DF3C0000}"/>
    <hyperlink ref="C9911" r:id="rId15585" xr:uid="{00000000-0004-0000-0200-0000E03C0000}"/>
    <hyperlink ref="A9912" r:id="rId15586" xr:uid="{00000000-0004-0000-0200-0000E13C0000}"/>
    <hyperlink ref="B9912" r:id="rId15587" xr:uid="{00000000-0004-0000-0200-0000E23C0000}"/>
    <hyperlink ref="C9912" r:id="rId15588" xr:uid="{00000000-0004-0000-0200-0000E33C0000}"/>
    <hyperlink ref="A9913" r:id="rId15589" xr:uid="{00000000-0004-0000-0200-0000E43C0000}"/>
    <hyperlink ref="B9913" r:id="rId15590" xr:uid="{00000000-0004-0000-0200-0000E53C0000}"/>
    <hyperlink ref="C9913" r:id="rId15591" xr:uid="{00000000-0004-0000-0200-0000E63C0000}"/>
    <hyperlink ref="A9914" r:id="rId15592" xr:uid="{00000000-0004-0000-0200-0000E73C0000}"/>
    <hyperlink ref="B9914" r:id="rId15593" xr:uid="{00000000-0004-0000-0200-0000E83C0000}"/>
    <hyperlink ref="C9914" r:id="rId15594" xr:uid="{00000000-0004-0000-0200-0000E93C0000}"/>
    <hyperlink ref="A9915" r:id="rId15595" xr:uid="{00000000-0004-0000-0200-0000EA3C0000}"/>
    <hyperlink ref="B9915" r:id="rId15596" xr:uid="{00000000-0004-0000-0200-0000EB3C0000}"/>
    <hyperlink ref="C9915" r:id="rId15597" xr:uid="{00000000-0004-0000-0200-0000EC3C0000}"/>
    <hyperlink ref="A9916" r:id="rId15598" xr:uid="{00000000-0004-0000-0200-0000ED3C0000}"/>
    <hyperlink ref="B9916" r:id="rId15599" xr:uid="{00000000-0004-0000-0200-0000EE3C0000}"/>
    <hyperlink ref="C9916" r:id="rId15600" xr:uid="{00000000-0004-0000-0200-0000EF3C0000}"/>
    <hyperlink ref="A9917" r:id="rId15601" xr:uid="{00000000-0004-0000-0200-0000F03C0000}"/>
    <hyperlink ref="B9917" r:id="rId15602" xr:uid="{00000000-0004-0000-0200-0000F13C0000}"/>
    <hyperlink ref="C9917" r:id="rId15603" xr:uid="{00000000-0004-0000-0200-0000F23C0000}"/>
    <hyperlink ref="A9918" r:id="rId15604" xr:uid="{00000000-0004-0000-0200-0000F33C0000}"/>
    <hyperlink ref="B9918" r:id="rId15605" xr:uid="{00000000-0004-0000-0200-0000F43C0000}"/>
    <hyperlink ref="C9918" r:id="rId15606" xr:uid="{00000000-0004-0000-0200-0000F53C0000}"/>
    <hyperlink ref="A9919" r:id="rId15607" xr:uid="{00000000-0004-0000-0200-0000F63C0000}"/>
    <hyperlink ref="B9919" r:id="rId15608" xr:uid="{00000000-0004-0000-0200-0000F73C0000}"/>
    <hyperlink ref="C9919" r:id="rId15609" xr:uid="{00000000-0004-0000-0200-0000F83C0000}"/>
    <hyperlink ref="A9920" r:id="rId15610" xr:uid="{00000000-0004-0000-0200-0000F93C0000}"/>
    <hyperlink ref="B9920" r:id="rId15611" xr:uid="{00000000-0004-0000-0200-0000FA3C0000}"/>
    <hyperlink ref="C9920" r:id="rId15612" xr:uid="{00000000-0004-0000-0200-0000FB3C0000}"/>
    <hyperlink ref="A9921" r:id="rId15613" xr:uid="{00000000-0004-0000-0200-0000FC3C0000}"/>
    <hyperlink ref="B9921" r:id="rId15614" xr:uid="{00000000-0004-0000-0200-0000FD3C0000}"/>
    <hyperlink ref="C9921" r:id="rId15615" xr:uid="{00000000-0004-0000-0200-0000FE3C0000}"/>
    <hyperlink ref="A9922" r:id="rId15616" xr:uid="{00000000-0004-0000-0200-0000FF3C0000}"/>
    <hyperlink ref="B9922" r:id="rId15617" xr:uid="{00000000-0004-0000-0200-0000003D0000}"/>
    <hyperlink ref="C9922" r:id="rId15618" xr:uid="{00000000-0004-0000-0200-0000013D0000}"/>
    <hyperlink ref="A9923" r:id="rId15619" xr:uid="{00000000-0004-0000-0200-0000023D0000}"/>
    <hyperlink ref="B9923" r:id="rId15620" xr:uid="{00000000-0004-0000-0200-0000033D0000}"/>
    <hyperlink ref="C9923" r:id="rId15621" xr:uid="{00000000-0004-0000-0200-0000043D0000}"/>
    <hyperlink ref="A9924" r:id="rId15622" xr:uid="{00000000-0004-0000-0200-0000053D0000}"/>
    <hyperlink ref="B9924" r:id="rId15623" xr:uid="{00000000-0004-0000-0200-0000063D0000}"/>
    <hyperlink ref="C9924" r:id="rId15624" location="loungewear" xr:uid="{00000000-0004-0000-0200-0000073D0000}"/>
    <hyperlink ref="A9925" r:id="rId15625" xr:uid="{00000000-0004-0000-0200-0000083D0000}"/>
    <hyperlink ref="B9925" r:id="rId15626" xr:uid="{00000000-0004-0000-0200-0000093D0000}"/>
    <hyperlink ref="C9925" r:id="rId15627" xr:uid="{00000000-0004-0000-0200-00000A3D0000}"/>
    <hyperlink ref="A9926" r:id="rId15628" xr:uid="{00000000-0004-0000-0200-00000B3D0000}"/>
    <hyperlink ref="B9926" r:id="rId15629" xr:uid="{00000000-0004-0000-0200-00000C3D0000}"/>
    <hyperlink ref="C9926" r:id="rId15630" xr:uid="{00000000-0004-0000-0200-00000D3D0000}"/>
    <hyperlink ref="A9927" r:id="rId15631" xr:uid="{00000000-0004-0000-0200-00000E3D0000}"/>
    <hyperlink ref="B9927" r:id="rId15632" xr:uid="{00000000-0004-0000-0200-00000F3D0000}"/>
    <hyperlink ref="C9927" r:id="rId15633" xr:uid="{00000000-0004-0000-0200-0000103D0000}"/>
    <hyperlink ref="A9928" r:id="rId15634" xr:uid="{00000000-0004-0000-0200-0000113D0000}"/>
    <hyperlink ref="B9928" r:id="rId15635" xr:uid="{00000000-0004-0000-0200-0000123D0000}"/>
    <hyperlink ref="C9928" r:id="rId15636" xr:uid="{00000000-0004-0000-0200-0000133D0000}"/>
    <hyperlink ref="A9929" r:id="rId15637" xr:uid="{00000000-0004-0000-0200-0000143D0000}"/>
    <hyperlink ref="B9929" r:id="rId15638" xr:uid="{00000000-0004-0000-0200-0000153D0000}"/>
    <hyperlink ref="C9929" r:id="rId15639" xr:uid="{00000000-0004-0000-0200-0000163D0000}"/>
    <hyperlink ref="A9930" r:id="rId15640" xr:uid="{00000000-0004-0000-0200-0000173D0000}"/>
    <hyperlink ref="B9930" r:id="rId15641" xr:uid="{00000000-0004-0000-0200-0000183D0000}"/>
    <hyperlink ref="C9930" r:id="rId15642" xr:uid="{00000000-0004-0000-0200-0000193D0000}"/>
    <hyperlink ref="A9931" r:id="rId15643" xr:uid="{00000000-0004-0000-0200-00001A3D0000}"/>
    <hyperlink ref="B9931" r:id="rId15644" xr:uid="{00000000-0004-0000-0200-00001B3D0000}"/>
    <hyperlink ref="C9931" r:id="rId15645" xr:uid="{00000000-0004-0000-0200-00001C3D0000}"/>
    <hyperlink ref="A9932" r:id="rId15646" xr:uid="{00000000-0004-0000-0200-00001D3D0000}"/>
    <hyperlink ref="B9932" r:id="rId15647" xr:uid="{00000000-0004-0000-0200-00001E3D0000}"/>
    <hyperlink ref="C9932" r:id="rId15648" xr:uid="{00000000-0004-0000-0200-00001F3D0000}"/>
    <hyperlink ref="A9933" r:id="rId15649" xr:uid="{00000000-0004-0000-0200-0000203D0000}"/>
    <hyperlink ref="B9933" r:id="rId15650" xr:uid="{00000000-0004-0000-0200-0000213D0000}"/>
    <hyperlink ref="C9933" r:id="rId15651" xr:uid="{00000000-0004-0000-0200-0000223D0000}"/>
    <hyperlink ref="A9934" r:id="rId15652" xr:uid="{00000000-0004-0000-0200-0000233D0000}"/>
    <hyperlink ref="B9934" r:id="rId15653" xr:uid="{00000000-0004-0000-0200-0000243D0000}"/>
    <hyperlink ref="C9934" r:id="rId15654" xr:uid="{00000000-0004-0000-0200-0000253D0000}"/>
    <hyperlink ref="A9935" r:id="rId15655" xr:uid="{00000000-0004-0000-0200-0000263D0000}"/>
    <hyperlink ref="B9935" r:id="rId15656" xr:uid="{00000000-0004-0000-0200-0000273D0000}"/>
    <hyperlink ref="C9935" r:id="rId15657" xr:uid="{00000000-0004-0000-0200-0000283D0000}"/>
    <hyperlink ref="A9936" r:id="rId15658" xr:uid="{00000000-0004-0000-0200-0000293D0000}"/>
    <hyperlink ref="B9936" r:id="rId15659" xr:uid="{00000000-0004-0000-0200-00002A3D0000}"/>
    <hyperlink ref="C9936" r:id="rId15660" xr:uid="{00000000-0004-0000-0200-00002B3D0000}"/>
    <hyperlink ref="A9937" r:id="rId15661" xr:uid="{00000000-0004-0000-0200-00002C3D0000}"/>
    <hyperlink ref="B9937" r:id="rId15662" xr:uid="{00000000-0004-0000-0200-00002D3D0000}"/>
    <hyperlink ref="C9937" r:id="rId15663" xr:uid="{00000000-0004-0000-0200-00002E3D0000}"/>
    <hyperlink ref="A9938" r:id="rId15664" xr:uid="{00000000-0004-0000-0200-00002F3D0000}"/>
    <hyperlink ref="B9938" r:id="rId15665" xr:uid="{00000000-0004-0000-0200-0000303D0000}"/>
    <hyperlink ref="C9938" r:id="rId15666" xr:uid="{00000000-0004-0000-0200-0000313D0000}"/>
    <hyperlink ref="A9939" r:id="rId15667" xr:uid="{00000000-0004-0000-0200-0000323D0000}"/>
    <hyperlink ref="B9939" r:id="rId15668" xr:uid="{00000000-0004-0000-0200-0000333D0000}"/>
    <hyperlink ref="C9939" r:id="rId15669" xr:uid="{00000000-0004-0000-0200-0000343D0000}"/>
    <hyperlink ref="A9940" r:id="rId15670" xr:uid="{00000000-0004-0000-0200-0000353D0000}"/>
    <hyperlink ref="B9940" r:id="rId15671" xr:uid="{00000000-0004-0000-0200-0000363D0000}"/>
    <hyperlink ref="C9940" r:id="rId15672" xr:uid="{00000000-0004-0000-0200-0000373D0000}"/>
    <hyperlink ref="A9941" r:id="rId15673" xr:uid="{00000000-0004-0000-0200-0000383D0000}"/>
    <hyperlink ref="B9941" r:id="rId15674" xr:uid="{00000000-0004-0000-0200-0000393D0000}"/>
    <hyperlink ref="C9941" r:id="rId15675" xr:uid="{00000000-0004-0000-0200-00003A3D0000}"/>
    <hyperlink ref="A9942" r:id="rId15676" xr:uid="{00000000-0004-0000-0200-00003B3D0000}"/>
    <hyperlink ref="B9942" r:id="rId15677" xr:uid="{00000000-0004-0000-0200-00003C3D0000}"/>
    <hyperlink ref="C9942" r:id="rId15678" xr:uid="{00000000-0004-0000-0200-00003D3D0000}"/>
    <hyperlink ref="A9943" r:id="rId15679" xr:uid="{00000000-0004-0000-0200-00003E3D0000}"/>
    <hyperlink ref="B9943" r:id="rId15680" xr:uid="{00000000-0004-0000-0200-00003F3D0000}"/>
    <hyperlink ref="C9943" r:id="rId15681" xr:uid="{00000000-0004-0000-0200-0000403D0000}"/>
    <hyperlink ref="A9944" r:id="rId15682" xr:uid="{00000000-0004-0000-0200-0000413D0000}"/>
    <hyperlink ref="B9944" r:id="rId15683" xr:uid="{00000000-0004-0000-0200-0000423D0000}"/>
    <hyperlink ref="C9944" r:id="rId15684" xr:uid="{00000000-0004-0000-0200-0000433D0000}"/>
    <hyperlink ref="A9945" r:id="rId15685" xr:uid="{00000000-0004-0000-0200-0000443D0000}"/>
    <hyperlink ref="B9945" r:id="rId15686" xr:uid="{00000000-0004-0000-0200-0000453D0000}"/>
    <hyperlink ref="C9945" r:id="rId15687" xr:uid="{00000000-0004-0000-0200-0000463D0000}"/>
    <hyperlink ref="A9946" r:id="rId15688" xr:uid="{00000000-0004-0000-0200-0000473D0000}"/>
    <hyperlink ref="B9946" r:id="rId15689" xr:uid="{00000000-0004-0000-0200-0000483D0000}"/>
    <hyperlink ref="C9946" r:id="rId15690" xr:uid="{00000000-0004-0000-0200-0000493D0000}"/>
    <hyperlink ref="A9947" r:id="rId15691" xr:uid="{00000000-0004-0000-0200-00004A3D0000}"/>
    <hyperlink ref="B9947" r:id="rId15692" xr:uid="{00000000-0004-0000-0200-00004B3D0000}"/>
    <hyperlink ref="C9947" r:id="rId15693" xr:uid="{00000000-0004-0000-0200-00004C3D0000}"/>
    <hyperlink ref="A9948" r:id="rId15694" xr:uid="{00000000-0004-0000-0200-00004D3D0000}"/>
    <hyperlink ref="B9948" r:id="rId15695" xr:uid="{00000000-0004-0000-0200-00004E3D0000}"/>
    <hyperlink ref="C9948" r:id="rId15696" xr:uid="{00000000-0004-0000-0200-00004F3D0000}"/>
    <hyperlink ref="A9949" r:id="rId15697" xr:uid="{00000000-0004-0000-0200-0000503D0000}"/>
    <hyperlink ref="B9949" r:id="rId15698" xr:uid="{00000000-0004-0000-0200-0000513D0000}"/>
    <hyperlink ref="C9949" r:id="rId15699" xr:uid="{00000000-0004-0000-0200-0000523D0000}"/>
    <hyperlink ref="A9950" r:id="rId15700" xr:uid="{00000000-0004-0000-0200-0000533D0000}"/>
    <hyperlink ref="B9950" r:id="rId15701" xr:uid="{00000000-0004-0000-0200-0000543D0000}"/>
    <hyperlink ref="C9950" r:id="rId15702" xr:uid="{00000000-0004-0000-0200-0000553D0000}"/>
    <hyperlink ref="A9951" r:id="rId15703" xr:uid="{00000000-0004-0000-0200-0000563D0000}"/>
    <hyperlink ref="B9951" r:id="rId15704" xr:uid="{00000000-0004-0000-0200-0000573D0000}"/>
    <hyperlink ref="C9951" r:id="rId15705" xr:uid="{00000000-0004-0000-0200-0000583D0000}"/>
    <hyperlink ref="A9952" r:id="rId15706" xr:uid="{00000000-0004-0000-0200-0000593D0000}"/>
    <hyperlink ref="B9952" r:id="rId15707" xr:uid="{00000000-0004-0000-0200-00005A3D0000}"/>
    <hyperlink ref="C9952" r:id="rId15708" xr:uid="{00000000-0004-0000-0200-00005B3D0000}"/>
    <hyperlink ref="A9953" r:id="rId15709" xr:uid="{00000000-0004-0000-0200-00005C3D0000}"/>
    <hyperlink ref="B9953" r:id="rId15710" xr:uid="{00000000-0004-0000-0200-00005D3D0000}"/>
    <hyperlink ref="C9953" r:id="rId15711" xr:uid="{00000000-0004-0000-0200-00005E3D0000}"/>
    <hyperlink ref="A9954" r:id="rId15712" xr:uid="{00000000-0004-0000-0200-00005F3D0000}"/>
    <hyperlink ref="B9954" r:id="rId15713" xr:uid="{00000000-0004-0000-0200-0000603D0000}"/>
    <hyperlink ref="C9954" r:id="rId15714" xr:uid="{00000000-0004-0000-0200-0000613D0000}"/>
    <hyperlink ref="A9955" r:id="rId15715" xr:uid="{00000000-0004-0000-0200-0000623D0000}"/>
    <hyperlink ref="B9955" r:id="rId15716" xr:uid="{00000000-0004-0000-0200-0000633D0000}"/>
    <hyperlink ref="C9955" r:id="rId15717" xr:uid="{00000000-0004-0000-0200-0000643D0000}"/>
    <hyperlink ref="A9956" r:id="rId15718" xr:uid="{00000000-0004-0000-0200-0000653D0000}"/>
    <hyperlink ref="B9956" r:id="rId15719" xr:uid="{00000000-0004-0000-0200-0000663D0000}"/>
    <hyperlink ref="C9956" r:id="rId15720" xr:uid="{00000000-0004-0000-0200-0000673D0000}"/>
    <hyperlink ref="A9957" r:id="rId15721" xr:uid="{00000000-0004-0000-0200-0000683D0000}"/>
    <hyperlink ref="B9957" r:id="rId15722" xr:uid="{00000000-0004-0000-0200-0000693D0000}"/>
    <hyperlink ref="C9957" r:id="rId15723" xr:uid="{00000000-0004-0000-0200-00006A3D0000}"/>
    <hyperlink ref="A9958" r:id="rId15724" xr:uid="{00000000-0004-0000-0200-00006B3D0000}"/>
    <hyperlink ref="B9958" r:id="rId15725" xr:uid="{00000000-0004-0000-0200-00006C3D0000}"/>
    <hyperlink ref="C9958" r:id="rId15726" xr:uid="{00000000-0004-0000-0200-00006D3D0000}"/>
    <hyperlink ref="A9959" r:id="rId15727" xr:uid="{00000000-0004-0000-0200-00006E3D0000}"/>
    <hyperlink ref="B9959" r:id="rId15728" xr:uid="{00000000-0004-0000-0200-00006F3D0000}"/>
    <hyperlink ref="C9959" r:id="rId15729" xr:uid="{00000000-0004-0000-0200-0000703D0000}"/>
    <hyperlink ref="A9960" r:id="rId15730" xr:uid="{00000000-0004-0000-0200-0000713D0000}"/>
    <hyperlink ref="B9960" r:id="rId15731" xr:uid="{00000000-0004-0000-0200-0000723D0000}"/>
    <hyperlink ref="C9960" r:id="rId15732" xr:uid="{00000000-0004-0000-0200-0000733D0000}"/>
    <hyperlink ref="A9961" r:id="rId15733" xr:uid="{00000000-0004-0000-0200-0000743D0000}"/>
    <hyperlink ref="B9961" r:id="rId15734" xr:uid="{00000000-0004-0000-0200-0000753D0000}"/>
    <hyperlink ref="C9961" r:id="rId15735" xr:uid="{00000000-0004-0000-0200-0000763D0000}"/>
    <hyperlink ref="A9962" r:id="rId15736" xr:uid="{00000000-0004-0000-0200-0000773D0000}"/>
    <hyperlink ref="B9962" r:id="rId15737" xr:uid="{00000000-0004-0000-0200-0000783D0000}"/>
    <hyperlink ref="C9962" r:id="rId15738" xr:uid="{00000000-0004-0000-0200-0000793D0000}"/>
    <hyperlink ref="A9963" r:id="rId15739" xr:uid="{00000000-0004-0000-0200-00007A3D0000}"/>
    <hyperlink ref="B9963" r:id="rId15740" xr:uid="{00000000-0004-0000-0200-00007B3D0000}"/>
    <hyperlink ref="C9963" r:id="rId15741" xr:uid="{00000000-0004-0000-0200-00007C3D0000}"/>
    <hyperlink ref="A9964" r:id="rId15742" xr:uid="{00000000-0004-0000-0200-00007D3D0000}"/>
    <hyperlink ref="B9964" r:id="rId15743" xr:uid="{00000000-0004-0000-0200-00007E3D0000}"/>
    <hyperlink ref="C9964" r:id="rId15744" xr:uid="{00000000-0004-0000-0200-00007F3D0000}"/>
    <hyperlink ref="A9965" r:id="rId15745" xr:uid="{00000000-0004-0000-0200-0000803D0000}"/>
    <hyperlink ref="B9965" r:id="rId15746" xr:uid="{00000000-0004-0000-0200-0000813D0000}"/>
    <hyperlink ref="C9965" r:id="rId15747" xr:uid="{00000000-0004-0000-0200-0000823D0000}"/>
    <hyperlink ref="A9966" r:id="rId15748" xr:uid="{00000000-0004-0000-0200-0000833D0000}"/>
    <hyperlink ref="B9966" r:id="rId15749" xr:uid="{00000000-0004-0000-0200-0000843D0000}"/>
    <hyperlink ref="C9966" r:id="rId15750" xr:uid="{00000000-0004-0000-0200-0000853D0000}"/>
    <hyperlink ref="A9967" r:id="rId15751" xr:uid="{00000000-0004-0000-0200-0000863D0000}"/>
    <hyperlink ref="B9967" r:id="rId15752" xr:uid="{00000000-0004-0000-0200-0000873D0000}"/>
    <hyperlink ref="C9967" r:id="rId15753" xr:uid="{00000000-0004-0000-0200-0000883D0000}"/>
    <hyperlink ref="A9968" r:id="rId15754" xr:uid="{00000000-0004-0000-0200-0000893D0000}"/>
    <hyperlink ref="B9968" r:id="rId15755" xr:uid="{00000000-0004-0000-0200-00008A3D0000}"/>
    <hyperlink ref="C9968" r:id="rId15756" xr:uid="{00000000-0004-0000-0200-00008B3D0000}"/>
    <hyperlink ref="A9969" r:id="rId15757" xr:uid="{00000000-0004-0000-0200-00008C3D0000}"/>
    <hyperlink ref="B9969" r:id="rId15758" xr:uid="{00000000-0004-0000-0200-00008D3D0000}"/>
    <hyperlink ref="C9969" r:id="rId15759" xr:uid="{00000000-0004-0000-0200-00008E3D0000}"/>
    <hyperlink ref="A9970" r:id="rId15760" xr:uid="{00000000-0004-0000-0200-00008F3D0000}"/>
    <hyperlink ref="B9970" r:id="rId15761" xr:uid="{00000000-0004-0000-0200-0000903D0000}"/>
    <hyperlink ref="C9970" r:id="rId15762" xr:uid="{00000000-0004-0000-0200-0000913D0000}"/>
    <hyperlink ref="A9971" r:id="rId15763" xr:uid="{00000000-0004-0000-0200-0000923D0000}"/>
    <hyperlink ref="B9971" r:id="rId15764" xr:uid="{00000000-0004-0000-0200-0000933D0000}"/>
    <hyperlink ref="C9971" r:id="rId15765" xr:uid="{00000000-0004-0000-0200-0000943D0000}"/>
    <hyperlink ref="A9972" r:id="rId15766" xr:uid="{00000000-0004-0000-0200-0000953D0000}"/>
    <hyperlink ref="B9972" r:id="rId15767" xr:uid="{00000000-0004-0000-0200-0000963D0000}"/>
    <hyperlink ref="C9972" r:id="rId15768" xr:uid="{00000000-0004-0000-0200-0000973D0000}"/>
    <hyperlink ref="A9973" r:id="rId15769" xr:uid="{00000000-0004-0000-0200-0000983D0000}"/>
    <hyperlink ref="B9973" r:id="rId15770" xr:uid="{00000000-0004-0000-0200-0000993D0000}"/>
    <hyperlink ref="C9973" r:id="rId15771" xr:uid="{00000000-0004-0000-0200-00009A3D0000}"/>
    <hyperlink ref="A9974" r:id="rId15772" xr:uid="{00000000-0004-0000-0200-00009B3D0000}"/>
    <hyperlink ref="B9974" r:id="rId15773" xr:uid="{00000000-0004-0000-0200-00009C3D0000}"/>
    <hyperlink ref="C9974" r:id="rId15774" xr:uid="{00000000-0004-0000-0200-00009D3D0000}"/>
    <hyperlink ref="A9975" r:id="rId15775" xr:uid="{00000000-0004-0000-0200-00009E3D0000}"/>
    <hyperlink ref="B9975" r:id="rId15776" xr:uid="{00000000-0004-0000-0200-00009F3D0000}"/>
    <hyperlink ref="C9975" r:id="rId15777" xr:uid="{00000000-0004-0000-0200-0000A03D0000}"/>
    <hyperlink ref="A9976" r:id="rId15778" xr:uid="{00000000-0004-0000-0200-0000A13D0000}"/>
    <hyperlink ref="B9976" r:id="rId15779" xr:uid="{00000000-0004-0000-0200-0000A23D0000}"/>
    <hyperlink ref="C9976" r:id="rId15780" xr:uid="{00000000-0004-0000-0200-0000A33D0000}"/>
    <hyperlink ref="A9977" r:id="rId15781" xr:uid="{00000000-0004-0000-0200-0000A43D0000}"/>
    <hyperlink ref="B9977" r:id="rId15782" xr:uid="{00000000-0004-0000-0200-0000A53D0000}"/>
    <hyperlink ref="C9977" r:id="rId15783" xr:uid="{00000000-0004-0000-0200-0000A63D0000}"/>
    <hyperlink ref="A9978" r:id="rId15784" xr:uid="{00000000-0004-0000-0200-0000A73D0000}"/>
    <hyperlink ref="B9978" r:id="rId15785" xr:uid="{00000000-0004-0000-0200-0000A83D0000}"/>
    <hyperlink ref="C9978" r:id="rId15786" xr:uid="{00000000-0004-0000-0200-0000A93D0000}"/>
    <hyperlink ref="A9979" r:id="rId15787" xr:uid="{00000000-0004-0000-0200-0000AA3D0000}"/>
    <hyperlink ref="B9979" r:id="rId15788" xr:uid="{00000000-0004-0000-0200-0000AB3D0000}"/>
    <hyperlink ref="C9979" r:id="rId15789" xr:uid="{00000000-0004-0000-0200-0000AC3D0000}"/>
    <hyperlink ref="A9980" r:id="rId15790" xr:uid="{00000000-0004-0000-0200-0000AD3D0000}"/>
    <hyperlink ref="B9980" r:id="rId15791" xr:uid="{00000000-0004-0000-0200-0000AE3D0000}"/>
    <hyperlink ref="C9980" r:id="rId15792" xr:uid="{00000000-0004-0000-0200-0000AF3D0000}"/>
    <hyperlink ref="A9981" r:id="rId15793" xr:uid="{00000000-0004-0000-0200-0000B03D0000}"/>
    <hyperlink ref="B9981" r:id="rId15794" xr:uid="{00000000-0004-0000-0200-0000B13D0000}"/>
    <hyperlink ref="C9981" r:id="rId15795" xr:uid="{00000000-0004-0000-0200-0000B23D0000}"/>
    <hyperlink ref="A9982" r:id="rId15796" xr:uid="{00000000-0004-0000-0200-0000B33D0000}"/>
    <hyperlink ref="B9982" r:id="rId15797" xr:uid="{00000000-0004-0000-0200-0000B43D0000}"/>
    <hyperlink ref="C9982" r:id="rId15798" xr:uid="{00000000-0004-0000-0200-0000B53D0000}"/>
    <hyperlink ref="A9983" r:id="rId15799" xr:uid="{00000000-0004-0000-0200-0000B63D0000}"/>
    <hyperlink ref="B9983" r:id="rId15800" xr:uid="{00000000-0004-0000-0200-0000B73D0000}"/>
    <hyperlink ref="C9983" r:id="rId15801" xr:uid="{00000000-0004-0000-0200-0000B83D0000}"/>
    <hyperlink ref="A9984" r:id="rId15802" xr:uid="{00000000-0004-0000-0200-0000B93D0000}"/>
    <hyperlink ref="B9984" r:id="rId15803" xr:uid="{00000000-0004-0000-0200-0000BA3D0000}"/>
    <hyperlink ref="C9984" r:id="rId15804" xr:uid="{00000000-0004-0000-0200-0000BB3D0000}"/>
    <hyperlink ref="A9985" r:id="rId15805" xr:uid="{00000000-0004-0000-0200-0000BC3D0000}"/>
    <hyperlink ref="B9985" r:id="rId15806" xr:uid="{00000000-0004-0000-0200-0000BD3D0000}"/>
    <hyperlink ref="C9985" r:id="rId15807" xr:uid="{00000000-0004-0000-0200-0000BE3D0000}"/>
    <hyperlink ref="A9986" r:id="rId15808" xr:uid="{00000000-0004-0000-0200-0000BF3D0000}"/>
    <hyperlink ref="B9986" r:id="rId15809" xr:uid="{00000000-0004-0000-0200-0000C03D0000}"/>
    <hyperlink ref="C9986" r:id="rId15810" xr:uid="{00000000-0004-0000-0200-0000C13D0000}"/>
    <hyperlink ref="A9987" r:id="rId15811" xr:uid="{00000000-0004-0000-0200-0000C23D0000}"/>
    <hyperlink ref="B9987" r:id="rId15812" xr:uid="{00000000-0004-0000-0200-0000C33D0000}"/>
    <hyperlink ref="C9987" r:id="rId15813" xr:uid="{00000000-0004-0000-0200-0000C43D0000}"/>
    <hyperlink ref="A9988" r:id="rId15814" xr:uid="{00000000-0004-0000-0200-0000C53D0000}"/>
    <hyperlink ref="B9988" r:id="rId15815" xr:uid="{00000000-0004-0000-0200-0000C63D0000}"/>
    <hyperlink ref="C9988" r:id="rId15816" xr:uid="{00000000-0004-0000-0200-0000C73D0000}"/>
    <hyperlink ref="A9989" r:id="rId15817" xr:uid="{00000000-0004-0000-0200-0000C83D0000}"/>
    <hyperlink ref="B9989" r:id="rId15818" xr:uid="{00000000-0004-0000-0200-0000C93D0000}"/>
    <hyperlink ref="C9989" r:id="rId15819" xr:uid="{00000000-0004-0000-0200-0000CA3D0000}"/>
    <hyperlink ref="A9990" r:id="rId15820" xr:uid="{00000000-0004-0000-0200-0000CB3D0000}"/>
    <hyperlink ref="B9990" r:id="rId15821" xr:uid="{00000000-0004-0000-0200-0000CC3D0000}"/>
    <hyperlink ref="C9990" r:id="rId15822" xr:uid="{00000000-0004-0000-0200-0000CD3D0000}"/>
    <hyperlink ref="A9991" r:id="rId15823" xr:uid="{00000000-0004-0000-0200-0000CE3D0000}"/>
    <hyperlink ref="B9991" r:id="rId15824" xr:uid="{00000000-0004-0000-0200-0000CF3D0000}"/>
    <hyperlink ref="C9991" r:id="rId15825" xr:uid="{00000000-0004-0000-0200-0000D03D0000}"/>
    <hyperlink ref="A9992" r:id="rId15826" xr:uid="{00000000-0004-0000-0200-0000D13D0000}"/>
    <hyperlink ref="B9992" r:id="rId15827" xr:uid="{00000000-0004-0000-0200-0000D23D0000}"/>
    <hyperlink ref="C9992" r:id="rId15828" xr:uid="{00000000-0004-0000-0200-0000D33D0000}"/>
    <hyperlink ref="A9993" r:id="rId15829" xr:uid="{00000000-0004-0000-0200-0000D43D0000}"/>
    <hyperlink ref="B9993" r:id="rId15830" xr:uid="{00000000-0004-0000-0200-0000D53D0000}"/>
    <hyperlink ref="C9993" r:id="rId15831" xr:uid="{00000000-0004-0000-0200-0000D63D0000}"/>
    <hyperlink ref="A9994" r:id="rId15832" xr:uid="{00000000-0004-0000-0200-0000D73D0000}"/>
    <hyperlink ref="B9994" r:id="rId15833" xr:uid="{00000000-0004-0000-0200-0000D83D0000}"/>
    <hyperlink ref="C9994" r:id="rId15834" xr:uid="{00000000-0004-0000-0200-0000D93D0000}"/>
    <hyperlink ref="A9995" r:id="rId15835" xr:uid="{00000000-0004-0000-0200-0000DA3D0000}"/>
    <hyperlink ref="B9995" r:id="rId15836" xr:uid="{00000000-0004-0000-0200-0000DB3D0000}"/>
    <hyperlink ref="C9995" r:id="rId15837" xr:uid="{00000000-0004-0000-0200-0000DC3D0000}"/>
    <hyperlink ref="A9996" r:id="rId15838" xr:uid="{00000000-0004-0000-0200-0000DD3D0000}"/>
    <hyperlink ref="B9996" r:id="rId15839" xr:uid="{00000000-0004-0000-0200-0000DE3D0000}"/>
    <hyperlink ref="C9996" r:id="rId15840" xr:uid="{00000000-0004-0000-0200-0000DF3D0000}"/>
    <hyperlink ref="A9997" r:id="rId15841" xr:uid="{00000000-0004-0000-0200-0000E03D0000}"/>
    <hyperlink ref="B9997" r:id="rId15842" xr:uid="{00000000-0004-0000-0200-0000E13D0000}"/>
    <hyperlink ref="C9997" r:id="rId15843" xr:uid="{00000000-0004-0000-0200-0000E23D0000}"/>
    <hyperlink ref="A9998" r:id="rId15844" xr:uid="{00000000-0004-0000-0200-0000E33D0000}"/>
    <hyperlink ref="B9998" r:id="rId15845" xr:uid="{00000000-0004-0000-0200-0000E43D0000}"/>
    <hyperlink ref="C9998" r:id="rId15846" xr:uid="{00000000-0004-0000-0200-0000E53D0000}"/>
    <hyperlink ref="A9999" r:id="rId15847" xr:uid="{00000000-0004-0000-0200-0000E63D0000}"/>
    <hyperlink ref="B9999" r:id="rId15848" xr:uid="{00000000-0004-0000-0200-0000E73D0000}"/>
    <hyperlink ref="C9999" r:id="rId15849" xr:uid="{00000000-0004-0000-0200-0000E83D0000}"/>
    <hyperlink ref="A10000" r:id="rId15850" xr:uid="{00000000-0004-0000-0200-0000E93D0000}"/>
    <hyperlink ref="B10000" r:id="rId15851" xr:uid="{00000000-0004-0000-0200-0000EA3D0000}"/>
    <hyperlink ref="C10000" r:id="rId15852" xr:uid="{00000000-0004-0000-0200-0000EB3D0000}"/>
    <hyperlink ref="A10001" r:id="rId15853" xr:uid="{00000000-0004-0000-0200-0000EC3D0000}"/>
    <hyperlink ref="B10001" r:id="rId15854" xr:uid="{00000000-0004-0000-0200-0000ED3D0000}"/>
    <hyperlink ref="C10001" r:id="rId15855" xr:uid="{00000000-0004-0000-0200-0000EE3D0000}"/>
    <hyperlink ref="A10002" r:id="rId15856" xr:uid="{00000000-0004-0000-0200-0000EF3D0000}"/>
    <hyperlink ref="B10002" r:id="rId15857" xr:uid="{00000000-0004-0000-0200-0000F03D0000}"/>
    <hyperlink ref="C10002" r:id="rId15858" xr:uid="{00000000-0004-0000-0200-0000F13D0000}"/>
    <hyperlink ref="A10003" r:id="rId15859" xr:uid="{00000000-0004-0000-0200-0000F23D0000}"/>
    <hyperlink ref="B10003" r:id="rId15860" xr:uid="{00000000-0004-0000-0200-0000F33D0000}"/>
    <hyperlink ref="C10003" r:id="rId15861" xr:uid="{00000000-0004-0000-0200-0000F43D0000}"/>
    <hyperlink ref="A10004" r:id="rId15862" xr:uid="{00000000-0004-0000-0200-0000F53D0000}"/>
    <hyperlink ref="B10004" r:id="rId15863" xr:uid="{00000000-0004-0000-0200-0000F63D0000}"/>
    <hyperlink ref="C10004" r:id="rId15864" xr:uid="{00000000-0004-0000-0200-0000F73D0000}"/>
    <hyperlink ref="A10005" r:id="rId15865" xr:uid="{00000000-0004-0000-0200-0000F83D0000}"/>
    <hyperlink ref="B10005" r:id="rId15866" xr:uid="{00000000-0004-0000-0200-0000F93D0000}"/>
    <hyperlink ref="C10005" r:id="rId15867" xr:uid="{00000000-0004-0000-0200-0000FA3D0000}"/>
    <hyperlink ref="A10006" r:id="rId15868" xr:uid="{00000000-0004-0000-0200-0000FB3D0000}"/>
    <hyperlink ref="B10006" r:id="rId15869" xr:uid="{00000000-0004-0000-0200-0000FC3D0000}"/>
    <hyperlink ref="C10006" r:id="rId15870" xr:uid="{00000000-0004-0000-0200-0000FD3D0000}"/>
    <hyperlink ref="A10007" r:id="rId15871" xr:uid="{00000000-0004-0000-0200-0000FE3D0000}"/>
    <hyperlink ref="B10007" r:id="rId15872" xr:uid="{00000000-0004-0000-0200-0000FF3D0000}"/>
    <hyperlink ref="C10007" r:id="rId15873" xr:uid="{00000000-0004-0000-0200-0000003E0000}"/>
    <hyperlink ref="A10008" r:id="rId15874" xr:uid="{00000000-0004-0000-0200-0000013E0000}"/>
    <hyperlink ref="B10008" r:id="rId15875" xr:uid="{00000000-0004-0000-0200-0000023E0000}"/>
    <hyperlink ref="C10008" r:id="rId15876" xr:uid="{00000000-0004-0000-0200-0000033E0000}"/>
    <hyperlink ref="A10009" r:id="rId15877" xr:uid="{00000000-0004-0000-0200-0000043E0000}"/>
    <hyperlink ref="B10009" r:id="rId15878" xr:uid="{00000000-0004-0000-0200-0000053E0000}"/>
    <hyperlink ref="C10009" r:id="rId15879" xr:uid="{00000000-0004-0000-0200-0000063E0000}"/>
    <hyperlink ref="A10010" r:id="rId15880" xr:uid="{00000000-0004-0000-0200-0000073E0000}"/>
    <hyperlink ref="B10010" r:id="rId15881" xr:uid="{00000000-0004-0000-0200-0000083E0000}"/>
    <hyperlink ref="C10010" r:id="rId15882" xr:uid="{00000000-0004-0000-0200-0000093E0000}"/>
    <hyperlink ref="A10011" r:id="rId15883" xr:uid="{00000000-0004-0000-0200-00000A3E0000}"/>
    <hyperlink ref="B10011" r:id="rId15884" xr:uid="{00000000-0004-0000-0200-00000B3E0000}"/>
    <hyperlink ref="C10011" r:id="rId15885" xr:uid="{00000000-0004-0000-0200-00000C3E0000}"/>
    <hyperlink ref="A10012" r:id="rId15886" xr:uid="{00000000-0004-0000-0200-00000D3E0000}"/>
    <hyperlink ref="B10012" r:id="rId15887" xr:uid="{00000000-0004-0000-0200-00000E3E0000}"/>
    <hyperlink ref="C10012" r:id="rId15888" xr:uid="{00000000-0004-0000-0200-00000F3E0000}"/>
    <hyperlink ref="A10013" r:id="rId15889" xr:uid="{00000000-0004-0000-0200-0000103E0000}"/>
    <hyperlink ref="B10013" r:id="rId15890" xr:uid="{00000000-0004-0000-0200-0000113E0000}"/>
    <hyperlink ref="C10013" r:id="rId15891" xr:uid="{00000000-0004-0000-0200-0000123E0000}"/>
    <hyperlink ref="A10014" r:id="rId15892" xr:uid="{00000000-0004-0000-0200-0000133E0000}"/>
    <hyperlink ref="B10014" r:id="rId15893" xr:uid="{00000000-0004-0000-0200-0000143E0000}"/>
    <hyperlink ref="C10014" r:id="rId15894" xr:uid="{00000000-0004-0000-0200-0000153E0000}"/>
    <hyperlink ref="A10015" r:id="rId15895" xr:uid="{00000000-0004-0000-0200-0000163E0000}"/>
    <hyperlink ref="B10015" r:id="rId15896" xr:uid="{00000000-0004-0000-0200-0000173E0000}"/>
    <hyperlink ref="C10015" r:id="rId15897" xr:uid="{00000000-0004-0000-0200-0000183E0000}"/>
    <hyperlink ref="A10016" r:id="rId15898" xr:uid="{00000000-0004-0000-0200-0000193E0000}"/>
    <hyperlink ref="B10016" r:id="rId15899" xr:uid="{00000000-0004-0000-0200-00001A3E0000}"/>
    <hyperlink ref="C10016" r:id="rId15900" xr:uid="{00000000-0004-0000-0200-00001B3E0000}"/>
    <hyperlink ref="A10017" r:id="rId15901" xr:uid="{00000000-0004-0000-0200-00001C3E0000}"/>
    <hyperlink ref="B10017" r:id="rId15902" xr:uid="{00000000-0004-0000-0200-00001D3E0000}"/>
    <hyperlink ref="C10017" r:id="rId15903" xr:uid="{00000000-0004-0000-0200-00001E3E0000}"/>
    <hyperlink ref="A10018" r:id="rId15904" xr:uid="{00000000-0004-0000-0200-00001F3E0000}"/>
    <hyperlink ref="B10018" r:id="rId15905" xr:uid="{00000000-0004-0000-0200-0000203E0000}"/>
    <hyperlink ref="C10018" r:id="rId15906" xr:uid="{00000000-0004-0000-0200-0000213E0000}"/>
    <hyperlink ref="A10019" r:id="rId15907" xr:uid="{00000000-0004-0000-0200-0000223E0000}"/>
    <hyperlink ref="B10019" r:id="rId15908" xr:uid="{00000000-0004-0000-0200-0000233E0000}"/>
    <hyperlink ref="C10019" r:id="rId15909" xr:uid="{00000000-0004-0000-0200-0000243E0000}"/>
    <hyperlink ref="A10020" r:id="rId15910" xr:uid="{00000000-0004-0000-0200-0000253E0000}"/>
    <hyperlink ref="B10020" r:id="rId15911" xr:uid="{00000000-0004-0000-0200-0000263E0000}"/>
    <hyperlink ref="C10020" r:id="rId15912" xr:uid="{00000000-0004-0000-0200-0000273E0000}"/>
    <hyperlink ref="A10021" r:id="rId15913" xr:uid="{00000000-0004-0000-0200-0000283E0000}"/>
    <hyperlink ref="B10021" r:id="rId15914" xr:uid="{00000000-0004-0000-0200-0000293E0000}"/>
    <hyperlink ref="C10021" r:id="rId15915" xr:uid="{00000000-0004-0000-0200-00002A3E0000}"/>
    <hyperlink ref="A10022" r:id="rId15916" xr:uid="{00000000-0004-0000-0200-00002B3E0000}"/>
    <hyperlink ref="B10022" r:id="rId15917" xr:uid="{00000000-0004-0000-0200-00002C3E0000}"/>
    <hyperlink ref="C10022" r:id="rId15918" xr:uid="{00000000-0004-0000-0200-00002D3E0000}"/>
    <hyperlink ref="A10023" r:id="rId15919" xr:uid="{00000000-0004-0000-0200-00002E3E0000}"/>
    <hyperlink ref="B10023" r:id="rId15920" xr:uid="{00000000-0004-0000-0200-00002F3E0000}"/>
    <hyperlink ref="C10023" r:id="rId15921" xr:uid="{00000000-0004-0000-0200-0000303E0000}"/>
    <hyperlink ref="A10024" r:id="rId15922" xr:uid="{00000000-0004-0000-0200-0000313E0000}"/>
    <hyperlink ref="B10024" r:id="rId15923" xr:uid="{00000000-0004-0000-0200-0000323E0000}"/>
    <hyperlink ref="C10024" r:id="rId15924" xr:uid="{00000000-0004-0000-0200-0000333E0000}"/>
    <hyperlink ref="A10025" r:id="rId15925" xr:uid="{00000000-0004-0000-0200-0000343E0000}"/>
    <hyperlink ref="B10025" r:id="rId15926" xr:uid="{00000000-0004-0000-0200-0000353E0000}"/>
    <hyperlink ref="C10025" r:id="rId15927" xr:uid="{00000000-0004-0000-0200-0000363E0000}"/>
    <hyperlink ref="A10026" r:id="rId15928" xr:uid="{00000000-0004-0000-0200-0000373E0000}"/>
    <hyperlink ref="B10026" r:id="rId15929" xr:uid="{00000000-0004-0000-0200-0000383E0000}"/>
    <hyperlink ref="C10026" r:id="rId15930" xr:uid="{00000000-0004-0000-0200-0000393E0000}"/>
    <hyperlink ref="A10027" r:id="rId15931" xr:uid="{00000000-0004-0000-0200-00003A3E0000}"/>
    <hyperlink ref="B10027" r:id="rId15932" xr:uid="{00000000-0004-0000-0200-00003B3E0000}"/>
    <hyperlink ref="C10027" r:id="rId15933" xr:uid="{00000000-0004-0000-0200-00003C3E0000}"/>
    <hyperlink ref="A10028" r:id="rId15934" xr:uid="{00000000-0004-0000-0200-00003D3E0000}"/>
    <hyperlink ref="B10028" r:id="rId15935" xr:uid="{00000000-0004-0000-0200-00003E3E0000}"/>
    <hyperlink ref="C10028" r:id="rId15936" xr:uid="{00000000-0004-0000-0200-00003F3E0000}"/>
    <hyperlink ref="A10029" r:id="rId15937" xr:uid="{00000000-0004-0000-0200-0000403E0000}"/>
    <hyperlink ref="B10029" r:id="rId15938" xr:uid="{00000000-0004-0000-0200-0000413E0000}"/>
    <hyperlink ref="C10029" r:id="rId15939" xr:uid="{00000000-0004-0000-0200-0000423E0000}"/>
    <hyperlink ref="A10030" r:id="rId15940" xr:uid="{00000000-0004-0000-0200-0000433E0000}"/>
    <hyperlink ref="B10030" r:id="rId15941" xr:uid="{00000000-0004-0000-0200-0000443E0000}"/>
    <hyperlink ref="C10030" r:id="rId15942" xr:uid="{00000000-0004-0000-0200-0000453E0000}"/>
    <hyperlink ref="A10031" r:id="rId15943" xr:uid="{00000000-0004-0000-0200-0000463E0000}"/>
    <hyperlink ref="B10031" r:id="rId15944" xr:uid="{00000000-0004-0000-0200-0000473E0000}"/>
    <hyperlink ref="C10031" r:id="rId15945" xr:uid="{00000000-0004-0000-0200-0000483E0000}"/>
    <hyperlink ref="A10032" r:id="rId15946" xr:uid="{00000000-0004-0000-0200-0000493E0000}"/>
    <hyperlink ref="B10032" r:id="rId15947" xr:uid="{00000000-0004-0000-0200-00004A3E0000}"/>
    <hyperlink ref="C10032" r:id="rId15948" xr:uid="{00000000-0004-0000-0200-00004B3E0000}"/>
    <hyperlink ref="A10033" r:id="rId15949" xr:uid="{00000000-0004-0000-0200-00004C3E0000}"/>
    <hyperlink ref="B10033" r:id="rId15950" xr:uid="{00000000-0004-0000-0200-00004D3E0000}"/>
    <hyperlink ref="C10033" r:id="rId15951" xr:uid="{00000000-0004-0000-0200-00004E3E0000}"/>
    <hyperlink ref="A10034" r:id="rId15952" xr:uid="{00000000-0004-0000-0200-00004F3E0000}"/>
    <hyperlink ref="B10034" r:id="rId15953" xr:uid="{00000000-0004-0000-0200-0000503E0000}"/>
    <hyperlink ref="C10034" r:id="rId15954" xr:uid="{00000000-0004-0000-0200-0000513E0000}"/>
    <hyperlink ref="A10035" r:id="rId15955" xr:uid="{00000000-0004-0000-0200-0000523E0000}"/>
    <hyperlink ref="B10035" r:id="rId15956" xr:uid="{00000000-0004-0000-0200-0000533E0000}"/>
    <hyperlink ref="C10035" r:id="rId15957" xr:uid="{00000000-0004-0000-0200-0000543E0000}"/>
    <hyperlink ref="A10036" r:id="rId15958" xr:uid="{00000000-0004-0000-0200-0000553E0000}"/>
    <hyperlink ref="B10036" r:id="rId15959" xr:uid="{00000000-0004-0000-0200-0000563E0000}"/>
    <hyperlink ref="C10036" r:id="rId15960" xr:uid="{00000000-0004-0000-0200-0000573E0000}"/>
    <hyperlink ref="A10037" r:id="rId15961" xr:uid="{00000000-0004-0000-0200-0000583E0000}"/>
    <hyperlink ref="B10037" r:id="rId15962" xr:uid="{00000000-0004-0000-0200-0000593E0000}"/>
    <hyperlink ref="C10037" r:id="rId15963" xr:uid="{00000000-0004-0000-0200-00005A3E0000}"/>
    <hyperlink ref="A10038" r:id="rId15964" xr:uid="{00000000-0004-0000-0200-00005B3E0000}"/>
    <hyperlink ref="B10038" r:id="rId15965" xr:uid="{00000000-0004-0000-0200-00005C3E0000}"/>
    <hyperlink ref="C10038" r:id="rId15966" xr:uid="{00000000-0004-0000-0200-00005D3E0000}"/>
    <hyperlink ref="A10039" r:id="rId15967" xr:uid="{00000000-0004-0000-0200-00005E3E0000}"/>
    <hyperlink ref="B10039" r:id="rId15968" xr:uid="{00000000-0004-0000-0200-00005F3E0000}"/>
    <hyperlink ref="C10039" r:id="rId15969" xr:uid="{00000000-0004-0000-0200-0000603E0000}"/>
    <hyperlink ref="A10040" r:id="rId15970" xr:uid="{00000000-0004-0000-0200-0000613E0000}"/>
    <hyperlink ref="B10040" r:id="rId15971" xr:uid="{00000000-0004-0000-0200-0000623E0000}"/>
    <hyperlink ref="C10040" r:id="rId15972" xr:uid="{00000000-0004-0000-0200-0000633E0000}"/>
    <hyperlink ref="A10041" r:id="rId15973" xr:uid="{00000000-0004-0000-0200-0000643E0000}"/>
    <hyperlink ref="B10041" r:id="rId15974" xr:uid="{00000000-0004-0000-0200-0000653E0000}"/>
    <hyperlink ref="C10041" r:id="rId15975" xr:uid="{00000000-0004-0000-0200-0000663E0000}"/>
    <hyperlink ref="A10042" r:id="rId15976" xr:uid="{00000000-0004-0000-0200-0000673E0000}"/>
    <hyperlink ref="B10042" r:id="rId15977" xr:uid="{00000000-0004-0000-0200-0000683E0000}"/>
    <hyperlink ref="C10042" r:id="rId15978" xr:uid="{00000000-0004-0000-0200-0000693E0000}"/>
    <hyperlink ref="A10043" r:id="rId15979" xr:uid="{00000000-0004-0000-0200-00006A3E0000}"/>
    <hyperlink ref="B10043" r:id="rId15980" xr:uid="{00000000-0004-0000-0200-00006B3E0000}"/>
    <hyperlink ref="C10043" r:id="rId15981" xr:uid="{00000000-0004-0000-0200-00006C3E0000}"/>
    <hyperlink ref="A10044" r:id="rId15982" xr:uid="{00000000-0004-0000-0200-00006D3E0000}"/>
    <hyperlink ref="B10044" r:id="rId15983" xr:uid="{00000000-0004-0000-0200-00006E3E0000}"/>
    <hyperlink ref="C10044" r:id="rId15984" xr:uid="{00000000-0004-0000-0200-00006F3E0000}"/>
    <hyperlink ref="A10045" r:id="rId15985" xr:uid="{00000000-0004-0000-0200-0000703E0000}"/>
    <hyperlink ref="B10045" r:id="rId15986" xr:uid="{00000000-0004-0000-0200-0000713E0000}"/>
    <hyperlink ref="C10045" r:id="rId15987" xr:uid="{00000000-0004-0000-0200-0000723E0000}"/>
    <hyperlink ref="A10046" r:id="rId15988" xr:uid="{00000000-0004-0000-0200-0000733E0000}"/>
    <hyperlink ref="B10046" r:id="rId15989" xr:uid="{00000000-0004-0000-0200-0000743E0000}"/>
    <hyperlink ref="C10046" r:id="rId15990" xr:uid="{00000000-0004-0000-0200-0000753E0000}"/>
    <hyperlink ref="A10047" r:id="rId15991" xr:uid="{00000000-0004-0000-0200-0000763E0000}"/>
    <hyperlink ref="B10047" r:id="rId15992" xr:uid="{00000000-0004-0000-0200-0000773E0000}"/>
    <hyperlink ref="C10047" r:id="rId15993" xr:uid="{00000000-0004-0000-0200-0000783E0000}"/>
    <hyperlink ref="A10048" r:id="rId15994" xr:uid="{00000000-0004-0000-0200-0000793E0000}"/>
    <hyperlink ref="B10048" r:id="rId15995" xr:uid="{00000000-0004-0000-0200-00007A3E0000}"/>
    <hyperlink ref="C10048" r:id="rId15996" xr:uid="{00000000-0004-0000-0200-00007B3E0000}"/>
    <hyperlink ref="A10049" r:id="rId15997" xr:uid="{00000000-0004-0000-0200-00007C3E0000}"/>
    <hyperlink ref="B10049" r:id="rId15998" xr:uid="{00000000-0004-0000-0200-00007D3E0000}"/>
    <hyperlink ref="C10049" r:id="rId15999" xr:uid="{00000000-0004-0000-0200-00007E3E0000}"/>
    <hyperlink ref="A10050" r:id="rId16000" xr:uid="{00000000-0004-0000-0200-00007F3E0000}"/>
    <hyperlink ref="B10050" r:id="rId16001" xr:uid="{00000000-0004-0000-0200-0000803E0000}"/>
    <hyperlink ref="C10050" r:id="rId16002" xr:uid="{00000000-0004-0000-0200-0000813E0000}"/>
    <hyperlink ref="A10051" r:id="rId16003" xr:uid="{00000000-0004-0000-0200-0000823E0000}"/>
    <hyperlink ref="B10051" r:id="rId16004" xr:uid="{00000000-0004-0000-0200-0000833E0000}"/>
    <hyperlink ref="C10051" r:id="rId16005" xr:uid="{00000000-0004-0000-0200-0000843E0000}"/>
    <hyperlink ref="A10052" r:id="rId16006" xr:uid="{00000000-0004-0000-0200-0000853E0000}"/>
    <hyperlink ref="B10052" r:id="rId16007" xr:uid="{00000000-0004-0000-0200-0000863E0000}"/>
    <hyperlink ref="C10052" r:id="rId16008" xr:uid="{00000000-0004-0000-0200-0000873E0000}"/>
    <hyperlink ref="A10053" r:id="rId16009" xr:uid="{00000000-0004-0000-0200-0000883E0000}"/>
    <hyperlink ref="B10053" r:id="rId16010" xr:uid="{00000000-0004-0000-0200-0000893E0000}"/>
    <hyperlink ref="C10053" r:id="rId16011" xr:uid="{00000000-0004-0000-0200-00008A3E0000}"/>
    <hyperlink ref="A10054" r:id="rId16012" xr:uid="{00000000-0004-0000-0200-00008B3E0000}"/>
    <hyperlink ref="B10054" r:id="rId16013" xr:uid="{00000000-0004-0000-0200-00008C3E0000}"/>
    <hyperlink ref="C10054" r:id="rId16014" xr:uid="{00000000-0004-0000-0200-00008D3E0000}"/>
    <hyperlink ref="A10055" r:id="rId16015" xr:uid="{00000000-0004-0000-0200-00008E3E0000}"/>
    <hyperlink ref="B10055" r:id="rId16016" xr:uid="{00000000-0004-0000-0200-00008F3E0000}"/>
    <hyperlink ref="C10055" r:id="rId16017" xr:uid="{00000000-0004-0000-0200-0000903E0000}"/>
    <hyperlink ref="A10056" r:id="rId16018" xr:uid="{00000000-0004-0000-0200-0000913E0000}"/>
    <hyperlink ref="B10056" r:id="rId16019" xr:uid="{00000000-0004-0000-0200-0000923E0000}"/>
    <hyperlink ref="C10056" r:id="rId16020" xr:uid="{00000000-0004-0000-0200-0000933E0000}"/>
    <hyperlink ref="A10057" r:id="rId16021" xr:uid="{00000000-0004-0000-0200-0000943E0000}"/>
    <hyperlink ref="B10057" r:id="rId16022" xr:uid="{00000000-0004-0000-0200-0000953E0000}"/>
    <hyperlink ref="C10057" r:id="rId16023" xr:uid="{00000000-0004-0000-0200-0000963E0000}"/>
    <hyperlink ref="A10058" r:id="rId16024" xr:uid="{00000000-0004-0000-0200-0000973E0000}"/>
    <hyperlink ref="B10058" r:id="rId16025" xr:uid="{00000000-0004-0000-0200-0000983E0000}"/>
    <hyperlink ref="C10058" r:id="rId16026" xr:uid="{00000000-0004-0000-0200-0000993E0000}"/>
    <hyperlink ref="A10059" r:id="rId16027" xr:uid="{00000000-0004-0000-0200-00009A3E0000}"/>
    <hyperlink ref="B10059" r:id="rId16028" xr:uid="{00000000-0004-0000-0200-00009B3E0000}"/>
    <hyperlink ref="C10059" r:id="rId16029" xr:uid="{00000000-0004-0000-0200-00009C3E0000}"/>
    <hyperlink ref="A10060" r:id="rId16030" xr:uid="{00000000-0004-0000-0200-00009D3E0000}"/>
    <hyperlink ref="B10060" r:id="rId16031" xr:uid="{00000000-0004-0000-0200-00009E3E0000}"/>
    <hyperlink ref="C10060" r:id="rId16032" xr:uid="{00000000-0004-0000-0200-00009F3E0000}"/>
    <hyperlink ref="A10061" r:id="rId16033" xr:uid="{00000000-0004-0000-0200-0000A03E0000}"/>
    <hyperlink ref="B10061" r:id="rId16034" xr:uid="{00000000-0004-0000-0200-0000A13E0000}"/>
    <hyperlink ref="C10061" r:id="rId16035" xr:uid="{00000000-0004-0000-0200-0000A23E0000}"/>
    <hyperlink ref="A10062" r:id="rId16036" xr:uid="{00000000-0004-0000-0200-0000A33E0000}"/>
    <hyperlink ref="B10062" r:id="rId16037" xr:uid="{00000000-0004-0000-0200-0000A43E0000}"/>
    <hyperlink ref="C10062" r:id="rId16038" xr:uid="{00000000-0004-0000-0200-0000A53E0000}"/>
    <hyperlink ref="A10063" r:id="rId16039" xr:uid="{00000000-0004-0000-0200-0000A63E0000}"/>
    <hyperlink ref="B10063" r:id="rId16040" xr:uid="{00000000-0004-0000-0200-0000A73E0000}"/>
    <hyperlink ref="C10063" r:id="rId16041" xr:uid="{00000000-0004-0000-0200-0000A83E0000}"/>
    <hyperlink ref="A10064" r:id="rId16042" xr:uid="{00000000-0004-0000-0200-0000A93E0000}"/>
    <hyperlink ref="B10064" r:id="rId16043" xr:uid="{00000000-0004-0000-0200-0000AA3E0000}"/>
    <hyperlink ref="C10064" r:id="rId16044" xr:uid="{00000000-0004-0000-0200-0000AB3E0000}"/>
    <hyperlink ref="A10065" r:id="rId16045" xr:uid="{00000000-0004-0000-0200-0000AC3E0000}"/>
    <hyperlink ref="B10065" r:id="rId16046" xr:uid="{00000000-0004-0000-0200-0000AD3E0000}"/>
    <hyperlink ref="C10065" r:id="rId16047" xr:uid="{00000000-0004-0000-0200-0000AE3E0000}"/>
    <hyperlink ref="A10066" r:id="rId16048" xr:uid="{00000000-0004-0000-0200-0000AF3E0000}"/>
    <hyperlink ref="B10066" r:id="rId16049" xr:uid="{00000000-0004-0000-0200-0000B03E0000}"/>
    <hyperlink ref="C10066" r:id="rId16050" xr:uid="{00000000-0004-0000-0200-0000B13E0000}"/>
    <hyperlink ref="A10067" r:id="rId16051" xr:uid="{00000000-0004-0000-0200-0000B23E0000}"/>
    <hyperlink ref="B10067" r:id="rId16052" xr:uid="{00000000-0004-0000-0200-0000B33E0000}"/>
    <hyperlink ref="C10067" r:id="rId16053" xr:uid="{00000000-0004-0000-0200-0000B43E0000}"/>
    <hyperlink ref="A10068" r:id="rId16054" xr:uid="{00000000-0004-0000-0200-0000B53E0000}"/>
    <hyperlink ref="B10068" r:id="rId16055" xr:uid="{00000000-0004-0000-0200-0000B63E0000}"/>
    <hyperlink ref="C10068" r:id="rId16056" xr:uid="{00000000-0004-0000-0200-0000B73E0000}"/>
    <hyperlink ref="A10069" r:id="rId16057" xr:uid="{00000000-0004-0000-0200-0000B83E0000}"/>
    <hyperlink ref="B10069" r:id="rId16058" xr:uid="{00000000-0004-0000-0200-0000B93E0000}"/>
    <hyperlink ref="C10069" r:id="rId16059" xr:uid="{00000000-0004-0000-0200-0000BA3E0000}"/>
    <hyperlink ref="A10070" r:id="rId16060" xr:uid="{00000000-0004-0000-0200-0000BB3E0000}"/>
    <hyperlink ref="B10070" r:id="rId16061" xr:uid="{00000000-0004-0000-0200-0000BC3E0000}"/>
    <hyperlink ref="C10070" r:id="rId16062" xr:uid="{00000000-0004-0000-0200-0000BD3E0000}"/>
    <hyperlink ref="A10071" r:id="rId16063" xr:uid="{00000000-0004-0000-0200-0000BE3E0000}"/>
    <hyperlink ref="B10071" r:id="rId16064" xr:uid="{00000000-0004-0000-0200-0000BF3E0000}"/>
    <hyperlink ref="C10071" r:id="rId16065" xr:uid="{00000000-0004-0000-0200-0000C03E0000}"/>
    <hyperlink ref="A10072" r:id="rId16066" xr:uid="{00000000-0004-0000-0200-0000C13E0000}"/>
    <hyperlink ref="B10072" r:id="rId16067" xr:uid="{00000000-0004-0000-0200-0000C23E0000}"/>
    <hyperlink ref="C10072" r:id="rId16068" xr:uid="{00000000-0004-0000-0200-0000C33E0000}"/>
    <hyperlink ref="A10073" r:id="rId16069" xr:uid="{00000000-0004-0000-0200-0000C43E0000}"/>
    <hyperlink ref="B10073" r:id="rId16070" xr:uid="{00000000-0004-0000-0200-0000C53E0000}"/>
    <hyperlink ref="C10073" r:id="rId16071" xr:uid="{00000000-0004-0000-0200-0000C63E0000}"/>
    <hyperlink ref="A10074" r:id="rId16072" xr:uid="{00000000-0004-0000-0200-0000C73E0000}"/>
    <hyperlink ref="B10074" r:id="rId16073" xr:uid="{00000000-0004-0000-0200-0000C83E0000}"/>
    <hyperlink ref="C10074" r:id="rId16074" xr:uid="{00000000-0004-0000-0200-0000C93E0000}"/>
    <hyperlink ref="A10075" r:id="rId16075" xr:uid="{00000000-0004-0000-0200-0000CA3E0000}"/>
    <hyperlink ref="B10075" r:id="rId16076" xr:uid="{00000000-0004-0000-0200-0000CB3E0000}"/>
    <hyperlink ref="C10075" r:id="rId16077" xr:uid="{00000000-0004-0000-0200-0000CC3E0000}"/>
    <hyperlink ref="A10076" r:id="rId16078" xr:uid="{00000000-0004-0000-0200-0000CD3E0000}"/>
    <hyperlink ref="B10076" r:id="rId16079" xr:uid="{00000000-0004-0000-0200-0000CE3E0000}"/>
    <hyperlink ref="C10076" r:id="rId16080" xr:uid="{00000000-0004-0000-0200-0000CF3E0000}"/>
    <hyperlink ref="A10077" r:id="rId16081" xr:uid="{00000000-0004-0000-0200-0000D03E0000}"/>
    <hyperlink ref="B10077" r:id="rId16082" xr:uid="{00000000-0004-0000-0200-0000D13E0000}"/>
    <hyperlink ref="C10077" r:id="rId16083" xr:uid="{00000000-0004-0000-0200-0000D23E0000}"/>
    <hyperlink ref="A10078" r:id="rId16084" xr:uid="{00000000-0004-0000-0200-0000D33E0000}"/>
    <hyperlink ref="B10078" r:id="rId16085" xr:uid="{00000000-0004-0000-0200-0000D43E0000}"/>
    <hyperlink ref="C10078" r:id="rId16086" xr:uid="{00000000-0004-0000-0200-0000D53E0000}"/>
    <hyperlink ref="A10079" r:id="rId16087" xr:uid="{00000000-0004-0000-0200-0000D63E0000}"/>
    <hyperlink ref="B10079" r:id="rId16088" xr:uid="{00000000-0004-0000-0200-0000D73E0000}"/>
    <hyperlink ref="C10079" r:id="rId16089" xr:uid="{00000000-0004-0000-0200-0000D83E0000}"/>
    <hyperlink ref="A10080" r:id="rId16090" xr:uid="{00000000-0004-0000-0200-0000D93E0000}"/>
    <hyperlink ref="B10080" r:id="rId16091" xr:uid="{00000000-0004-0000-0200-0000DA3E0000}"/>
    <hyperlink ref="C10080" r:id="rId16092" xr:uid="{00000000-0004-0000-0200-0000DB3E0000}"/>
    <hyperlink ref="A10081" r:id="rId16093" xr:uid="{00000000-0004-0000-0200-0000DC3E0000}"/>
    <hyperlink ref="B10081" r:id="rId16094" xr:uid="{00000000-0004-0000-0200-0000DD3E0000}"/>
    <hyperlink ref="C10081" r:id="rId16095" xr:uid="{00000000-0004-0000-0200-0000DE3E0000}"/>
    <hyperlink ref="A10082" r:id="rId16096" xr:uid="{00000000-0004-0000-0200-0000DF3E0000}"/>
    <hyperlink ref="B10082" r:id="rId16097" xr:uid="{00000000-0004-0000-0200-0000E03E0000}"/>
    <hyperlink ref="C10082" r:id="rId16098" xr:uid="{00000000-0004-0000-0200-0000E13E0000}"/>
    <hyperlink ref="A10083" r:id="rId16099" xr:uid="{00000000-0004-0000-0200-0000E23E0000}"/>
    <hyperlink ref="B10083" r:id="rId16100" xr:uid="{00000000-0004-0000-0200-0000E33E0000}"/>
    <hyperlink ref="C10083" r:id="rId16101" xr:uid="{00000000-0004-0000-0200-0000E43E0000}"/>
    <hyperlink ref="A10084" r:id="rId16102" xr:uid="{00000000-0004-0000-0200-0000E53E0000}"/>
    <hyperlink ref="B10084" r:id="rId16103" xr:uid="{00000000-0004-0000-0200-0000E63E0000}"/>
    <hyperlink ref="C10084" r:id="rId16104" xr:uid="{00000000-0004-0000-0200-0000E73E0000}"/>
    <hyperlink ref="A10085" r:id="rId16105" xr:uid="{00000000-0004-0000-0200-0000E83E0000}"/>
    <hyperlink ref="B10085" r:id="rId16106" xr:uid="{00000000-0004-0000-0200-0000E93E0000}"/>
    <hyperlink ref="C10085" r:id="rId16107" xr:uid="{00000000-0004-0000-0200-0000EA3E0000}"/>
    <hyperlink ref="A10086" r:id="rId16108" xr:uid="{00000000-0004-0000-0200-0000EB3E0000}"/>
    <hyperlink ref="B10086" r:id="rId16109" xr:uid="{00000000-0004-0000-0200-0000EC3E0000}"/>
    <hyperlink ref="C10086" r:id="rId16110" xr:uid="{00000000-0004-0000-0200-0000ED3E0000}"/>
    <hyperlink ref="A10087" r:id="rId16111" xr:uid="{00000000-0004-0000-0200-0000EE3E0000}"/>
    <hyperlink ref="B10087" r:id="rId16112" xr:uid="{00000000-0004-0000-0200-0000EF3E0000}"/>
    <hyperlink ref="C10087" r:id="rId16113" xr:uid="{00000000-0004-0000-0200-0000F03E0000}"/>
    <hyperlink ref="A10088" r:id="rId16114" xr:uid="{00000000-0004-0000-0200-0000F13E0000}"/>
    <hyperlink ref="B10088" r:id="rId16115" xr:uid="{00000000-0004-0000-0200-0000F23E0000}"/>
    <hyperlink ref="C10088" r:id="rId16116" xr:uid="{00000000-0004-0000-0200-0000F33E0000}"/>
    <hyperlink ref="A10089" r:id="rId16117" xr:uid="{00000000-0004-0000-0200-0000F43E0000}"/>
    <hyperlink ref="B10089" r:id="rId16118" xr:uid="{00000000-0004-0000-0200-0000F53E0000}"/>
    <hyperlink ref="C10089" r:id="rId16119" xr:uid="{00000000-0004-0000-0200-0000F63E0000}"/>
    <hyperlink ref="A10090" r:id="rId16120" xr:uid="{00000000-0004-0000-0200-0000F73E0000}"/>
    <hyperlink ref="B10090" r:id="rId16121" xr:uid="{00000000-0004-0000-0200-0000F83E0000}"/>
    <hyperlink ref="C10090" r:id="rId16122" xr:uid="{00000000-0004-0000-0200-0000F93E0000}"/>
    <hyperlink ref="A10091" r:id="rId16123" xr:uid="{00000000-0004-0000-0200-0000FA3E0000}"/>
    <hyperlink ref="B10091" r:id="rId16124" xr:uid="{00000000-0004-0000-0200-0000FB3E0000}"/>
    <hyperlink ref="C10091" r:id="rId16125" xr:uid="{00000000-0004-0000-0200-0000FC3E0000}"/>
    <hyperlink ref="A10092" r:id="rId16126" xr:uid="{00000000-0004-0000-0200-0000FD3E0000}"/>
    <hyperlink ref="B10092" r:id="rId16127" xr:uid="{00000000-0004-0000-0200-0000FE3E0000}"/>
    <hyperlink ref="C10092" r:id="rId16128" xr:uid="{00000000-0004-0000-0200-0000FF3E0000}"/>
    <hyperlink ref="A10093" r:id="rId16129" xr:uid="{00000000-0004-0000-0200-0000003F0000}"/>
    <hyperlink ref="B10093" r:id="rId16130" xr:uid="{00000000-0004-0000-0200-0000013F0000}"/>
    <hyperlink ref="C10093" r:id="rId16131" xr:uid="{00000000-0004-0000-0200-0000023F0000}"/>
    <hyperlink ref="A10094" r:id="rId16132" xr:uid="{00000000-0004-0000-0200-0000033F0000}"/>
    <hyperlink ref="B10094" r:id="rId16133" xr:uid="{00000000-0004-0000-0200-0000043F0000}"/>
    <hyperlink ref="C10094" r:id="rId16134" xr:uid="{00000000-0004-0000-0200-0000053F0000}"/>
    <hyperlink ref="A10095" r:id="rId16135" xr:uid="{00000000-0004-0000-0200-0000063F0000}"/>
    <hyperlink ref="B10095" r:id="rId16136" xr:uid="{00000000-0004-0000-0200-0000073F0000}"/>
    <hyperlink ref="C10095" r:id="rId16137" xr:uid="{00000000-0004-0000-0200-0000083F0000}"/>
    <hyperlink ref="A10096" r:id="rId16138" xr:uid="{00000000-0004-0000-0200-0000093F0000}"/>
    <hyperlink ref="B10096" r:id="rId16139" xr:uid="{00000000-0004-0000-0200-00000A3F0000}"/>
    <hyperlink ref="C10096" r:id="rId16140" xr:uid="{00000000-0004-0000-0200-00000B3F0000}"/>
    <hyperlink ref="A10097" r:id="rId16141" xr:uid="{00000000-0004-0000-0200-00000C3F0000}"/>
    <hyperlink ref="B10097" r:id="rId16142" xr:uid="{00000000-0004-0000-0200-00000D3F0000}"/>
    <hyperlink ref="C10097" r:id="rId16143" xr:uid="{00000000-0004-0000-0200-00000E3F0000}"/>
    <hyperlink ref="A10098" r:id="rId16144" xr:uid="{00000000-0004-0000-0200-00000F3F0000}"/>
    <hyperlink ref="B10098" r:id="rId16145" xr:uid="{00000000-0004-0000-0200-0000103F0000}"/>
    <hyperlink ref="C10098" r:id="rId16146" xr:uid="{00000000-0004-0000-0200-0000113F0000}"/>
    <hyperlink ref="A10099" r:id="rId16147" xr:uid="{00000000-0004-0000-0200-0000123F0000}"/>
    <hyperlink ref="B10099" r:id="rId16148" xr:uid="{00000000-0004-0000-0200-0000133F0000}"/>
    <hyperlink ref="C10099" r:id="rId16149" xr:uid="{00000000-0004-0000-0200-0000143F0000}"/>
    <hyperlink ref="A10100" r:id="rId16150" xr:uid="{00000000-0004-0000-0200-0000153F0000}"/>
    <hyperlink ref="B10100" r:id="rId16151" xr:uid="{00000000-0004-0000-0200-0000163F0000}"/>
    <hyperlink ref="C10100" r:id="rId16152" xr:uid="{00000000-0004-0000-0200-0000173F0000}"/>
    <hyperlink ref="A10101" r:id="rId16153" xr:uid="{00000000-0004-0000-0200-0000183F0000}"/>
    <hyperlink ref="B10101" r:id="rId16154" xr:uid="{00000000-0004-0000-0200-0000193F0000}"/>
    <hyperlink ref="C10101" r:id="rId16155" xr:uid="{00000000-0004-0000-0200-00001A3F0000}"/>
    <hyperlink ref="A10102" r:id="rId16156" xr:uid="{00000000-0004-0000-0200-00001B3F0000}"/>
    <hyperlink ref="B10102" r:id="rId16157" xr:uid="{00000000-0004-0000-0200-00001C3F0000}"/>
    <hyperlink ref="C10102" r:id="rId16158" xr:uid="{00000000-0004-0000-0200-00001D3F0000}"/>
    <hyperlink ref="A10103" r:id="rId16159" xr:uid="{00000000-0004-0000-0200-00001E3F0000}"/>
    <hyperlink ref="B10103" r:id="rId16160" xr:uid="{00000000-0004-0000-0200-00001F3F0000}"/>
    <hyperlink ref="C10103" r:id="rId16161" xr:uid="{00000000-0004-0000-0200-0000203F0000}"/>
    <hyperlink ref="A10104" r:id="rId16162" xr:uid="{00000000-0004-0000-0200-0000213F0000}"/>
    <hyperlink ref="B10104" r:id="rId16163" xr:uid="{00000000-0004-0000-0200-0000223F0000}"/>
    <hyperlink ref="C10104" r:id="rId16164" xr:uid="{00000000-0004-0000-0200-0000233F0000}"/>
    <hyperlink ref="A10105" r:id="rId16165" xr:uid="{00000000-0004-0000-0200-0000243F0000}"/>
    <hyperlink ref="B10105" r:id="rId16166" xr:uid="{00000000-0004-0000-0200-0000253F0000}"/>
    <hyperlink ref="C10105" r:id="rId16167" xr:uid="{00000000-0004-0000-0200-0000263F0000}"/>
    <hyperlink ref="A10106" r:id="rId16168" xr:uid="{00000000-0004-0000-0200-0000273F0000}"/>
    <hyperlink ref="B10106" r:id="rId16169" xr:uid="{00000000-0004-0000-0200-0000283F0000}"/>
    <hyperlink ref="C10106" r:id="rId16170" xr:uid="{00000000-0004-0000-0200-0000293F0000}"/>
    <hyperlink ref="A10107" r:id="rId16171" xr:uid="{00000000-0004-0000-0200-00002A3F0000}"/>
    <hyperlink ref="B10107" r:id="rId16172" xr:uid="{00000000-0004-0000-0200-00002B3F0000}"/>
    <hyperlink ref="C10107" r:id="rId16173" xr:uid="{00000000-0004-0000-0200-00002C3F0000}"/>
    <hyperlink ref="A10108" r:id="rId16174" xr:uid="{00000000-0004-0000-0200-00002D3F0000}"/>
    <hyperlink ref="B10108" r:id="rId16175" xr:uid="{00000000-0004-0000-0200-00002E3F0000}"/>
    <hyperlink ref="C10108" r:id="rId16176" xr:uid="{00000000-0004-0000-0200-00002F3F0000}"/>
    <hyperlink ref="A10109" r:id="rId16177" xr:uid="{00000000-0004-0000-0200-0000303F0000}"/>
    <hyperlink ref="B10109" r:id="rId16178" xr:uid="{00000000-0004-0000-0200-0000313F0000}"/>
    <hyperlink ref="C10109" r:id="rId16179" xr:uid="{00000000-0004-0000-0200-0000323F0000}"/>
    <hyperlink ref="A10110" r:id="rId16180" xr:uid="{00000000-0004-0000-0200-0000333F0000}"/>
    <hyperlink ref="B10110" r:id="rId16181" xr:uid="{00000000-0004-0000-0200-0000343F0000}"/>
    <hyperlink ref="C10110" r:id="rId16182" xr:uid="{00000000-0004-0000-0200-0000353F0000}"/>
    <hyperlink ref="A10111" r:id="rId16183" xr:uid="{00000000-0004-0000-0200-0000363F0000}"/>
    <hyperlink ref="B10111" r:id="rId16184" xr:uid="{00000000-0004-0000-0200-0000373F0000}"/>
    <hyperlink ref="C10111" r:id="rId16185" xr:uid="{00000000-0004-0000-0200-0000383F0000}"/>
    <hyperlink ref="A10112" r:id="rId16186" xr:uid="{00000000-0004-0000-0200-0000393F0000}"/>
    <hyperlink ref="B10112" r:id="rId16187" xr:uid="{00000000-0004-0000-0200-00003A3F0000}"/>
    <hyperlink ref="C10112" r:id="rId16188" xr:uid="{00000000-0004-0000-0200-00003B3F0000}"/>
    <hyperlink ref="A10113" r:id="rId16189" xr:uid="{00000000-0004-0000-0200-00003C3F0000}"/>
    <hyperlink ref="B10113" r:id="rId16190" xr:uid="{00000000-0004-0000-0200-00003D3F0000}"/>
    <hyperlink ref="C10113" r:id="rId16191" xr:uid="{00000000-0004-0000-0200-00003E3F0000}"/>
    <hyperlink ref="A10114" r:id="rId16192" xr:uid="{00000000-0004-0000-0200-00003F3F0000}"/>
    <hyperlink ref="B10114" r:id="rId16193" xr:uid="{00000000-0004-0000-0200-0000403F0000}"/>
    <hyperlink ref="C10114" r:id="rId16194" xr:uid="{00000000-0004-0000-0200-0000413F0000}"/>
    <hyperlink ref="A10115" r:id="rId16195" xr:uid="{00000000-0004-0000-0200-0000423F0000}"/>
    <hyperlink ref="B10115" r:id="rId16196" xr:uid="{00000000-0004-0000-0200-0000433F0000}"/>
    <hyperlink ref="C10115" r:id="rId16197" xr:uid="{00000000-0004-0000-0200-0000443F0000}"/>
    <hyperlink ref="A10116" r:id="rId16198" xr:uid="{00000000-0004-0000-0200-0000453F0000}"/>
    <hyperlink ref="B10116" r:id="rId16199" xr:uid="{00000000-0004-0000-0200-0000463F0000}"/>
    <hyperlink ref="C10116" r:id="rId16200" xr:uid="{00000000-0004-0000-0200-0000473F0000}"/>
    <hyperlink ref="A10117" r:id="rId16201" xr:uid="{00000000-0004-0000-0200-0000483F0000}"/>
    <hyperlink ref="B10117" r:id="rId16202" xr:uid="{00000000-0004-0000-0200-0000493F0000}"/>
    <hyperlink ref="C10117" r:id="rId16203" xr:uid="{00000000-0004-0000-0200-00004A3F0000}"/>
    <hyperlink ref="A10118" r:id="rId16204" xr:uid="{00000000-0004-0000-0200-00004B3F0000}"/>
    <hyperlink ref="B10118" r:id="rId16205" xr:uid="{00000000-0004-0000-0200-00004C3F0000}"/>
    <hyperlink ref="C10118" r:id="rId16206" xr:uid="{00000000-0004-0000-0200-00004D3F0000}"/>
    <hyperlink ref="A10119" r:id="rId16207" xr:uid="{00000000-0004-0000-0200-00004E3F0000}"/>
    <hyperlink ref="B10119" r:id="rId16208" xr:uid="{00000000-0004-0000-0200-00004F3F0000}"/>
    <hyperlink ref="C10119" r:id="rId16209" xr:uid="{00000000-0004-0000-0200-0000503F0000}"/>
    <hyperlink ref="A10120" r:id="rId16210" xr:uid="{00000000-0004-0000-0200-0000513F0000}"/>
    <hyperlink ref="B10120" r:id="rId16211" xr:uid="{00000000-0004-0000-0200-0000523F0000}"/>
    <hyperlink ref="C10120" r:id="rId16212" xr:uid="{00000000-0004-0000-0200-0000533F0000}"/>
    <hyperlink ref="A10121" r:id="rId16213" xr:uid="{00000000-0004-0000-0200-0000543F0000}"/>
    <hyperlink ref="B10121" r:id="rId16214" xr:uid="{00000000-0004-0000-0200-0000553F0000}"/>
    <hyperlink ref="C10121" r:id="rId16215" xr:uid="{00000000-0004-0000-0200-0000563F0000}"/>
    <hyperlink ref="A10122" r:id="rId16216" xr:uid="{00000000-0004-0000-0200-0000573F0000}"/>
    <hyperlink ref="B10122" r:id="rId16217" xr:uid="{00000000-0004-0000-0200-0000583F0000}"/>
    <hyperlink ref="C10122" r:id="rId16218" xr:uid="{00000000-0004-0000-0200-0000593F0000}"/>
    <hyperlink ref="A10123" r:id="rId16219" xr:uid="{00000000-0004-0000-0200-00005A3F0000}"/>
    <hyperlink ref="B10123" r:id="rId16220" xr:uid="{00000000-0004-0000-0200-00005B3F0000}"/>
    <hyperlink ref="C10123" r:id="rId16221" xr:uid="{00000000-0004-0000-0200-00005C3F0000}"/>
    <hyperlink ref="A10124" r:id="rId16222" xr:uid="{00000000-0004-0000-0200-00005D3F0000}"/>
    <hyperlink ref="B10124" r:id="rId16223" xr:uid="{00000000-0004-0000-0200-00005E3F0000}"/>
    <hyperlink ref="C10124" r:id="rId16224" xr:uid="{00000000-0004-0000-0200-00005F3F0000}"/>
    <hyperlink ref="A10125" r:id="rId16225" xr:uid="{00000000-0004-0000-0200-0000603F0000}"/>
    <hyperlink ref="B10125" r:id="rId16226" xr:uid="{00000000-0004-0000-0200-0000613F0000}"/>
    <hyperlink ref="C10125" r:id="rId16227" xr:uid="{00000000-0004-0000-0200-0000623F0000}"/>
    <hyperlink ref="A10126" r:id="rId16228" xr:uid="{00000000-0004-0000-0200-0000633F0000}"/>
    <hyperlink ref="B10126" r:id="rId16229" xr:uid="{00000000-0004-0000-0200-0000643F0000}"/>
    <hyperlink ref="C10126" r:id="rId16230" xr:uid="{00000000-0004-0000-0200-0000653F0000}"/>
    <hyperlink ref="A10127" r:id="rId16231" xr:uid="{00000000-0004-0000-0200-0000663F0000}"/>
    <hyperlink ref="B10127" r:id="rId16232" xr:uid="{00000000-0004-0000-0200-0000673F0000}"/>
    <hyperlink ref="C10127" r:id="rId16233" xr:uid="{00000000-0004-0000-0200-0000683F0000}"/>
    <hyperlink ref="A10128" r:id="rId16234" xr:uid="{00000000-0004-0000-0200-0000693F0000}"/>
    <hyperlink ref="B10128" r:id="rId16235" xr:uid="{00000000-0004-0000-0200-00006A3F0000}"/>
    <hyperlink ref="C10128" r:id="rId16236" xr:uid="{00000000-0004-0000-0200-00006B3F0000}"/>
    <hyperlink ref="A10129" r:id="rId16237" xr:uid="{00000000-0004-0000-0200-00006C3F0000}"/>
    <hyperlink ref="B10129" r:id="rId16238" xr:uid="{00000000-0004-0000-0200-00006D3F0000}"/>
    <hyperlink ref="C10129" r:id="rId16239" xr:uid="{00000000-0004-0000-0200-00006E3F0000}"/>
    <hyperlink ref="A10130" r:id="rId16240" xr:uid="{00000000-0004-0000-0200-00006F3F0000}"/>
    <hyperlink ref="B10130" r:id="rId16241" xr:uid="{00000000-0004-0000-0200-0000703F0000}"/>
    <hyperlink ref="C10130" r:id="rId16242" xr:uid="{00000000-0004-0000-0200-0000713F0000}"/>
    <hyperlink ref="A10131" r:id="rId16243" xr:uid="{00000000-0004-0000-0200-0000723F0000}"/>
    <hyperlink ref="B10131" r:id="rId16244" xr:uid="{00000000-0004-0000-0200-0000733F0000}"/>
    <hyperlink ref="C10131" r:id="rId16245" xr:uid="{00000000-0004-0000-0200-0000743F0000}"/>
    <hyperlink ref="A10132" r:id="rId16246" xr:uid="{00000000-0004-0000-0200-0000753F0000}"/>
    <hyperlink ref="B10132" r:id="rId16247" xr:uid="{00000000-0004-0000-0200-0000763F0000}"/>
    <hyperlink ref="C10132" r:id="rId16248" xr:uid="{00000000-0004-0000-0200-0000773F0000}"/>
    <hyperlink ref="A10133" r:id="rId16249" xr:uid="{00000000-0004-0000-0200-0000783F0000}"/>
    <hyperlink ref="B10133" r:id="rId16250" xr:uid="{00000000-0004-0000-0200-0000793F0000}"/>
    <hyperlink ref="C10133" r:id="rId16251" xr:uid="{00000000-0004-0000-0200-00007A3F0000}"/>
    <hyperlink ref="A10134" r:id="rId16252" xr:uid="{00000000-0004-0000-0200-00007B3F0000}"/>
    <hyperlink ref="B10134" r:id="rId16253" xr:uid="{00000000-0004-0000-0200-00007C3F0000}"/>
    <hyperlink ref="C10134" r:id="rId16254" xr:uid="{00000000-0004-0000-0200-00007D3F0000}"/>
    <hyperlink ref="A10135" r:id="rId16255" xr:uid="{00000000-0004-0000-0200-00007E3F0000}"/>
    <hyperlink ref="B10135" r:id="rId16256" xr:uid="{00000000-0004-0000-0200-00007F3F0000}"/>
    <hyperlink ref="C10135" r:id="rId16257" xr:uid="{00000000-0004-0000-0200-0000803F0000}"/>
    <hyperlink ref="A10136" r:id="rId16258" xr:uid="{00000000-0004-0000-0200-0000813F0000}"/>
    <hyperlink ref="B10136" r:id="rId16259" xr:uid="{00000000-0004-0000-0200-0000823F0000}"/>
    <hyperlink ref="C10136" r:id="rId16260" xr:uid="{00000000-0004-0000-0200-0000833F0000}"/>
    <hyperlink ref="A10137" r:id="rId16261" xr:uid="{00000000-0004-0000-0200-0000843F0000}"/>
    <hyperlink ref="B10137" r:id="rId16262" xr:uid="{00000000-0004-0000-0200-0000853F0000}"/>
    <hyperlink ref="C10137" r:id="rId16263" xr:uid="{00000000-0004-0000-0200-0000863F0000}"/>
    <hyperlink ref="A10138" r:id="rId16264" xr:uid="{00000000-0004-0000-0200-0000873F0000}"/>
    <hyperlink ref="B10138" r:id="rId16265" xr:uid="{00000000-0004-0000-0200-0000883F0000}"/>
    <hyperlink ref="C10138" r:id="rId16266" xr:uid="{00000000-0004-0000-0200-0000893F0000}"/>
    <hyperlink ref="A10139" r:id="rId16267" xr:uid="{00000000-0004-0000-0200-00008A3F0000}"/>
    <hyperlink ref="B10139" r:id="rId16268" xr:uid="{00000000-0004-0000-0200-00008B3F0000}"/>
    <hyperlink ref="C10139" r:id="rId16269" xr:uid="{00000000-0004-0000-0200-00008C3F0000}"/>
  </hyperlinks>
  <pageMargins left="0.7" right="0.7" top="0.75" bottom="0.75" header="0.3" footer="0.3"/>
  <drawing r:id="rId16270"/>
  <legacyDrawing r:id="rId1627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39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8.36328125" customWidth="1"/>
    <col min="2" max="2" width="18.6328125" customWidth="1"/>
    <col min="3" max="3" width="28.7265625" customWidth="1"/>
    <col min="4" max="4" width="24.453125" customWidth="1"/>
    <col min="5" max="5" width="15" customWidth="1"/>
    <col min="6" max="6" width="8.7265625" customWidth="1"/>
    <col min="7" max="7" width="8" customWidth="1"/>
  </cols>
  <sheetData>
    <row r="1" spans="1:27" ht="15.75" customHeight="1">
      <c r="A1" s="19" t="s">
        <v>2907</v>
      </c>
      <c r="B1" s="20" t="s">
        <v>10131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B2" s="27" t="s">
        <v>10132</v>
      </c>
      <c r="C2" s="9" t="s">
        <v>39</v>
      </c>
      <c r="D2" s="25" t="str">
        <f ca="1">IFERROR(__xludf.DUMMYFUNCTION("IFERROR(ARRAYFORMULA(REGEXEXTRACT(C2,""^(?:https?:\/\/)?(?:[^@\n]+@)?(?:www\.)?([^:\/\n]+)"")),"""")"),"nikkilevyinteriors.com")</f>
        <v>nikkilevyinteriors.com</v>
      </c>
    </row>
    <row r="3" spans="1:27" ht="15.75" customHeight="1">
      <c r="B3" s="27" t="s">
        <v>10132</v>
      </c>
      <c r="C3" s="10" t="s">
        <v>40</v>
      </c>
      <c r="D3" s="25" t="str">
        <f ca="1">IFERROR(__xludf.DUMMYFUNCTION("IFERROR(ARRAYFORMULA(REGEXEXTRACT(C3,""^(?:https?:\/\/)?(?:[^@\n]+@)?(?:www\.)?([^:\/\n]+)"")),"""")"),"francescamorganinteriors.com")</f>
        <v>francescamorganinteriors.com</v>
      </c>
    </row>
    <row r="4" spans="1:27" ht="15.75" customHeight="1">
      <c r="B4" s="27" t="s">
        <v>10132</v>
      </c>
      <c r="C4" s="9" t="s">
        <v>41</v>
      </c>
      <c r="D4" s="25" t="str">
        <f ca="1">IFERROR(__xludf.DUMMYFUNCTION("IFERROR(ARRAYFORMULA(REGEXEXTRACT(C4,""^(?:https?:\/\/)?(?:[^@\n]+@)?(?:www\.)?([^:\/\n]+)"")),"""")"),"sblonginteriors.com")</f>
        <v>sblonginteriors.com</v>
      </c>
    </row>
    <row r="5" spans="1:27" ht="15.75" customHeight="1">
      <c r="B5" s="27" t="s">
        <v>10132</v>
      </c>
      <c r="C5" s="10" t="s">
        <v>42</v>
      </c>
      <c r="D5" s="25" t="str">
        <f ca="1">IFERROR(__xludf.DUMMYFUNCTION("IFERROR(ARRAYFORMULA(REGEXEXTRACT(C5,""^(?:https?:\/\/)?(?:[^@\n]+@)?(?:www\.)?([^:\/\n]+)"")),"""")"),"meredithmarlow.com")</f>
        <v>meredithmarlow.com</v>
      </c>
    </row>
    <row r="6" spans="1:27" ht="15.75" customHeight="1">
      <c r="B6" s="27" t="s">
        <v>10132</v>
      </c>
      <c r="C6" s="9" t="s">
        <v>43</v>
      </c>
      <c r="D6" s="25" t="str">
        <f ca="1">IFERROR(__xludf.DUMMYFUNCTION("IFERROR(ARRAYFORMULA(REGEXEXTRACT(C6,""^(?:https?:\/\/)?(?:[^@\n]+@)?(?:www\.)?([^:\/\n]+)"")),"""")"),"designersmk.com")</f>
        <v>designersmk.com</v>
      </c>
    </row>
    <row r="7" spans="1:27" ht="15.75" customHeight="1">
      <c r="B7" s="27" t="s">
        <v>10132</v>
      </c>
      <c r="C7" s="9" t="s">
        <v>44</v>
      </c>
      <c r="D7" s="25" t="str">
        <f ca="1">IFERROR(__xludf.DUMMYFUNCTION("IFERROR(ARRAYFORMULA(REGEXEXTRACT(C7,""^(?:https?:\/\/)?(?:[^@\n]+@)?(?:www\.)?([^:\/\n]+)"")),"""")"),"camila.decoratingden.com")</f>
        <v>camila.decoratingden.com</v>
      </c>
    </row>
    <row r="8" spans="1:27" ht="15.75" customHeight="1">
      <c r="B8" s="27" t="s">
        <v>10132</v>
      </c>
      <c r="C8" s="9" t="s">
        <v>45</v>
      </c>
      <c r="D8" s="25" t="str">
        <f ca="1">IFERROR(__xludf.DUMMYFUNCTION("IFERROR(ARRAYFORMULA(REGEXEXTRACT(C8,""^(?:https?:\/\/)?(?:[^@\n]+@)?(?:www\.)?([^:\/\n]+)"")),"""")"),"lisagilmoredesign.com")</f>
        <v>lisagilmoredesign.com</v>
      </c>
    </row>
    <row r="9" spans="1:27" ht="15.75" customHeight="1">
      <c r="B9" s="27" t="s">
        <v>10132</v>
      </c>
      <c r="C9" s="9" t="s">
        <v>46</v>
      </c>
      <c r="D9" s="25" t="str">
        <f ca="1">IFERROR(__xludf.DUMMYFUNCTION("IFERROR(ARRAYFORMULA(REGEXEXTRACT(C9,""^(?:https?:\/\/)?(?:[^@\n]+@)?(?:www\.)?([^:\/\n]+)"")),"""")"),"dkorinteriors.com")</f>
        <v>dkorinteriors.com</v>
      </c>
    </row>
    <row r="10" spans="1:27" ht="15.75" customHeight="1">
      <c r="B10" s="27" t="s">
        <v>10132</v>
      </c>
      <c r="C10" s="9" t="s">
        <v>47</v>
      </c>
      <c r="D10" s="25" t="str">
        <f ca="1">IFERROR(__xludf.DUMMYFUNCTION("IFERROR(ARRAYFORMULA(REGEXEXTRACT(C10,""^(?:https?:\/\/)?(?:[^@\n]+@)?(?:www\.)?([^:\/\n]+)"")),"""")"),"interiorsbysteveng.com")</f>
        <v>interiorsbysteveng.com</v>
      </c>
    </row>
    <row r="11" spans="1:27" ht="15.75" customHeight="1">
      <c r="B11" s="27" t="s">
        <v>10132</v>
      </c>
      <c r="C11" s="103" t="s">
        <v>48</v>
      </c>
      <c r="D11" s="25" t="str">
        <f ca="1">IFERROR(__xludf.DUMMYFUNCTION("IFERROR(ARRAYFORMULA(REGEXEXTRACT(C11,""^(?:https?:\/\/)?(?:[^@\n]+@)?(?:www\.)?([^:\/\n]+)"")),"""")"),"collinsandcointeriors.com")</f>
        <v>collinsandcointeriors.com</v>
      </c>
    </row>
    <row r="12" spans="1:27" ht="15.75" customHeight="1">
      <c r="C12" s="29"/>
      <c r="D12" s="26" t="str">
        <f ca="1">IFERROR(__xludf.DUMMYFUNCTION("IFERROR(ARRAYFORMULA(REGEXEXTRACT(C12,""^(?:https?:\/\/)?(?:[^@\n]+@)?(?:www\.)?([^:\/\n]+)"")),"""")"),"")</f>
        <v/>
      </c>
    </row>
    <row r="13" spans="1:27" ht="15.75" customHeight="1">
      <c r="B13" s="27" t="s">
        <v>10133</v>
      </c>
      <c r="C13" s="9" t="s">
        <v>49</v>
      </c>
      <c r="D13" s="25" t="str">
        <f ca="1">IFERROR(__xludf.DUMMYFUNCTION("IFERROR(ARRAYFORMULA(REGEXEXTRACT(C13,""^(?:https?:\/\/)?(?:[^@\n]+@)?(?:www\.)?([^:\/\n]+)"")),"""")"),"blog.mrsteam.com")</f>
        <v>blog.mrsteam.com</v>
      </c>
    </row>
    <row r="14" spans="1:27" ht="15.75" customHeight="1">
      <c r="B14" s="27" t="s">
        <v>10133</v>
      </c>
      <c r="C14" s="9" t="s">
        <v>50</v>
      </c>
      <c r="D14" s="25" t="str">
        <f ca="1">IFERROR(__xludf.DUMMYFUNCTION("IFERROR(ARRAYFORMULA(REGEXEXTRACT(C14,""^(?:https?:\/\/)?(?:[^@\n]+@)?(?:www\.)?([^:\/\n]+)"")),"""")"),"huntingforrubies.com")</f>
        <v>huntingforrubies.com</v>
      </c>
    </row>
    <row r="15" spans="1:27" ht="15.75" customHeight="1">
      <c r="B15" s="27" t="s">
        <v>10133</v>
      </c>
      <c r="C15" s="9" t="s">
        <v>51</v>
      </c>
      <c r="D15" s="25" t="str">
        <f ca="1">IFERROR(__xludf.DUMMYFUNCTION("IFERROR(ARRAYFORMULA(REGEXEXTRACT(C15,""^(?:https?:\/\/)?(?:[^@\n]+@)?(?:www\.)?([^:\/\n]+)"")),"""")"),"truesouthcoastalhomes.com")</f>
        <v>truesouthcoastalhomes.com</v>
      </c>
    </row>
    <row r="16" spans="1:27" ht="15.75" customHeight="1">
      <c r="B16" s="27" t="s">
        <v>10133</v>
      </c>
      <c r="C16" s="9" t="s">
        <v>52</v>
      </c>
      <c r="D16" s="25" t="str">
        <f ca="1">IFERROR(__xludf.DUMMYFUNCTION("IFERROR(ARRAYFORMULA(REGEXEXTRACT(C16,""^(?:https?:\/\/)?(?:[^@\n]+@)?(?:www\.)?([^:\/\n]+)"")),"""")"),"project-sleep.com")</f>
        <v>project-sleep.com</v>
      </c>
    </row>
    <row r="17" spans="2:4" ht="15.75" customHeight="1">
      <c r="B17" s="27" t="s">
        <v>10133</v>
      </c>
      <c r="C17" s="9" t="s">
        <v>53</v>
      </c>
      <c r="D17" s="25" t="str">
        <f ca="1">IFERROR(__xludf.DUMMYFUNCTION("IFERROR(ARRAYFORMULA(REGEXEXTRACT(C17,""^(?:https?:\/\/)?(?:[^@\n]+@)?(?:www\.)?([^:\/\n]+)"")),"""")"),"southfloridainjurylawfirm.com")</f>
        <v>southfloridainjurylawfirm.com</v>
      </c>
    </row>
    <row r="18" spans="2:4" ht="15.75" customHeight="1">
      <c r="B18" s="27" t="s">
        <v>10133</v>
      </c>
      <c r="C18" s="9" t="s">
        <v>54</v>
      </c>
      <c r="D18" s="25" t="str">
        <f ca="1">IFERROR(__xludf.DUMMYFUNCTION("IFERROR(ARRAYFORMULA(REGEXEXTRACT(C18,""^(?:https?:\/\/)?(?:[^@\n]+@)?(?:www\.)?([^:\/\n]+)"")),"""")"),"sarmlife.com")</f>
        <v>sarmlife.com</v>
      </c>
    </row>
    <row r="19" spans="2:4" ht="15.75" customHeight="1">
      <c r="B19" s="27" t="s">
        <v>10133</v>
      </c>
      <c r="C19" s="9" t="s">
        <v>55</v>
      </c>
      <c r="D19" s="25" t="str">
        <f ca="1">IFERROR(__xludf.DUMMYFUNCTION("IFERROR(ARRAYFORMULA(REGEXEXTRACT(C19,""^(?:https?:\/\/)?(?:[^@\n]+@)?(?:www\.)?([^:\/\n]+)"")),"""")"),"homeia.com")</f>
        <v>homeia.com</v>
      </c>
    </row>
    <row r="20" spans="2:4" ht="15.75" customHeight="1">
      <c r="B20" s="27" t="s">
        <v>10133</v>
      </c>
      <c r="C20" s="9" t="s">
        <v>56</v>
      </c>
      <c r="D20" s="25" t="str">
        <f ca="1">IFERROR(__xludf.DUMMYFUNCTION("IFERROR(ARRAYFORMULA(REGEXEXTRACT(C20,""^(?:https?:\/\/)?(?:[^@\n]+@)?(?:www\.)?([^:\/\n]+)"")),"""")"),"wppopupmaker.com")</f>
        <v>wppopupmaker.com</v>
      </c>
    </row>
    <row r="21" spans="2:4" ht="15.75" customHeight="1">
      <c r="B21" s="27" t="s">
        <v>10133</v>
      </c>
      <c r="C21" s="9" t="s">
        <v>57</v>
      </c>
      <c r="D21" s="25" t="str">
        <f ca="1">IFERROR(__xludf.DUMMYFUNCTION("IFERROR(ARRAYFORMULA(REGEXEXTRACT(C21,""^(?:https?:\/\/)?(?:[^@\n]+@)?(?:www\.)?([^:\/\n]+)"")),"""")"),"speedingticketkc.com")</f>
        <v>speedingticketkc.com</v>
      </c>
    </row>
    <row r="22" spans="2:4" ht="15.75" customHeight="1">
      <c r="B22" s="27" t="s">
        <v>10133</v>
      </c>
      <c r="C22" s="9" t="s">
        <v>58</v>
      </c>
      <c r="D22" s="25" t="str">
        <f ca="1">IFERROR(__xludf.DUMMYFUNCTION("IFERROR(ARRAYFORMULA(REGEXEXTRACT(C22,""^(?:https?:\/\/)?(?:[^@\n]+@)?(?:www\.)?([^:\/\n]+)"")),"""")"),"legalfuel.com")</f>
        <v>legalfuel.com</v>
      </c>
    </row>
    <row r="23" spans="2:4" ht="15.75" customHeight="1">
      <c r="B23" s="27" t="s">
        <v>10133</v>
      </c>
      <c r="C23" s="9" t="s">
        <v>59</v>
      </c>
      <c r="D23" s="25" t="str">
        <f ca="1">IFERROR(__xludf.DUMMYFUNCTION("IFERROR(ARRAYFORMULA(REGEXEXTRACT(C23,""^(?:https?:\/\/)?(?:[^@\n]+@)?(?:www\.)?([^:\/\n]+)"")),"""")"),"haimolaw.com")</f>
        <v>haimolaw.com</v>
      </c>
    </row>
    <row r="24" spans="2:4" ht="15.75" customHeight="1">
      <c r="B24" s="27" t="s">
        <v>10133</v>
      </c>
      <c r="C24" s="9" t="s">
        <v>60</v>
      </c>
      <c r="D24" s="25" t="str">
        <f ca="1">IFERROR(__xludf.DUMMYFUNCTION("IFERROR(ARRAYFORMULA(REGEXEXTRACT(C24,""^(?:https?:\/\/)?(?:[^@\n]+@)?(?:www\.)?([^:\/\n]+)"")),"""")"),"goodmenproject.com")</f>
        <v>goodmenproject.com</v>
      </c>
    </row>
    <row r="25" spans="2:4" ht="15.75" customHeight="1">
      <c r="D25" s="26" t="str">
        <f ca="1">IFERROR(__xludf.DUMMYFUNCTION("IFERROR(ARRAYFORMULA(REGEXEXTRACT(C25,""^(?:https?:\/\/)?(?:[^@\n]+@)?(?:www\.)?([^:\/\n]+)"")),"""")"),"")</f>
        <v/>
      </c>
    </row>
    <row r="26" spans="2:4" ht="12.5">
      <c r="D26" s="26" t="str">
        <f ca="1">IFERROR(__xludf.DUMMYFUNCTION("IFERROR(ARRAYFORMULA(REGEXEXTRACT(C26,""^(?:https?:\/\/)?(?:[^@\n]+@)?(?:www\.)?([^:\/\n]+)"")),"""")"),"")</f>
        <v/>
      </c>
    </row>
    <row r="27" spans="2:4" ht="12.5">
      <c r="B27" s="27" t="s">
        <v>10132</v>
      </c>
      <c r="C27" s="8" t="s">
        <v>61</v>
      </c>
      <c r="D27" s="25" t="str">
        <f ca="1">IFERROR(__xludf.DUMMYFUNCTION("IFERROR(ARRAYFORMULA(REGEXEXTRACT(C27,""^(?:https?:\/\/)?(?:[^@\n]+@)?(?:www\.)?([^:\/\n]+)"")),"""")"),"pamelaharveyinteriors.com")</f>
        <v>pamelaharveyinteriors.com</v>
      </c>
    </row>
    <row r="28" spans="2:4" ht="12.5">
      <c r="B28" s="27" t="s">
        <v>10132</v>
      </c>
      <c r="C28" s="8" t="s">
        <v>62</v>
      </c>
      <c r="D28" s="25" t="str">
        <f ca="1">IFERROR(__xludf.DUMMYFUNCTION("IFERROR(ARRAYFORMULA(REGEXEXTRACT(C28,""^(?:https?:\/\/)?(?:[^@\n]+@)?(?:www\.)?([^:\/\n]+)"")),"""")"),"decorilla.com")</f>
        <v>decorilla.com</v>
      </c>
    </row>
    <row r="29" spans="2:4" ht="12.5">
      <c r="B29" s="27" t="s">
        <v>10132</v>
      </c>
      <c r="C29" s="8" t="s">
        <v>63</v>
      </c>
      <c r="D29" s="25" t="str">
        <f ca="1">IFERROR(__xludf.DUMMYFUNCTION("IFERROR(ARRAYFORMULA(REGEXEXTRACT(C29,""^(?:https?:\/\/)?(?:[^@\n]+@)?(?:www\.)?([^:\/\n]+)"")),"""")"),"collins-dupont.com")</f>
        <v>collins-dupont.com</v>
      </c>
    </row>
    <row r="30" spans="2:4" ht="12.5">
      <c r="B30" s="27" t="s">
        <v>10132</v>
      </c>
      <c r="C30" s="8" t="s">
        <v>64</v>
      </c>
      <c r="D30" s="25" t="str">
        <f ca="1">IFERROR(__xludf.DUMMYFUNCTION("IFERROR(ARRAYFORMULA(REGEXEXTRACT(C30,""^(?:https?:\/\/)?(?:[^@\n]+@)?(?:www\.)?([^:\/\n]+)"")),"""")"),"gcinteriordesign.com")</f>
        <v>gcinteriordesign.com</v>
      </c>
    </row>
    <row r="31" spans="2:4" ht="12.5">
      <c r="B31" s="27" t="s">
        <v>10132</v>
      </c>
      <c r="C31" s="8" t="s">
        <v>65</v>
      </c>
      <c r="D31" s="25" t="str">
        <f ca="1">IFERROR(__xludf.DUMMYFUNCTION("IFERROR(ARRAYFORMULA(REGEXEXTRACT(C31,""^(?:https?:\/\/)?(?:[^@\n]+@)?(?:www\.)?([^:\/\n]+)"")),"""")"),"kristahome.com")</f>
        <v>kristahome.com</v>
      </c>
    </row>
    <row r="32" spans="2:4" ht="12.5">
      <c r="B32" s="27" t="s">
        <v>10132</v>
      </c>
      <c r="C32" s="8" t="s">
        <v>66</v>
      </c>
      <c r="D32" s="25" t="str">
        <f ca="1">IFERROR(__xludf.DUMMYFUNCTION("IFERROR(ARRAYFORMULA(REGEXEXTRACT(C32,""^(?:https?:\/\/)?(?:[^@\n]+@)?(?:www\.)?([^:\/\n]+)"")),"""")"),"idlawshop.com")</f>
        <v>idlawshop.com</v>
      </c>
    </row>
    <row r="33" spans="2:4" ht="12.5">
      <c r="B33" s="27" t="s">
        <v>10132</v>
      </c>
      <c r="C33" s="8" t="s">
        <v>67</v>
      </c>
      <c r="D33" s="25" t="str">
        <f ca="1">IFERROR(__xludf.DUMMYFUNCTION("IFERROR(ARRAYFORMULA(REGEXEXTRACT(C33,""^(?:https?:\/\/)?(?:[^@\n]+@)?(?:www\.)?([^:\/\n]+)"")),"""")"),"splendidhomedesign.com")</f>
        <v>splendidhomedesign.com</v>
      </c>
    </row>
    <row r="34" spans="2:4" ht="12.5">
      <c r="B34" s="27" t="s">
        <v>10132</v>
      </c>
      <c r="C34" s="8" t="s">
        <v>68</v>
      </c>
      <c r="D34" s="25" t="str">
        <f ca="1">IFERROR(__xludf.DUMMYFUNCTION("IFERROR(ARRAYFORMULA(REGEXEXTRACT(C34,""^(?:https?:\/\/)?(?:[^@\n]+@)?(?:www\.)?([^:\/\n]+)"")),"""")"),"captivahomedesign.com")</f>
        <v>captivahomedesign.com</v>
      </c>
    </row>
    <row r="35" spans="2:4" ht="12.5">
      <c r="B35" s="27" t="s">
        <v>10132</v>
      </c>
      <c r="C35" s="8" t="s">
        <v>69</v>
      </c>
      <c r="D35" s="25" t="str">
        <f ca="1">IFERROR(__xludf.DUMMYFUNCTION("IFERROR(ARRAYFORMULA(REGEXEXTRACT(C35,""^(?:https?:\/\/)?(?:[^@\n]+@)?(?:www\.)?([^:\/\n]+)"")),"""")"),"studio790.com")</f>
        <v>studio790.com</v>
      </c>
    </row>
    <row r="36" spans="2:4" ht="12.5">
      <c r="B36" s="27" t="s">
        <v>10132</v>
      </c>
      <c r="C36" s="8" t="s">
        <v>70</v>
      </c>
      <c r="D36" s="25" t="str">
        <f ca="1">IFERROR(__xludf.DUMMYFUNCTION("IFERROR(ARRAYFORMULA(REGEXEXTRACT(C36,""^(?:https?:\/\/)?(?:[^@\n]+@)?(?:www\.)?([^:\/\n]+)"")),"""")"),"margaritabravo.com")</f>
        <v>margaritabravo.com</v>
      </c>
    </row>
    <row r="37" spans="2:4" ht="12.5">
      <c r="B37" s="27" t="s">
        <v>10132</v>
      </c>
      <c r="C37" s="8" t="s">
        <v>71</v>
      </c>
      <c r="D37" s="25" t="str">
        <f ca="1">IFERROR(__xludf.DUMMYFUNCTION("IFERROR(ARRAYFORMULA(REGEXEXTRACT(C37,""^(?:https?:\/\/)?(?:[^@\n]+@)?(?:www\.)?([^:\/\n]+)"")),"""")"),"dwest.com")</f>
        <v>dwest.com</v>
      </c>
    </row>
    <row r="38" spans="2:4" ht="12.5">
      <c r="B38" s="27" t="s">
        <v>10132</v>
      </c>
      <c r="C38" s="8" t="s">
        <v>72</v>
      </c>
      <c r="D38" s="25" t="str">
        <f ca="1">IFERROR(__xludf.DUMMYFUNCTION("IFERROR(ARRAYFORMULA(REGEXEXTRACT(C38,""^(?:https?:\/\/)?(?:[^@\n]+@)?(?:www\.)?([^:\/\n]+)"")),"""")"),"jdesigngroup.com")</f>
        <v>jdesigngroup.com</v>
      </c>
    </row>
    <row r="39" spans="2:4" ht="12.5">
      <c r="B39" s="27" t="s">
        <v>10132</v>
      </c>
      <c r="C39" s="8" t="s">
        <v>73</v>
      </c>
      <c r="D39" s="25" t="str">
        <f ca="1">IFERROR(__xludf.DUMMYFUNCTION("IFERROR(ARRAYFORMULA(REGEXEXTRACT(C39,""^(?:https?:\/\/)?(?:[^@\n]+@)?(?:www\.)?([^:\/\n]+)"")),"""")"),"baers.com")</f>
        <v>baers.com</v>
      </c>
    </row>
    <row r="40" spans="2:4" ht="12.5">
      <c r="B40" s="27" t="s">
        <v>10132</v>
      </c>
      <c r="C40" s="8" t="s">
        <v>74</v>
      </c>
      <c r="D40" s="25" t="str">
        <f ca="1">IFERROR(__xludf.DUMMYFUNCTION("IFERROR(ARRAYFORMULA(REGEXEXTRACT(C40,""^(?:https?:\/\/)?(?:[^@\n]+@)?(?:www\.)?([^:\/\n]+)"")),"""")"),"lolainteriors.com")</f>
        <v>lolainteriors.com</v>
      </c>
    </row>
    <row r="41" spans="2:4" ht="12.5">
      <c r="B41" s="27" t="s">
        <v>10132</v>
      </c>
      <c r="C41" s="8" t="s">
        <v>75</v>
      </c>
      <c r="D41" s="25" t="str">
        <f ca="1">IFERROR(__xludf.DUMMYFUNCTION("IFERROR(ARRAYFORMULA(REGEXEXTRACT(C41,""^(?:https?:\/\/)?(?:[^@\n]+@)?(?:www\.)?([^:\/\n]+)"")),"""")"),"floridalivingquarters.com")</f>
        <v>floridalivingquarters.com</v>
      </c>
    </row>
    <row r="42" spans="2:4" ht="12.5">
      <c r="B42" s="27" t="s">
        <v>10132</v>
      </c>
      <c r="C42" s="8" t="s">
        <v>76</v>
      </c>
      <c r="D42" s="25" t="str">
        <f ca="1">IFERROR(__xludf.DUMMYFUNCTION("IFERROR(ARRAYFORMULA(REGEXEXTRACT(C42,""^(?:https?:\/\/)?(?:[^@\n]+@)?(?:www\.)?([^:\/\n]+)"")),"""")"),"sarahzdesigns.com")</f>
        <v>sarahzdesigns.com</v>
      </c>
    </row>
    <row r="43" spans="2:4" ht="12.5">
      <c r="B43" s="27" t="s">
        <v>10132</v>
      </c>
      <c r="C43" s="8" t="s">
        <v>77</v>
      </c>
      <c r="D43" s="25" t="str">
        <f ca="1">IFERROR(__xludf.DUMMYFUNCTION("IFERROR(ARRAYFORMULA(REGEXEXTRACT(C43,""^(?:https?:\/\/)?(?:[^@\n]+@)?(?:www\.)?([^:\/\n]+)"")),"""")"),"studioidc.com")</f>
        <v>studioidc.com</v>
      </c>
    </row>
    <row r="44" spans="2:4" ht="12.5">
      <c r="B44" s="27" t="s">
        <v>10132</v>
      </c>
      <c r="C44" s="8" t="s">
        <v>78</v>
      </c>
      <c r="D44" s="25" t="str">
        <f ca="1">IFERROR(__xludf.DUMMYFUNCTION("IFERROR(ARRAYFORMULA(REGEXEXTRACT(C44,""^(?:https?:\/\/)?(?:[^@\n]+@)?(?:www\.)?([^:\/\n]+)"")),"""")"),"2idinteriors.com")</f>
        <v>2idinteriors.com</v>
      </c>
    </row>
    <row r="45" spans="2:4" ht="12.5">
      <c r="B45" s="27" t="s">
        <v>10132</v>
      </c>
      <c r="C45" s="8" t="s">
        <v>79</v>
      </c>
      <c r="D45" s="25" t="str">
        <f ca="1">IFERROR(__xludf.DUMMYFUNCTION("IFERROR(ARRAYFORMULA(REGEXEXTRACT(C45,""^(?:https?:\/\/)?(?:[^@\n]+@)?(?:www\.)?([^:\/\n]+)"")),"""")"),"yourdesignpartner.com")</f>
        <v>yourdesignpartner.com</v>
      </c>
    </row>
    <row r="46" spans="2:4" ht="12.5">
      <c r="B46" s="27" t="s">
        <v>10132</v>
      </c>
      <c r="C46" s="11" t="s">
        <v>80</v>
      </c>
      <c r="D46" s="25" t="str">
        <f ca="1">IFERROR(__xludf.DUMMYFUNCTION("IFERROR(ARRAYFORMULA(REGEXEXTRACT(C46,""^(?:https?:\/\/)?(?:[^@\n]+@)?(?:www\.)?([^:\/\n]+)"")),"""")"),"spectacularspaces.com")</f>
        <v>spectacularspaces.com</v>
      </c>
    </row>
    <row r="47" spans="2:4" ht="12.5">
      <c r="D47" s="26" t="str">
        <f ca="1">IFERROR(__xludf.DUMMYFUNCTION("IFERROR(ARRAYFORMULA(REGEXEXTRACT(C47,""^(?:https?:\/\/)?(?:[^@\n]+@)?(?:www\.)?([^:\/\n]+)"")),"""")"),"")</f>
        <v/>
      </c>
    </row>
    <row r="48" spans="2:4" ht="12.5">
      <c r="B48" s="27" t="s">
        <v>10133</v>
      </c>
      <c r="C48" s="8" t="s">
        <v>81</v>
      </c>
      <c r="D48" s="25" t="str">
        <f ca="1">IFERROR(__xludf.DUMMYFUNCTION("IFERROR(ARRAYFORMULA(REGEXEXTRACT(C48,""^(?:https?:\/\/)?(?:[^@\n]+@)?(?:www\.)?([^:\/\n]+)"")),"""")"),"brew-hound.com")</f>
        <v>brew-hound.com</v>
      </c>
    </row>
    <row r="49" spans="2:4" ht="12.5">
      <c r="B49" s="27" t="s">
        <v>10133</v>
      </c>
      <c r="C49" s="8" t="s">
        <v>82</v>
      </c>
      <c r="D49" s="25" t="str">
        <f ca="1">IFERROR(__xludf.DUMMYFUNCTION("IFERROR(ARRAYFORMULA(REGEXEXTRACT(C49,""^(?:https?:\/\/)?(?:[^@\n]+@)?(?:www\.)?([^:\/\n]+)"")),"""")"),"discoverfortmose.com")</f>
        <v>discoverfortmose.com</v>
      </c>
    </row>
    <row r="50" spans="2:4" ht="12.5">
      <c r="B50" s="27" t="s">
        <v>10133</v>
      </c>
      <c r="C50" s="8" t="s">
        <v>83</v>
      </c>
      <c r="D50" s="25" t="str">
        <f ca="1">IFERROR(__xludf.DUMMYFUNCTION("IFERROR(ARRAYFORMULA(REGEXEXTRACT(C50,""^(?:https?:\/\/)?(?:[^@\n]+@)?(?:www\.)?([^:\/\n]+)"")),"""")"),"wanderthemap.com")</f>
        <v>wanderthemap.com</v>
      </c>
    </row>
    <row r="51" spans="2:4" ht="12.5">
      <c r="B51" s="27" t="s">
        <v>10133</v>
      </c>
      <c r="C51" s="8" t="s">
        <v>84</v>
      </c>
      <c r="D51" s="25" t="str">
        <f ca="1">IFERROR(__xludf.DUMMYFUNCTION("IFERROR(ARRAYFORMULA(REGEXEXTRACT(C51,""^(?:https?:\/\/)?(?:[^@\n]+@)?(?:www\.)?([^:\/\n]+)"")),"""")"),"theinsatiabletraveler.com")</f>
        <v>theinsatiabletraveler.com</v>
      </c>
    </row>
    <row r="52" spans="2:4" ht="12.5">
      <c r="B52" s="27" t="s">
        <v>10133</v>
      </c>
      <c r="C52" s="8" t="s">
        <v>85</v>
      </c>
      <c r="D52" s="25" t="str">
        <f ca="1">IFERROR(__xludf.DUMMYFUNCTION("IFERROR(ARRAYFORMULA(REGEXEXTRACT(C52,""^(?:https?:\/\/)?(?:[^@\n]+@)?(?:www\.)?([^:\/\n]+)"")),"""")"),"katemotaung.com")</f>
        <v>katemotaung.com</v>
      </c>
    </row>
    <row r="53" spans="2:4" ht="12.5">
      <c r="B53" s="27" t="s">
        <v>10133</v>
      </c>
      <c r="C53" s="8" t="s">
        <v>86</v>
      </c>
      <c r="D53" s="25" t="str">
        <f ca="1">IFERROR(__xludf.DUMMYFUNCTION("IFERROR(ARRAYFORMULA(REGEXEXTRACT(C53,""^(?:https?:\/\/)?(?:[^@\n]+@)?(?:www\.)?([^:\/\n]+)"")),"""")"),"cos.io")</f>
        <v>cos.io</v>
      </c>
    </row>
    <row r="54" spans="2:4" ht="12.5">
      <c r="B54" s="27" t="s">
        <v>10133</v>
      </c>
      <c r="C54" s="8" t="s">
        <v>87</v>
      </c>
      <c r="D54" s="25" t="str">
        <f ca="1">IFERROR(__xludf.DUMMYFUNCTION("IFERROR(ARRAYFORMULA(REGEXEXTRACT(C54,""^(?:https?:\/\/)?(?:[^@\n]+@)?(?:www\.)?([^:\/\n]+)"")),"""")"),"dandodiary.com")</f>
        <v>dandodiary.com</v>
      </c>
    </row>
    <row r="55" spans="2:4" ht="12.5">
      <c r="B55" s="27" t="s">
        <v>10133</v>
      </c>
      <c r="C55" s="8" t="s">
        <v>88</v>
      </c>
      <c r="D55" s="25" t="str">
        <f ca="1">IFERROR(__xludf.DUMMYFUNCTION("IFERROR(ARRAYFORMULA(REGEXEXTRACT(C55,""^(?:https?:\/\/)?(?:[^@\n]+@)?(?:www\.)?([^:\/\n]+)"")),"""")"),"floridasmart.com")</f>
        <v>floridasmart.com</v>
      </c>
    </row>
    <row r="56" spans="2:4" ht="12.5">
      <c r="B56" s="27" t="s">
        <v>10133</v>
      </c>
      <c r="C56" s="8" t="s">
        <v>89</v>
      </c>
      <c r="D56" s="25" t="str">
        <f ca="1">IFERROR(__xludf.DUMMYFUNCTION("IFERROR(ARRAYFORMULA(REGEXEXTRACT(C56,""^(?:https?:\/\/)?(?:[^@\n]+@)?(?:www\.)?([^:\/\n]+)"")),"""")"),"myshingle.com")</f>
        <v>myshingle.com</v>
      </c>
    </row>
    <row r="57" spans="2:4" ht="12.5">
      <c r="B57" s="27" t="s">
        <v>10133</v>
      </c>
      <c r="C57" s="8" t="s">
        <v>90</v>
      </c>
      <c r="D57" s="25" t="str">
        <f ca="1">IFERROR(__xludf.DUMMYFUNCTION("IFERROR(ARRAYFORMULA(REGEXEXTRACT(C57,""^(?:https?:\/\/)?(?:[^@\n]+@)?(?:www\.)?([^:\/\n]+)"")),"""")"),"honeybeesuite.com")</f>
        <v>honeybeesuite.com</v>
      </c>
    </row>
    <row r="58" spans="2:4" ht="12.5">
      <c r="B58" s="27" t="s">
        <v>10133</v>
      </c>
      <c r="C58" s="8" t="s">
        <v>91</v>
      </c>
      <c r="D58" s="25" t="str">
        <f ca="1">IFERROR(__xludf.DUMMYFUNCTION("IFERROR(ARRAYFORMULA(REGEXEXTRACT(C58,""^(?:https?:\/\/)?(?:[^@\n]+@)?(?:www\.)?([^:\/\n]+)"")),"""")"),"projectwet.org")</f>
        <v>projectwet.org</v>
      </c>
    </row>
    <row r="59" spans="2:4" ht="12.5">
      <c r="B59" s="27" t="s">
        <v>10133</v>
      </c>
      <c r="C59" s="8" t="s">
        <v>92</v>
      </c>
      <c r="D59" s="25" t="str">
        <f ca="1">IFERROR(__xludf.DUMMYFUNCTION("IFERROR(ARRAYFORMULA(REGEXEXTRACT(C59,""^(?:https?:\/\/)?(?:[^@\n]+@)?(?:www\.)?([^:\/\n]+)"")),"""")"),"weekendtimes.com.au")</f>
        <v>weekendtimes.com.au</v>
      </c>
    </row>
    <row r="60" spans="2:4" ht="12.5">
      <c r="B60" s="27" t="s">
        <v>10133</v>
      </c>
      <c r="C60" s="8" t="s">
        <v>93</v>
      </c>
      <c r="D60" s="25" t="str">
        <f ca="1">IFERROR(__xludf.DUMMYFUNCTION("IFERROR(ARRAYFORMULA(REGEXEXTRACT(C60,""^(?:https?:\/\/)?(?:[^@\n]+@)?(?:www\.)?([^:\/\n]+)"")),"""")"),"lastwordonnothing.com")</f>
        <v>lastwordonnothing.com</v>
      </c>
    </row>
    <row r="61" spans="2:4" ht="12.5">
      <c r="B61" s="27" t="s">
        <v>10133</v>
      </c>
      <c r="C61" s="8" t="s">
        <v>94</v>
      </c>
      <c r="D61" s="25" t="str">
        <f ca="1">IFERROR(__xludf.DUMMYFUNCTION("IFERROR(ARRAYFORMULA(REGEXEXTRACT(C61,""^(?:https?:\/\/)?(?:[^@\n]+@)?(?:www\.)?([^:\/\n]+)"")),"""")"),"familylawprotection.com")</f>
        <v>familylawprotection.com</v>
      </c>
    </row>
    <row r="62" spans="2:4" ht="12.5">
      <c r="B62" s="27" t="s">
        <v>10133</v>
      </c>
      <c r="C62" s="11" t="s">
        <v>95</v>
      </c>
      <c r="D62" s="25" t="str">
        <f ca="1">IFERROR(__xludf.DUMMYFUNCTION("IFERROR(ARRAYFORMULA(REGEXEXTRACT(C62,""^(?:https?:\/\/)?(?:[^@\n]+@)?(?:www\.)?([^:\/\n]+)"")),"""")"),"bookcritics.org")</f>
        <v>bookcritics.org</v>
      </c>
    </row>
    <row r="63" spans="2:4" ht="12.5">
      <c r="D63" s="26" t="str">
        <f ca="1">IFERROR(__xludf.DUMMYFUNCTION("IFERROR(ARRAYFORMULA(REGEXEXTRACT(C63,""^(?:https?:\/\/)?(?:[^@\n]+@)?(?:www\.)?([^:\/\n]+)"")),"""")"),"")</f>
        <v/>
      </c>
    </row>
    <row r="64" spans="2:4" ht="12.5">
      <c r="D64" s="26" t="str">
        <f ca="1">IFERROR(__xludf.DUMMYFUNCTION("IFERROR(ARRAYFORMULA(REGEXEXTRACT(C64,""^(?:https?:\/\/)?(?:[^@\n]+@)?(?:www\.)?([^:\/\n]+)"")),"""")"),"")</f>
        <v/>
      </c>
    </row>
    <row r="65" spans="2:7" ht="12.5">
      <c r="B65" s="27" t="s">
        <v>10132</v>
      </c>
      <c r="C65" s="8" t="s">
        <v>96</v>
      </c>
      <c r="D65" s="25" t="str">
        <f ca="1">IFERROR(__xludf.DUMMYFUNCTION("IFERROR(ARRAYFORMULA(REGEXEXTRACT(C65,""^(?:https?:\/\/)?(?:[^@\n]+@)?(?:www\.)?([^:\/\n]+)"")),"""")"),"christianleedesign.com")</f>
        <v>christianleedesign.com</v>
      </c>
    </row>
    <row r="66" spans="2:7" ht="12.5">
      <c r="B66" s="27" t="s">
        <v>10132</v>
      </c>
      <c r="C66" s="8" t="s">
        <v>97</v>
      </c>
      <c r="D66" s="25" t="str">
        <f ca="1">IFERROR(__xludf.DUMMYFUNCTION("IFERROR(ARRAYFORMULA(REGEXEXTRACT(C66,""^(?:https?:\/\/)?(?:[^@\n]+@)?(?:www\.)?([^:\/\n]+)"")),"""")"),"trademarkinteriordesign.com")</f>
        <v>trademarkinteriordesign.com</v>
      </c>
    </row>
    <row r="67" spans="2:7" ht="12.5">
      <c r="B67" s="27" t="s">
        <v>10132</v>
      </c>
      <c r="C67" s="8" t="s">
        <v>98</v>
      </c>
      <c r="D67" s="25" t="str">
        <f ca="1">IFERROR(__xludf.DUMMYFUNCTION("IFERROR(ARRAYFORMULA(REGEXEXTRACT(C67,""^(?:https?:\/\/)?(?:[^@\n]+@)?(?:www\.)?([^:\/\n]+)"")),"""")"),"theartisticelements.com")</f>
        <v>theartisticelements.com</v>
      </c>
    </row>
    <row r="68" spans="2:7" ht="12.5">
      <c r="B68" s="27" t="s">
        <v>10132</v>
      </c>
      <c r="C68" s="8" t="s">
        <v>99</v>
      </c>
      <c r="D68" s="25" t="str">
        <f ca="1">IFERROR(__xludf.DUMMYFUNCTION("IFERROR(ARRAYFORMULA(REGEXEXTRACT(C68,""^(?:https?:\/\/)?(?:[^@\n]+@)?(?:www\.)?([^:\/\n]+)"")),"""")"),"avanzatodesign.com")</f>
        <v>avanzatodesign.com</v>
      </c>
    </row>
    <row r="69" spans="2:7" ht="12.5">
      <c r="B69" s="27" t="s">
        <v>10132</v>
      </c>
      <c r="C69" s="8" t="s">
        <v>100</v>
      </c>
      <c r="D69" s="25" t="str">
        <f ca="1">IFERROR(__xludf.DUMMYFUNCTION("IFERROR(ARRAYFORMULA(REGEXEXTRACT(C69,""^(?:https?:\/\/)?(?:[^@\n]+@)?(?:www\.)?([^:\/\n]+)"")),"""")"),"chanceydesign.com")</f>
        <v>chanceydesign.com</v>
      </c>
    </row>
    <row r="70" spans="2:7" ht="12.5">
      <c r="B70" s="27" t="s">
        <v>10132</v>
      </c>
      <c r="C70" s="8" t="s">
        <v>101</v>
      </c>
      <c r="D70" s="25" t="str">
        <f ca="1">IFERROR(__xludf.DUMMYFUNCTION("IFERROR(ARRAYFORMULA(REGEXEXTRACT(C70,""^(?:https?:\/\/)?(?:[^@\n]+@)?(?:www\.)?([^:\/\n]+)"")),"""")"),"gagemartin.com")</f>
        <v>gagemartin.com</v>
      </c>
    </row>
    <row r="71" spans="2:7" ht="12.5">
      <c r="B71" s="27" t="s">
        <v>10132</v>
      </c>
      <c r="C71" s="8" t="s">
        <v>102</v>
      </c>
      <c r="D71" s="25" t="str">
        <f ca="1">IFERROR(__xludf.DUMMYFUNCTION("IFERROR(ARRAYFORMULA(REGEXEXTRACT(C71,""^(?:https?:\/\/)?(?:[^@\n]+@)?(?:www\.)?([^:\/\n]+)"")),"""")"),"kaelynschmidtdesign.com")</f>
        <v>kaelynschmidtdesign.com</v>
      </c>
      <c r="G71" s="30"/>
    </row>
    <row r="72" spans="2:7" ht="12.5">
      <c r="B72" s="27" t="s">
        <v>10132</v>
      </c>
      <c r="C72" s="8" t="s">
        <v>103</v>
      </c>
      <c r="D72" s="25" t="str">
        <f ca="1">IFERROR(__xludf.DUMMYFUNCTION("IFERROR(ARRAYFORMULA(REGEXEXTRACT(C72,""^(?:https?:\/\/)?(?:[^@\n]+@)?(?:www\.)?([^:\/\n]+)"")),"""")"),"brittocharette.com")</f>
        <v>brittocharette.com</v>
      </c>
    </row>
    <row r="73" spans="2:7" ht="12.5">
      <c r="B73" s="27" t="s">
        <v>10132</v>
      </c>
      <c r="C73" s="8" t="s">
        <v>104</v>
      </c>
      <c r="D73" s="25" t="str">
        <f ca="1">IFERROR(__xludf.DUMMYFUNCTION("IFERROR(ARRAYFORMULA(REGEXEXTRACT(C73,""^(?:https?:\/\/)?(?:[^@\n]+@)?(?:www\.)?([^:\/\n]+)"")),"""")"),"byronchandlerinteriors.com")</f>
        <v>byronchandlerinteriors.com</v>
      </c>
    </row>
    <row r="74" spans="2:7" ht="12.5">
      <c r="B74" s="27" t="s">
        <v>10132</v>
      </c>
      <c r="C74" s="8" t="s">
        <v>105</v>
      </c>
      <c r="D74" s="25" t="str">
        <f ca="1">IFERROR(__xludf.DUMMYFUNCTION("IFERROR(ARRAYFORMULA(REGEXEXTRACT(C74,""^(?:https?:\/\/)?(?:[^@\n]+@)?(?:www\.)?([^:\/\n]+)"")),"""")"),"ds-miami.com")</f>
        <v>ds-miami.com</v>
      </c>
    </row>
    <row r="75" spans="2:7" ht="12.5">
      <c r="B75" s="27" t="s">
        <v>10132</v>
      </c>
      <c r="C75" s="8" t="s">
        <v>106</v>
      </c>
      <c r="D75" s="25" t="str">
        <f ca="1">IFERROR(__xludf.DUMMYFUNCTION("IFERROR(ARRAYFORMULA(REGEXEXTRACT(C75,""^(?:https?:\/\/)?(?:[^@\n]+@)?(?:www\.)?([^:\/\n]+)"")),"""")"),"micamydesign.com")</f>
        <v>micamydesign.com</v>
      </c>
    </row>
    <row r="76" spans="2:7" ht="12.5">
      <c r="B76" s="27" t="s">
        <v>10132</v>
      </c>
      <c r="C76" s="8" t="s">
        <v>107</v>
      </c>
      <c r="D76" s="25" t="str">
        <f ca="1">IFERROR(__xludf.DUMMYFUNCTION("IFERROR(ARRAYFORMULA(REGEXEXTRACT(C76,""^(?:https?:\/\/)?(?:[^@\n]+@)?(?:www\.)?([^:\/\n]+)"")),"""")"),"thedesignstudio.com")</f>
        <v>thedesignstudio.com</v>
      </c>
    </row>
    <row r="77" spans="2:7" ht="12.5">
      <c r="B77" s="27" t="s">
        <v>10132</v>
      </c>
      <c r="C77" s="8" t="s">
        <v>108</v>
      </c>
      <c r="D77" s="25" t="str">
        <f ca="1">IFERROR(__xludf.DUMMYFUNCTION("IFERROR(ARRAYFORMULA(REGEXEXTRACT(C77,""^(?:https?:\/\/)?(?:[^@\n]+@)?(?:www\.)?([^:\/\n]+)"")),"""")"),"ellenkavanaugh.com")</f>
        <v>ellenkavanaugh.com</v>
      </c>
    </row>
    <row r="78" spans="2:7" ht="12.5">
      <c r="B78" s="27" t="s">
        <v>10132</v>
      </c>
      <c r="C78" s="8" t="s">
        <v>109</v>
      </c>
      <c r="D78" s="25" t="str">
        <f ca="1">IFERROR(__xludf.DUMMYFUNCTION("IFERROR(ARRAYFORMULA(REGEXEXTRACT(C78,""^(?:https?:\/\/)?(?:[^@\n]+@)?(?:www\.)?([^:\/\n]+)"")),"""")"),"chinottohouse.com")</f>
        <v>chinottohouse.com</v>
      </c>
    </row>
    <row r="79" spans="2:7" ht="12.5">
      <c r="B79" s="27" t="s">
        <v>10132</v>
      </c>
      <c r="C79" s="8" t="s">
        <v>110</v>
      </c>
      <c r="D79" s="25" t="str">
        <f ca="1">IFERROR(__xludf.DUMMYFUNCTION("IFERROR(ARRAYFORMULA(REGEXEXTRACT(C79,""^(?:https?:\/\/)?(?:[^@\n]+@)?(?:www\.)?([^:\/\n]+)"")),"""")"),"vogueinteriors.com")</f>
        <v>vogueinteriors.com</v>
      </c>
    </row>
    <row r="80" spans="2:7" ht="12.5">
      <c r="B80" s="27" t="s">
        <v>10132</v>
      </c>
      <c r="C80" s="8" t="s">
        <v>111</v>
      </c>
      <c r="D80" s="25" t="str">
        <f ca="1">IFERROR(__xludf.DUMMYFUNCTION("IFERROR(ARRAYFORMULA(REGEXEXTRACT(C80,""^(?:https?:\/\/)?(?:[^@\n]+@)?(?:www\.)?([^:\/\n]+)"")),"""")"),"crespodesigngroup.com")</f>
        <v>crespodesigngroup.com</v>
      </c>
    </row>
    <row r="81" spans="2:7" ht="12.5">
      <c r="B81" s="27" t="s">
        <v>10132</v>
      </c>
      <c r="C81" s="8" t="s">
        <v>112</v>
      </c>
      <c r="D81" s="25" t="str">
        <f ca="1">IFERROR(__xludf.DUMMYFUNCTION("IFERROR(ARRAYFORMULA(REGEXEXTRACT(C81,""^(?:https?:\/\/)?(?:[^@\n]+@)?(?:www\.)?([^:\/\n]+)"")),"""")"),"exclusivelytodesign.com")</f>
        <v>exclusivelytodesign.com</v>
      </c>
    </row>
    <row r="82" spans="2:7" ht="12.5">
      <c r="B82" s="27" t="s">
        <v>10132</v>
      </c>
      <c r="C82" s="11" t="s">
        <v>113</v>
      </c>
      <c r="D82" s="25" t="str">
        <f ca="1">IFERROR(__xludf.DUMMYFUNCTION("IFERROR(ARRAYFORMULA(REGEXEXTRACT(C82,""^(?:https?:\/\/)?(?:[^@\n]+@)?(?:www\.)?([^:\/\n]+)"")),"""")"),"nestingplaceinteriors.com")</f>
        <v>nestingplaceinteriors.com</v>
      </c>
    </row>
    <row r="83" spans="2:7" ht="12.5">
      <c r="D83" s="26" t="str">
        <f ca="1">IFERROR(__xludf.DUMMYFUNCTION("IFERROR(ARRAYFORMULA(REGEXEXTRACT(C83,""^(?:https?:\/\/)?(?:[^@\n]+@)?(?:www\.)?([^:\/\n]+)"")),"""")"),"")</f>
        <v/>
      </c>
      <c r="G83" s="30"/>
    </row>
    <row r="84" spans="2:7" ht="12.5">
      <c r="B84" s="27" t="s">
        <v>10133</v>
      </c>
      <c r="C84" s="8" t="s">
        <v>114</v>
      </c>
      <c r="D84" s="25" t="str">
        <f ca="1">IFERROR(__xludf.DUMMYFUNCTION("IFERROR(ARRAYFORMULA(REGEXEXTRACT(C84,""^(?:https?:\/\/)?(?:[^@\n]+@)?(?:www\.)?([^:\/\n]+)"")),"""")"),"acdis.org")</f>
        <v>acdis.org</v>
      </c>
    </row>
    <row r="85" spans="2:7" ht="12.5">
      <c r="B85" s="27" t="s">
        <v>10133</v>
      </c>
      <c r="C85" s="8" t="s">
        <v>115</v>
      </c>
      <c r="D85" s="25" t="str">
        <f ca="1">IFERROR(__xludf.DUMMYFUNCTION("IFERROR(ARRAYFORMULA(REGEXEXTRACT(C85,""^(?:https?:\/\/)?(?:[^@\n]+@)?(?:www\.)?([^:\/\n]+)"")),"""")"),"petersvalley.org")</f>
        <v>petersvalley.org</v>
      </c>
    </row>
    <row r="86" spans="2:7" ht="12.5">
      <c r="B86" s="27" t="s">
        <v>10133</v>
      </c>
      <c r="C86" s="8" t="s">
        <v>116</v>
      </c>
      <c r="D86" s="25" t="str">
        <f ca="1">IFERROR(__xludf.DUMMYFUNCTION("IFERROR(ARRAYFORMULA(REGEXEXTRACT(C86,""^(?:https?:\/\/)?(?:[^@\n]+@)?(?:www\.)?([^:\/\n]+)"")),"""")"),"cozen.com")</f>
        <v>cozen.com</v>
      </c>
    </row>
    <row r="87" spans="2:7" ht="12.5">
      <c r="B87" s="27" t="s">
        <v>10133</v>
      </c>
      <c r="C87" s="8" t="s">
        <v>117</v>
      </c>
      <c r="D87" s="25" t="str">
        <f ca="1">IFERROR(__xludf.DUMMYFUNCTION("IFERROR(ARRAYFORMULA(REGEXEXTRACT(C87,""^(?:https?:\/\/)?(?:[^@\n]+@)?(?:www\.)?([^:\/\n]+)"")),"""")"),"wilsonsociety.org")</f>
        <v>wilsonsociety.org</v>
      </c>
    </row>
    <row r="88" spans="2:7" ht="12.5">
      <c r="B88" s="27" t="s">
        <v>10133</v>
      </c>
      <c r="C88" s="8" t="s">
        <v>118</v>
      </c>
      <c r="D88" s="25" t="str">
        <f ca="1">IFERROR(__xludf.DUMMYFUNCTION("IFERROR(ARRAYFORMULA(REGEXEXTRACT(C88,""^(?:https?:\/\/)?(?:[^@\n]+@)?(?:www\.)?([^:\/\n]+)"")),"""")"),"thetrek.co")</f>
        <v>thetrek.co</v>
      </c>
    </row>
    <row r="89" spans="2:7" ht="12.5">
      <c r="B89" s="27" t="s">
        <v>10133</v>
      </c>
      <c r="C89" s="8" t="s">
        <v>119</v>
      </c>
      <c r="D89" s="25" t="str">
        <f ca="1">IFERROR(__xludf.DUMMYFUNCTION("IFERROR(ARRAYFORMULA(REGEXEXTRACT(C89,""^(?:https?:\/\/)?(?:[^@\n]+@)?(?:www\.)?([^:\/\n]+)"")),"""")"),"caamedia.org")</f>
        <v>caamedia.org</v>
      </c>
    </row>
    <row r="90" spans="2:7" ht="12.5">
      <c r="B90" s="27" t="s">
        <v>10133</v>
      </c>
      <c r="C90" s="8" t="s">
        <v>120</v>
      </c>
      <c r="D90" s="25" t="str">
        <f ca="1">IFERROR(__xludf.DUMMYFUNCTION("IFERROR(ARRAYFORMULA(REGEXEXTRACT(C90,""^(?:https?:\/\/)?(?:[^@\n]+@)?(?:www\.)?([^:\/\n]+)"")),"""")"),"jimmcdonaldcool.com")</f>
        <v>jimmcdonaldcool.com</v>
      </c>
    </row>
    <row r="91" spans="2:7" ht="12.5">
      <c r="B91" s="27" t="s">
        <v>10133</v>
      </c>
      <c r="C91" s="8" t="s">
        <v>121</v>
      </c>
      <c r="D91" s="25" t="str">
        <f ca="1">IFERROR(__xludf.DUMMYFUNCTION("IFERROR(ARRAYFORMULA(REGEXEXTRACT(C91,""^(?:https?:\/\/)?(?:[^@\n]+@)?(?:www\.)?([^:\/\n]+)"")),"""")"),"localpassportfamily.com")</f>
        <v>localpassportfamily.com</v>
      </c>
    </row>
    <row r="92" spans="2:7" ht="12.5">
      <c r="B92" s="27" t="s">
        <v>10133</v>
      </c>
      <c r="C92" s="8" t="s">
        <v>122</v>
      </c>
      <c r="D92" s="25" t="str">
        <f ca="1">IFERROR(__xludf.DUMMYFUNCTION("IFERROR(ARRAYFORMULA(REGEXEXTRACT(C92,""^(?:https?:\/\/)?(?:[^@\n]+@)?(?:www\.)?([^:\/\n]+)"")),"""")"),"carolnewmancronin.com")</f>
        <v>carolnewmancronin.com</v>
      </c>
    </row>
    <row r="93" spans="2:7" ht="12.5">
      <c r="B93" s="27" t="s">
        <v>10133</v>
      </c>
      <c r="C93" s="8" t="s">
        <v>123</v>
      </c>
      <c r="D93" s="25" t="str">
        <f ca="1">IFERROR(__xludf.DUMMYFUNCTION("IFERROR(ARRAYFORMULA(REGEXEXTRACT(C93,""^(?:https?:\/\/)?(?:[^@\n]+@)?(?:www\.)?([^:\/\n]+)"")),"""")"),"als.org")</f>
        <v>als.org</v>
      </c>
    </row>
    <row r="94" spans="2:7" ht="12.5">
      <c r="B94" s="27" t="s">
        <v>10133</v>
      </c>
      <c r="C94" s="8" t="s">
        <v>124</v>
      </c>
      <c r="D94" s="25" t="str">
        <f ca="1">IFERROR(__xludf.DUMMYFUNCTION("IFERROR(ARRAYFORMULA(REGEXEXTRACT(C94,""^(?:https?:\/\/)?(?:[^@\n]+@)?(?:www\.)?([^:\/\n]+)"")),"""")"),"mineralsmakelife.org")</f>
        <v>mineralsmakelife.org</v>
      </c>
    </row>
    <row r="95" spans="2:7" ht="12.5">
      <c r="B95" s="27" t="s">
        <v>10133</v>
      </c>
      <c r="C95" s="8" t="s">
        <v>125</v>
      </c>
      <c r="D95" s="25" t="str">
        <f ca="1">IFERROR(__xludf.DUMMYFUNCTION("IFERROR(ARRAYFORMULA(REGEXEXTRACT(C95,""^(?:https?:\/\/)?(?:[^@\n]+@)?(?:www\.)?([^:\/\n]+)"")),"""")"),"blogs.ethnos360.org")</f>
        <v>blogs.ethnos360.org</v>
      </c>
    </row>
    <row r="96" spans="2:7" ht="12.5">
      <c r="B96" s="27" t="s">
        <v>10133</v>
      </c>
      <c r="C96" s="8" t="s">
        <v>126</v>
      </c>
      <c r="D96" s="25" t="str">
        <f ca="1">IFERROR(__xludf.DUMMYFUNCTION("IFERROR(ARRAYFORMULA(REGEXEXTRACT(C96,""^(?:https?:\/\/)?(?:[^@\n]+@)?(?:www\.)?([^:\/\n]+)"")),"""")"),"rosebuilding.com")</f>
        <v>rosebuilding.com</v>
      </c>
    </row>
    <row r="97" spans="2:4" ht="12.5">
      <c r="B97" s="27" t="s">
        <v>10133</v>
      </c>
      <c r="C97" s="8" t="s">
        <v>127</v>
      </c>
      <c r="D97" s="25" t="str">
        <f ca="1">IFERROR(__xludf.DUMMYFUNCTION("IFERROR(ARRAYFORMULA(REGEXEXTRACT(C97,""^(?:https?:\/\/)?(?:[^@\n]+@)?(?:www\.)?([^:\/\n]+)"")),"""")"),"droolius.com")</f>
        <v>droolius.com</v>
      </c>
    </row>
    <row r="98" spans="2:4" ht="12.5">
      <c r="B98" s="27" t="s">
        <v>10133</v>
      </c>
      <c r="C98" s="8" t="s">
        <v>128</v>
      </c>
      <c r="D98" s="25" t="str">
        <f ca="1">IFERROR(__xludf.DUMMYFUNCTION("IFERROR(ARRAYFORMULA(REGEXEXTRACT(C98,""^(?:https?:\/\/)?(?:[^@\n]+@)?(?:www\.)?([^:\/\n]+)"")),"""")"),"nodeadguys.com")</f>
        <v>nodeadguys.com</v>
      </c>
    </row>
    <row r="99" spans="2:4" ht="12.5">
      <c r="B99" s="27" t="s">
        <v>10133</v>
      </c>
      <c r="C99" s="8" t="s">
        <v>129</v>
      </c>
      <c r="D99" s="25" t="str">
        <f ca="1">IFERROR(__xludf.DUMMYFUNCTION("IFERROR(ARRAYFORMULA(REGEXEXTRACT(C99,""^(?:https?:\/\/)?(?:[^@\n]+@)?(?:www\.)?([^:\/\n]+)"")),"""")"),"revivalchiropractic.com")</f>
        <v>revivalchiropractic.com</v>
      </c>
    </row>
    <row r="100" spans="2:4" ht="12.5">
      <c r="B100" s="27" t="s">
        <v>10133</v>
      </c>
      <c r="C100" s="8" t="s">
        <v>130</v>
      </c>
      <c r="D100" s="25" t="str">
        <f ca="1">IFERROR(__xludf.DUMMYFUNCTION("IFERROR(ARRAYFORMULA(REGEXEXTRACT(C100,""^(?:https?:\/\/)?(?:[^@\n]+@)?(?:www\.)?([^:\/\n]+)"")),"""")"),"kristenwynnphotography.com")</f>
        <v>kristenwynnphotography.com</v>
      </c>
    </row>
    <row r="101" spans="2:4" ht="12.5">
      <c r="B101" s="27" t="s">
        <v>10133</v>
      </c>
      <c r="C101" s="8" t="s">
        <v>131</v>
      </c>
      <c r="D101" s="25" t="str">
        <f ca="1">IFERROR(__xludf.DUMMYFUNCTION("IFERROR(ARRAYFORMULA(REGEXEXTRACT(C101,""^(?:https?:\/\/)?(?:[^@\n]+@)?(?:www\.)?([^:\/\n]+)"")),"""")"),"bethfinke.com")</f>
        <v>bethfinke.com</v>
      </c>
    </row>
    <row r="102" spans="2:4" ht="12.5">
      <c r="B102" s="27" t="s">
        <v>10133</v>
      </c>
      <c r="C102" s="8" t="s">
        <v>132</v>
      </c>
      <c r="D102" s="25" t="str">
        <f ca="1">IFERROR(__xludf.DUMMYFUNCTION("IFERROR(ARRAYFORMULA(REGEXEXTRACT(C102,""^(?:https?:\/\/)?(?:[^@\n]+@)?(?:www\.)?([^:\/\n]+)"")),"""")"),"votewater.org")</f>
        <v>votewater.org</v>
      </c>
    </row>
    <row r="103" spans="2:4" ht="12.5">
      <c r="B103" s="27" t="s">
        <v>10133</v>
      </c>
      <c r="C103" s="8" t="s">
        <v>133</v>
      </c>
      <c r="D103" s="25" t="str">
        <f ca="1">IFERROR(__xludf.DUMMYFUNCTION("IFERROR(ARRAYFORMULA(REGEXEXTRACT(C103,""^(?:https?:\/\/)?(?:[^@\n]+@)?(?:www\.)?([^:\/\n]+)"")),"""")"),"frostscience.org")</f>
        <v>frostscience.org</v>
      </c>
    </row>
    <row r="104" spans="2:4" ht="12.5">
      <c r="B104" s="27" t="s">
        <v>10133</v>
      </c>
      <c r="C104" s="8" t="s">
        <v>134</v>
      </c>
      <c r="D104" s="25" t="str">
        <f ca="1">IFERROR(__xludf.DUMMYFUNCTION("IFERROR(ARRAYFORMULA(REGEXEXTRACT(C104,""^(?:https?:\/\/)?(?:[^@\n]+@)?(?:www\.)?([^:\/\n]+)"")),"""")"),"heysigmund.com")</f>
        <v>heysigmund.com</v>
      </c>
    </row>
    <row r="105" spans="2:4" ht="12.5">
      <c r="B105" s="27" t="s">
        <v>10133</v>
      </c>
      <c r="C105" s="8" t="s">
        <v>135</v>
      </c>
      <c r="D105" s="25" t="str">
        <f ca="1">IFERROR(__xludf.DUMMYFUNCTION("IFERROR(ARRAYFORMULA(REGEXEXTRACT(C105,""^(?:https?:\/\/)?(?:[^@\n]+@)?(?:www\.)?([^:\/\n]+)"")),"""")"),"firstcoastcardio.com")</f>
        <v>firstcoastcardio.com</v>
      </c>
    </row>
    <row r="106" spans="2:4" ht="12.5">
      <c r="B106" s="27" t="s">
        <v>10133</v>
      </c>
      <c r="C106" s="8" t="s">
        <v>136</v>
      </c>
      <c r="D106" s="25" t="str">
        <f ca="1">IFERROR(__xludf.DUMMYFUNCTION("IFERROR(ARRAYFORMULA(REGEXEXTRACT(C106,""^(?:https?:\/\/)?(?:[^@\n]+@)?(?:www\.)?([^:\/\n]+)"")),"""")"),"floatoncounseling.com")</f>
        <v>floatoncounseling.com</v>
      </c>
    </row>
    <row r="107" spans="2:4" ht="12.5">
      <c r="B107" s="27" t="s">
        <v>10133</v>
      </c>
      <c r="C107" s="8" t="s">
        <v>137</v>
      </c>
      <c r="D107" s="25" t="str">
        <f ca="1">IFERROR(__xludf.DUMMYFUNCTION("IFERROR(ARRAYFORMULA(REGEXEXTRACT(C107,""^(?:https?:\/\/)?(?:[^@\n]+@)?(?:www\.)?([^:\/\n]+)"")),"""")"),"decaseconds.com")</f>
        <v>decaseconds.com</v>
      </c>
    </row>
    <row r="108" spans="2:4" ht="12.5">
      <c r="D108" s="26" t="str">
        <f ca="1">IFERROR(__xludf.DUMMYFUNCTION("IFERROR(ARRAYFORMULA(REGEXEXTRACT(C108,""^(?:https?:\/\/)?(?:[^@\n]+@)?(?:www\.)?([^:\/\n]+)"")),"""")"),"")</f>
        <v/>
      </c>
    </row>
    <row r="109" spans="2:4" ht="12.5">
      <c r="B109" s="27" t="s">
        <v>10132</v>
      </c>
      <c r="C109" s="8" t="s">
        <v>138</v>
      </c>
      <c r="D109" s="25" t="str">
        <f ca="1">IFERROR(__xludf.DUMMYFUNCTION("IFERROR(ARRAYFORMULA(REGEXEXTRACT(C109,""^(?:https?:\/\/)?(?:[^@\n]+@)?(?:www\.)?([^:\/\n]+)"")),"""")"),"indetailinteriors.com")</f>
        <v>indetailinteriors.com</v>
      </c>
    </row>
    <row r="110" spans="2:4" ht="12.5">
      <c r="B110" s="27" t="s">
        <v>10132</v>
      </c>
      <c r="C110" s="8" t="s">
        <v>139</v>
      </c>
      <c r="D110" s="25" t="str">
        <f ca="1">IFERROR(__xludf.DUMMYFUNCTION("IFERROR(ARRAYFORMULA(REGEXEXTRACT(C110,""^(?:https?:\/\/)?(?:[^@\n]+@)?(?:www\.)?([^:\/\n]+)"")),"""")"),"shusterdesign.com")</f>
        <v>shusterdesign.com</v>
      </c>
    </row>
    <row r="111" spans="2:4" ht="12.5">
      <c r="B111" s="27" t="s">
        <v>10132</v>
      </c>
      <c r="C111" s="11" t="s">
        <v>140</v>
      </c>
      <c r="D111" s="25" t="str">
        <f ca="1">IFERROR(__xludf.DUMMYFUNCTION("IFERROR(ARRAYFORMULA(REGEXEXTRACT(C111,""^(?:https?:\/\/)?(?:[^@\n]+@)?(?:www\.)?([^:\/\n]+)"")),"""")"),"interiordesignconsult.com")</f>
        <v>interiordesignconsult.com</v>
      </c>
    </row>
    <row r="112" spans="2:4" ht="12.5">
      <c r="B112" s="27" t="s">
        <v>10132</v>
      </c>
      <c r="C112" s="11" t="s">
        <v>141</v>
      </c>
      <c r="D112" s="25" t="str">
        <f ca="1">IFERROR(__xludf.DUMMYFUNCTION("IFERROR(ARRAYFORMULA(REGEXEXTRACT(C112,""^(?:https?:\/\/)?(?:[^@\n]+@)?(?:www\.)?([^:\/\n]+)"")),"""")"),"smithinteriordesignfl.com")</f>
        <v>smithinteriordesignfl.com</v>
      </c>
    </row>
    <row r="113" spans="2:7" ht="12.5">
      <c r="B113" s="27" t="s">
        <v>10132</v>
      </c>
      <c r="C113" s="8" t="s">
        <v>142</v>
      </c>
      <c r="D113" s="25" t="str">
        <f ca="1">IFERROR(__xludf.DUMMYFUNCTION("IFERROR(ARRAYFORMULA(REGEXEXTRACT(C113,""^(?:https?:\/\/)?(?:[^@\n]+@)?(?:www\.)?([^:\/\n]+)"")),"""")"),"orangemooninteriors.com")</f>
        <v>orangemooninteriors.com</v>
      </c>
    </row>
    <row r="114" spans="2:7" ht="12.5">
      <c r="B114" s="27" t="s">
        <v>10132</v>
      </c>
      <c r="C114" s="8" t="s">
        <v>143</v>
      </c>
      <c r="D114" s="25" t="str">
        <f ca="1">IFERROR(__xludf.DUMMYFUNCTION("IFERROR(ARRAYFORMULA(REGEXEXTRACT(C114,""^(?:https?:\/\/)?(?:[^@\n]+@)?(?:www\.)?([^:\/\n]+)"")),"""")"),"jntinteriors.com")</f>
        <v>jntinteriors.com</v>
      </c>
    </row>
    <row r="115" spans="2:7" ht="12.5">
      <c r="B115" s="27" t="s">
        <v>10132</v>
      </c>
      <c r="C115" s="8" t="s">
        <v>144</v>
      </c>
      <c r="D115" s="25" t="str">
        <f ca="1">IFERROR(__xludf.DUMMYFUNCTION("IFERROR(ARRAYFORMULA(REGEXEXTRACT(C115,""^(?:https?:\/\/)?(?:[^@\n]+@)?(?:www\.)?([^:\/\n]+)"")),"""")"),"emilymossdesigns.com")</f>
        <v>emilymossdesigns.com</v>
      </c>
    </row>
    <row r="116" spans="2:7" ht="12.5">
      <c r="B116" s="27" t="s">
        <v>10132</v>
      </c>
      <c r="C116" s="8" t="s">
        <v>145</v>
      </c>
      <c r="D116" s="25" t="str">
        <f ca="1">IFERROR(__xludf.DUMMYFUNCTION("IFERROR(ARRAYFORMULA(REGEXEXTRACT(C116,""^(?:https?:\/\/)?(?:[^@\n]+@)?(?:www\.)?([^:\/\n]+)"")),"""")"),"natalianeverko.com")</f>
        <v>natalianeverko.com</v>
      </c>
    </row>
    <row r="117" spans="2:7" ht="12.5">
      <c r="B117" s="27" t="s">
        <v>10132</v>
      </c>
      <c r="C117" s="8" t="s">
        <v>146</v>
      </c>
      <c r="D117" s="25" t="str">
        <f ca="1">IFERROR(__xludf.DUMMYFUNCTION("IFERROR(ARRAYFORMULA(REGEXEXTRACT(C117,""^(?:https?:\/\/)?(?:[^@\n]+@)?(?:www\.)?([^:\/\n]+)"")),"""")"),"twinteriors.com")</f>
        <v>twinteriors.com</v>
      </c>
    </row>
    <row r="118" spans="2:7" ht="12.5">
      <c r="B118" s="27" t="s">
        <v>10132</v>
      </c>
      <c r="C118" s="8" t="s">
        <v>147</v>
      </c>
      <c r="D118" s="25" t="str">
        <f ca="1">IFERROR(__xludf.DUMMYFUNCTION("IFERROR(ARRAYFORMULA(REGEXEXTRACT(C118,""^(?:https?:\/\/)?(?:[^@\n]+@)?(?:www\.)?([^:\/\n]+)"")),"""")"),"traceryinteriors.wordpress.com")</f>
        <v>traceryinteriors.wordpress.com</v>
      </c>
    </row>
    <row r="119" spans="2:7" ht="12.5">
      <c r="B119" s="27" t="s">
        <v>10132</v>
      </c>
      <c r="C119" s="8" t="s">
        <v>148</v>
      </c>
      <c r="D119" s="25" t="str">
        <f ca="1">IFERROR(__xludf.DUMMYFUNCTION("IFERROR(ARRAYFORMULA(REGEXEXTRACT(C119,""^(?:https?:\/\/)?(?:[^@\n]+@)?(?:www\.)?([^:\/\n]+)"")),"""")"),"acloreinteriors.com")</f>
        <v>acloreinteriors.com</v>
      </c>
    </row>
    <row r="120" spans="2:7" ht="12.5">
      <c r="B120" s="27" t="s">
        <v>10132</v>
      </c>
      <c r="C120" s="8" t="s">
        <v>149</v>
      </c>
      <c r="D120" s="25" t="str">
        <f ca="1">IFERROR(__xludf.DUMMYFUNCTION("IFERROR(ARRAYFORMULA(REGEXEXTRACT(C120,""^(?:https?:\/\/)?(?:[^@\n]+@)?(?:www\.)?([^:\/\n]+)"")),"""")"),"jlynn-design.com")</f>
        <v>jlynn-design.com</v>
      </c>
    </row>
    <row r="121" spans="2:7" ht="12.5">
      <c r="D121" s="26" t="str">
        <f ca="1">IFERROR(__xludf.DUMMYFUNCTION("IFERROR(ARRAYFORMULA(REGEXEXTRACT(C121,""^(?:https?:\/\/)?(?:[^@\n]+@)?(?:www\.)?([^:\/\n]+)"")),"""")"),"")</f>
        <v/>
      </c>
    </row>
    <row r="122" spans="2:7" ht="12.5">
      <c r="B122" s="27" t="s">
        <v>10133</v>
      </c>
      <c r="C122" s="8" t="s">
        <v>150</v>
      </c>
      <c r="D122" s="25" t="str">
        <f ca="1">IFERROR(__xludf.DUMMYFUNCTION("IFERROR(ARRAYFORMULA(REGEXEXTRACT(C122,""^(?:https?:\/\/)?(?:[^@\n]+@)?(?:www\.)?([^:\/\n]+)"")),"""")"),"ninofilm.net")</f>
        <v>ninofilm.net</v>
      </c>
    </row>
    <row r="123" spans="2:7" ht="12.5">
      <c r="B123" s="27" t="s">
        <v>10133</v>
      </c>
      <c r="C123" s="8" t="s">
        <v>151</v>
      </c>
      <c r="D123" s="25" t="str">
        <f ca="1">IFERROR(__xludf.DUMMYFUNCTION("IFERROR(ARRAYFORMULA(REGEXEXTRACT(C123,""^(?:https?:\/\/)?(?:[^@\n]+@)?(?:www\.)?([^:\/\n]+)"")),"""")"),"debbimack.com")</f>
        <v>debbimack.com</v>
      </c>
    </row>
    <row r="124" spans="2:7" ht="12.5">
      <c r="B124" s="27" t="s">
        <v>10133</v>
      </c>
      <c r="C124" s="8" t="s">
        <v>152</v>
      </c>
      <c r="D124" s="25" t="str">
        <f ca="1">IFERROR(__xludf.DUMMYFUNCTION("IFERROR(ARRAYFORMULA(REGEXEXTRACT(C124,""^(?:https?:\/\/)?(?:[^@\n]+@)?(?:www\.)?([^:\/\n]+)"")),"""")"),"aliciapollard.com")</f>
        <v>aliciapollard.com</v>
      </c>
    </row>
    <row r="125" spans="2:7" ht="12.5">
      <c r="B125" s="27" t="s">
        <v>10133</v>
      </c>
      <c r="C125" s="8" t="s">
        <v>153</v>
      </c>
      <c r="D125" s="25" t="str">
        <f ca="1">IFERROR(__xludf.DUMMYFUNCTION("IFERROR(ARRAYFORMULA(REGEXEXTRACT(C125,""^(?:https?:\/\/)?(?:[^@\n]+@)?(?:www\.)?([^:\/\n]+)"")),"""")"),"kitchenbutterfly.com")</f>
        <v>kitchenbutterfly.com</v>
      </c>
    </row>
    <row r="126" spans="2:7" ht="12.5">
      <c r="B126" s="27" t="s">
        <v>10133</v>
      </c>
      <c r="C126" s="8" t="s">
        <v>154</v>
      </c>
      <c r="D126" s="25" t="str">
        <f ca="1">IFERROR(__xludf.DUMMYFUNCTION("IFERROR(ARRAYFORMULA(REGEXEXTRACT(C126,""^(?:https?:\/\/)?(?:[^@\n]+@)?(?:www\.)?([^:\/\n]+)"")),"""")"),"dailyhodl.com")</f>
        <v>dailyhodl.com</v>
      </c>
    </row>
    <row r="127" spans="2:7" ht="12.5">
      <c r="B127" s="27" t="s">
        <v>10133</v>
      </c>
      <c r="C127" s="8" t="s">
        <v>155</v>
      </c>
      <c r="D127" s="25" t="str">
        <f ca="1">IFERROR(__xludf.DUMMYFUNCTION("IFERROR(ARRAYFORMULA(REGEXEXTRACT(C127,""^(?:https?:\/\/)?(?:[^@\n]+@)?(?:www\.)?([^:\/\n]+)"")),"""")"),"thisdetailedlife.com")</f>
        <v>thisdetailedlife.com</v>
      </c>
      <c r="G127" s="30"/>
    </row>
    <row r="128" spans="2:7" ht="12.5">
      <c r="B128" s="27" t="s">
        <v>10133</v>
      </c>
      <c r="C128" s="8" t="s">
        <v>156</v>
      </c>
      <c r="D128" s="26" t="str">
        <f ca="1">IFERROR(__xludf.DUMMYFUNCTION("IFERROR(ARRAYFORMULA(REGEXEXTRACT(C128,""^(?:https?:\/\/)?(?:[^@\n]+@)?(?:www\.)?([^:\/\n]+)"")),"""")"),"godfullyknown.blog")</f>
        <v>godfullyknown.blog</v>
      </c>
    </row>
    <row r="129" spans="2:7" ht="12.5">
      <c r="B129" s="27" t="s">
        <v>10133</v>
      </c>
      <c r="C129" s="8" t="s">
        <v>157</v>
      </c>
      <c r="D129" s="25" t="str">
        <f ca="1">IFERROR(__xludf.DUMMYFUNCTION("IFERROR(ARRAYFORMULA(REGEXEXTRACT(C129,""^(?:https?:\/\/)?(?:[^@\n]+@)?(?:www\.)?([^:\/\n]+)"")),"""")"),"leekofman.com.au")</f>
        <v>leekofman.com.au</v>
      </c>
    </row>
    <row r="130" spans="2:7" ht="12.5">
      <c r="B130" s="27" t="s">
        <v>10133</v>
      </c>
      <c r="C130" s="8" t="s">
        <v>158</v>
      </c>
      <c r="D130" s="25" t="str">
        <f ca="1">IFERROR(__xludf.DUMMYFUNCTION("IFERROR(ARRAYFORMULA(REGEXEXTRACT(C130,""^(?:https?:\/\/)?(?:[^@\n]+@)?(?:www\.)?([^:\/\n]+)"")),"""")"),"theprofessorisin.com")</f>
        <v>theprofessorisin.com</v>
      </c>
      <c r="G130" s="30"/>
    </row>
    <row r="131" spans="2:7" ht="12.5">
      <c r="B131" s="27" t="s">
        <v>10133</v>
      </c>
      <c r="C131" s="8" t="s">
        <v>159</v>
      </c>
      <c r="D131" s="25" t="str">
        <f ca="1">IFERROR(__xludf.DUMMYFUNCTION("IFERROR(ARRAYFORMULA(REGEXEXTRACT(C131,""^(?:https?:\/\/)?(?:[^@\n]+@)?(?:www\.)?([^:\/\n]+)"")),"""")"),"onestarrynight.com")</f>
        <v>onestarrynight.com</v>
      </c>
      <c r="G131" s="30"/>
    </row>
    <row r="132" spans="2:7" ht="12.5">
      <c r="B132" s="27" t="s">
        <v>10133</v>
      </c>
      <c r="C132" s="8" t="s">
        <v>160</v>
      </c>
      <c r="D132" s="25" t="str">
        <f ca="1">IFERROR(__xludf.DUMMYFUNCTION("IFERROR(ARRAYFORMULA(REGEXEXTRACT(C132,""^(?:https?:\/\/)?(?:[^@\n]+@)?(?:www\.)?([^:\/\n]+)"")),"""")"),"mitadmissions.org")</f>
        <v>mitadmissions.org</v>
      </c>
    </row>
    <row r="133" spans="2:7" ht="12.5">
      <c r="B133" s="27" t="s">
        <v>10133</v>
      </c>
      <c r="C133" s="8" t="s">
        <v>161</v>
      </c>
      <c r="D133" s="25" t="str">
        <f ca="1">IFERROR(__xludf.DUMMYFUNCTION("IFERROR(ARRAYFORMULA(REGEXEXTRACT(C133,""^(?:https?:\/\/)?(?:[^@\n]+@)?(?:www\.)?([^:\/\n]+)"")),"""")"),"terryambrose.com")</f>
        <v>terryambrose.com</v>
      </c>
    </row>
    <row r="134" spans="2:7" ht="12.5">
      <c r="B134" s="27" t="s">
        <v>10133</v>
      </c>
      <c r="C134" s="8" t="s">
        <v>162</v>
      </c>
      <c r="D134" s="25" t="str">
        <f ca="1">IFERROR(__xludf.DUMMYFUNCTION("IFERROR(ARRAYFORMULA(REGEXEXTRACT(C134,""^(?:https?:\/\/)?(?:[^@\n]+@)?(?:www\.)?([^:\/\n]+)"")),"""")"),"tabbysplace.org")</f>
        <v>tabbysplace.org</v>
      </c>
      <c r="G134" s="30"/>
    </row>
    <row r="135" spans="2:7" ht="12.5">
      <c r="B135" s="27" t="s">
        <v>10133</v>
      </c>
      <c r="C135" s="8" t="s">
        <v>163</v>
      </c>
      <c r="D135" s="25" t="str">
        <f ca="1">IFERROR(__xludf.DUMMYFUNCTION("IFERROR(ARRAYFORMULA(REGEXEXTRACT(C135,""^(?:https?:\/\/)?(?:[^@\n]+@)?(?:www\.)?([^:\/\n]+)"")),"""")"),"qrper.com")</f>
        <v>qrper.com</v>
      </c>
      <c r="G135" s="30"/>
    </row>
    <row r="136" spans="2:7" ht="12.5">
      <c r="B136" s="27" t="s">
        <v>10133</v>
      </c>
      <c r="C136" s="8" t="s">
        <v>164</v>
      </c>
      <c r="D136" s="25" t="str">
        <f ca="1">IFERROR(__xludf.DUMMYFUNCTION("IFERROR(ARRAYFORMULA(REGEXEXTRACT(C136,""^(?:https?:\/\/)?(?:[^@\n]+@)?(?:www\.)?([^:\/\n]+)"")),"""")"),"blog.downloadyouthministry.com")</f>
        <v>blog.downloadyouthministry.com</v>
      </c>
      <c r="G136" s="30"/>
    </row>
    <row r="137" spans="2:7" ht="12.5">
      <c r="B137" s="27" t="s">
        <v>10133</v>
      </c>
      <c r="C137" s="11" t="s">
        <v>165</v>
      </c>
      <c r="D137" s="25" t="str">
        <f ca="1">IFERROR(__xludf.DUMMYFUNCTION("IFERROR(ARRAYFORMULA(REGEXEXTRACT(C137,""^(?:https?:\/\/)?(?:[^@\n]+@)?(?:www\.)?([^:\/\n]+)"")),"""")"),"mackmediagroup.com")</f>
        <v>mackmediagroup.com</v>
      </c>
    </row>
    <row r="138" spans="2:7" ht="12.5">
      <c r="D138" s="26" t="str">
        <f ca="1">IFERROR(__xludf.DUMMYFUNCTION("IFERROR(ARRAYFORMULA(REGEXEXTRACT(C138,""^(?:https?:\/\/)?(?:[^@\n]+@)?(?:www\.)?([^:\/\n]+)"")),"""")"),"")</f>
        <v/>
      </c>
    </row>
    <row r="139" spans="2:7" ht="12.5">
      <c r="B139" s="27" t="s">
        <v>10132</v>
      </c>
      <c r="C139" s="8" t="s">
        <v>166</v>
      </c>
      <c r="D139" s="25" t="str">
        <f ca="1">IFERROR(__xludf.DUMMYFUNCTION("IFERROR(ARRAYFORMULA(REGEXEXTRACT(C139,""^(?:https?:\/\/)?(?:[^@\n]+@)?(?:www\.)?([^:\/\n]+)"")),"""")"),"bontempsinteriors.com")</f>
        <v>bontempsinteriors.com</v>
      </c>
    </row>
    <row r="140" spans="2:7" ht="12.5">
      <c r="B140" s="27" t="s">
        <v>10132</v>
      </c>
      <c r="C140" s="8" t="s">
        <v>167</v>
      </c>
      <c r="D140" s="25" t="str">
        <f ca="1">IFERROR(__xludf.DUMMYFUNCTION("IFERROR(ARRAYFORMULA(REGEXEXTRACT(C140,""^(?:https?:\/\/)?(?:[^@\n]+@)?(?:www\.)?([^:\/\n]+)"")),"""")"),"miamiluxuryhomes.com")</f>
        <v>miamiluxuryhomes.com</v>
      </c>
    </row>
    <row r="141" spans="2:7" ht="12.5">
      <c r="B141" s="27" t="s">
        <v>10132</v>
      </c>
      <c r="C141" s="8" t="s">
        <v>168</v>
      </c>
      <c r="D141" s="25" t="str">
        <f ca="1">IFERROR(__xludf.DUMMYFUNCTION("IFERROR(ARRAYFORMULA(REGEXEXTRACT(C141,""^(?:https?:\/\/)?(?:[^@\n]+@)?(?:www\.)?([^:\/\n]+)"")),"""")"),"srqinteriordesign.com")</f>
        <v>srqinteriordesign.com</v>
      </c>
    </row>
    <row r="142" spans="2:7" ht="12.5">
      <c r="B142" s="27" t="s">
        <v>10132</v>
      </c>
      <c r="C142" s="8" t="s">
        <v>169</v>
      </c>
      <c r="D142" s="26" t="str">
        <f ca="1">IFERROR(__xludf.DUMMYFUNCTION("IFERROR(ARRAYFORMULA(REGEXEXTRACT(C142,""^(?:https?:\/\/)?(?:[^@\n]+@)?(?:www\.)?([^:\/\n]+)"")),"""")"),"beestudios.design")</f>
        <v>beestudios.design</v>
      </c>
    </row>
    <row r="143" spans="2:7" ht="12.5">
      <c r="B143" s="27" t="s">
        <v>10132</v>
      </c>
      <c r="C143" s="8" t="s">
        <v>170</v>
      </c>
      <c r="D143" s="25" t="str">
        <f ca="1">IFERROR(__xludf.DUMMYFUNCTION("IFERROR(ARRAYFORMULA(REGEXEXTRACT(C143,""^(?:https?:\/\/)?(?:[^@\n]+@)?(?:www\.)?([^:\/\n]+)"")),"""")"),"dewinedesign.com")</f>
        <v>dewinedesign.com</v>
      </c>
    </row>
    <row r="144" spans="2:7" ht="12.5">
      <c r="B144" s="27" t="s">
        <v>10132</v>
      </c>
      <c r="C144" s="8" t="s">
        <v>171</v>
      </c>
      <c r="D144" s="25" t="str">
        <f ca="1">IFERROR(__xludf.DUMMYFUNCTION("IFERROR(ARRAYFORMULA(REGEXEXTRACT(C144,""^(?:https?:\/\/)?(?:[^@\n]+@)?(?:www\.)?([^:\/\n]+)"")),"""")"),"leahmullerinteriors.com")</f>
        <v>leahmullerinteriors.com</v>
      </c>
    </row>
    <row r="145" spans="2:4" ht="12.5">
      <c r="B145" s="27" t="s">
        <v>10132</v>
      </c>
      <c r="C145" s="8" t="s">
        <v>172</v>
      </c>
      <c r="D145" s="25" t="str">
        <f ca="1">IFERROR(__xludf.DUMMYFUNCTION("IFERROR(ARRAYFORMULA(REGEXEXTRACT(C145,""^(?:https?:\/\/)?(?:[^@\n]+@)?(?:www\.)?([^:\/\n]+)"")),"""")"),"hshcollective.com")</f>
        <v>hshcollective.com</v>
      </c>
    </row>
    <row r="146" spans="2:4" ht="12.5">
      <c r="B146" s="27" t="s">
        <v>10132</v>
      </c>
      <c r="C146" s="8" t="s">
        <v>173</v>
      </c>
      <c r="D146" s="25" t="str">
        <f ca="1">IFERROR(__xludf.DUMMYFUNCTION("IFERROR(ARRAYFORMULA(REGEXEXTRACT(C146,""^(?:https?:\/\/)?(?:[^@\n]+@)?(?:www\.)?([^:\/\n]+)"")),"""")"),"elizabetherindesigns.com")</f>
        <v>elizabetherindesigns.com</v>
      </c>
    </row>
    <row r="147" spans="2:4" ht="12.5">
      <c r="B147" s="27" t="s">
        <v>10132</v>
      </c>
      <c r="C147" s="8" t="s">
        <v>174</v>
      </c>
      <c r="D147" s="25" t="str">
        <f ca="1">IFERROR(__xludf.DUMMYFUNCTION("IFERROR(ARRAYFORMULA(REGEXEXTRACT(C147,""^(?:https?:\/\/)?(?:[^@\n]+@)?(?:www\.)?([^:\/\n]+)"")),"""")"),"paladinorudd.com")</f>
        <v>paladinorudd.com</v>
      </c>
    </row>
    <row r="148" spans="2:4" ht="12.5">
      <c r="B148" s="27" t="s">
        <v>10132</v>
      </c>
      <c r="C148" s="8" t="s">
        <v>175</v>
      </c>
      <c r="D148" s="25" t="str">
        <f ca="1">IFERROR(__xludf.DUMMYFUNCTION("IFERROR(ARRAYFORMULA(REGEXEXTRACT(C148,""^(?:https?:\/\/)?(?:[^@\n]+@)?(?:www\.)?([^:\/\n]+)"")),"""")"),"bridgetinteriors.com")</f>
        <v>bridgetinteriors.com</v>
      </c>
    </row>
    <row r="149" spans="2:4" ht="12.5">
      <c r="D149" s="26" t="str">
        <f ca="1">IFERROR(__xludf.DUMMYFUNCTION("IFERROR(ARRAYFORMULA(REGEXEXTRACT(C149,""^(?:https?:\/\/)?(?:[^@\n]+@)?(?:www\.)?([^:\/\n]+)"")),"""")"),"")</f>
        <v/>
      </c>
    </row>
    <row r="150" spans="2:4" ht="12.5">
      <c r="B150" s="27" t="s">
        <v>10133</v>
      </c>
      <c r="C150" s="8" t="s">
        <v>176</v>
      </c>
      <c r="D150" s="25" t="str">
        <f ca="1">IFERROR(__xludf.DUMMYFUNCTION("IFERROR(ARRAYFORMULA(REGEXEXTRACT(C150,""^(?:https?:\/\/)?(?:[^@\n]+@)?(?:www\.)?([^:\/\n]+)"")),"""")"),"thehometrotters.com")</f>
        <v>thehometrotters.com</v>
      </c>
    </row>
    <row r="151" spans="2:4" ht="12.5">
      <c r="B151" s="27" t="s">
        <v>10133</v>
      </c>
      <c r="C151" s="8" t="s">
        <v>177</v>
      </c>
      <c r="D151" s="25" t="str">
        <f ca="1">IFERROR(__xludf.DUMMYFUNCTION("IFERROR(ARRAYFORMULA(REGEXEXTRACT(C151,""^(?:https?:\/\/)?(?:[^@\n]+@)?(?:www\.)?([^:\/\n]+)"")),"""")"),"livswonderfulescape.wordpress.com")</f>
        <v>livswonderfulescape.wordpress.com</v>
      </c>
    </row>
    <row r="152" spans="2:4" ht="12.5">
      <c r="B152" s="27" t="s">
        <v>10133</v>
      </c>
      <c r="C152" s="8" t="s">
        <v>178</v>
      </c>
      <c r="D152" s="25" t="str">
        <f ca="1">IFERROR(__xludf.DUMMYFUNCTION("IFERROR(ARRAYFORMULA(REGEXEXTRACT(C152,""^(?:https?:\/\/)?(?:[^@\n]+@)?(?:www\.)?([^:\/\n]+)"")),"""")"),"earlyamericanists.com")</f>
        <v>earlyamericanists.com</v>
      </c>
    </row>
    <row r="153" spans="2:4" ht="12.5">
      <c r="B153" s="27" t="s">
        <v>10133</v>
      </c>
      <c r="C153" s="8" t="s">
        <v>179</v>
      </c>
      <c r="D153" s="25" t="str">
        <f ca="1">IFERROR(__xludf.DUMMYFUNCTION("IFERROR(ARRAYFORMULA(REGEXEXTRACT(C153,""^(?:https?:\/\/)?(?:[^@\n]+@)?(?:www\.)?([^:\/\n]+)"")),"""")"),"rebeccacuthbert.com")</f>
        <v>rebeccacuthbert.com</v>
      </c>
    </row>
    <row r="154" spans="2:4" ht="12.5">
      <c r="B154" s="27" t="s">
        <v>10133</v>
      </c>
      <c r="C154" s="8" t="s">
        <v>180</v>
      </c>
      <c r="D154" s="25" t="str">
        <f ca="1">IFERROR(__xludf.DUMMYFUNCTION("IFERROR(ARRAYFORMULA(REGEXEXTRACT(C154,""^(?:https?:\/\/)?(?:[^@\n]+@)?(?:www\.)?([^:\/\n]+)"")),"""")"),"modernmami.com")</f>
        <v>modernmami.com</v>
      </c>
    </row>
    <row r="155" spans="2:4" ht="12.5">
      <c r="B155" s="27" t="s">
        <v>10133</v>
      </c>
      <c r="C155" s="8" t="s">
        <v>181</v>
      </c>
      <c r="D155" s="25" t="str">
        <f ca="1">IFERROR(__xludf.DUMMYFUNCTION("IFERROR(ARRAYFORMULA(REGEXEXTRACT(C155,""^(?:https?:\/\/)?(?:[^@\n]+@)?(?:www\.)?([^:\/\n]+)"")),"""")"),"crewtrust.org")</f>
        <v>crewtrust.org</v>
      </c>
    </row>
    <row r="156" spans="2:4" ht="12.5">
      <c r="B156" s="27" t="s">
        <v>10133</v>
      </c>
      <c r="C156" s="8" t="s">
        <v>182</v>
      </c>
      <c r="D156" s="25" t="str">
        <f ca="1">IFERROR(__xludf.DUMMYFUNCTION("IFERROR(ARRAYFORMULA(REGEXEXTRACT(C156,""^(?:https?:\/\/)?(?:[^@\n]+@)?(?:www\.)?([^:\/\n]+)"")),"""")"),"norml.org")</f>
        <v>norml.org</v>
      </c>
    </row>
    <row r="157" spans="2:4" ht="12.5">
      <c r="B157" s="27" t="s">
        <v>10133</v>
      </c>
      <c r="C157" s="8" t="s">
        <v>183</v>
      </c>
      <c r="D157" s="25" t="str">
        <f ca="1">IFERROR(__xludf.DUMMYFUNCTION("IFERROR(ARRAYFORMULA(REGEXEXTRACT(C157,""^(?:https?:\/\/)?(?:[^@\n]+@)?(?:www\.)?([^:\/\n]+)"")),"""")"),"aplu.org")</f>
        <v>aplu.org</v>
      </c>
    </row>
    <row r="158" spans="2:4" ht="12.5">
      <c r="B158" s="27" t="s">
        <v>10133</v>
      </c>
      <c r="C158" s="8" t="s">
        <v>184</v>
      </c>
      <c r="D158" s="25" t="str">
        <f ca="1">IFERROR(__xludf.DUMMYFUNCTION("IFERROR(ARRAYFORMULA(REGEXEXTRACT(C158,""^(?:https?:\/\/)?(?:[^@\n]+@)?(?:www\.)?([^:\/\n]+)"")),"""")"),"bogleheads.org")</f>
        <v>bogleheads.org</v>
      </c>
    </row>
    <row r="159" spans="2:4" ht="12.5">
      <c r="B159" s="27" t="s">
        <v>10133</v>
      </c>
      <c r="C159" s="8" t="s">
        <v>185</v>
      </c>
      <c r="D159" s="25" t="str">
        <f ca="1">IFERROR(__xludf.DUMMYFUNCTION("IFERROR(ARRAYFORMULA(REGEXEXTRACT(C159,""^(?:https?:\/\/)?(?:[^@\n]+@)?(?:www\.)?([^:\/\n]+)"")),"""")"),"confessionsofafitnessinstructor.com")</f>
        <v>confessionsofafitnessinstructor.com</v>
      </c>
    </row>
    <row r="160" spans="2:4" ht="12.5">
      <c r="B160" s="27" t="s">
        <v>10133</v>
      </c>
      <c r="C160" s="8" t="s">
        <v>186</v>
      </c>
      <c r="D160" s="25" t="str">
        <f ca="1">IFERROR(__xludf.DUMMYFUNCTION("IFERROR(ARRAYFORMULA(REGEXEXTRACT(C160,""^(?:https?:\/\/)?(?:[^@\n]+@)?(?:www\.)?([^:\/\n]+)"")),"""")"),"seomarketexpert.com")</f>
        <v>seomarketexpert.com</v>
      </c>
    </row>
    <row r="161" spans="2:4" ht="12.5">
      <c r="B161" s="27" t="s">
        <v>10133</v>
      </c>
      <c r="C161" s="8" t="s">
        <v>187</v>
      </c>
      <c r="D161" s="25" t="str">
        <f ca="1">IFERROR(__xludf.DUMMYFUNCTION("IFERROR(ARRAYFORMULA(REGEXEXTRACT(C161,""^(?:https?:\/\/)?(?:[^@\n]+@)?(?:www\.)?([^:\/\n]+)"")),"""")"),"roadtripsforfamilies.com")</f>
        <v>roadtripsforfamilies.com</v>
      </c>
    </row>
    <row r="162" spans="2:4" ht="12.5">
      <c r="B162" s="27" t="s">
        <v>10133</v>
      </c>
      <c r="C162" s="8" t="s">
        <v>188</v>
      </c>
      <c r="D162" s="25" t="str">
        <f ca="1">IFERROR(__xludf.DUMMYFUNCTION("IFERROR(ARRAYFORMULA(REGEXEXTRACT(C162,""^(?:https?:\/\/)?(?:[^@\n]+@)?(?:www\.)?([^:\/\n]+)"")),"""")"),"theguytravel.com")</f>
        <v>theguytravel.com</v>
      </c>
    </row>
    <row r="163" spans="2:4" ht="12.5">
      <c r="B163" s="27" t="s">
        <v>10133</v>
      </c>
      <c r="C163" s="8" t="s">
        <v>189</v>
      </c>
      <c r="D163" s="25" t="str">
        <f ca="1">IFERROR(__xludf.DUMMYFUNCTION("IFERROR(ARRAYFORMULA(REGEXEXTRACT(C163,""^(?:https?:\/\/)?(?:[^@\n]+@)?(?:www\.)?([^:\/\n]+)"")),"""")"),"everywhereist.com")</f>
        <v>everywhereist.com</v>
      </c>
    </row>
    <row r="164" spans="2:4" ht="12.5">
      <c r="B164" s="27" t="s">
        <v>10133</v>
      </c>
      <c r="C164" s="8" t="s">
        <v>190</v>
      </c>
      <c r="D164" s="25" t="str">
        <f ca="1">IFERROR(__xludf.DUMMYFUNCTION("IFERROR(ARRAYFORMULA(REGEXEXTRACT(C164,""^(?:https?:\/\/)?(?:[^@\n]+@)?(?:www\.)?([^:\/\n]+)"")),"""")"),"newbreedrevenue.com")</f>
        <v>newbreedrevenue.com</v>
      </c>
    </row>
    <row r="165" spans="2:4" ht="12.5">
      <c r="B165" s="27" t="s">
        <v>10133</v>
      </c>
      <c r="C165" s="8" t="s">
        <v>191</v>
      </c>
      <c r="D165" s="25" t="str">
        <f ca="1">IFERROR(__xludf.DUMMYFUNCTION("IFERROR(ARRAYFORMULA(REGEXEXTRACT(C165,""^(?:https?:\/\/)?(?:[^@\n]+@)?(?:www\.)?([^:\/\n]+)"")),"""")"),"kirstythroughthelookingglass.com")</f>
        <v>kirstythroughthelookingglass.com</v>
      </c>
    </row>
    <row r="166" spans="2:4" ht="12.5">
      <c r="B166" s="27" t="s">
        <v>10133</v>
      </c>
      <c r="C166" s="8" t="s">
        <v>192</v>
      </c>
      <c r="D166" s="25" t="str">
        <f ca="1">IFERROR(__xludf.DUMMYFUNCTION("IFERROR(ARRAYFORMULA(REGEXEXTRACT(C166,""^(?:https?:\/\/)?(?:[^@\n]+@)?(?:www\.)?([^:\/\n]+)"")),"""")"),"decorativepainterscfl.com")</f>
        <v>decorativepainterscfl.com</v>
      </c>
    </row>
    <row r="167" spans="2:4" ht="12.5">
      <c r="B167" s="27" t="s">
        <v>10133</v>
      </c>
      <c r="C167" s="8" t="s">
        <v>193</v>
      </c>
      <c r="D167" s="25" t="str">
        <f ca="1">IFERROR(__xludf.DUMMYFUNCTION("IFERROR(ARRAYFORMULA(REGEXEXTRACT(C167,""^(?:https?:\/\/)?(?:[^@\n]+@)?(?:www\.)?([^:\/\n]+)"")),"""")"),"helpfulhomemade.com")</f>
        <v>helpfulhomemade.com</v>
      </c>
    </row>
    <row r="168" spans="2:4" ht="12.5">
      <c r="B168" s="27" t="s">
        <v>10133</v>
      </c>
      <c r="C168" s="8" t="s">
        <v>194</v>
      </c>
      <c r="D168" s="25" t="str">
        <f ca="1">IFERROR(__xludf.DUMMYFUNCTION("IFERROR(ARRAYFORMULA(REGEXEXTRACT(C168,""^(?:https?:\/\/)?(?:[^@\n]+@)?(?:www\.)?([^:\/\n]+)"")),"""")"),"mapleleafmommy.com")</f>
        <v>mapleleafmommy.com</v>
      </c>
    </row>
    <row r="169" spans="2:4" ht="12.5">
      <c r="D169" s="26" t="str">
        <f ca="1">IFERROR(__xludf.DUMMYFUNCTION("IFERROR(ARRAYFORMULA(REGEXEXTRACT(C169,""^(?:https?:\/\/)?(?:[^@\n]+@)?(?:www\.)?([^:\/\n]+)"")),"""")"),"")</f>
        <v/>
      </c>
    </row>
    <row r="170" spans="2:4" ht="12.5">
      <c r="B170" s="27" t="s">
        <v>10132</v>
      </c>
      <c r="C170" s="8" t="s">
        <v>210</v>
      </c>
      <c r="D170" s="25" t="str">
        <f ca="1">IFERROR(__xludf.DUMMYFUNCTION("IFERROR(ARRAYFORMULA(REGEXEXTRACT(C170,""^(?:https?:\/\/)?(?:[^@\n]+@)?(?:www\.)?([^:\/\n]+)"")),"""")"),"schultedesign.com")</f>
        <v>schultedesign.com</v>
      </c>
    </row>
    <row r="171" spans="2:4" ht="12.5">
      <c r="B171" s="27" t="s">
        <v>10132</v>
      </c>
      <c r="C171" s="8" t="s">
        <v>211</v>
      </c>
      <c r="D171" s="25" t="str">
        <f ca="1">IFERROR(__xludf.DUMMYFUNCTION("IFERROR(ARRAYFORMULA(REGEXEXTRACT(C171,""^(?:https?:\/\/)?(?:[^@\n]+@)?(?:www\.)?([^:\/\n]+)"")),"""")"),"interiorsbythalia.com")</f>
        <v>interiorsbythalia.com</v>
      </c>
    </row>
    <row r="172" spans="2:4" ht="12.5">
      <c r="B172" s="27" t="s">
        <v>10132</v>
      </c>
      <c r="C172" s="8" t="s">
        <v>212</v>
      </c>
      <c r="D172" s="25" t="str">
        <f ca="1">IFERROR(__xludf.DUMMYFUNCTION("IFERROR(ARRAYFORMULA(REGEXEXTRACT(C172,""^(?:https?:\/\/)?(?:[^@\n]+@)?(?:www\.)?([^:\/\n]+)"")),"""")"),"distinctiveinteriorsdesign.com")</f>
        <v>distinctiveinteriorsdesign.com</v>
      </c>
    </row>
    <row r="173" spans="2:4" ht="12.5">
      <c r="B173" s="27" t="s">
        <v>10132</v>
      </c>
      <c r="C173" s="8" t="s">
        <v>213</v>
      </c>
      <c r="D173" s="25" t="str">
        <f ca="1">IFERROR(__xludf.DUMMYFUNCTION("IFERROR(ARRAYFORMULA(REGEXEXTRACT(C173,""^(?:https?:\/\/)?(?:[^@\n]+@)?(?:www\.)?([^:\/\n]+)"")),"""")"),"gulfshoreinteriordesign.com")</f>
        <v>gulfshoreinteriordesign.com</v>
      </c>
    </row>
    <row r="174" spans="2:4" ht="12.5">
      <c r="B174" s="27" t="s">
        <v>10132</v>
      </c>
      <c r="C174" s="8" t="s">
        <v>214</v>
      </c>
      <c r="D174" s="25" t="str">
        <f ca="1">IFERROR(__xludf.DUMMYFUNCTION("IFERROR(ARRAYFORMULA(REGEXEXTRACT(C174,""^(?:https?:\/\/)?(?:[^@\n]+@)?(?:www\.)?([^:\/\n]+)"")),"""")"),"beasleyandhenley.com")</f>
        <v>beasleyandhenley.com</v>
      </c>
    </row>
    <row r="175" spans="2:4" ht="12.5">
      <c r="B175" s="27" t="s">
        <v>10132</v>
      </c>
      <c r="C175" s="8" t="s">
        <v>215</v>
      </c>
      <c r="D175" s="25" t="str">
        <f ca="1">IFERROR(__xludf.DUMMYFUNCTION("IFERROR(ARRAYFORMULA(REGEXEXTRACT(C175,""^(?:https?:\/\/)?(?:[^@\n]+@)?(?:www\.)?([^:\/\n]+)"")),"""")"),"sarafattori.com")</f>
        <v>sarafattori.com</v>
      </c>
    </row>
    <row r="176" spans="2:4" ht="12.5">
      <c r="B176" s="27" t="s">
        <v>10132</v>
      </c>
      <c r="C176" s="8" t="s">
        <v>216</v>
      </c>
      <c r="D176" s="25" t="str">
        <f ca="1">IFERROR(__xludf.DUMMYFUNCTION("IFERROR(ARRAYFORMULA(REGEXEXTRACT(C176,""^(?:https?:\/\/)?(?:[^@\n]+@)?(?:www\.)?([^:\/\n]+)"")),"""")"),"abidedesignsinteriors.com")</f>
        <v>abidedesignsinteriors.com</v>
      </c>
    </row>
    <row r="177" spans="2:4" ht="12.5">
      <c r="B177" s="27" t="s">
        <v>10132</v>
      </c>
      <c r="C177" s="8" t="s">
        <v>217</v>
      </c>
      <c r="D177" s="25" t="str">
        <f ca="1">IFERROR(__xludf.DUMMYFUNCTION("IFERROR(ARRAYFORMULA(REGEXEXTRACT(C177,""^(?:https?:\/\/)?(?:[^@\n]+@)?(?:www\.)?([^:\/\n]+)"")),"""")"),"homefrosting.com")</f>
        <v>homefrosting.com</v>
      </c>
    </row>
    <row r="178" spans="2:4" ht="12.5">
      <c r="B178" s="27" t="s">
        <v>10132</v>
      </c>
      <c r="C178" s="8" t="s">
        <v>218</v>
      </c>
      <c r="D178" s="25" t="str">
        <f ca="1">IFERROR(__xludf.DUMMYFUNCTION("IFERROR(ARRAYFORMULA(REGEXEXTRACT(C178,""^(?:https?:\/\/)?(?:[^@\n]+@)?(?:www\.)?([^:\/\n]+)"")),"""")"),"leoneinteriordesigns.com")</f>
        <v>leoneinteriordesigns.com</v>
      </c>
    </row>
    <row r="179" spans="2:4" ht="12.5">
      <c r="B179" s="27" t="s">
        <v>10132</v>
      </c>
      <c r="C179" s="8" t="s">
        <v>219</v>
      </c>
      <c r="D179" s="25" t="str">
        <f ca="1">IFERROR(__xludf.DUMMYFUNCTION("IFERROR(ARRAYFORMULA(REGEXEXTRACT(C179,""^(?:https?:\/\/)?(?:[^@\n]+@)?(?:www\.)?([^:\/\n]+)"")),"""")"),"theartcareerproject.com")</f>
        <v>theartcareerproject.com</v>
      </c>
    </row>
    <row r="180" spans="2:4" ht="12.5">
      <c r="B180" s="27" t="s">
        <v>10132</v>
      </c>
      <c r="C180" s="8" t="s">
        <v>220</v>
      </c>
      <c r="D180" s="25" t="str">
        <f ca="1">IFERROR(__xludf.DUMMYFUNCTION("IFERROR(ARRAYFORMULA(REGEXEXTRACT(C180,""^(?:https?:\/\/)?(?:[^@\n]+@)?(?:www\.)?([^:\/\n]+)"")),"""")"),"mralextate.com")</f>
        <v>mralextate.com</v>
      </c>
    </row>
    <row r="181" spans="2:4" ht="12.5">
      <c r="D181" s="26" t="str">
        <f ca="1">IFERROR(__xludf.DUMMYFUNCTION("IFERROR(ARRAYFORMULA(REGEXEXTRACT(C181,""^(?:https?:\/\/)?(?:[^@\n]+@)?(?:www\.)?([^:\/\n]+)"")),"""")"),"")</f>
        <v/>
      </c>
    </row>
    <row r="182" spans="2:4" ht="12.5">
      <c r="B182" s="27" t="s">
        <v>10133</v>
      </c>
      <c r="C182" s="8" t="s">
        <v>195</v>
      </c>
      <c r="D182" s="25" t="str">
        <f ca="1">IFERROR(__xludf.DUMMYFUNCTION("IFERROR(ARRAYFORMULA(REGEXEXTRACT(C182,""^(?:https?:\/\/)?(?:[^@\n]+@)?(?:www\.)?([^:\/\n]+)"")),"""")"),"mathbabe.org")</f>
        <v>mathbabe.org</v>
      </c>
    </row>
    <row r="183" spans="2:4" ht="12.5">
      <c r="B183" s="27" t="s">
        <v>10133</v>
      </c>
      <c r="C183" s="8" t="s">
        <v>196</v>
      </c>
      <c r="D183" s="25" t="str">
        <f ca="1">IFERROR(__xludf.DUMMYFUNCTION("IFERROR(ARRAYFORMULA(REGEXEXTRACT(C183,""^(?:https?:\/\/)?(?:[^@\n]+@)?(?:www\.)?([^:\/\n]+)"")),"""")"),"mdpl.org")</f>
        <v>mdpl.org</v>
      </c>
    </row>
    <row r="184" spans="2:4" ht="12.5">
      <c r="B184" s="27" t="s">
        <v>10133</v>
      </c>
      <c r="C184" s="8" t="s">
        <v>197</v>
      </c>
      <c r="D184" s="25" t="str">
        <f ca="1">IFERROR(__xludf.DUMMYFUNCTION("IFERROR(ARRAYFORMULA(REGEXEXTRACT(C184,""^(?:https?:\/\/)?(?:[^@\n]+@)?(?:www\.)?([^:\/\n]+)"")),"""")"),"thatartsyreadergirl.com")</f>
        <v>thatartsyreadergirl.com</v>
      </c>
    </row>
    <row r="185" spans="2:4" ht="12.5">
      <c r="B185" s="27" t="s">
        <v>10133</v>
      </c>
      <c r="C185" s="8" t="s">
        <v>198</v>
      </c>
      <c r="D185" s="25" t="str">
        <f ca="1">IFERROR(__xludf.DUMMYFUNCTION("IFERROR(ARRAYFORMULA(REGEXEXTRACT(C185,""^(?:https?:\/\/)?(?:[^@\n]+@)?(?:www\.)?([^:\/\n]+)"")),"""")"),"blogs.loc.gov")</f>
        <v>blogs.loc.gov</v>
      </c>
    </row>
    <row r="186" spans="2:4" ht="12.5">
      <c r="B186" s="27" t="s">
        <v>10133</v>
      </c>
      <c r="C186" s="8" t="s">
        <v>199</v>
      </c>
      <c r="D186" s="25" t="str">
        <f ca="1">IFERROR(__xludf.DUMMYFUNCTION("IFERROR(ARRAYFORMULA(REGEXEXTRACT(C186,""^(?:https?:\/\/)?(?:[^@\n]+@)?(?:www\.)?([^:\/\n]+)"")),"""")"),"nanaswhimsies.com")</f>
        <v>nanaswhimsies.com</v>
      </c>
    </row>
    <row r="187" spans="2:4" ht="12.5">
      <c r="B187" s="27" t="s">
        <v>10133</v>
      </c>
      <c r="C187" s="8" t="s">
        <v>200</v>
      </c>
      <c r="D187" s="25" t="str">
        <f ca="1">IFERROR(__xludf.DUMMYFUNCTION("IFERROR(ARRAYFORMULA(REGEXEXTRACT(C187,""^(?:https?:\/\/)?(?:[^@\n]+@)?(?:www\.)?([^:\/\n]+)"")),"""")"),"abigailleighphillips.com")</f>
        <v>abigailleighphillips.com</v>
      </c>
    </row>
    <row r="188" spans="2:4" ht="12.5">
      <c r="B188" s="27" t="s">
        <v>10133</v>
      </c>
      <c r="C188" s="8" t="s">
        <v>201</v>
      </c>
      <c r="D188" s="25" t="str">
        <f ca="1">IFERROR(__xludf.DUMMYFUNCTION("IFERROR(ARRAYFORMULA(REGEXEXTRACT(C188,""^(?:https?:\/\/)?(?:[^@\n]+@)?(?:www\.)?([^:\/\n]+)"")),"""")"),"karenlsargent.com")</f>
        <v>karenlsargent.com</v>
      </c>
    </row>
    <row r="189" spans="2:4" ht="12.5">
      <c r="B189" s="27" t="s">
        <v>10133</v>
      </c>
      <c r="C189" s="8" t="s">
        <v>202</v>
      </c>
      <c r="D189" s="25" t="str">
        <f ca="1">IFERROR(__xludf.DUMMYFUNCTION("IFERROR(ARRAYFORMULA(REGEXEXTRACT(C189,""^(?:https?:\/\/)?(?:[^@\n]+@)?(?:www\.)?([^:\/\n]+)"")),"""")"),"nicolepeeler.com")</f>
        <v>nicolepeeler.com</v>
      </c>
    </row>
    <row r="190" spans="2:4" ht="12.5">
      <c r="B190" s="27" t="s">
        <v>10133</v>
      </c>
      <c r="C190" s="8" t="s">
        <v>203</v>
      </c>
      <c r="D190" s="25" t="str">
        <f ca="1">IFERROR(__xludf.DUMMYFUNCTION("IFERROR(ARRAYFORMULA(REGEXEXTRACT(C190,""^(?:https?:\/\/)?(?:[^@\n]+@)?(?:www\.)?([^:\/\n]+)"")),"""")"),"lexology.com")</f>
        <v>lexology.com</v>
      </c>
    </row>
    <row r="191" spans="2:4" ht="12.5">
      <c r="B191" s="27" t="s">
        <v>10133</v>
      </c>
      <c r="C191" s="8" t="s">
        <v>204</v>
      </c>
      <c r="D191" s="25" t="str">
        <f ca="1">IFERROR(__xludf.DUMMYFUNCTION("IFERROR(ARRAYFORMULA(REGEXEXTRACT(C191,""^(?:https?:\/\/)?(?:[^@\n]+@)?(?:www\.)?([^:\/\n]+)"")),"""")"),"laughing-stalk.blogspot.com")</f>
        <v>laughing-stalk.blogspot.com</v>
      </c>
    </row>
    <row r="192" spans="2:4" ht="12.5">
      <c r="B192" s="27" t="s">
        <v>10133</v>
      </c>
      <c r="C192" s="8" t="s">
        <v>205</v>
      </c>
      <c r="D192" s="25" t="str">
        <f ca="1">IFERROR(__xludf.DUMMYFUNCTION("IFERROR(ARRAYFORMULA(REGEXEXTRACT(C192,""^(?:https?:\/\/)?(?:[^@\n]+@)?(?:www\.)?([^:\/\n]+)"")),"""")"),"suredividend.com")</f>
        <v>suredividend.com</v>
      </c>
    </row>
    <row r="193" spans="2:4" ht="12.5">
      <c r="B193" s="27" t="s">
        <v>10133</v>
      </c>
      <c r="C193" s="8" t="s">
        <v>206</v>
      </c>
      <c r="D193" s="25" t="str">
        <f ca="1">IFERROR(__xludf.DUMMYFUNCTION("IFERROR(ARRAYFORMULA(REGEXEXTRACT(C193,""^(?:https?:\/\/)?(?:[^@\n]+@)?(?:www\.)?([^:\/\n]+)"")),"""")"),"storeybookreviews.com")</f>
        <v>storeybookreviews.com</v>
      </c>
    </row>
    <row r="194" spans="2:4" ht="12.5">
      <c r="B194" s="27" t="s">
        <v>10133</v>
      </c>
      <c r="C194" s="8" t="s">
        <v>207</v>
      </c>
      <c r="D194" s="25" t="str">
        <f ca="1">IFERROR(__xludf.DUMMYFUNCTION("IFERROR(ARRAYFORMULA(REGEXEXTRACT(C194,""^(?:https?:\/\/)?(?:[^@\n]+@)?(?:www\.)?([^:\/\n]+)"")),"""")"),"orangeseo.net")</f>
        <v>orangeseo.net</v>
      </c>
    </row>
    <row r="195" spans="2:4" ht="12.5">
      <c r="B195" s="27" t="s">
        <v>10133</v>
      </c>
      <c r="C195" s="8" t="s">
        <v>208</v>
      </c>
      <c r="D195" s="25" t="str">
        <f ca="1">IFERROR(__xludf.DUMMYFUNCTION("IFERROR(ARRAYFORMULA(REGEXEXTRACT(C195,""^(?:https?:\/\/)?(?:[^@\n]+@)?(?:www\.)?([^:\/\n]+)"")),"""")"),"ethosroasters.com")</f>
        <v>ethosroasters.com</v>
      </c>
    </row>
    <row r="196" spans="2:4" ht="12.5">
      <c r="B196" s="27" t="s">
        <v>10133</v>
      </c>
      <c r="C196" s="8" t="s">
        <v>209</v>
      </c>
      <c r="D196" s="25" t="str">
        <f ca="1">IFERROR(__xludf.DUMMYFUNCTION("IFERROR(ARRAYFORMULA(REGEXEXTRACT(C196,""^(?:https?:\/\/)?(?:[^@\n]+@)?(?:www\.)?([^:\/\n]+)"")),"""")"),"havebabywilltravel.com")</f>
        <v>havebabywilltravel.com</v>
      </c>
    </row>
    <row r="197" spans="2:4" ht="12.5">
      <c r="D197" s="26" t="str">
        <f ca="1">IFERROR(__xludf.DUMMYFUNCTION("IFERROR(ARRAYFORMULA(REGEXEXTRACT(C197,""^(?:https?:\/\/)?(?:[^@\n]+@)?(?:www\.)?([^:\/\n]+)"")),"""")"),"")</f>
        <v/>
      </c>
    </row>
    <row r="198" spans="2:4" ht="12.5">
      <c r="B198" s="27" t="s">
        <v>10132</v>
      </c>
      <c r="C198" s="8" t="s">
        <v>221</v>
      </c>
      <c r="D198" s="25" t="str">
        <f ca="1">IFERROR(__xludf.DUMMYFUNCTION("IFERROR(ARRAYFORMULA(REGEXEXTRACT(C198,""^(?:https?:\/\/)?(?:[^@\n]+@)?(?:www\.)?([^:\/\n]+)"")),"""")"),"colorsofdesign.com")</f>
        <v>colorsofdesign.com</v>
      </c>
    </row>
    <row r="199" spans="2:4" ht="12.5">
      <c r="B199" s="27" t="s">
        <v>10132</v>
      </c>
      <c r="C199" s="8" t="s">
        <v>222</v>
      </c>
      <c r="D199" s="25" t="str">
        <f ca="1">IFERROR(__xludf.DUMMYFUNCTION("IFERROR(ARRAYFORMULA(REGEXEXTRACT(C199,""^(?:https?:\/\/)?(?:[^@\n]+@)?(?:www\.)?([^:\/\n]+)"")),"""")"),"domadesign.co")</f>
        <v>domadesign.co</v>
      </c>
    </row>
    <row r="200" spans="2:4" ht="12.5">
      <c r="B200" s="27" t="s">
        <v>10132</v>
      </c>
      <c r="C200" s="8" t="s">
        <v>223</v>
      </c>
      <c r="D200" s="25" t="str">
        <f ca="1">IFERROR(__xludf.DUMMYFUNCTION("IFERROR(ARRAYFORMULA(REGEXEXTRACT(C200,""^(?:https?:\/\/)?(?:[^@\n]+@)?(?:www\.)?([^:\/\n]+)"")),"""")"),"architecturaldigest.com")</f>
        <v>architecturaldigest.com</v>
      </c>
    </row>
    <row r="201" spans="2:4" ht="12.5">
      <c r="B201" s="27" t="s">
        <v>10132</v>
      </c>
      <c r="C201" s="8" t="s">
        <v>224</v>
      </c>
      <c r="D201" s="25" t="str">
        <f ca="1">IFERROR(__xludf.DUMMYFUNCTION("IFERROR(ARRAYFORMULA(REGEXEXTRACT(C201,""^(?:https?:\/\/)?(?:[^@\n]+@)?(?:www\.)?([^:\/\n]+)"")),"""")"),"coin.decoratingden.com")</f>
        <v>coin.decoratingden.com</v>
      </c>
    </row>
    <row r="202" spans="2:4" ht="12.5">
      <c r="B202" s="27" t="s">
        <v>10132</v>
      </c>
      <c r="C202" s="8" t="s">
        <v>225</v>
      </c>
      <c r="D202" s="25" t="str">
        <f ca="1">IFERROR(__xludf.DUMMYFUNCTION("IFERROR(ARRAYFORMULA(REGEXEXTRACT(C202,""^(?:https?:\/\/)?(?:[^@\n]+@)?(?:www\.)?([^:\/\n]+)"")),"""")"),"laurenell.com")</f>
        <v>laurenell.com</v>
      </c>
    </row>
    <row r="203" spans="2:4" ht="12.5">
      <c r="B203" s="27" t="s">
        <v>10132</v>
      </c>
      <c r="C203" s="8" t="s">
        <v>226</v>
      </c>
      <c r="D203" s="25" t="str">
        <f ca="1">IFERROR(__xludf.DUMMYFUNCTION("IFERROR(ARRAYFORMULA(REGEXEXTRACT(C203,""^(?:https?:\/\/)?(?:[^@\n]+@)?(?:www\.)?([^:\/\n]+)"")),"""")"),"blog.kravet.com")</f>
        <v>blog.kravet.com</v>
      </c>
    </row>
    <row r="204" spans="2:4" ht="12.5">
      <c r="B204" s="27" t="s">
        <v>10132</v>
      </c>
      <c r="C204" s="8" t="s">
        <v>227</v>
      </c>
      <c r="D204" s="25" t="str">
        <f ca="1">IFERROR(__xludf.DUMMYFUNCTION("IFERROR(ARRAYFORMULA(REGEXEXTRACT(C204,""^(?:https?:\/\/)?(?:[^@\n]+@)?(?:www\.)?([^:\/\n]+)"")),"""")"),"studiominteriordesign.net")</f>
        <v>studiominteriordesign.net</v>
      </c>
    </row>
    <row r="205" spans="2:4" ht="12.5">
      <c r="B205" s="27" t="s">
        <v>10132</v>
      </c>
      <c r="C205" s="8" t="s">
        <v>228</v>
      </c>
      <c r="D205" s="25" t="str">
        <f ca="1">IFERROR(__xludf.DUMMYFUNCTION("IFERROR(ARRAYFORMULA(REGEXEXTRACT(C205,""^(?:https?:\/\/)?(?:[^@\n]+@)?(?:www\.)?([^:\/\n]+)"")),"""")"),"benjaminmoore.com")</f>
        <v>benjaminmoore.com</v>
      </c>
    </row>
    <row r="206" spans="2:4" ht="12.5">
      <c r="B206" s="27" t="s">
        <v>10132</v>
      </c>
      <c r="C206" s="8" t="s">
        <v>229</v>
      </c>
      <c r="D206" s="25" t="str">
        <f ca="1">IFERROR(__xludf.DUMMYFUNCTION("IFERROR(ARRAYFORMULA(REGEXEXTRACT(C206,""^(?:https?:\/\/)?(?:[^@\n]+@)?(?:www\.)?([^:\/\n]+)"")),"""")"),"khov.com")</f>
        <v>khov.com</v>
      </c>
    </row>
    <row r="207" spans="2:4" ht="12.5">
      <c r="B207" s="27" t="s">
        <v>10132</v>
      </c>
      <c r="C207" s="8" t="s">
        <v>230</v>
      </c>
      <c r="D207" s="25" t="str">
        <f ca="1">IFERROR(__xludf.DUMMYFUNCTION("IFERROR(ARRAYFORMULA(REGEXEXTRACT(C207,""^(?:https?:\/\/)?(?:[^@\n]+@)?(?:www\.)?([^:\/\n]+)"")),"""")"),"news.mdcwall.com")</f>
        <v>news.mdcwall.com</v>
      </c>
    </row>
    <row r="208" spans="2:4" ht="12.5">
      <c r="D208" s="26" t="str">
        <f ca="1">IFERROR(__xludf.DUMMYFUNCTION("IFERROR(ARRAYFORMULA(REGEXEXTRACT(C208,""^(?:https?:\/\/)?(?:[^@\n]+@)?(?:www\.)?([^:\/\n]+)"")),"""")"),"")</f>
        <v/>
      </c>
    </row>
    <row r="209" spans="2:4" ht="12.5">
      <c r="B209" s="27" t="s">
        <v>10133</v>
      </c>
      <c r="C209" s="8" t="s">
        <v>231</v>
      </c>
      <c r="D209" s="25" t="str">
        <f ca="1">IFERROR(__xludf.DUMMYFUNCTION("IFERROR(ARRAYFORMULA(REGEXEXTRACT(C209,""^(?:https?:\/\/)?(?:[^@\n]+@)?(?:www\.)?([^:\/\n]+)"")),"""")"),"authoraddisonalbright.com")</f>
        <v>authoraddisonalbright.com</v>
      </c>
    </row>
    <row r="210" spans="2:4" ht="12.5">
      <c r="B210" s="27" t="s">
        <v>10133</v>
      </c>
      <c r="C210" s="8" t="s">
        <v>232</v>
      </c>
      <c r="D210" s="25" t="str">
        <f ca="1">IFERROR(__xludf.DUMMYFUNCTION("IFERROR(ARRAYFORMULA(REGEXEXTRACT(C210,""^(?:https?:\/\/)?(?:[^@\n]+@)?(?:www\.)?([^:\/\n]+)"")),"""")"),"thefloridavillager.com")</f>
        <v>thefloridavillager.com</v>
      </c>
    </row>
    <row r="211" spans="2:4" ht="12.5">
      <c r="B211" s="27" t="s">
        <v>10133</v>
      </c>
      <c r="C211" s="8" t="s">
        <v>233</v>
      </c>
      <c r="D211" s="25" t="str">
        <f ca="1">IFERROR(__xludf.DUMMYFUNCTION("IFERROR(ARRAYFORMULA(REGEXEXTRACT(C211,""^(?:https?:\/\/)?(?:[^@\n]+@)?(?:www\.)?([^:\/\n]+)"")),"""")"),"blackrapid.com")</f>
        <v>blackrapid.com</v>
      </c>
    </row>
    <row r="212" spans="2:4" ht="12.5">
      <c r="B212" s="27" t="s">
        <v>10133</v>
      </c>
      <c r="C212" s="8" t="s">
        <v>234</v>
      </c>
      <c r="D212" s="25" t="str">
        <f ca="1">IFERROR(__xludf.DUMMYFUNCTION("IFERROR(ARRAYFORMULA(REGEXEXTRACT(C212,""^(?:https?:\/\/)?(?:[^@\n]+@)?(?:www\.)?([^:\/\n]+)"")),"""")"),"thisismysouth.com")</f>
        <v>thisismysouth.com</v>
      </c>
    </row>
    <row r="213" spans="2:4" ht="12.5">
      <c r="B213" s="27" t="s">
        <v>10133</v>
      </c>
      <c r="C213" s="8" t="s">
        <v>235</v>
      </c>
      <c r="D213" s="25" t="str">
        <f ca="1">IFERROR(__xludf.DUMMYFUNCTION("IFERROR(ARRAYFORMULA(REGEXEXTRACT(C213,""^(?:https?:\/\/)?(?:[^@\n]+@)?(?:www\.)?([^:\/\n]+)"")),"""")"),"pineapplepressfl.wordpress.com")</f>
        <v>pineapplepressfl.wordpress.com</v>
      </c>
    </row>
    <row r="214" spans="2:4" ht="12.5">
      <c r="B214" s="27" t="s">
        <v>10133</v>
      </c>
      <c r="C214" s="8" t="s">
        <v>236</v>
      </c>
      <c r="D214" s="25" t="str">
        <f ca="1">IFERROR(__xludf.DUMMYFUNCTION("IFERROR(ARRAYFORMULA(REGEXEXTRACT(C214,""^(?:https?:\/\/)?(?:[^@\n]+@)?(?:www\.)?([^:\/\n]+)"")),"""")"),"patentlyo.com")</f>
        <v>patentlyo.com</v>
      </c>
    </row>
    <row r="215" spans="2:4" ht="12.5">
      <c r="B215" s="27" t="s">
        <v>10133</v>
      </c>
      <c r="C215" s="8" t="s">
        <v>237</v>
      </c>
      <c r="D215" s="25" t="str">
        <f ca="1">IFERROR(__xludf.DUMMYFUNCTION("IFERROR(ARRAYFORMULA(REGEXEXTRACT(C215,""^(?:https?:\/\/)?(?:[^@\n]+@)?(?:www\.)?([^:\/\n]+)"")),"""")"),"blog.thelodgeguys.com")</f>
        <v>blog.thelodgeguys.com</v>
      </c>
    </row>
    <row r="216" spans="2:4" ht="12.5">
      <c r="B216" s="27" t="s">
        <v>10133</v>
      </c>
      <c r="C216" s="8" t="s">
        <v>238</v>
      </c>
      <c r="D216" s="25" t="str">
        <f ca="1">IFERROR(__xludf.DUMMYFUNCTION("IFERROR(ARRAYFORMULA(REGEXEXTRACT(C216,""^(?:https?:\/\/)?(?:[^@\n]+@)?(?:www\.)?([^:\/\n]+)"")),"""")"),"pmpmg.com")</f>
        <v>pmpmg.com</v>
      </c>
    </row>
    <row r="217" spans="2:4" ht="12.5">
      <c r="B217" s="27" t="s">
        <v>10133</v>
      </c>
      <c r="C217" s="8" t="s">
        <v>239</v>
      </c>
      <c r="D217" s="25" t="str">
        <f ca="1">IFERROR(__xludf.DUMMYFUNCTION("IFERROR(ARRAYFORMULA(REGEXEXTRACT(C217,""^(?:https?:\/\/)?(?:[^@\n]+@)?(?:www\.)?([^:\/\n]+)"")),"""")"),"newswirejet.com")</f>
        <v>newswirejet.com</v>
      </c>
    </row>
    <row r="218" spans="2:4" ht="12.5">
      <c r="B218" s="27" t="s">
        <v>10133</v>
      </c>
      <c r="C218" s="8" t="s">
        <v>240</v>
      </c>
      <c r="D218" s="25" t="str">
        <f ca="1">IFERROR(__xludf.DUMMYFUNCTION("IFERROR(ARRAYFORMULA(REGEXEXTRACT(C218,""^(?:https?:\/\/)?(?:[^@\n]+@)?(?:www\.)?([^:\/\n]+)"")),"""")"),"oneims.com")</f>
        <v>oneims.com</v>
      </c>
    </row>
    <row r="219" spans="2:4" ht="12.5">
      <c r="B219" s="27" t="s">
        <v>10133</v>
      </c>
      <c r="C219" s="8" t="s">
        <v>241</v>
      </c>
      <c r="D219" s="26" t="str">
        <f ca="1">IFERROR(__xludf.DUMMYFUNCTION("IFERROR(ARRAYFORMULA(REGEXEXTRACT(C219,""^(?:https?:\/\/)?(?:[^@\n]+@)?(?:www\.)?([^:\/\n]+)"")),"""")"),"cyclingindustry.news")</f>
        <v>cyclingindustry.news</v>
      </c>
    </row>
    <row r="220" spans="2:4" ht="12.5">
      <c r="B220" s="27" t="s">
        <v>10133</v>
      </c>
      <c r="C220" s="8" t="s">
        <v>242</v>
      </c>
      <c r="D220" s="25" t="str">
        <f ca="1">IFERROR(__xludf.DUMMYFUNCTION("IFERROR(ARRAYFORMULA(REGEXEXTRACT(C220,""^(?:https?:\/\/)?(?:[^@\n]+@)?(?:www\.)?([^:\/\n]+)"")),"""")"),"tinyhousetinyfootprint.com")</f>
        <v>tinyhousetinyfootprint.com</v>
      </c>
    </row>
    <row r="221" spans="2:4" ht="12.5">
      <c r="B221" s="27" t="s">
        <v>10133</v>
      </c>
      <c r="C221" s="8" t="s">
        <v>243</v>
      </c>
      <c r="D221" s="25" t="str">
        <f ca="1">IFERROR(__xludf.DUMMYFUNCTION("IFERROR(ARRAYFORMULA(REGEXEXTRACT(C221,""^(?:https?:\/\/)?(?:[^@\n]+@)?(?:www\.)?([^:\/\n]+)"")),"""")"),"aeologic.com")</f>
        <v>aeologic.com</v>
      </c>
    </row>
    <row r="222" spans="2:4" ht="12.5">
      <c r="B222" s="27" t="s">
        <v>10133</v>
      </c>
      <c r="C222" s="8" t="s">
        <v>244</v>
      </c>
      <c r="D222" s="25" t="str">
        <f ca="1">IFERROR(__xludf.DUMMYFUNCTION("IFERROR(ARRAYFORMULA(REGEXEXTRACT(C222,""^(?:https?:\/\/)?(?:[^@\n]+@)?(?:www\.)?([^:\/\n]+)"")),"""")"),"netreputation.com")</f>
        <v>netreputation.com</v>
      </c>
    </row>
    <row r="223" spans="2:4" ht="12.5">
      <c r="B223" s="27" t="s">
        <v>10133</v>
      </c>
      <c r="C223" s="8" t="s">
        <v>245</v>
      </c>
      <c r="D223" s="25" t="str">
        <f ca="1">IFERROR(__xludf.DUMMYFUNCTION("IFERROR(ARRAYFORMULA(REGEXEXTRACT(C223,""^(?:https?:\/\/)?(?:[^@\n]+@)?(?:www\.)?([^:\/\n]+)"")),"""")"),"thecapitolist.com")</f>
        <v>thecapitolist.com</v>
      </c>
    </row>
    <row r="224" spans="2:4" ht="12.5">
      <c r="B224" s="27" t="s">
        <v>10133</v>
      </c>
      <c r="C224" s="8" t="s">
        <v>246</v>
      </c>
      <c r="D224" s="25" t="str">
        <f ca="1">IFERROR(__xludf.DUMMYFUNCTION("IFERROR(ARRAYFORMULA(REGEXEXTRACT(C224,""^(?:https?:\/\/)?(?:[^@\n]+@)?(?:www\.)?([^:\/\n]+)"")),"""")"),"walkingthroughwonderland.com")</f>
        <v>walkingthroughwonderland.com</v>
      </c>
    </row>
    <row r="225" spans="2:7" ht="12.5">
      <c r="B225" s="27" t="s">
        <v>10133</v>
      </c>
      <c r="C225" s="8" t="s">
        <v>247</v>
      </c>
      <c r="D225" s="25" t="str">
        <f ca="1">IFERROR(__xludf.DUMMYFUNCTION("IFERROR(ARRAYFORMULA(REGEXEXTRACT(C225,""^(?:https?:\/\/)?(?:[^@\n]+@)?(?:www\.)?([^:\/\n]+)"")),"""")"),"hittingitsolid.com")</f>
        <v>hittingitsolid.com</v>
      </c>
    </row>
    <row r="226" spans="2:7" ht="12.5">
      <c r="B226" s="27" t="s">
        <v>10133</v>
      </c>
      <c r="C226" s="8" t="s">
        <v>248</v>
      </c>
      <c r="D226" s="25" t="str">
        <f ca="1">IFERROR(__xludf.DUMMYFUNCTION("IFERROR(ARRAYFORMULA(REGEXEXTRACT(C226,""^(?:https?:\/\/)?(?:[^@\n]+@)?(?:www\.)?([^:\/\n]+)"")),"""")"),"barnesandnoble.com")</f>
        <v>barnesandnoble.com</v>
      </c>
    </row>
    <row r="227" spans="2:7" ht="12.5">
      <c r="B227" s="27" t="s">
        <v>10133</v>
      </c>
      <c r="C227" s="8" t="s">
        <v>249</v>
      </c>
      <c r="D227" s="25" t="str">
        <f ca="1">IFERROR(__xludf.DUMMYFUNCTION("IFERROR(ARRAYFORMULA(REGEXEXTRACT(C227,""^(?:https?:\/\/)?(?:[^@\n]+@)?(?:www\.)?([^:\/\n]+)"")),"""")"),"growlaw.co")</f>
        <v>growlaw.co</v>
      </c>
    </row>
    <row r="228" spans="2:7" ht="12.5">
      <c r="B228" s="27" t="s">
        <v>10133</v>
      </c>
      <c r="C228" s="8" t="s">
        <v>250</v>
      </c>
      <c r="D228" s="25" t="str">
        <f ca="1">IFERROR(__xludf.DUMMYFUNCTION("IFERROR(ARRAYFORMULA(REGEXEXTRACT(C228,""^(?:https?:\/\/)?(?:[^@\n]+@)?(?:www\.)?([^:\/\n]+)"")),"""")"),"erininthemorning.com")</f>
        <v>erininthemorning.com</v>
      </c>
    </row>
    <row r="229" spans="2:7" ht="12.5">
      <c r="B229" s="27" t="s">
        <v>10133</v>
      </c>
      <c r="C229" s="8" t="s">
        <v>251</v>
      </c>
      <c r="D229" s="25" t="str">
        <f ca="1">IFERROR(__xludf.DUMMYFUNCTION("IFERROR(ARRAYFORMULA(REGEXEXTRACT(C229,""^(?:https?:\/\/)?(?:[^@\n]+@)?(?:www\.)?([^:\/\n]+)"")),"""")"),"news.outsourceaccelerator.com")</f>
        <v>news.outsourceaccelerator.com</v>
      </c>
    </row>
    <row r="230" spans="2:7" ht="12.5">
      <c r="B230" s="27" t="s">
        <v>10133</v>
      </c>
      <c r="C230" s="8" t="s">
        <v>252</v>
      </c>
      <c r="D230" s="25" t="str">
        <f ca="1">IFERROR(__xludf.DUMMYFUNCTION("IFERROR(ARRAYFORMULA(REGEXEXTRACT(C230,""^(?:https?:\/\/)?(?:[^@\n]+@)?(?:www\.)?([^:\/\n]+)"")),"""")"),"brandburp.com")</f>
        <v>brandburp.com</v>
      </c>
    </row>
    <row r="231" spans="2:7" ht="12.5">
      <c r="B231" s="27" t="s">
        <v>10133</v>
      </c>
      <c r="C231" s="8" t="s">
        <v>253</v>
      </c>
      <c r="D231" s="25" t="str">
        <f ca="1">IFERROR(__xludf.DUMMYFUNCTION("IFERROR(ARRAYFORMULA(REGEXEXTRACT(C231,""^(?:https?:\/\/)?(?:[^@\n]+@)?(?:www\.)?([^:\/\n]+)"")),"""")"),"thedevyroyale.com")</f>
        <v>thedevyroyale.com</v>
      </c>
    </row>
    <row r="232" spans="2:7" ht="12.5">
      <c r="B232" s="27" t="s">
        <v>10133</v>
      </c>
      <c r="C232" s="8" t="s">
        <v>254</v>
      </c>
      <c r="D232" s="25" t="str">
        <f ca="1">IFERROR(__xludf.DUMMYFUNCTION("IFERROR(ARRAYFORMULA(REGEXEXTRACT(C232,""^(?:https?:\/\/)?(?:[^@\n]+@)?(?:www\.)?([^:\/\n]+)"")),"""")"),"travelita-blog.com")</f>
        <v>travelita-blog.com</v>
      </c>
    </row>
    <row r="233" spans="2:7" ht="12.5">
      <c r="D233" s="26" t="str">
        <f ca="1">IFERROR(__xludf.DUMMYFUNCTION("IFERROR(ARRAYFORMULA(REGEXEXTRACT(C233,""^(?:https?:\/\/)?(?:[^@\n]+@)?(?:www\.)?([^:\/\n]+)"")),"""")"),"")</f>
        <v/>
      </c>
    </row>
    <row r="234" spans="2:7" ht="12.5">
      <c r="D234" s="26" t="str">
        <f ca="1">IFERROR(__xludf.DUMMYFUNCTION("IFERROR(ARRAYFORMULA(REGEXEXTRACT(C234,""^(?:https?:\/\/)?(?:[^@\n]+@)?(?:www\.)?([^:\/\n]+)"")),"""")"),"")</f>
        <v/>
      </c>
    </row>
    <row r="235" spans="2:7" ht="12.5">
      <c r="D235" s="26" t="str">
        <f ca="1">IFERROR(__xludf.DUMMYFUNCTION("IFERROR(ARRAYFORMULA(REGEXEXTRACT(C235,""^(?:https?:\/\/)?(?:[^@\n]+@)?(?:www\.)?([^:\/\n]+)"")),"""")"),"")</f>
        <v/>
      </c>
    </row>
    <row r="236" spans="2:7" ht="12.5">
      <c r="D236" s="26" t="str">
        <f ca="1">IFERROR(__xludf.DUMMYFUNCTION("IFERROR(ARRAYFORMULA(REGEXEXTRACT(C236,""^(?:https?:\/\/)?(?:[^@\n]+@)?(?:www\.)?([^:\/\n]+)"")),"""")"),"")</f>
        <v/>
      </c>
    </row>
    <row r="237" spans="2:7" ht="12.5">
      <c r="D237" s="26" t="str">
        <f ca="1">IFERROR(__xludf.DUMMYFUNCTION("IFERROR(ARRAYFORMULA(REGEXEXTRACT(C237,""^(?:https?:\/\/)?(?:[^@\n]+@)?(?:www\.)?([^:\/\n]+)"")),"""")"),"")</f>
        <v/>
      </c>
    </row>
    <row r="238" spans="2:7" ht="12.5">
      <c r="C238" s="41"/>
      <c r="D238" s="26" t="str">
        <f ca="1">IFERROR(__xludf.DUMMYFUNCTION("IFERROR(ARRAYFORMULA(REGEXEXTRACT(C238,""^(?:https?:\/\/)?(?:[^@\n]+@)?(?:www\.)?([^:\/\n]+)"")),"""")"),"")</f>
        <v/>
      </c>
      <c r="F238" s="42"/>
      <c r="G238" s="43"/>
    </row>
    <row r="239" spans="2:7" ht="12.5">
      <c r="C239" s="41"/>
      <c r="D239" s="26" t="str">
        <f ca="1">IFERROR(__xludf.DUMMYFUNCTION("IFERROR(ARRAYFORMULA(REGEXEXTRACT(C239,""^(?:https?:\/\/)?(?:[^@\n]+@)?(?:www\.)?([^:\/\n]+)"")),"""")"),"")</f>
        <v/>
      </c>
      <c r="F239" s="42"/>
      <c r="G239" s="43"/>
    </row>
    <row r="240" spans="2:7" ht="12.5">
      <c r="C240" s="41"/>
      <c r="D240" s="26" t="str">
        <f ca="1">IFERROR(__xludf.DUMMYFUNCTION("IFERROR(ARRAYFORMULA(REGEXEXTRACT(C240,""^(?:https?:\/\/)?(?:[^@\n]+@)?(?:www\.)?([^:\/\n]+)"")),"""")"),"")</f>
        <v/>
      </c>
      <c r="F240" s="42"/>
      <c r="G240" s="43"/>
    </row>
    <row r="241" spans="3:7" ht="12.5">
      <c r="C241" s="41"/>
      <c r="D241" s="26" t="str">
        <f ca="1">IFERROR(__xludf.DUMMYFUNCTION("IFERROR(ARRAYFORMULA(REGEXEXTRACT(C241,""^(?:https?:\/\/)?(?:[^@\n]+@)?(?:www\.)?([^:\/\n]+)"")),"""")"),"")</f>
        <v/>
      </c>
      <c r="F241" s="42"/>
      <c r="G241" s="43"/>
    </row>
    <row r="242" spans="3:7" ht="12.5">
      <c r="C242" s="41"/>
      <c r="D242" s="26" t="str">
        <f ca="1">IFERROR(__xludf.DUMMYFUNCTION("IFERROR(ARRAYFORMULA(REGEXEXTRACT(C242,""^(?:https?:\/\/)?(?:[^@\n]+@)?(?:www\.)?([^:\/\n]+)"")),"""")"),"")</f>
        <v/>
      </c>
      <c r="F242" s="42"/>
      <c r="G242" s="43"/>
    </row>
    <row r="243" spans="3:7" ht="12.5">
      <c r="C243" s="41"/>
      <c r="D243" s="26" t="str">
        <f ca="1">IFERROR(__xludf.DUMMYFUNCTION("IFERROR(ARRAYFORMULA(REGEXEXTRACT(C243,""^(?:https?:\/\/)?(?:[^@\n]+@)?(?:www\.)?([^:\/\n]+)"")),"""")"),"")</f>
        <v/>
      </c>
      <c r="F243" s="42"/>
      <c r="G243" s="43"/>
    </row>
    <row r="244" spans="3:7" ht="12.5">
      <c r="C244" s="41"/>
      <c r="D244" s="26" t="str">
        <f ca="1">IFERROR(__xludf.DUMMYFUNCTION("IFERROR(ARRAYFORMULA(REGEXEXTRACT(C244,""^(?:https?:\/\/)?(?:[^@\n]+@)?(?:www\.)?([^:\/\n]+)"")),"""")"),"")</f>
        <v/>
      </c>
      <c r="F244" s="42"/>
      <c r="G244" s="43"/>
    </row>
    <row r="245" spans="3:7" ht="14">
      <c r="C245" s="104"/>
      <c r="D245" s="26" t="str">
        <f ca="1">IFERROR(__xludf.DUMMYFUNCTION("IFERROR(ARRAYFORMULA(REGEXEXTRACT(C245,""^(?:https?:\/\/)?(?:[^@\n]+@)?(?:www\.)?([^:\/\n]+)"")),"""")"),"")</f>
        <v/>
      </c>
      <c r="F245" s="42"/>
      <c r="G245" s="43"/>
    </row>
    <row r="246" spans="3:7" ht="12.5">
      <c r="C246" s="41"/>
      <c r="D246" s="26" t="str">
        <f ca="1">IFERROR(__xludf.DUMMYFUNCTION("IFERROR(ARRAYFORMULA(REGEXEXTRACT(C246,""^(?:https?:\/\/)?(?:[^@\n]+@)?(?:www\.)?([^:\/\n]+)"")),"""")"),"")</f>
        <v/>
      </c>
      <c r="F246" s="42"/>
      <c r="G246" s="43"/>
    </row>
    <row r="247" spans="3:7" ht="12.5">
      <c r="C247" s="41"/>
      <c r="D247" s="26" t="str">
        <f ca="1">IFERROR(__xludf.DUMMYFUNCTION("IFERROR(ARRAYFORMULA(REGEXEXTRACT(C247,""^(?:https?:\/\/)?(?:[^@\n]+@)?(?:www\.)?([^:\/\n]+)"")),"""")"),"")</f>
        <v/>
      </c>
      <c r="F247" s="42"/>
      <c r="G247" s="43"/>
    </row>
    <row r="248" spans="3:7" ht="12.5">
      <c r="C248" s="41"/>
      <c r="D248" s="26" t="str">
        <f ca="1">IFERROR(__xludf.DUMMYFUNCTION("IFERROR(ARRAYFORMULA(REGEXEXTRACT(C248,""^(?:https?:\/\/)?(?:[^@\n]+@)?(?:www\.)?([^:\/\n]+)"")),"""")"),"")</f>
        <v/>
      </c>
      <c r="F248" s="42"/>
      <c r="G248" s="43"/>
    </row>
    <row r="249" spans="3:7" ht="12.5">
      <c r="C249" s="41"/>
      <c r="D249" s="26" t="str">
        <f ca="1">IFERROR(__xludf.DUMMYFUNCTION("IFERROR(ARRAYFORMULA(REGEXEXTRACT(C249,""^(?:https?:\/\/)?(?:[^@\n]+@)?(?:www\.)?([^:\/\n]+)"")),"""")"),"")</f>
        <v/>
      </c>
      <c r="F249" s="42"/>
      <c r="G249" s="43"/>
    </row>
    <row r="250" spans="3:7" ht="12.5">
      <c r="C250" s="41"/>
      <c r="D250" s="26" t="str">
        <f ca="1">IFERROR(__xludf.DUMMYFUNCTION("IFERROR(ARRAYFORMULA(REGEXEXTRACT(C250,""^(?:https?:\/\/)?(?:[^@\n]+@)?(?:www\.)?([^:\/\n]+)"")),"""")"),"")</f>
        <v/>
      </c>
      <c r="F250" s="42"/>
      <c r="G250" s="43"/>
    </row>
    <row r="251" spans="3:7" ht="12.5">
      <c r="C251" s="41"/>
      <c r="D251" s="26" t="str">
        <f ca="1">IFERROR(__xludf.DUMMYFUNCTION("IFERROR(ARRAYFORMULA(REGEXEXTRACT(C251,""^(?:https?:\/\/)?(?:[^@\n]+@)?(?:www\.)?([^:\/\n]+)"")),"""")"),"")</f>
        <v/>
      </c>
      <c r="F251" s="42"/>
      <c r="G251" s="43"/>
    </row>
    <row r="252" spans="3:7" ht="12.5">
      <c r="C252" s="41"/>
      <c r="D252" s="26" t="str">
        <f ca="1">IFERROR(__xludf.DUMMYFUNCTION("IFERROR(ARRAYFORMULA(REGEXEXTRACT(C252,""^(?:https?:\/\/)?(?:[^@\n]+@)?(?:www\.)?([^:\/\n]+)"")),"""")"),"")</f>
        <v/>
      </c>
      <c r="F252" s="42"/>
      <c r="G252" s="43"/>
    </row>
    <row r="253" spans="3:7" ht="12.5">
      <c r="C253" s="41"/>
      <c r="D253" s="26" t="str">
        <f ca="1">IFERROR(__xludf.DUMMYFUNCTION("IFERROR(ARRAYFORMULA(REGEXEXTRACT(C253,""^(?:https?:\/\/)?(?:[^@\n]+@)?(?:www\.)?([^:\/\n]+)"")),"""")"),"")</f>
        <v/>
      </c>
      <c r="F253" s="42"/>
      <c r="G253" s="43"/>
    </row>
    <row r="254" spans="3:7" ht="14.5">
      <c r="C254" s="85"/>
      <c r="D254" s="41"/>
    </row>
    <row r="255" spans="3:7" ht="14.5">
      <c r="C255" s="85"/>
      <c r="D255" s="41"/>
    </row>
    <row r="256" spans="3:7" ht="14.5">
      <c r="C256" s="85"/>
      <c r="D256" s="41"/>
    </row>
    <row r="257" spans="3:13" ht="14.5">
      <c r="C257" s="49"/>
      <c r="D257" s="41"/>
      <c r="M257" s="48"/>
    </row>
    <row r="258" spans="3:13" ht="14.5">
      <c r="C258" s="85"/>
      <c r="D258" s="41"/>
      <c r="M258" s="48"/>
    </row>
    <row r="259" spans="3:13" ht="14.5">
      <c r="C259" s="85"/>
      <c r="D259" s="41"/>
      <c r="M259" s="48"/>
    </row>
    <row r="260" spans="3:13" ht="14.5">
      <c r="C260" s="49"/>
      <c r="D260" s="41"/>
      <c r="M260" s="48"/>
    </row>
    <row r="261" spans="3:13" ht="14.5">
      <c r="C261" s="85"/>
      <c r="D261" s="41"/>
      <c r="M261" s="48"/>
    </row>
    <row r="262" spans="3:13" ht="14.5">
      <c r="C262" s="49"/>
      <c r="D262" s="41"/>
      <c r="M262" s="48"/>
    </row>
    <row r="263" spans="3:13" ht="14.5">
      <c r="C263" s="49"/>
      <c r="D263" s="41"/>
      <c r="M263" s="48"/>
    </row>
    <row r="264" spans="3:13" ht="14.5">
      <c r="C264" s="85"/>
      <c r="D264" s="41"/>
      <c r="M264" s="48"/>
    </row>
    <row r="265" spans="3:13" ht="14.5">
      <c r="C265" s="49"/>
      <c r="D265" s="41"/>
      <c r="M265" s="48"/>
    </row>
    <row r="266" spans="3:13" ht="14.5">
      <c r="C266" s="85"/>
      <c r="D266" s="41"/>
      <c r="M266" s="48"/>
    </row>
    <row r="267" spans="3:13" ht="14.5">
      <c r="C267" s="85"/>
      <c r="D267" s="41"/>
      <c r="M267" s="48"/>
    </row>
    <row r="268" spans="3:13" ht="14.5">
      <c r="C268" s="85"/>
      <c r="D268" s="41"/>
      <c r="M268" s="48"/>
    </row>
    <row r="269" spans="3:13" ht="14.5">
      <c r="C269" s="49"/>
      <c r="D269" s="41"/>
      <c r="M269" s="48"/>
    </row>
    <row r="270" spans="3:13" ht="14.5">
      <c r="C270" s="85"/>
      <c r="D270" s="41"/>
      <c r="M270" s="48"/>
    </row>
    <row r="271" spans="3:13" ht="12.5">
      <c r="C271" s="105"/>
      <c r="D271" s="41"/>
      <c r="F271" s="42"/>
      <c r="G271" s="43"/>
      <c r="H271" s="51"/>
      <c r="I271" s="51"/>
      <c r="J271" s="51"/>
      <c r="M271" s="48"/>
    </row>
    <row r="272" spans="3:13" ht="12.5">
      <c r="C272" s="105"/>
      <c r="D272" s="41"/>
      <c r="F272" s="42"/>
      <c r="G272" s="43"/>
      <c r="H272" s="51"/>
      <c r="I272" s="51"/>
      <c r="J272" s="51"/>
      <c r="M272" s="48"/>
    </row>
    <row r="273" spans="1:13" ht="14">
      <c r="C273" s="106"/>
      <c r="D273" s="41"/>
      <c r="F273" s="42"/>
      <c r="G273" s="43"/>
      <c r="H273" s="51"/>
      <c r="I273" s="51"/>
      <c r="J273" s="51"/>
      <c r="M273" s="48"/>
    </row>
    <row r="274" spans="1:13" ht="12.5">
      <c r="C274" s="105"/>
      <c r="D274" s="41"/>
      <c r="F274" s="42"/>
      <c r="G274" s="43"/>
      <c r="H274" s="51"/>
      <c r="I274" s="51"/>
      <c r="J274" s="51"/>
      <c r="M274" s="48"/>
    </row>
    <row r="275" spans="1:13" ht="12.5">
      <c r="A275" s="5"/>
      <c r="B275" s="5"/>
      <c r="D275" s="41"/>
    </row>
    <row r="276" spans="1:13" ht="12.5">
      <c r="D276" s="41"/>
    </row>
    <row r="277" spans="1:13" ht="12.5">
      <c r="D277" s="41"/>
    </row>
    <row r="278" spans="1:13" ht="12.5">
      <c r="D278" s="41"/>
    </row>
    <row r="279" spans="1:13" ht="12.5">
      <c r="D279" s="41"/>
    </row>
    <row r="280" spans="1:13" ht="12.5">
      <c r="D280" s="41"/>
    </row>
    <row r="281" spans="1:13" ht="12.5">
      <c r="D281" s="41"/>
    </row>
    <row r="282" spans="1:13" ht="12.5">
      <c r="D282" s="41"/>
    </row>
    <row r="283" spans="1:13" ht="12.5">
      <c r="D283" s="41"/>
    </row>
    <row r="284" spans="1:13" ht="12.5">
      <c r="D284" s="41"/>
    </row>
    <row r="285" spans="1:13" ht="12.5">
      <c r="D285" s="41"/>
    </row>
    <row r="286" spans="1:13" ht="12.5">
      <c r="D286" s="41"/>
    </row>
    <row r="287" spans="1:13" ht="12.5">
      <c r="D287" s="41"/>
    </row>
    <row r="288" spans="1:13" ht="12.5">
      <c r="D288" s="41"/>
    </row>
    <row r="289" spans="4:4" ht="12.5">
      <c r="D289" s="41"/>
    </row>
    <row r="290" spans="4:4" ht="12.5">
      <c r="D290" s="41"/>
    </row>
    <row r="291" spans="4:4" ht="12.5">
      <c r="D291" s="41"/>
    </row>
    <row r="292" spans="4:4" ht="12.5">
      <c r="D292" s="41"/>
    </row>
    <row r="293" spans="4:4" ht="12.5">
      <c r="D293" s="41"/>
    </row>
    <row r="294" spans="4:4" ht="12.5">
      <c r="D294" s="41"/>
    </row>
    <row r="295" spans="4:4" ht="12.5">
      <c r="D295" s="41"/>
    </row>
    <row r="296" spans="4:4" ht="12.5">
      <c r="D296" s="41"/>
    </row>
    <row r="297" spans="4:4" ht="12.5">
      <c r="D297" s="41"/>
    </row>
    <row r="298" spans="4:4" ht="12.5">
      <c r="D298" s="41"/>
    </row>
    <row r="299" spans="4:4" ht="12.5">
      <c r="D299" s="41"/>
    </row>
    <row r="300" spans="4:4" ht="12.5">
      <c r="D300" s="41"/>
    </row>
    <row r="301" spans="4:4" ht="12.5">
      <c r="D301" s="41"/>
    </row>
    <row r="302" spans="4:4" ht="12.5">
      <c r="D302" s="41"/>
    </row>
    <row r="303" spans="4:4" ht="12.5">
      <c r="D303" s="41"/>
    </row>
    <row r="304" spans="4:4" ht="12.5">
      <c r="D304" s="41"/>
    </row>
    <row r="305" spans="4:4" ht="12.5">
      <c r="D305" s="41"/>
    </row>
    <row r="306" spans="4:4" ht="12.5">
      <c r="D306" s="41"/>
    </row>
    <row r="307" spans="4:4" ht="12.5">
      <c r="D307" s="41"/>
    </row>
    <row r="308" spans="4:4" ht="12.5">
      <c r="D308" s="41"/>
    </row>
    <row r="309" spans="4:4" ht="12.5">
      <c r="D309" s="41"/>
    </row>
    <row r="310" spans="4:4" ht="12.5">
      <c r="D310" s="41"/>
    </row>
    <row r="311" spans="4:4" ht="12.5">
      <c r="D311" s="41"/>
    </row>
    <row r="312" spans="4:4" ht="12.5">
      <c r="D312" s="41"/>
    </row>
    <row r="313" spans="4:4" ht="12.5">
      <c r="D313" s="41"/>
    </row>
    <row r="314" spans="4:4" ht="12.5">
      <c r="D314" s="41"/>
    </row>
    <row r="315" spans="4:4" ht="12.5">
      <c r="D315" s="41"/>
    </row>
    <row r="316" spans="4:4" ht="12.5">
      <c r="D316" s="41"/>
    </row>
    <row r="317" spans="4:4" ht="12.5">
      <c r="D317" s="41"/>
    </row>
    <row r="318" spans="4:4" ht="12.5">
      <c r="D318" s="41"/>
    </row>
    <row r="319" spans="4:4" ht="12.5">
      <c r="D319" s="41"/>
    </row>
    <row r="320" spans="4:4" ht="12.5">
      <c r="D320" s="41"/>
    </row>
    <row r="321" spans="4:4" ht="12.5">
      <c r="D321" s="41"/>
    </row>
    <row r="322" spans="4:4" ht="12.5">
      <c r="D322" s="41"/>
    </row>
    <row r="323" spans="4:4" ht="12.5">
      <c r="D323" s="41"/>
    </row>
    <row r="324" spans="4:4" ht="12.5">
      <c r="D324" s="41"/>
    </row>
    <row r="325" spans="4:4" ht="12.5">
      <c r="D325" s="41"/>
    </row>
    <row r="326" spans="4:4" ht="12.5">
      <c r="D326" s="41"/>
    </row>
    <row r="327" spans="4:4" ht="12.5">
      <c r="D327" s="41"/>
    </row>
    <row r="328" spans="4:4" ht="12.5">
      <c r="D328" s="41"/>
    </row>
    <row r="329" spans="4:4" ht="12.5">
      <c r="D329" s="41"/>
    </row>
    <row r="330" spans="4:4" ht="12.5">
      <c r="D330" s="41"/>
    </row>
    <row r="331" spans="4:4" ht="12.5">
      <c r="D331" s="41"/>
    </row>
    <row r="332" spans="4:4" ht="12.5">
      <c r="D332" s="41"/>
    </row>
    <row r="333" spans="4:4" ht="12.5">
      <c r="D333" s="41"/>
    </row>
    <row r="334" spans="4:4" ht="12.5">
      <c r="D334" s="41"/>
    </row>
    <row r="335" spans="4:4" ht="12.5">
      <c r="D335" s="41"/>
    </row>
    <row r="336" spans="4:4" ht="12.5">
      <c r="D336" s="41"/>
    </row>
    <row r="337" spans="4:4" ht="12.5">
      <c r="D337" s="41"/>
    </row>
    <row r="338" spans="4:4" ht="12.5">
      <c r="D338" s="41"/>
    </row>
    <row r="339" spans="4:4" ht="12.5">
      <c r="D339" s="41"/>
    </row>
    <row r="340" spans="4:4" ht="12.5">
      <c r="D340" s="41"/>
    </row>
    <row r="341" spans="4:4" ht="12.5">
      <c r="D341" s="41"/>
    </row>
    <row r="342" spans="4:4" ht="12.5">
      <c r="D342" s="41"/>
    </row>
    <row r="343" spans="4:4" ht="12.5">
      <c r="D343" s="41"/>
    </row>
    <row r="344" spans="4:4" ht="12.5">
      <c r="D344" s="41"/>
    </row>
    <row r="345" spans="4:4" ht="12.5">
      <c r="D345" s="41"/>
    </row>
    <row r="346" spans="4:4" ht="12.5">
      <c r="D346" s="41"/>
    </row>
    <row r="347" spans="4:4" ht="12.5">
      <c r="D347" s="41"/>
    </row>
    <row r="348" spans="4:4" ht="12.5">
      <c r="D348" s="41"/>
    </row>
    <row r="349" spans="4:4" ht="12.5">
      <c r="D349" s="41"/>
    </row>
    <row r="350" spans="4:4" ht="12.5">
      <c r="D350" s="41"/>
    </row>
    <row r="351" spans="4:4" ht="12.5">
      <c r="D351" s="41"/>
    </row>
    <row r="352" spans="4:4" ht="12.5">
      <c r="D352" s="41"/>
    </row>
    <row r="353" spans="4:4" ht="12.5">
      <c r="D353" s="41"/>
    </row>
    <row r="354" spans="4:4" ht="12.5">
      <c r="D354" s="41"/>
    </row>
    <row r="355" spans="4:4" ht="12.5">
      <c r="D355" s="41"/>
    </row>
    <row r="356" spans="4:4" ht="12.5">
      <c r="D356" s="41"/>
    </row>
    <row r="357" spans="4:4" ht="12.5">
      <c r="D357" s="41"/>
    </row>
    <row r="358" spans="4:4" ht="12.5">
      <c r="D358" s="41"/>
    </row>
    <row r="359" spans="4:4" ht="12.5">
      <c r="D359" s="41"/>
    </row>
    <row r="360" spans="4:4" ht="12.5">
      <c r="D360" s="41"/>
    </row>
    <row r="361" spans="4:4" ht="12.5">
      <c r="D361" s="41"/>
    </row>
    <row r="362" spans="4:4" ht="12.5">
      <c r="D362" s="41"/>
    </row>
    <row r="363" spans="4:4" ht="12.5">
      <c r="D363" s="41"/>
    </row>
    <row r="364" spans="4:4" ht="12.5">
      <c r="D364" s="41"/>
    </row>
    <row r="365" spans="4:4" ht="12.5">
      <c r="D365" s="41"/>
    </row>
    <row r="366" spans="4:4" ht="12.5">
      <c r="D366" s="41"/>
    </row>
    <row r="367" spans="4:4" ht="12.5">
      <c r="D367" s="41"/>
    </row>
    <row r="368" spans="4:4" ht="12.5">
      <c r="D368" s="41"/>
    </row>
    <row r="369" spans="4:4" ht="12.5">
      <c r="D369" s="41"/>
    </row>
    <row r="370" spans="4:4" ht="12.5">
      <c r="D370" s="41"/>
    </row>
    <row r="371" spans="4:4" ht="12.5">
      <c r="D371" s="41"/>
    </row>
    <row r="372" spans="4:4" ht="12.5">
      <c r="D372" s="41"/>
    </row>
    <row r="373" spans="4:4" ht="12.5">
      <c r="D373" s="41"/>
    </row>
    <row r="374" spans="4:4" ht="12.5">
      <c r="D374" s="41"/>
    </row>
    <row r="375" spans="4:4" ht="12.5">
      <c r="D375" s="41"/>
    </row>
    <row r="376" spans="4:4" ht="12.5">
      <c r="D376" s="41"/>
    </row>
    <row r="377" spans="4:4" ht="12.5">
      <c r="D377" s="41"/>
    </row>
    <row r="378" spans="4:4" ht="12.5">
      <c r="D378" s="41"/>
    </row>
    <row r="379" spans="4:4" ht="12.5">
      <c r="D379" s="41"/>
    </row>
    <row r="380" spans="4:4" ht="12.5">
      <c r="D380" s="41"/>
    </row>
    <row r="381" spans="4:4" ht="12.5">
      <c r="D381" s="41"/>
    </row>
    <row r="382" spans="4:4" ht="12.5">
      <c r="D382" s="41"/>
    </row>
    <row r="383" spans="4:4" ht="12.5">
      <c r="D383" s="41"/>
    </row>
    <row r="384" spans="4:4" ht="12.5">
      <c r="D384" s="41"/>
    </row>
    <row r="385" spans="4:4" ht="12.5">
      <c r="D385" s="41"/>
    </row>
    <row r="386" spans="4:4" ht="12.5">
      <c r="D386" s="41"/>
    </row>
    <row r="387" spans="4:4" ht="12.5">
      <c r="D387" s="41"/>
    </row>
    <row r="388" spans="4:4" ht="12.5">
      <c r="D388" s="41"/>
    </row>
    <row r="389" spans="4:4" ht="12.5">
      <c r="D389" s="41"/>
    </row>
    <row r="390" spans="4:4" ht="12.5">
      <c r="D390" s="41"/>
    </row>
    <row r="391" spans="4:4" ht="12.5">
      <c r="D391" s="41"/>
    </row>
    <row r="392" spans="4:4" ht="12.5">
      <c r="D392" s="41"/>
    </row>
    <row r="393" spans="4:4" ht="12.5">
      <c r="D393" s="41"/>
    </row>
    <row r="394" spans="4:4" ht="12.5">
      <c r="D394" s="41"/>
    </row>
    <row r="395" spans="4:4" ht="12.5">
      <c r="D395" s="41"/>
    </row>
    <row r="396" spans="4:4" ht="12.5">
      <c r="D396" s="41"/>
    </row>
    <row r="397" spans="4:4" ht="12.5">
      <c r="D397" s="41"/>
    </row>
    <row r="398" spans="4:4" ht="12.5">
      <c r="D398" s="41"/>
    </row>
    <row r="399" spans="4:4" ht="12.5">
      <c r="D399" s="41"/>
    </row>
  </sheetData>
  <conditionalFormatting sqref="D1:D996">
    <cfRule type="expression" dxfId="3" priority="1">
      <formula>COUNTIF(D:D,D1)&gt;1</formula>
    </cfRule>
  </conditionalFormatting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3" r:id="rId11" xr:uid="{00000000-0004-0000-0300-00000A000000}"/>
    <hyperlink ref="C14" r:id="rId12" xr:uid="{00000000-0004-0000-0300-00000B000000}"/>
    <hyperlink ref="C15" r:id="rId13" xr:uid="{00000000-0004-0000-0300-00000C000000}"/>
    <hyperlink ref="C16" r:id="rId14" xr:uid="{00000000-0004-0000-0300-00000D000000}"/>
    <hyperlink ref="C17" r:id="rId15" xr:uid="{00000000-0004-0000-0300-00000E000000}"/>
    <hyperlink ref="C18" r:id="rId16" xr:uid="{00000000-0004-0000-0300-00000F000000}"/>
    <hyperlink ref="C19" r:id="rId17" xr:uid="{00000000-0004-0000-0300-000010000000}"/>
    <hyperlink ref="C20" r:id="rId18" xr:uid="{00000000-0004-0000-0300-000011000000}"/>
    <hyperlink ref="C21" r:id="rId19" xr:uid="{00000000-0004-0000-0300-000012000000}"/>
    <hyperlink ref="C22" r:id="rId20" xr:uid="{00000000-0004-0000-0300-000013000000}"/>
    <hyperlink ref="C23" r:id="rId21" xr:uid="{00000000-0004-0000-0300-000014000000}"/>
    <hyperlink ref="C24" r:id="rId22" xr:uid="{00000000-0004-0000-0300-000015000000}"/>
    <hyperlink ref="C27" r:id="rId23" xr:uid="{00000000-0004-0000-0300-000016000000}"/>
    <hyperlink ref="C28" r:id="rId24" xr:uid="{00000000-0004-0000-0300-000017000000}"/>
    <hyperlink ref="C29" r:id="rId25" xr:uid="{00000000-0004-0000-0300-000018000000}"/>
    <hyperlink ref="C30" r:id="rId26" xr:uid="{00000000-0004-0000-0300-000019000000}"/>
    <hyperlink ref="C31" r:id="rId27" xr:uid="{00000000-0004-0000-0300-00001A000000}"/>
    <hyperlink ref="C32" r:id="rId28" xr:uid="{00000000-0004-0000-0300-00001B000000}"/>
    <hyperlink ref="C33" r:id="rId29" location="blog" xr:uid="{00000000-0004-0000-0300-00001C000000}"/>
    <hyperlink ref="C34" r:id="rId30" xr:uid="{00000000-0004-0000-0300-00001D000000}"/>
    <hyperlink ref="C35" r:id="rId31" xr:uid="{00000000-0004-0000-0300-00001E000000}"/>
    <hyperlink ref="C36" r:id="rId32" xr:uid="{00000000-0004-0000-0300-00001F000000}"/>
    <hyperlink ref="C37" r:id="rId33" xr:uid="{00000000-0004-0000-0300-000020000000}"/>
    <hyperlink ref="C38" r:id="rId34" xr:uid="{00000000-0004-0000-0300-000021000000}"/>
    <hyperlink ref="C39" r:id="rId35" xr:uid="{00000000-0004-0000-0300-000022000000}"/>
    <hyperlink ref="C40" r:id="rId36" xr:uid="{00000000-0004-0000-0300-000023000000}"/>
    <hyperlink ref="C41" r:id="rId37" xr:uid="{00000000-0004-0000-0300-000024000000}"/>
    <hyperlink ref="C42" r:id="rId38" xr:uid="{00000000-0004-0000-0300-000025000000}"/>
    <hyperlink ref="C43" r:id="rId39" xr:uid="{00000000-0004-0000-0300-000026000000}"/>
    <hyperlink ref="C44" r:id="rId40" xr:uid="{00000000-0004-0000-0300-000027000000}"/>
    <hyperlink ref="C45" r:id="rId41" xr:uid="{00000000-0004-0000-0300-000028000000}"/>
    <hyperlink ref="C46" r:id="rId42" xr:uid="{00000000-0004-0000-0300-000029000000}"/>
    <hyperlink ref="C48" r:id="rId43" xr:uid="{00000000-0004-0000-0300-00002A000000}"/>
    <hyperlink ref="C49" r:id="rId44" xr:uid="{00000000-0004-0000-0300-00002B000000}"/>
    <hyperlink ref="C50" r:id="rId45" xr:uid="{00000000-0004-0000-0300-00002C000000}"/>
    <hyperlink ref="C51" r:id="rId46" xr:uid="{00000000-0004-0000-0300-00002D000000}"/>
    <hyperlink ref="C52" r:id="rId47" xr:uid="{00000000-0004-0000-0300-00002E000000}"/>
    <hyperlink ref="C53" r:id="rId48" xr:uid="{00000000-0004-0000-0300-00002F000000}"/>
    <hyperlink ref="C54" r:id="rId49" xr:uid="{00000000-0004-0000-0300-000030000000}"/>
    <hyperlink ref="C55" r:id="rId50" xr:uid="{00000000-0004-0000-0300-000031000000}"/>
    <hyperlink ref="C56" r:id="rId51" xr:uid="{00000000-0004-0000-0300-000032000000}"/>
    <hyperlink ref="C57" r:id="rId52" xr:uid="{00000000-0004-0000-0300-000033000000}"/>
    <hyperlink ref="C58" r:id="rId53" xr:uid="{00000000-0004-0000-0300-000034000000}"/>
    <hyperlink ref="C59" r:id="rId54" xr:uid="{00000000-0004-0000-0300-000035000000}"/>
    <hyperlink ref="C60" r:id="rId55" xr:uid="{00000000-0004-0000-0300-000036000000}"/>
    <hyperlink ref="C61" r:id="rId56" xr:uid="{00000000-0004-0000-0300-000037000000}"/>
    <hyperlink ref="C62" r:id="rId57" xr:uid="{00000000-0004-0000-0300-000038000000}"/>
    <hyperlink ref="C65" r:id="rId58" xr:uid="{00000000-0004-0000-0300-000039000000}"/>
    <hyperlink ref="C66" r:id="rId59" xr:uid="{00000000-0004-0000-0300-00003A000000}"/>
    <hyperlink ref="C67" r:id="rId60" xr:uid="{00000000-0004-0000-0300-00003B000000}"/>
    <hyperlink ref="C68" r:id="rId61" xr:uid="{00000000-0004-0000-0300-00003C000000}"/>
    <hyperlink ref="C69" r:id="rId62" xr:uid="{00000000-0004-0000-0300-00003D000000}"/>
    <hyperlink ref="C70" r:id="rId63" xr:uid="{00000000-0004-0000-0300-00003E000000}"/>
    <hyperlink ref="C71" r:id="rId64" xr:uid="{00000000-0004-0000-0300-00003F000000}"/>
    <hyperlink ref="C72" r:id="rId65" xr:uid="{00000000-0004-0000-0300-000040000000}"/>
    <hyperlink ref="C73" r:id="rId66" xr:uid="{00000000-0004-0000-0300-000041000000}"/>
    <hyperlink ref="C74" r:id="rId67" xr:uid="{00000000-0004-0000-0300-000042000000}"/>
    <hyperlink ref="C75" r:id="rId68" xr:uid="{00000000-0004-0000-0300-000043000000}"/>
    <hyperlink ref="C76" r:id="rId69" xr:uid="{00000000-0004-0000-0300-000044000000}"/>
    <hyperlink ref="C77" r:id="rId70" xr:uid="{00000000-0004-0000-0300-000045000000}"/>
    <hyperlink ref="C78" r:id="rId71" xr:uid="{00000000-0004-0000-0300-000046000000}"/>
    <hyperlink ref="C79" r:id="rId72" xr:uid="{00000000-0004-0000-0300-000047000000}"/>
    <hyperlink ref="C80" r:id="rId73" xr:uid="{00000000-0004-0000-0300-000048000000}"/>
    <hyperlink ref="C81" r:id="rId74" xr:uid="{00000000-0004-0000-0300-000049000000}"/>
    <hyperlink ref="C82" r:id="rId75" xr:uid="{00000000-0004-0000-0300-00004A000000}"/>
    <hyperlink ref="C84" r:id="rId76" xr:uid="{00000000-0004-0000-0300-00004B000000}"/>
    <hyperlink ref="C85" r:id="rId77" xr:uid="{00000000-0004-0000-0300-00004C000000}"/>
    <hyperlink ref="C86" r:id="rId78" xr:uid="{00000000-0004-0000-0300-00004D000000}"/>
    <hyperlink ref="C87" r:id="rId79" xr:uid="{00000000-0004-0000-0300-00004E000000}"/>
    <hyperlink ref="C88" r:id="rId80" xr:uid="{00000000-0004-0000-0300-00004F000000}"/>
    <hyperlink ref="C89" r:id="rId81" xr:uid="{00000000-0004-0000-0300-000050000000}"/>
    <hyperlink ref="C90" r:id="rId82" xr:uid="{00000000-0004-0000-0300-000051000000}"/>
    <hyperlink ref="C91" r:id="rId83" xr:uid="{00000000-0004-0000-0300-000052000000}"/>
    <hyperlink ref="C92" r:id="rId84" xr:uid="{00000000-0004-0000-0300-000053000000}"/>
    <hyperlink ref="C93" r:id="rId85" xr:uid="{00000000-0004-0000-0300-000054000000}"/>
    <hyperlink ref="C94" r:id="rId86" xr:uid="{00000000-0004-0000-0300-000055000000}"/>
    <hyperlink ref="C95" r:id="rId87" xr:uid="{00000000-0004-0000-0300-000056000000}"/>
    <hyperlink ref="C96" r:id="rId88" xr:uid="{00000000-0004-0000-0300-000057000000}"/>
    <hyperlink ref="C97" r:id="rId89" xr:uid="{00000000-0004-0000-0300-000058000000}"/>
    <hyperlink ref="C98" r:id="rId90" xr:uid="{00000000-0004-0000-0300-000059000000}"/>
    <hyperlink ref="C99" r:id="rId91" xr:uid="{00000000-0004-0000-0300-00005A000000}"/>
    <hyperlink ref="C100" r:id="rId92" xr:uid="{00000000-0004-0000-0300-00005B000000}"/>
    <hyperlink ref="C101" r:id="rId93" xr:uid="{00000000-0004-0000-0300-00005C000000}"/>
    <hyperlink ref="C102" r:id="rId94" xr:uid="{00000000-0004-0000-0300-00005D000000}"/>
    <hyperlink ref="C103" r:id="rId95" xr:uid="{00000000-0004-0000-0300-00005E000000}"/>
    <hyperlink ref="C104" r:id="rId96" xr:uid="{00000000-0004-0000-0300-00005F000000}"/>
    <hyperlink ref="C105" r:id="rId97" xr:uid="{00000000-0004-0000-0300-000060000000}"/>
    <hyperlink ref="C106" r:id="rId98" xr:uid="{00000000-0004-0000-0300-000061000000}"/>
    <hyperlink ref="C107" r:id="rId99" xr:uid="{00000000-0004-0000-0300-000062000000}"/>
    <hyperlink ref="C109" r:id="rId100" xr:uid="{00000000-0004-0000-0300-000063000000}"/>
    <hyperlink ref="C110" r:id="rId101" xr:uid="{00000000-0004-0000-0300-000064000000}"/>
    <hyperlink ref="C111" r:id="rId102" xr:uid="{00000000-0004-0000-0300-000065000000}"/>
    <hyperlink ref="C112" r:id="rId103" xr:uid="{00000000-0004-0000-0300-000066000000}"/>
    <hyperlink ref="C113" r:id="rId104" xr:uid="{00000000-0004-0000-0300-000067000000}"/>
    <hyperlink ref="C114" r:id="rId105" xr:uid="{00000000-0004-0000-0300-000068000000}"/>
    <hyperlink ref="C115" r:id="rId106" xr:uid="{00000000-0004-0000-0300-000069000000}"/>
    <hyperlink ref="C116" r:id="rId107" xr:uid="{00000000-0004-0000-0300-00006A000000}"/>
    <hyperlink ref="C117" r:id="rId108" xr:uid="{00000000-0004-0000-0300-00006B000000}"/>
    <hyperlink ref="C118" r:id="rId109" xr:uid="{00000000-0004-0000-0300-00006C000000}"/>
    <hyperlink ref="C119" r:id="rId110" xr:uid="{00000000-0004-0000-0300-00006D000000}"/>
    <hyperlink ref="C120" r:id="rId111" xr:uid="{00000000-0004-0000-0300-00006E000000}"/>
    <hyperlink ref="C122" r:id="rId112" xr:uid="{00000000-0004-0000-0300-00006F000000}"/>
    <hyperlink ref="C123" r:id="rId113" xr:uid="{00000000-0004-0000-0300-000070000000}"/>
    <hyperlink ref="C124" r:id="rId114" xr:uid="{00000000-0004-0000-0300-000071000000}"/>
    <hyperlink ref="C125" r:id="rId115" xr:uid="{00000000-0004-0000-0300-000072000000}"/>
    <hyperlink ref="C126" r:id="rId116" xr:uid="{00000000-0004-0000-0300-000073000000}"/>
    <hyperlink ref="C127" r:id="rId117" xr:uid="{00000000-0004-0000-0300-000074000000}"/>
    <hyperlink ref="C128" r:id="rId118" xr:uid="{00000000-0004-0000-0300-000075000000}"/>
    <hyperlink ref="C129" r:id="rId119" xr:uid="{00000000-0004-0000-0300-000076000000}"/>
    <hyperlink ref="C130" r:id="rId120" xr:uid="{00000000-0004-0000-0300-000077000000}"/>
    <hyperlink ref="C131" r:id="rId121" xr:uid="{00000000-0004-0000-0300-000078000000}"/>
    <hyperlink ref="C132" r:id="rId122" xr:uid="{00000000-0004-0000-0300-000079000000}"/>
    <hyperlink ref="C133" r:id="rId123" xr:uid="{00000000-0004-0000-0300-00007A000000}"/>
    <hyperlink ref="C134" r:id="rId124" xr:uid="{00000000-0004-0000-0300-00007B000000}"/>
    <hyperlink ref="C135" r:id="rId125" xr:uid="{00000000-0004-0000-0300-00007C000000}"/>
    <hyperlink ref="C136" r:id="rId126" xr:uid="{00000000-0004-0000-0300-00007D000000}"/>
    <hyperlink ref="C137" r:id="rId127" xr:uid="{00000000-0004-0000-0300-00007E000000}"/>
    <hyperlink ref="C139" r:id="rId128" xr:uid="{00000000-0004-0000-0300-00007F000000}"/>
    <hyperlink ref="C140" r:id="rId129" xr:uid="{00000000-0004-0000-0300-000080000000}"/>
    <hyperlink ref="C141" r:id="rId130" xr:uid="{00000000-0004-0000-0300-000081000000}"/>
    <hyperlink ref="C142" r:id="rId131" xr:uid="{00000000-0004-0000-0300-000082000000}"/>
    <hyperlink ref="C143" r:id="rId132" xr:uid="{00000000-0004-0000-0300-000083000000}"/>
    <hyperlink ref="C144" r:id="rId133" xr:uid="{00000000-0004-0000-0300-000084000000}"/>
    <hyperlink ref="C145" r:id="rId134" xr:uid="{00000000-0004-0000-0300-000085000000}"/>
    <hyperlink ref="C146" r:id="rId135" xr:uid="{00000000-0004-0000-0300-000086000000}"/>
    <hyperlink ref="C147" r:id="rId136" xr:uid="{00000000-0004-0000-0300-000087000000}"/>
    <hyperlink ref="C148" r:id="rId137" xr:uid="{00000000-0004-0000-0300-000088000000}"/>
    <hyperlink ref="C150" r:id="rId138" xr:uid="{00000000-0004-0000-0300-000089000000}"/>
    <hyperlink ref="C151" r:id="rId139" xr:uid="{00000000-0004-0000-0300-00008A000000}"/>
    <hyperlink ref="C152" r:id="rId140" xr:uid="{00000000-0004-0000-0300-00008B000000}"/>
    <hyperlink ref="C153" r:id="rId141" xr:uid="{00000000-0004-0000-0300-00008C000000}"/>
    <hyperlink ref="C154" r:id="rId142" xr:uid="{00000000-0004-0000-0300-00008D000000}"/>
    <hyperlink ref="C155" r:id="rId143" xr:uid="{00000000-0004-0000-0300-00008E000000}"/>
    <hyperlink ref="C156" r:id="rId144" xr:uid="{00000000-0004-0000-0300-00008F000000}"/>
    <hyperlink ref="C157" r:id="rId145" xr:uid="{00000000-0004-0000-0300-000090000000}"/>
    <hyperlink ref="C158" r:id="rId146" xr:uid="{00000000-0004-0000-0300-000091000000}"/>
    <hyperlink ref="C159" r:id="rId147" xr:uid="{00000000-0004-0000-0300-000092000000}"/>
    <hyperlink ref="C160" r:id="rId148" xr:uid="{00000000-0004-0000-0300-000093000000}"/>
    <hyperlink ref="C161" r:id="rId149" xr:uid="{00000000-0004-0000-0300-000094000000}"/>
    <hyperlink ref="C162" r:id="rId150" xr:uid="{00000000-0004-0000-0300-000095000000}"/>
    <hyperlink ref="C163" r:id="rId151" xr:uid="{00000000-0004-0000-0300-000096000000}"/>
    <hyperlink ref="C164" r:id="rId152" xr:uid="{00000000-0004-0000-0300-000097000000}"/>
    <hyperlink ref="C165" r:id="rId153" xr:uid="{00000000-0004-0000-0300-000098000000}"/>
    <hyperlink ref="C166" r:id="rId154" xr:uid="{00000000-0004-0000-0300-000099000000}"/>
    <hyperlink ref="C167" r:id="rId155" xr:uid="{00000000-0004-0000-0300-00009A000000}"/>
    <hyperlink ref="C168" r:id="rId156" xr:uid="{00000000-0004-0000-0300-00009B000000}"/>
    <hyperlink ref="C170" r:id="rId157" xr:uid="{00000000-0004-0000-0300-00009C000000}"/>
    <hyperlink ref="C171" r:id="rId158" xr:uid="{00000000-0004-0000-0300-00009D000000}"/>
    <hyperlink ref="C172" r:id="rId159" xr:uid="{00000000-0004-0000-0300-00009E000000}"/>
    <hyperlink ref="C173" r:id="rId160" xr:uid="{00000000-0004-0000-0300-00009F000000}"/>
    <hyperlink ref="C174" r:id="rId161" xr:uid="{00000000-0004-0000-0300-0000A0000000}"/>
    <hyperlink ref="C175" r:id="rId162" xr:uid="{00000000-0004-0000-0300-0000A1000000}"/>
    <hyperlink ref="C176" r:id="rId163" xr:uid="{00000000-0004-0000-0300-0000A2000000}"/>
    <hyperlink ref="C177" r:id="rId164" xr:uid="{00000000-0004-0000-0300-0000A3000000}"/>
    <hyperlink ref="C178" r:id="rId165" xr:uid="{00000000-0004-0000-0300-0000A4000000}"/>
    <hyperlink ref="C179" r:id="rId166" xr:uid="{00000000-0004-0000-0300-0000A5000000}"/>
    <hyperlink ref="C180" r:id="rId167" xr:uid="{00000000-0004-0000-0300-0000A6000000}"/>
    <hyperlink ref="C182" r:id="rId168" xr:uid="{00000000-0004-0000-0300-0000A7000000}"/>
    <hyperlink ref="C183" r:id="rId169" xr:uid="{00000000-0004-0000-0300-0000A8000000}"/>
    <hyperlink ref="C184" r:id="rId170" xr:uid="{00000000-0004-0000-0300-0000A9000000}"/>
    <hyperlink ref="C185" r:id="rId171" xr:uid="{00000000-0004-0000-0300-0000AA000000}"/>
    <hyperlink ref="C186" r:id="rId172" xr:uid="{00000000-0004-0000-0300-0000AB000000}"/>
    <hyperlink ref="C187" r:id="rId173" xr:uid="{00000000-0004-0000-0300-0000AC000000}"/>
    <hyperlink ref="C188" r:id="rId174" xr:uid="{00000000-0004-0000-0300-0000AD000000}"/>
    <hyperlink ref="C189" r:id="rId175" xr:uid="{00000000-0004-0000-0300-0000AE000000}"/>
    <hyperlink ref="C190" r:id="rId176" xr:uid="{00000000-0004-0000-0300-0000AF000000}"/>
    <hyperlink ref="C191" r:id="rId177" xr:uid="{00000000-0004-0000-0300-0000B0000000}"/>
    <hyperlink ref="C192" r:id="rId178" xr:uid="{00000000-0004-0000-0300-0000B1000000}"/>
    <hyperlink ref="C193" r:id="rId179" xr:uid="{00000000-0004-0000-0300-0000B2000000}"/>
    <hyperlink ref="C194" r:id="rId180" xr:uid="{00000000-0004-0000-0300-0000B3000000}"/>
    <hyperlink ref="C195" r:id="rId181" xr:uid="{00000000-0004-0000-0300-0000B4000000}"/>
    <hyperlink ref="C196" r:id="rId182" xr:uid="{00000000-0004-0000-0300-0000B5000000}"/>
    <hyperlink ref="C198" r:id="rId183" xr:uid="{00000000-0004-0000-0300-0000B6000000}"/>
    <hyperlink ref="C199" r:id="rId184" xr:uid="{00000000-0004-0000-0300-0000B7000000}"/>
    <hyperlink ref="C200" r:id="rId185" xr:uid="{00000000-0004-0000-0300-0000B8000000}"/>
    <hyperlink ref="C201" r:id="rId186" xr:uid="{00000000-0004-0000-0300-0000B9000000}"/>
    <hyperlink ref="C202" r:id="rId187" xr:uid="{00000000-0004-0000-0300-0000BA000000}"/>
    <hyperlink ref="C203" r:id="rId188" xr:uid="{00000000-0004-0000-0300-0000BB000000}"/>
    <hyperlink ref="C204" r:id="rId189" xr:uid="{00000000-0004-0000-0300-0000BC000000}"/>
    <hyperlink ref="C205" r:id="rId190" xr:uid="{00000000-0004-0000-0300-0000BD000000}"/>
    <hyperlink ref="C206" r:id="rId191" xr:uid="{00000000-0004-0000-0300-0000BE000000}"/>
    <hyperlink ref="C207" r:id="rId192" xr:uid="{00000000-0004-0000-0300-0000BF000000}"/>
    <hyperlink ref="C209" r:id="rId193" xr:uid="{00000000-0004-0000-0300-0000C0000000}"/>
    <hyperlink ref="C210" r:id="rId194" xr:uid="{00000000-0004-0000-0300-0000C1000000}"/>
    <hyperlink ref="C211" r:id="rId195" xr:uid="{00000000-0004-0000-0300-0000C2000000}"/>
    <hyperlink ref="C212" r:id="rId196" xr:uid="{00000000-0004-0000-0300-0000C3000000}"/>
    <hyperlink ref="C213" r:id="rId197" xr:uid="{00000000-0004-0000-0300-0000C4000000}"/>
    <hyperlink ref="C214" r:id="rId198" xr:uid="{00000000-0004-0000-0300-0000C5000000}"/>
    <hyperlink ref="C215" r:id="rId199" xr:uid="{00000000-0004-0000-0300-0000C6000000}"/>
    <hyperlink ref="C216" r:id="rId200" xr:uid="{00000000-0004-0000-0300-0000C7000000}"/>
    <hyperlink ref="C217" r:id="rId201" xr:uid="{00000000-0004-0000-0300-0000C8000000}"/>
    <hyperlink ref="C218" r:id="rId202" xr:uid="{00000000-0004-0000-0300-0000C9000000}"/>
    <hyperlink ref="C219" r:id="rId203" xr:uid="{00000000-0004-0000-0300-0000CA000000}"/>
    <hyperlink ref="C220" r:id="rId204" xr:uid="{00000000-0004-0000-0300-0000CB000000}"/>
    <hyperlink ref="C221" r:id="rId205" xr:uid="{00000000-0004-0000-0300-0000CC000000}"/>
    <hyperlink ref="C222" r:id="rId206" xr:uid="{00000000-0004-0000-0300-0000CD000000}"/>
    <hyperlink ref="C223" r:id="rId207" xr:uid="{00000000-0004-0000-0300-0000CE000000}"/>
    <hyperlink ref="C224" r:id="rId208" xr:uid="{00000000-0004-0000-0300-0000CF000000}"/>
    <hyperlink ref="C225" r:id="rId209" xr:uid="{00000000-0004-0000-0300-0000D0000000}"/>
    <hyperlink ref="C226" r:id="rId210" xr:uid="{00000000-0004-0000-0300-0000D1000000}"/>
    <hyperlink ref="C227" r:id="rId211" xr:uid="{00000000-0004-0000-0300-0000D2000000}"/>
    <hyperlink ref="C228" r:id="rId212" xr:uid="{00000000-0004-0000-0300-0000D3000000}"/>
    <hyperlink ref="C229" r:id="rId213" xr:uid="{00000000-0004-0000-0300-0000D4000000}"/>
    <hyperlink ref="C230" r:id="rId214" xr:uid="{00000000-0004-0000-0300-0000D5000000}"/>
    <hyperlink ref="C231" r:id="rId215" xr:uid="{00000000-0004-0000-0300-0000D6000000}"/>
    <hyperlink ref="C232" r:id="rId216" xr:uid="{00000000-0004-0000-0300-0000D7000000}"/>
  </hyperlinks>
  <pageMargins left="0.7" right="0.7" top="0.75" bottom="0.75" header="0.3" footer="0.3"/>
  <legacyDrawing r:id="rId2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4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8.36328125" customWidth="1"/>
    <col min="2" max="2" width="22.6328125" customWidth="1"/>
    <col min="3" max="3" width="36.90625" customWidth="1"/>
    <col min="4" max="4" width="20.7265625" customWidth="1"/>
    <col min="5" max="5" width="15" customWidth="1"/>
    <col min="6" max="6" width="8.7265625" customWidth="1"/>
    <col min="7" max="7" width="8" customWidth="1"/>
  </cols>
  <sheetData>
    <row r="1" spans="1:27" ht="15.75" customHeight="1">
      <c r="A1" s="19" t="s">
        <v>2907</v>
      </c>
      <c r="B1" s="20" t="s">
        <v>10131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C2" s="24"/>
    </row>
    <row r="3" spans="1:27" ht="15.75" customHeight="1">
      <c r="C3" s="28"/>
    </row>
    <row r="4" spans="1:27" ht="15.75" customHeight="1">
      <c r="C4" s="29"/>
    </row>
    <row r="5" spans="1:27" ht="15.75" customHeight="1">
      <c r="C5" s="28"/>
    </row>
    <row r="6" spans="1:27" ht="15.75" customHeight="1">
      <c r="C6" s="29"/>
    </row>
    <row r="7" spans="1:27" ht="15.75" customHeight="1">
      <c r="C7" s="29"/>
    </row>
    <row r="8" spans="1:27" ht="15.75" customHeight="1">
      <c r="C8" s="29"/>
    </row>
    <row r="9" spans="1:27" ht="15.75" customHeight="1">
      <c r="C9" s="29"/>
    </row>
    <row r="10" spans="1:27" ht="15.75" customHeight="1">
      <c r="C10" s="29"/>
    </row>
    <row r="11" spans="1:27" ht="15.75" customHeight="1">
      <c r="C11" s="29"/>
    </row>
    <row r="12" spans="1:27" ht="15.75" customHeight="1">
      <c r="C12" s="29"/>
    </row>
    <row r="13" spans="1:27" ht="15.75" customHeight="1">
      <c r="C13" s="29"/>
    </row>
    <row r="14" spans="1:27" ht="15.75" customHeight="1">
      <c r="C14" s="29"/>
    </row>
    <row r="15" spans="1:27" ht="15.75" customHeight="1">
      <c r="C15" s="29"/>
    </row>
    <row r="16" spans="1:27" ht="15.75" customHeight="1">
      <c r="C16" s="29"/>
    </row>
    <row r="17" spans="3:3" ht="15.75" customHeight="1">
      <c r="C17" s="29"/>
    </row>
    <row r="18" spans="3:3" ht="15.75" customHeight="1">
      <c r="C18" s="29"/>
    </row>
    <row r="19" spans="3:3" ht="15.75" customHeight="1">
      <c r="C19" s="29"/>
    </row>
    <row r="20" spans="3:3" ht="15.75" customHeight="1">
      <c r="C20" s="29"/>
    </row>
    <row r="21" spans="3:3" ht="15.75" customHeight="1">
      <c r="C21" s="29"/>
    </row>
    <row r="22" spans="3:3" ht="15.75" customHeight="1">
      <c r="C22" s="29"/>
    </row>
    <row r="23" spans="3:3" ht="15.75" customHeight="1">
      <c r="C23" s="29"/>
    </row>
    <row r="24" spans="3:3" ht="15.75" customHeight="1">
      <c r="C24" s="29"/>
    </row>
    <row r="71" spans="7:7" ht="12.5">
      <c r="G71" s="30"/>
    </row>
    <row r="83" spans="7:7" ht="12.5">
      <c r="G83" s="30"/>
    </row>
    <row r="127" spans="7:7" ht="12.5">
      <c r="G127" s="30"/>
    </row>
    <row r="130" spans="7:7" ht="12.5">
      <c r="G130" s="30"/>
    </row>
    <row r="131" spans="7:7" ht="12.5">
      <c r="G131" s="30"/>
    </row>
    <row r="134" spans="7:7" ht="12.5">
      <c r="G134" s="30"/>
    </row>
    <row r="135" spans="7:7" ht="12.5">
      <c r="G135" s="30"/>
    </row>
    <row r="136" spans="7:7" ht="12.5">
      <c r="G136" s="30"/>
    </row>
    <row r="239" spans="3:7" ht="12.5">
      <c r="C239" s="41"/>
      <c r="D239" s="41"/>
      <c r="F239" s="42"/>
      <c r="G239" s="43"/>
    </row>
    <row r="240" spans="3:7" ht="12.5">
      <c r="C240" s="41"/>
      <c r="D240" s="41"/>
      <c r="F240" s="42"/>
      <c r="G240" s="43"/>
    </row>
    <row r="241" spans="3:7" ht="12.5">
      <c r="C241" s="41"/>
      <c r="D241" s="41"/>
      <c r="F241" s="42"/>
      <c r="G241" s="43"/>
    </row>
    <row r="242" spans="3:7" ht="12.5">
      <c r="C242" s="41"/>
      <c r="D242" s="41"/>
      <c r="F242" s="42"/>
      <c r="G242" s="43"/>
    </row>
    <row r="243" spans="3:7" ht="12.5">
      <c r="C243" s="41"/>
      <c r="D243" s="41"/>
      <c r="F243" s="42"/>
      <c r="G243" s="43"/>
    </row>
    <row r="244" spans="3:7" ht="12.5">
      <c r="C244" s="41"/>
      <c r="D244" s="41"/>
      <c r="F244" s="42"/>
      <c r="G244" s="43"/>
    </row>
    <row r="245" spans="3:7" ht="12.5">
      <c r="C245" s="41"/>
      <c r="D245" s="41"/>
      <c r="F245" s="42"/>
      <c r="G245" s="43"/>
    </row>
    <row r="246" spans="3:7" ht="14">
      <c r="C246" s="104"/>
      <c r="D246" s="41"/>
      <c r="F246" s="42"/>
      <c r="G246" s="43"/>
    </row>
    <row r="247" spans="3:7" ht="12.5">
      <c r="C247" s="41"/>
      <c r="D247" s="41"/>
      <c r="F247" s="42"/>
      <c r="G247" s="43"/>
    </row>
    <row r="248" spans="3:7" ht="12.5">
      <c r="C248" s="41"/>
      <c r="D248" s="41"/>
      <c r="F248" s="42"/>
      <c r="G248" s="43"/>
    </row>
    <row r="249" spans="3:7" ht="12.5">
      <c r="C249" s="41"/>
      <c r="D249" s="41"/>
      <c r="F249" s="42"/>
      <c r="G249" s="43"/>
    </row>
    <row r="250" spans="3:7" ht="12.5">
      <c r="C250" s="41"/>
      <c r="D250" s="41"/>
      <c r="F250" s="42"/>
      <c r="G250" s="43"/>
    </row>
    <row r="251" spans="3:7" ht="12.5">
      <c r="C251" s="41"/>
      <c r="D251" s="41"/>
      <c r="F251" s="42"/>
      <c r="G251" s="43"/>
    </row>
    <row r="252" spans="3:7" ht="12.5">
      <c r="C252" s="41"/>
      <c r="D252" s="41"/>
      <c r="F252" s="42"/>
      <c r="G252" s="43"/>
    </row>
    <row r="253" spans="3:7" ht="12.5">
      <c r="C253" s="41"/>
      <c r="D253" s="41"/>
      <c r="F253" s="42"/>
      <c r="G253" s="43"/>
    </row>
    <row r="254" spans="3:7" ht="12.5">
      <c r="C254" s="41"/>
      <c r="D254" s="41"/>
      <c r="F254" s="42"/>
      <c r="G254" s="43"/>
    </row>
    <row r="255" spans="3:7" ht="14.5">
      <c r="C255" s="85"/>
      <c r="D255" s="41"/>
    </row>
    <row r="256" spans="3:7" ht="14.5">
      <c r="C256" s="85"/>
      <c r="D256" s="41"/>
    </row>
    <row r="257" spans="3:13" ht="14.5">
      <c r="C257" s="85"/>
      <c r="D257" s="41"/>
    </row>
    <row r="258" spans="3:13" ht="14.5">
      <c r="C258" s="49"/>
      <c r="D258" s="41"/>
      <c r="M258" s="48"/>
    </row>
    <row r="259" spans="3:13" ht="14.5">
      <c r="C259" s="85"/>
      <c r="D259" s="41"/>
      <c r="M259" s="48"/>
    </row>
    <row r="260" spans="3:13" ht="14.5">
      <c r="C260" s="85"/>
      <c r="D260" s="41"/>
      <c r="M260" s="48"/>
    </row>
    <row r="261" spans="3:13" ht="14.5">
      <c r="C261" s="49"/>
      <c r="D261" s="41"/>
      <c r="M261" s="48"/>
    </row>
    <row r="262" spans="3:13" ht="14.5">
      <c r="C262" s="85"/>
      <c r="D262" s="41"/>
      <c r="M262" s="48"/>
    </row>
    <row r="263" spans="3:13" ht="14.5">
      <c r="C263" s="49"/>
      <c r="D263" s="41"/>
      <c r="M263" s="48"/>
    </row>
    <row r="264" spans="3:13" ht="14.5">
      <c r="C264" s="49"/>
      <c r="D264" s="41"/>
      <c r="M264" s="48"/>
    </row>
    <row r="265" spans="3:13" ht="14.5">
      <c r="C265" s="85"/>
      <c r="D265" s="41"/>
      <c r="M265" s="48"/>
    </row>
    <row r="266" spans="3:13" ht="14.5">
      <c r="C266" s="49"/>
      <c r="D266" s="41"/>
      <c r="M266" s="48"/>
    </row>
    <row r="267" spans="3:13" ht="14.5">
      <c r="C267" s="85"/>
      <c r="D267" s="41"/>
      <c r="M267" s="48"/>
    </row>
    <row r="268" spans="3:13" ht="14.5">
      <c r="C268" s="85"/>
      <c r="D268" s="41"/>
      <c r="M268" s="48"/>
    </row>
    <row r="269" spans="3:13" ht="14.5">
      <c r="C269" s="85"/>
      <c r="D269" s="41"/>
      <c r="M269" s="48"/>
    </row>
    <row r="270" spans="3:13" ht="14.5">
      <c r="C270" s="49"/>
      <c r="D270" s="41"/>
      <c r="M270" s="48"/>
    </row>
    <row r="271" spans="3:13" ht="14.5">
      <c r="C271" s="85"/>
      <c r="D271" s="41"/>
      <c r="M271" s="48"/>
    </row>
    <row r="272" spans="3:13" ht="12.5">
      <c r="C272" s="105"/>
      <c r="D272" s="41"/>
      <c r="F272" s="42"/>
      <c r="G272" s="43"/>
      <c r="H272" s="51"/>
      <c r="I272" s="51"/>
      <c r="J272" s="51"/>
      <c r="M272" s="48"/>
    </row>
    <row r="273" spans="1:13" ht="12.5">
      <c r="C273" s="105"/>
      <c r="D273" s="41"/>
      <c r="F273" s="42"/>
      <c r="G273" s="43"/>
      <c r="H273" s="51"/>
      <c r="I273" s="51"/>
      <c r="J273" s="51"/>
      <c r="M273" s="48"/>
    </row>
    <row r="274" spans="1:13" ht="14">
      <c r="C274" s="106"/>
      <c r="D274" s="41"/>
      <c r="F274" s="42"/>
      <c r="G274" s="43"/>
      <c r="H274" s="51"/>
      <c r="I274" s="51"/>
      <c r="J274" s="51"/>
      <c r="M274" s="48"/>
    </row>
    <row r="275" spans="1:13" ht="12.5">
      <c r="C275" s="105"/>
      <c r="D275" s="41"/>
      <c r="F275" s="42"/>
      <c r="G275" s="43"/>
      <c r="H275" s="51"/>
      <c r="I275" s="51"/>
      <c r="J275" s="51"/>
      <c r="M275" s="48"/>
    </row>
    <row r="276" spans="1:13" ht="12.5">
      <c r="A276" s="5"/>
      <c r="B276" s="5"/>
      <c r="D276" s="41"/>
    </row>
    <row r="277" spans="1:13" ht="12.5">
      <c r="D277" s="41"/>
    </row>
    <row r="278" spans="1:13" ht="12.5">
      <c r="D278" s="41"/>
    </row>
    <row r="279" spans="1:13" ht="12.5">
      <c r="D279" s="41"/>
    </row>
    <row r="280" spans="1:13" ht="12.5">
      <c r="D280" s="41"/>
    </row>
    <row r="281" spans="1:13" ht="12.5">
      <c r="D281" s="41"/>
    </row>
    <row r="282" spans="1:13" ht="12.5">
      <c r="D282" s="41"/>
    </row>
    <row r="283" spans="1:13" ht="12.5">
      <c r="D283" s="41"/>
    </row>
    <row r="284" spans="1:13" ht="12.5">
      <c r="D284" s="41"/>
    </row>
    <row r="285" spans="1:13" ht="12.5">
      <c r="D285" s="41"/>
    </row>
    <row r="286" spans="1:13" ht="12.5">
      <c r="D286" s="41"/>
    </row>
    <row r="287" spans="1:13" ht="12.5">
      <c r="D287" s="41"/>
    </row>
    <row r="288" spans="1:13" ht="12.5">
      <c r="D288" s="41"/>
    </row>
    <row r="289" spans="4:4" ht="12.5">
      <c r="D289" s="41"/>
    </row>
    <row r="290" spans="4:4" ht="12.5">
      <c r="D290" s="41"/>
    </row>
    <row r="291" spans="4:4" ht="12.5">
      <c r="D291" s="41"/>
    </row>
    <row r="292" spans="4:4" ht="12.5">
      <c r="D292" s="41"/>
    </row>
    <row r="293" spans="4:4" ht="12.5">
      <c r="D293" s="41"/>
    </row>
    <row r="294" spans="4:4" ht="12.5">
      <c r="D294" s="41"/>
    </row>
    <row r="295" spans="4:4" ht="12.5">
      <c r="D295" s="41"/>
    </row>
    <row r="296" spans="4:4" ht="12.5">
      <c r="D296" s="41"/>
    </row>
    <row r="297" spans="4:4" ht="12.5">
      <c r="D297" s="41"/>
    </row>
    <row r="298" spans="4:4" ht="12.5">
      <c r="D298" s="41"/>
    </row>
    <row r="299" spans="4:4" ht="12.5">
      <c r="D299" s="41"/>
    </row>
    <row r="300" spans="4:4" ht="12.5">
      <c r="D300" s="41"/>
    </row>
    <row r="301" spans="4:4" ht="12.5">
      <c r="D301" s="41"/>
    </row>
    <row r="302" spans="4:4" ht="12.5">
      <c r="D302" s="41"/>
    </row>
    <row r="303" spans="4:4" ht="12.5">
      <c r="D303" s="41"/>
    </row>
    <row r="304" spans="4:4" ht="12.5">
      <c r="D304" s="41"/>
    </row>
    <row r="305" spans="4:4" ht="12.5">
      <c r="D305" s="41"/>
    </row>
    <row r="306" spans="4:4" ht="12.5">
      <c r="D306" s="41"/>
    </row>
    <row r="307" spans="4:4" ht="12.5">
      <c r="D307" s="41"/>
    </row>
    <row r="308" spans="4:4" ht="12.5">
      <c r="D308" s="41"/>
    </row>
    <row r="309" spans="4:4" ht="12.5">
      <c r="D309" s="41"/>
    </row>
    <row r="310" spans="4:4" ht="12.5">
      <c r="D310" s="41"/>
    </row>
    <row r="311" spans="4:4" ht="12.5">
      <c r="D311" s="41"/>
    </row>
    <row r="312" spans="4:4" ht="12.5">
      <c r="D312" s="41"/>
    </row>
    <row r="313" spans="4:4" ht="12.5">
      <c r="D313" s="41"/>
    </row>
    <row r="314" spans="4:4" ht="12.5">
      <c r="D314" s="41"/>
    </row>
    <row r="315" spans="4:4" ht="12.5">
      <c r="D315" s="41"/>
    </row>
    <row r="316" spans="4:4" ht="12.5">
      <c r="D316" s="41"/>
    </row>
    <row r="317" spans="4:4" ht="12.5">
      <c r="D317" s="41"/>
    </row>
    <row r="318" spans="4:4" ht="12.5">
      <c r="D318" s="41"/>
    </row>
    <row r="319" spans="4:4" ht="12.5">
      <c r="D319" s="41"/>
    </row>
    <row r="320" spans="4:4" ht="12.5">
      <c r="D320" s="41"/>
    </row>
    <row r="321" spans="4:4" ht="12.5">
      <c r="D321" s="41"/>
    </row>
    <row r="322" spans="4:4" ht="12.5">
      <c r="D322" s="41"/>
    </row>
    <row r="323" spans="4:4" ht="12.5">
      <c r="D323" s="41"/>
    </row>
    <row r="324" spans="4:4" ht="12.5">
      <c r="D324" s="41"/>
    </row>
    <row r="325" spans="4:4" ht="12.5">
      <c r="D325" s="41"/>
    </row>
    <row r="326" spans="4:4" ht="12.5">
      <c r="D326" s="41"/>
    </row>
    <row r="327" spans="4:4" ht="12.5">
      <c r="D327" s="41"/>
    </row>
    <row r="328" spans="4:4" ht="12.5">
      <c r="D328" s="41"/>
    </row>
    <row r="329" spans="4:4" ht="12.5">
      <c r="D329" s="41"/>
    </row>
    <row r="330" spans="4:4" ht="12.5">
      <c r="D330" s="41"/>
    </row>
    <row r="331" spans="4:4" ht="12.5">
      <c r="D331" s="41"/>
    </row>
    <row r="332" spans="4:4" ht="12.5">
      <c r="D332" s="41"/>
    </row>
    <row r="333" spans="4:4" ht="12.5">
      <c r="D333" s="41"/>
    </row>
    <row r="334" spans="4:4" ht="12.5">
      <c r="D334" s="41"/>
    </row>
    <row r="335" spans="4:4" ht="12.5">
      <c r="D335" s="41"/>
    </row>
    <row r="336" spans="4:4" ht="12.5">
      <c r="D336" s="41"/>
    </row>
    <row r="337" spans="4:4" ht="12.5">
      <c r="D337" s="41"/>
    </row>
    <row r="338" spans="4:4" ht="12.5">
      <c r="D338" s="41"/>
    </row>
    <row r="339" spans="4:4" ht="12.5">
      <c r="D339" s="41"/>
    </row>
    <row r="340" spans="4:4" ht="12.5">
      <c r="D340" s="41"/>
    </row>
    <row r="341" spans="4:4" ht="12.5">
      <c r="D341" s="41"/>
    </row>
    <row r="342" spans="4:4" ht="12.5">
      <c r="D342" s="41"/>
    </row>
    <row r="343" spans="4:4" ht="12.5">
      <c r="D343" s="41"/>
    </row>
    <row r="344" spans="4:4" ht="12.5">
      <c r="D344" s="41"/>
    </row>
    <row r="345" spans="4:4" ht="12.5">
      <c r="D345" s="41"/>
    </row>
    <row r="346" spans="4:4" ht="12.5">
      <c r="D346" s="41"/>
    </row>
    <row r="347" spans="4:4" ht="12.5">
      <c r="D347" s="41"/>
    </row>
    <row r="348" spans="4:4" ht="12.5">
      <c r="D348" s="41"/>
    </row>
    <row r="349" spans="4:4" ht="12.5">
      <c r="D349" s="41"/>
    </row>
    <row r="350" spans="4:4" ht="12.5">
      <c r="D350" s="41"/>
    </row>
    <row r="351" spans="4:4" ht="12.5">
      <c r="D351" s="41"/>
    </row>
    <row r="352" spans="4:4" ht="12.5">
      <c r="D352" s="41"/>
    </row>
    <row r="353" spans="4:4" ht="12.5">
      <c r="D353" s="41"/>
    </row>
    <row r="354" spans="4:4" ht="12.5">
      <c r="D354" s="41"/>
    </row>
    <row r="355" spans="4:4" ht="12.5">
      <c r="D355" s="41"/>
    </row>
    <row r="356" spans="4:4" ht="12.5">
      <c r="D356" s="41"/>
    </row>
    <row r="357" spans="4:4" ht="12.5">
      <c r="D357" s="41"/>
    </row>
    <row r="358" spans="4:4" ht="12.5">
      <c r="D358" s="41"/>
    </row>
    <row r="359" spans="4:4" ht="12.5">
      <c r="D359" s="41"/>
    </row>
    <row r="360" spans="4:4" ht="12.5">
      <c r="D360" s="41"/>
    </row>
    <row r="361" spans="4:4" ht="12.5">
      <c r="D361" s="41"/>
    </row>
    <row r="362" spans="4:4" ht="12.5">
      <c r="D362" s="41"/>
    </row>
    <row r="363" spans="4:4" ht="12.5">
      <c r="D363" s="41"/>
    </row>
    <row r="364" spans="4:4" ht="12.5">
      <c r="D364" s="41"/>
    </row>
    <row r="365" spans="4:4" ht="12.5">
      <c r="D365" s="41"/>
    </row>
    <row r="366" spans="4:4" ht="12.5">
      <c r="D366" s="41"/>
    </row>
    <row r="367" spans="4:4" ht="12.5">
      <c r="D367" s="41"/>
    </row>
    <row r="368" spans="4:4" ht="12.5">
      <c r="D368" s="41"/>
    </row>
    <row r="369" spans="4:4" ht="12.5">
      <c r="D369" s="41"/>
    </row>
    <row r="370" spans="4:4" ht="12.5">
      <c r="D370" s="41"/>
    </row>
    <row r="371" spans="4:4" ht="12.5">
      <c r="D371" s="41"/>
    </row>
    <row r="372" spans="4:4" ht="12.5">
      <c r="D372" s="41"/>
    </row>
    <row r="373" spans="4:4" ht="12.5">
      <c r="D373" s="41"/>
    </row>
    <row r="374" spans="4:4" ht="12.5">
      <c r="D374" s="41"/>
    </row>
    <row r="375" spans="4:4" ht="12.5">
      <c r="D375" s="41"/>
    </row>
    <row r="376" spans="4:4" ht="12.5">
      <c r="D376" s="41"/>
    </row>
    <row r="377" spans="4:4" ht="12.5">
      <c r="D377" s="41"/>
    </row>
    <row r="378" spans="4:4" ht="12.5">
      <c r="D378" s="41"/>
    </row>
    <row r="379" spans="4:4" ht="12.5">
      <c r="D379" s="41"/>
    </row>
    <row r="380" spans="4:4" ht="12.5">
      <c r="D380" s="41"/>
    </row>
    <row r="381" spans="4:4" ht="12.5">
      <c r="D381" s="41"/>
    </row>
    <row r="382" spans="4:4" ht="12.5">
      <c r="D382" s="41"/>
    </row>
    <row r="383" spans="4:4" ht="12.5">
      <c r="D383" s="41"/>
    </row>
    <row r="384" spans="4:4" ht="12.5">
      <c r="D384" s="41"/>
    </row>
    <row r="385" spans="4:4" ht="12.5">
      <c r="D385" s="41"/>
    </row>
    <row r="386" spans="4:4" ht="12.5">
      <c r="D386" s="41"/>
    </row>
    <row r="387" spans="4:4" ht="12.5">
      <c r="D387" s="41"/>
    </row>
    <row r="388" spans="4:4" ht="12.5">
      <c r="D388" s="41"/>
    </row>
    <row r="389" spans="4:4" ht="12.5">
      <c r="D389" s="41"/>
    </row>
    <row r="390" spans="4:4" ht="12.5">
      <c r="D390" s="41"/>
    </row>
    <row r="391" spans="4:4" ht="12.5">
      <c r="D391" s="41"/>
    </row>
    <row r="392" spans="4:4" ht="12.5">
      <c r="D392" s="41"/>
    </row>
    <row r="393" spans="4:4" ht="12.5">
      <c r="D393" s="41"/>
    </row>
    <row r="394" spans="4:4" ht="12.5">
      <c r="D394" s="41"/>
    </row>
    <row r="395" spans="4:4" ht="12.5">
      <c r="D395" s="41"/>
    </row>
    <row r="396" spans="4:4" ht="12.5">
      <c r="D396" s="41"/>
    </row>
    <row r="397" spans="4:4" ht="12.5">
      <c r="D397" s="41"/>
    </row>
    <row r="398" spans="4:4" ht="12.5">
      <c r="D398" s="41"/>
    </row>
    <row r="399" spans="4:4" ht="12.5">
      <c r="D399" s="41"/>
    </row>
    <row r="400" spans="4:4" ht="12.5">
      <c r="D400" s="41"/>
    </row>
  </sheetData>
  <conditionalFormatting sqref="D1:D997">
    <cfRule type="expression" dxfId="2" priority="1">
      <formula>COUNTIF(D:D,D1)&gt;1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4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8.36328125" customWidth="1"/>
    <col min="2" max="2" width="22.6328125" customWidth="1"/>
    <col min="3" max="3" width="36.90625" customWidth="1"/>
    <col min="4" max="4" width="20.7265625" customWidth="1"/>
    <col min="5" max="5" width="15" customWidth="1"/>
    <col min="6" max="6" width="8.7265625" customWidth="1"/>
    <col min="7" max="7" width="8" customWidth="1"/>
  </cols>
  <sheetData>
    <row r="1" spans="1:27" ht="15.75" customHeight="1">
      <c r="A1" s="19" t="s">
        <v>2907</v>
      </c>
      <c r="B1" s="20" t="s">
        <v>10131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2921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B2" s="27" t="s">
        <v>10134</v>
      </c>
      <c r="C2" s="9" t="s">
        <v>10135</v>
      </c>
      <c r="D2" s="25" t="str">
        <f ca="1">IFERROR(__xludf.DUMMYFUNCTION("IFERROR(ARRAYFORMULA(REGEXEXTRACT(C2,""^(?:https?:\/\/)?(?:[^@\n]+@)?(?:www\.)?([^:\/\n]+)"")),"""")"),"speedingticketkc.com")</f>
        <v>speedingticketkc.com</v>
      </c>
    </row>
    <row r="3" spans="1:27" ht="15.75" customHeight="1">
      <c r="B3" s="27" t="s">
        <v>10134</v>
      </c>
      <c r="C3" s="10" t="s">
        <v>10136</v>
      </c>
      <c r="D3" s="25" t="str">
        <f ca="1">IFERROR(__xludf.DUMMYFUNCTION("IFERROR(ARRAYFORMULA(REGEXEXTRACT(C3,""^(?:https?:\/\/)?(?:[^@\n]+@)?(?:www\.)?([^:\/\n]+)"")),"""")"),"twotravelingtexans.com")</f>
        <v>twotravelingtexans.com</v>
      </c>
    </row>
    <row r="4" spans="1:27" ht="15.75" customHeight="1">
      <c r="B4" s="27" t="s">
        <v>10134</v>
      </c>
      <c r="C4" s="9" t="s">
        <v>10137</v>
      </c>
      <c r="D4" s="25" t="str">
        <f ca="1">IFERROR(__xludf.DUMMYFUNCTION("IFERROR(ARRAYFORMULA(REGEXEXTRACT(C4,""^(?:https?:\/\/)?(?:[^@\n]+@)?(?:www\.)?([^:\/\n]+)"")),"""")"),"equalitytexas.org")</f>
        <v>equalitytexas.org</v>
      </c>
    </row>
    <row r="5" spans="1:27" ht="15.75" customHeight="1">
      <c r="B5" s="27" t="s">
        <v>10134</v>
      </c>
      <c r="C5" s="10" t="s">
        <v>10138</v>
      </c>
      <c r="D5" s="25" t="str">
        <f ca="1">IFERROR(__xludf.DUMMYFUNCTION("IFERROR(ARRAYFORMULA(REGEXEXTRACT(C5,""^(?:https?:\/\/)?(?:[^@\n]+@)?(?:www\.)?([^:\/\n]+)"")),"""")"),"digitalsuccess.us")</f>
        <v>digitalsuccess.us</v>
      </c>
    </row>
    <row r="6" spans="1:27" ht="15.75" customHeight="1">
      <c r="B6" s="27" t="s">
        <v>10134</v>
      </c>
      <c r="C6" s="9" t="s">
        <v>10139</v>
      </c>
      <c r="D6" s="25" t="str">
        <f ca="1">IFERROR(__xludf.DUMMYFUNCTION("IFERROR(ARRAYFORMULA(REGEXEXTRACT(C6,""^(?:https?:\/\/)?(?:[^@\n]+@)?(?:www\.)?([^:\/\n]+)"")),"""")"),"writersleague.org")</f>
        <v>writersleague.org</v>
      </c>
    </row>
    <row r="7" spans="1:27" ht="15.75" customHeight="1">
      <c r="B7" s="27" t="s">
        <v>10134</v>
      </c>
      <c r="C7" s="9" t="s">
        <v>10140</v>
      </c>
      <c r="D7" s="25" t="str">
        <f ca="1">IFERROR(__xludf.DUMMYFUNCTION("IFERROR(ARRAYFORMULA(REGEXEXTRACT(C7,""^(?:https?:\/\/)?(?:[^@\n]+@)?(?:www\.)?([^:\/\n]+)"")),"""")"),"blog.texasbar.com")</f>
        <v>blog.texasbar.com</v>
      </c>
    </row>
    <row r="8" spans="1:27" ht="15.75" customHeight="1">
      <c r="B8" s="27" t="s">
        <v>10134</v>
      </c>
      <c r="C8" s="9" t="s">
        <v>10141</v>
      </c>
      <c r="D8" s="25" t="str">
        <f ca="1">IFERROR(__xludf.DUMMYFUNCTION("IFERROR(ARRAYFORMULA(REGEXEXTRACT(C8,""^(?:https?:\/\/)?(?:[^@\n]+@)?(?:www\.)?([^:\/\n]+)"")),"""")"),"laurenflake.com")</f>
        <v>laurenflake.com</v>
      </c>
    </row>
    <row r="9" spans="1:27" ht="15.75" customHeight="1">
      <c r="B9" s="27" t="s">
        <v>10134</v>
      </c>
      <c r="C9" s="9" t="s">
        <v>10142</v>
      </c>
      <c r="D9" s="25" t="str">
        <f ca="1">IFERROR(__xludf.DUMMYFUNCTION("IFERROR(ARRAYFORMULA(REGEXEXTRACT(C9,""^(?:https?:\/\/)?(?:[^@\n]+@)?(?:www\.)?([^:\/\n]+)"")),"""")"),"unitedwayaustin.org")</f>
        <v>unitedwayaustin.org</v>
      </c>
    </row>
    <row r="10" spans="1:27" ht="15.75" customHeight="1">
      <c r="B10" s="27" t="s">
        <v>10134</v>
      </c>
      <c r="C10" s="9" t="s">
        <v>10143</v>
      </c>
      <c r="D10" s="25" t="str">
        <f ca="1">IFERROR(__xludf.DUMMYFUNCTION("IFERROR(ARRAYFORMULA(REGEXEXTRACT(C10,""^(?:https?:\/\/)?(?:[^@\n]+@)?(?:www\.)?([^:\/\n]+)"")),"""")"),"allwaterguides.com")</f>
        <v>allwaterguides.com</v>
      </c>
    </row>
    <row r="11" spans="1:27" ht="15.75" customHeight="1">
      <c r="B11" s="27" t="s">
        <v>10134</v>
      </c>
      <c r="C11" s="9" t="s">
        <v>10144</v>
      </c>
      <c r="D11" s="25" t="str">
        <f ca="1">IFERROR(__xludf.DUMMYFUNCTION("IFERROR(ARRAYFORMULA(REGEXEXTRACT(C11,""^(?:https?:\/\/)?(?:[^@\n]+@)?(?:www\.)?([^:\/\n]+)"")),"""")"),"pdwise.com")</f>
        <v>pdwise.com</v>
      </c>
    </row>
    <row r="12" spans="1:27" ht="15.75" customHeight="1">
      <c r="B12" s="27" t="s">
        <v>10134</v>
      </c>
      <c r="C12" s="9" t="s">
        <v>10145</v>
      </c>
      <c r="D12" s="25" t="str">
        <f ca="1">IFERROR(__xludf.DUMMYFUNCTION("IFERROR(ARRAYFORMULA(REGEXEXTRACT(C12,""^(?:https?:\/\/)?(?:[^@\n]+@)?(?:www\.)?([^:\/\n]+)"")),"""")"),"dentalprofessionalsonline.com")</f>
        <v>dentalprofessionalsonline.com</v>
      </c>
    </row>
    <row r="13" spans="1:27" ht="15.75" customHeight="1">
      <c r="C13" s="29"/>
      <c r="D13" s="26" t="str">
        <f ca="1">IFERROR(__xludf.DUMMYFUNCTION("IFERROR(ARRAYFORMULA(REGEXEXTRACT(C13,""^(?:https?:\/\/)?(?:[^@\n]+@)?(?:www\.)?([^:\/\n]+)"")),"""")"),"")</f>
        <v/>
      </c>
    </row>
    <row r="14" spans="1:27" ht="15.75" customHeight="1">
      <c r="C14" s="29"/>
      <c r="D14" s="26" t="str">
        <f ca="1">IFERROR(__xludf.DUMMYFUNCTION("IFERROR(ARRAYFORMULA(REGEXEXTRACT(C14,""^(?:https?:\/\/)?(?:[^@\n]+@)?(?:www\.)?([^:\/\n]+)"")),"""")"),"")</f>
        <v/>
      </c>
    </row>
    <row r="15" spans="1:27" ht="15.75" customHeight="1">
      <c r="C15" s="29"/>
      <c r="D15" s="26" t="str">
        <f ca="1">IFERROR(__xludf.DUMMYFUNCTION("IFERROR(ARRAYFORMULA(REGEXEXTRACT(C15,""^(?:https?:\/\/)?(?:[^@\n]+@)?(?:www\.)?([^:\/\n]+)"")),"""")"),"")</f>
        <v/>
      </c>
    </row>
    <row r="16" spans="1:27" ht="15.75" customHeight="1">
      <c r="C16" s="29"/>
    </row>
    <row r="17" spans="3:3" ht="15.75" customHeight="1">
      <c r="C17" s="29"/>
    </row>
    <row r="18" spans="3:3" ht="15.75" customHeight="1">
      <c r="C18" s="29"/>
    </row>
    <row r="19" spans="3:3" ht="15.75" customHeight="1">
      <c r="C19" s="29"/>
    </row>
    <row r="20" spans="3:3" ht="15.75" customHeight="1">
      <c r="C20" s="29"/>
    </row>
    <row r="21" spans="3:3" ht="15.75" customHeight="1">
      <c r="C21" s="29"/>
    </row>
    <row r="22" spans="3:3" ht="15.75" customHeight="1">
      <c r="C22" s="29"/>
    </row>
    <row r="23" spans="3:3" ht="15.75" customHeight="1">
      <c r="C23" s="29"/>
    </row>
    <row r="24" spans="3:3" ht="15.75" customHeight="1">
      <c r="C24" s="29"/>
    </row>
    <row r="71" spans="7:7" ht="12.5">
      <c r="G71" s="30"/>
    </row>
    <row r="83" spans="7:7" ht="12.5">
      <c r="G83" s="30"/>
    </row>
    <row r="127" spans="7:7" ht="12.5">
      <c r="G127" s="30"/>
    </row>
    <row r="130" spans="7:7" ht="12.5">
      <c r="G130" s="30"/>
    </row>
    <row r="131" spans="7:7" ht="12.5">
      <c r="G131" s="30"/>
    </row>
    <row r="134" spans="7:7" ht="12.5">
      <c r="G134" s="30"/>
    </row>
    <row r="135" spans="7:7" ht="12.5">
      <c r="G135" s="30"/>
    </row>
    <row r="136" spans="7:7" ht="12.5">
      <c r="G136" s="30"/>
    </row>
    <row r="239" spans="3:7" ht="12.5">
      <c r="C239" s="41"/>
      <c r="D239" s="41"/>
      <c r="F239" s="42"/>
      <c r="G239" s="43"/>
    </row>
    <row r="240" spans="3:7" ht="12.5">
      <c r="C240" s="41"/>
      <c r="D240" s="41"/>
      <c r="F240" s="42"/>
      <c r="G240" s="43"/>
    </row>
    <row r="241" spans="3:7" ht="12.5">
      <c r="C241" s="41"/>
      <c r="D241" s="41"/>
      <c r="F241" s="42"/>
      <c r="G241" s="43"/>
    </row>
    <row r="242" spans="3:7" ht="12.5">
      <c r="C242" s="41"/>
      <c r="D242" s="41"/>
      <c r="F242" s="42"/>
      <c r="G242" s="43"/>
    </row>
    <row r="243" spans="3:7" ht="12.5">
      <c r="C243" s="41"/>
      <c r="D243" s="41"/>
      <c r="F243" s="42"/>
      <c r="G243" s="43"/>
    </row>
    <row r="244" spans="3:7" ht="12.5">
      <c r="C244" s="41"/>
      <c r="D244" s="41"/>
      <c r="F244" s="42"/>
      <c r="G244" s="43"/>
    </row>
    <row r="245" spans="3:7" ht="12.5">
      <c r="C245" s="41"/>
      <c r="D245" s="41"/>
      <c r="F245" s="42"/>
      <c r="G245" s="43"/>
    </row>
    <row r="246" spans="3:7" ht="14">
      <c r="C246" s="104"/>
      <c r="D246" s="41"/>
      <c r="F246" s="42"/>
      <c r="G246" s="43"/>
    </row>
    <row r="247" spans="3:7" ht="12.5">
      <c r="C247" s="41"/>
      <c r="D247" s="41"/>
      <c r="F247" s="42"/>
      <c r="G247" s="43"/>
    </row>
    <row r="248" spans="3:7" ht="12.5">
      <c r="C248" s="41"/>
      <c r="D248" s="41"/>
      <c r="F248" s="42"/>
      <c r="G248" s="43"/>
    </row>
    <row r="249" spans="3:7" ht="12.5">
      <c r="C249" s="41"/>
      <c r="D249" s="41"/>
      <c r="F249" s="42"/>
      <c r="G249" s="43"/>
    </row>
    <row r="250" spans="3:7" ht="12.5">
      <c r="C250" s="41"/>
      <c r="D250" s="41"/>
      <c r="F250" s="42"/>
      <c r="G250" s="43"/>
    </row>
    <row r="251" spans="3:7" ht="12.5">
      <c r="C251" s="41"/>
      <c r="D251" s="41"/>
      <c r="F251" s="42"/>
      <c r="G251" s="43"/>
    </row>
    <row r="252" spans="3:7" ht="12.5">
      <c r="C252" s="41"/>
      <c r="D252" s="41"/>
      <c r="F252" s="42"/>
      <c r="G252" s="43"/>
    </row>
    <row r="253" spans="3:7" ht="12.5">
      <c r="C253" s="41"/>
      <c r="D253" s="41"/>
      <c r="F253" s="42"/>
      <c r="G253" s="43"/>
    </row>
    <row r="254" spans="3:7" ht="12.5">
      <c r="C254" s="41"/>
      <c r="D254" s="41"/>
      <c r="F254" s="42"/>
      <c r="G254" s="43"/>
    </row>
    <row r="255" spans="3:7" ht="14.5">
      <c r="C255" s="85"/>
      <c r="D255" s="41"/>
    </row>
    <row r="256" spans="3:7" ht="14.5">
      <c r="C256" s="85"/>
      <c r="D256" s="41"/>
    </row>
    <row r="257" spans="3:13" ht="14.5">
      <c r="C257" s="85"/>
      <c r="D257" s="41"/>
    </row>
    <row r="258" spans="3:13" ht="14.5">
      <c r="C258" s="49"/>
      <c r="D258" s="41"/>
      <c r="M258" s="48"/>
    </row>
    <row r="259" spans="3:13" ht="14.5">
      <c r="C259" s="85"/>
      <c r="D259" s="41"/>
      <c r="M259" s="48"/>
    </row>
    <row r="260" spans="3:13" ht="14.5">
      <c r="C260" s="85"/>
      <c r="D260" s="41"/>
      <c r="M260" s="48"/>
    </row>
    <row r="261" spans="3:13" ht="14.5">
      <c r="C261" s="49"/>
      <c r="D261" s="41"/>
      <c r="M261" s="48"/>
    </row>
    <row r="262" spans="3:13" ht="14.5">
      <c r="C262" s="85"/>
      <c r="D262" s="41"/>
      <c r="M262" s="48"/>
    </row>
    <row r="263" spans="3:13" ht="14.5">
      <c r="C263" s="49"/>
      <c r="D263" s="41"/>
      <c r="M263" s="48"/>
    </row>
    <row r="264" spans="3:13" ht="14.5">
      <c r="C264" s="49"/>
      <c r="D264" s="41"/>
      <c r="M264" s="48"/>
    </row>
    <row r="265" spans="3:13" ht="14.5">
      <c r="C265" s="85"/>
      <c r="D265" s="41"/>
      <c r="M265" s="48"/>
    </row>
    <row r="266" spans="3:13" ht="14.5">
      <c r="C266" s="49"/>
      <c r="D266" s="41"/>
      <c r="M266" s="48"/>
    </row>
    <row r="267" spans="3:13" ht="14.5">
      <c r="C267" s="85"/>
      <c r="D267" s="41"/>
      <c r="M267" s="48"/>
    </row>
    <row r="268" spans="3:13" ht="14.5">
      <c r="C268" s="85"/>
      <c r="D268" s="41"/>
      <c r="M268" s="48"/>
    </row>
    <row r="269" spans="3:13" ht="14.5">
      <c r="C269" s="85"/>
      <c r="D269" s="41"/>
      <c r="M269" s="48"/>
    </row>
    <row r="270" spans="3:13" ht="14.5">
      <c r="C270" s="49"/>
      <c r="D270" s="41"/>
      <c r="M270" s="48"/>
    </row>
    <row r="271" spans="3:13" ht="14.5">
      <c r="C271" s="85"/>
      <c r="D271" s="41"/>
      <c r="M271" s="48"/>
    </row>
    <row r="272" spans="3:13" ht="12.5">
      <c r="C272" s="105"/>
      <c r="D272" s="41"/>
      <c r="F272" s="42"/>
      <c r="G272" s="43"/>
      <c r="H272" s="51"/>
      <c r="I272" s="51"/>
      <c r="J272" s="51"/>
      <c r="M272" s="48"/>
    </row>
    <row r="273" spans="1:13" ht="12.5">
      <c r="C273" s="105"/>
      <c r="D273" s="41"/>
      <c r="F273" s="42"/>
      <c r="G273" s="43"/>
      <c r="H273" s="51"/>
      <c r="I273" s="51"/>
      <c r="J273" s="51"/>
      <c r="M273" s="48"/>
    </row>
    <row r="274" spans="1:13" ht="14">
      <c r="C274" s="106"/>
      <c r="D274" s="41"/>
      <c r="F274" s="42"/>
      <c r="G274" s="43"/>
      <c r="H274" s="51"/>
      <c r="I274" s="51"/>
      <c r="J274" s="51"/>
      <c r="M274" s="48"/>
    </row>
    <row r="275" spans="1:13" ht="12.5">
      <c r="C275" s="105"/>
      <c r="D275" s="41"/>
      <c r="F275" s="42"/>
      <c r="G275" s="43"/>
      <c r="H275" s="51"/>
      <c r="I275" s="51"/>
      <c r="J275" s="51"/>
      <c r="M275" s="48"/>
    </row>
    <row r="276" spans="1:13" ht="12.5">
      <c r="A276" s="5"/>
      <c r="B276" s="5"/>
      <c r="D276" s="41"/>
    </row>
    <row r="277" spans="1:13" ht="12.5">
      <c r="D277" s="41"/>
    </row>
    <row r="278" spans="1:13" ht="12.5">
      <c r="D278" s="41"/>
    </row>
    <row r="279" spans="1:13" ht="12.5">
      <c r="D279" s="41"/>
    </row>
    <row r="280" spans="1:13" ht="12.5">
      <c r="D280" s="41"/>
    </row>
    <row r="281" spans="1:13" ht="12.5">
      <c r="D281" s="41"/>
    </row>
    <row r="282" spans="1:13" ht="12.5">
      <c r="D282" s="41"/>
    </row>
    <row r="283" spans="1:13" ht="12.5">
      <c r="D283" s="41"/>
    </row>
    <row r="284" spans="1:13" ht="12.5">
      <c r="D284" s="41"/>
    </row>
    <row r="285" spans="1:13" ht="12.5">
      <c r="D285" s="41"/>
    </row>
    <row r="286" spans="1:13" ht="12.5">
      <c r="D286" s="41"/>
    </row>
    <row r="287" spans="1:13" ht="12.5">
      <c r="D287" s="41"/>
    </row>
    <row r="288" spans="1:13" ht="12.5">
      <c r="D288" s="41"/>
    </row>
    <row r="289" spans="4:4" ht="12.5">
      <c r="D289" s="41"/>
    </row>
    <row r="290" spans="4:4" ht="12.5">
      <c r="D290" s="41"/>
    </row>
    <row r="291" spans="4:4" ht="12.5">
      <c r="D291" s="41"/>
    </row>
    <row r="292" spans="4:4" ht="12.5">
      <c r="D292" s="41"/>
    </row>
    <row r="293" spans="4:4" ht="12.5">
      <c r="D293" s="41"/>
    </row>
    <row r="294" spans="4:4" ht="12.5">
      <c r="D294" s="41"/>
    </row>
    <row r="295" spans="4:4" ht="12.5">
      <c r="D295" s="41"/>
    </row>
    <row r="296" spans="4:4" ht="12.5">
      <c r="D296" s="41"/>
    </row>
    <row r="297" spans="4:4" ht="12.5">
      <c r="D297" s="41"/>
    </row>
    <row r="298" spans="4:4" ht="12.5">
      <c r="D298" s="41"/>
    </row>
    <row r="299" spans="4:4" ht="12.5">
      <c r="D299" s="41"/>
    </row>
    <row r="300" spans="4:4" ht="12.5">
      <c r="D300" s="41"/>
    </row>
    <row r="301" spans="4:4" ht="12.5">
      <c r="D301" s="41"/>
    </row>
    <row r="302" spans="4:4" ht="12.5">
      <c r="D302" s="41"/>
    </row>
    <row r="303" spans="4:4" ht="12.5">
      <c r="D303" s="41"/>
    </row>
    <row r="304" spans="4:4" ht="12.5">
      <c r="D304" s="41"/>
    </row>
    <row r="305" spans="4:4" ht="12.5">
      <c r="D305" s="41"/>
    </row>
    <row r="306" spans="4:4" ht="12.5">
      <c r="D306" s="41"/>
    </row>
    <row r="307" spans="4:4" ht="12.5">
      <c r="D307" s="41"/>
    </row>
    <row r="308" spans="4:4" ht="12.5">
      <c r="D308" s="41"/>
    </row>
    <row r="309" spans="4:4" ht="12.5">
      <c r="D309" s="41"/>
    </row>
    <row r="310" spans="4:4" ht="12.5">
      <c r="D310" s="41"/>
    </row>
    <row r="311" spans="4:4" ht="12.5">
      <c r="D311" s="41"/>
    </row>
    <row r="312" spans="4:4" ht="12.5">
      <c r="D312" s="41"/>
    </row>
    <row r="313" spans="4:4" ht="12.5">
      <c r="D313" s="41"/>
    </row>
    <row r="314" spans="4:4" ht="12.5">
      <c r="D314" s="41"/>
    </row>
    <row r="315" spans="4:4" ht="12.5">
      <c r="D315" s="41"/>
    </row>
    <row r="316" spans="4:4" ht="12.5">
      <c r="D316" s="41"/>
    </row>
    <row r="317" spans="4:4" ht="12.5">
      <c r="D317" s="41"/>
    </row>
    <row r="318" spans="4:4" ht="12.5">
      <c r="D318" s="41"/>
    </row>
    <row r="319" spans="4:4" ht="12.5">
      <c r="D319" s="41"/>
    </row>
    <row r="320" spans="4:4" ht="12.5">
      <c r="D320" s="41"/>
    </row>
    <row r="321" spans="4:4" ht="12.5">
      <c r="D321" s="41"/>
    </row>
    <row r="322" spans="4:4" ht="12.5">
      <c r="D322" s="41"/>
    </row>
    <row r="323" spans="4:4" ht="12.5">
      <c r="D323" s="41"/>
    </row>
    <row r="324" spans="4:4" ht="12.5">
      <c r="D324" s="41"/>
    </row>
    <row r="325" spans="4:4" ht="12.5">
      <c r="D325" s="41"/>
    </row>
    <row r="326" spans="4:4" ht="12.5">
      <c r="D326" s="41"/>
    </row>
    <row r="327" spans="4:4" ht="12.5">
      <c r="D327" s="41"/>
    </row>
    <row r="328" spans="4:4" ht="12.5">
      <c r="D328" s="41"/>
    </row>
    <row r="329" spans="4:4" ht="12.5">
      <c r="D329" s="41"/>
    </row>
    <row r="330" spans="4:4" ht="12.5">
      <c r="D330" s="41"/>
    </row>
    <row r="331" spans="4:4" ht="12.5">
      <c r="D331" s="41"/>
    </row>
    <row r="332" spans="4:4" ht="12.5">
      <c r="D332" s="41"/>
    </row>
    <row r="333" spans="4:4" ht="12.5">
      <c r="D333" s="41"/>
    </row>
    <row r="334" spans="4:4" ht="12.5">
      <c r="D334" s="41"/>
    </row>
    <row r="335" spans="4:4" ht="12.5">
      <c r="D335" s="41"/>
    </row>
    <row r="336" spans="4:4" ht="12.5">
      <c r="D336" s="41"/>
    </row>
    <row r="337" spans="4:4" ht="12.5">
      <c r="D337" s="41"/>
    </row>
    <row r="338" spans="4:4" ht="12.5">
      <c r="D338" s="41"/>
    </row>
    <row r="339" spans="4:4" ht="12.5">
      <c r="D339" s="41"/>
    </row>
    <row r="340" spans="4:4" ht="12.5">
      <c r="D340" s="41"/>
    </row>
    <row r="341" spans="4:4" ht="12.5">
      <c r="D341" s="41"/>
    </row>
    <row r="342" spans="4:4" ht="12.5">
      <c r="D342" s="41"/>
    </row>
    <row r="343" spans="4:4" ht="12.5">
      <c r="D343" s="41"/>
    </row>
    <row r="344" spans="4:4" ht="12.5">
      <c r="D344" s="41"/>
    </row>
    <row r="345" spans="4:4" ht="12.5">
      <c r="D345" s="41"/>
    </row>
    <row r="346" spans="4:4" ht="12.5">
      <c r="D346" s="41"/>
    </row>
    <row r="347" spans="4:4" ht="12.5">
      <c r="D347" s="41"/>
    </row>
    <row r="348" spans="4:4" ht="12.5">
      <c r="D348" s="41"/>
    </row>
    <row r="349" spans="4:4" ht="12.5">
      <c r="D349" s="41"/>
    </row>
    <row r="350" spans="4:4" ht="12.5">
      <c r="D350" s="41"/>
    </row>
    <row r="351" spans="4:4" ht="12.5">
      <c r="D351" s="41"/>
    </row>
    <row r="352" spans="4:4" ht="12.5">
      <c r="D352" s="41"/>
    </row>
    <row r="353" spans="4:4" ht="12.5">
      <c r="D353" s="41"/>
    </row>
    <row r="354" spans="4:4" ht="12.5">
      <c r="D354" s="41"/>
    </row>
    <row r="355" spans="4:4" ht="12.5">
      <c r="D355" s="41"/>
    </row>
    <row r="356" spans="4:4" ht="12.5">
      <c r="D356" s="41"/>
    </row>
    <row r="357" spans="4:4" ht="12.5">
      <c r="D357" s="41"/>
    </row>
    <row r="358" spans="4:4" ht="12.5">
      <c r="D358" s="41"/>
    </row>
    <row r="359" spans="4:4" ht="12.5">
      <c r="D359" s="41"/>
    </row>
    <row r="360" spans="4:4" ht="12.5">
      <c r="D360" s="41"/>
    </row>
    <row r="361" spans="4:4" ht="12.5">
      <c r="D361" s="41"/>
    </row>
    <row r="362" spans="4:4" ht="12.5">
      <c r="D362" s="41"/>
    </row>
    <row r="363" spans="4:4" ht="12.5">
      <c r="D363" s="41"/>
    </row>
    <row r="364" spans="4:4" ht="12.5">
      <c r="D364" s="41"/>
    </row>
    <row r="365" spans="4:4" ht="12.5">
      <c r="D365" s="41"/>
    </row>
    <row r="366" spans="4:4" ht="12.5">
      <c r="D366" s="41"/>
    </row>
    <row r="367" spans="4:4" ht="12.5">
      <c r="D367" s="41"/>
    </row>
    <row r="368" spans="4:4" ht="12.5">
      <c r="D368" s="41"/>
    </row>
    <row r="369" spans="4:4" ht="12.5">
      <c r="D369" s="41"/>
    </row>
    <row r="370" spans="4:4" ht="12.5">
      <c r="D370" s="41"/>
    </row>
    <row r="371" spans="4:4" ht="12.5">
      <c r="D371" s="41"/>
    </row>
    <row r="372" spans="4:4" ht="12.5">
      <c r="D372" s="41"/>
    </row>
    <row r="373" spans="4:4" ht="12.5">
      <c r="D373" s="41"/>
    </row>
    <row r="374" spans="4:4" ht="12.5">
      <c r="D374" s="41"/>
    </row>
    <row r="375" spans="4:4" ht="12.5">
      <c r="D375" s="41"/>
    </row>
    <row r="376" spans="4:4" ht="12.5">
      <c r="D376" s="41"/>
    </row>
    <row r="377" spans="4:4" ht="12.5">
      <c r="D377" s="41"/>
    </row>
    <row r="378" spans="4:4" ht="12.5">
      <c r="D378" s="41"/>
    </row>
    <row r="379" spans="4:4" ht="12.5">
      <c r="D379" s="41"/>
    </row>
    <row r="380" spans="4:4" ht="12.5">
      <c r="D380" s="41"/>
    </row>
    <row r="381" spans="4:4" ht="12.5">
      <c r="D381" s="41"/>
    </row>
    <row r="382" spans="4:4" ht="12.5">
      <c r="D382" s="41"/>
    </row>
    <row r="383" spans="4:4" ht="12.5">
      <c r="D383" s="41"/>
    </row>
    <row r="384" spans="4:4" ht="12.5">
      <c r="D384" s="41"/>
    </row>
    <row r="385" spans="4:4" ht="12.5">
      <c r="D385" s="41"/>
    </row>
    <row r="386" spans="4:4" ht="12.5">
      <c r="D386" s="41"/>
    </row>
    <row r="387" spans="4:4" ht="12.5">
      <c r="D387" s="41"/>
    </row>
    <row r="388" spans="4:4" ht="12.5">
      <c r="D388" s="41"/>
    </row>
    <row r="389" spans="4:4" ht="12.5">
      <c r="D389" s="41"/>
    </row>
    <row r="390" spans="4:4" ht="12.5">
      <c r="D390" s="41"/>
    </row>
    <row r="391" spans="4:4" ht="12.5">
      <c r="D391" s="41"/>
    </row>
    <row r="392" spans="4:4" ht="12.5">
      <c r="D392" s="41"/>
    </row>
    <row r="393" spans="4:4" ht="12.5">
      <c r="D393" s="41"/>
    </row>
    <row r="394" spans="4:4" ht="12.5">
      <c r="D394" s="41"/>
    </row>
    <row r="395" spans="4:4" ht="12.5">
      <c r="D395" s="41"/>
    </row>
    <row r="396" spans="4:4" ht="12.5">
      <c r="D396" s="41"/>
    </row>
    <row r="397" spans="4:4" ht="12.5">
      <c r="D397" s="41"/>
    </row>
    <row r="398" spans="4:4" ht="12.5">
      <c r="D398" s="41"/>
    </row>
    <row r="399" spans="4:4" ht="12.5">
      <c r="D399" s="41"/>
    </row>
    <row r="400" spans="4:4" ht="12.5">
      <c r="D400" s="41"/>
    </row>
  </sheetData>
  <conditionalFormatting sqref="D1:D997">
    <cfRule type="expression" dxfId="1" priority="1">
      <formula>COUNTIF(D:D,D1)&gt;1</formula>
    </cfRule>
  </conditionalFormatting>
  <hyperlinks>
    <hyperlink ref="C2" r:id="rId1" xr:uid="{00000000-0004-0000-0500-000000000000}"/>
    <hyperlink ref="C3" r:id="rId2" xr:uid="{00000000-0004-0000-0500-000001000000}"/>
    <hyperlink ref="C4" r:id="rId3" xr:uid="{00000000-0004-0000-0500-000002000000}"/>
    <hyperlink ref="C5" r:id="rId4" xr:uid="{00000000-0004-0000-0500-000003000000}"/>
    <hyperlink ref="C6" r:id="rId5" xr:uid="{00000000-0004-0000-0500-000004000000}"/>
    <hyperlink ref="C7" r:id="rId6" xr:uid="{00000000-0004-0000-0500-000005000000}"/>
    <hyperlink ref="C8" r:id="rId7" xr:uid="{00000000-0004-0000-0500-000006000000}"/>
    <hyperlink ref="C9" r:id="rId8" xr:uid="{00000000-0004-0000-0500-000007000000}"/>
    <hyperlink ref="C10" r:id="rId9" xr:uid="{00000000-0004-0000-0500-000008000000}"/>
    <hyperlink ref="C11" r:id="rId10" xr:uid="{00000000-0004-0000-0500-000009000000}"/>
    <hyperlink ref="C12" r:id="rId11" xr:uid="{00000000-0004-0000-0500-00000A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678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1" width="19" customWidth="1"/>
    <col min="2" max="2" width="27" customWidth="1"/>
    <col min="3" max="3" width="53.08984375" customWidth="1"/>
    <col min="4" max="4" width="24.7265625" customWidth="1"/>
    <col min="5" max="5" width="12.453125" hidden="1" customWidth="1"/>
    <col min="6" max="7" width="12.6328125" hidden="1"/>
    <col min="9" max="9" width="33.36328125" customWidth="1"/>
    <col min="10" max="10" width="17.08984375" customWidth="1"/>
    <col min="12" max="12" width="26" customWidth="1"/>
  </cols>
  <sheetData>
    <row r="1" spans="1:27" ht="15.75" customHeight="1">
      <c r="A1" s="19" t="s">
        <v>2907</v>
      </c>
      <c r="B1" s="20" t="s">
        <v>2908</v>
      </c>
      <c r="C1" s="20" t="s">
        <v>2909</v>
      </c>
      <c r="D1" s="21" t="s">
        <v>2910</v>
      </c>
      <c r="E1" s="19" t="s">
        <v>2911</v>
      </c>
      <c r="F1" s="21" t="s">
        <v>2912</v>
      </c>
      <c r="G1" s="21" t="s">
        <v>2913</v>
      </c>
      <c r="H1" s="21" t="s">
        <v>2914</v>
      </c>
      <c r="I1" s="21" t="s">
        <v>2915</v>
      </c>
      <c r="J1" s="21" t="s">
        <v>2916</v>
      </c>
      <c r="K1" s="21" t="s">
        <v>2917</v>
      </c>
      <c r="L1" s="21" t="s">
        <v>2918</v>
      </c>
      <c r="M1" s="21" t="s">
        <v>2919</v>
      </c>
      <c r="N1" s="21" t="s">
        <v>2920</v>
      </c>
      <c r="O1" s="22" t="s">
        <v>3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15.75" customHeight="1">
      <c r="B2" s="11" t="s">
        <v>2769</v>
      </c>
      <c r="C2" s="3" t="s">
        <v>10146</v>
      </c>
      <c r="D2" s="25" t="str">
        <f ca="1">IFERROR(__xludf.DUMMYFUNCTION("IFERROR(ARRAYFORMULA(REGEXEXTRACT(C2,""^(?:https?:\/\/)?(?:[^@\n]+@)?(?:www\.)?([^:\/\n]+)"")),"""")"),"bkvenergy.com")</f>
        <v>bkvenergy.com</v>
      </c>
      <c r="E2" s="107" t="str">
        <f ca="1">IFERROR(__xludf.DUMMYFUNCTION("ARRAYFORMULA(
 IF(D2:D678="""","""",
  IF(
   COUNTIF(
    ARRAYFORMULA(
     REGEXREPLACE(
      LOWER(
       REGEXREPLACE(
        IMPORTRANGE(
         ""https://docs.google.com/spreadsheets/d/1nuZgVdnBMqrB1hzNbPmr05G3xt78U8lEVJ9uGiV_zCA"",
         "&amp;"""Leads!H:H""
        ),
        ""https?://|www\\."",""""
       )
      ),
      ""/.*"",""""
     )
    ),
    LOWER(D2:D678)
   )&gt;0,
   ""Already Exists"",
   ""New""
  )
 )
)
"),"New")</f>
        <v>New</v>
      </c>
      <c r="F2" s="107">
        <v>52</v>
      </c>
      <c r="G2" s="107">
        <v>77500</v>
      </c>
      <c r="H2" s="27" t="s">
        <v>10147</v>
      </c>
      <c r="I2" s="27" t="s">
        <v>10148</v>
      </c>
      <c r="K2" s="108" t="s">
        <v>3791</v>
      </c>
      <c r="L2" s="27" t="s">
        <v>10149</v>
      </c>
      <c r="M2" s="109">
        <v>46027</v>
      </c>
      <c r="O2" s="27" t="s">
        <v>10150</v>
      </c>
    </row>
    <row r="3" spans="1:27" ht="15.75" customHeight="1">
      <c r="B3" s="27" t="s">
        <v>2769</v>
      </c>
      <c r="C3" s="8" t="s">
        <v>10151</v>
      </c>
      <c r="D3" s="25" t="str">
        <f ca="1">IFERROR(__xludf.DUMMYFUNCTION("IFERROR(ARRAYFORMULA(REGEXEXTRACT(C3,""^(?:https?:\/\/)?(?:[^@\n]+@)?(?:www\.)?([^:\/\n]+)"")),"""")"),"taraenergy.com")</f>
        <v>taraenergy.com</v>
      </c>
      <c r="E3" s="107" t="str">
        <f ca="1">IFERROR(__xludf.DUMMYFUNCTION("""COMPUTED_VALUE"""),"New")</f>
        <v>New</v>
      </c>
      <c r="F3" s="107">
        <v>41</v>
      </c>
      <c r="G3" s="107">
        <v>37300</v>
      </c>
      <c r="I3" s="27" t="s">
        <v>10152</v>
      </c>
      <c r="K3" s="108" t="s">
        <v>10153</v>
      </c>
      <c r="L3" s="27" t="s">
        <v>10149</v>
      </c>
      <c r="M3" s="109">
        <v>46027</v>
      </c>
      <c r="O3" s="27" t="s">
        <v>10150</v>
      </c>
    </row>
    <row r="4" spans="1:27" ht="15.75" customHeight="1">
      <c r="B4" s="27" t="s">
        <v>2769</v>
      </c>
      <c r="C4" s="8" t="s">
        <v>10154</v>
      </c>
      <c r="D4" s="25" t="str">
        <f ca="1">IFERROR(__xludf.DUMMYFUNCTION("IFERROR(ARRAYFORMULA(REGEXEXTRACT(C4,""^(?:https?:\/\/)?(?:[^@\n]+@)?(?:www\.)?([^:\/\n]+)"")),"""")"),"thecommondesk.com")</f>
        <v>thecommondesk.com</v>
      </c>
      <c r="E4" s="107" t="str">
        <f ca="1">IFERROR(__xludf.DUMMYFUNCTION("""COMPUTED_VALUE"""),"New")</f>
        <v>New</v>
      </c>
      <c r="F4" s="107">
        <v>46</v>
      </c>
      <c r="G4" s="107">
        <v>7200</v>
      </c>
      <c r="I4" s="27" t="s">
        <v>10155</v>
      </c>
      <c r="K4" s="108" t="s">
        <v>3791</v>
      </c>
      <c r="L4" s="27" t="s">
        <v>10149</v>
      </c>
      <c r="M4" s="109">
        <v>46027</v>
      </c>
      <c r="O4" s="27" t="s">
        <v>10150</v>
      </c>
    </row>
    <row r="5" spans="1:27" ht="15.75" customHeight="1">
      <c r="B5" s="27" t="s">
        <v>2769</v>
      </c>
      <c r="C5" s="8" t="s">
        <v>10156</v>
      </c>
      <c r="D5" s="25" t="str">
        <f ca="1">IFERROR(__xludf.DUMMYFUNCTION("IFERROR(ARRAYFORMULA(REGEXEXTRACT(C5,""^(?:https?:\/\/)?(?:[^@\n]+@)?(?:www\.)?([^:\/\n]+)"")),"""")"),"alltimedesign.com")</f>
        <v>alltimedesign.com</v>
      </c>
      <c r="E5" s="107" t="str">
        <f ca="1">IFERROR(__xludf.DUMMYFUNCTION("""COMPUTED_VALUE"""),"New")</f>
        <v>New</v>
      </c>
      <c r="F5" s="107">
        <v>47</v>
      </c>
      <c r="G5" s="107">
        <v>3100</v>
      </c>
      <c r="I5" s="27" t="s">
        <v>10157</v>
      </c>
      <c r="K5" s="108" t="s">
        <v>5375</v>
      </c>
      <c r="L5" s="27" t="s">
        <v>10149</v>
      </c>
      <c r="M5" s="109">
        <v>46027</v>
      </c>
      <c r="O5" s="27" t="s">
        <v>10150</v>
      </c>
    </row>
    <row r="6" spans="1:27" ht="15.75" customHeight="1">
      <c r="B6" s="27" t="s">
        <v>2769</v>
      </c>
      <c r="C6" s="8" t="s">
        <v>10158</v>
      </c>
      <c r="D6" s="25" t="str">
        <f ca="1">IFERROR(__xludf.DUMMYFUNCTION("IFERROR(ARRAYFORMULA(REGEXEXTRACT(C6,""^(?:https?:\/\/)?(?:[^@\n]+@)?(?:www\.)?([^:\/\n]+)"")),"""")"),"brafton.com.au")</f>
        <v>brafton.com.au</v>
      </c>
      <c r="E6" s="107" t="str">
        <f ca="1">IFERROR(__xludf.DUMMYFUNCTION("""COMPUTED_VALUE"""),"New")</f>
        <v>New</v>
      </c>
      <c r="F6" s="107">
        <v>58</v>
      </c>
      <c r="G6" s="107">
        <v>6200</v>
      </c>
      <c r="H6" s="27" t="s">
        <v>6838</v>
      </c>
      <c r="I6" s="27" t="s">
        <v>10159</v>
      </c>
      <c r="K6" s="108" t="s">
        <v>5375</v>
      </c>
      <c r="L6" s="27" t="s">
        <v>10149</v>
      </c>
      <c r="M6" s="109">
        <v>46027</v>
      </c>
      <c r="O6" s="27" t="s">
        <v>10150</v>
      </c>
    </row>
    <row r="7" spans="1:27" ht="15.75" customHeight="1">
      <c r="B7" s="27" t="s">
        <v>2769</v>
      </c>
      <c r="C7" s="8" t="s">
        <v>10160</v>
      </c>
      <c r="D7" s="25" t="str">
        <f ca="1">IFERROR(__xludf.DUMMYFUNCTION("IFERROR(ARRAYFORMULA(REGEXEXTRACT(C7,""^(?:https?:\/\/)?(?:[^@\n]+@)?(?:www\.)?([^:\/\n]+)"")),"""")"),"austin.com")</f>
        <v>austin.com</v>
      </c>
      <c r="E7" s="107" t="str">
        <f ca="1">IFERROR(__xludf.DUMMYFUNCTION("""COMPUTED_VALUE"""),"New")</f>
        <v>New</v>
      </c>
      <c r="F7" s="107">
        <v>52</v>
      </c>
      <c r="G7" s="107">
        <v>2600</v>
      </c>
      <c r="H7" s="27" t="s">
        <v>10161</v>
      </c>
      <c r="I7" s="27" t="s">
        <v>10162</v>
      </c>
      <c r="K7" s="108" t="s">
        <v>3839</v>
      </c>
      <c r="L7" s="27" t="s">
        <v>10149</v>
      </c>
      <c r="M7" s="109">
        <v>46027</v>
      </c>
      <c r="O7" s="27" t="s">
        <v>10150</v>
      </c>
    </row>
    <row r="8" spans="1:27" ht="15.75" customHeight="1">
      <c r="B8" s="27" t="s">
        <v>2769</v>
      </c>
      <c r="C8" s="8" t="s">
        <v>10163</v>
      </c>
      <c r="D8" s="25" t="str">
        <f ca="1">IFERROR(__xludf.DUMMYFUNCTION("IFERROR(ARRAYFORMULA(REGEXEXTRACT(C8,""^(?:https?:\/\/)?(?:[^@\n]+@)?(?:www\.)?([^:\/\n]+)"")),"""")"),"jobble.com")</f>
        <v>jobble.com</v>
      </c>
      <c r="E8" s="107" t="str">
        <f ca="1">IFERROR(__xludf.DUMMYFUNCTION("""COMPUTED_VALUE"""),"New")</f>
        <v>New</v>
      </c>
      <c r="F8" s="107">
        <v>58</v>
      </c>
      <c r="G8" s="107">
        <v>6000</v>
      </c>
      <c r="I8" s="27" t="s">
        <v>10164</v>
      </c>
      <c r="K8" s="108" t="s">
        <v>3791</v>
      </c>
      <c r="L8" s="27" t="s">
        <v>10149</v>
      </c>
      <c r="M8" s="109">
        <v>46027</v>
      </c>
      <c r="O8" s="27" t="s">
        <v>10150</v>
      </c>
    </row>
    <row r="9" spans="1:27" ht="15.75" customHeight="1">
      <c r="B9" s="27" t="s">
        <v>2769</v>
      </c>
      <c r="C9" s="8" t="s">
        <v>10165</v>
      </c>
      <c r="D9" s="25" t="str">
        <f ca="1">IFERROR(__xludf.DUMMYFUNCTION("IFERROR(ARRAYFORMULA(REGEXEXTRACT(C9,""^(?:https?:\/\/)?(?:[^@\n]+@)?(?:www\.)?([^:\/\n]+)"")),"""")"),"uphomes.com")</f>
        <v>uphomes.com</v>
      </c>
      <c r="E9" s="107" t="str">
        <f ca="1">IFERROR(__xludf.DUMMYFUNCTION("""COMPUTED_VALUE"""),"New")</f>
        <v>New</v>
      </c>
      <c r="F9" s="107">
        <v>62</v>
      </c>
      <c r="G9" s="107">
        <v>11700</v>
      </c>
      <c r="H9" s="27" t="s">
        <v>3236</v>
      </c>
      <c r="I9" s="27" t="s">
        <v>10166</v>
      </c>
      <c r="K9" s="108" t="s">
        <v>3839</v>
      </c>
      <c r="L9" s="27" t="s">
        <v>10149</v>
      </c>
      <c r="M9" s="109">
        <v>46027</v>
      </c>
      <c r="O9" s="27" t="s">
        <v>10150</v>
      </c>
    </row>
    <row r="10" spans="1:27" ht="15.75" customHeight="1">
      <c r="B10" s="27" t="s">
        <v>2769</v>
      </c>
      <c r="C10" s="8" t="s">
        <v>10167</v>
      </c>
      <c r="D10" s="25" t="str">
        <f ca="1">IFERROR(__xludf.DUMMYFUNCTION("IFERROR(ARRAYFORMULA(REGEXEXTRACT(C10,""^(?:https?:\/\/)?(?:[^@\n]+@)?(?:www\.)?([^:\/\n]+)"")),"""")"),"ibuyer.com")</f>
        <v>ibuyer.com</v>
      </c>
      <c r="E10" s="107" t="str">
        <f ca="1">IFERROR(__xludf.DUMMYFUNCTION("""COMPUTED_VALUE"""),"New")</f>
        <v>New</v>
      </c>
      <c r="F10" s="107">
        <v>50</v>
      </c>
      <c r="G10" s="107">
        <v>23300</v>
      </c>
      <c r="I10" s="27" t="s">
        <v>10168</v>
      </c>
      <c r="K10" s="108" t="s">
        <v>3839</v>
      </c>
      <c r="L10" s="27" t="s">
        <v>10149</v>
      </c>
      <c r="M10" s="109">
        <v>46027</v>
      </c>
      <c r="O10" s="27" t="s">
        <v>10150</v>
      </c>
    </row>
    <row r="11" spans="1:27" ht="15.75" customHeight="1">
      <c r="B11" s="27" t="s">
        <v>10169</v>
      </c>
      <c r="C11" s="8" t="s">
        <v>10170</v>
      </c>
      <c r="D11" s="25" t="str">
        <f ca="1">IFERROR(__xludf.DUMMYFUNCTION("IFERROR(ARRAYFORMULA(REGEXEXTRACT(C11,""^(?:https?:\/\/)?(?:[^@\n]+@)?(?:www\.)?([^:\/\n]+)"")),"""")"),"timberhomeliving.com")</f>
        <v>timberhomeliving.com</v>
      </c>
      <c r="E11" s="110" t="str">
        <f ca="1">IFERROR(__xludf.DUMMYFUNCTION("""COMPUTED_VALUE"""),"New")</f>
        <v>New</v>
      </c>
      <c r="F11" s="107">
        <v>50</v>
      </c>
      <c r="G11" s="107">
        <v>1476</v>
      </c>
      <c r="H11" s="27" t="s">
        <v>10171</v>
      </c>
      <c r="I11" s="27" t="s">
        <v>10172</v>
      </c>
      <c r="K11" s="108" t="s">
        <v>3839</v>
      </c>
      <c r="L11" s="27" t="s">
        <v>10173</v>
      </c>
      <c r="M11" s="109">
        <v>46028</v>
      </c>
      <c r="O11" s="27" t="s">
        <v>10174</v>
      </c>
    </row>
    <row r="12" spans="1:27" ht="15.75" customHeight="1">
      <c r="B12" s="27" t="s">
        <v>10169</v>
      </c>
      <c r="C12" s="8" t="s">
        <v>10175</v>
      </c>
      <c r="D12" s="25" t="str">
        <f ca="1">IFERROR(__xludf.DUMMYFUNCTION("IFERROR(ARRAYFORMULA(REGEXEXTRACT(C12,""^(?:https?:\/\/)?(?:[^@\n]+@)?(?:www\.)?([^:\/\n]+)"")),"""")"),"lowimpact.org")</f>
        <v>lowimpact.org</v>
      </c>
      <c r="E12" s="110" t="str">
        <f ca="1">IFERROR(__xludf.DUMMYFUNCTION("""COMPUTED_VALUE"""),"New")</f>
        <v>New</v>
      </c>
      <c r="F12" s="107">
        <v>54</v>
      </c>
      <c r="G12" s="107">
        <v>2667</v>
      </c>
      <c r="H12" s="27" t="s">
        <v>3676</v>
      </c>
      <c r="I12" s="27" t="s">
        <v>10176</v>
      </c>
      <c r="K12" s="108" t="s">
        <v>3756</v>
      </c>
      <c r="L12" s="27" t="s">
        <v>10173</v>
      </c>
      <c r="M12" s="109">
        <v>46028</v>
      </c>
      <c r="O12" s="27" t="s">
        <v>10174</v>
      </c>
    </row>
    <row r="13" spans="1:27" ht="15.75" customHeight="1">
      <c r="B13" s="27" t="s">
        <v>10169</v>
      </c>
      <c r="C13" s="8" t="s">
        <v>10177</v>
      </c>
      <c r="D13" s="25" t="str">
        <f ca="1">IFERROR(__xludf.DUMMYFUNCTION("IFERROR(ARRAYFORMULA(REGEXEXTRACT(C13,""^(?:https?:\/\/)?(?:[^@\n]+@)?(?:www\.)?([^:\/\n]+)"")),"""")"),"ecohome.net")</f>
        <v>ecohome.net</v>
      </c>
      <c r="E13" s="110" t="str">
        <f ca="1">IFERROR(__xludf.DUMMYFUNCTION("""COMPUTED_VALUE"""),"Already Exists")</f>
        <v>Already Exists</v>
      </c>
      <c r="F13" s="107">
        <v>63</v>
      </c>
      <c r="G13" s="107">
        <v>6035</v>
      </c>
      <c r="H13" s="27" t="s">
        <v>10178</v>
      </c>
      <c r="I13" s="27" t="s">
        <v>10179</v>
      </c>
      <c r="K13" s="108" t="s">
        <v>3839</v>
      </c>
      <c r="L13" s="27" t="s">
        <v>10173</v>
      </c>
      <c r="M13" s="109">
        <v>46028</v>
      </c>
      <c r="O13" s="27" t="s">
        <v>10174</v>
      </c>
    </row>
    <row r="14" spans="1:27" ht="15.75" customHeight="1">
      <c r="B14" s="27" t="s">
        <v>10169</v>
      </c>
      <c r="C14" s="8" t="s">
        <v>5736</v>
      </c>
      <c r="D14" s="25" t="str">
        <f ca="1">IFERROR(__xludf.DUMMYFUNCTION("IFERROR(ARRAYFORMULA(REGEXEXTRACT(C14,""^(?:https?:\/\/)?(?:[^@\n]+@)?(?:www\.)?([^:\/\n]+)"")),"""")"),"jonathonspire.com")</f>
        <v>jonathonspire.com</v>
      </c>
      <c r="E14" s="110" t="str">
        <f ca="1">IFERROR(__xludf.DUMMYFUNCTION("""COMPUTED_VALUE"""),"New")</f>
        <v>New</v>
      </c>
      <c r="F14" s="107">
        <v>44</v>
      </c>
      <c r="G14" s="107">
        <v>6135</v>
      </c>
      <c r="H14" s="27" t="s">
        <v>8472</v>
      </c>
      <c r="I14" s="27" t="s">
        <v>10180</v>
      </c>
      <c r="K14" s="108" t="s">
        <v>5375</v>
      </c>
      <c r="L14" s="27" t="s">
        <v>10173</v>
      </c>
      <c r="M14" s="109">
        <v>46028</v>
      </c>
      <c r="O14" s="27" t="s">
        <v>10174</v>
      </c>
    </row>
    <row r="15" spans="1:27" ht="15.75" customHeight="1">
      <c r="B15" s="27" t="s">
        <v>10169</v>
      </c>
      <c r="C15" s="8" t="s">
        <v>10181</v>
      </c>
      <c r="D15" s="25" t="str">
        <f ca="1">IFERROR(__xludf.DUMMYFUNCTION("IFERROR(ARRAYFORMULA(REGEXEXTRACT(C15,""^(?:https?:\/\/)?(?:[^@\n]+@)?(?:www\.)?([^:\/\n]+)"")),"""")"),"brennancorp.com")</f>
        <v>brennancorp.com</v>
      </c>
      <c r="E15" s="110" t="str">
        <f ca="1">IFERROR(__xludf.DUMMYFUNCTION("""COMPUTED_VALUE"""),"New")</f>
        <v>New</v>
      </c>
      <c r="F15" s="107">
        <v>43</v>
      </c>
      <c r="G15" s="107">
        <v>8710</v>
      </c>
      <c r="H15" s="27" t="s">
        <v>10182</v>
      </c>
      <c r="I15" s="27" t="s">
        <v>10183</v>
      </c>
      <c r="K15" s="108" t="s">
        <v>3839</v>
      </c>
      <c r="L15" s="27" t="s">
        <v>10173</v>
      </c>
      <c r="M15" s="109">
        <v>46028</v>
      </c>
      <c r="O15" s="27" t="s">
        <v>10174</v>
      </c>
    </row>
    <row r="16" spans="1:27" ht="15.75" customHeight="1">
      <c r="B16" s="27" t="s">
        <v>10169</v>
      </c>
      <c r="C16" s="8" t="s">
        <v>10184</v>
      </c>
      <c r="D16" s="25" t="str">
        <f ca="1">IFERROR(__xludf.DUMMYFUNCTION("IFERROR(ARRAYFORMULA(REGEXEXTRACT(C16,""^(?:https?:\/\/)?(?:[^@\n]+@)?(?:www\.)?([^:\/\n]+)"")),"""")"),"trulogsiding.com")</f>
        <v>trulogsiding.com</v>
      </c>
      <c r="E16" s="110" t="str">
        <f ca="1">IFERROR(__xludf.DUMMYFUNCTION("""COMPUTED_VALUE"""),"New")</f>
        <v>New</v>
      </c>
      <c r="F16" s="107">
        <v>43</v>
      </c>
      <c r="G16" s="107">
        <v>9727</v>
      </c>
      <c r="H16" s="27" t="s">
        <v>10185</v>
      </c>
      <c r="I16" s="27" t="s">
        <v>10186</v>
      </c>
      <c r="K16" s="108" t="s">
        <v>3839</v>
      </c>
      <c r="L16" s="27" t="s">
        <v>10173</v>
      </c>
      <c r="M16" s="109">
        <v>46028</v>
      </c>
      <c r="O16" s="27" t="s">
        <v>10174</v>
      </c>
    </row>
    <row r="17" spans="2:15" ht="15.75" customHeight="1">
      <c r="B17" s="27" t="s">
        <v>10169</v>
      </c>
      <c r="C17" s="8" t="s">
        <v>10187</v>
      </c>
      <c r="D17" s="25" t="str">
        <f ca="1">IFERROR(__xludf.DUMMYFUNCTION("IFERROR(ARRAYFORMULA(REGEXEXTRACT(C17,""^(?:https?:\/\/)?(?:[^@\n]+@)?(?:www\.)?([^:\/\n]+)"")),"""")"),"biggerthanthethreeofus.com")</f>
        <v>biggerthanthethreeofus.com</v>
      </c>
      <c r="E17" s="110" t="str">
        <f ca="1">IFERROR(__xludf.DUMMYFUNCTION("""COMPUTED_VALUE"""),"New")</f>
        <v>New</v>
      </c>
      <c r="F17" s="107">
        <v>47</v>
      </c>
      <c r="G17" s="107">
        <v>12771</v>
      </c>
      <c r="H17" s="27" t="s">
        <v>10188</v>
      </c>
      <c r="I17" s="27" t="s">
        <v>10189</v>
      </c>
      <c r="K17" s="108" t="s">
        <v>3839</v>
      </c>
      <c r="L17" s="27" t="s">
        <v>10173</v>
      </c>
      <c r="M17" s="109">
        <v>46028</v>
      </c>
      <c r="O17" s="27" t="s">
        <v>10174</v>
      </c>
    </row>
    <row r="18" spans="2:15" ht="15.75" customHeight="1">
      <c r="B18" s="27" t="s">
        <v>10169</v>
      </c>
      <c r="C18" s="8" t="s">
        <v>10190</v>
      </c>
      <c r="D18" s="25" t="str">
        <f ca="1">IFERROR(__xludf.DUMMYFUNCTION("IFERROR(ARRAYFORMULA(REGEXEXTRACT(C18,""^(?:https?:\/\/)?(?:[^@\n]+@)?(?:www\.)?([^:\/\n]+)"")),"""")"),"builderonline.com")</f>
        <v>builderonline.com</v>
      </c>
      <c r="E18" s="110" t="str">
        <f ca="1">IFERROR(__xludf.DUMMYFUNCTION("""COMPUTED_VALUE"""),"New")</f>
        <v>New</v>
      </c>
      <c r="F18" s="107">
        <v>78</v>
      </c>
      <c r="G18" s="107">
        <v>13553</v>
      </c>
      <c r="I18" s="27" t="s">
        <v>10191</v>
      </c>
      <c r="K18" s="108" t="s">
        <v>3772</v>
      </c>
      <c r="L18" s="27" t="s">
        <v>10173</v>
      </c>
      <c r="M18" s="109">
        <v>46028</v>
      </c>
      <c r="O18" s="27" t="s">
        <v>10174</v>
      </c>
    </row>
    <row r="19" spans="2:15" ht="15.75" customHeight="1">
      <c r="B19" s="27" t="s">
        <v>10169</v>
      </c>
      <c r="C19" s="8" t="s">
        <v>10192</v>
      </c>
      <c r="D19" s="25" t="str">
        <f ca="1">IFERROR(__xludf.DUMMYFUNCTION("IFERROR(ARRAYFORMULA(REGEXEXTRACT(C19,""^(?:https?:\/\/)?(?:[^@\n]+@)?(?:www\.)?([^:\/\n]+)"")),"""")"),"windermere.com")</f>
        <v>windermere.com</v>
      </c>
      <c r="E19" s="110" t="str">
        <f ca="1">IFERROR(__xludf.DUMMYFUNCTION("""COMPUTED_VALUE"""),"New")</f>
        <v>New</v>
      </c>
      <c r="F19" s="107">
        <v>74</v>
      </c>
      <c r="G19" s="107">
        <v>45863</v>
      </c>
      <c r="H19" s="27" t="s">
        <v>10193</v>
      </c>
      <c r="I19" s="27" t="s">
        <v>10194</v>
      </c>
      <c r="K19" s="108" t="s">
        <v>3853</v>
      </c>
      <c r="L19" s="27" t="s">
        <v>10173</v>
      </c>
      <c r="M19" s="109">
        <v>46028</v>
      </c>
      <c r="O19" s="27" t="s">
        <v>10174</v>
      </c>
    </row>
    <row r="20" spans="2:15" ht="15.75" customHeight="1">
      <c r="B20" s="8" t="s">
        <v>2770</v>
      </c>
      <c r="C20" s="3" t="s">
        <v>10195</v>
      </c>
      <c r="D20" s="111" t="str">
        <f ca="1">IFERROR(__xludf.DUMMYFUNCTION("IFERROR(ARRAYFORMULA(REGEXEXTRACT(C20,""^(?:https?:\/\/)?(?:[^@\n]+@)?(?:www\.)?([^:\/\n]+)"")),"""")"),"brainzmagazine.com")</f>
        <v>brainzmagazine.com</v>
      </c>
      <c r="E20" s="110" t="str">
        <f ca="1">IFERROR(__xludf.DUMMYFUNCTION("""COMPUTED_VALUE"""),"Already Exists")</f>
        <v>Already Exists</v>
      </c>
      <c r="F20" s="27">
        <v>77</v>
      </c>
      <c r="G20" s="27">
        <v>17200</v>
      </c>
      <c r="H20" s="27" t="s">
        <v>10196</v>
      </c>
      <c r="I20" s="5" t="s">
        <v>10197</v>
      </c>
      <c r="K20" s="108" t="s">
        <v>3772</v>
      </c>
      <c r="L20" s="27" t="s">
        <v>10149</v>
      </c>
      <c r="M20" s="109">
        <v>46028</v>
      </c>
      <c r="O20" s="27" t="s">
        <v>10150</v>
      </c>
    </row>
    <row r="21" spans="2:15" ht="15.75" customHeight="1">
      <c r="B21" s="8" t="s">
        <v>2770</v>
      </c>
      <c r="C21" s="8" t="s">
        <v>10198</v>
      </c>
      <c r="D21" s="25" t="str">
        <f ca="1">IFERROR(__xludf.DUMMYFUNCTION("IFERROR(ARRAYFORMULA(REGEXEXTRACT(C21,""^(?:https?:\/\/)?(?:[^@\n]+@)?(?:www\.)?([^:\/\n]+)"")),"""")"),"archinect.com")</f>
        <v>archinect.com</v>
      </c>
      <c r="E21" s="110" t="str">
        <f ca="1">IFERROR(__xludf.DUMMYFUNCTION("""COMPUTED_VALUE"""),"New")</f>
        <v>New</v>
      </c>
      <c r="F21" s="27">
        <v>78</v>
      </c>
      <c r="G21" s="27">
        <v>20000</v>
      </c>
      <c r="H21" s="27" t="s">
        <v>10199</v>
      </c>
      <c r="I21" s="27" t="s">
        <v>10200</v>
      </c>
      <c r="K21" s="108" t="s">
        <v>3839</v>
      </c>
      <c r="L21" s="27" t="s">
        <v>10149</v>
      </c>
      <c r="M21" s="109">
        <v>46028</v>
      </c>
      <c r="O21" s="27" t="s">
        <v>10150</v>
      </c>
    </row>
    <row r="22" spans="2:15" ht="15.75" customHeight="1">
      <c r="B22" s="112" t="s">
        <v>2771</v>
      </c>
      <c r="C22" s="8" t="s">
        <v>10201</v>
      </c>
      <c r="D22" s="25" t="str">
        <f ca="1">IFERROR(__xludf.DUMMYFUNCTION("IFERROR(ARRAYFORMULA(REGEXEXTRACT(C22,""^(?:https?:\/\/)?(?:[^@\n]+@)?(?:www\.)?([^:\/\n]+)"")),"""")"),"modernhb.com")</f>
        <v>modernhb.com</v>
      </c>
      <c r="E22" s="110" t="str">
        <f ca="1">IFERROR(__xludf.DUMMYFUNCTION("""COMPUTED_VALUE"""),"New")</f>
        <v>New</v>
      </c>
      <c r="F22" s="27">
        <v>47</v>
      </c>
      <c r="G22" s="27">
        <v>7000</v>
      </c>
      <c r="I22" s="27" t="s">
        <v>10202</v>
      </c>
      <c r="K22" s="108" t="s">
        <v>3839</v>
      </c>
      <c r="L22" s="27" t="s">
        <v>10149</v>
      </c>
      <c r="M22" s="109">
        <v>46028</v>
      </c>
      <c r="O22" s="27" t="s">
        <v>10150</v>
      </c>
    </row>
    <row r="23" spans="2:15" ht="15.75" customHeight="1">
      <c r="B23" s="27" t="s">
        <v>2771</v>
      </c>
      <c r="C23" s="8" t="s">
        <v>10203</v>
      </c>
      <c r="D23" s="25" t="str">
        <f ca="1">IFERROR(__xludf.DUMMYFUNCTION("IFERROR(ARRAYFORMULA(REGEXEXTRACT(C23,""^(?:https?:\/\/)?(?:[^@\n]+@)?(?:www\.)?([^:\/\n]+)"")),"""")"),"256today.com")</f>
        <v>256today.com</v>
      </c>
      <c r="E23" s="110" t="str">
        <f ca="1">IFERROR(__xludf.DUMMYFUNCTION("""COMPUTED_VALUE"""),"New")</f>
        <v>New</v>
      </c>
      <c r="F23" s="27">
        <v>41</v>
      </c>
      <c r="G23" s="27">
        <v>3200</v>
      </c>
      <c r="H23" s="27" t="s">
        <v>10204</v>
      </c>
      <c r="I23" s="27" t="s">
        <v>10205</v>
      </c>
      <c r="K23" s="108" t="s">
        <v>3772</v>
      </c>
      <c r="L23" s="27" t="s">
        <v>10149</v>
      </c>
      <c r="M23" s="109">
        <v>46028</v>
      </c>
      <c r="O23" s="27" t="s">
        <v>10150</v>
      </c>
    </row>
    <row r="24" spans="2:15" ht="15.75" customHeight="1">
      <c r="B24" s="27" t="s">
        <v>2771</v>
      </c>
      <c r="C24" s="8" t="s">
        <v>10206</v>
      </c>
      <c r="D24" s="25" t="str">
        <f ca="1">IFERROR(__xludf.DUMMYFUNCTION("IFERROR(ARRAYFORMULA(REGEXEXTRACT(C24,""^(?:https?:\/\/)?(?:[^@\n]+@)?(?:www\.)?([^:\/\n]+)"")),"""")"),"thebamabuzz.com")</f>
        <v>thebamabuzz.com</v>
      </c>
      <c r="E24" s="110" t="str">
        <f ca="1">IFERROR(__xludf.DUMMYFUNCTION("""COMPUTED_VALUE"""),"New")</f>
        <v>New</v>
      </c>
      <c r="F24" s="27">
        <v>45</v>
      </c>
      <c r="G24" s="27">
        <v>7900</v>
      </c>
      <c r="H24" s="27" t="s">
        <v>10207</v>
      </c>
      <c r="I24" s="27" t="s">
        <v>10208</v>
      </c>
      <c r="K24" s="108" t="s">
        <v>3772</v>
      </c>
      <c r="L24" s="27" t="s">
        <v>10149</v>
      </c>
      <c r="M24" s="109">
        <v>46028</v>
      </c>
      <c r="O24" s="27" t="s">
        <v>10150</v>
      </c>
    </row>
    <row r="25" spans="2:15" ht="15.75" customHeight="1">
      <c r="B25" s="27" t="s">
        <v>2771</v>
      </c>
      <c r="C25" s="8" t="s">
        <v>10209</v>
      </c>
      <c r="D25" s="25" t="str">
        <f ca="1">IFERROR(__xludf.DUMMYFUNCTION("IFERROR(ARRAYFORMULA(REGEXEXTRACT(C25,""^(?:https?:\/\/)?(?:[^@\n]+@)?(?:www\.)?([^:\/\n]+)"")),"""")"),"bridgeland.com")</f>
        <v>bridgeland.com</v>
      </c>
      <c r="E25" s="110" t="str">
        <f ca="1">IFERROR(__xludf.DUMMYFUNCTION("""COMPUTED_VALUE"""),"New")</f>
        <v>New</v>
      </c>
      <c r="F25" s="27">
        <v>41</v>
      </c>
      <c r="G25" s="27">
        <v>5900</v>
      </c>
      <c r="I25" s="27" t="s">
        <v>10210</v>
      </c>
      <c r="K25" s="108" t="s">
        <v>3839</v>
      </c>
      <c r="L25" s="27" t="s">
        <v>10149</v>
      </c>
      <c r="M25" s="109">
        <v>46028</v>
      </c>
      <c r="O25" s="27" t="s">
        <v>10150</v>
      </c>
    </row>
    <row r="26" spans="2:15" ht="12.5">
      <c r="B26" s="27" t="s">
        <v>2771</v>
      </c>
      <c r="C26" s="8" t="s">
        <v>10211</v>
      </c>
      <c r="D26" s="25" t="str">
        <f ca="1">IFERROR(__xludf.DUMMYFUNCTION("IFERROR(ARRAYFORMULA(REGEXEXTRACT(C26,""^(?:https?:\/\/)?(?:[^@\n]+@)?(?:www\.)?([^:\/\n]+)"")),"""")"),"knowatlanta.com")</f>
        <v>knowatlanta.com</v>
      </c>
      <c r="E26" s="110" t="str">
        <f ca="1">IFERROR(__xludf.DUMMYFUNCTION("""COMPUTED_VALUE"""),"New")</f>
        <v>New</v>
      </c>
      <c r="F26" s="27">
        <v>57</v>
      </c>
      <c r="G26" s="27">
        <v>7900</v>
      </c>
      <c r="H26" s="27" t="s">
        <v>10212</v>
      </c>
      <c r="I26" s="27" t="s">
        <v>10213</v>
      </c>
      <c r="K26" s="108" t="s">
        <v>3791</v>
      </c>
      <c r="L26" s="27" t="s">
        <v>10149</v>
      </c>
      <c r="M26" s="109">
        <v>46028</v>
      </c>
      <c r="O26" s="27" t="s">
        <v>10150</v>
      </c>
    </row>
    <row r="27" spans="2:15" ht="12.5">
      <c r="B27" s="27" t="s">
        <v>2771</v>
      </c>
      <c r="C27" s="8" t="s">
        <v>10214</v>
      </c>
      <c r="D27" s="25" t="str">
        <f ca="1">IFERROR(__xludf.DUMMYFUNCTION("IFERROR(ARRAYFORMULA(REGEXEXTRACT(C27,""^(?:https?:\/\/)?(?:[^@\n]+@)?(?:www\.)?([^:\/\n]+)"")),"""")"),"rutherfordsource.com")</f>
        <v>rutherfordsource.com</v>
      </c>
      <c r="E27" s="110" t="str">
        <f ca="1">IFERROR(__xludf.DUMMYFUNCTION("""COMPUTED_VALUE"""),"New")</f>
        <v>New</v>
      </c>
      <c r="F27" s="27">
        <v>45</v>
      </c>
      <c r="G27" s="27">
        <v>1800</v>
      </c>
      <c r="H27" s="27" t="s">
        <v>10215</v>
      </c>
      <c r="I27" s="27" t="s">
        <v>10216</v>
      </c>
      <c r="K27" s="108" t="s">
        <v>3772</v>
      </c>
      <c r="L27" s="27" t="s">
        <v>10149</v>
      </c>
      <c r="M27" s="109">
        <v>46028</v>
      </c>
      <c r="O27" s="27" t="s">
        <v>10150</v>
      </c>
    </row>
    <row r="28" spans="2:15" ht="12.5">
      <c r="B28" s="27" t="s">
        <v>2771</v>
      </c>
      <c r="C28" s="8" t="s">
        <v>10217</v>
      </c>
      <c r="D28" s="25" t="str">
        <f ca="1">IFERROR(__xludf.DUMMYFUNCTION("IFERROR(ARRAYFORMULA(REGEXEXTRACT(C28,""^(?:https?:\/\/)?(?:[^@\n]+@)?(?:www\.)?([^:\/\n]+)"")),"""")"),"westorlandonews.com")</f>
        <v>westorlandonews.com</v>
      </c>
      <c r="E28" s="110" t="str">
        <f ca="1">IFERROR(__xludf.DUMMYFUNCTION("""COMPUTED_VALUE"""),"New")</f>
        <v>New</v>
      </c>
      <c r="F28" s="27">
        <v>51</v>
      </c>
      <c r="G28" s="27">
        <v>1300</v>
      </c>
      <c r="H28" s="27" t="s">
        <v>10178</v>
      </c>
      <c r="I28" s="27" t="s">
        <v>10218</v>
      </c>
      <c r="K28" s="108" t="s">
        <v>3772</v>
      </c>
      <c r="L28" s="27" t="s">
        <v>10149</v>
      </c>
      <c r="M28" s="109">
        <v>46028</v>
      </c>
      <c r="O28" s="27" t="s">
        <v>10150</v>
      </c>
    </row>
    <row r="29" spans="2:15" ht="12.5">
      <c r="B29" s="27" t="s">
        <v>2771</v>
      </c>
      <c r="C29" s="8" t="s">
        <v>10219</v>
      </c>
      <c r="D29" s="25" t="str">
        <f ca="1">IFERROR(__xludf.DUMMYFUNCTION("IFERROR(ARRAYFORMULA(REGEXEXTRACT(C29,""^(?:https?:\/\/)?(?:[^@\n]+@)?(?:www\.)?([^:\/\n]+)"")),"""")"),"wasteremovalusa.com")</f>
        <v>wasteremovalusa.com</v>
      </c>
      <c r="E29" s="110" t="str">
        <f ca="1">IFERROR(__xludf.DUMMYFUNCTION("""COMPUTED_VALUE"""),"New")</f>
        <v>New</v>
      </c>
      <c r="F29" s="27">
        <v>61</v>
      </c>
      <c r="G29" s="27">
        <v>1300</v>
      </c>
      <c r="I29" s="27" t="s">
        <v>3413</v>
      </c>
      <c r="K29" s="108" t="s">
        <v>3791</v>
      </c>
      <c r="L29" s="27" t="s">
        <v>10149</v>
      </c>
      <c r="M29" s="109">
        <v>46028</v>
      </c>
      <c r="O29" s="27" t="s">
        <v>10150</v>
      </c>
    </row>
    <row r="30" spans="2:15" ht="12.5">
      <c r="B30" s="27" t="s">
        <v>2771</v>
      </c>
      <c r="C30" s="8" t="s">
        <v>10220</v>
      </c>
      <c r="D30" s="25" t="str">
        <f ca="1">IFERROR(__xludf.DUMMYFUNCTION("IFERROR(ARRAYFORMULA(REGEXEXTRACT(C30,""^(?:https?:\/\/)?(?:[^@\n]+@)?(?:www\.)?([^:\/\n]+)"")),"""")"),"benitolink.com")</f>
        <v>benitolink.com</v>
      </c>
      <c r="E30" s="110" t="str">
        <f ca="1">IFERROR(__xludf.DUMMYFUNCTION("""COMPUTED_VALUE"""),"New")</f>
        <v>New</v>
      </c>
      <c r="F30" s="27">
        <v>54</v>
      </c>
      <c r="G30" s="27">
        <v>4500</v>
      </c>
      <c r="I30" s="27" t="s">
        <v>10221</v>
      </c>
      <c r="K30" s="108" t="s">
        <v>3772</v>
      </c>
      <c r="L30" s="27" t="s">
        <v>10149</v>
      </c>
      <c r="M30" s="109">
        <v>46029</v>
      </c>
      <c r="O30" s="27" t="s">
        <v>10150</v>
      </c>
    </row>
    <row r="31" spans="2:15" ht="12.5">
      <c r="B31" s="27" t="s">
        <v>2771</v>
      </c>
      <c r="C31" s="8" t="s">
        <v>10222</v>
      </c>
      <c r="D31" s="25" t="str">
        <f ca="1">IFERROR(__xludf.DUMMYFUNCTION("IFERROR(ARRAYFORMULA(REGEXEXTRACT(C31,""^(?:https?:\/\/)?(?:[^@\n]+@)?(?:www\.)?([^:\/\n]+)"")),"""")"),"atlantaagentmagazine.com")</f>
        <v>atlantaagentmagazine.com</v>
      </c>
      <c r="E31" s="110" t="str">
        <f ca="1">IFERROR(__xludf.DUMMYFUNCTION("""COMPUTED_VALUE"""),"New")</f>
        <v>New</v>
      </c>
      <c r="F31" s="27">
        <v>51</v>
      </c>
      <c r="G31" s="27">
        <v>1500</v>
      </c>
      <c r="H31" s="27" t="s">
        <v>10223</v>
      </c>
      <c r="I31" s="27" t="s">
        <v>10224</v>
      </c>
      <c r="K31" s="108" t="s">
        <v>3772</v>
      </c>
      <c r="L31" s="27" t="s">
        <v>10149</v>
      </c>
      <c r="M31" s="109">
        <v>46029</v>
      </c>
      <c r="O31" s="27" t="s">
        <v>10150</v>
      </c>
    </row>
    <row r="32" spans="2:15" ht="12.5">
      <c r="B32" s="27" t="s">
        <v>2771</v>
      </c>
      <c r="C32" s="8" t="s">
        <v>10225</v>
      </c>
      <c r="D32" s="25" t="str">
        <f ca="1">IFERROR(__xludf.DUMMYFUNCTION("IFERROR(ARRAYFORMULA(REGEXEXTRACT(C32,""^(?:https?:\/\/)?(?:[^@\n]+@)?(?:www\.)?([^:\/\n]+)"")),"""")"),"renterswarehouse.com")</f>
        <v>renterswarehouse.com</v>
      </c>
      <c r="E32" s="110" t="str">
        <f ca="1">IFERROR(__xludf.DUMMYFUNCTION("""COMPUTED_VALUE"""),"New")</f>
        <v>New</v>
      </c>
      <c r="F32" s="27">
        <v>53</v>
      </c>
      <c r="G32" s="27">
        <v>13000</v>
      </c>
      <c r="H32" s="27" t="s">
        <v>6820</v>
      </c>
      <c r="I32" s="27" t="s">
        <v>10226</v>
      </c>
      <c r="K32" s="108" t="s">
        <v>3853</v>
      </c>
      <c r="L32" s="27" t="s">
        <v>10149</v>
      </c>
      <c r="M32" s="109">
        <v>46029</v>
      </c>
      <c r="O32" s="27" t="s">
        <v>10150</v>
      </c>
    </row>
    <row r="33" spans="2:15" ht="12.5">
      <c r="B33" s="27" t="s">
        <v>2771</v>
      </c>
      <c r="C33" s="8" t="s">
        <v>10227</v>
      </c>
      <c r="D33" s="25" t="str">
        <f ca="1">IFERROR(__xludf.DUMMYFUNCTION("IFERROR(ARRAYFORMULA(REGEXEXTRACT(C33,""^(?:https?:\/\/)?(?:[^@\n]+@)?(?:www\.)?([^:\/\n]+)"")),"""")"),"bramlettresidential.com")</f>
        <v>bramlettresidential.com</v>
      </c>
      <c r="E33" s="110" t="str">
        <f ca="1">IFERROR(__xludf.DUMMYFUNCTION("""COMPUTED_VALUE"""),"New")</f>
        <v>New</v>
      </c>
      <c r="F33" s="27">
        <v>59</v>
      </c>
      <c r="G33" s="27">
        <v>3900</v>
      </c>
      <c r="H33" s="27" t="s">
        <v>10228</v>
      </c>
      <c r="I33" s="27" t="s">
        <v>10229</v>
      </c>
      <c r="K33" s="108" t="s">
        <v>3853</v>
      </c>
      <c r="L33" s="27" t="s">
        <v>10149</v>
      </c>
      <c r="M33" s="109">
        <v>46029</v>
      </c>
      <c r="O33" s="27" t="s">
        <v>10150</v>
      </c>
    </row>
    <row r="34" spans="2:15" ht="12.5">
      <c r="B34" s="27" t="s">
        <v>2771</v>
      </c>
      <c r="C34" s="8" t="s">
        <v>6605</v>
      </c>
      <c r="D34" s="25" t="str">
        <f ca="1">IFERROR(__xludf.DUMMYFUNCTION("IFERROR(ARRAYFORMULA(REGEXEXTRACT(C34,""^(?:https?:\/\/)?(?:[^@\n]+@)?(?:www\.)?([^:\/\n]+)"")),"""")"),"denverlifemagazine.com")</f>
        <v>denverlifemagazine.com</v>
      </c>
      <c r="E34" s="110" t="str">
        <f ca="1">IFERROR(__xludf.DUMMYFUNCTION("""COMPUTED_VALUE"""),"New")</f>
        <v>New</v>
      </c>
      <c r="F34" s="27">
        <v>59</v>
      </c>
      <c r="G34" s="27">
        <v>3000</v>
      </c>
      <c r="H34" s="27" t="s">
        <v>10230</v>
      </c>
      <c r="I34" s="27" t="s">
        <v>10231</v>
      </c>
      <c r="K34" s="108" t="s">
        <v>3772</v>
      </c>
      <c r="L34" s="27" t="s">
        <v>10149</v>
      </c>
      <c r="M34" s="109">
        <v>46029</v>
      </c>
      <c r="O34" s="27" t="s">
        <v>10150</v>
      </c>
    </row>
    <row r="35" spans="2:15" ht="12.5">
      <c r="B35" s="27" t="s">
        <v>2771</v>
      </c>
      <c r="C35" s="8" t="s">
        <v>10232</v>
      </c>
      <c r="D35" s="25" t="str">
        <f ca="1">IFERROR(__xludf.DUMMYFUNCTION("IFERROR(ARRAYFORMULA(REGEXEXTRACT(C35,""^(?:https?:\/\/)?(?:[^@\n]+@)?(?:www\.)?([^:\/\n]+)"")),"""")"),"orchard.com")</f>
        <v>orchard.com</v>
      </c>
      <c r="E35" s="110" t="str">
        <f ca="1">IFERROR(__xludf.DUMMYFUNCTION("""COMPUTED_VALUE"""),"New")</f>
        <v>New</v>
      </c>
      <c r="F35" s="27">
        <v>63</v>
      </c>
      <c r="G35" s="27">
        <v>32000</v>
      </c>
      <c r="H35" s="27" t="s">
        <v>10233</v>
      </c>
      <c r="I35" s="27" t="s">
        <v>10234</v>
      </c>
      <c r="K35" s="108" t="s">
        <v>3853</v>
      </c>
      <c r="L35" s="27" t="s">
        <v>10149</v>
      </c>
      <c r="M35" s="109">
        <v>46029</v>
      </c>
      <c r="O35" s="27" t="s">
        <v>10150</v>
      </c>
    </row>
    <row r="36" spans="2:15" ht="12.5">
      <c r="B36" s="27" t="s">
        <v>2771</v>
      </c>
      <c r="C36" s="8" t="s">
        <v>10235</v>
      </c>
      <c r="D36" s="25" t="str">
        <f ca="1">IFERROR(__xludf.DUMMYFUNCTION("IFERROR(ARRAYFORMULA(REGEXEXTRACT(C36,""^(?:https?:\/\/)?(?:[^@\n]+@)?(?:www\.)?([^:\/\n]+)"")),"""")"),"inbusinessphx.com")</f>
        <v>inbusinessphx.com</v>
      </c>
      <c r="E36" s="110" t="str">
        <f ca="1">IFERROR(__xludf.DUMMYFUNCTION("""COMPUTED_VALUE"""),"New")</f>
        <v>New</v>
      </c>
      <c r="F36" s="27">
        <v>72</v>
      </c>
      <c r="G36" s="27">
        <v>1300</v>
      </c>
      <c r="H36" s="27" t="s">
        <v>10236</v>
      </c>
      <c r="I36" s="27" t="s">
        <v>10237</v>
      </c>
      <c r="K36" s="108" t="s">
        <v>3791</v>
      </c>
      <c r="L36" s="27" t="s">
        <v>10149</v>
      </c>
      <c r="M36" s="109">
        <v>46029</v>
      </c>
      <c r="O36" s="27" t="s">
        <v>10150</v>
      </c>
    </row>
    <row r="37" spans="2:15" ht="12.5">
      <c r="B37" s="27" t="s">
        <v>2771</v>
      </c>
      <c r="C37" s="8" t="s">
        <v>10238</v>
      </c>
      <c r="D37" s="25" t="str">
        <f ca="1">IFERROR(__xludf.DUMMYFUNCTION("IFERROR(ARRAYFORMULA(REGEXEXTRACT(C37,""^(?:https?:\/\/)?(?:[^@\n]+@)?(?:www\.)?([^:\/\n]+)"")),"""")"),"milehighcre.com")</f>
        <v>milehighcre.com</v>
      </c>
      <c r="E37" s="110" t="str">
        <f ca="1">IFERROR(__xludf.DUMMYFUNCTION("""COMPUTED_VALUE"""),"New")</f>
        <v>New</v>
      </c>
      <c r="F37" s="27">
        <v>66</v>
      </c>
      <c r="G37" s="27">
        <v>1200</v>
      </c>
      <c r="H37" s="27" t="s">
        <v>10239</v>
      </c>
      <c r="I37" s="27" t="s">
        <v>10240</v>
      </c>
      <c r="K37" s="108" t="s">
        <v>3791</v>
      </c>
      <c r="L37" s="27" t="s">
        <v>10149</v>
      </c>
      <c r="M37" s="109">
        <v>46029</v>
      </c>
      <c r="O37" s="27" t="s">
        <v>10150</v>
      </c>
    </row>
    <row r="38" spans="2:15" ht="12.5">
      <c r="B38" s="27" t="s">
        <v>2771</v>
      </c>
      <c r="C38" s="8" t="s">
        <v>10241</v>
      </c>
      <c r="D38" s="25" t="str">
        <f ca="1">IFERROR(__xludf.DUMMYFUNCTION("IFERROR(ARRAYFORMULA(REGEXEXTRACT(C38,""^(?:https?:\/\/)?(?:[^@\n]+@)?(?:www\.)?([^:\/\n]+)"")),"""")"),"fcnews.net")</f>
        <v>fcnews.net</v>
      </c>
      <c r="E38" s="110" t="str">
        <f ca="1">IFERROR(__xludf.DUMMYFUNCTION("""COMPUTED_VALUE"""),"New")</f>
        <v>New</v>
      </c>
      <c r="F38" s="27">
        <v>67</v>
      </c>
      <c r="G38" s="27">
        <v>2000</v>
      </c>
      <c r="H38" s="27" t="s">
        <v>10242</v>
      </c>
      <c r="I38" s="27" t="s">
        <v>10243</v>
      </c>
      <c r="K38" s="108" t="s">
        <v>3772</v>
      </c>
      <c r="L38" s="27" t="s">
        <v>10149</v>
      </c>
      <c r="M38" s="109">
        <v>46029</v>
      </c>
      <c r="O38" s="27" t="s">
        <v>10150</v>
      </c>
    </row>
    <row r="39" spans="2:15" ht="12.5">
      <c r="B39" s="27" t="s">
        <v>2771</v>
      </c>
      <c r="C39" s="8" t="s">
        <v>10244</v>
      </c>
      <c r="D39" s="25" t="str">
        <f ca="1">IFERROR(__xludf.DUMMYFUNCTION("IFERROR(ARRAYFORMULA(REGEXEXTRACT(C39,""^(?:https?:\/\/)?(?:[^@\n]+@)?(?:www\.)?([^:\/\n]+)"")),"""")"),"candysdirt.com")</f>
        <v>candysdirt.com</v>
      </c>
      <c r="E39" s="110" t="str">
        <f ca="1">IFERROR(__xludf.DUMMYFUNCTION("""COMPUTED_VALUE"""),"Already Exists")</f>
        <v>Already Exists</v>
      </c>
      <c r="F39" s="27">
        <v>66</v>
      </c>
      <c r="G39" s="27">
        <v>6900</v>
      </c>
      <c r="H39" s="27" t="s">
        <v>7167</v>
      </c>
      <c r="I39" s="27" t="s">
        <v>10245</v>
      </c>
      <c r="K39" s="108" t="s">
        <v>3839</v>
      </c>
      <c r="L39" s="27" t="s">
        <v>10149</v>
      </c>
      <c r="M39" s="109">
        <v>46029</v>
      </c>
      <c r="O39" s="27" t="s">
        <v>10150</v>
      </c>
    </row>
    <row r="40" spans="2:15" ht="12.5">
      <c r="B40" s="27" t="s">
        <v>2771</v>
      </c>
      <c r="C40" s="11" t="s">
        <v>10246</v>
      </c>
      <c r="D40" s="25" t="str">
        <f ca="1">IFERROR(__xludf.DUMMYFUNCTION("IFERROR(ARRAYFORMULA(REGEXEXTRACT(C40,""^(?:https?:\/\/)?(?:[^@\n]+@)?(?:www\.)?([^:\/\n]+)"")),"""")"),"onekindesign.com")</f>
        <v>onekindesign.com</v>
      </c>
      <c r="E40" s="110" t="str">
        <f ca="1">IFERROR(__xludf.DUMMYFUNCTION("""COMPUTED_VALUE"""),"New")</f>
        <v>New</v>
      </c>
      <c r="F40" s="27">
        <v>66</v>
      </c>
      <c r="G40" s="27">
        <v>6600</v>
      </c>
      <c r="H40" s="27" t="s">
        <v>10247</v>
      </c>
      <c r="I40" s="27" t="s">
        <v>6310</v>
      </c>
      <c r="K40" s="108" t="s">
        <v>3839</v>
      </c>
      <c r="L40" s="27" t="s">
        <v>10149</v>
      </c>
      <c r="M40" s="109">
        <v>46030</v>
      </c>
      <c r="O40" s="27" t="s">
        <v>10150</v>
      </c>
    </row>
    <row r="41" spans="2:15" ht="12.5">
      <c r="B41" s="27" t="s">
        <v>2771</v>
      </c>
      <c r="C41" s="11" t="s">
        <v>10248</v>
      </c>
      <c r="D41" s="25" t="str">
        <f ca="1">IFERROR(__xludf.DUMMYFUNCTION("IFERROR(ARRAYFORMULA(REGEXEXTRACT(C41,""^(?:https?:\/\/)?(?:[^@\n]+@)?(?:www\.)?([^:\/\n]+)"")),"""")"),"mihomes.com")</f>
        <v>mihomes.com</v>
      </c>
      <c r="E41" s="110" t="str">
        <f ca="1">IFERROR(__xludf.DUMMYFUNCTION("""COMPUTED_VALUE"""),"New")</f>
        <v>New</v>
      </c>
      <c r="F41" s="27">
        <v>67</v>
      </c>
      <c r="G41" s="27">
        <v>85800</v>
      </c>
      <c r="H41" s="27" t="s">
        <v>10249</v>
      </c>
      <c r="I41" s="27" t="s">
        <v>10250</v>
      </c>
      <c r="K41" s="108" t="s">
        <v>3853</v>
      </c>
      <c r="L41" s="27" t="s">
        <v>10149</v>
      </c>
      <c r="M41" s="109">
        <v>46030</v>
      </c>
      <c r="O41" s="27" t="s">
        <v>10150</v>
      </c>
    </row>
    <row r="42" spans="2:15" ht="12.5">
      <c r="B42" s="27" t="s">
        <v>2771</v>
      </c>
      <c r="C42" s="11" t="s">
        <v>10251</v>
      </c>
      <c r="D42" s="25" t="str">
        <f ca="1">IFERROR(__xludf.DUMMYFUNCTION("IFERROR(ARRAYFORMULA(REGEXEXTRACT(C42,""^(?:https?:\/\/)?(?:[^@\n]+@)?(?:www\.)?([^:\/\n]+)"")),"""")"),"lanereport.com")</f>
        <v>lanereport.com</v>
      </c>
      <c r="E42" s="110" t="str">
        <f ca="1">IFERROR(__xludf.DUMMYFUNCTION("""COMPUTED_VALUE"""),"New")</f>
        <v>New</v>
      </c>
      <c r="F42" s="27">
        <v>69</v>
      </c>
      <c r="G42" s="27">
        <v>1900</v>
      </c>
      <c r="H42" s="27" t="s">
        <v>6820</v>
      </c>
      <c r="I42" s="27" t="s">
        <v>10252</v>
      </c>
      <c r="K42" s="108" t="s">
        <v>3772</v>
      </c>
      <c r="L42" s="27" t="s">
        <v>10149</v>
      </c>
      <c r="M42" s="109">
        <v>46030</v>
      </c>
      <c r="O42" s="27" t="s">
        <v>10150</v>
      </c>
    </row>
    <row r="43" spans="2:15" ht="12.5">
      <c r="B43" s="27" t="s">
        <v>2771</v>
      </c>
      <c r="C43" s="11" t="s">
        <v>10253</v>
      </c>
      <c r="D43" s="25" t="str">
        <f ca="1">IFERROR(__xludf.DUMMYFUNCTION("IFERROR(ARRAYFORMULA(REGEXEXTRACT(C43,""^(?:https?:\/\/)?(?:[^@\n]+@)?(?:www\.)?([^:\/\n]+)"")),"""")"),"timescall.com")</f>
        <v>timescall.com</v>
      </c>
      <c r="E43" s="110" t="str">
        <f ca="1">IFERROR(__xludf.DUMMYFUNCTION("""COMPUTED_VALUE"""),"New")</f>
        <v>New</v>
      </c>
      <c r="F43" s="27">
        <v>70</v>
      </c>
      <c r="G43" s="27">
        <v>10200</v>
      </c>
      <c r="I43" s="27" t="s">
        <v>10254</v>
      </c>
      <c r="K43" s="108" t="s">
        <v>3772</v>
      </c>
      <c r="L43" s="27" t="s">
        <v>10149</v>
      </c>
      <c r="M43" s="109">
        <v>46030</v>
      </c>
      <c r="O43" s="27" t="s">
        <v>10150</v>
      </c>
    </row>
    <row r="44" spans="2:15" ht="12.5">
      <c r="B44" s="27" t="s">
        <v>2771</v>
      </c>
      <c r="C44" s="11" t="s">
        <v>10255</v>
      </c>
      <c r="D44" s="111" t="str">
        <f ca="1">IFERROR(__xludf.DUMMYFUNCTION("IFERROR(ARRAYFORMULA(REGEXEXTRACT(C44,""^(?:https?:\/\/)?(?:[^@\n]+@)?(?:www\.)?([^:\/\n]+)"")),"""")"),"thebossmagazine.com")</f>
        <v>thebossmagazine.com</v>
      </c>
      <c r="E44" s="110" t="str">
        <f ca="1">IFERROR(__xludf.DUMMYFUNCTION("""COMPUTED_VALUE"""),"Already Exists")</f>
        <v>Already Exists</v>
      </c>
      <c r="F44" s="27">
        <v>73</v>
      </c>
      <c r="G44" s="27">
        <v>2600</v>
      </c>
      <c r="H44" s="27" t="s">
        <v>6922</v>
      </c>
      <c r="I44" s="27" t="s">
        <v>10256</v>
      </c>
      <c r="K44" s="108" t="s">
        <v>3772</v>
      </c>
      <c r="L44" s="27" t="s">
        <v>10149</v>
      </c>
      <c r="M44" s="109">
        <v>46030</v>
      </c>
      <c r="O44" s="27" t="s">
        <v>10150</v>
      </c>
    </row>
    <row r="45" spans="2:15" ht="12.5">
      <c r="B45" s="112" t="s">
        <v>2772</v>
      </c>
      <c r="C45" s="11" t="s">
        <v>10257</v>
      </c>
      <c r="D45" s="25" t="str">
        <f ca="1">IFERROR(__xludf.DUMMYFUNCTION("IFERROR(ARRAYFORMULA(REGEXEXTRACT(C45,""^(?:https?:\/\/)?(?:[^@\n]+@)?(?:www\.)?([^:\/\n]+)"")),"""")"),"reiwa.com.au")</f>
        <v>reiwa.com.au</v>
      </c>
      <c r="E45" s="110" t="str">
        <f ca="1">IFERROR(__xludf.DUMMYFUNCTION("""COMPUTED_VALUE"""),"New")</f>
        <v>New</v>
      </c>
      <c r="F45" s="27">
        <v>72</v>
      </c>
      <c r="G45" s="27">
        <v>204400</v>
      </c>
      <c r="H45" s="27" t="s">
        <v>10258</v>
      </c>
      <c r="I45" s="27" t="s">
        <v>10259</v>
      </c>
      <c r="K45" s="108" t="s">
        <v>3853</v>
      </c>
      <c r="L45" s="27" t="s">
        <v>10149</v>
      </c>
      <c r="M45" s="109">
        <v>46030</v>
      </c>
      <c r="O45" s="27" t="s">
        <v>10150</v>
      </c>
    </row>
    <row r="46" spans="2:15" ht="12.5">
      <c r="B46" s="27" t="s">
        <v>2772</v>
      </c>
      <c r="C46" s="11" t="s">
        <v>10260</v>
      </c>
      <c r="D46" s="25" t="str">
        <f ca="1">IFERROR(__xludf.DUMMYFUNCTION("IFERROR(ARRAYFORMULA(REGEXEXTRACT(C46,""^(?:https?:\/\/)?(?:[^@\n]+@)?(?:www\.)?([^:\/\n]+)"")),"""")"),"anartfulmom.com")</f>
        <v>anartfulmom.com</v>
      </c>
      <c r="E46" s="110" t="str">
        <f ca="1">IFERROR(__xludf.DUMMYFUNCTION("""COMPUTED_VALUE"""),"New")</f>
        <v>New</v>
      </c>
      <c r="F46" s="27">
        <v>35</v>
      </c>
      <c r="G46" s="27">
        <v>1400</v>
      </c>
      <c r="H46" s="27" t="s">
        <v>6410</v>
      </c>
      <c r="I46" s="27" t="s">
        <v>10261</v>
      </c>
      <c r="K46" s="108" t="s">
        <v>3839</v>
      </c>
      <c r="L46" s="27" t="s">
        <v>10149</v>
      </c>
      <c r="M46" s="109">
        <v>46030</v>
      </c>
      <c r="O46" s="27" t="s">
        <v>10150</v>
      </c>
    </row>
    <row r="47" spans="2:15" ht="12.5">
      <c r="B47" s="27" t="s">
        <v>2772</v>
      </c>
      <c r="C47" s="8" t="s">
        <v>10262</v>
      </c>
      <c r="D47" s="25" t="str">
        <f ca="1">IFERROR(__xludf.DUMMYFUNCTION("IFERROR(ARRAYFORMULA(REGEXEXTRACT(C47,""^(?:https?:\/\/)?(?:[^@\n]+@)?(?:www\.)?([^:\/\n]+)"")),"""")"),"whrg.com")</f>
        <v>whrg.com</v>
      </c>
      <c r="E47" s="110" t="str">
        <f ca="1">IFERROR(__xludf.DUMMYFUNCTION("""COMPUTED_VALUE"""),"New")</f>
        <v>New</v>
      </c>
      <c r="F47" s="27">
        <v>26</v>
      </c>
      <c r="G47" s="27">
        <v>1500</v>
      </c>
      <c r="H47" s="27" t="s">
        <v>10263</v>
      </c>
      <c r="I47" s="27" t="s">
        <v>10264</v>
      </c>
      <c r="K47" s="108" t="s">
        <v>3791</v>
      </c>
      <c r="L47" s="27" t="s">
        <v>10149</v>
      </c>
      <c r="M47" s="109">
        <v>46034</v>
      </c>
      <c r="O47" s="27" t="s">
        <v>10150</v>
      </c>
    </row>
    <row r="48" spans="2:15" ht="12.5">
      <c r="B48" s="27" t="s">
        <v>2772</v>
      </c>
      <c r="C48" s="8" t="s">
        <v>10265</v>
      </c>
      <c r="D48" s="25" t="str">
        <f ca="1">IFERROR(__xludf.DUMMYFUNCTION("IFERROR(ARRAYFORMULA(REGEXEXTRACT(C48,""^(?:https?:\/\/)?(?:[^@\n]+@)?(?:www\.)?([^:\/\n]+)"")),"""")"),"dakotastorage.com")</f>
        <v>dakotastorage.com</v>
      </c>
      <c r="E48" s="110" t="str">
        <f ca="1">IFERROR(__xludf.DUMMYFUNCTION("""COMPUTED_VALUE"""),"New")</f>
        <v>New</v>
      </c>
      <c r="F48" s="27">
        <v>52</v>
      </c>
      <c r="G48" s="27">
        <v>1300</v>
      </c>
      <c r="H48" s="27" t="s">
        <v>10266</v>
      </c>
      <c r="I48" s="27" t="s">
        <v>10267</v>
      </c>
      <c r="K48" s="108" t="s">
        <v>8944</v>
      </c>
      <c r="L48" s="27" t="s">
        <v>10149</v>
      </c>
      <c r="M48" s="109">
        <v>46034</v>
      </c>
      <c r="O48" s="27" t="s">
        <v>10150</v>
      </c>
    </row>
    <row r="49" spans="1:15" ht="12.5">
      <c r="B49" s="27" t="s">
        <v>2772</v>
      </c>
      <c r="C49" s="8" t="s">
        <v>10268</v>
      </c>
      <c r="D49" s="25" t="str">
        <f ca="1">IFERROR(__xludf.DUMMYFUNCTION("IFERROR(ARRAYFORMULA(REGEXEXTRACT(C49,""^(?:https?:\/\/)?(?:[^@\n]+@)?(?:www\.)?([^:\/\n]+)"")),"""")"),"hometechhacker.com")</f>
        <v>hometechhacker.com</v>
      </c>
      <c r="E49" s="110" t="str">
        <f ca="1">IFERROR(__xludf.DUMMYFUNCTION("""COMPUTED_VALUE"""),"New")</f>
        <v>New</v>
      </c>
      <c r="F49" s="27">
        <v>29</v>
      </c>
      <c r="G49" s="27">
        <v>1900</v>
      </c>
      <c r="H49" s="27" t="s">
        <v>10269</v>
      </c>
      <c r="I49" s="27" t="s">
        <v>10270</v>
      </c>
      <c r="K49" s="108" t="s">
        <v>3839</v>
      </c>
      <c r="L49" s="27" t="s">
        <v>10149</v>
      </c>
      <c r="M49" s="109">
        <v>46034</v>
      </c>
      <c r="O49" s="27" t="s">
        <v>10150</v>
      </c>
    </row>
    <row r="50" spans="1:15" ht="12.5">
      <c r="B50" s="27" t="s">
        <v>2772</v>
      </c>
      <c r="C50" s="8" t="s">
        <v>10271</v>
      </c>
      <c r="D50" s="25" t="str">
        <f ca="1">IFERROR(__xludf.DUMMYFUNCTION("IFERROR(ARRAYFORMULA(REGEXEXTRACT(C50,""^(?:https?:\/\/)?(?:[^@\n]+@)?(?:www\.)?([^:\/\n]+)"")),"""")"),"goldenharbors.com")</f>
        <v>goldenharbors.com</v>
      </c>
      <c r="E50" s="110" t="str">
        <f ca="1">IFERROR(__xludf.DUMMYFUNCTION("""COMPUTED_VALUE"""),"New")</f>
        <v>New</v>
      </c>
      <c r="F50" s="27">
        <v>33</v>
      </c>
      <c r="G50" s="27">
        <v>2000</v>
      </c>
      <c r="H50" s="27" t="s">
        <v>10272</v>
      </c>
      <c r="I50" s="27" t="s">
        <v>10273</v>
      </c>
      <c r="K50" s="108" t="s">
        <v>3791</v>
      </c>
      <c r="L50" s="27" t="s">
        <v>10149</v>
      </c>
      <c r="M50" s="109">
        <v>46034</v>
      </c>
      <c r="O50" s="27" t="s">
        <v>10150</v>
      </c>
    </row>
    <row r="51" spans="1:15" ht="12.5">
      <c r="B51" s="27" t="s">
        <v>2772</v>
      </c>
      <c r="C51" s="8" t="s">
        <v>10274</v>
      </c>
      <c r="D51" s="25" t="str">
        <f ca="1">IFERROR(__xludf.DUMMYFUNCTION("IFERROR(ARRAYFORMULA(REGEXEXTRACT(C51,""^(?:https?:\/\/)?(?:[^@\n]+@)?(?:www\.)?([^:\/\n]+)"")),"""")"),"equiton.com")</f>
        <v>equiton.com</v>
      </c>
      <c r="E51" s="110" t="str">
        <f ca="1">IFERROR(__xludf.DUMMYFUNCTION("""COMPUTED_VALUE"""),"New")</f>
        <v>New</v>
      </c>
      <c r="F51" s="27">
        <v>34</v>
      </c>
      <c r="G51" s="27">
        <v>2500</v>
      </c>
      <c r="H51" s="27" t="s">
        <v>4463</v>
      </c>
      <c r="I51" s="27" t="s">
        <v>10275</v>
      </c>
      <c r="K51" s="108" t="s">
        <v>3853</v>
      </c>
      <c r="L51" s="27" t="s">
        <v>10149</v>
      </c>
      <c r="M51" s="109">
        <v>46034</v>
      </c>
      <c r="O51" s="27" t="s">
        <v>10150</v>
      </c>
    </row>
    <row r="52" spans="1:15" ht="12.5">
      <c r="B52" s="27" t="s">
        <v>2772</v>
      </c>
      <c r="C52" s="8" t="s">
        <v>10276</v>
      </c>
      <c r="D52" s="25" t="str">
        <f ca="1">IFERROR(__xludf.DUMMYFUNCTION("IFERROR(ARRAYFORMULA(REGEXEXTRACT(C52,""^(?:https?:\/\/)?(?:[^@\n]+@)?(?:www\.)?([^:\/\n]+)"")),"""")"),"eastsidefeed.com")</f>
        <v>eastsidefeed.com</v>
      </c>
      <c r="E52" s="110" t="str">
        <f ca="1">IFERROR(__xludf.DUMMYFUNCTION("""COMPUTED_VALUE"""),"New")</f>
        <v>New</v>
      </c>
      <c r="F52" s="27">
        <v>35</v>
      </c>
      <c r="G52" s="27">
        <v>2600</v>
      </c>
      <c r="I52" s="27" t="s">
        <v>10277</v>
      </c>
      <c r="K52" s="108" t="s">
        <v>3756</v>
      </c>
      <c r="L52" s="27" t="s">
        <v>10149</v>
      </c>
      <c r="M52" s="109">
        <v>46034</v>
      </c>
      <c r="O52" s="27" t="s">
        <v>10150</v>
      </c>
    </row>
    <row r="53" spans="1:15" ht="12.5">
      <c r="B53" s="27" t="s">
        <v>2772</v>
      </c>
      <c r="C53" s="8" t="s">
        <v>10278</v>
      </c>
      <c r="D53" s="25" t="str">
        <f ca="1">IFERROR(__xludf.DUMMYFUNCTION("IFERROR(ARRAYFORMULA(REGEXEXTRACT(C53,""^(?:https?:\/\/)?(?:[^@\n]+@)?(?:www\.)?([^:\/\n]+)"")),"""")"),"gridironcapital.com")</f>
        <v>gridironcapital.com</v>
      </c>
      <c r="E53" s="110" t="str">
        <f ca="1">IFERROR(__xludf.DUMMYFUNCTION("""COMPUTED_VALUE"""),"New")</f>
        <v>New</v>
      </c>
      <c r="F53" s="27">
        <v>31</v>
      </c>
      <c r="G53" s="27">
        <v>3700</v>
      </c>
      <c r="H53" s="27" t="s">
        <v>6820</v>
      </c>
      <c r="I53" s="27" t="s">
        <v>10279</v>
      </c>
      <c r="K53" s="108" t="s">
        <v>3791</v>
      </c>
      <c r="L53" s="27" t="s">
        <v>10149</v>
      </c>
      <c r="M53" s="109">
        <v>46034</v>
      </c>
      <c r="O53" s="27" t="s">
        <v>10150</v>
      </c>
    </row>
    <row r="54" spans="1:15" ht="12.5">
      <c r="B54" s="27" t="s">
        <v>2772</v>
      </c>
      <c r="C54" s="8" t="s">
        <v>10280</v>
      </c>
      <c r="D54" s="25" t="str">
        <f ca="1">IFERROR(__xludf.DUMMYFUNCTION("IFERROR(ARRAYFORMULA(REGEXEXTRACT(C54,""^(?:https?:\/\/)?(?:[^@\n]+@)?(?:www\.)?([^:\/\n]+)"")),"""")"),"utv44.com")</f>
        <v>utv44.com</v>
      </c>
      <c r="E54" s="110" t="str">
        <f ca="1">IFERROR(__xludf.DUMMYFUNCTION("""COMPUTED_VALUE"""),"New")</f>
        <v>New</v>
      </c>
      <c r="F54" s="27">
        <v>25</v>
      </c>
      <c r="G54" s="27">
        <v>1300</v>
      </c>
      <c r="H54" s="27" t="s">
        <v>5392</v>
      </c>
      <c r="I54" s="27" t="s">
        <v>10281</v>
      </c>
      <c r="K54" s="108" t="s">
        <v>3772</v>
      </c>
      <c r="L54" s="27" t="s">
        <v>10149</v>
      </c>
      <c r="M54" s="109">
        <v>46034</v>
      </c>
      <c r="O54" s="27" t="s">
        <v>10150</v>
      </c>
    </row>
    <row r="55" spans="1:15" ht="12.5">
      <c r="C55" s="8" t="s">
        <v>10282</v>
      </c>
      <c r="D55" s="25" t="str">
        <f ca="1">IFERROR(__xludf.DUMMYFUNCTION("IFERROR(ARRAYFORMULA(REGEXEXTRACT(C55,""^(?:https?:\/\/)?(?:[^@\n]+@)?(?:www\.)?([^:\/\n]+)"")),"""")"),"roninarea.com")</f>
        <v>roninarea.com</v>
      </c>
      <c r="E55" s="110" t="str">
        <f ca="1">IFERROR(__xludf.DUMMYFUNCTION("""COMPUTED_VALUE"""),"Already Exists")</f>
        <v>Already Exists</v>
      </c>
      <c r="F55" s="27">
        <v>52</v>
      </c>
      <c r="G55" s="27">
        <v>12000</v>
      </c>
      <c r="I55" s="27" t="s">
        <v>10283</v>
      </c>
      <c r="K55" s="108" t="s">
        <v>7090</v>
      </c>
      <c r="L55" s="27" t="s">
        <v>10173</v>
      </c>
      <c r="M55" s="109">
        <v>46047</v>
      </c>
      <c r="O55" s="27" t="s">
        <v>10174</v>
      </c>
    </row>
    <row r="56" spans="1:15" ht="12.5">
      <c r="A56" s="8" t="s">
        <v>2548</v>
      </c>
      <c r="B56" s="26" t="s">
        <v>2831</v>
      </c>
      <c r="C56" s="8" t="s">
        <v>10284</v>
      </c>
      <c r="D56" s="25" t="str">
        <f ca="1">IFERROR(__xludf.DUMMYFUNCTION("IFERROR(ARRAYFORMULA(REGEXEXTRACT(C56,""^(?:https?:\/\/)?(?:[^@\n]+@)?(?:www\.)?([^:\/\n]+)"")),"""")"),"realestatewitch.com")</f>
        <v>realestatewitch.com</v>
      </c>
      <c r="E56" s="110" t="str">
        <f ca="1">IFERROR(__xludf.DUMMYFUNCTION("""COMPUTED_VALUE"""),"New")</f>
        <v>New</v>
      </c>
      <c r="F56" s="27">
        <v>67</v>
      </c>
      <c r="G56" s="27">
        <v>1204</v>
      </c>
      <c r="H56" s="27" t="s">
        <v>3236</v>
      </c>
      <c r="I56" s="27" t="s">
        <v>10285</v>
      </c>
      <c r="K56" s="108" t="s">
        <v>3853</v>
      </c>
      <c r="L56" s="27" t="s">
        <v>10173</v>
      </c>
      <c r="M56" s="48">
        <v>46047</v>
      </c>
      <c r="O56" s="27" t="s">
        <v>10174</v>
      </c>
    </row>
    <row r="57" spans="1:15" ht="12.5">
      <c r="B57" s="26" t="s">
        <v>2831</v>
      </c>
      <c r="C57" s="8" t="s">
        <v>10286</v>
      </c>
      <c r="D57" s="25" t="str">
        <f ca="1">IFERROR(__xludf.DUMMYFUNCTION("IFERROR(ARRAYFORMULA(REGEXEXTRACT(C57,""^(?:https?:\/\/)?(?:[^@\n]+@)?(?:www\.)?([^:\/\n]+)"")),"""")"),"flyarchitecture.net")</f>
        <v>flyarchitecture.net</v>
      </c>
      <c r="E57" s="110" t="str">
        <f ca="1">IFERROR(__xludf.DUMMYFUNCTION("""COMPUTED_VALUE"""),"Already Exists")</f>
        <v>Already Exists</v>
      </c>
      <c r="F57" s="27">
        <v>51</v>
      </c>
      <c r="G57" s="27">
        <v>4101</v>
      </c>
      <c r="H57" s="27" t="s">
        <v>10287</v>
      </c>
      <c r="I57" s="27" t="s">
        <v>10288</v>
      </c>
      <c r="K57" s="108" t="s">
        <v>7090</v>
      </c>
      <c r="L57" s="27" t="s">
        <v>10173</v>
      </c>
      <c r="M57" s="48">
        <v>46047</v>
      </c>
      <c r="O57" s="27" t="s">
        <v>10174</v>
      </c>
    </row>
    <row r="58" spans="1:15" ht="12.5">
      <c r="B58" s="26" t="s">
        <v>2831</v>
      </c>
      <c r="C58" s="8" t="s">
        <v>10289</v>
      </c>
      <c r="D58" s="25" t="str">
        <f ca="1">IFERROR(__xludf.DUMMYFUNCTION("IFERROR(ARRAYFORMULA(REGEXEXTRACT(C58,""^(?:https?:\/\/)?(?:[^@\n]+@)?(?:www\.)?([^:\/\n]+)"")),"""")"),"middleclasshomes.net")</f>
        <v>middleclasshomes.net</v>
      </c>
      <c r="E58" s="110" t="str">
        <f ca="1">IFERROR(__xludf.DUMMYFUNCTION("""COMPUTED_VALUE"""),"Already Exists")</f>
        <v>Already Exists</v>
      </c>
      <c r="F58" s="27">
        <v>56</v>
      </c>
      <c r="G58" s="27">
        <v>1720</v>
      </c>
      <c r="I58" s="27" t="s">
        <v>10290</v>
      </c>
      <c r="K58" s="108" t="s">
        <v>3839</v>
      </c>
      <c r="L58" s="27" t="s">
        <v>10173</v>
      </c>
      <c r="M58" s="48">
        <v>46047</v>
      </c>
      <c r="O58" s="27" t="s">
        <v>10174</v>
      </c>
    </row>
    <row r="59" spans="1:15" ht="12.5">
      <c r="B59" s="26" t="s">
        <v>2831</v>
      </c>
      <c r="C59" s="8" t="s">
        <v>10291</v>
      </c>
      <c r="D59" s="25" t="str">
        <f ca="1">IFERROR(__xludf.DUMMYFUNCTION("IFERROR(ARRAYFORMULA(REGEXEXTRACT(C59,""^(?:https?:\/\/)?(?:[^@\n]+@)?(?:www\.)?([^:\/\n]+)"")),"""")"),"bigboxratio.com")</f>
        <v>bigboxratio.com</v>
      </c>
      <c r="E59" s="110" t="str">
        <f ca="1">IFERROR(__xludf.DUMMYFUNCTION("""COMPUTED_VALUE"""),"New")</f>
        <v>New</v>
      </c>
      <c r="F59" s="27">
        <v>67</v>
      </c>
      <c r="G59" s="27">
        <v>15508</v>
      </c>
      <c r="I59" s="27" t="s">
        <v>10292</v>
      </c>
      <c r="K59" s="108" t="s">
        <v>3839</v>
      </c>
      <c r="L59" s="27" t="s">
        <v>10173</v>
      </c>
      <c r="M59" s="48">
        <v>46047</v>
      </c>
      <c r="O59" s="27" t="s">
        <v>10174</v>
      </c>
    </row>
    <row r="60" spans="1:15" ht="12.5">
      <c r="B60" s="26" t="s">
        <v>2831</v>
      </c>
      <c r="C60" s="8" t="s">
        <v>10293</v>
      </c>
      <c r="D60" s="25" t="str">
        <f ca="1">IFERROR(__xludf.DUMMYFUNCTION("IFERROR(ARRAYFORMULA(REGEXEXTRACT(C60,""^(?:https?:\/\/)?(?:[^@\n]+@)?(?:www\.)?([^:\/\n]+)"")),"""")"),"homerocketrealty.com")</f>
        <v>homerocketrealty.com</v>
      </c>
      <c r="E60" s="110" t="str">
        <f ca="1">IFERROR(__xludf.DUMMYFUNCTION("""COMPUTED_VALUE"""),"Already Exists")</f>
        <v>Already Exists</v>
      </c>
      <c r="F60" s="27">
        <v>62</v>
      </c>
      <c r="G60" s="27">
        <v>3895</v>
      </c>
      <c r="H60" s="27" t="s">
        <v>10294</v>
      </c>
      <c r="I60" s="27" t="s">
        <v>10295</v>
      </c>
      <c r="K60" s="108" t="s">
        <v>3839</v>
      </c>
      <c r="L60" s="27" t="s">
        <v>10173</v>
      </c>
      <c r="M60" s="48">
        <v>46047</v>
      </c>
      <c r="O60" s="27" t="s">
        <v>10174</v>
      </c>
    </row>
    <row r="61" spans="1:15" ht="12.5">
      <c r="B61" s="26" t="s">
        <v>2831</v>
      </c>
      <c r="C61" s="8" t="s">
        <v>10296</v>
      </c>
      <c r="D61" s="25" t="str">
        <f ca="1">IFERROR(__xludf.DUMMYFUNCTION("IFERROR(ARRAYFORMULA(REGEXEXTRACT(C61,""^(?:https?:\/\/)?(?:[^@\n]+@)?(?:www\.)?([^:\/\n]+)"")),"""")"),"neighborhoods.com")</f>
        <v>neighborhoods.com</v>
      </c>
      <c r="E61" s="110" t="str">
        <f ca="1">IFERROR(__xludf.DUMMYFUNCTION("""COMPUTED_VALUE"""),"New")</f>
        <v>New</v>
      </c>
      <c r="F61" s="27">
        <v>69</v>
      </c>
      <c r="G61" s="27">
        <v>78227</v>
      </c>
      <c r="H61" s="27" t="s">
        <v>3344</v>
      </c>
      <c r="I61" s="27" t="s">
        <v>10297</v>
      </c>
      <c r="K61" s="108" t="s">
        <v>3853</v>
      </c>
      <c r="L61" s="27" t="s">
        <v>10173</v>
      </c>
      <c r="M61" s="48">
        <v>46047</v>
      </c>
      <c r="O61" s="27" t="s">
        <v>10174</v>
      </c>
    </row>
    <row r="62" spans="1:15" ht="12.5">
      <c r="B62" s="26" t="s">
        <v>2831</v>
      </c>
      <c r="C62" s="8" t="s">
        <v>10298</v>
      </c>
      <c r="D62" s="25" t="str">
        <f ca="1">IFERROR(__xludf.DUMMYFUNCTION("IFERROR(ARRAYFORMULA(REGEXEXTRACT(C62,""^(?:https?:\/\/)?(?:[^@\n]+@)?(?:www\.)?([^:\/\n]+)"")),"""")"),"location.com")</f>
        <v>location.com</v>
      </c>
      <c r="E62" s="110" t="str">
        <f ca="1">IFERROR(__xludf.DUMMYFUNCTION("""COMPUTED_VALUE"""),"New")</f>
        <v>New</v>
      </c>
      <c r="F62" s="27">
        <v>50</v>
      </c>
      <c r="G62" s="27">
        <v>2581</v>
      </c>
      <c r="I62" s="27" t="s">
        <v>10299</v>
      </c>
      <c r="K62" s="108" t="s">
        <v>3791</v>
      </c>
      <c r="L62" s="27" t="s">
        <v>10173</v>
      </c>
      <c r="M62" s="48">
        <v>46047</v>
      </c>
      <c r="O62" s="27" t="s">
        <v>10174</v>
      </c>
    </row>
    <row r="63" spans="1:15" ht="12.5">
      <c r="B63" s="26" t="s">
        <v>2831</v>
      </c>
      <c r="C63" s="8" t="s">
        <v>10300</v>
      </c>
      <c r="D63" s="25" t="str">
        <f ca="1">IFERROR(__xludf.DUMMYFUNCTION("IFERROR(ARRAYFORMULA(REGEXEXTRACT(C63,""^(?:https?:\/\/)?(?:[^@\n]+@)?(?:www\.)?([^:\/\n]+)"")),"""")"),"housebuyersofamerica.com")</f>
        <v>housebuyersofamerica.com</v>
      </c>
      <c r="E63" s="110" t="str">
        <f ca="1">IFERROR(__xludf.DUMMYFUNCTION("""COMPUTED_VALUE"""),"New")</f>
        <v>New</v>
      </c>
      <c r="F63" s="27">
        <v>52</v>
      </c>
      <c r="G63" s="27">
        <v>2029</v>
      </c>
      <c r="I63" s="27" t="s">
        <v>10301</v>
      </c>
      <c r="K63" s="108" t="s">
        <v>3853</v>
      </c>
      <c r="L63" s="27" t="s">
        <v>10173</v>
      </c>
      <c r="M63" s="48">
        <v>46047</v>
      </c>
      <c r="O63" s="27" t="s">
        <v>10174</v>
      </c>
    </row>
    <row r="64" spans="1:15" ht="12.5">
      <c r="B64" s="26" t="s">
        <v>2831</v>
      </c>
      <c r="C64" s="8" t="s">
        <v>10302</v>
      </c>
      <c r="D64" s="25" t="str">
        <f ca="1">IFERROR(__xludf.DUMMYFUNCTION("IFERROR(ARRAYFORMULA(REGEXEXTRACT(C64,""^(?:https?:\/\/)?(?:[^@\n]+@)?(?:www\.)?([^:\/\n]+)"")),"""")"),"mygardenandpatio.com")</f>
        <v>mygardenandpatio.com</v>
      </c>
      <c r="E64" s="110" t="str">
        <f ca="1">IFERROR(__xludf.DUMMYFUNCTION("""COMPUTED_VALUE"""),"Already Exists")</f>
        <v>Already Exists</v>
      </c>
      <c r="F64" s="27">
        <v>55</v>
      </c>
      <c r="G64" s="27">
        <v>12647</v>
      </c>
      <c r="H64" s="27" t="s">
        <v>5084</v>
      </c>
      <c r="I64" s="27" t="s">
        <v>10303</v>
      </c>
      <c r="K64" s="108" t="s">
        <v>10304</v>
      </c>
      <c r="L64" s="27" t="s">
        <v>10173</v>
      </c>
      <c r="M64" s="48">
        <v>46047</v>
      </c>
      <c r="O64" s="27" t="s">
        <v>10174</v>
      </c>
    </row>
    <row r="65" spans="2:15" ht="12.5">
      <c r="B65" s="26" t="s">
        <v>2832</v>
      </c>
      <c r="C65" s="8" t="s">
        <v>10305</v>
      </c>
      <c r="D65" s="25" t="str">
        <f ca="1">IFERROR(__xludf.DUMMYFUNCTION("IFERROR(ARRAYFORMULA(REGEXEXTRACT(C65,""^(?:https?:\/\/)?(?:[^@\n]+@)?(?:www\.)?([^:\/\n]+)"")),"""")"),"beycome.com")</f>
        <v>beycome.com</v>
      </c>
      <c r="E65" s="110" t="str">
        <f ca="1">IFERROR(__xludf.DUMMYFUNCTION("""COMPUTED_VALUE"""),"New")</f>
        <v>New</v>
      </c>
      <c r="F65" s="27">
        <v>41</v>
      </c>
      <c r="G65" s="27">
        <v>4900</v>
      </c>
      <c r="I65" s="27" t="s">
        <v>3404</v>
      </c>
      <c r="K65" s="108" t="s">
        <v>3853</v>
      </c>
      <c r="L65" s="27" t="s">
        <v>10173</v>
      </c>
      <c r="M65" s="48">
        <v>46047</v>
      </c>
      <c r="O65" s="27" t="s">
        <v>10174</v>
      </c>
    </row>
    <row r="66" spans="2:15" ht="12.5">
      <c r="B66" s="26" t="s">
        <v>2832</v>
      </c>
      <c r="C66" s="8" t="s">
        <v>10306</v>
      </c>
      <c r="D66" s="25" t="str">
        <f ca="1">IFERROR(__xludf.DUMMYFUNCTION("IFERROR(ARRAYFORMULA(REGEXEXTRACT(C66,""^(?:https?:\/\/)?(?:[^@\n]+@)?(?:www\.)?([^:\/\n]+)"")),"""")"),"koriathome.com")</f>
        <v>koriathome.com</v>
      </c>
      <c r="E66" s="110" t="str">
        <f ca="1">IFERROR(__xludf.DUMMYFUNCTION("""COMPUTED_VALUE"""),"New")</f>
        <v>New</v>
      </c>
      <c r="F66" s="27">
        <v>39</v>
      </c>
      <c r="G66" s="27">
        <v>1116</v>
      </c>
      <c r="H66" s="27" t="s">
        <v>10307</v>
      </c>
      <c r="J66" s="8" t="s">
        <v>10308</v>
      </c>
      <c r="K66" s="113"/>
      <c r="L66" s="27" t="s">
        <v>10173</v>
      </c>
      <c r="M66" s="48">
        <v>46047</v>
      </c>
      <c r="O66" s="27" t="s">
        <v>10174</v>
      </c>
    </row>
    <row r="67" spans="2:15" ht="12.5">
      <c r="B67" s="26" t="s">
        <v>2832</v>
      </c>
      <c r="C67" s="8" t="s">
        <v>10309</v>
      </c>
      <c r="D67" s="25" t="str">
        <f ca="1">IFERROR(__xludf.DUMMYFUNCTION("IFERROR(ARRAYFORMULA(REGEXEXTRACT(C67,""^(?:https?:\/\/)?(?:[^@\n]+@)?(?:www\.)?([^:\/\n]+)"")),"""")"),"melanielissackinteriors.com")</f>
        <v>melanielissackinteriors.com</v>
      </c>
      <c r="E67" s="110" t="str">
        <f ca="1">IFERROR(__xludf.DUMMYFUNCTION("""COMPUTED_VALUE"""),"New")</f>
        <v>New</v>
      </c>
      <c r="F67" s="27">
        <v>69</v>
      </c>
      <c r="G67" s="27">
        <v>4739</v>
      </c>
      <c r="H67" s="27" t="s">
        <v>10310</v>
      </c>
      <c r="I67" s="27" t="s">
        <v>10311</v>
      </c>
      <c r="K67" s="108" t="s">
        <v>3864</v>
      </c>
      <c r="L67" s="27" t="s">
        <v>10173</v>
      </c>
      <c r="M67" s="48">
        <v>46047</v>
      </c>
      <c r="O67" s="27" t="s">
        <v>10174</v>
      </c>
    </row>
    <row r="68" spans="2:15" ht="12.5">
      <c r="B68" s="26" t="s">
        <v>2832</v>
      </c>
      <c r="C68" s="8" t="s">
        <v>10312</v>
      </c>
      <c r="D68" s="25" t="str">
        <f ca="1">IFERROR(__xludf.DUMMYFUNCTION("IFERROR(ARRAYFORMULA(REGEXEXTRACT(C68,""^(?:https?:\/\/)?(?:[^@\n]+@)?(?:www\.)?([^:\/\n]+)"")),"""")"),"makeitright.ca")</f>
        <v>makeitright.ca</v>
      </c>
      <c r="E68" s="110" t="str">
        <f ca="1">IFERROR(__xludf.DUMMYFUNCTION("""COMPUTED_VALUE"""),"New")</f>
        <v>New</v>
      </c>
      <c r="F68" s="27">
        <v>64</v>
      </c>
      <c r="G68" s="27">
        <v>22383</v>
      </c>
      <c r="H68" s="27" t="s">
        <v>10178</v>
      </c>
      <c r="I68" s="27" t="s">
        <v>10313</v>
      </c>
      <c r="K68" s="108" t="s">
        <v>4291</v>
      </c>
      <c r="L68" s="27" t="s">
        <v>10173</v>
      </c>
      <c r="M68" s="48">
        <v>46047</v>
      </c>
      <c r="O68" s="27" t="s">
        <v>10174</v>
      </c>
    </row>
    <row r="69" spans="2:15" ht="12.5">
      <c r="B69" s="26" t="s">
        <v>2832</v>
      </c>
      <c r="C69" s="8" t="s">
        <v>10314</v>
      </c>
      <c r="D69" s="25" t="str">
        <f ca="1">IFERROR(__xludf.DUMMYFUNCTION("IFERROR(ARRAYFORMULA(REGEXEXTRACT(C69,""^(?:https?:\/\/)?(?:[^@\n]+@)?(?:www\.)?([^:\/\n]+)"")),"""")"),"kelloggsupplyco.com")</f>
        <v>kelloggsupplyco.com</v>
      </c>
      <c r="E69" s="110" t="str">
        <f ca="1">IFERROR(__xludf.DUMMYFUNCTION("""COMPUTED_VALUE"""),"New")</f>
        <v>New</v>
      </c>
      <c r="F69" s="27">
        <v>27</v>
      </c>
      <c r="G69" s="27">
        <v>4483</v>
      </c>
      <c r="H69" s="27" t="s">
        <v>5392</v>
      </c>
      <c r="I69" s="27" t="s">
        <v>10315</v>
      </c>
      <c r="K69" s="108" t="s">
        <v>4291</v>
      </c>
      <c r="L69" s="27" t="s">
        <v>10173</v>
      </c>
      <c r="M69" s="48">
        <v>46047</v>
      </c>
      <c r="O69" s="27" t="s">
        <v>10174</v>
      </c>
    </row>
    <row r="70" spans="2:15" ht="12.5">
      <c r="B70" s="26" t="s">
        <v>2832</v>
      </c>
      <c r="C70" s="8" t="s">
        <v>10316</v>
      </c>
      <c r="D70" s="25" t="str">
        <f ca="1">IFERROR(__xludf.DUMMYFUNCTION("IFERROR(ARRAYFORMULA(REGEXEXTRACT(C70,""^(?:https?:\/\/)?(?:[^@\n]+@)?(?:www\.)?([^:\/\n]+)"")),"""")"),"saterdesign.com")</f>
        <v>saterdesign.com</v>
      </c>
      <c r="E70" s="110" t="str">
        <f ca="1">IFERROR(__xludf.DUMMYFUNCTION("""COMPUTED_VALUE"""),"New")</f>
        <v>New</v>
      </c>
      <c r="F70" s="27">
        <v>38</v>
      </c>
      <c r="G70" s="27">
        <v>51467</v>
      </c>
      <c r="H70" s="27" t="s">
        <v>10317</v>
      </c>
      <c r="I70" s="27" t="s">
        <v>10318</v>
      </c>
      <c r="K70" s="108" t="s">
        <v>10319</v>
      </c>
      <c r="L70" s="27" t="s">
        <v>10173</v>
      </c>
      <c r="M70" s="48">
        <v>46047</v>
      </c>
      <c r="O70" s="27" t="s">
        <v>10174</v>
      </c>
    </row>
    <row r="71" spans="2:15" ht="13">
      <c r="B71" s="26" t="s">
        <v>2833</v>
      </c>
      <c r="C71" s="8" t="s">
        <v>10320</v>
      </c>
      <c r="D71" s="114" t="str">
        <f ca="1">IFERROR(__xludf.DUMMYFUNCTION("IFERROR(ARRAYFORMULA(REGEXEXTRACT(C71,""^(?:https?:\/\/)?(?:[^@\n]+@)?(?:www\.)?([^:\/\n]+)"")),"""")"),"jugrnaut.com")</f>
        <v>jugrnaut.com</v>
      </c>
      <c r="E71" s="110" t="str">
        <f ca="1">IFERROR(__xludf.DUMMYFUNCTION("""COMPUTED_VALUE"""),"New")</f>
        <v>New</v>
      </c>
      <c r="F71" s="27">
        <v>22</v>
      </c>
      <c r="G71" s="27">
        <v>13680</v>
      </c>
      <c r="K71" s="113"/>
      <c r="L71" s="27" t="s">
        <v>10173</v>
      </c>
      <c r="M71" s="48">
        <v>46048</v>
      </c>
      <c r="O71" s="27" t="s">
        <v>10174</v>
      </c>
    </row>
    <row r="72" spans="2:15" ht="13">
      <c r="B72" s="26" t="s">
        <v>2833</v>
      </c>
      <c r="C72" s="8" t="s">
        <v>10321</v>
      </c>
      <c r="D72" s="114" t="str">
        <f ca="1">IFERROR(__xludf.DUMMYFUNCTION("IFERROR(ARRAYFORMULA(REGEXEXTRACT(C72,""^(?:https?:\/\/)?(?:[^@\n]+@)?(?:www\.)?([^:\/\n]+)"")),"""")"),"bnbcalc.com")</f>
        <v>bnbcalc.com</v>
      </c>
      <c r="E72" s="110" t="str">
        <f ca="1">IFERROR(__xludf.DUMMYFUNCTION("""COMPUTED_VALUE"""),"New")</f>
        <v>New</v>
      </c>
      <c r="F72" s="27">
        <v>45</v>
      </c>
      <c r="G72" s="27">
        <v>12883</v>
      </c>
      <c r="H72" s="27" t="s">
        <v>10322</v>
      </c>
      <c r="I72" s="27" t="s">
        <v>10323</v>
      </c>
      <c r="K72" s="108" t="s">
        <v>3853</v>
      </c>
      <c r="L72" s="27" t="s">
        <v>10173</v>
      </c>
      <c r="M72" s="48">
        <v>46048</v>
      </c>
      <c r="O72" s="27" t="s">
        <v>10174</v>
      </c>
    </row>
    <row r="73" spans="2:15" ht="13">
      <c r="B73" s="26" t="s">
        <v>2833</v>
      </c>
      <c r="C73" s="8" t="s">
        <v>10324</v>
      </c>
      <c r="D73" s="114" t="str">
        <f ca="1">IFERROR(__xludf.DUMMYFUNCTION("IFERROR(ARRAYFORMULA(REGEXEXTRACT(C73,""^(?:https?:\/\/)?(?:[^@\n]+@)?(?:www\.)?([^:\/\n]+)"")),"""")"),"steadily.com")</f>
        <v>steadily.com</v>
      </c>
      <c r="E73" s="110" t="str">
        <f ca="1">IFERROR(__xludf.DUMMYFUNCTION("""COMPUTED_VALUE"""),"New")</f>
        <v>New</v>
      </c>
      <c r="F73" s="27">
        <v>68</v>
      </c>
      <c r="G73" s="27">
        <v>46440</v>
      </c>
      <c r="H73" s="27" t="s">
        <v>10325</v>
      </c>
      <c r="I73" s="27" t="s">
        <v>10326</v>
      </c>
      <c r="K73" s="108" t="s">
        <v>10327</v>
      </c>
      <c r="L73" s="27" t="s">
        <v>10173</v>
      </c>
      <c r="M73" s="48">
        <v>46048</v>
      </c>
      <c r="O73" s="27" t="s">
        <v>10174</v>
      </c>
    </row>
    <row r="74" spans="2:15" ht="13">
      <c r="B74" s="26" t="s">
        <v>2833</v>
      </c>
      <c r="C74" s="8" t="s">
        <v>10328</v>
      </c>
      <c r="D74" s="114" t="str">
        <f ca="1">IFERROR(__xludf.DUMMYFUNCTION("IFERROR(ARRAYFORMULA(REGEXEXTRACT(C74,""^(?:https?:\/\/)?(?:[^@\n]+@)?(?:www\.)?([^:\/\n]+)"")),"""")"),"ontariobusinessgrants.com")</f>
        <v>ontariobusinessgrants.com</v>
      </c>
      <c r="E74" s="110" t="str">
        <f ca="1">IFERROR(__xludf.DUMMYFUNCTION("""COMPUTED_VALUE"""),"New")</f>
        <v>New</v>
      </c>
      <c r="F74" s="27">
        <v>36</v>
      </c>
      <c r="G74" s="27">
        <v>1248</v>
      </c>
      <c r="H74" s="27" t="s">
        <v>10329</v>
      </c>
      <c r="I74" s="27" t="s">
        <v>10330</v>
      </c>
      <c r="K74" s="108" t="s">
        <v>3791</v>
      </c>
      <c r="L74" s="27" t="s">
        <v>10173</v>
      </c>
      <c r="M74" s="48">
        <v>46048</v>
      </c>
      <c r="O74" s="27" t="s">
        <v>10174</v>
      </c>
    </row>
    <row r="75" spans="2:15" ht="13">
      <c r="B75" s="26" t="s">
        <v>2833</v>
      </c>
      <c r="C75" s="8" t="s">
        <v>10331</v>
      </c>
      <c r="D75" s="114" t="str">
        <f ca="1">IFERROR(__xludf.DUMMYFUNCTION("IFERROR(ARRAYFORMULA(REGEXEXTRACT(C75,""^(?:https?:\/\/)?(?:[^@\n]+@)?(?:www\.)?([^:\/\n]+)"")),"""")"),"masterhost.ca")</f>
        <v>masterhost.ca</v>
      </c>
      <c r="E75" s="110" t="str">
        <f ca="1">IFERROR(__xludf.DUMMYFUNCTION("""COMPUTED_VALUE"""),"New")</f>
        <v>New</v>
      </c>
      <c r="F75" s="27">
        <v>36</v>
      </c>
      <c r="G75" s="27">
        <v>2595</v>
      </c>
      <c r="H75" s="27" t="s">
        <v>10332</v>
      </c>
      <c r="I75" s="27" t="s">
        <v>10333</v>
      </c>
      <c r="K75" s="108" t="s">
        <v>10334</v>
      </c>
      <c r="L75" s="27" t="s">
        <v>10173</v>
      </c>
      <c r="M75" s="48">
        <v>46048</v>
      </c>
      <c r="O75" s="27" t="s">
        <v>10174</v>
      </c>
    </row>
    <row r="76" spans="2:15" ht="13">
      <c r="B76" s="26" t="s">
        <v>2833</v>
      </c>
      <c r="C76" s="8" t="s">
        <v>10335</v>
      </c>
      <c r="D76" s="114" t="str">
        <f ca="1">IFERROR(__xludf.DUMMYFUNCTION("IFERROR(ARRAYFORMULA(REGEXEXTRACT(C76,""^(?:https?:\/\/)?(?:[^@\n]+@)?(?:www\.)?([^:\/\n]+)"")),"""")"),"alltherooms.com")</f>
        <v>alltherooms.com</v>
      </c>
      <c r="E76" s="110" t="str">
        <f ca="1">IFERROR(__xludf.DUMMYFUNCTION("""COMPUTED_VALUE"""),"New")</f>
        <v>New</v>
      </c>
      <c r="F76" s="27">
        <v>66</v>
      </c>
      <c r="G76" s="27">
        <v>1749</v>
      </c>
      <c r="I76" s="27" t="s">
        <v>10336</v>
      </c>
      <c r="K76" s="108" t="s">
        <v>3853</v>
      </c>
      <c r="L76" s="27" t="s">
        <v>10173</v>
      </c>
      <c r="M76" s="48">
        <v>46048</v>
      </c>
      <c r="O76" s="27" t="s">
        <v>10174</v>
      </c>
    </row>
    <row r="77" spans="2:15" ht="13">
      <c r="B77" s="26" t="s">
        <v>2833</v>
      </c>
      <c r="C77" s="8" t="s">
        <v>10337</v>
      </c>
      <c r="D77" s="114" t="str">
        <f ca="1">IFERROR(__xludf.DUMMYFUNCTION("IFERROR(ARRAYFORMULA(REGEXEXTRACT(C77,""^(?:https?:\/\/)?(?:[^@\n]+@)?(?:www\.)?([^:\/\n]+)"")),"""")"),"indianjadibooti.com")</f>
        <v>indianjadibooti.com</v>
      </c>
      <c r="E77" s="110" t="str">
        <f ca="1">IFERROR(__xludf.DUMMYFUNCTION("""COMPUTED_VALUE"""),"New")</f>
        <v>New</v>
      </c>
      <c r="F77" s="27">
        <v>30</v>
      </c>
      <c r="G77" s="27">
        <v>11604</v>
      </c>
      <c r="K77" s="113"/>
      <c r="L77" s="27" t="s">
        <v>10173</v>
      </c>
      <c r="M77" s="48">
        <v>46051</v>
      </c>
      <c r="O77" s="27" t="s">
        <v>10174</v>
      </c>
    </row>
    <row r="78" spans="2:15" ht="13">
      <c r="B78" s="26" t="s">
        <v>2833</v>
      </c>
      <c r="C78" s="8" t="s">
        <v>10338</v>
      </c>
      <c r="D78" s="114" t="str">
        <f ca="1">IFERROR(__xludf.DUMMYFUNCTION("IFERROR(ARRAYFORMULA(REGEXEXTRACT(C78,""^(?:https?:\/\/)?(?:[^@\n]+@)?(?:www\.)?([^:\/\n]+)"")),"""")"),"doorloop.com")</f>
        <v>doorloop.com</v>
      </c>
      <c r="E78" s="110" t="str">
        <f ca="1">IFERROR(__xludf.DUMMYFUNCTION("""COMPUTED_VALUE"""),"New")</f>
        <v>New</v>
      </c>
      <c r="F78" s="27">
        <v>79</v>
      </c>
      <c r="G78" s="27">
        <v>84590</v>
      </c>
      <c r="H78" s="27" t="s">
        <v>10339</v>
      </c>
      <c r="I78" s="27" t="s">
        <v>10340</v>
      </c>
      <c r="K78" s="108" t="s">
        <v>10341</v>
      </c>
      <c r="L78" s="27" t="s">
        <v>10173</v>
      </c>
      <c r="M78" s="48">
        <v>46051</v>
      </c>
      <c r="O78" s="27" t="s">
        <v>10174</v>
      </c>
    </row>
    <row r="79" spans="2:15" ht="13">
      <c r="B79" s="26" t="s">
        <v>2833</v>
      </c>
      <c r="C79" s="8" t="s">
        <v>10342</v>
      </c>
      <c r="D79" s="114" t="str">
        <f ca="1">IFERROR(__xludf.DUMMYFUNCTION("IFERROR(ARRAYFORMULA(REGEXEXTRACT(C79,""^(?:https?:\/\/)?(?:[^@\n]+@)?(?:www\.)?([^:\/\n]+)"")),"""")"),"trustanalytica.org")</f>
        <v>trustanalytica.org</v>
      </c>
      <c r="E79" s="110" t="str">
        <f ca="1">IFERROR(__xludf.DUMMYFUNCTION("""COMPUTED_VALUE"""),"New")</f>
        <v>New</v>
      </c>
      <c r="F79" s="27">
        <v>70</v>
      </c>
      <c r="G79" s="27">
        <v>10357</v>
      </c>
      <c r="I79" s="27" t="s">
        <v>10343</v>
      </c>
      <c r="K79" s="108" t="s">
        <v>5375</v>
      </c>
      <c r="L79" s="27" t="s">
        <v>10173</v>
      </c>
      <c r="M79" s="48">
        <v>46051</v>
      </c>
      <c r="O79" s="27" t="s">
        <v>10174</v>
      </c>
    </row>
    <row r="80" spans="2:15" ht="13">
      <c r="B80" s="26" t="s">
        <v>2833</v>
      </c>
      <c r="C80" s="8" t="s">
        <v>10344</v>
      </c>
      <c r="D80" s="114" t="str">
        <f ca="1">IFERROR(__xludf.DUMMYFUNCTION("IFERROR(ARRAYFORMULA(REGEXEXTRACT(C80,""^(?:https?:\/\/)?(?:[^@\n]+@)?(?:www\.)?([^:\/\n]+)"")),"""")"),"elikarealestate.com")</f>
        <v>elikarealestate.com</v>
      </c>
      <c r="E80" s="110" t="str">
        <f ca="1">IFERROR(__xludf.DUMMYFUNCTION("""COMPUTED_VALUE"""),"New")</f>
        <v>New</v>
      </c>
      <c r="F80" s="27">
        <v>36</v>
      </c>
      <c r="G80" s="27">
        <v>1456</v>
      </c>
      <c r="H80" s="27" t="s">
        <v>10345</v>
      </c>
      <c r="I80" s="27" t="s">
        <v>10346</v>
      </c>
      <c r="K80" s="108" t="s">
        <v>3853</v>
      </c>
      <c r="L80" s="27" t="s">
        <v>10173</v>
      </c>
      <c r="M80" s="48">
        <v>46051</v>
      </c>
      <c r="O80" s="27" t="s">
        <v>10174</v>
      </c>
    </row>
    <row r="81" spans="2:15" ht="13">
      <c r="B81" s="26" t="s">
        <v>2833</v>
      </c>
      <c r="C81" s="8" t="s">
        <v>10347</v>
      </c>
      <c r="D81" s="114" t="str">
        <f ca="1">IFERROR(__xludf.DUMMYFUNCTION("IFERROR(ARRAYFORMULA(REGEXEXTRACT(C81,""^(?:https?:\/\/)?(?:[^@\n]+@)?(?:www\.)?([^:\/\n]+)"")),"""")"),"condoblackbook.com")</f>
        <v>condoblackbook.com</v>
      </c>
      <c r="E81" s="110" t="str">
        <f ca="1">IFERROR(__xludf.DUMMYFUNCTION("""COMPUTED_VALUE"""),"New")</f>
        <v>New</v>
      </c>
      <c r="F81" s="27">
        <v>48</v>
      </c>
      <c r="G81" s="27">
        <v>33678</v>
      </c>
      <c r="H81" s="27" t="s">
        <v>10348</v>
      </c>
      <c r="I81" s="27" t="s">
        <v>10349</v>
      </c>
      <c r="K81" s="108" t="s">
        <v>3853</v>
      </c>
      <c r="L81" s="27" t="s">
        <v>10173</v>
      </c>
      <c r="M81" s="48">
        <v>46051</v>
      </c>
      <c r="O81" s="27" t="s">
        <v>10174</v>
      </c>
    </row>
    <row r="82" spans="2:15" ht="12.5">
      <c r="B82" s="26" t="s">
        <v>2833</v>
      </c>
      <c r="C82" s="8" t="s">
        <v>10350</v>
      </c>
      <c r="D82" s="25" t="str">
        <f ca="1">IFERROR(__xludf.DUMMYFUNCTION("IFERROR(ARRAYFORMULA(REGEXEXTRACT(C82,""^(?:https?:\/\/)?(?:[^@\n]+@)?(?:www\.)?([^:\/\n]+)"")),"""")"),"audiala.com")</f>
        <v>audiala.com</v>
      </c>
      <c r="E82" s="110" t="str">
        <f ca="1">IFERROR(__xludf.DUMMYFUNCTION("""COMPUTED_VALUE"""),"New")</f>
        <v>New</v>
      </c>
      <c r="F82" s="27">
        <v>35</v>
      </c>
      <c r="G82" s="27">
        <v>5050</v>
      </c>
      <c r="K82" s="113"/>
      <c r="L82" s="27" t="s">
        <v>10173</v>
      </c>
      <c r="M82" s="48">
        <v>46051</v>
      </c>
      <c r="O82" s="27" t="s">
        <v>10174</v>
      </c>
    </row>
    <row r="83" spans="2:15" ht="12.5">
      <c r="B83" s="26" t="s">
        <v>2833</v>
      </c>
      <c r="C83" s="8" t="s">
        <v>10351</v>
      </c>
      <c r="D83" s="25" t="str">
        <f ca="1">IFERROR(__xludf.DUMMYFUNCTION("IFERROR(ARRAYFORMULA(REGEXEXTRACT(C83,""^(?:https?:\/\/)?(?:[^@\n]+@)?(?:www\.)?([^:\/\n]+)"")),"""")"),"physio-network.com")</f>
        <v>physio-network.com</v>
      </c>
      <c r="E83" s="110" t="str">
        <f ca="1">IFERROR(__xludf.DUMMYFUNCTION("""COMPUTED_VALUE"""),"New")</f>
        <v>New</v>
      </c>
      <c r="F83" s="27">
        <v>57</v>
      </c>
      <c r="G83" s="27">
        <v>19178</v>
      </c>
      <c r="K83" s="113"/>
      <c r="L83" s="27" t="s">
        <v>10173</v>
      </c>
      <c r="M83" s="48">
        <v>46051</v>
      </c>
      <c r="O83" s="27" t="s">
        <v>10174</v>
      </c>
    </row>
    <row r="84" spans="2:15" ht="12.5">
      <c r="B84" s="26" t="s">
        <v>2833</v>
      </c>
      <c r="C84" s="8" t="s">
        <v>10352</v>
      </c>
      <c r="D84" s="25" t="str">
        <f ca="1">IFERROR(__xludf.DUMMYFUNCTION("IFERROR(ARRAYFORMULA(REGEXEXTRACT(C84,""^(?:https?:\/\/)?(?:[^@\n]+@)?(?:www\.)?([^:\/\n]+)"")),"""")"),"tomba.io")</f>
        <v>tomba.io</v>
      </c>
      <c r="E84" s="110" t="str">
        <f ca="1">IFERROR(__xludf.DUMMYFUNCTION("""COMPUTED_VALUE"""),"New")</f>
        <v>New</v>
      </c>
      <c r="F84" s="27">
        <v>66</v>
      </c>
      <c r="G84" s="27">
        <v>3206</v>
      </c>
      <c r="K84" s="113"/>
      <c r="L84" s="27" t="s">
        <v>10173</v>
      </c>
      <c r="M84" s="48">
        <v>46051</v>
      </c>
      <c r="O84" s="27" t="s">
        <v>10174</v>
      </c>
    </row>
    <row r="85" spans="2:15" ht="12.5">
      <c r="B85" s="26" t="s">
        <v>2833</v>
      </c>
      <c r="C85" s="8" t="s">
        <v>10353</v>
      </c>
      <c r="D85" s="25" t="str">
        <f ca="1">IFERROR(__xludf.DUMMYFUNCTION("IFERROR(ARRAYFORMULA(REGEXEXTRACT(C85,""^(?:https?:\/\/)?(?:[^@\n]+@)?(?:www\.)?([^:\/\n]+)"")),"""")"),"imnepal.com")</f>
        <v>imnepal.com</v>
      </c>
      <c r="E85" s="110" t="str">
        <f ca="1">IFERROR(__xludf.DUMMYFUNCTION("""COMPUTED_VALUE"""),"New")</f>
        <v>New</v>
      </c>
      <c r="F85" s="27">
        <v>38</v>
      </c>
      <c r="G85" s="27">
        <v>9109</v>
      </c>
      <c r="K85" s="113"/>
      <c r="L85" s="27" t="s">
        <v>10173</v>
      </c>
      <c r="M85" s="48">
        <v>46051</v>
      </c>
      <c r="O85" s="27" t="s">
        <v>10174</v>
      </c>
    </row>
    <row r="86" spans="2:15" ht="12.5">
      <c r="B86" s="26" t="s">
        <v>2833</v>
      </c>
      <c r="C86" s="8" t="s">
        <v>10354</v>
      </c>
      <c r="D86" s="25" t="str">
        <f ca="1">IFERROR(__xludf.DUMMYFUNCTION("IFERROR(ARRAYFORMULA(REGEXEXTRACT(C86,""^(?:https?:\/\/)?(?:[^@\n]+@)?(?:www\.)?([^:\/\n]+)"")),"""")"),"gridinsoft.com")</f>
        <v>gridinsoft.com</v>
      </c>
      <c r="E86" s="110" t="str">
        <f ca="1">IFERROR(__xludf.DUMMYFUNCTION("""COMPUTED_VALUE"""),"New")</f>
        <v>New</v>
      </c>
      <c r="F86" s="27">
        <v>64</v>
      </c>
      <c r="G86" s="27">
        <v>60428</v>
      </c>
      <c r="K86" s="113"/>
      <c r="L86" s="27" t="s">
        <v>10173</v>
      </c>
      <c r="M86" s="48">
        <v>46051</v>
      </c>
      <c r="O86" s="27" t="s">
        <v>10174</v>
      </c>
    </row>
    <row r="87" spans="2:15" ht="12.5">
      <c r="B87" s="26" t="s">
        <v>2833</v>
      </c>
      <c r="C87" s="8" t="s">
        <v>10355</v>
      </c>
      <c r="D87" s="25" t="str">
        <f ca="1">IFERROR(__xludf.DUMMYFUNCTION("IFERROR(ARRAYFORMULA(REGEXEXTRACT(C87,""^(?:https?:\/\/)?(?:[^@\n]+@)?(?:www\.)?([^:\/\n]+)"")),"""")"),"igms.com")</f>
        <v>igms.com</v>
      </c>
      <c r="E87" s="110" t="str">
        <f ca="1">IFERROR(__xludf.DUMMYFUNCTION("""COMPUTED_VALUE"""),"New")</f>
        <v>New</v>
      </c>
      <c r="F87" s="27">
        <v>73</v>
      </c>
      <c r="G87" s="27">
        <v>30738</v>
      </c>
      <c r="H87" s="27" t="s">
        <v>10356</v>
      </c>
      <c r="I87" s="27" t="s">
        <v>10357</v>
      </c>
      <c r="K87" s="108" t="s">
        <v>10341</v>
      </c>
      <c r="L87" s="27" t="s">
        <v>10173</v>
      </c>
      <c r="M87" s="48">
        <v>46051</v>
      </c>
      <c r="O87" s="27" t="s">
        <v>10174</v>
      </c>
    </row>
    <row r="88" spans="2:15" ht="12.5">
      <c r="B88" s="26" t="s">
        <v>2833</v>
      </c>
      <c r="C88" s="8" t="s">
        <v>10358</v>
      </c>
      <c r="D88" s="25" t="str">
        <f ca="1">IFERROR(__xludf.DUMMYFUNCTION("IFERROR(ARRAYFORMULA(REGEXEXTRACT(C88,""^(?:https?:\/\/)?(?:[^@\n]+@)?(?:www\.)?([^:\/\n]+)"")),"""")"),"networkustad.com")</f>
        <v>networkustad.com</v>
      </c>
      <c r="E88" s="110" t="str">
        <f ca="1">IFERROR(__xludf.DUMMYFUNCTION("""COMPUTED_VALUE"""),"Already Exists")</f>
        <v>Already Exists</v>
      </c>
      <c r="F88" s="27">
        <v>46</v>
      </c>
      <c r="G88" s="27">
        <v>8150</v>
      </c>
      <c r="I88" s="27" t="s">
        <v>10359</v>
      </c>
      <c r="K88" s="108" t="s">
        <v>5375</v>
      </c>
      <c r="L88" s="27" t="s">
        <v>10173</v>
      </c>
      <c r="M88" s="48">
        <v>46051</v>
      </c>
      <c r="O88" s="27" t="s">
        <v>10174</v>
      </c>
    </row>
    <row r="89" spans="2:15" ht="12.5">
      <c r="B89" s="26" t="s">
        <v>2833</v>
      </c>
      <c r="C89" s="8" t="s">
        <v>10360</v>
      </c>
      <c r="D89" s="25" t="str">
        <f ca="1">IFERROR(__xludf.DUMMYFUNCTION("IFERROR(ARRAYFORMULA(REGEXEXTRACT(C89,""^(?:https?:\/\/)?(?:[^@\n]+@)?(?:www\.)?([^:\/\n]+)"")),"""")"),"technewstop.org")</f>
        <v>technewstop.org</v>
      </c>
      <c r="E89" s="110" t="str">
        <f ca="1">IFERROR(__xludf.DUMMYFUNCTION("""COMPUTED_VALUE"""),"New")</f>
        <v>New</v>
      </c>
      <c r="F89" s="27">
        <v>30</v>
      </c>
      <c r="G89" s="27">
        <v>17462</v>
      </c>
      <c r="K89" s="113"/>
      <c r="L89" s="27" t="s">
        <v>10173</v>
      </c>
      <c r="M89" s="48">
        <v>46051</v>
      </c>
      <c r="O89" s="27" t="s">
        <v>10174</v>
      </c>
    </row>
    <row r="90" spans="2:15" ht="12.5">
      <c r="B90" s="26" t="s">
        <v>2833</v>
      </c>
      <c r="C90" s="8" t="s">
        <v>10361</v>
      </c>
      <c r="D90" s="25" t="str">
        <f ca="1">IFERROR(__xludf.DUMMYFUNCTION("IFERROR(ARRAYFORMULA(REGEXEXTRACT(C90,""^(?:https?:\/\/)?(?:[^@\n]+@)?(?:www\.)?([^:\/\n]+)"")),"""")"),"thelatinvestor.com")</f>
        <v>thelatinvestor.com</v>
      </c>
      <c r="E90" s="110" t="str">
        <f ca="1">IFERROR(__xludf.DUMMYFUNCTION("""COMPUTED_VALUE"""),"New")</f>
        <v>New</v>
      </c>
      <c r="F90" s="27">
        <v>39</v>
      </c>
      <c r="G90" s="27">
        <v>1537</v>
      </c>
      <c r="I90" s="27" t="s">
        <v>10362</v>
      </c>
      <c r="K90" s="113"/>
      <c r="L90" s="27" t="s">
        <v>10173</v>
      </c>
      <c r="M90" s="48">
        <v>46051</v>
      </c>
      <c r="O90" s="27" t="s">
        <v>10174</v>
      </c>
    </row>
    <row r="91" spans="2:15" ht="12.5">
      <c r="B91" s="11" t="s">
        <v>2835</v>
      </c>
      <c r="C91" s="8" t="s">
        <v>10363</v>
      </c>
      <c r="D91" s="25" t="str">
        <f ca="1">IFERROR(__xludf.DUMMYFUNCTION("IFERROR(ARRAYFORMULA(REGEXEXTRACT(C91,""^(?:https?:\/\/)?(?:[^@\n]+@)?(?:www\.)?([^:\/\n]+)"")),"""")"),"caribbeannationalweekly.com")</f>
        <v>caribbeannationalweekly.com</v>
      </c>
      <c r="E91" s="110" t="str">
        <f ca="1">IFERROR(__xludf.DUMMYFUNCTION("""COMPUTED_VALUE"""),"New")</f>
        <v>New</v>
      </c>
      <c r="F91" s="27">
        <v>66</v>
      </c>
      <c r="G91" s="27">
        <v>5355</v>
      </c>
      <c r="H91" s="27" t="s">
        <v>10188</v>
      </c>
      <c r="I91" s="27" t="s">
        <v>10364</v>
      </c>
      <c r="K91" s="108" t="s">
        <v>3756</v>
      </c>
      <c r="L91" s="27" t="s">
        <v>10173</v>
      </c>
      <c r="M91" s="48">
        <v>46051</v>
      </c>
      <c r="O91" s="27" t="s">
        <v>10174</v>
      </c>
    </row>
    <row r="92" spans="2:15" ht="12.5">
      <c r="B92" s="11" t="s">
        <v>2835</v>
      </c>
      <c r="C92" s="8" t="s">
        <v>10365</v>
      </c>
      <c r="D92" s="25" t="str">
        <f ca="1">IFERROR(__xludf.DUMMYFUNCTION("IFERROR(ARRAYFORMULA(REGEXEXTRACT(C92,""^(?:https?:\/\/)?(?:[^@\n]+@)?(?:www\.)?([^:\/\n]+)"")),"""")"),"tripfrogapp.com")</f>
        <v>tripfrogapp.com</v>
      </c>
      <c r="E92" s="110" t="str">
        <f ca="1">IFERROR(__xludf.DUMMYFUNCTION("""COMPUTED_VALUE"""),"Already Exists")</f>
        <v>Already Exists</v>
      </c>
      <c r="F92" s="27">
        <v>33</v>
      </c>
      <c r="G92" s="27">
        <v>6680</v>
      </c>
      <c r="H92" s="27" t="s">
        <v>8201</v>
      </c>
      <c r="I92" s="27" t="s">
        <v>10366</v>
      </c>
      <c r="K92" s="108" t="s">
        <v>3798</v>
      </c>
      <c r="L92" s="27" t="s">
        <v>10173</v>
      </c>
      <c r="M92" s="48">
        <v>46051</v>
      </c>
      <c r="O92" s="27" t="s">
        <v>10174</v>
      </c>
    </row>
    <row r="93" spans="2:15" ht="12.5">
      <c r="B93" s="11" t="s">
        <v>2835</v>
      </c>
      <c r="C93" s="8" t="s">
        <v>10367</v>
      </c>
      <c r="D93" s="25" t="str">
        <f ca="1">IFERROR(__xludf.DUMMYFUNCTION("IFERROR(ARRAYFORMULA(REGEXEXTRACT(C93,""^(?:https?:\/\/)?(?:[^@\n]+@)?(?:www\.)?([^:\/\n]+)"")),"""")"),"davidsbeenhere.com")</f>
        <v>davidsbeenhere.com</v>
      </c>
      <c r="E93" s="110" t="str">
        <f ca="1">IFERROR(__xludf.DUMMYFUNCTION("""COMPUTED_VALUE"""),"Already Exists")</f>
        <v>Already Exists</v>
      </c>
      <c r="F93" s="27">
        <v>41</v>
      </c>
      <c r="G93" s="27">
        <v>17538</v>
      </c>
      <c r="H93" s="27" t="s">
        <v>4298</v>
      </c>
      <c r="I93" s="27" t="s">
        <v>10368</v>
      </c>
      <c r="K93" s="108" t="s">
        <v>3798</v>
      </c>
      <c r="L93" s="27" t="s">
        <v>10173</v>
      </c>
      <c r="M93" s="48">
        <v>46051</v>
      </c>
      <c r="O93" s="27" t="s">
        <v>10174</v>
      </c>
    </row>
    <row r="94" spans="2:15" ht="12.5">
      <c r="B94" s="11" t="s">
        <v>2835</v>
      </c>
      <c r="C94" s="8" t="s">
        <v>10369</v>
      </c>
      <c r="D94" s="25" t="str">
        <f ca="1">IFERROR(__xludf.DUMMYFUNCTION("IFERROR(ARRAYFORMULA(REGEXEXTRACT(C94,""^(?:https?:\/\/)?(?:[^@\n]+@)?(?:www\.)?([^:\/\n]+)"")),"""")"),"buddythetravelingmonkey.com")</f>
        <v>buddythetravelingmonkey.com</v>
      </c>
      <c r="E94" s="110" t="str">
        <f ca="1">IFERROR(__xludf.DUMMYFUNCTION("""COMPUTED_VALUE"""),"Already Exists")</f>
        <v>Already Exists</v>
      </c>
      <c r="F94" s="27">
        <v>27</v>
      </c>
      <c r="G94" s="27">
        <v>2675</v>
      </c>
      <c r="H94" s="27" t="s">
        <v>10370</v>
      </c>
      <c r="I94" s="27" t="s">
        <v>10371</v>
      </c>
      <c r="K94" s="108" t="s">
        <v>3798</v>
      </c>
      <c r="L94" s="27" t="s">
        <v>10173</v>
      </c>
      <c r="M94" s="48">
        <v>46051</v>
      </c>
      <c r="O94" s="27" t="s">
        <v>10174</v>
      </c>
    </row>
    <row r="95" spans="2:15" ht="12.5">
      <c r="B95" s="11" t="s">
        <v>2835</v>
      </c>
      <c r="C95" s="8" t="s">
        <v>10372</v>
      </c>
      <c r="D95" s="25" t="str">
        <f ca="1">IFERROR(__xludf.DUMMYFUNCTION("IFERROR(ARRAYFORMULA(REGEXEXTRACT(C95,""^(?:https?:\/\/)?(?:[^@\n]+@)?(?:www\.)?([^:\/\n]+)"")),"""")"),"wanderwithwonder.com")</f>
        <v>wanderwithwonder.com</v>
      </c>
      <c r="E95" s="110" t="str">
        <f ca="1">IFERROR(__xludf.DUMMYFUNCTION("""COMPUTED_VALUE"""),"New")</f>
        <v>New</v>
      </c>
      <c r="F95" s="27">
        <v>49</v>
      </c>
      <c r="G95" s="27">
        <v>8031</v>
      </c>
      <c r="H95" s="27" t="s">
        <v>10373</v>
      </c>
      <c r="I95" s="27" t="s">
        <v>10374</v>
      </c>
      <c r="K95" s="108" t="s">
        <v>3798</v>
      </c>
      <c r="L95" s="27" t="s">
        <v>10173</v>
      </c>
      <c r="M95" s="48">
        <v>46051</v>
      </c>
      <c r="O95" s="27" t="s">
        <v>10174</v>
      </c>
    </row>
    <row r="96" spans="2:15" ht="12.5">
      <c r="B96" s="11" t="s">
        <v>2835</v>
      </c>
      <c r="C96" s="8" t="s">
        <v>10375</v>
      </c>
      <c r="D96" s="25" t="str">
        <f ca="1">IFERROR(__xludf.DUMMYFUNCTION("IFERROR(ARRAYFORMULA(REGEXEXTRACT(C96,""^(?:https?:\/\/)?(?:[^@\n]+@)?(?:www\.)?([^:\/\n]+)"")),"""")"),"travellingapples.com")</f>
        <v>travellingapples.com</v>
      </c>
      <c r="E96" s="110" t="str">
        <f ca="1">IFERROR(__xludf.DUMMYFUNCTION("""COMPUTED_VALUE"""),"Already Exists")</f>
        <v>Already Exists</v>
      </c>
      <c r="F96" s="27">
        <v>52</v>
      </c>
      <c r="G96" s="27">
        <v>3333</v>
      </c>
      <c r="H96" s="27" t="s">
        <v>10376</v>
      </c>
      <c r="I96" s="27" t="s">
        <v>10377</v>
      </c>
      <c r="K96" s="108" t="s">
        <v>3798</v>
      </c>
      <c r="L96" s="27" t="s">
        <v>10173</v>
      </c>
      <c r="M96" s="48">
        <v>46051</v>
      </c>
      <c r="O96" s="27" t="s">
        <v>10174</v>
      </c>
    </row>
    <row r="97" spans="2:15" ht="12.5">
      <c r="B97" s="11" t="s">
        <v>2835</v>
      </c>
      <c r="C97" s="8" t="s">
        <v>10378</v>
      </c>
      <c r="D97" s="25" t="str">
        <f ca="1">IFERROR(__xludf.DUMMYFUNCTION("IFERROR(ARRAYFORMULA(REGEXEXTRACT(C97,""^(?:https?:\/\/)?(?:[^@\n]+@)?(?:www\.)?([^:\/\n]+)"")),"""")"),"growingupbilingual.com")</f>
        <v>growingupbilingual.com</v>
      </c>
      <c r="E97" s="110" t="str">
        <f ca="1">IFERROR(__xludf.DUMMYFUNCTION("""COMPUTED_VALUE"""),"New")</f>
        <v>New</v>
      </c>
      <c r="F97" s="27">
        <v>46</v>
      </c>
      <c r="G97" s="27">
        <v>39888</v>
      </c>
      <c r="H97" s="27" t="s">
        <v>10379</v>
      </c>
      <c r="I97" s="27" t="s">
        <v>10380</v>
      </c>
      <c r="K97" s="108" t="s">
        <v>3756</v>
      </c>
      <c r="L97" s="27" t="s">
        <v>10173</v>
      </c>
      <c r="M97" s="48">
        <v>46054</v>
      </c>
      <c r="O97" s="27" t="s">
        <v>10174</v>
      </c>
    </row>
    <row r="98" spans="2:15" ht="12.5">
      <c r="B98" s="11" t="s">
        <v>2835</v>
      </c>
      <c r="C98" s="8" t="s">
        <v>10381</v>
      </c>
      <c r="D98" s="25" t="str">
        <f ca="1">IFERROR(__xludf.DUMMYFUNCTION("IFERROR(ARRAYFORMULA(REGEXEXTRACT(C98,""^(?:https?:\/\/)?(?:[^@\n]+@)?(?:www\.)?([^:\/\n]+)"")),"""")"),"wanderlusters.com")</f>
        <v>wanderlusters.com</v>
      </c>
      <c r="E98" s="110" t="str">
        <f ca="1">IFERROR(__xludf.DUMMYFUNCTION("""COMPUTED_VALUE"""),"Already Exists")</f>
        <v>Already Exists</v>
      </c>
      <c r="F98" s="27">
        <v>36</v>
      </c>
      <c r="G98" s="27">
        <v>2078</v>
      </c>
      <c r="H98" s="27" t="s">
        <v>10382</v>
      </c>
      <c r="I98" s="27" t="s">
        <v>10383</v>
      </c>
      <c r="K98" s="108" t="s">
        <v>3798</v>
      </c>
      <c r="L98" s="27" t="s">
        <v>10173</v>
      </c>
      <c r="M98" s="48">
        <v>46054</v>
      </c>
      <c r="O98" s="27" t="s">
        <v>10174</v>
      </c>
    </row>
    <row r="99" spans="2:15" ht="12.5">
      <c r="B99" s="11" t="s">
        <v>2835</v>
      </c>
      <c r="C99" s="8" t="s">
        <v>10384</v>
      </c>
      <c r="D99" s="25" t="str">
        <f ca="1">IFERROR(__xludf.DUMMYFUNCTION("IFERROR(ARRAYFORMULA(REGEXEXTRACT(C99,""^(?:https?:\/\/)?(?:[^@\n]+@)?(?:www\.)?([^:\/\n]+)"")),"""")"),"vitamagazine.com")</f>
        <v>vitamagazine.com</v>
      </c>
      <c r="E99" s="110" t="str">
        <f ca="1">IFERROR(__xludf.DUMMYFUNCTION("""COMPUTED_VALUE"""),"Already Exists")</f>
        <v>Already Exists</v>
      </c>
      <c r="F99" s="27">
        <v>66</v>
      </c>
      <c r="G99" s="27">
        <v>3358</v>
      </c>
      <c r="H99" s="27" t="s">
        <v>10385</v>
      </c>
      <c r="I99" s="27" t="s">
        <v>10386</v>
      </c>
      <c r="K99" s="108" t="s">
        <v>3756</v>
      </c>
      <c r="L99" s="27" t="s">
        <v>10173</v>
      </c>
      <c r="M99" s="48">
        <v>46054</v>
      </c>
      <c r="O99" s="27" t="s">
        <v>10174</v>
      </c>
    </row>
    <row r="100" spans="2:15" ht="12.5">
      <c r="B100" s="11" t="s">
        <v>2835</v>
      </c>
      <c r="C100" s="8" t="s">
        <v>10387</v>
      </c>
      <c r="D100" s="25" t="str">
        <f ca="1">IFERROR(__xludf.DUMMYFUNCTION("IFERROR(ARRAYFORMULA(REGEXEXTRACT(C100,""^(?:https?:\/\/)?(?:[^@\n]+@)?(?:www\.)?([^:\/\n]+)"")),"""")"),"zestinatote.com")</f>
        <v>zestinatote.com</v>
      </c>
      <c r="E100" s="110" t="str">
        <f ca="1">IFERROR(__xludf.DUMMYFUNCTION("""COMPUTED_VALUE"""),"Already Exists")</f>
        <v>Already Exists</v>
      </c>
      <c r="F100" s="27">
        <v>30</v>
      </c>
      <c r="G100" s="27">
        <v>16805</v>
      </c>
      <c r="H100" s="27" t="s">
        <v>10388</v>
      </c>
      <c r="I100" s="27" t="s">
        <v>10389</v>
      </c>
      <c r="K100" s="108" t="s">
        <v>3798</v>
      </c>
      <c r="L100" s="27" t="s">
        <v>10173</v>
      </c>
      <c r="M100" s="48">
        <v>46054</v>
      </c>
      <c r="O100" s="27" t="s">
        <v>10174</v>
      </c>
    </row>
    <row r="101" spans="2:15" ht="12.5">
      <c r="B101" s="11" t="s">
        <v>2835</v>
      </c>
      <c r="C101" s="8" t="s">
        <v>10390</v>
      </c>
      <c r="D101" s="25" t="str">
        <f ca="1">IFERROR(__xludf.DUMMYFUNCTION("IFERROR(ARRAYFORMULA(REGEXEXTRACT(C101,""^(?:https?:\/\/)?(?:[^@\n]+@)?(?:www\.)?([^:\/\n]+)"")),"""")"),"themanual.com")</f>
        <v>themanual.com</v>
      </c>
      <c r="E101" s="110" t="str">
        <f ca="1">IFERROR(__xludf.DUMMYFUNCTION("""COMPUTED_VALUE"""),"New")</f>
        <v>New</v>
      </c>
      <c r="F101" s="27">
        <v>77</v>
      </c>
      <c r="G101" s="27">
        <v>38438</v>
      </c>
      <c r="H101" s="27" t="s">
        <v>10391</v>
      </c>
      <c r="I101" s="27" t="s">
        <v>10392</v>
      </c>
      <c r="K101" s="108" t="s">
        <v>3756</v>
      </c>
      <c r="L101" s="27" t="s">
        <v>10173</v>
      </c>
      <c r="M101" s="48">
        <v>46054</v>
      </c>
      <c r="O101" s="27" t="s">
        <v>10174</v>
      </c>
    </row>
    <row r="102" spans="2:15" ht="12.5">
      <c r="B102" s="11" t="s">
        <v>2835</v>
      </c>
      <c r="C102" s="8" t="s">
        <v>10393</v>
      </c>
      <c r="D102" s="25" t="str">
        <f ca="1">IFERROR(__xludf.DUMMYFUNCTION("IFERROR(ARRAYFORMULA(REGEXEXTRACT(C102,""^(?:https?:\/\/)?(?:[^@\n]+@)?(?:www\.)?([^:\/\n]+)"")),"""")"),"vagabondjourney.com")</f>
        <v>vagabondjourney.com</v>
      </c>
      <c r="E102" s="110" t="str">
        <f ca="1">IFERROR(__xludf.DUMMYFUNCTION("""COMPUTED_VALUE"""),"New")</f>
        <v>New</v>
      </c>
      <c r="F102" s="27">
        <v>40</v>
      </c>
      <c r="G102" s="27">
        <v>1229</v>
      </c>
      <c r="H102" s="27" t="s">
        <v>4346</v>
      </c>
      <c r="I102" s="27" t="s">
        <v>10394</v>
      </c>
      <c r="K102" s="108" t="s">
        <v>3798</v>
      </c>
      <c r="L102" s="27" t="s">
        <v>10173</v>
      </c>
      <c r="M102" s="48">
        <v>46054</v>
      </c>
      <c r="O102" s="27" t="s">
        <v>10174</v>
      </c>
    </row>
    <row r="103" spans="2:15" ht="12.5">
      <c r="B103" s="11" t="s">
        <v>2835</v>
      </c>
      <c r="C103" s="8" t="s">
        <v>10395</v>
      </c>
      <c r="D103" s="25" t="str">
        <f ca="1">IFERROR(__xludf.DUMMYFUNCTION("IFERROR(ARRAYFORMULA(REGEXEXTRACT(C103,""^(?:https?:\/\/)?(?:[^@\n]+@)?(?:www\.)?([^:\/\n]+)"")),"""")"),"rovology.com")</f>
        <v>rovology.com</v>
      </c>
      <c r="E103" s="110" t="str">
        <f ca="1">IFERROR(__xludf.DUMMYFUNCTION("""COMPUTED_VALUE"""),"Already Exists")</f>
        <v>Already Exists</v>
      </c>
      <c r="F103" s="27">
        <v>35</v>
      </c>
      <c r="G103" s="27">
        <v>1029</v>
      </c>
      <c r="H103" s="27" t="s">
        <v>10396</v>
      </c>
      <c r="I103" s="27" t="s">
        <v>10397</v>
      </c>
      <c r="K103" s="108" t="s">
        <v>3798</v>
      </c>
      <c r="L103" s="27" t="s">
        <v>10173</v>
      </c>
      <c r="M103" s="48">
        <v>46055</v>
      </c>
      <c r="O103" s="27" t="s">
        <v>10174</v>
      </c>
    </row>
    <row r="104" spans="2:15" ht="12.5">
      <c r="B104" s="11" t="s">
        <v>2835</v>
      </c>
      <c r="C104" s="8" t="s">
        <v>10398</v>
      </c>
      <c r="D104" s="25" t="str">
        <f ca="1">IFERROR(__xludf.DUMMYFUNCTION("IFERROR(ARRAYFORMULA(REGEXEXTRACT(C104,""^(?:https?:\/\/)?(?:[^@\n]+@)?(?:www\.)?([^:\/\n]+)"")),"""")"),"michiganmamanews.com")</f>
        <v>michiganmamanews.com</v>
      </c>
      <c r="E104" s="110" t="str">
        <f ca="1">IFERROR(__xludf.DUMMYFUNCTION("""COMPUTED_VALUE"""),"Already Exists")</f>
        <v>Already Exists</v>
      </c>
      <c r="F104" s="27">
        <v>59</v>
      </c>
      <c r="G104" s="27">
        <v>2939</v>
      </c>
      <c r="H104" s="27" t="s">
        <v>10399</v>
      </c>
      <c r="I104" s="27" t="s">
        <v>10400</v>
      </c>
      <c r="K104" s="108" t="s">
        <v>3772</v>
      </c>
      <c r="L104" s="27" t="s">
        <v>10173</v>
      </c>
      <c r="M104" s="48">
        <v>46055</v>
      </c>
      <c r="O104" s="27" t="s">
        <v>10174</v>
      </c>
    </row>
    <row r="105" spans="2:15" ht="12.5">
      <c r="B105" s="11" t="s">
        <v>2835</v>
      </c>
      <c r="C105" s="8" t="s">
        <v>10401</v>
      </c>
      <c r="D105" s="25" t="str">
        <f ca="1">IFERROR(__xludf.DUMMYFUNCTION("IFERROR(ARRAYFORMULA(REGEXEXTRACT(C105,""^(?:https?:\/\/)?(?:[^@\n]+@)?(?:www\.)?([^:\/\n]+)"")),"""")"),"herotraveler.com")</f>
        <v>herotraveler.com</v>
      </c>
      <c r="E105" s="110" t="str">
        <f ca="1">IFERROR(__xludf.DUMMYFUNCTION("""COMPUTED_VALUE"""),"New")</f>
        <v>New</v>
      </c>
      <c r="F105" s="27">
        <v>24</v>
      </c>
      <c r="G105" s="27">
        <v>3576</v>
      </c>
      <c r="I105" s="27" t="s">
        <v>10402</v>
      </c>
      <c r="K105" s="108" t="s">
        <v>3798</v>
      </c>
      <c r="L105" s="27" t="s">
        <v>10173</v>
      </c>
      <c r="M105" s="48">
        <v>46055</v>
      </c>
      <c r="O105" s="27" t="s">
        <v>10174</v>
      </c>
    </row>
    <row r="106" spans="2:15" ht="12.5">
      <c r="B106" s="11" t="s">
        <v>2835</v>
      </c>
      <c r="C106" s="8" t="s">
        <v>10403</v>
      </c>
      <c r="D106" s="25" t="str">
        <f ca="1">IFERROR(__xludf.DUMMYFUNCTION("IFERROR(ARRAYFORMULA(REGEXEXTRACT(C106,""^(?:https?:\/\/)?(?:[^@\n]+@)?(?:www\.)?([^:\/\n]+)"")),"""")"),"thebeautraveler.com")</f>
        <v>thebeautraveler.com</v>
      </c>
      <c r="E106" s="110" t="str">
        <f ca="1">IFERROR(__xludf.DUMMYFUNCTION("""COMPUTED_VALUE"""),"Already Exists")</f>
        <v>Already Exists</v>
      </c>
      <c r="F106" s="27">
        <v>34</v>
      </c>
      <c r="G106" s="27">
        <v>1552</v>
      </c>
      <c r="H106" s="27" t="s">
        <v>10404</v>
      </c>
      <c r="I106" s="27" t="s">
        <v>10405</v>
      </c>
      <c r="K106" s="108" t="s">
        <v>3798</v>
      </c>
      <c r="L106" s="27" t="s">
        <v>10173</v>
      </c>
      <c r="M106" s="48">
        <v>46055</v>
      </c>
      <c r="O106" s="27" t="s">
        <v>10174</v>
      </c>
    </row>
    <row r="107" spans="2:15" ht="12.5">
      <c r="B107" s="11" t="s">
        <v>2835</v>
      </c>
      <c r="C107" s="8" t="s">
        <v>10406</v>
      </c>
      <c r="D107" s="25" t="str">
        <f ca="1">IFERROR(__xludf.DUMMYFUNCTION("IFERROR(ARRAYFORMULA(REGEXEXTRACT(C107,""^(?:https?:\/\/)?(?:[^@\n]+@)?(?:www\.)?([^:\/\n]+)"")),"""")"),"travelingted.com")</f>
        <v>travelingted.com</v>
      </c>
      <c r="E107" s="110" t="str">
        <f ca="1">IFERROR(__xludf.DUMMYFUNCTION("""COMPUTED_VALUE"""),"Already Exists")</f>
        <v>Already Exists</v>
      </c>
      <c r="F107" s="27">
        <v>24</v>
      </c>
      <c r="G107" s="27">
        <v>1036</v>
      </c>
      <c r="H107" s="27" t="s">
        <v>10185</v>
      </c>
      <c r="I107" s="27" t="s">
        <v>10407</v>
      </c>
      <c r="K107" s="108" t="s">
        <v>3798</v>
      </c>
      <c r="L107" s="27" t="s">
        <v>10173</v>
      </c>
      <c r="M107" s="48">
        <v>46055</v>
      </c>
      <c r="O107" s="27" t="s">
        <v>10174</v>
      </c>
    </row>
    <row r="108" spans="2:15" ht="12.5">
      <c r="B108" s="11" t="s">
        <v>2835</v>
      </c>
      <c r="C108" s="8" t="s">
        <v>10408</v>
      </c>
      <c r="D108" s="25" t="str">
        <f ca="1">IFERROR(__xludf.DUMMYFUNCTION("IFERROR(ARRAYFORMULA(REGEXEXTRACT(C108,""^(?:https?:\/\/)?(?:[^@\n]+@)?(?:www\.)?([^:\/\n]+)"")),"""")"),"beerconnoisseur.com")</f>
        <v>beerconnoisseur.com</v>
      </c>
      <c r="E108" s="110" t="str">
        <f ca="1">IFERROR(__xludf.DUMMYFUNCTION("""COMPUTED_VALUE"""),"New")</f>
        <v>New</v>
      </c>
      <c r="F108" s="27">
        <v>61</v>
      </c>
      <c r="G108" s="27">
        <v>16195</v>
      </c>
      <c r="K108" s="113"/>
    </row>
    <row r="109" spans="2:15" ht="12.5">
      <c r="B109" s="11" t="s">
        <v>2835</v>
      </c>
      <c r="C109" s="8" t="s">
        <v>10409</v>
      </c>
      <c r="D109" s="25" t="str">
        <f ca="1">IFERROR(__xludf.DUMMYFUNCTION("IFERROR(ARRAYFORMULA(REGEXEXTRACT(C109,""^(?:https?:\/\/)?(?:[^@\n]+@)?(?:www\.)?([^:\/\n]+)"")),"""")"),"awaylands.com")</f>
        <v>awaylands.com</v>
      </c>
      <c r="E109" s="110" t="str">
        <f ca="1">IFERROR(__xludf.DUMMYFUNCTION("""COMPUTED_VALUE"""),"New")</f>
        <v>New</v>
      </c>
      <c r="F109" s="27">
        <v>31</v>
      </c>
      <c r="G109" s="27">
        <v>52333</v>
      </c>
      <c r="K109" s="113"/>
    </row>
    <row r="110" spans="2:15" ht="12.5">
      <c r="B110" s="11" t="s">
        <v>2835</v>
      </c>
      <c r="C110" s="8" t="s">
        <v>10410</v>
      </c>
      <c r="D110" s="25" t="str">
        <f ca="1">IFERROR(__xludf.DUMMYFUNCTION("IFERROR(ARRAYFORMULA(REGEXEXTRACT(C110,""^(?:https?:\/\/)?(?:[^@\n]+@)?(?:www\.)?([^:\/\n]+)"")),"""")"),"zilliondesigns.com")</f>
        <v>zilliondesigns.com</v>
      </c>
      <c r="E110" s="110" t="str">
        <f ca="1">IFERROR(__xludf.DUMMYFUNCTION("""COMPUTED_VALUE"""),"New")</f>
        <v>New</v>
      </c>
      <c r="F110" s="27">
        <v>71</v>
      </c>
      <c r="G110" s="27">
        <v>7512</v>
      </c>
      <c r="K110" s="113"/>
    </row>
    <row r="111" spans="2:15" ht="12.5">
      <c r="B111" s="11" t="s">
        <v>2835</v>
      </c>
      <c r="C111" s="8" t="s">
        <v>10411</v>
      </c>
      <c r="D111" s="25" t="str">
        <f ca="1">IFERROR(__xludf.DUMMYFUNCTION("IFERROR(ARRAYFORMULA(REGEXEXTRACT(C111,""^(?:https?:\/\/)?(?:[^@\n]+@)?(?:www\.)?([^:\/\n]+)"")),"""")"),"forsomethingmore.com")</f>
        <v>forsomethingmore.com</v>
      </c>
      <c r="E111" s="110" t="str">
        <f ca="1">IFERROR(__xludf.DUMMYFUNCTION("""COMPUTED_VALUE"""),"New")</f>
        <v>New</v>
      </c>
      <c r="F111" s="27">
        <v>32</v>
      </c>
      <c r="G111" s="27">
        <v>1388</v>
      </c>
      <c r="K111" s="113"/>
    </row>
    <row r="112" spans="2:15" ht="12.5">
      <c r="B112" s="11" t="s">
        <v>2835</v>
      </c>
      <c r="C112" s="8" t="s">
        <v>10412</v>
      </c>
      <c r="D112" s="25" t="str">
        <f ca="1">IFERROR(__xludf.DUMMYFUNCTION("IFERROR(ARRAYFORMULA(REGEXEXTRACT(C112,""^(?:https?:\/\/)?(?:[^@\n]+@)?(?:www\.)?([^:\/\n]+)"")),"""")"),"educba.com")</f>
        <v>educba.com</v>
      </c>
      <c r="E112" s="110" t="str">
        <f ca="1">IFERROR(__xludf.DUMMYFUNCTION("""COMPUTED_VALUE"""),"New")</f>
        <v>New</v>
      </c>
      <c r="F112" s="27">
        <v>75</v>
      </c>
      <c r="G112" s="27">
        <v>31874</v>
      </c>
      <c r="K112" s="113"/>
    </row>
    <row r="113" spans="2:15" ht="12.5">
      <c r="B113" s="11" t="s">
        <v>2835</v>
      </c>
      <c r="C113" s="8" t="s">
        <v>10413</v>
      </c>
      <c r="D113" s="25" t="str">
        <f ca="1">IFERROR(__xludf.DUMMYFUNCTION("IFERROR(ARRAYFORMULA(REGEXEXTRACT(C113,""^(?:https?:\/\/)?(?:[^@\n]+@)?(?:www\.)?([^:\/\n]+)"")),"""")"),"beforeitsnews.com")</f>
        <v>beforeitsnews.com</v>
      </c>
      <c r="E113" s="110" t="str">
        <f ca="1">IFERROR(__xludf.DUMMYFUNCTION("""COMPUTED_VALUE"""),"New")</f>
        <v>New</v>
      </c>
      <c r="F113" s="27">
        <v>74</v>
      </c>
      <c r="G113" s="27">
        <v>98369</v>
      </c>
      <c r="H113" s="27" t="s">
        <v>10376</v>
      </c>
      <c r="I113" s="27" t="s">
        <v>10414</v>
      </c>
      <c r="K113" s="108" t="s">
        <v>3772</v>
      </c>
      <c r="L113" s="27" t="s">
        <v>10173</v>
      </c>
      <c r="M113" s="48">
        <v>46055</v>
      </c>
      <c r="O113" s="27" t="s">
        <v>10174</v>
      </c>
    </row>
    <row r="114" spans="2:15" ht="12.5">
      <c r="B114" s="11" t="s">
        <v>2835</v>
      </c>
      <c r="C114" s="8" t="s">
        <v>10415</v>
      </c>
      <c r="D114" s="25" t="str">
        <f ca="1">IFERROR(__xludf.DUMMYFUNCTION("IFERROR(ARRAYFORMULA(REGEXEXTRACT(C114,""^(?:https?:\/\/)?(?:[^@\n]+@)?(?:www\.)?([^:\/\n]+)"")),"""")"),"knycxjourneying.com")</f>
        <v>knycxjourneying.com</v>
      </c>
      <c r="E114" s="110" t="str">
        <f ca="1">IFERROR(__xludf.DUMMYFUNCTION("""COMPUTED_VALUE"""),"Already Exists")</f>
        <v>Already Exists</v>
      </c>
      <c r="F114" s="27">
        <v>42</v>
      </c>
      <c r="G114" s="27">
        <v>2959</v>
      </c>
      <c r="I114" s="27" t="s">
        <v>10416</v>
      </c>
      <c r="K114" s="108" t="s">
        <v>3772</v>
      </c>
      <c r="L114" s="27" t="s">
        <v>10173</v>
      </c>
      <c r="M114" s="48">
        <v>46055</v>
      </c>
      <c r="O114" s="27" t="s">
        <v>10174</v>
      </c>
    </row>
    <row r="115" spans="2:15" ht="12.5">
      <c r="B115" s="11" t="s">
        <v>2835</v>
      </c>
      <c r="C115" s="8" t="s">
        <v>10417</v>
      </c>
      <c r="D115" s="25" t="str">
        <f ca="1">IFERROR(__xludf.DUMMYFUNCTION("IFERROR(ARRAYFORMULA(REGEXEXTRACT(C115,""^(?:https?:\/\/)?(?:[^@\n]+@)?(?:www\.)?([^:\/\n]+)"")),"""")"),"twinsandtravels.com")</f>
        <v>twinsandtravels.com</v>
      </c>
      <c r="E115" s="110" t="str">
        <f ca="1">IFERROR(__xludf.DUMMYFUNCTION("""COMPUTED_VALUE"""),"New")</f>
        <v>New</v>
      </c>
      <c r="F115" s="27">
        <v>25</v>
      </c>
      <c r="G115" s="27">
        <v>8777</v>
      </c>
      <c r="K115" s="113"/>
    </row>
    <row r="116" spans="2:15" ht="12.5">
      <c r="B116" s="11" t="s">
        <v>2835</v>
      </c>
      <c r="C116" s="8" t="s">
        <v>10418</v>
      </c>
      <c r="D116" s="25" t="str">
        <f ca="1">IFERROR(__xludf.DUMMYFUNCTION("IFERROR(ARRAYFORMULA(REGEXEXTRACT(C116,""^(?:https?:\/\/)?(?:[^@\n]+@)?(?:www\.)?([^:\/\n]+)"")),"""")"),"handlblogs.com")</f>
        <v>handlblogs.com</v>
      </c>
      <c r="E116" s="110" t="str">
        <f ca="1">IFERROR(__xludf.DUMMYFUNCTION("""COMPUTED_VALUE"""),"New")</f>
        <v>New</v>
      </c>
      <c r="F116" s="27">
        <v>27</v>
      </c>
      <c r="G116" s="27">
        <v>1001</v>
      </c>
      <c r="K116" s="113"/>
    </row>
    <row r="117" spans="2:15" ht="12.5">
      <c r="B117" s="11" t="s">
        <v>2835</v>
      </c>
      <c r="C117" s="8" t="s">
        <v>10419</v>
      </c>
      <c r="D117" s="26" t="str">
        <f ca="1">IFERROR(__xludf.DUMMYFUNCTION("IFERROR(ARRAYFORMULA(REGEXEXTRACT(C117,""^(?:https?:\/\/)?(?:[^@\n]+@)?(?:www\.)?([^:\/\n]+)"")),"""")"),"lux-life.digital")</f>
        <v>lux-life.digital</v>
      </c>
      <c r="E117" s="110" t="str">
        <f ca="1">IFERROR(__xludf.DUMMYFUNCTION("""COMPUTED_VALUE"""),"New")</f>
        <v>New</v>
      </c>
      <c r="F117" s="27">
        <v>74</v>
      </c>
      <c r="G117" s="27">
        <v>1560</v>
      </c>
      <c r="K117" s="113"/>
    </row>
    <row r="118" spans="2:15" ht="12.5">
      <c r="B118" s="11" t="s">
        <v>2835</v>
      </c>
      <c r="C118" s="8" t="s">
        <v>10420</v>
      </c>
      <c r="D118" s="25" t="str">
        <f ca="1">IFERROR(__xludf.DUMMYFUNCTION("IFERROR(ARRAYFORMULA(REGEXEXTRACT(C118,""^(?:https?:\/\/)?(?:[^@\n]+@)?(?:www\.)?([^:\/\n]+)"")),"""")"),"propertycostarica.co.uk")</f>
        <v>propertycostarica.co.uk</v>
      </c>
      <c r="E118" s="110" t="str">
        <f ca="1">IFERROR(__xludf.DUMMYFUNCTION("""COMPUTED_VALUE"""),"New")</f>
        <v>New</v>
      </c>
      <c r="F118" s="27">
        <v>52</v>
      </c>
      <c r="G118" s="27">
        <v>6917</v>
      </c>
      <c r="I118" s="27" t="s">
        <v>10421</v>
      </c>
      <c r="K118" s="108" t="s">
        <v>3853</v>
      </c>
      <c r="L118" s="27" t="s">
        <v>10173</v>
      </c>
      <c r="M118" s="48">
        <v>46055</v>
      </c>
      <c r="O118" s="27" t="s">
        <v>10174</v>
      </c>
    </row>
    <row r="119" spans="2:15" ht="12.5">
      <c r="B119" s="11" t="s">
        <v>2835</v>
      </c>
      <c r="C119" s="8" t="s">
        <v>3821</v>
      </c>
      <c r="D119" s="25" t="str">
        <f ca="1">IFERROR(__xludf.DUMMYFUNCTION("IFERROR(ARRAYFORMULA(REGEXEXTRACT(C119,""^(?:https?:\/\/)?(?:[^@\n]+@)?(?:www\.)?([^:\/\n]+)"")),"""")"),"aicontentfy.com")</f>
        <v>aicontentfy.com</v>
      </c>
      <c r="E119" s="110" t="str">
        <f ca="1">IFERROR(__xludf.DUMMYFUNCTION("""COMPUTED_VALUE"""),"New")</f>
        <v>New</v>
      </c>
      <c r="F119" s="27">
        <v>74</v>
      </c>
      <c r="G119" s="27">
        <v>1533</v>
      </c>
      <c r="K119" s="113"/>
    </row>
    <row r="120" spans="2:15" ht="12.5">
      <c r="B120" s="11" t="s">
        <v>2835</v>
      </c>
      <c r="C120" s="8" t="s">
        <v>10422</v>
      </c>
      <c r="D120" s="25" t="str">
        <f ca="1">IFERROR(__xludf.DUMMYFUNCTION("IFERROR(ARRAYFORMULA(REGEXEXTRACT(C120,""^(?:https?:\/\/)?(?:[^@\n]+@)?(?:www\.)?([^:\/\n]+)"")),"""")"),"tapesearch.com")</f>
        <v>tapesearch.com</v>
      </c>
      <c r="E120" s="110" t="str">
        <f ca="1">IFERROR(__xludf.DUMMYFUNCTION("""COMPUTED_VALUE"""),"New")</f>
        <v>New</v>
      </c>
      <c r="F120" s="27">
        <v>26</v>
      </c>
      <c r="G120" s="27">
        <v>3859</v>
      </c>
      <c r="K120" s="113"/>
    </row>
    <row r="121" spans="2:15" ht="12.5">
      <c r="B121" s="11" t="s">
        <v>2835</v>
      </c>
      <c r="C121" s="8" t="s">
        <v>10423</v>
      </c>
      <c r="D121" s="25" t="str">
        <f ca="1">IFERROR(__xludf.DUMMYFUNCTION("IFERROR(ARRAYFORMULA(REGEXEXTRACT(C121,""^(?:https?:\/\/)?(?:[^@\n]+@)?(?:www\.)?([^:\/\n]+)"")),"""")"),"idahobusinessreview.com")</f>
        <v>idahobusinessreview.com</v>
      </c>
      <c r="E121" s="110" t="str">
        <f ca="1">IFERROR(__xludf.DUMMYFUNCTION("""COMPUTED_VALUE"""),"New")</f>
        <v>New</v>
      </c>
      <c r="F121" s="27">
        <v>68</v>
      </c>
      <c r="G121" s="27">
        <v>1467</v>
      </c>
      <c r="I121" s="27" t="s">
        <v>10424</v>
      </c>
      <c r="K121" s="108" t="s">
        <v>3772</v>
      </c>
      <c r="L121" s="27" t="s">
        <v>10173</v>
      </c>
      <c r="M121" s="48">
        <v>46055</v>
      </c>
      <c r="O121" s="27" t="s">
        <v>10174</v>
      </c>
    </row>
    <row r="122" spans="2:15" ht="12.5">
      <c r="B122" s="11" t="s">
        <v>2835</v>
      </c>
      <c r="C122" s="8" t="s">
        <v>10425</v>
      </c>
      <c r="D122" s="25" t="str">
        <f ca="1">IFERROR(__xludf.DUMMYFUNCTION("IFERROR(ARRAYFORMULA(REGEXEXTRACT(C122,""^(?:https?:\/\/)?(?:[^@\n]+@)?(?:www\.)?([^:\/\n]+)"")),"""")"),"thearcadiaonline.com")</f>
        <v>thearcadiaonline.com</v>
      </c>
      <c r="E122" s="110" t="str">
        <f ca="1">IFERROR(__xludf.DUMMYFUNCTION("""COMPUTED_VALUE"""),"New")</f>
        <v>New</v>
      </c>
      <c r="F122" s="27">
        <v>52</v>
      </c>
      <c r="G122" s="27">
        <v>3800</v>
      </c>
      <c r="K122" s="113"/>
    </row>
    <row r="123" spans="2:15" ht="12.5">
      <c r="B123" s="11" t="s">
        <v>2835</v>
      </c>
      <c r="C123" s="8" t="s">
        <v>10426</v>
      </c>
      <c r="D123" s="25" t="str">
        <f ca="1">IFERROR(__xludf.DUMMYFUNCTION("IFERROR(ARRAYFORMULA(REGEXEXTRACT(C123,""^(?:https?:\/\/)?(?:[^@\n]+@)?(?:www\.)?([^:\/\n]+)"")),"""")"),"perezhilton.com")</f>
        <v>perezhilton.com</v>
      </c>
      <c r="E123" s="110" t="str">
        <f ca="1">IFERROR(__xludf.DUMMYFUNCTION("""COMPUTED_VALUE"""),"New")</f>
        <v>New</v>
      </c>
      <c r="F123" s="27">
        <v>75</v>
      </c>
      <c r="G123" s="27">
        <v>42373</v>
      </c>
      <c r="K123" s="113"/>
    </row>
    <row r="124" spans="2:15" ht="12.5">
      <c r="B124" s="11" t="s">
        <v>2835</v>
      </c>
      <c r="C124" s="8" t="s">
        <v>10427</v>
      </c>
      <c r="D124" s="25" t="str">
        <f ca="1">IFERROR(__xludf.DUMMYFUNCTION("IFERROR(ARRAYFORMULA(REGEXEXTRACT(C124,""^(?:https?:\/\/)?(?:[^@\n]+@)?(?:www\.)?([^:\/\n]+)"")),"""")"),"dollydowsie.com")</f>
        <v>dollydowsie.com</v>
      </c>
      <c r="E124" s="110" t="str">
        <f ca="1">IFERROR(__xludf.DUMMYFUNCTION("""COMPUTED_VALUE"""),"New")</f>
        <v>New</v>
      </c>
      <c r="F124" s="27">
        <v>25</v>
      </c>
      <c r="G124" s="27">
        <v>1416</v>
      </c>
      <c r="K124" s="113"/>
    </row>
    <row r="125" spans="2:15" ht="12.5">
      <c r="B125" s="11" t="s">
        <v>2835</v>
      </c>
      <c r="C125" s="8" t="s">
        <v>10428</v>
      </c>
      <c r="D125" s="25" t="str">
        <f ca="1">IFERROR(__xludf.DUMMYFUNCTION("IFERROR(ARRAYFORMULA(REGEXEXTRACT(C125,""^(?:https?:\/\/)?(?:[^@\n]+@)?(?:www\.)?([^:\/\n]+)"")),"""")"),"mylifegb.com")</f>
        <v>mylifegb.com</v>
      </c>
      <c r="E125" s="110" t="str">
        <f ca="1">IFERROR(__xludf.DUMMYFUNCTION("""COMPUTED_VALUE"""),"New")</f>
        <v>New</v>
      </c>
      <c r="F125" s="27">
        <v>56</v>
      </c>
      <c r="G125" s="27">
        <v>1536</v>
      </c>
      <c r="K125" s="113"/>
    </row>
    <row r="126" spans="2:15" ht="12.5">
      <c r="B126" s="11" t="s">
        <v>2835</v>
      </c>
      <c r="C126" s="8" t="s">
        <v>10429</v>
      </c>
      <c r="D126" s="25" t="str">
        <f ca="1">IFERROR(__xludf.DUMMYFUNCTION("IFERROR(ARRAYFORMULA(REGEXEXTRACT(C126,""^(?:https?:\/\/)?(?:[^@\n]+@)?(?:www\.)?([^:\/\n]+)"")),"""")"),"citybiz.co")</f>
        <v>citybiz.co</v>
      </c>
      <c r="E126" s="110" t="str">
        <f ca="1">IFERROR(__xludf.DUMMYFUNCTION("""COMPUTED_VALUE"""),"New")</f>
        <v>New</v>
      </c>
      <c r="F126" s="27">
        <v>76</v>
      </c>
      <c r="G126" s="27">
        <v>10806</v>
      </c>
      <c r="H126" s="27" t="s">
        <v>3155</v>
      </c>
      <c r="I126" s="27" t="s">
        <v>10430</v>
      </c>
      <c r="K126" s="108" t="s">
        <v>3772</v>
      </c>
      <c r="L126" s="27" t="s">
        <v>10173</v>
      </c>
      <c r="M126" s="48">
        <v>46055</v>
      </c>
      <c r="O126" s="27" t="s">
        <v>10174</v>
      </c>
    </row>
    <row r="127" spans="2:15" ht="12.5">
      <c r="B127" s="11" t="s">
        <v>2835</v>
      </c>
      <c r="C127" s="8" t="s">
        <v>10431</v>
      </c>
      <c r="D127" s="25" t="str">
        <f ca="1">IFERROR(__xludf.DUMMYFUNCTION("IFERROR(ARRAYFORMULA(REGEXEXTRACT(C127,""^(?:https?:\/\/)?(?:[^@\n]+@)?(?:www\.)?([^:\/\n]+)"")),"""")"),"ellecanada.com")</f>
        <v>ellecanada.com</v>
      </c>
      <c r="E127" s="110" t="str">
        <f ca="1">IFERROR(__xludf.DUMMYFUNCTION("""COMPUTED_VALUE"""),"New")</f>
        <v>New</v>
      </c>
      <c r="F127" s="27">
        <v>75</v>
      </c>
      <c r="G127" s="27">
        <v>51739</v>
      </c>
      <c r="H127" s="27" t="s">
        <v>10432</v>
      </c>
      <c r="I127" s="27" t="s">
        <v>10433</v>
      </c>
      <c r="K127" s="108" t="s">
        <v>3756</v>
      </c>
      <c r="L127" s="27" t="s">
        <v>10173</v>
      </c>
      <c r="M127" s="48">
        <v>46055</v>
      </c>
      <c r="O127" s="27" t="s">
        <v>10174</v>
      </c>
    </row>
    <row r="128" spans="2:15" ht="12.5">
      <c r="B128" s="11" t="s">
        <v>2835</v>
      </c>
      <c r="C128" s="8" t="s">
        <v>10434</v>
      </c>
      <c r="D128" s="25" t="str">
        <f ca="1">IFERROR(__xludf.DUMMYFUNCTION("IFERROR(ARRAYFORMULA(REGEXEXTRACT(C128,""^(?:https?:\/\/)?(?:[^@\n]+@)?(?:www\.)?([^:\/\n]+)"")),"""")"),"exploringthenorth.com")</f>
        <v>exploringthenorth.com</v>
      </c>
      <c r="E128" s="110" t="str">
        <f ca="1">IFERROR(__xludf.DUMMYFUNCTION("""COMPUTED_VALUE"""),"New")</f>
        <v>New</v>
      </c>
      <c r="F128" s="27">
        <v>50</v>
      </c>
      <c r="G128" s="27">
        <v>1736</v>
      </c>
    </row>
    <row r="129" spans="2:15" ht="12.5">
      <c r="B129" s="8" t="s">
        <v>1722</v>
      </c>
      <c r="C129" s="8" t="s">
        <v>10435</v>
      </c>
      <c r="D129" s="25" t="str">
        <f ca="1">IFERROR(__xludf.DUMMYFUNCTION("IFERROR(ARRAYFORMULA(REGEXEXTRACT(C129,""^(?:https?:\/\/)?(?:[^@\n]+@)?(?:www\.)?([^:\/\n]+)"")),"""")"),"realpropertymanagementcolorado.com")</f>
        <v>realpropertymanagementcolorado.com</v>
      </c>
      <c r="E129" s="110" t="str">
        <f ca="1">IFERROR(__xludf.DUMMYFUNCTION("""COMPUTED_VALUE"""),"New")</f>
        <v>New</v>
      </c>
      <c r="F129" s="26">
        <v>27</v>
      </c>
      <c r="G129" s="26">
        <v>2508</v>
      </c>
      <c r="H129" s="27" t="s">
        <v>10436</v>
      </c>
      <c r="I129" s="27" t="s">
        <v>10437</v>
      </c>
      <c r="K129" s="108" t="s">
        <v>3853</v>
      </c>
      <c r="L129" s="27" t="s">
        <v>10149</v>
      </c>
      <c r="M129" s="109">
        <v>46051</v>
      </c>
      <c r="O129" s="27" t="s">
        <v>10150</v>
      </c>
    </row>
    <row r="130" spans="2:15" ht="12.5">
      <c r="B130" s="8" t="s">
        <v>1722</v>
      </c>
      <c r="C130" s="8" t="s">
        <v>10438</v>
      </c>
      <c r="D130" s="25" t="str">
        <f ca="1">IFERROR(__xludf.DUMMYFUNCTION("IFERROR(ARRAYFORMULA(REGEXEXTRACT(C130,""^(?:https?:\/\/)?(?:[^@\n]+@)?(?:www\.)?([^:\/\n]+)"")),"""")"),"sloveniaestates.com")</f>
        <v>sloveniaestates.com</v>
      </c>
      <c r="E130" s="110" t="str">
        <f ca="1">IFERROR(__xludf.DUMMYFUNCTION("""COMPUTED_VALUE"""),"New")</f>
        <v>New</v>
      </c>
      <c r="F130" s="26">
        <v>31</v>
      </c>
      <c r="G130" s="26">
        <v>1056</v>
      </c>
      <c r="H130" s="27" t="s">
        <v>10439</v>
      </c>
      <c r="I130" s="27" t="s">
        <v>10440</v>
      </c>
      <c r="K130" s="108" t="s">
        <v>3853</v>
      </c>
      <c r="L130" s="27" t="s">
        <v>10149</v>
      </c>
      <c r="M130" s="109">
        <v>46051</v>
      </c>
      <c r="O130" s="27" t="s">
        <v>10150</v>
      </c>
    </row>
    <row r="131" spans="2:15" ht="12.5">
      <c r="B131" s="8" t="s">
        <v>1722</v>
      </c>
      <c r="C131" s="8" t="s">
        <v>10441</v>
      </c>
      <c r="D131" s="25" t="str">
        <f ca="1">IFERROR(__xludf.DUMMYFUNCTION("IFERROR(ARRAYFORMULA(REGEXEXTRACT(C131,""^(?:https?:\/\/)?(?:[^@\n]+@)?(?:www\.)?([^:\/\n]+)"")),"""")"),"greatpointproperties.com")</f>
        <v>greatpointproperties.com</v>
      </c>
      <c r="E131" s="110" t="str">
        <f ca="1">IFERROR(__xludf.DUMMYFUNCTION("""COMPUTED_VALUE"""),"New")</f>
        <v>New</v>
      </c>
      <c r="F131" s="26">
        <v>32</v>
      </c>
      <c r="G131" s="26">
        <v>6902</v>
      </c>
      <c r="H131" s="27" t="s">
        <v>10442</v>
      </c>
      <c r="I131" s="27" t="s">
        <v>10443</v>
      </c>
      <c r="K131" s="108" t="s">
        <v>3853</v>
      </c>
      <c r="L131" s="27" t="s">
        <v>10149</v>
      </c>
      <c r="M131" s="109">
        <v>46051</v>
      </c>
      <c r="O131" s="27" t="s">
        <v>10150</v>
      </c>
    </row>
    <row r="132" spans="2:15" ht="12.5">
      <c r="B132" s="8" t="s">
        <v>1722</v>
      </c>
      <c r="C132" s="8" t="s">
        <v>10444</v>
      </c>
      <c r="D132" s="25" t="str">
        <f ca="1">IFERROR(__xludf.DUMMYFUNCTION("IFERROR(ARRAYFORMULA(REGEXEXTRACT(C132,""^(?:https?:\/\/)?(?:[^@\n]+@)?(?:www\.)?([^:\/\n]+)"")),"""")"),"discoverupstateny.com")</f>
        <v>discoverupstateny.com</v>
      </c>
      <c r="E132" s="110" t="str">
        <f ca="1">IFERROR(__xludf.DUMMYFUNCTION("""COMPUTED_VALUE"""),"New")</f>
        <v>New</v>
      </c>
      <c r="F132" s="26">
        <v>36</v>
      </c>
      <c r="G132" s="26">
        <v>7989</v>
      </c>
      <c r="I132" s="27" t="s">
        <v>10445</v>
      </c>
      <c r="K132" s="108" t="s">
        <v>3798</v>
      </c>
      <c r="L132" s="27" t="s">
        <v>10149</v>
      </c>
      <c r="M132" s="109">
        <v>46051</v>
      </c>
      <c r="O132" s="27" t="s">
        <v>10150</v>
      </c>
    </row>
    <row r="133" spans="2:15" ht="12.5">
      <c r="B133" s="8" t="s">
        <v>1722</v>
      </c>
      <c r="C133" s="8" t="s">
        <v>10446</v>
      </c>
      <c r="D133" s="25" t="str">
        <f ca="1">IFERROR(__xludf.DUMMYFUNCTION("IFERROR(ARRAYFORMULA(REGEXEXTRACT(C133,""^(?:https?:\/\/)?(?:[^@\n]+@)?(?:www\.)?([^:\/\n]+)"")),"""")"),"977wmoi.com")</f>
        <v>977wmoi.com</v>
      </c>
      <c r="E133" s="110" t="str">
        <f ca="1">IFERROR(__xludf.DUMMYFUNCTION("""COMPUTED_VALUE"""),"New")</f>
        <v>New</v>
      </c>
      <c r="F133" s="26">
        <v>34</v>
      </c>
      <c r="G133" s="26">
        <v>2125</v>
      </c>
      <c r="I133" s="27" t="s">
        <v>10447</v>
      </c>
      <c r="K133" s="108" t="s">
        <v>3772</v>
      </c>
      <c r="L133" s="27" t="s">
        <v>10149</v>
      </c>
      <c r="M133" s="109">
        <v>46051</v>
      </c>
      <c r="O133" s="27" t="s">
        <v>10150</v>
      </c>
    </row>
    <row r="134" spans="2:15" ht="12.5">
      <c r="B134" s="8" t="s">
        <v>1722</v>
      </c>
      <c r="C134" s="8" t="s">
        <v>10448</v>
      </c>
      <c r="D134" s="25" t="str">
        <f ca="1">IFERROR(__xludf.DUMMYFUNCTION("IFERROR(ARRAYFORMULA(REGEXEXTRACT(C134,""^(?:https?:\/\/)?(?:[^@\n]+@)?(?:www\.)?([^:\/\n]+)"")),"""")"),"regionriverina.com.au")</f>
        <v>regionriverina.com.au</v>
      </c>
      <c r="E134" s="110" t="str">
        <f ca="1">IFERROR(__xludf.DUMMYFUNCTION("""COMPUTED_VALUE"""),"New")</f>
        <v>New</v>
      </c>
      <c r="F134" s="26">
        <v>41</v>
      </c>
      <c r="G134" s="26">
        <v>2964</v>
      </c>
      <c r="H134" s="27" t="s">
        <v>10449</v>
      </c>
      <c r="I134" s="27" t="s">
        <v>10450</v>
      </c>
      <c r="K134" s="108" t="s">
        <v>3772</v>
      </c>
      <c r="L134" s="27" t="s">
        <v>10149</v>
      </c>
      <c r="M134" s="109">
        <v>46054</v>
      </c>
      <c r="O134" s="27" t="s">
        <v>10150</v>
      </c>
    </row>
    <row r="135" spans="2:15" ht="12.5">
      <c r="B135" s="8" t="s">
        <v>1722</v>
      </c>
      <c r="C135" s="8" t="s">
        <v>10451</v>
      </c>
      <c r="D135" s="25" t="str">
        <f ca="1">IFERROR(__xludf.DUMMYFUNCTION("IFERROR(ARRAYFORMULA(REGEXEXTRACT(C135,""^(?:https?:\/\/)?(?:[^@\n]+@)?(?:www\.)?([^:\/\n]+)"")),"""")"),"moversville.com")</f>
        <v>moversville.com</v>
      </c>
      <c r="E135" s="110" t="str">
        <f ca="1">IFERROR(__xludf.DUMMYFUNCTION("""COMPUTED_VALUE"""),"New")</f>
        <v>New</v>
      </c>
      <c r="F135" s="26">
        <v>37</v>
      </c>
      <c r="G135" s="26">
        <v>2528</v>
      </c>
      <c r="I135" s="27" t="s">
        <v>10452</v>
      </c>
      <c r="K135" s="108" t="s">
        <v>5375</v>
      </c>
      <c r="L135" s="27" t="s">
        <v>10149</v>
      </c>
      <c r="M135" s="109">
        <v>46054</v>
      </c>
      <c r="O135" s="27" t="s">
        <v>10150</v>
      </c>
    </row>
    <row r="136" spans="2:15" ht="12.5">
      <c r="B136" s="8" t="s">
        <v>1722</v>
      </c>
      <c r="C136" s="8" t="s">
        <v>10453</v>
      </c>
      <c r="D136" s="25" t="str">
        <f ca="1">IFERROR(__xludf.DUMMYFUNCTION("IFERROR(ARRAYFORMULA(REGEXEXTRACT(C136,""^(?:https?:\/\/)?(?:[^@\n]+@)?(?:www\.)?([^:\/\n]+)"")),"""")"),"smartcitylocating.com")</f>
        <v>smartcitylocating.com</v>
      </c>
      <c r="E136" s="110" t="str">
        <f ca="1">IFERROR(__xludf.DUMMYFUNCTION("""COMPUTED_VALUE"""),"New")</f>
        <v>New</v>
      </c>
      <c r="F136" s="26">
        <v>32</v>
      </c>
      <c r="G136" s="26">
        <v>7922</v>
      </c>
      <c r="I136" s="27" t="s">
        <v>10454</v>
      </c>
      <c r="K136" s="108" t="s">
        <v>4092</v>
      </c>
      <c r="L136" s="27" t="s">
        <v>10149</v>
      </c>
      <c r="M136" s="109">
        <v>46054</v>
      </c>
      <c r="O136" s="27" t="s">
        <v>10150</v>
      </c>
    </row>
    <row r="137" spans="2:15" ht="12.5">
      <c r="B137" s="8" t="s">
        <v>1722</v>
      </c>
      <c r="C137" s="8" t="s">
        <v>10455</v>
      </c>
      <c r="D137" s="25" t="str">
        <f ca="1">IFERROR(__xludf.DUMMYFUNCTION("IFERROR(ARRAYFORMULA(REGEXEXTRACT(C137,""^(?:https?:\/\/)?(?:[^@\n]+@)?(?:www\.)?([^:\/\n]+)"")),"""")"),"holidaybuilders.com")</f>
        <v>holidaybuilders.com</v>
      </c>
      <c r="E137" s="110" t="str">
        <f ca="1">IFERROR(__xludf.DUMMYFUNCTION("""COMPUTED_VALUE"""),"New")</f>
        <v>New</v>
      </c>
      <c r="F137" s="26">
        <v>38</v>
      </c>
      <c r="G137" s="26">
        <v>3700</v>
      </c>
      <c r="H137" s="27" t="s">
        <v>10456</v>
      </c>
      <c r="K137" s="108" t="s">
        <v>3839</v>
      </c>
      <c r="L137" s="27" t="s">
        <v>10149</v>
      </c>
      <c r="M137" s="109">
        <v>46054</v>
      </c>
      <c r="O137" s="27" t="s">
        <v>10150</v>
      </c>
    </row>
    <row r="138" spans="2:15" ht="12.5">
      <c r="B138" s="8" t="s">
        <v>1722</v>
      </c>
      <c r="C138" s="8" t="s">
        <v>10457</v>
      </c>
      <c r="D138" s="25" t="str">
        <f ca="1">IFERROR(__xludf.DUMMYFUNCTION("IFERROR(ARRAYFORMULA(REGEXEXTRACT(C138,""^(?:https?:\/\/)?(?:[^@\n]+@)?(?:www\.)?([^:\/\n]+)"")),"""")"),"hansenbros.com")</f>
        <v>hansenbros.com</v>
      </c>
      <c r="E138" s="110" t="str">
        <f ca="1">IFERROR(__xludf.DUMMYFUNCTION("""COMPUTED_VALUE"""),"New")</f>
        <v>New</v>
      </c>
      <c r="F138" s="26">
        <v>39</v>
      </c>
      <c r="G138" s="26">
        <v>1973</v>
      </c>
      <c r="H138" s="27" t="s">
        <v>10458</v>
      </c>
      <c r="I138" s="27" t="s">
        <v>10459</v>
      </c>
      <c r="K138" s="108" t="s">
        <v>4092</v>
      </c>
      <c r="L138" s="27" t="s">
        <v>10149</v>
      </c>
      <c r="M138" s="109">
        <v>46054</v>
      </c>
      <c r="O138" s="27" t="s">
        <v>10150</v>
      </c>
    </row>
    <row r="139" spans="2:15" ht="12.5">
      <c r="B139" s="8" t="s">
        <v>1722</v>
      </c>
      <c r="C139" s="8" t="s">
        <v>10460</v>
      </c>
      <c r="D139" s="25" t="str">
        <f ca="1">IFERROR(__xludf.DUMMYFUNCTION("IFERROR(ARRAYFORMULA(REGEXEXTRACT(C139,""^(?:https?:\/\/)?(?:[^@\n]+@)?(?:www\.)?([^:\/\n]+)"")),"""")"),"firstbankrichmond.com")</f>
        <v>firstbankrichmond.com</v>
      </c>
      <c r="E139" s="110" t="str">
        <f ca="1">IFERROR(__xludf.DUMMYFUNCTION("""COMPUTED_VALUE"""),"New")</f>
        <v>New</v>
      </c>
      <c r="F139" s="26">
        <v>38</v>
      </c>
      <c r="G139" s="26">
        <v>2379</v>
      </c>
      <c r="H139" s="27" t="s">
        <v>10199</v>
      </c>
      <c r="I139" s="27" t="s">
        <v>10461</v>
      </c>
      <c r="K139" s="108" t="s">
        <v>3829</v>
      </c>
      <c r="L139" s="27" t="s">
        <v>10149</v>
      </c>
      <c r="M139" s="109">
        <v>46054</v>
      </c>
      <c r="O139" s="27" t="s">
        <v>10150</v>
      </c>
    </row>
    <row r="140" spans="2:15" ht="12.5">
      <c r="B140" s="8" t="s">
        <v>1722</v>
      </c>
      <c r="C140" s="8" t="s">
        <v>10462</v>
      </c>
      <c r="D140" s="25" t="str">
        <f ca="1">IFERROR(__xludf.DUMMYFUNCTION("IFERROR(ARRAYFORMULA(REGEXEXTRACT(C140,""^(?:https?:\/\/)?(?:[^@\n]+@)?(?:www\.)?([^:\/\n]+)"")),"""")"),"altovita.com")</f>
        <v>altovita.com</v>
      </c>
      <c r="E140" s="110" t="str">
        <f ca="1">IFERROR(__xludf.DUMMYFUNCTION("""COMPUTED_VALUE"""),"New")</f>
        <v>New</v>
      </c>
      <c r="F140" s="26">
        <v>44</v>
      </c>
      <c r="G140" s="26">
        <v>2561</v>
      </c>
      <c r="H140" s="27" t="s">
        <v>10463</v>
      </c>
      <c r="I140" s="27" t="s">
        <v>10464</v>
      </c>
      <c r="K140" s="108" t="s">
        <v>3791</v>
      </c>
      <c r="L140" s="27" t="s">
        <v>10149</v>
      </c>
      <c r="M140" s="109">
        <v>46054</v>
      </c>
      <c r="O140" s="27" t="s">
        <v>10150</v>
      </c>
    </row>
    <row r="141" spans="2:15" ht="12.5">
      <c r="B141" s="8" t="s">
        <v>1722</v>
      </c>
      <c r="C141" s="8" t="s">
        <v>10465</v>
      </c>
      <c r="D141" s="25" t="str">
        <f ca="1">IFERROR(__xludf.DUMMYFUNCTION("IFERROR(ARRAYFORMULA(REGEXEXTRACT(C141,""^(?:https?:\/\/)?(?:[^@\n]+@)?(?:www\.)?([^:\/\n]+)"")),"""")"),"ark7.com")</f>
        <v>ark7.com</v>
      </c>
      <c r="E141" s="110" t="str">
        <f ca="1">IFERROR(__xludf.DUMMYFUNCTION("""COMPUTED_VALUE"""),"New")</f>
        <v>New</v>
      </c>
      <c r="F141" s="27">
        <v>43</v>
      </c>
      <c r="G141" s="27">
        <v>3243</v>
      </c>
      <c r="H141" s="27" t="s">
        <v>10466</v>
      </c>
      <c r="I141" s="27" t="s">
        <v>10467</v>
      </c>
      <c r="K141" s="108" t="s">
        <v>3853</v>
      </c>
      <c r="L141" s="27" t="s">
        <v>10149</v>
      </c>
      <c r="M141" s="109">
        <v>46056</v>
      </c>
      <c r="O141" s="27" t="s">
        <v>10150</v>
      </c>
    </row>
    <row r="142" spans="2:15" ht="12.5">
      <c r="B142" s="8" t="s">
        <v>1722</v>
      </c>
      <c r="C142" s="8" t="s">
        <v>10468</v>
      </c>
      <c r="D142" s="25" t="str">
        <f ca="1">IFERROR(__xludf.DUMMYFUNCTION("IFERROR(ARRAYFORMULA(REGEXEXTRACT(C142,""^(?:https?:\/\/)?(?:[^@\n]+@)?(?:www\.)?([^:\/\n]+)"")),"""")"),"mortgagequote.com")</f>
        <v>mortgagequote.com</v>
      </c>
      <c r="E142" s="110" t="str">
        <f ca="1">IFERROR(__xludf.DUMMYFUNCTION("""COMPUTED_VALUE"""),"New")</f>
        <v>New</v>
      </c>
      <c r="F142" s="27">
        <v>39</v>
      </c>
      <c r="G142" s="27">
        <v>17765</v>
      </c>
      <c r="H142" s="27" t="s">
        <v>3862</v>
      </c>
      <c r="I142" s="27" t="s">
        <v>10469</v>
      </c>
      <c r="K142" s="108" t="s">
        <v>3853</v>
      </c>
      <c r="L142" s="27" t="s">
        <v>10149</v>
      </c>
      <c r="M142" s="109">
        <v>46056</v>
      </c>
      <c r="O142" s="27" t="s">
        <v>10150</v>
      </c>
    </row>
    <row r="143" spans="2:15" ht="12.5">
      <c r="B143" s="8" t="s">
        <v>1722</v>
      </c>
      <c r="C143" s="8" t="s">
        <v>10470</v>
      </c>
      <c r="D143" s="25" t="str">
        <f ca="1">IFERROR(__xludf.DUMMYFUNCTION("IFERROR(ARRAYFORMULA(REGEXEXTRACT(C143,""^(?:https?:\/\/)?(?:[^@\n]+@)?(?:www\.)?([^:\/\n]+)"")),"""")"),"whichrealestateagent.com.au")</f>
        <v>whichrealestateagent.com.au</v>
      </c>
      <c r="E143" s="110" t="str">
        <f ca="1">IFERROR(__xludf.DUMMYFUNCTION("""COMPUTED_VALUE"""),"New")</f>
        <v>New</v>
      </c>
      <c r="F143" s="27">
        <v>38</v>
      </c>
      <c r="G143" s="27">
        <v>7320</v>
      </c>
      <c r="H143" s="27" t="s">
        <v>10471</v>
      </c>
      <c r="I143" s="27" t="s">
        <v>10472</v>
      </c>
      <c r="K143" s="108" t="s">
        <v>3853</v>
      </c>
      <c r="L143" s="27" t="s">
        <v>10149</v>
      </c>
      <c r="M143" s="109">
        <v>46056</v>
      </c>
      <c r="O143" s="27" t="s">
        <v>10150</v>
      </c>
    </row>
    <row r="144" spans="2:15" ht="12.5">
      <c r="B144" s="8" t="s">
        <v>1722</v>
      </c>
      <c r="C144" s="8" t="s">
        <v>10473</v>
      </c>
      <c r="D144" s="25" t="str">
        <f ca="1">IFERROR(__xludf.DUMMYFUNCTION("IFERROR(ARRAYFORMULA(REGEXEXTRACT(C144,""^(?:https?:\/\/)?(?:[^@\n]+@)?(?:www\.)?([^:\/\n]+)"")),"""")"),"texasrealestatesource.com")</f>
        <v>texasrealestatesource.com</v>
      </c>
      <c r="E144" s="110" t="str">
        <f ca="1">IFERROR(__xludf.DUMMYFUNCTION("""COMPUTED_VALUE"""),"New")</f>
        <v>New</v>
      </c>
      <c r="F144" s="27">
        <v>46</v>
      </c>
      <c r="G144" s="27">
        <v>67768</v>
      </c>
      <c r="H144" s="27" t="s">
        <v>10474</v>
      </c>
      <c r="I144" s="27" t="s">
        <v>10475</v>
      </c>
      <c r="K144" s="108" t="s">
        <v>3853</v>
      </c>
      <c r="L144" s="27" t="s">
        <v>10149</v>
      </c>
      <c r="M144" s="109">
        <v>46056</v>
      </c>
      <c r="O144" s="27" t="s">
        <v>10150</v>
      </c>
    </row>
    <row r="145" spans="2:15" ht="12.5">
      <c r="B145" s="8" t="s">
        <v>1722</v>
      </c>
      <c r="C145" s="8" t="s">
        <v>10476</v>
      </c>
      <c r="D145" s="25" t="str">
        <f ca="1">IFERROR(__xludf.DUMMYFUNCTION("IFERROR(ARRAYFORMULA(REGEXEXTRACT(C145,""^(?:https?:\/\/)?(?:[^@\n]+@)?(?:www\.)?([^:\/\n]+)"")),"""")"),"gmsmobility.com")</f>
        <v>gmsmobility.com</v>
      </c>
      <c r="E145" s="110" t="str">
        <f ca="1">IFERROR(__xludf.DUMMYFUNCTION("""COMPUTED_VALUE"""),"New")</f>
        <v>New</v>
      </c>
      <c r="F145" s="27">
        <v>43</v>
      </c>
      <c r="G145" s="27">
        <v>5882</v>
      </c>
      <c r="H145" s="27" t="s">
        <v>9207</v>
      </c>
      <c r="I145" s="27" t="s">
        <v>10477</v>
      </c>
      <c r="K145" s="108" t="s">
        <v>3791</v>
      </c>
      <c r="L145" s="27" t="s">
        <v>10149</v>
      </c>
      <c r="M145" s="109">
        <v>46056</v>
      </c>
      <c r="O145" s="27" t="s">
        <v>10150</v>
      </c>
    </row>
    <row r="146" spans="2:15" ht="12.5">
      <c r="B146" s="8" t="s">
        <v>1722</v>
      </c>
      <c r="C146" s="8" t="s">
        <v>10478</v>
      </c>
      <c r="D146" s="25" t="str">
        <f ca="1">IFERROR(__xludf.DUMMYFUNCTION("IFERROR(ARRAYFORMULA(REGEXEXTRACT(C146,""^(?:https?:\/\/)?(?:[^@\n]+@)?(?:www\.)?([^:\/\n]+)"")),"""")"),"prettyopinionated.com")</f>
        <v>prettyopinionated.com</v>
      </c>
      <c r="E146" s="110" t="str">
        <f ca="1">IFERROR(__xludf.DUMMYFUNCTION("""COMPUTED_VALUE"""),"New")</f>
        <v>New</v>
      </c>
      <c r="F146" s="27">
        <v>44</v>
      </c>
      <c r="G146" s="27">
        <v>4524</v>
      </c>
      <c r="H146" s="27" t="s">
        <v>10479</v>
      </c>
      <c r="I146" s="27" t="s">
        <v>10480</v>
      </c>
      <c r="K146" s="108" t="s">
        <v>3756</v>
      </c>
      <c r="L146" s="27" t="s">
        <v>10149</v>
      </c>
      <c r="M146" s="109">
        <v>46056</v>
      </c>
      <c r="O146" s="27" t="s">
        <v>10150</v>
      </c>
    </row>
    <row r="147" spans="2:15" ht="12.5">
      <c r="B147" s="8" t="s">
        <v>1722</v>
      </c>
      <c r="C147" s="8" t="s">
        <v>10481</v>
      </c>
      <c r="D147" s="25" t="str">
        <f ca="1">IFERROR(__xludf.DUMMYFUNCTION("IFERROR(ARRAYFORMULA(REGEXEXTRACT(C147,""^(?:https?:\/\/)?(?:[^@\n]+@)?(?:www\.)?([^:\/\n]+)"")),"""")"),"alliedvanlines.ca")</f>
        <v>alliedvanlines.ca</v>
      </c>
      <c r="E147" s="110" t="str">
        <f ca="1">IFERROR(__xludf.DUMMYFUNCTION("""COMPUTED_VALUE"""),"New")</f>
        <v>New</v>
      </c>
      <c r="F147" s="27">
        <v>39</v>
      </c>
      <c r="G147" s="27">
        <v>12985</v>
      </c>
      <c r="I147" s="27" t="s">
        <v>10482</v>
      </c>
      <c r="K147" s="108" t="s">
        <v>4092</v>
      </c>
      <c r="L147" s="27" t="s">
        <v>10149</v>
      </c>
      <c r="M147" s="109">
        <v>46056</v>
      </c>
      <c r="O147" s="27" t="s">
        <v>10150</v>
      </c>
    </row>
    <row r="148" spans="2:15" ht="12.5">
      <c r="B148" s="8" t="s">
        <v>1722</v>
      </c>
      <c r="C148" s="8" t="s">
        <v>10483</v>
      </c>
      <c r="D148" s="25" t="str">
        <f ca="1">IFERROR(__xludf.DUMMYFUNCTION("IFERROR(ARRAYFORMULA(REGEXEXTRACT(C148,""^(?:https?:\/\/)?(?:[^@\n]+@)?(?:www\.)?([^:\/\n]+)"")),"""")"),"richardharrislaw.com")</f>
        <v>richardharrislaw.com</v>
      </c>
      <c r="E148" s="110" t="str">
        <f ca="1">IFERROR(__xludf.DUMMYFUNCTION("""COMPUTED_VALUE"""),"New")</f>
        <v>New</v>
      </c>
      <c r="F148" s="27">
        <v>44</v>
      </c>
      <c r="G148" s="27">
        <v>3380</v>
      </c>
      <c r="H148" s="27" t="s">
        <v>10484</v>
      </c>
      <c r="I148" s="27" t="s">
        <v>10485</v>
      </c>
      <c r="K148" s="108" t="s">
        <v>10486</v>
      </c>
      <c r="L148" s="27" t="s">
        <v>10149</v>
      </c>
      <c r="M148" s="109">
        <v>46056</v>
      </c>
      <c r="O148" s="27" t="s">
        <v>10150</v>
      </c>
    </row>
    <row r="149" spans="2:15" ht="12.5">
      <c r="B149" s="8" t="s">
        <v>1722</v>
      </c>
      <c r="C149" s="8" t="s">
        <v>10487</v>
      </c>
      <c r="D149" s="25" t="str">
        <f ca="1">IFERROR(__xludf.DUMMYFUNCTION("IFERROR(ARRAYFORMULA(REGEXEXTRACT(C149,""^(?:https?:\/\/)?(?:[^@\n]+@)?(?:www\.)?([^:\/\n]+)"")),"""")"),"literallydarling.com")</f>
        <v>literallydarling.com</v>
      </c>
      <c r="E149" s="110" t="str">
        <f ca="1">IFERROR(__xludf.DUMMYFUNCTION("""COMPUTED_VALUE"""),"Already Exists")</f>
        <v>Already Exists</v>
      </c>
      <c r="F149" s="27">
        <v>40</v>
      </c>
      <c r="G149" s="27">
        <v>1731</v>
      </c>
      <c r="H149" s="27" t="s">
        <v>10488</v>
      </c>
      <c r="I149" s="27" t="s">
        <v>10489</v>
      </c>
      <c r="K149" s="108" t="s">
        <v>10490</v>
      </c>
      <c r="L149" s="27" t="s">
        <v>10149</v>
      </c>
      <c r="M149" s="109">
        <v>46056</v>
      </c>
      <c r="O149" s="27" t="s">
        <v>10150</v>
      </c>
    </row>
    <row r="150" spans="2:15" ht="12.5">
      <c r="B150" s="8" t="s">
        <v>1722</v>
      </c>
      <c r="C150" s="8" t="s">
        <v>10491</v>
      </c>
      <c r="D150" s="26" t="str">
        <f ca="1">IFERROR(__xludf.DUMMYFUNCTION("IFERROR(ARRAYFORMULA(REGEXEXTRACT(C150,""^(?:https?:\/\/)?(?:[^@\n]+@)?(?:www\.)?([^:\/\n]+)"")),"""")"),"bozemanrealestate.group")</f>
        <v>bozemanrealestate.group</v>
      </c>
      <c r="E150" s="110" t="str">
        <f ca="1">IFERROR(__xludf.DUMMYFUNCTION("""COMPUTED_VALUE"""),"New")</f>
        <v>New</v>
      </c>
      <c r="F150" s="27">
        <v>35</v>
      </c>
      <c r="G150" s="27">
        <v>9717</v>
      </c>
      <c r="H150" s="27" t="s">
        <v>10492</v>
      </c>
      <c r="I150" s="27" t="s">
        <v>10493</v>
      </c>
      <c r="K150" s="108" t="s">
        <v>3853</v>
      </c>
      <c r="L150" s="27" t="s">
        <v>10149</v>
      </c>
      <c r="M150" s="109">
        <v>46056</v>
      </c>
      <c r="O150" s="27" t="s">
        <v>10150</v>
      </c>
    </row>
    <row r="151" spans="2:15" ht="12.5">
      <c r="B151" s="8" t="s">
        <v>1722</v>
      </c>
      <c r="C151" s="8" t="s">
        <v>10494</v>
      </c>
      <c r="D151" s="25" t="str">
        <f ca="1">IFERROR(__xludf.DUMMYFUNCTION("IFERROR(ARRAYFORMULA(REGEXEXTRACT(C151,""^(?:https?:\/\/)?(?:[^@\n]+@)?(?:www\.)?([^:\/\n]+)"")),"""")"),"securespace.com")</f>
        <v>securespace.com</v>
      </c>
      <c r="E151" s="110" t="str">
        <f ca="1">IFERROR(__xludf.DUMMYFUNCTION("""COMPUTED_VALUE"""),"New")</f>
        <v>New</v>
      </c>
      <c r="F151" s="27">
        <v>59</v>
      </c>
      <c r="G151" s="27">
        <v>36046</v>
      </c>
      <c r="H151" s="27" t="s">
        <v>10495</v>
      </c>
      <c r="I151" s="27" t="s">
        <v>10496</v>
      </c>
      <c r="K151" s="108" t="s">
        <v>10497</v>
      </c>
      <c r="L151" s="27" t="s">
        <v>10149</v>
      </c>
      <c r="M151" s="109">
        <v>46070</v>
      </c>
      <c r="O151" s="27" t="s">
        <v>10150</v>
      </c>
    </row>
    <row r="152" spans="2:15" ht="12.5">
      <c r="B152" s="8" t="s">
        <v>1722</v>
      </c>
      <c r="C152" s="8" t="s">
        <v>10498</v>
      </c>
      <c r="D152" s="25" t="str">
        <f ca="1">IFERROR(__xludf.DUMMYFUNCTION("IFERROR(ARRAYFORMULA(REGEXEXTRACT(C152,""^(?:https?:\/\/)?(?:[^@\n]+@)?(?:www\.)?([^:\/\n]+)"")),"""")"),"arcrelocation.com")</f>
        <v>arcrelocation.com</v>
      </c>
      <c r="E152" s="110" t="str">
        <f ca="1">IFERROR(__xludf.DUMMYFUNCTION("""COMPUTED_VALUE"""),"New")</f>
        <v>New</v>
      </c>
      <c r="F152" s="27">
        <v>50</v>
      </c>
      <c r="G152" s="27">
        <v>12637</v>
      </c>
      <c r="I152" s="27" t="s">
        <v>10499</v>
      </c>
      <c r="K152" s="108" t="s">
        <v>3791</v>
      </c>
      <c r="L152" s="27" t="s">
        <v>10149</v>
      </c>
      <c r="M152" s="109">
        <v>46070</v>
      </c>
      <c r="O152" s="27" t="s">
        <v>10150</v>
      </c>
    </row>
    <row r="153" spans="2:15" ht="12.5">
      <c r="B153" s="8" t="s">
        <v>1722</v>
      </c>
      <c r="C153" s="8" t="s">
        <v>10500</v>
      </c>
      <c r="D153" s="25" t="str">
        <f ca="1">IFERROR(__xludf.DUMMYFUNCTION("IFERROR(ARRAYFORMULA(REGEXEXTRACT(C153,""^(?:https?:\/\/)?(?:[^@\n]+@)?(?:www\.)?([^:\/\n]+)"")),"""")"),"followtheyellowbrickhome.com")</f>
        <v>followtheyellowbrickhome.com</v>
      </c>
      <c r="E153" s="110" t="str">
        <f ca="1">IFERROR(__xludf.DUMMYFUNCTION("""COMPUTED_VALUE"""),"New")</f>
        <v>New</v>
      </c>
      <c r="F153" s="27">
        <v>46</v>
      </c>
      <c r="G153" s="27">
        <v>1983</v>
      </c>
      <c r="H153" s="27" t="s">
        <v>9119</v>
      </c>
      <c r="I153" s="27" t="s">
        <v>9120</v>
      </c>
      <c r="K153" s="108" t="s">
        <v>3839</v>
      </c>
      <c r="L153" s="27" t="s">
        <v>10149</v>
      </c>
      <c r="M153" s="109">
        <v>46070</v>
      </c>
      <c r="O153" s="27" t="s">
        <v>10150</v>
      </c>
    </row>
    <row r="154" spans="2:15" ht="12.5">
      <c r="B154" s="8" t="s">
        <v>1722</v>
      </c>
      <c r="C154" s="8" t="s">
        <v>10501</v>
      </c>
      <c r="D154" s="25" t="str">
        <f ca="1">IFERROR(__xludf.DUMMYFUNCTION("IFERROR(ARRAYFORMULA(REGEXEXTRACT(C154,""^(?:https?:\/\/)?(?:[^@\n]+@)?(?:www\.)?([^:\/\n]+)"")),"""")"),"springsapartments.com")</f>
        <v>springsapartments.com</v>
      </c>
      <c r="E154" s="110" t="str">
        <f ca="1">IFERROR(__xludf.DUMMYFUNCTION("""COMPUTED_VALUE"""),"New")</f>
        <v>New</v>
      </c>
      <c r="F154" s="27">
        <v>33</v>
      </c>
      <c r="G154" s="27">
        <v>34279</v>
      </c>
      <c r="I154" s="27" t="s">
        <v>10502</v>
      </c>
      <c r="K154" s="108" t="s">
        <v>3853</v>
      </c>
      <c r="L154" s="27" t="s">
        <v>10149</v>
      </c>
      <c r="M154" s="109">
        <v>46070</v>
      </c>
      <c r="O154" s="27" t="s">
        <v>10150</v>
      </c>
    </row>
    <row r="155" spans="2:15" ht="12.5">
      <c r="B155" s="8" t="s">
        <v>1722</v>
      </c>
      <c r="C155" s="8" t="s">
        <v>10503</v>
      </c>
      <c r="D155" s="25" t="str">
        <f ca="1">IFERROR(__xludf.DUMMYFUNCTION("IFERROR(ARRAYFORMULA(REGEXEXTRACT(C155,""^(?:https?:\/\/)?(?:[^@\n]+@)?(?:www\.)?([^:\/\n]+)"")),"""")"),"franklinis.com")</f>
        <v>franklinis.com</v>
      </c>
      <c r="E155" s="110" t="str">
        <f ca="1">IFERROR(__xludf.DUMMYFUNCTION("""COMPUTED_VALUE"""),"New")</f>
        <v>New</v>
      </c>
      <c r="F155" s="27">
        <v>47</v>
      </c>
      <c r="G155" s="27">
        <v>6249</v>
      </c>
      <c r="H155" s="27" t="s">
        <v>4397</v>
      </c>
      <c r="I155" s="27" t="s">
        <v>10504</v>
      </c>
      <c r="K155" s="108" t="s">
        <v>3798</v>
      </c>
      <c r="L155" s="27" t="s">
        <v>10149</v>
      </c>
      <c r="M155" s="109">
        <v>46070</v>
      </c>
      <c r="O155" s="27" t="s">
        <v>10150</v>
      </c>
    </row>
    <row r="156" spans="2:15" ht="12.5">
      <c r="B156" s="8" t="s">
        <v>1722</v>
      </c>
      <c r="C156" s="8" t="s">
        <v>10505</v>
      </c>
      <c r="D156" s="25" t="str">
        <f ca="1">IFERROR(__xludf.DUMMYFUNCTION("IFERROR(ARRAYFORMULA(REGEXEXTRACT(C156,""^(?:https?:\/\/)?(?:[^@\n]+@)?(?:www\.)?([^:\/\n]+)"")),"""")"),"tsishipping.com")</f>
        <v>tsishipping.com</v>
      </c>
      <c r="E156" s="110" t="str">
        <f ca="1">IFERROR(__xludf.DUMMYFUNCTION("""COMPUTED_VALUE"""),"New")</f>
        <v>New</v>
      </c>
      <c r="F156" s="27">
        <v>34</v>
      </c>
      <c r="G156" s="27">
        <v>1802</v>
      </c>
      <c r="H156" s="27" t="s">
        <v>10376</v>
      </c>
      <c r="I156" s="27" t="s">
        <v>10506</v>
      </c>
      <c r="K156" s="108" t="s">
        <v>3791</v>
      </c>
      <c r="L156" s="27" t="s">
        <v>10149</v>
      </c>
      <c r="M156" s="109">
        <v>46070</v>
      </c>
      <c r="O156" s="27" t="s">
        <v>10150</v>
      </c>
    </row>
    <row r="157" spans="2:15" ht="12.5">
      <c r="B157" s="8" t="s">
        <v>1722</v>
      </c>
      <c r="C157" s="8" t="s">
        <v>10507</v>
      </c>
      <c r="D157" s="25" t="str">
        <f ca="1">IFERROR(__xludf.DUMMYFUNCTION("IFERROR(ARRAYFORMULA(REGEXEXTRACT(C157,""^(?:https?:\/\/)?(?:[^@\n]+@)?(?:www\.)?([^:\/\n]+)"")),"""")"),"muddyrivernews.com")</f>
        <v>muddyrivernews.com</v>
      </c>
      <c r="E157" s="110" t="str">
        <f ca="1">IFERROR(__xludf.DUMMYFUNCTION("""COMPUTED_VALUE"""),"Already Exists")</f>
        <v>Already Exists</v>
      </c>
      <c r="F157" s="27">
        <v>58</v>
      </c>
      <c r="G157" s="27">
        <v>58241</v>
      </c>
      <c r="I157" s="27" t="s">
        <v>10508</v>
      </c>
      <c r="K157" s="108" t="s">
        <v>3772</v>
      </c>
      <c r="L157" s="27" t="s">
        <v>10149</v>
      </c>
      <c r="M157" s="109">
        <v>46070</v>
      </c>
      <c r="O157" s="27" t="s">
        <v>10150</v>
      </c>
    </row>
    <row r="158" spans="2:15" ht="12.5">
      <c r="B158" s="8" t="s">
        <v>1722</v>
      </c>
      <c r="C158" s="8" t="s">
        <v>10509</v>
      </c>
      <c r="D158" s="25" t="str">
        <f ca="1">IFERROR(__xludf.DUMMYFUNCTION("IFERROR(ARRAYFORMULA(REGEXEXTRACT(C158,""^(?:https?:\/\/)?(?:[^@\n]+@)?(?:www\.)?([^:\/\n]+)"")),"""")"),"lawyersmutualnc.com")</f>
        <v>lawyersmutualnc.com</v>
      </c>
      <c r="E158" s="110" t="str">
        <f ca="1">IFERROR(__xludf.DUMMYFUNCTION("""COMPUTED_VALUE"""),"New")</f>
        <v>New</v>
      </c>
      <c r="F158" s="27">
        <v>50</v>
      </c>
      <c r="G158" s="27">
        <v>1547</v>
      </c>
      <c r="H158" s="27" t="s">
        <v>10317</v>
      </c>
      <c r="I158" s="27" t="s">
        <v>10510</v>
      </c>
      <c r="K158" s="108" t="s">
        <v>10486</v>
      </c>
      <c r="L158" s="27" t="s">
        <v>10149</v>
      </c>
      <c r="M158" s="109">
        <v>46070</v>
      </c>
      <c r="O158" s="27" t="s">
        <v>10150</v>
      </c>
    </row>
    <row r="159" spans="2:15" ht="12.5">
      <c r="B159" s="8" t="s">
        <v>2836</v>
      </c>
      <c r="C159" s="8" t="s">
        <v>10511</v>
      </c>
      <c r="D159" s="25" t="str">
        <f ca="1">IFERROR(__xludf.DUMMYFUNCTION("IFERROR(ARRAYFORMULA(REGEXEXTRACT(C159,""^(?:https?:\/\/)?(?:[^@\n]+@)?(?:www\.)?([^:\/\n]+)"")),"""")"),"housedigest.com")</f>
        <v>housedigest.com</v>
      </c>
      <c r="E159" s="110" t="str">
        <f ca="1">IFERROR(__xludf.DUMMYFUNCTION("""COMPUTED_VALUE"""),"New")</f>
        <v>New</v>
      </c>
      <c r="F159" s="27">
        <v>74</v>
      </c>
      <c r="G159" s="27">
        <v>68031</v>
      </c>
      <c r="I159" s="27" t="s">
        <v>3899</v>
      </c>
      <c r="K159" s="108" t="s">
        <v>3839</v>
      </c>
      <c r="L159" s="27" t="s">
        <v>10173</v>
      </c>
      <c r="M159" s="109">
        <v>46076</v>
      </c>
      <c r="O159" s="27" t="s">
        <v>10174</v>
      </c>
    </row>
    <row r="160" spans="2:15" ht="12.5">
      <c r="B160" s="8" t="s">
        <v>2836</v>
      </c>
      <c r="C160" s="8" t="s">
        <v>10512</v>
      </c>
      <c r="D160" s="25" t="str">
        <f ca="1">IFERROR(__xludf.DUMMYFUNCTION("IFERROR(ARRAYFORMULA(REGEXEXTRACT(C160,""^(?:https?:\/\/)?(?:[^@\n]+@)?(?:www\.)?([^:\/\n]+)"")),"""")"),"cyberoptik.net")</f>
        <v>cyberoptik.net</v>
      </c>
      <c r="E160" s="110" t="str">
        <f ca="1">IFERROR(__xludf.DUMMYFUNCTION("""COMPUTED_VALUE"""),"New")</f>
        <v>New</v>
      </c>
      <c r="F160" s="27">
        <v>63</v>
      </c>
      <c r="G160" s="27">
        <v>6489</v>
      </c>
      <c r="H160" s="27" t="s">
        <v>4368</v>
      </c>
      <c r="I160" s="27" t="s">
        <v>10513</v>
      </c>
      <c r="K160" s="108" t="s">
        <v>5375</v>
      </c>
      <c r="L160" s="27" t="s">
        <v>10173</v>
      </c>
      <c r="M160" s="109">
        <v>46076</v>
      </c>
      <c r="O160" s="27" t="s">
        <v>10174</v>
      </c>
    </row>
    <row r="161" spans="2:15" ht="12.5">
      <c r="B161" s="8" t="s">
        <v>2836</v>
      </c>
      <c r="C161" s="8" t="s">
        <v>10514</v>
      </c>
      <c r="D161" s="25" t="str">
        <f ca="1">IFERROR(__xludf.DUMMYFUNCTION("IFERROR(ARRAYFORMULA(REGEXEXTRACT(C161,""^(?:https?:\/\/)?(?:[^@\n]+@)?(?:www\.)?([^:\/\n]+)"")),"""")"),"blog.westlakeroyalbuildingproducts.com")</f>
        <v>blog.westlakeroyalbuildingproducts.com</v>
      </c>
      <c r="E161" s="110" t="str">
        <f ca="1">IFERROR(__xludf.DUMMYFUNCTION("""COMPUTED_VALUE"""),"New")</f>
        <v>New</v>
      </c>
      <c r="F161" s="27">
        <v>77</v>
      </c>
      <c r="G161" s="27">
        <v>68650</v>
      </c>
      <c r="I161" s="27" t="s">
        <v>10515</v>
      </c>
      <c r="K161" s="108" t="s">
        <v>8944</v>
      </c>
      <c r="L161" s="27" t="s">
        <v>10173</v>
      </c>
      <c r="M161" s="109">
        <v>46076</v>
      </c>
      <c r="O161" s="27" t="s">
        <v>10174</v>
      </c>
    </row>
    <row r="162" spans="2:15" ht="12.5">
      <c r="B162" s="8" t="s">
        <v>2836</v>
      </c>
      <c r="C162" s="8" t="s">
        <v>10516</v>
      </c>
      <c r="D162" s="25" t="str">
        <f ca="1">IFERROR(__xludf.DUMMYFUNCTION("IFERROR(ARRAYFORMULA(REGEXEXTRACT(C162,""^(?:https?:\/\/)?(?:[^@\n]+@)?(?:www\.)?([^:\/\n]+)"")),"""")"),"womanaroundtown.com")</f>
        <v>womanaroundtown.com</v>
      </c>
      <c r="E162" s="110" t="str">
        <f ca="1">IFERROR(__xludf.DUMMYFUNCTION("""COMPUTED_VALUE"""),"New")</f>
        <v>New</v>
      </c>
      <c r="F162" s="27">
        <v>62</v>
      </c>
      <c r="G162" s="27">
        <v>4043</v>
      </c>
      <c r="H162" s="27" t="s">
        <v>10517</v>
      </c>
      <c r="I162" s="27" t="s">
        <v>10518</v>
      </c>
      <c r="K162" s="108" t="s">
        <v>3756</v>
      </c>
      <c r="L162" s="27" t="s">
        <v>10173</v>
      </c>
      <c r="M162" s="109">
        <v>46076</v>
      </c>
      <c r="O162" s="27" t="s">
        <v>10174</v>
      </c>
    </row>
    <row r="163" spans="2:15" ht="12.5">
      <c r="B163" s="8" t="s">
        <v>2836</v>
      </c>
      <c r="C163" s="8" t="s">
        <v>10519</v>
      </c>
      <c r="D163" s="25" t="str">
        <f ca="1">IFERROR(__xludf.DUMMYFUNCTION("IFERROR(ARRAYFORMULA(REGEXEXTRACT(C163,""^(?:https?:\/\/)?(?:[^@\n]+@)?(?:www\.)?([^:\/\n]+)"")),"""")"),"leadiq.com")</f>
        <v>leadiq.com</v>
      </c>
      <c r="E163" s="110" t="str">
        <f ca="1">IFERROR(__xludf.DUMMYFUNCTION("""COMPUTED_VALUE"""),"New")</f>
        <v>New</v>
      </c>
      <c r="F163" s="27">
        <v>71</v>
      </c>
      <c r="G163" s="27">
        <v>47033</v>
      </c>
      <c r="H163" s="27" t="s">
        <v>10520</v>
      </c>
      <c r="I163" s="27" t="s">
        <v>10521</v>
      </c>
      <c r="K163" s="108" t="s">
        <v>5375</v>
      </c>
      <c r="L163" s="27" t="s">
        <v>10173</v>
      </c>
      <c r="M163" s="109">
        <v>46076</v>
      </c>
      <c r="O163" s="27" t="s">
        <v>10174</v>
      </c>
    </row>
    <row r="164" spans="2:15" ht="12.5">
      <c r="B164" s="8" t="s">
        <v>2836</v>
      </c>
      <c r="C164" s="8" t="s">
        <v>10522</v>
      </c>
      <c r="D164" s="25" t="str">
        <f ca="1">IFERROR(__xludf.DUMMYFUNCTION("IFERROR(ARRAYFORMULA(REGEXEXTRACT(C164,""^(?:https?:\/\/)?(?:[^@\n]+@)?(?:www\.)?([^:\/\n]+)"")),"""")"),"qualifiedremodeler.com")</f>
        <v>qualifiedremodeler.com</v>
      </c>
      <c r="E164" s="110" t="str">
        <f ca="1">IFERROR(__xludf.DUMMYFUNCTION("""COMPUTED_VALUE"""),"New")</f>
        <v>New</v>
      </c>
      <c r="F164" s="27">
        <v>71</v>
      </c>
      <c r="G164" s="27">
        <v>2655</v>
      </c>
      <c r="I164" s="27" t="s">
        <v>10523</v>
      </c>
      <c r="K164" s="108" t="s">
        <v>3791</v>
      </c>
      <c r="L164" s="27" t="s">
        <v>10173</v>
      </c>
      <c r="M164" s="109">
        <v>46076</v>
      </c>
      <c r="O164" s="27" t="s">
        <v>10174</v>
      </c>
    </row>
    <row r="165" spans="2:15" ht="12.5">
      <c r="B165" s="8" t="s">
        <v>2837</v>
      </c>
      <c r="C165" s="8" t="s">
        <v>10524</v>
      </c>
      <c r="D165" s="25" t="str">
        <f ca="1">IFERROR(__xludf.DUMMYFUNCTION("IFERROR(ARRAYFORMULA(REGEXEXTRACT(C165,""^(?:https?:\/\/)?(?:[^@\n]+@)?(?:www\.)?([^:\/\n]+)"")),"""")"),"mariakillam.com")</f>
        <v>mariakillam.com</v>
      </c>
      <c r="E165" s="110" t="str">
        <f ca="1">IFERROR(__xludf.DUMMYFUNCTION("""COMPUTED_VALUE"""),"New")</f>
        <v>New</v>
      </c>
      <c r="F165" s="27">
        <v>65</v>
      </c>
      <c r="G165" s="27">
        <v>33054</v>
      </c>
      <c r="H165" s="27" t="s">
        <v>10525</v>
      </c>
      <c r="I165" s="27" t="s">
        <v>10526</v>
      </c>
      <c r="K165" s="108" t="s">
        <v>3839</v>
      </c>
      <c r="L165" s="27" t="s">
        <v>10173</v>
      </c>
      <c r="M165" s="109">
        <v>46076</v>
      </c>
      <c r="O165" s="27" t="s">
        <v>10174</v>
      </c>
    </row>
    <row r="166" spans="2:15" ht="12.5">
      <c r="B166" s="8" t="s">
        <v>2837</v>
      </c>
      <c r="C166" s="8" t="s">
        <v>10527</v>
      </c>
      <c r="D166" s="25" t="str">
        <f ca="1">IFERROR(__xludf.DUMMYFUNCTION("IFERROR(ARRAYFORMULA(REGEXEXTRACT(C166,""^(?:https?:\/\/)?(?:[^@\n]+@)?(?:www\.)?([^:\/\n]+)"")),"""")"),"snaphappytravel.com")</f>
        <v>snaphappytravel.com</v>
      </c>
      <c r="E166" s="110" t="str">
        <f ca="1">IFERROR(__xludf.DUMMYFUNCTION("""COMPUTED_VALUE"""),"New")</f>
        <v>New</v>
      </c>
      <c r="F166" s="27">
        <v>26</v>
      </c>
      <c r="G166" s="27">
        <v>71872</v>
      </c>
      <c r="H166" s="27" t="s">
        <v>10528</v>
      </c>
      <c r="I166" s="27" t="s">
        <v>10529</v>
      </c>
      <c r="K166" s="108" t="s">
        <v>3798</v>
      </c>
      <c r="L166" s="27" t="s">
        <v>10173</v>
      </c>
      <c r="M166" s="109">
        <v>46076</v>
      </c>
      <c r="O166" s="27" t="s">
        <v>10174</v>
      </c>
    </row>
    <row r="167" spans="2:15" ht="12.5">
      <c r="B167" s="8" t="s">
        <v>2837</v>
      </c>
      <c r="C167" s="8" t="s">
        <v>10530</v>
      </c>
      <c r="D167" s="25" t="str">
        <f ca="1">IFERROR(__xludf.DUMMYFUNCTION("IFERROR(ARRAYFORMULA(REGEXEXTRACT(C167,""^(?:https?:\/\/)?(?:[^@\n]+@)?(?:www\.)?([^:\/\n]+)"")),"""")"),"realtylink.org")</f>
        <v>realtylink.org</v>
      </c>
      <c r="E167" s="110" t="str">
        <f ca="1">IFERROR(__xludf.DUMMYFUNCTION("""COMPUTED_VALUE"""),"New")</f>
        <v>New</v>
      </c>
      <c r="F167" s="27">
        <v>53</v>
      </c>
      <c r="G167" s="27">
        <v>15449</v>
      </c>
      <c r="I167" s="27" t="s">
        <v>10531</v>
      </c>
      <c r="K167" s="108" t="s">
        <v>3853</v>
      </c>
      <c r="L167" s="27" t="s">
        <v>10173</v>
      </c>
      <c r="M167" s="109">
        <v>46076</v>
      </c>
      <c r="O167" s="27" t="s">
        <v>10174</v>
      </c>
    </row>
    <row r="168" spans="2:15" ht="12.5">
      <c r="B168" s="8" t="s">
        <v>2837</v>
      </c>
      <c r="C168" s="8" t="s">
        <v>10532</v>
      </c>
      <c r="D168" s="25" t="str">
        <f ca="1">IFERROR(__xludf.DUMMYFUNCTION("IFERROR(ARRAYFORMULA(REGEXEXTRACT(C168,""^(?:https?:\/\/)?(?:[^@\n]+@)?(?:www\.)?([^:\/\n]+)"")),"""")"),"appsruntheworld.com")</f>
        <v>appsruntheworld.com</v>
      </c>
      <c r="E168" s="110" t="str">
        <f ca="1">IFERROR(__xludf.DUMMYFUNCTION("""COMPUTED_VALUE"""),"New")</f>
        <v>New</v>
      </c>
      <c r="F168" s="27">
        <v>66</v>
      </c>
      <c r="G168" s="27">
        <v>20026</v>
      </c>
      <c r="H168" s="27" t="s">
        <v>10533</v>
      </c>
      <c r="I168" s="27" t="s">
        <v>10534</v>
      </c>
      <c r="K168" s="108" t="s">
        <v>5375</v>
      </c>
      <c r="L168" s="27" t="s">
        <v>10173</v>
      </c>
      <c r="M168" s="109">
        <v>46076</v>
      </c>
      <c r="O168" s="27" t="s">
        <v>10174</v>
      </c>
    </row>
    <row r="169" spans="2:15" ht="12.5">
      <c r="B169" s="8" t="s">
        <v>2837</v>
      </c>
      <c r="C169" s="8" t="s">
        <v>10535</v>
      </c>
      <c r="D169" s="25" t="str">
        <f ca="1">IFERROR(__xludf.DUMMYFUNCTION("IFERROR(ARRAYFORMULA(REGEXEXTRACT(C169,""^(?:https?:\/\/)?(?:[^@\n]+@)?(?:www\.)?([^:\/\n]+)"")),"""")"),"prepareforcanada.com")</f>
        <v>prepareforcanada.com</v>
      </c>
      <c r="E169" s="110" t="str">
        <f ca="1">IFERROR(__xludf.DUMMYFUNCTION("""COMPUTED_VALUE"""),"New")</f>
        <v>New</v>
      </c>
      <c r="F169" s="27">
        <v>45</v>
      </c>
      <c r="G169" s="27">
        <v>1978</v>
      </c>
      <c r="I169" s="27" t="s">
        <v>10536</v>
      </c>
      <c r="K169" s="108" t="s">
        <v>3839</v>
      </c>
      <c r="L169" s="27" t="s">
        <v>10173</v>
      </c>
      <c r="M169" s="109">
        <v>46076</v>
      </c>
      <c r="O169" s="27" t="s">
        <v>10174</v>
      </c>
    </row>
    <row r="170" spans="2:15" ht="12.5">
      <c r="B170" s="11" t="s">
        <v>2773</v>
      </c>
      <c r="C170" s="8" t="s">
        <v>10537</v>
      </c>
      <c r="D170" s="25" t="str">
        <f ca="1">IFERROR(__xludf.DUMMYFUNCTION("IFERROR(ARRAYFORMULA(REGEXEXTRACT(C170,""^(?:https?:\/\/)?(?:[^@\n]+@)?(?:www\.)?([^:\/\n]+)"")),"""")"),"homebay.com")</f>
        <v>homebay.com</v>
      </c>
      <c r="E170" s="110" t="str">
        <f ca="1">IFERROR(__xludf.DUMMYFUNCTION("""COMPUTED_VALUE"""),"New")</f>
        <v>New</v>
      </c>
      <c r="F170" s="27">
        <v>50</v>
      </c>
      <c r="G170" s="27">
        <v>1050</v>
      </c>
      <c r="H170" s="27" t="s">
        <v>10538</v>
      </c>
      <c r="I170" s="27" t="s">
        <v>10539</v>
      </c>
      <c r="K170" s="108" t="s">
        <v>3853</v>
      </c>
      <c r="L170" s="27" t="s">
        <v>10149</v>
      </c>
      <c r="M170" s="109">
        <v>46076</v>
      </c>
      <c r="O170" s="27" t="s">
        <v>10150</v>
      </c>
    </row>
    <row r="171" spans="2:15" ht="12.5">
      <c r="B171" s="27" t="s">
        <v>2773</v>
      </c>
      <c r="C171" s="8" t="s">
        <v>10540</v>
      </c>
      <c r="D171" s="25" t="str">
        <f ca="1">IFERROR(__xludf.DUMMYFUNCTION("IFERROR(ARRAYFORMULA(REGEXEXTRACT(C171,""^(?:https?:\/\/)?(?:[^@\n]+@)?(?:www\.)?([^:\/\n]+)"")),"""")"),"luxesource.com")</f>
        <v>luxesource.com</v>
      </c>
      <c r="E171" s="110" t="str">
        <f ca="1">IFERROR(__xludf.DUMMYFUNCTION("""COMPUTED_VALUE"""),"New")</f>
        <v>New</v>
      </c>
      <c r="F171" s="27">
        <v>78</v>
      </c>
      <c r="G171" s="27">
        <v>19040</v>
      </c>
      <c r="H171" s="27" t="s">
        <v>10541</v>
      </c>
      <c r="I171" s="27" t="s">
        <v>10542</v>
      </c>
      <c r="K171" s="108" t="s">
        <v>3839</v>
      </c>
      <c r="L171" s="27" t="s">
        <v>10149</v>
      </c>
      <c r="M171" s="109">
        <v>46076</v>
      </c>
      <c r="O171" s="27" t="s">
        <v>10150</v>
      </c>
    </row>
    <row r="172" spans="2:15" ht="12.5">
      <c r="B172" s="27" t="s">
        <v>2773</v>
      </c>
      <c r="C172" s="8" t="s">
        <v>10543</v>
      </c>
      <c r="D172" s="25" t="str">
        <f ca="1">IFERROR(__xludf.DUMMYFUNCTION("IFERROR(ARRAYFORMULA(REGEXEXTRACT(C172,""^(?:https?:\/\/)?(?:[^@\n]+@)?(?:www\.)?([^:\/\n]+)"")),"""")"),"galeriemagazine.com")</f>
        <v>galeriemagazine.com</v>
      </c>
      <c r="E172" s="110" t="str">
        <f ca="1">IFERROR(__xludf.DUMMYFUNCTION("""COMPUTED_VALUE"""),"New")</f>
        <v>New</v>
      </c>
      <c r="F172" s="27">
        <v>76</v>
      </c>
      <c r="G172" s="27">
        <v>13473</v>
      </c>
      <c r="H172" s="27" t="s">
        <v>10544</v>
      </c>
      <c r="I172" s="27" t="s">
        <v>10545</v>
      </c>
      <c r="K172" s="108" t="s">
        <v>3756</v>
      </c>
      <c r="L172" s="27" t="s">
        <v>10149</v>
      </c>
      <c r="M172" s="109">
        <v>46076</v>
      </c>
      <c r="O172" s="27" t="s">
        <v>10150</v>
      </c>
    </row>
    <row r="173" spans="2:15" ht="12.5">
      <c r="B173" s="27" t="s">
        <v>2773</v>
      </c>
      <c r="C173" s="8" t="s">
        <v>10546</v>
      </c>
      <c r="D173" s="25" t="str">
        <f ca="1">IFERROR(__xludf.DUMMYFUNCTION("IFERROR(ARRAYFORMULA(REGEXEXTRACT(C173,""^(?:https?:\/\/)?(?:[^@\n]+@)?(?:www\.)?([^:\/\n]+)"")),"""")"),"jetsetmag.com")</f>
        <v>jetsetmag.com</v>
      </c>
      <c r="E173" s="110" t="str">
        <f ca="1">IFERROR(__xludf.DUMMYFUNCTION("""COMPUTED_VALUE"""),"New")</f>
        <v>New</v>
      </c>
      <c r="F173" s="27">
        <v>57</v>
      </c>
      <c r="G173" s="27">
        <v>1404</v>
      </c>
      <c r="H173" s="27" t="s">
        <v>10547</v>
      </c>
      <c r="I173" s="27" t="s">
        <v>10548</v>
      </c>
      <c r="K173" s="108" t="s">
        <v>3756</v>
      </c>
      <c r="L173" s="27" t="s">
        <v>10149</v>
      </c>
      <c r="M173" s="109">
        <v>46076</v>
      </c>
      <c r="O173" s="27" t="s">
        <v>10150</v>
      </c>
    </row>
    <row r="174" spans="2:15" ht="12.5">
      <c r="B174" s="27" t="s">
        <v>2773</v>
      </c>
      <c r="C174" s="8" t="s">
        <v>10549</v>
      </c>
      <c r="D174" s="25" t="str">
        <f ca="1">IFERROR(__xludf.DUMMYFUNCTION("IFERROR(ARRAYFORMULA(REGEXEXTRACT(C174,""^(?:https?:\/\/)?(?:[^@\n]+@)?(?:www\.)?([^:\/\n]+)"")),"""")"),"luxurypools.com")</f>
        <v>luxurypools.com</v>
      </c>
      <c r="E174" s="110" t="str">
        <f ca="1">IFERROR(__xludf.DUMMYFUNCTION("""COMPUTED_VALUE"""),"New")</f>
        <v>New</v>
      </c>
      <c r="F174" s="27">
        <v>53</v>
      </c>
      <c r="G174" s="27">
        <v>1563</v>
      </c>
      <c r="I174" s="27" t="s">
        <v>10550</v>
      </c>
      <c r="K174" s="108" t="s">
        <v>3839</v>
      </c>
      <c r="L174" s="27" t="s">
        <v>10149</v>
      </c>
      <c r="M174" s="109">
        <v>46076</v>
      </c>
      <c r="O174" s="27" t="s">
        <v>10150</v>
      </c>
    </row>
    <row r="175" spans="2:15" ht="12.5">
      <c r="B175" s="27" t="s">
        <v>2773</v>
      </c>
      <c r="C175" s="8" t="s">
        <v>10551</v>
      </c>
      <c r="D175" s="25" t="str">
        <f ca="1">IFERROR(__xludf.DUMMYFUNCTION("IFERROR(ARRAYFORMULA(REGEXEXTRACT(C175,""^(?:https?:\/\/)?(?:[^@\n]+@)?(?:www\.)?([^:\/\n]+)"")),"""")"),"businessofhome.com")</f>
        <v>businessofhome.com</v>
      </c>
      <c r="E175" s="110" t="str">
        <f ca="1">IFERROR(__xludf.DUMMYFUNCTION("""COMPUTED_VALUE"""),"New")</f>
        <v>New</v>
      </c>
      <c r="F175" s="27">
        <v>77</v>
      </c>
      <c r="G175" s="27">
        <v>15879</v>
      </c>
      <c r="H175" s="27" t="s">
        <v>5436</v>
      </c>
      <c r="I175" s="27" t="s">
        <v>10552</v>
      </c>
      <c r="K175" s="108" t="s">
        <v>3791</v>
      </c>
      <c r="L175" s="27" t="s">
        <v>10149</v>
      </c>
      <c r="M175" s="109">
        <v>46076</v>
      </c>
      <c r="O175" s="27" t="s">
        <v>10150</v>
      </c>
    </row>
    <row r="176" spans="2:15" ht="12.5">
      <c r="B176" s="8" t="s">
        <v>2838</v>
      </c>
      <c r="C176" s="8" t="s">
        <v>10553</v>
      </c>
      <c r="D176" s="25" t="str">
        <f ca="1">IFERROR(__xludf.DUMMYFUNCTION("IFERROR(ARRAYFORMULA(REGEXEXTRACT(C176,""^(?:https?:\/\/)?(?:[^@\n]+@)?(?:www\.)?([^:\/\n]+)"")),"""")"),"havredailynews.com")</f>
        <v>havredailynews.com</v>
      </c>
      <c r="E176" s="110" t="str">
        <f ca="1">IFERROR(__xludf.DUMMYFUNCTION("""COMPUTED_VALUE"""),"New")</f>
        <v>New</v>
      </c>
      <c r="F176" s="27">
        <v>50</v>
      </c>
      <c r="G176" s="27">
        <v>3296</v>
      </c>
      <c r="H176" s="27" t="s">
        <v>4337</v>
      </c>
      <c r="I176" s="27" t="s">
        <v>10554</v>
      </c>
      <c r="K176" s="108" t="s">
        <v>3772</v>
      </c>
      <c r="L176" s="27" t="s">
        <v>10173</v>
      </c>
      <c r="M176" s="109">
        <v>46077</v>
      </c>
      <c r="O176" s="27" t="s">
        <v>10174</v>
      </c>
    </row>
    <row r="177" spans="2:15" ht="12.5">
      <c r="B177" s="8" t="s">
        <v>2838</v>
      </c>
      <c r="C177" s="8" t="s">
        <v>10555</v>
      </c>
      <c r="D177" s="25" t="str">
        <f ca="1">IFERROR(__xludf.DUMMYFUNCTION("IFERROR(ARRAYFORMULA(REGEXEXTRACT(C177,""^(?:https?:\/\/)?(?:[^@\n]+@)?(?:www\.)?([^:\/\n]+)"")),"""")"),"garagedoornation.com")</f>
        <v>garagedoornation.com</v>
      </c>
      <c r="E177" s="110" t="str">
        <f ca="1">IFERROR(__xludf.DUMMYFUNCTION("""COMPUTED_VALUE"""),"New")</f>
        <v>New</v>
      </c>
      <c r="F177" s="27">
        <v>35</v>
      </c>
      <c r="G177" s="27">
        <v>3259</v>
      </c>
      <c r="I177" s="27" t="s">
        <v>10556</v>
      </c>
      <c r="K177" s="108" t="s">
        <v>8944</v>
      </c>
      <c r="L177" s="27" t="s">
        <v>10173</v>
      </c>
      <c r="M177" s="48">
        <v>46077</v>
      </c>
      <c r="O177" s="27" t="s">
        <v>10174</v>
      </c>
    </row>
    <row r="178" spans="2:15" ht="12.5">
      <c r="B178" s="8" t="s">
        <v>2838</v>
      </c>
      <c r="C178" s="8" t="s">
        <v>10557</v>
      </c>
      <c r="D178" s="25" t="str">
        <f ca="1">IFERROR(__xludf.DUMMYFUNCTION("IFERROR(ARRAYFORMULA(REGEXEXTRACT(C178,""^(?:https?:\/\/)?(?:[^@\n]+@)?(?:www\.)?([^:\/\n]+)"")),"""")"),"workiz.com")</f>
        <v>workiz.com</v>
      </c>
      <c r="E178" s="110" t="str">
        <f ca="1">IFERROR(__xludf.DUMMYFUNCTION("""COMPUTED_VALUE"""),"New")</f>
        <v>New</v>
      </c>
      <c r="F178" s="27">
        <v>76</v>
      </c>
      <c r="G178" s="27">
        <v>47827</v>
      </c>
      <c r="H178" s="27" t="s">
        <v>10558</v>
      </c>
      <c r="I178" s="27" t="s">
        <v>10559</v>
      </c>
      <c r="K178" s="108" t="s">
        <v>5375</v>
      </c>
      <c r="L178" s="27" t="s">
        <v>10173</v>
      </c>
      <c r="M178" s="48">
        <v>46077</v>
      </c>
      <c r="O178" s="27" t="s">
        <v>10174</v>
      </c>
    </row>
    <row r="179" spans="2:15" ht="12.5">
      <c r="B179" s="8" t="s">
        <v>2838</v>
      </c>
      <c r="C179" s="8" t="s">
        <v>10560</v>
      </c>
      <c r="D179" s="25" t="str">
        <f ca="1">IFERROR(__xludf.DUMMYFUNCTION("IFERROR(ARRAYFORMULA(REGEXEXTRACT(C179,""^(?:https?:\/\/)?(?:[^@\n]+@)?(?:www\.)?([^:\/\n]+)"")),"""")"),"aprodoor.com")</f>
        <v>aprodoor.com</v>
      </c>
      <c r="E179" s="110" t="str">
        <f ca="1">IFERROR(__xludf.DUMMYFUNCTION("""COMPUTED_VALUE"""),"New")</f>
        <v>New</v>
      </c>
      <c r="F179" s="27">
        <v>50</v>
      </c>
      <c r="G179" s="27">
        <v>7269</v>
      </c>
      <c r="H179" s="27" t="s">
        <v>10561</v>
      </c>
      <c r="I179" s="27" t="s">
        <v>10562</v>
      </c>
      <c r="K179" s="108" t="s">
        <v>10563</v>
      </c>
      <c r="L179" s="27" t="s">
        <v>10173</v>
      </c>
      <c r="M179" s="48">
        <v>46077</v>
      </c>
      <c r="O179" s="27" t="s">
        <v>10174</v>
      </c>
    </row>
    <row r="180" spans="2:15" ht="12.5">
      <c r="B180" s="8" t="s">
        <v>2838</v>
      </c>
      <c r="C180" s="8" t="s">
        <v>10564</v>
      </c>
      <c r="D180" s="25" t="str">
        <f ca="1">IFERROR(__xludf.DUMMYFUNCTION("IFERROR(ARRAYFORMULA(REGEXEXTRACT(C180,""^(?:https?:\/\/)?(?:[^@\n]+@)?(?:www\.)?([^:\/\n]+)"")),"""")"),"raynordoor.com")</f>
        <v>raynordoor.com</v>
      </c>
      <c r="E180" s="110" t="str">
        <f ca="1">IFERROR(__xludf.DUMMYFUNCTION("""COMPUTED_VALUE"""),"New")</f>
        <v>New</v>
      </c>
      <c r="F180" s="27">
        <v>48</v>
      </c>
      <c r="G180" s="27">
        <v>1219</v>
      </c>
      <c r="H180" s="27" t="s">
        <v>10565</v>
      </c>
      <c r="I180" s="27" t="s">
        <v>10566</v>
      </c>
      <c r="K180" s="108" t="s">
        <v>10563</v>
      </c>
      <c r="L180" s="27" t="s">
        <v>10173</v>
      </c>
      <c r="M180" s="48">
        <v>46077</v>
      </c>
      <c r="O180" s="27" t="s">
        <v>10174</v>
      </c>
    </row>
    <row r="181" spans="2:15" ht="12.5">
      <c r="B181" s="8" t="s">
        <v>2838</v>
      </c>
      <c r="C181" s="8" t="s">
        <v>10567</v>
      </c>
      <c r="D181" s="25" t="str">
        <f ca="1">IFERROR(__xludf.DUMMYFUNCTION("IFERROR(ARRAYFORMULA(REGEXEXTRACT(C181,""^(?:https?:\/\/)?(?:[^@\n]+@)?(?:www\.)?([^:\/\n]+)"")),"""")"),"doorvana.com")</f>
        <v>doorvana.com</v>
      </c>
      <c r="E181" s="110" t="str">
        <f ca="1">IFERROR(__xludf.DUMMYFUNCTION("""COMPUTED_VALUE"""),"New")</f>
        <v>New</v>
      </c>
      <c r="F181" s="27">
        <v>37</v>
      </c>
      <c r="G181" s="27">
        <v>4135</v>
      </c>
      <c r="H181" s="27" t="s">
        <v>10568</v>
      </c>
      <c r="I181" s="27" t="s">
        <v>10569</v>
      </c>
      <c r="K181" s="108" t="s">
        <v>10563</v>
      </c>
      <c r="L181" s="27" t="s">
        <v>10173</v>
      </c>
      <c r="M181" s="48">
        <v>46077</v>
      </c>
      <c r="O181" s="27" t="s">
        <v>10174</v>
      </c>
    </row>
    <row r="182" spans="2:15" ht="12.5">
      <c r="B182" s="8" t="s">
        <v>2838</v>
      </c>
      <c r="C182" s="8" t="s">
        <v>10570</v>
      </c>
      <c r="D182" s="25" t="str">
        <f ca="1">IFERROR(__xludf.DUMMYFUNCTION("IFERROR(ARRAYFORMULA(REGEXEXTRACT(C182,""^(?:https?:\/\/)?(?:[^@\n]+@)?(?:www\.)?([^:\/\n]+)"")),"""")"),"ciwebgroup.com")</f>
        <v>ciwebgroup.com</v>
      </c>
      <c r="E182" s="110" t="str">
        <f ca="1">IFERROR(__xludf.DUMMYFUNCTION("""COMPUTED_VALUE"""),"New")</f>
        <v>New</v>
      </c>
      <c r="F182" s="27">
        <v>70</v>
      </c>
      <c r="G182" s="27">
        <v>1209</v>
      </c>
      <c r="H182" s="27" t="s">
        <v>7400</v>
      </c>
      <c r="I182" s="27" t="s">
        <v>10571</v>
      </c>
      <c r="K182" s="108" t="s">
        <v>5375</v>
      </c>
      <c r="L182" s="27" t="s">
        <v>10173</v>
      </c>
      <c r="M182" s="48">
        <v>46077</v>
      </c>
      <c r="O182" s="27" t="s">
        <v>10174</v>
      </c>
    </row>
    <row r="183" spans="2:15" ht="12.5">
      <c r="B183" s="8" t="s">
        <v>2838</v>
      </c>
      <c r="C183" s="8" t="s">
        <v>10572</v>
      </c>
      <c r="D183" s="25" t="str">
        <f ca="1">IFERROR(__xludf.DUMMYFUNCTION("IFERROR(ARRAYFORMULA(REGEXEXTRACT(C183,""^(?:https?:\/\/)?(?:[^@\n]+@)?(?:www\.)?([^:\/\n]+)"")),"""")"),"ddmgaragedoors.com")</f>
        <v>ddmgaragedoors.com</v>
      </c>
      <c r="E183" s="110" t="str">
        <f ca="1">IFERROR(__xludf.DUMMYFUNCTION("""COMPUTED_VALUE"""),"New")</f>
        <v>New</v>
      </c>
      <c r="F183" s="27">
        <v>42</v>
      </c>
      <c r="G183" s="27">
        <v>16042</v>
      </c>
      <c r="H183" s="27" t="s">
        <v>10317</v>
      </c>
      <c r="I183" s="27" t="s">
        <v>10573</v>
      </c>
      <c r="K183" s="108" t="s">
        <v>10563</v>
      </c>
      <c r="L183" s="27" t="s">
        <v>10173</v>
      </c>
      <c r="M183" s="48">
        <v>46077</v>
      </c>
      <c r="O183" s="27" t="s">
        <v>10174</v>
      </c>
    </row>
    <row r="184" spans="2:15" ht="12.5">
      <c r="B184" s="8" t="s">
        <v>2838</v>
      </c>
      <c r="C184" s="8" t="s">
        <v>10574</v>
      </c>
      <c r="D184" s="25" t="str">
        <f ca="1">IFERROR(__xludf.DUMMYFUNCTION("IFERROR(ARRAYFORMULA(REGEXEXTRACT(C184,""^(?:https?:\/\/)?(?:[^@\n]+@)?(?:www\.)?([^:\/\n]+)"")),"""")"),"aaronoverheaddoors.com")</f>
        <v>aaronoverheaddoors.com</v>
      </c>
      <c r="E184" s="110" t="str">
        <f ca="1">IFERROR(__xludf.DUMMYFUNCTION("""COMPUTED_VALUE"""),"New")</f>
        <v>New</v>
      </c>
      <c r="F184" s="27">
        <v>25</v>
      </c>
      <c r="G184" s="27">
        <v>1241</v>
      </c>
      <c r="H184" s="27" t="s">
        <v>3236</v>
      </c>
      <c r="I184" s="27" t="s">
        <v>10575</v>
      </c>
      <c r="K184" s="108" t="s">
        <v>10563</v>
      </c>
      <c r="L184" s="27" t="s">
        <v>10173</v>
      </c>
      <c r="M184" s="48">
        <v>46077</v>
      </c>
      <c r="O184" s="27" t="s">
        <v>10174</v>
      </c>
    </row>
    <row r="185" spans="2:15" ht="12.5">
      <c r="B185" s="8" t="s">
        <v>2838</v>
      </c>
      <c r="C185" s="8" t="s">
        <v>10576</v>
      </c>
      <c r="D185" s="25" t="str">
        <f ca="1">IFERROR(__xludf.DUMMYFUNCTION("IFERROR(ARRAYFORMULA(REGEXEXTRACT(C185,""^(?:https?:\/\/)?(?:[^@\n]+@)?(?:www\.)?([^:\/\n]+)"")),"""")"),"networx.com")</f>
        <v>networx.com</v>
      </c>
      <c r="E185" s="110" t="str">
        <f ca="1">IFERROR(__xludf.DUMMYFUNCTION("""COMPUTED_VALUE"""),"New")</f>
        <v>New</v>
      </c>
      <c r="F185" s="27">
        <v>75</v>
      </c>
      <c r="G185" s="27">
        <v>69369</v>
      </c>
      <c r="H185" s="27" t="s">
        <v>10577</v>
      </c>
      <c r="I185" s="27" t="s">
        <v>10578</v>
      </c>
      <c r="K185" s="108" t="s">
        <v>8944</v>
      </c>
      <c r="L185" s="27" t="s">
        <v>10173</v>
      </c>
      <c r="M185" s="48">
        <v>46077</v>
      </c>
      <c r="O185" s="27" t="s">
        <v>10174</v>
      </c>
    </row>
    <row r="186" spans="2:15" ht="12.5">
      <c r="B186" s="8" t="s">
        <v>2838</v>
      </c>
      <c r="C186" s="8" t="s">
        <v>10579</v>
      </c>
      <c r="D186" s="25" t="str">
        <f ca="1">IFERROR(__xludf.DUMMYFUNCTION("IFERROR(ARRAYFORMULA(REGEXEXTRACT(C186,""^(?:https?:\/\/)?(?:[^@\n]+@)?(?:www\.)?([^:\/\n]+)"")),"""")"),"creativedoor.com")</f>
        <v>creativedoor.com</v>
      </c>
      <c r="E186" s="110" t="str">
        <f ca="1">IFERROR(__xludf.DUMMYFUNCTION("""COMPUTED_VALUE"""),"New")</f>
        <v>New</v>
      </c>
      <c r="F186" s="27">
        <v>48</v>
      </c>
      <c r="G186" s="27">
        <v>7971</v>
      </c>
      <c r="I186" s="27" t="s">
        <v>10580</v>
      </c>
      <c r="K186" s="108" t="s">
        <v>10563</v>
      </c>
      <c r="L186" s="27" t="s">
        <v>10173</v>
      </c>
      <c r="M186" s="48">
        <v>46077</v>
      </c>
      <c r="O186" s="27" t="s">
        <v>10174</v>
      </c>
    </row>
    <row r="187" spans="2:15" ht="12.5">
      <c r="B187" s="8" t="s">
        <v>2838</v>
      </c>
      <c r="C187" s="8" t="s">
        <v>10581</v>
      </c>
      <c r="D187" s="25" t="str">
        <f ca="1">IFERROR(__xludf.DUMMYFUNCTION("IFERROR(ARRAYFORMULA(REGEXEXTRACT(C187,""^(?:https?:\/\/)?(?:[^@\n]+@)?(?:www\.)?([^:\/\n]+)"")),"""")"),"capitallightingfixture.com")</f>
        <v>capitallightingfixture.com</v>
      </c>
      <c r="E187" s="110" t="str">
        <f ca="1">IFERROR(__xludf.DUMMYFUNCTION("""COMPUTED_VALUE"""),"New")</f>
        <v>New</v>
      </c>
      <c r="F187" s="27">
        <v>47</v>
      </c>
      <c r="G187" s="27">
        <v>15121</v>
      </c>
      <c r="J187" s="8" t="s">
        <v>10582</v>
      </c>
      <c r="K187" s="108" t="s">
        <v>10583</v>
      </c>
      <c r="L187" s="27" t="s">
        <v>10173</v>
      </c>
      <c r="M187" s="48">
        <v>46077</v>
      </c>
      <c r="O187" s="27" t="s">
        <v>10174</v>
      </c>
    </row>
    <row r="188" spans="2:15" ht="12.5">
      <c r="B188" s="8" t="s">
        <v>2838</v>
      </c>
      <c r="C188" s="8" t="s">
        <v>10584</v>
      </c>
      <c r="D188" s="25" t="str">
        <f ca="1">IFERROR(__xludf.DUMMYFUNCTION("IFERROR(ARRAYFORMULA(REGEXEXTRACT(C188,""^(?:https?:\/\/)?(?:[^@\n]+@)?(?:www\.)?([^:\/\n]+)"")),"""")"),"hugghall.com")</f>
        <v>hugghall.com</v>
      </c>
      <c r="E188" s="110" t="str">
        <f ca="1">IFERROR(__xludf.DUMMYFUNCTION("""COMPUTED_VALUE"""),"New")</f>
        <v>New</v>
      </c>
      <c r="F188" s="27">
        <v>41</v>
      </c>
      <c r="G188" s="27">
        <v>4279</v>
      </c>
      <c r="H188" s="27" t="s">
        <v>4061</v>
      </c>
      <c r="I188" s="27" t="s">
        <v>10585</v>
      </c>
      <c r="K188" s="108" t="s">
        <v>4291</v>
      </c>
      <c r="L188" s="27" t="s">
        <v>10173</v>
      </c>
      <c r="M188" s="48">
        <v>46077</v>
      </c>
      <c r="O188" s="27" t="s">
        <v>10174</v>
      </c>
    </row>
    <row r="189" spans="2:15" ht="12.5">
      <c r="B189" s="8" t="s">
        <v>2838</v>
      </c>
      <c r="C189" s="8" t="s">
        <v>10586</v>
      </c>
      <c r="D189" s="25" t="str">
        <f ca="1">IFERROR(__xludf.DUMMYFUNCTION("IFERROR(ARRAYFORMULA(REGEXEXTRACT(C189,""^(?:https?:\/\/)?(?:[^@\n]+@)?(?:www\.)?([^:\/\n]+)"")),"""")"),"minercorp.com")</f>
        <v>minercorp.com</v>
      </c>
      <c r="E189" s="110" t="str">
        <f ca="1">IFERROR(__xludf.DUMMYFUNCTION("""COMPUTED_VALUE"""),"New")</f>
        <v>New</v>
      </c>
      <c r="F189" s="27">
        <v>36</v>
      </c>
      <c r="G189" s="27">
        <v>3869</v>
      </c>
      <c r="H189" s="27" t="s">
        <v>4969</v>
      </c>
      <c r="I189" s="27" t="s">
        <v>10587</v>
      </c>
      <c r="K189" s="108" t="s">
        <v>10563</v>
      </c>
      <c r="L189" s="27" t="s">
        <v>10173</v>
      </c>
      <c r="M189" s="48">
        <v>46078</v>
      </c>
      <c r="O189" s="27" t="s">
        <v>10174</v>
      </c>
    </row>
    <row r="190" spans="2:15" ht="12.5">
      <c r="B190" s="8" t="s">
        <v>2838</v>
      </c>
      <c r="C190" s="8" t="s">
        <v>10588</v>
      </c>
      <c r="D190" s="25" t="str">
        <f ca="1">IFERROR(__xludf.DUMMYFUNCTION("IFERROR(ARRAYFORMULA(REGEXEXTRACT(C190,""^(?:https?:\/\/)?(?:[^@\n]+@)?(?:www\.)?([^:\/\n]+)"")),"""")"),"mosbybuildingarts.com")</f>
        <v>mosbybuildingarts.com</v>
      </c>
      <c r="E190" s="110" t="str">
        <f ca="1">IFERROR(__xludf.DUMMYFUNCTION("""COMPUTED_VALUE"""),"New")</f>
        <v>New</v>
      </c>
      <c r="F190" s="27">
        <v>36</v>
      </c>
      <c r="G190" s="27">
        <v>3303</v>
      </c>
      <c r="H190" s="27" t="s">
        <v>10589</v>
      </c>
      <c r="I190" s="27" t="s">
        <v>10590</v>
      </c>
      <c r="K190" s="108" t="s">
        <v>7096</v>
      </c>
      <c r="L190" s="27" t="s">
        <v>10173</v>
      </c>
      <c r="M190" s="48">
        <v>46078</v>
      </c>
      <c r="O190" s="27" t="s">
        <v>10174</v>
      </c>
    </row>
    <row r="191" spans="2:15" ht="12.5">
      <c r="B191" s="8" t="s">
        <v>2838</v>
      </c>
      <c r="C191" s="8" t="s">
        <v>10591</v>
      </c>
      <c r="D191" s="25" t="str">
        <f ca="1">IFERROR(__xludf.DUMMYFUNCTION("IFERROR(ARRAYFORMULA(REGEXEXTRACT(C191,""^(?:https?:\/\/)?(?:[^@\n]+@)?(?:www\.)?([^:\/\n]+)"")),"""")"),"hollywoodcrawford.com")</f>
        <v>hollywoodcrawford.com</v>
      </c>
      <c r="E191" s="110" t="str">
        <f ca="1">IFERROR(__xludf.DUMMYFUNCTION("""COMPUTED_VALUE"""),"New")</f>
        <v>New</v>
      </c>
      <c r="F191" s="27">
        <v>29</v>
      </c>
      <c r="G191" s="27">
        <v>2856</v>
      </c>
      <c r="H191" s="27" t="s">
        <v>10592</v>
      </c>
      <c r="I191" s="27" t="s">
        <v>10593</v>
      </c>
      <c r="K191" s="108" t="s">
        <v>10563</v>
      </c>
      <c r="L191" s="27" t="s">
        <v>10173</v>
      </c>
      <c r="M191" s="48">
        <v>46078</v>
      </c>
      <c r="O191" s="27" t="s">
        <v>10174</v>
      </c>
    </row>
    <row r="192" spans="2:15" ht="12.5">
      <c r="B192" s="8" t="s">
        <v>2838</v>
      </c>
      <c r="C192" s="8" t="s">
        <v>10594</v>
      </c>
      <c r="D192" s="25" t="str">
        <f ca="1">IFERROR(__xludf.DUMMYFUNCTION("IFERROR(ARRAYFORMULA(REGEXEXTRACT(C192,""^(?:https?:\/\/)?(?:[^@\n]+@)?(?:www\.)?([^:\/\n]+)"")),"""")"),"greenbuildingadvisor.com")</f>
        <v>greenbuildingadvisor.com</v>
      </c>
      <c r="E192" s="110" t="str">
        <f ca="1">IFERROR(__xludf.DUMMYFUNCTION("""COMPUTED_VALUE"""),"New")</f>
        <v>New</v>
      </c>
      <c r="F192" s="27">
        <v>73</v>
      </c>
      <c r="G192" s="27">
        <v>62707</v>
      </c>
      <c r="K192" s="113"/>
      <c r="L192" s="27" t="s">
        <v>10173</v>
      </c>
      <c r="M192" s="48">
        <v>46078</v>
      </c>
      <c r="O192" s="27" t="s">
        <v>10174</v>
      </c>
    </row>
    <row r="193" spans="2:15" ht="12.5">
      <c r="B193" s="8" t="s">
        <v>2838</v>
      </c>
      <c r="C193" s="8" t="s">
        <v>10595</v>
      </c>
      <c r="D193" s="25" t="str">
        <f ca="1">IFERROR(__xludf.DUMMYFUNCTION("IFERROR(ARRAYFORMULA(REGEXEXTRACT(C193,""^(?:https?:\/\/)?(?:[^@\n]+@)?(?:www\.)?([^:\/\n]+)"")),"""")"),"makinghomebase.com")</f>
        <v>makinghomebase.com</v>
      </c>
      <c r="E193" s="110" t="str">
        <f ca="1">IFERROR(__xludf.DUMMYFUNCTION("""COMPUTED_VALUE"""),"New")</f>
        <v>New</v>
      </c>
      <c r="F193" s="27">
        <v>53</v>
      </c>
      <c r="G193" s="27">
        <v>3474</v>
      </c>
      <c r="H193" s="27" t="s">
        <v>10596</v>
      </c>
      <c r="I193" s="27" t="s">
        <v>10597</v>
      </c>
      <c r="K193" s="108" t="s">
        <v>3839</v>
      </c>
      <c r="L193" s="27" t="s">
        <v>10173</v>
      </c>
      <c r="M193" s="48">
        <v>46078</v>
      </c>
      <c r="O193" s="27" t="s">
        <v>10174</v>
      </c>
    </row>
    <row r="194" spans="2:15" ht="12.5">
      <c r="B194" s="8" t="s">
        <v>2838</v>
      </c>
      <c r="C194" s="8" t="s">
        <v>10598</v>
      </c>
      <c r="D194" s="25" t="str">
        <f ca="1">IFERROR(__xludf.DUMMYFUNCTION("IFERROR(ARRAYFORMULA(REGEXEXTRACT(C194,""^(?:https?:\/\/)?(?:[^@\n]+@)?(?:www\.)?([^:\/\n]+)"")),"""")"),"dexknows.com")</f>
        <v>dexknows.com</v>
      </c>
      <c r="E194" s="110" t="str">
        <f ca="1">IFERROR(__xludf.DUMMYFUNCTION("""COMPUTED_VALUE"""),"New")</f>
        <v>New</v>
      </c>
      <c r="F194" s="27">
        <v>78</v>
      </c>
      <c r="G194" s="27">
        <v>1946</v>
      </c>
      <c r="K194" s="113"/>
      <c r="L194" s="27" t="s">
        <v>10173</v>
      </c>
      <c r="M194" s="48">
        <v>46078</v>
      </c>
      <c r="O194" s="27" t="s">
        <v>10174</v>
      </c>
    </row>
    <row r="195" spans="2:15" ht="12.5">
      <c r="B195" s="8" t="s">
        <v>2838</v>
      </c>
      <c r="C195" s="8" t="s">
        <v>10599</v>
      </c>
      <c r="D195" s="25" t="str">
        <f ca="1">IFERROR(__xludf.DUMMYFUNCTION("IFERROR(ARRAYFORMULA(REGEXEXTRACT(C195,""^(?:https?:\/\/)?(?:[^@\n]+@)?(?:www\.)?([^:\/\n]+)"")),"""")"),"bdcnetwork.com")</f>
        <v>bdcnetwork.com</v>
      </c>
      <c r="E195" s="110" t="str">
        <f ca="1">IFERROR(__xludf.DUMMYFUNCTION("""COMPUTED_VALUE"""),"New")</f>
        <v>New</v>
      </c>
      <c r="F195" s="27">
        <v>76</v>
      </c>
      <c r="G195" s="27">
        <v>12928</v>
      </c>
      <c r="H195" s="27" t="s">
        <v>4298</v>
      </c>
      <c r="I195" s="27" t="s">
        <v>10600</v>
      </c>
      <c r="K195" s="108" t="s">
        <v>4291</v>
      </c>
      <c r="L195" s="27" t="s">
        <v>10173</v>
      </c>
      <c r="M195" s="48">
        <v>46078</v>
      </c>
      <c r="O195" s="27" t="s">
        <v>10174</v>
      </c>
    </row>
    <row r="196" spans="2:15" ht="12.5">
      <c r="B196" s="8" t="s">
        <v>2838</v>
      </c>
      <c r="C196" s="8" t="s">
        <v>10601</v>
      </c>
      <c r="D196" s="25" t="str">
        <f ca="1">IFERROR(__xludf.DUMMYFUNCTION("IFERROR(ARRAYFORMULA(REGEXEXTRACT(C196,""^(?:https?:\/\/)?(?:[^@\n]+@)?(?:www\.)?([^:\/\n]+)"")),"""")"),"maximizemarketresearch.com")</f>
        <v>maximizemarketresearch.com</v>
      </c>
      <c r="E196" s="110" t="str">
        <f ca="1">IFERROR(__xludf.DUMMYFUNCTION("""COMPUTED_VALUE"""),"New")</f>
        <v>New</v>
      </c>
      <c r="F196" s="27">
        <v>76</v>
      </c>
      <c r="G196" s="27">
        <v>5303</v>
      </c>
      <c r="H196" s="27" t="s">
        <v>10602</v>
      </c>
      <c r="I196" s="27" t="s">
        <v>10603</v>
      </c>
      <c r="K196" s="108" t="s">
        <v>3791</v>
      </c>
      <c r="L196" s="27" t="s">
        <v>10173</v>
      </c>
      <c r="M196" s="48">
        <v>46078</v>
      </c>
      <c r="O196" s="27" t="s">
        <v>10174</v>
      </c>
    </row>
    <row r="197" spans="2:15" ht="12.5">
      <c r="B197" s="8" t="s">
        <v>2838</v>
      </c>
      <c r="C197" s="8" t="s">
        <v>10604</v>
      </c>
      <c r="D197" s="25" t="str">
        <f ca="1">IFERROR(__xludf.DUMMYFUNCTION("IFERROR(ARRAYFORMULA(REGEXEXTRACT(C197,""^(?:https?:\/\/)?(?:[^@\n]+@)?(?:www\.)?([^:\/\n]+)"")),"""")"),"rhinobldg.com")</f>
        <v>rhinobldg.com</v>
      </c>
      <c r="E197" s="110" t="str">
        <f ca="1">IFERROR(__xludf.DUMMYFUNCTION("""COMPUTED_VALUE"""),"New")</f>
        <v>New</v>
      </c>
      <c r="F197" s="27">
        <v>31</v>
      </c>
      <c r="G197" s="27">
        <v>15924</v>
      </c>
      <c r="I197" s="27" t="s">
        <v>10605</v>
      </c>
      <c r="K197" s="108" t="s">
        <v>4291</v>
      </c>
      <c r="L197" s="27" t="s">
        <v>10173</v>
      </c>
      <c r="M197" s="48">
        <v>46078</v>
      </c>
      <c r="O197" s="27" t="s">
        <v>10174</v>
      </c>
    </row>
    <row r="198" spans="2:15" ht="12.5">
      <c r="B198" s="8" t="s">
        <v>2838</v>
      </c>
      <c r="C198" s="8" t="s">
        <v>10606</v>
      </c>
      <c r="D198" s="25" t="str">
        <f ca="1">IFERROR(__xludf.DUMMYFUNCTION("IFERROR(ARRAYFORMULA(REGEXEXTRACT(C198,""^(?:https?:\/\/)?(?:[^@\n]+@)?(?:www\.)?([^:\/\n]+)"")),"""")"),"abettergaragedoorinc.com")</f>
        <v>abettergaragedoorinc.com</v>
      </c>
      <c r="E198" s="110" t="str">
        <f ca="1">IFERROR(__xludf.DUMMYFUNCTION("""COMPUTED_VALUE"""),"New")</f>
        <v>New</v>
      </c>
      <c r="F198" s="27">
        <v>28</v>
      </c>
      <c r="G198" s="27">
        <v>1541</v>
      </c>
      <c r="H198" s="27" t="s">
        <v>10178</v>
      </c>
      <c r="I198" s="27" t="s">
        <v>10607</v>
      </c>
      <c r="K198" s="108" t="s">
        <v>10563</v>
      </c>
      <c r="L198" s="27" t="s">
        <v>10173</v>
      </c>
      <c r="M198" s="48">
        <v>46078</v>
      </c>
      <c r="O198" s="27" t="s">
        <v>10174</v>
      </c>
    </row>
    <row r="199" spans="2:15" ht="12.5">
      <c r="B199" s="8" t="s">
        <v>2838</v>
      </c>
      <c r="C199" s="8" t="s">
        <v>10608</v>
      </c>
      <c r="D199" s="25" t="str">
        <f ca="1">IFERROR(__xludf.DUMMYFUNCTION("IFERROR(ARRAYFORMULA(REGEXEXTRACT(C199,""^(?:https?:\/\/)?(?:[^@\n]+@)?(?:www\.)?([^:\/\n]+)"")),"""")"),"dasma.com")</f>
        <v>dasma.com</v>
      </c>
      <c r="E199" s="110" t="str">
        <f ca="1">IFERROR(__xludf.DUMMYFUNCTION("""COMPUTED_VALUE"""),"New")</f>
        <v>New</v>
      </c>
      <c r="F199" s="27">
        <v>72</v>
      </c>
      <c r="G199" s="27">
        <v>2380</v>
      </c>
      <c r="H199" s="27" t="s">
        <v>5806</v>
      </c>
      <c r="I199" s="27" t="s">
        <v>10609</v>
      </c>
      <c r="K199" s="108" t="s">
        <v>10563</v>
      </c>
      <c r="L199" s="27" t="s">
        <v>10173</v>
      </c>
      <c r="M199" s="48">
        <v>46078</v>
      </c>
      <c r="O199" s="27" t="s">
        <v>10174</v>
      </c>
    </row>
    <row r="200" spans="2:15" ht="12.5">
      <c r="B200" s="8" t="s">
        <v>2838</v>
      </c>
      <c r="C200" s="8" t="s">
        <v>10610</v>
      </c>
      <c r="D200" s="25" t="str">
        <f ca="1">IFERROR(__xludf.DUMMYFUNCTION("IFERROR(ARRAYFORMULA(REGEXEXTRACT(C200,""^(?:https?:\/\/)?(?:[^@\n]+@)?(?:www\.)?([^:\/\n]+)"")),"""")"),"owler.com")</f>
        <v>owler.com</v>
      </c>
      <c r="E200" s="110" t="str">
        <f ca="1">IFERROR(__xludf.DUMMYFUNCTION("""COMPUTED_VALUE"""),"New")</f>
        <v>New</v>
      </c>
      <c r="F200" s="27">
        <v>72</v>
      </c>
      <c r="G200" s="27">
        <v>19366</v>
      </c>
      <c r="H200" s="27" t="s">
        <v>10611</v>
      </c>
      <c r="I200" s="27" t="s">
        <v>10612</v>
      </c>
      <c r="K200" s="108" t="s">
        <v>3791</v>
      </c>
      <c r="L200" s="27" t="s">
        <v>10173</v>
      </c>
      <c r="M200" s="48">
        <v>46078</v>
      </c>
      <c r="O200" s="27" t="s">
        <v>10174</v>
      </c>
    </row>
    <row r="201" spans="2:15" ht="12.5">
      <c r="B201" s="8" t="s">
        <v>2838</v>
      </c>
      <c r="C201" s="8" t="s">
        <v>10613</v>
      </c>
      <c r="D201" s="25" t="str">
        <f ca="1">IFERROR(__xludf.DUMMYFUNCTION("IFERROR(ARRAYFORMULA(REGEXEXTRACT(C201,""^(?:https?:\/\/)?(?:[^@\n]+@)?(?:www\.)?([^:\/\n]+)"")),"""")"),"aghost.net")</f>
        <v>aghost.net</v>
      </c>
      <c r="E201" s="110" t="str">
        <f ca="1">IFERROR(__xludf.DUMMYFUNCTION("""COMPUTED_VALUE"""),"New")</f>
        <v>New</v>
      </c>
      <c r="F201" s="27">
        <v>72</v>
      </c>
      <c r="G201" s="27">
        <v>1473</v>
      </c>
      <c r="K201" s="113"/>
      <c r="O201" s="27" t="s">
        <v>10174</v>
      </c>
    </row>
    <row r="202" spans="2:15" ht="12.5">
      <c r="B202" s="8" t="s">
        <v>2838</v>
      </c>
      <c r="C202" s="8" t="s">
        <v>10614</v>
      </c>
      <c r="D202" s="25" t="str">
        <f ca="1">IFERROR(__xludf.DUMMYFUNCTION("IFERROR(ARRAYFORMULA(REGEXEXTRACT(C202,""^(?:https?:\/\/)?(?:[^@\n]+@)?(?:www\.)?([^:\/\n]+)"")),"""")"),"ankmar.com")</f>
        <v>ankmar.com</v>
      </c>
      <c r="E202" s="110" t="str">
        <f ca="1">IFERROR(__xludf.DUMMYFUNCTION("""COMPUTED_VALUE"""),"New")</f>
        <v>New</v>
      </c>
      <c r="F202" s="27">
        <v>28</v>
      </c>
      <c r="G202" s="27">
        <v>1552</v>
      </c>
      <c r="H202" s="27" t="s">
        <v>10615</v>
      </c>
      <c r="I202" s="27" t="s">
        <v>10616</v>
      </c>
      <c r="K202" s="108" t="s">
        <v>10563</v>
      </c>
      <c r="L202" s="27" t="s">
        <v>10173</v>
      </c>
      <c r="M202" s="48">
        <v>46078</v>
      </c>
      <c r="O202" s="27" t="s">
        <v>10174</v>
      </c>
    </row>
    <row r="203" spans="2:15" ht="12.5">
      <c r="B203" s="8" t="s">
        <v>2838</v>
      </c>
      <c r="C203" s="8" t="s">
        <v>10617</v>
      </c>
      <c r="D203" s="25" t="str">
        <f ca="1">IFERROR(__xludf.DUMMYFUNCTION("IFERROR(ARRAYFORMULA(REGEXEXTRACT(C203,""^(?:https?:\/\/)?(?:[^@\n]+@)?(?:www\.)?([^:\/\n]+)"")),"""")"),"artsandcraftshomes.com")</f>
        <v>artsandcraftshomes.com</v>
      </c>
      <c r="E203" s="110" t="str">
        <f ca="1">IFERROR(__xludf.DUMMYFUNCTION("""COMPUTED_VALUE"""),"New")</f>
        <v>New</v>
      </c>
      <c r="F203" s="27">
        <v>48</v>
      </c>
      <c r="G203" s="27">
        <v>2786</v>
      </c>
      <c r="K203" s="113"/>
      <c r="O203" s="27" t="s">
        <v>10174</v>
      </c>
    </row>
    <row r="204" spans="2:15" ht="12.5">
      <c r="B204" s="8" t="s">
        <v>2838</v>
      </c>
      <c r="C204" s="8" t="s">
        <v>10618</v>
      </c>
      <c r="D204" s="25" t="str">
        <f ca="1">IFERROR(__xludf.DUMMYFUNCTION("IFERROR(ARRAYFORMULA(REGEXEXTRACT(C204,""^(?:https?:\/\/)?(?:[^@\n]+@)?(?:www\.)?([^:\/\n]+)"")),"""")"),"artdaily.com")</f>
        <v>artdaily.com</v>
      </c>
      <c r="E204" s="110" t="str">
        <f ca="1">IFERROR(__xludf.DUMMYFUNCTION("""COMPUTED_VALUE"""),"New")</f>
        <v>New</v>
      </c>
      <c r="F204" s="27">
        <v>76</v>
      </c>
      <c r="G204" s="27">
        <v>3417</v>
      </c>
      <c r="K204" s="113"/>
      <c r="O204" s="27" t="s">
        <v>10174</v>
      </c>
    </row>
    <row r="205" spans="2:15" ht="12.5">
      <c r="B205" s="8" t="s">
        <v>2838</v>
      </c>
      <c r="C205" s="8" t="s">
        <v>10619</v>
      </c>
      <c r="D205" s="25" t="str">
        <f ca="1">IFERROR(__xludf.DUMMYFUNCTION("IFERROR(ARRAYFORMULA(REGEXEXTRACT(C205,""^(?:https?:\/\/)?(?:[^@\n]+@)?(?:www\.)?([^:\/\n]+)"")),"""")"),"blog.bimsmith.com")</f>
        <v>blog.bimsmith.com</v>
      </c>
      <c r="E205" s="110" t="str">
        <f ca="1">IFERROR(__xludf.DUMMYFUNCTION("""COMPUTED_VALUE"""),"New")</f>
        <v>New</v>
      </c>
      <c r="F205" s="27">
        <v>67</v>
      </c>
      <c r="G205" s="27">
        <v>10086</v>
      </c>
      <c r="I205" s="27" t="s">
        <v>10620</v>
      </c>
      <c r="K205" s="108" t="s">
        <v>7090</v>
      </c>
      <c r="L205" s="27" t="s">
        <v>10173</v>
      </c>
      <c r="M205" s="48">
        <v>46078</v>
      </c>
      <c r="O205" s="27" t="s">
        <v>10174</v>
      </c>
    </row>
    <row r="206" spans="2:15" ht="12.5">
      <c r="B206" s="8" t="s">
        <v>2838</v>
      </c>
      <c r="C206" s="8" t="s">
        <v>10621</v>
      </c>
      <c r="D206" s="25" t="str">
        <f ca="1">IFERROR(__xludf.DUMMYFUNCTION("IFERROR(ARRAYFORMULA(REGEXEXTRACT(C206,""^(?:https?:\/\/)?(?:[^@\n]+@)?(?:www\.)?([^:\/\n]+)"")),"""")"),"modlar.com")</f>
        <v>modlar.com</v>
      </c>
      <c r="E206" s="110" t="str">
        <f ca="1">IFERROR(__xludf.DUMMYFUNCTION("""COMPUTED_VALUE"""),"New")</f>
        <v>New</v>
      </c>
      <c r="F206" s="27">
        <v>51</v>
      </c>
      <c r="G206" s="27">
        <v>17297</v>
      </c>
      <c r="H206" s="27" t="s">
        <v>3366</v>
      </c>
      <c r="I206" s="27" t="s">
        <v>10622</v>
      </c>
      <c r="K206" s="108" t="s">
        <v>7090</v>
      </c>
      <c r="L206" s="27" t="s">
        <v>10173</v>
      </c>
      <c r="M206" s="48">
        <v>46078</v>
      </c>
      <c r="O206" s="27" t="s">
        <v>10174</v>
      </c>
    </row>
    <row r="207" spans="2:15" ht="12.5">
      <c r="B207" s="8" t="s">
        <v>2838</v>
      </c>
      <c r="C207" s="8" t="s">
        <v>10623</v>
      </c>
      <c r="D207" s="25" t="str">
        <f ca="1">IFERROR(__xludf.DUMMYFUNCTION("IFERROR(ARRAYFORMULA(REGEXEXTRACT(C207,""^(?:https?:\/\/)?(?:[^@\n]+@)?(?:www\.)?([^:\/\n]+)"")),"""")"),"hotianwindows.com")</f>
        <v>hotianwindows.com</v>
      </c>
      <c r="E207" s="110" t="str">
        <f ca="1">IFERROR(__xludf.DUMMYFUNCTION("""COMPUTED_VALUE"""),"New")</f>
        <v>New</v>
      </c>
      <c r="F207" s="27">
        <v>20</v>
      </c>
      <c r="G207" s="27">
        <v>3671</v>
      </c>
      <c r="I207" s="27" t="s">
        <v>10624</v>
      </c>
      <c r="K207" s="108" t="s">
        <v>10625</v>
      </c>
      <c r="L207" s="27" t="s">
        <v>10173</v>
      </c>
      <c r="M207" s="48">
        <v>46078</v>
      </c>
      <c r="O207" s="27" t="s">
        <v>10174</v>
      </c>
    </row>
    <row r="208" spans="2:15" ht="12.5">
      <c r="B208" s="8" t="s">
        <v>2838</v>
      </c>
      <c r="C208" s="8" t="s">
        <v>10626</v>
      </c>
      <c r="D208" s="25" t="str">
        <f ca="1">IFERROR(__xludf.DUMMYFUNCTION("IFERROR(ARRAYFORMULA(REGEXEXTRACT(C208,""^(?:https?:\/\/)?(?:[^@\n]+@)?(?:www\.)?([^:\/\n]+)"")),"""")"),"garageforce.com")</f>
        <v>garageforce.com</v>
      </c>
      <c r="E208" s="110" t="str">
        <f ca="1">IFERROR(__xludf.DUMMYFUNCTION("""COMPUTED_VALUE"""),"New")</f>
        <v>New</v>
      </c>
      <c r="F208" s="27">
        <v>44</v>
      </c>
      <c r="G208" s="27">
        <v>4713</v>
      </c>
      <c r="H208" s="27" t="s">
        <v>10627</v>
      </c>
      <c r="I208" s="27" t="s">
        <v>10628</v>
      </c>
      <c r="K208" s="108" t="s">
        <v>10629</v>
      </c>
      <c r="L208" s="27" t="s">
        <v>10173</v>
      </c>
      <c r="M208" s="48">
        <v>46083</v>
      </c>
      <c r="O208" s="27" t="s">
        <v>10174</v>
      </c>
    </row>
    <row r="209" spans="2:15" ht="12.5">
      <c r="B209" s="8" t="s">
        <v>2838</v>
      </c>
      <c r="C209" s="8" t="s">
        <v>10630</v>
      </c>
      <c r="D209" s="25" t="str">
        <f ca="1">IFERROR(__xludf.DUMMYFUNCTION("IFERROR(ARRAYFORMULA(REGEXEXTRACT(C209,""^(?:https?:\/\/)?(?:[^@\n]+@)?(?:www\.)?([^:\/\n]+)"")),"""")"),"jayscustomcreations.com")</f>
        <v>jayscustomcreations.com</v>
      </c>
      <c r="E209" s="110" t="str">
        <f ca="1">IFERROR(__xludf.DUMMYFUNCTION("""COMPUTED_VALUE"""),"New")</f>
        <v>New</v>
      </c>
      <c r="F209" s="27">
        <v>46</v>
      </c>
      <c r="G209" s="27">
        <v>7589</v>
      </c>
      <c r="H209" s="27" t="s">
        <v>10631</v>
      </c>
      <c r="I209" s="27" t="s">
        <v>10632</v>
      </c>
      <c r="K209" s="108" t="s">
        <v>10633</v>
      </c>
      <c r="L209" s="27" t="s">
        <v>10173</v>
      </c>
      <c r="M209" s="48">
        <v>46083</v>
      </c>
      <c r="O209" s="27" t="s">
        <v>10174</v>
      </c>
    </row>
    <row r="210" spans="2:15" ht="12.5">
      <c r="B210" s="8" t="s">
        <v>2838</v>
      </c>
      <c r="C210" s="8" t="s">
        <v>10634</v>
      </c>
      <c r="D210" s="25" t="str">
        <f ca="1">IFERROR(__xludf.DUMMYFUNCTION("IFERROR(ARRAYFORMULA(REGEXEXTRACT(C210,""^(?:https?:\/\/)?(?:[^@\n]+@)?(?:www\.)?([^:\/\n]+)"")),"""")"),"raynordoorauthority.com")</f>
        <v>raynordoorauthority.com</v>
      </c>
      <c r="E210" s="110" t="str">
        <f ca="1">IFERROR(__xludf.DUMMYFUNCTION("""COMPUTED_VALUE"""),"New")</f>
        <v>New</v>
      </c>
      <c r="F210" s="27">
        <v>20</v>
      </c>
      <c r="G210" s="27">
        <v>3529</v>
      </c>
      <c r="I210" s="27" t="s">
        <v>8456</v>
      </c>
      <c r="K210" s="108" t="s">
        <v>10563</v>
      </c>
      <c r="L210" s="27" t="s">
        <v>10173</v>
      </c>
      <c r="M210" s="48">
        <v>46083</v>
      </c>
      <c r="O210" s="27" t="s">
        <v>10174</v>
      </c>
    </row>
    <row r="211" spans="2:15" ht="12.5">
      <c r="B211" s="8" t="s">
        <v>2838</v>
      </c>
      <c r="C211" s="8" t="s">
        <v>10635</v>
      </c>
      <c r="D211" s="25" t="str">
        <f ca="1">IFERROR(__xludf.DUMMYFUNCTION("IFERROR(ARRAYFORMULA(REGEXEXTRACT(C211,""^(?:https?:\/\/)?(?:[^@\n]+@)?(?:www\.)?([^:\/\n]+)"")),"""")"),"realtyexecutives.com")</f>
        <v>realtyexecutives.com</v>
      </c>
      <c r="E211" s="110" t="str">
        <f ca="1">IFERROR(__xludf.DUMMYFUNCTION("""COMPUTED_VALUE"""),"New")</f>
        <v>New</v>
      </c>
      <c r="F211" s="27">
        <v>69</v>
      </c>
      <c r="G211" s="27">
        <v>3310</v>
      </c>
      <c r="I211" s="27" t="s">
        <v>10636</v>
      </c>
      <c r="K211" s="108" t="s">
        <v>3853</v>
      </c>
      <c r="L211" s="27" t="s">
        <v>10173</v>
      </c>
      <c r="M211" s="48">
        <v>46083</v>
      </c>
      <c r="O211" s="27" t="s">
        <v>10174</v>
      </c>
    </row>
    <row r="212" spans="2:15" ht="12.5">
      <c r="B212" s="8" t="s">
        <v>2838</v>
      </c>
      <c r="C212" s="8" t="s">
        <v>10637</v>
      </c>
      <c r="D212" s="25" t="str">
        <f ca="1">IFERROR(__xludf.DUMMYFUNCTION("IFERROR(ARRAYFORMULA(REGEXEXTRACT(C212,""^(?:https?:\/\/)?(?:[^@\n]+@)?(?:www\.)?([^:\/\n]+)"")),"""")"),"kevinszabojrplumbing.net")</f>
        <v>kevinszabojrplumbing.net</v>
      </c>
      <c r="E212" s="110" t="str">
        <f ca="1">IFERROR(__xludf.DUMMYFUNCTION("""COMPUTED_VALUE"""),"New")</f>
        <v>New</v>
      </c>
      <c r="F212" s="27">
        <v>42</v>
      </c>
      <c r="G212" s="27">
        <v>1661</v>
      </c>
      <c r="H212" s="27" t="s">
        <v>6820</v>
      </c>
      <c r="I212" s="27" t="s">
        <v>10638</v>
      </c>
      <c r="K212" s="108" t="s">
        <v>10639</v>
      </c>
      <c r="L212" s="27" t="s">
        <v>10173</v>
      </c>
      <c r="M212" s="48">
        <v>46083</v>
      </c>
      <c r="O212" s="27" t="s">
        <v>10174</v>
      </c>
    </row>
    <row r="213" spans="2:15" ht="12.5">
      <c r="B213" s="8" t="s">
        <v>2838</v>
      </c>
      <c r="C213" s="8" t="s">
        <v>10640</v>
      </c>
      <c r="D213" s="25" t="str">
        <f ca="1">IFERROR(__xludf.DUMMYFUNCTION("IFERROR(ARRAYFORMULA(REGEXEXTRACT(C213,""^(?:https?:\/\/)?(?:[^@\n]+@)?(?:www\.)?([^:\/\n]+)"")),"""")"),"heritagedoor.com")</f>
        <v>heritagedoor.com</v>
      </c>
      <c r="E213" s="110" t="str">
        <f ca="1">IFERROR(__xludf.DUMMYFUNCTION("""COMPUTED_VALUE"""),"New")</f>
        <v>New</v>
      </c>
      <c r="F213" s="27">
        <v>28</v>
      </c>
      <c r="G213" s="27">
        <v>3111</v>
      </c>
      <c r="K213" s="113"/>
      <c r="O213" s="27" t="s">
        <v>10174</v>
      </c>
    </row>
    <row r="214" spans="2:15" ht="12.5">
      <c r="B214" s="8" t="s">
        <v>2838</v>
      </c>
      <c r="C214" s="8" t="s">
        <v>10641</v>
      </c>
      <c r="D214" s="25" t="str">
        <f ca="1">IFERROR(__xludf.DUMMYFUNCTION("IFERROR(ARRAYFORMULA(REGEXEXTRACT(C214,""^(?:https?:\/\/)?(?:[^@\n]+@)?(?:www\.)?([^:\/\n]+)"")),"""")"),"wiza.co")</f>
        <v>wiza.co</v>
      </c>
      <c r="E214" s="110" t="str">
        <f ca="1">IFERROR(__xludf.DUMMYFUNCTION("""COMPUTED_VALUE"""),"New")</f>
        <v>New</v>
      </c>
      <c r="F214" s="27">
        <v>70</v>
      </c>
      <c r="G214" s="27">
        <v>24701</v>
      </c>
      <c r="K214" s="113"/>
      <c r="O214" s="27" t="s">
        <v>10174</v>
      </c>
    </row>
    <row r="215" spans="2:15" ht="12.5">
      <c r="B215" s="8" t="s">
        <v>2838</v>
      </c>
      <c r="C215" s="8" t="s">
        <v>10642</v>
      </c>
      <c r="D215" s="25" t="str">
        <f ca="1">IFERROR(__xludf.DUMMYFUNCTION("IFERROR(ARRAYFORMULA(REGEXEXTRACT(C215,""^(?:https?:\/\/)?(?:[^@\n]+@)?(?:www\.)?([^:\/\n]+)"")),"""")"),"azbigmedia.com")</f>
        <v>azbigmedia.com</v>
      </c>
      <c r="E215" s="110" t="str">
        <f ca="1">IFERROR(__xludf.DUMMYFUNCTION("""COMPUTED_VALUE"""),"New")</f>
        <v>New</v>
      </c>
      <c r="F215" s="27">
        <v>77</v>
      </c>
      <c r="G215" s="27">
        <v>13286</v>
      </c>
      <c r="H215" s="27" t="s">
        <v>10643</v>
      </c>
      <c r="I215" s="27" t="s">
        <v>10644</v>
      </c>
      <c r="K215" s="108" t="s">
        <v>3772</v>
      </c>
      <c r="L215" s="27" t="s">
        <v>10173</v>
      </c>
      <c r="M215" s="48">
        <v>46083</v>
      </c>
      <c r="O215" s="27" t="s">
        <v>10174</v>
      </c>
    </row>
    <row r="216" spans="2:15" ht="12.5">
      <c r="B216" s="8" t="s">
        <v>2838</v>
      </c>
      <c r="C216" s="8" t="s">
        <v>10645</v>
      </c>
      <c r="D216" s="25" t="str">
        <f ca="1">IFERROR(__xludf.DUMMYFUNCTION("IFERROR(ARRAYFORMULA(REGEXEXTRACT(C216,""^(?:https?:\/\/)?(?:[^@\n]+@)?(?:www\.)?([^:\/\n]+)"")),"""")"),"shanty-2-chic.com")</f>
        <v>shanty-2-chic.com</v>
      </c>
      <c r="E216" s="110" t="str">
        <f ca="1">IFERROR(__xludf.DUMMYFUNCTION("""COMPUTED_VALUE"""),"New")</f>
        <v>New</v>
      </c>
      <c r="F216" s="27">
        <v>65</v>
      </c>
      <c r="G216" s="27">
        <v>2045</v>
      </c>
      <c r="H216" s="27" t="s">
        <v>10646</v>
      </c>
      <c r="I216" s="27" t="s">
        <v>10647</v>
      </c>
      <c r="K216" s="108" t="s">
        <v>3839</v>
      </c>
      <c r="L216" s="27" t="s">
        <v>10173</v>
      </c>
      <c r="M216" s="48">
        <v>46083</v>
      </c>
      <c r="O216" s="27" t="s">
        <v>10174</v>
      </c>
    </row>
    <row r="217" spans="2:15" ht="12.5">
      <c r="B217" s="8" t="s">
        <v>2838</v>
      </c>
      <c r="C217" s="8" t="s">
        <v>10648</v>
      </c>
      <c r="D217" s="25" t="str">
        <f ca="1">IFERROR(__xludf.DUMMYFUNCTION("IFERROR(ARRAYFORMULA(REGEXEXTRACT(C217,""^(?:https?:\/\/)?(?:[^@\n]+@)?(?:www\.)?([^:\/\n]+)"")),"""")"),"hansenpolebuildings.com")</f>
        <v>hansenpolebuildings.com</v>
      </c>
      <c r="E217" s="110" t="str">
        <f ca="1">IFERROR(__xludf.DUMMYFUNCTION("""COMPUTED_VALUE"""),"New")</f>
        <v>New</v>
      </c>
      <c r="F217" s="27">
        <v>25</v>
      </c>
      <c r="G217" s="27">
        <v>27468</v>
      </c>
      <c r="H217" s="27" t="s">
        <v>10649</v>
      </c>
      <c r="I217" s="27" t="s">
        <v>10650</v>
      </c>
      <c r="K217" s="108" t="s">
        <v>8944</v>
      </c>
      <c r="L217" s="27" t="s">
        <v>10173</v>
      </c>
      <c r="M217" s="48">
        <v>46083</v>
      </c>
      <c r="O217" s="27" t="s">
        <v>10174</v>
      </c>
    </row>
    <row r="218" spans="2:15" ht="12.5">
      <c r="B218" s="8" t="s">
        <v>2838</v>
      </c>
      <c r="C218" s="8" t="s">
        <v>10651</v>
      </c>
      <c r="D218" s="25" t="str">
        <f ca="1">IFERROR(__xludf.DUMMYFUNCTION("IFERROR(ARRAYFORMULA(REGEXEXTRACT(C218,""^(?:https?:\/\/)?(?:[^@\n]+@)?(?:www\.)?([^:\/\n]+)"")),"""")"),"dandb.com")</f>
        <v>dandb.com</v>
      </c>
      <c r="E218" s="110" t="str">
        <f ca="1">IFERROR(__xludf.DUMMYFUNCTION("""COMPUTED_VALUE"""),"New")</f>
        <v>New</v>
      </c>
      <c r="F218" s="27">
        <v>76</v>
      </c>
      <c r="G218" s="27">
        <v>2915</v>
      </c>
      <c r="K218" s="113"/>
      <c r="O218" s="27" t="s">
        <v>10174</v>
      </c>
    </row>
    <row r="219" spans="2:15" ht="12.5">
      <c r="B219" s="8" t="s">
        <v>2838</v>
      </c>
      <c r="C219" s="8" t="s">
        <v>10652</v>
      </c>
      <c r="D219" s="25" t="str">
        <f ca="1">IFERROR(__xludf.DUMMYFUNCTION("IFERROR(ARRAYFORMULA(REGEXEXTRACT(C219,""^(?:https?:\/\/)?(?:[^@\n]+@)?(?:www\.)?([^:\/\n]+)"")),"""")"),"tobychristie.com")</f>
        <v>tobychristie.com</v>
      </c>
      <c r="E219" s="110" t="str">
        <f ca="1">IFERROR(__xludf.DUMMYFUNCTION("""COMPUTED_VALUE"""),"New")</f>
        <v>New</v>
      </c>
      <c r="F219" s="27">
        <v>44</v>
      </c>
      <c r="G219" s="27">
        <v>6160</v>
      </c>
      <c r="K219" s="113"/>
      <c r="O219" s="27" t="s">
        <v>10174</v>
      </c>
    </row>
    <row r="220" spans="2:15" ht="12.5">
      <c r="B220" s="8" t="s">
        <v>2838</v>
      </c>
      <c r="C220" s="8" t="s">
        <v>10653</v>
      </c>
      <c r="D220" s="25" t="str">
        <f ca="1">IFERROR(__xludf.DUMMYFUNCTION("IFERROR(ARRAYFORMULA(REGEXEXTRACT(C220,""^(?:https?:\/\/)?(?:[^@\n]+@)?(?:www\.)?([^:\/\n]+)"")),"""")"),"carriersource.io")</f>
        <v>carriersource.io</v>
      </c>
      <c r="E220" s="110" t="str">
        <f ca="1">IFERROR(__xludf.DUMMYFUNCTION("""COMPUTED_VALUE"""),"New")</f>
        <v>New</v>
      </c>
      <c r="F220" s="27">
        <v>60</v>
      </c>
      <c r="G220" s="27">
        <v>58707</v>
      </c>
      <c r="H220" s="27" t="s">
        <v>4184</v>
      </c>
      <c r="I220" s="27" t="s">
        <v>10654</v>
      </c>
      <c r="K220" s="108" t="s">
        <v>4092</v>
      </c>
      <c r="L220" s="27" t="s">
        <v>10173</v>
      </c>
      <c r="M220" s="48">
        <v>46083</v>
      </c>
      <c r="O220" s="27" t="s">
        <v>10174</v>
      </c>
    </row>
    <row r="221" spans="2:15" ht="12.5">
      <c r="B221" s="8" t="s">
        <v>2838</v>
      </c>
      <c r="C221" s="8" t="s">
        <v>10655</v>
      </c>
      <c r="D221" s="25" t="str">
        <f ca="1">IFERROR(__xludf.DUMMYFUNCTION("IFERROR(ARRAYFORMULA(REGEXEXTRACT(C221,""^(?:https?:\/\/)?(?:[^@\n]+@)?(?:www\.)?([^:\/\n]+)"")),"""")"),"simplybare.com")</f>
        <v>simplybare.com</v>
      </c>
      <c r="E221" s="110" t="str">
        <f ca="1">IFERROR(__xludf.DUMMYFUNCTION("""COMPUTED_VALUE"""),"New")</f>
        <v>New</v>
      </c>
      <c r="F221" s="27">
        <v>25</v>
      </c>
      <c r="G221" s="27">
        <v>1460</v>
      </c>
      <c r="K221" s="113"/>
      <c r="O221" s="27" t="s">
        <v>10174</v>
      </c>
    </row>
    <row r="222" spans="2:15" ht="12.5">
      <c r="B222" s="8" t="s">
        <v>2838</v>
      </c>
      <c r="C222" s="8" t="s">
        <v>10656</v>
      </c>
      <c r="D222" s="25" t="str">
        <f ca="1">IFERROR(__xludf.DUMMYFUNCTION("IFERROR(ARRAYFORMULA(REGEXEXTRACT(C222,""^(?:https?:\/\/)?(?:[^@\n]+@)?(?:www\.)?([^:\/\n]+)"")),"""")"),"clodura.ai")</f>
        <v>clodura.ai</v>
      </c>
      <c r="E222" s="110" t="str">
        <f ca="1">IFERROR(__xludf.DUMMYFUNCTION("""COMPUTED_VALUE"""),"New")</f>
        <v>New</v>
      </c>
      <c r="F222" s="27">
        <v>64</v>
      </c>
      <c r="G222" s="27">
        <v>2483</v>
      </c>
      <c r="K222" s="113"/>
      <c r="O222" s="27" t="s">
        <v>10174</v>
      </c>
    </row>
    <row r="223" spans="2:15" ht="12.5">
      <c r="B223" s="8" t="s">
        <v>2838</v>
      </c>
      <c r="C223" s="8" t="s">
        <v>10657</v>
      </c>
      <c r="D223" s="25" t="str">
        <f ca="1">IFERROR(__xludf.DUMMYFUNCTION("IFERROR(ARRAYFORMULA(REGEXEXTRACT(C223,""^(?:https?:\/\/)?(?:[^@\n]+@)?(?:www\.)?([^:\/\n]+)"")),"""")"),"lifeofdad.com")</f>
        <v>lifeofdad.com</v>
      </c>
      <c r="E223" s="110" t="str">
        <f ca="1">IFERROR(__xludf.DUMMYFUNCTION("""COMPUTED_VALUE"""),"New")</f>
        <v>New</v>
      </c>
      <c r="F223" s="27">
        <v>44</v>
      </c>
      <c r="G223" s="27">
        <v>1665</v>
      </c>
      <c r="H223" s="27" t="s">
        <v>6838</v>
      </c>
      <c r="I223" s="27" t="s">
        <v>10658</v>
      </c>
      <c r="K223" s="108" t="s">
        <v>10659</v>
      </c>
      <c r="L223" s="27" t="s">
        <v>10173</v>
      </c>
      <c r="M223" s="48">
        <v>46083</v>
      </c>
      <c r="O223" s="27" t="s">
        <v>10174</v>
      </c>
    </row>
    <row r="224" spans="2:15" ht="12.5">
      <c r="B224" s="8" t="s">
        <v>2838</v>
      </c>
      <c r="C224" s="8" t="s">
        <v>10660</v>
      </c>
      <c r="D224" s="25" t="str">
        <f ca="1">IFERROR(__xludf.DUMMYFUNCTION("IFERROR(ARRAYFORMULA(REGEXEXTRACT(C224,""^(?:https?:\/\/)?(?:[^@\n]+@)?(?:www\.)?([^:\/\n]+)"")),"""")"),"downtownhydeparkchicago.com")</f>
        <v>downtownhydeparkchicago.com</v>
      </c>
      <c r="E224" s="110" t="str">
        <f ca="1">IFERROR(__xludf.DUMMYFUNCTION("""COMPUTED_VALUE"""),"New")</f>
        <v>New</v>
      </c>
      <c r="F224" s="27">
        <v>21</v>
      </c>
      <c r="G224" s="27">
        <v>1097</v>
      </c>
      <c r="K224" s="108"/>
      <c r="O224" s="27" t="s">
        <v>10174</v>
      </c>
    </row>
    <row r="225" spans="2:15" ht="12.5">
      <c r="B225" s="8" t="s">
        <v>2838</v>
      </c>
      <c r="C225" s="8" t="s">
        <v>10661</v>
      </c>
      <c r="D225" s="25" t="str">
        <f ca="1">IFERROR(__xludf.DUMMYFUNCTION("IFERROR(ARRAYFORMULA(REGEXEXTRACT(C225,""^(?:https?:\/\/)?(?:[^@\n]+@)?(?:www\.)?([^:\/\n]+)"")),"""")"),"macraesbluebook.com")</f>
        <v>macraesbluebook.com</v>
      </c>
      <c r="E225" s="110" t="str">
        <f ca="1">IFERROR(__xludf.DUMMYFUNCTION("""COMPUTED_VALUE"""),"New")</f>
        <v>New</v>
      </c>
      <c r="F225" s="27">
        <v>56</v>
      </c>
      <c r="G225" s="27">
        <v>1073</v>
      </c>
      <c r="K225" s="113"/>
      <c r="O225" s="27" t="s">
        <v>10174</v>
      </c>
    </row>
    <row r="226" spans="2:15" ht="12.5">
      <c r="B226" s="8" t="s">
        <v>2838</v>
      </c>
      <c r="C226" s="8" t="s">
        <v>10662</v>
      </c>
      <c r="D226" s="25" t="str">
        <f ca="1">IFERROR(__xludf.DUMMYFUNCTION("IFERROR(ARRAYFORMULA(REGEXEXTRACT(C226,""^(?:https?:\/\/)?(?:[^@\n]+@)?(?:www\.)?([^:\/\n]+)"")),"""")"),"foxtechzone.com")</f>
        <v>foxtechzone.com</v>
      </c>
      <c r="E226" s="110" t="str">
        <f ca="1">IFERROR(__xludf.DUMMYFUNCTION("""COMPUTED_VALUE"""),"New")</f>
        <v>New</v>
      </c>
      <c r="F226" s="27">
        <v>47</v>
      </c>
      <c r="G226" s="27">
        <v>1076</v>
      </c>
      <c r="K226" s="113"/>
      <c r="O226" s="27" t="s">
        <v>10174</v>
      </c>
    </row>
    <row r="227" spans="2:15" ht="12.5">
      <c r="B227" s="8" t="s">
        <v>2838</v>
      </c>
      <c r="C227" s="8" t="s">
        <v>10663</v>
      </c>
      <c r="D227" s="25" t="str">
        <f ca="1">IFERROR(__xludf.DUMMYFUNCTION("IFERROR(ARRAYFORMULA(REGEXEXTRACT(C227,""^(?:https?:\/\/)?(?:[^@\n]+@)?(?:www\.)?([^:\/\n]+)"")),"""")"),"oldminibikes.com")</f>
        <v>oldminibikes.com</v>
      </c>
      <c r="E227" s="110" t="str">
        <f ca="1">IFERROR(__xludf.DUMMYFUNCTION("""COMPUTED_VALUE"""),"New")</f>
        <v>New</v>
      </c>
      <c r="F227" s="27">
        <v>39</v>
      </c>
      <c r="G227" s="27">
        <v>3392</v>
      </c>
      <c r="K227" s="113"/>
      <c r="O227" s="27" t="s">
        <v>10174</v>
      </c>
    </row>
    <row r="228" spans="2:15" ht="12.5">
      <c r="B228" s="8" t="s">
        <v>2838</v>
      </c>
      <c r="C228" s="8" t="s">
        <v>10664</v>
      </c>
      <c r="D228" s="26" t="str">
        <f ca="1">IFERROR(__xludf.DUMMYFUNCTION("IFERROR(ARRAYFORMULA(REGEXEXTRACT(C228,""^(?:https?:\/\/)?(?:[^@\n]+@)?(?:www\.)?([^:\/\n]+)"")),"""")"),"clay.earth")</f>
        <v>clay.earth</v>
      </c>
      <c r="E228" s="110" t="str">
        <f ca="1">IFERROR(__xludf.DUMMYFUNCTION("""COMPUTED_VALUE"""),"New")</f>
        <v>New</v>
      </c>
      <c r="F228" s="27">
        <v>62</v>
      </c>
      <c r="G228" s="27">
        <v>12823</v>
      </c>
      <c r="K228" s="113"/>
      <c r="O228" s="27" t="s">
        <v>10174</v>
      </c>
    </row>
    <row r="229" spans="2:15" ht="12.5">
      <c r="B229" s="8" t="s">
        <v>2838</v>
      </c>
      <c r="C229" s="8" t="s">
        <v>10665</v>
      </c>
      <c r="D229" s="25" t="str">
        <f ca="1">IFERROR(__xludf.DUMMYFUNCTION("IFERROR(ARRAYFORMULA(REGEXEXTRACT(C229,""^(?:https?:\/\/)?(?:[^@\n]+@)?(?:www\.)?([^:\/\n]+)"")),"""")"),"apsense.com")</f>
        <v>apsense.com</v>
      </c>
      <c r="E229" s="110" t="str">
        <f ca="1">IFERROR(__xludf.DUMMYFUNCTION("""COMPUTED_VALUE"""),"New")</f>
        <v>New</v>
      </c>
      <c r="F229" s="27">
        <v>73</v>
      </c>
      <c r="G229" s="27">
        <v>6015</v>
      </c>
      <c r="K229" s="113"/>
      <c r="O229" s="27" t="s">
        <v>10174</v>
      </c>
    </row>
    <row r="230" spans="2:15" ht="12.5">
      <c r="B230" s="8" t="s">
        <v>2838</v>
      </c>
      <c r="C230" s="8" t="s">
        <v>10666</v>
      </c>
      <c r="D230" s="25" t="str">
        <f ca="1">IFERROR(__xludf.DUMMYFUNCTION("IFERROR(ARRAYFORMULA(REGEXEXTRACT(C230,""^(?:https?:\/\/)?(?:[^@\n]+@)?(?:www\.)?([^:\/\n]+)"")),"""")"),"inspectionnews.net")</f>
        <v>inspectionnews.net</v>
      </c>
      <c r="E230" s="110" t="str">
        <f ca="1">IFERROR(__xludf.DUMMYFUNCTION("""COMPUTED_VALUE"""),"New")</f>
        <v>New</v>
      </c>
      <c r="F230" s="27">
        <v>44</v>
      </c>
      <c r="G230" s="27">
        <v>1760</v>
      </c>
      <c r="K230" s="113"/>
      <c r="O230" s="27" t="s">
        <v>10174</v>
      </c>
    </row>
    <row r="231" spans="2:15" ht="12.5">
      <c r="B231" s="8" t="s">
        <v>2838</v>
      </c>
      <c r="C231" s="8" t="s">
        <v>10667</v>
      </c>
      <c r="D231" s="25" t="str">
        <f ca="1">IFERROR(__xludf.DUMMYFUNCTION("IFERROR(ARRAYFORMULA(REGEXEXTRACT(C231,""^(?:https?:\/\/)?(?:[^@\n]+@)?(?:www\.)?([^:\/\n]+)"")),"""")"),"carwashforum.com")</f>
        <v>carwashforum.com</v>
      </c>
      <c r="E231" s="110" t="str">
        <f ca="1">IFERROR(__xludf.DUMMYFUNCTION("""COMPUTED_VALUE"""),"New")</f>
        <v>New</v>
      </c>
      <c r="F231" s="27">
        <v>26</v>
      </c>
      <c r="G231" s="27">
        <v>10182</v>
      </c>
      <c r="K231" s="113"/>
      <c r="O231" s="27" t="s">
        <v>10174</v>
      </c>
    </row>
    <row r="232" spans="2:15" ht="12.5">
      <c r="B232" s="8" t="s">
        <v>2838</v>
      </c>
      <c r="C232" s="8" t="s">
        <v>10668</v>
      </c>
      <c r="D232" s="25" t="str">
        <f ca="1">IFERROR(__xludf.DUMMYFUNCTION("IFERROR(ARRAYFORMULA(REGEXEXTRACT(C232,""^(?:https?:\/\/)?(?:[^@\n]+@)?(?:www\.)?([^:\/\n]+)"")),"""")"),"blog.housesitmatch.com")</f>
        <v>blog.housesitmatch.com</v>
      </c>
      <c r="E232" s="110" t="str">
        <f ca="1">IFERROR(__xludf.DUMMYFUNCTION("""COMPUTED_VALUE"""),"New")</f>
        <v>New</v>
      </c>
      <c r="F232" s="27">
        <v>43</v>
      </c>
      <c r="G232" s="27">
        <v>3328</v>
      </c>
      <c r="H232" s="27" t="s">
        <v>10669</v>
      </c>
      <c r="I232" s="27" t="s">
        <v>10670</v>
      </c>
      <c r="K232" s="108" t="s">
        <v>3839</v>
      </c>
      <c r="L232" s="27" t="s">
        <v>10173</v>
      </c>
      <c r="M232" s="48">
        <v>46083</v>
      </c>
      <c r="O232" s="27" t="s">
        <v>10174</v>
      </c>
    </row>
    <row r="233" spans="2:15" ht="12.5">
      <c r="B233" s="8" t="s">
        <v>2838</v>
      </c>
      <c r="C233" s="8" t="s">
        <v>10671</v>
      </c>
      <c r="D233" s="25" t="str">
        <f ca="1">IFERROR(__xludf.DUMMYFUNCTION("IFERROR(ARRAYFORMULA(REGEXEXTRACT(C233,""^(?:https?:\/\/)?(?:[^@\n]+@)?(?:www\.)?([^:\/\n]+)"")),"""")"),"razorsync.com")</f>
        <v>razorsync.com</v>
      </c>
      <c r="E233" s="110" t="str">
        <f ca="1">IFERROR(__xludf.DUMMYFUNCTION("""COMPUTED_VALUE"""),"New")</f>
        <v>New</v>
      </c>
      <c r="F233" s="27">
        <v>48</v>
      </c>
      <c r="G233" s="27">
        <v>2405</v>
      </c>
      <c r="H233" s="27" t="s">
        <v>7154</v>
      </c>
      <c r="I233" s="27" t="s">
        <v>10672</v>
      </c>
      <c r="K233" s="108" t="s">
        <v>10639</v>
      </c>
      <c r="L233" s="27" t="s">
        <v>10173</v>
      </c>
      <c r="M233" s="48">
        <v>46083</v>
      </c>
      <c r="O233" s="27" t="s">
        <v>10174</v>
      </c>
    </row>
    <row r="234" spans="2:15" ht="12.5">
      <c r="B234" s="8" t="s">
        <v>2838</v>
      </c>
      <c r="C234" s="8" t="s">
        <v>10673</v>
      </c>
      <c r="D234" s="25" t="str">
        <f ca="1">IFERROR(__xludf.DUMMYFUNCTION("IFERROR(ARRAYFORMULA(REGEXEXTRACT(C234,""^(?:https?:\/\/)?(?:[^@\n]+@)?(?:www\.)?([^:\/\n]+)"")),"""")"),"signalhire.com")</f>
        <v>signalhire.com</v>
      </c>
      <c r="E234" s="110" t="str">
        <f ca="1">IFERROR(__xludf.DUMMYFUNCTION("""COMPUTED_VALUE"""),"New")</f>
        <v>New</v>
      </c>
      <c r="F234" s="27">
        <v>72</v>
      </c>
      <c r="G234" s="27">
        <v>59960</v>
      </c>
      <c r="K234" s="113"/>
      <c r="O234" s="27" t="s">
        <v>10174</v>
      </c>
    </row>
    <row r="235" spans="2:15" ht="12.5">
      <c r="B235" s="8" t="s">
        <v>2838</v>
      </c>
      <c r="C235" s="8" t="s">
        <v>10674</v>
      </c>
      <c r="D235" s="25" t="str">
        <f ca="1">IFERROR(__xludf.DUMMYFUNCTION("IFERROR(ARRAYFORMULA(REGEXEXTRACT(C235,""^(?:https?:\/\/)?(?:[^@\n]+@)?(?:www\.)?([^:\/\n]+)"")),"""")"),"importyeti.com")</f>
        <v>importyeti.com</v>
      </c>
      <c r="E235" s="110" t="str">
        <f ca="1">IFERROR(__xludf.DUMMYFUNCTION("""COMPUTED_VALUE"""),"New")</f>
        <v>New</v>
      </c>
      <c r="F235" s="27">
        <v>52</v>
      </c>
      <c r="G235" s="27">
        <v>38962</v>
      </c>
      <c r="K235" s="113"/>
      <c r="O235" s="27" t="s">
        <v>10174</v>
      </c>
    </row>
    <row r="236" spans="2:15" ht="12.5">
      <c r="B236" s="8" t="s">
        <v>2838</v>
      </c>
      <c r="C236" s="8" t="s">
        <v>10675</v>
      </c>
      <c r="D236" s="25" t="str">
        <f ca="1">IFERROR(__xludf.DUMMYFUNCTION("IFERROR(ARRAYFORMULA(REGEXEXTRACT(C236,""^(?:https?:\/\/)?(?:[^@\n]+@)?(?:www\.)?([^:\/\n]+)"")),"""")"),"citylocalpro.com")</f>
        <v>citylocalpro.com</v>
      </c>
      <c r="E236" s="110" t="str">
        <f ca="1">IFERROR(__xludf.DUMMYFUNCTION("""COMPUTED_VALUE"""),"New")</f>
        <v>New</v>
      </c>
      <c r="F236" s="27">
        <v>53</v>
      </c>
      <c r="G236" s="27">
        <v>1365</v>
      </c>
      <c r="K236" s="113"/>
      <c r="O236" s="27" t="s">
        <v>10174</v>
      </c>
    </row>
    <row r="237" spans="2:15" ht="12.5">
      <c r="B237" s="8" t="s">
        <v>2838</v>
      </c>
      <c r="C237" s="8" t="s">
        <v>10676</v>
      </c>
      <c r="D237" s="25" t="str">
        <f ca="1">IFERROR(__xludf.DUMMYFUNCTION("IFERROR(ARRAYFORMULA(REGEXEXTRACT(C237,""^(?:https?:\/\/)?(?:[^@\n]+@)?(?:www\.)?([^:\/\n]+)"")),"""")"),"firerescue1.com")</f>
        <v>firerescue1.com</v>
      </c>
      <c r="E237" s="110" t="str">
        <f ca="1">IFERROR(__xludf.DUMMYFUNCTION("""COMPUTED_VALUE"""),"New")</f>
        <v>New</v>
      </c>
      <c r="F237" s="27">
        <v>73</v>
      </c>
      <c r="G237" s="27">
        <v>49927</v>
      </c>
      <c r="I237" s="27" t="s">
        <v>10677</v>
      </c>
      <c r="K237" s="108" t="s">
        <v>3772</v>
      </c>
      <c r="L237" s="27" t="s">
        <v>10173</v>
      </c>
      <c r="M237" s="48">
        <v>46083</v>
      </c>
      <c r="O237" s="27" t="s">
        <v>10174</v>
      </c>
    </row>
    <row r="238" spans="2:15" ht="12.5">
      <c r="B238" s="8" t="s">
        <v>2838</v>
      </c>
      <c r="C238" s="8" t="s">
        <v>10678</v>
      </c>
      <c r="D238" s="25" t="str">
        <f ca="1">IFERROR(__xludf.DUMMYFUNCTION("IFERROR(ARRAYFORMULA(REGEXEXTRACT(C238,""^(?:https?:\/\/)?(?:[^@\n]+@)?(?:www\.)?([^:\/\n]+)"")),"""")"),"cleat.ai")</f>
        <v>cleat.ai</v>
      </c>
      <c r="E238" s="110" t="str">
        <f ca="1">IFERROR(__xludf.DUMMYFUNCTION("""COMPUTED_VALUE"""),"New")</f>
        <v>New</v>
      </c>
      <c r="F238" s="27">
        <v>22</v>
      </c>
      <c r="G238" s="27">
        <v>3010</v>
      </c>
      <c r="K238" s="113"/>
      <c r="O238" s="27" t="s">
        <v>10174</v>
      </c>
    </row>
    <row r="239" spans="2:15" ht="12.5">
      <c r="B239" s="8" t="s">
        <v>2838</v>
      </c>
      <c r="C239" s="8" t="s">
        <v>10679</v>
      </c>
      <c r="D239" s="25" t="str">
        <f ca="1">IFERROR(__xludf.DUMMYFUNCTION("IFERROR(ARRAYFORMULA(REGEXEXTRACT(C239,""^(?:https?:\/\/)?(?:[^@\n]+@)?(?:www\.)?([^:\/\n]+)"")),"""")"),"datainsightsmarket.com")</f>
        <v>datainsightsmarket.com</v>
      </c>
      <c r="E239" s="110" t="str">
        <f ca="1">IFERROR(__xludf.DUMMYFUNCTION("""COMPUTED_VALUE"""),"New")</f>
        <v>New</v>
      </c>
      <c r="F239" s="27">
        <v>71</v>
      </c>
      <c r="G239" s="27">
        <v>1254</v>
      </c>
      <c r="K239" s="113"/>
      <c r="O239" s="27" t="s">
        <v>10174</v>
      </c>
    </row>
    <row r="240" spans="2:15" ht="12.5">
      <c r="B240" s="8" t="s">
        <v>2838</v>
      </c>
      <c r="C240" s="8" t="s">
        <v>10680</v>
      </c>
      <c r="D240" s="25" t="str">
        <f ca="1">IFERROR(__xludf.DUMMYFUNCTION("IFERROR(ARRAYFORMULA(REGEXEXTRACT(C240,""^(?:https?:\/\/)?(?:[^@\n]+@)?(?:www\.)?([^:\/\n]+)"")),"""")"),"appledoor.com")</f>
        <v>appledoor.com</v>
      </c>
      <c r="E240" s="110" t="str">
        <f ca="1">IFERROR(__xludf.DUMMYFUNCTION("""COMPUTED_VALUE"""),"New")</f>
        <v>New</v>
      </c>
      <c r="F240" s="27">
        <v>21</v>
      </c>
      <c r="G240" s="27">
        <v>1097</v>
      </c>
      <c r="I240" s="27" t="s">
        <v>10681</v>
      </c>
      <c r="K240" s="108" t="s">
        <v>10563</v>
      </c>
      <c r="L240" s="27" t="s">
        <v>10173</v>
      </c>
      <c r="M240" s="48">
        <v>46083</v>
      </c>
      <c r="O240" s="27" t="s">
        <v>10174</v>
      </c>
    </row>
    <row r="241" spans="2:15" ht="12.5">
      <c r="B241" s="8" t="s">
        <v>2838</v>
      </c>
      <c r="C241" s="8" t="s">
        <v>10682</v>
      </c>
      <c r="D241" s="25" t="str">
        <f ca="1">IFERROR(__xludf.DUMMYFUNCTION("IFERROR(ARRAYFORMULA(REGEXEXTRACT(C241,""^(?:https?:\/\/)?(?:[^@\n]+@)?(?:www\.)?([^:\/\n]+)"")),"""")"),"eastbaytimes.com")</f>
        <v>eastbaytimes.com</v>
      </c>
      <c r="E241" s="110" t="str">
        <f ca="1">IFERROR(__xludf.DUMMYFUNCTION("""COMPUTED_VALUE"""),"New")</f>
        <v>New</v>
      </c>
      <c r="F241" s="27">
        <v>78</v>
      </c>
      <c r="G241" s="27">
        <v>42815</v>
      </c>
      <c r="K241" s="113"/>
      <c r="O241" s="27" t="s">
        <v>10174</v>
      </c>
    </row>
    <row r="242" spans="2:15" ht="12.5">
      <c r="B242" s="8" t="s">
        <v>2838</v>
      </c>
      <c r="C242" s="8" t="s">
        <v>10683</v>
      </c>
      <c r="D242" s="25" t="str">
        <f ca="1">IFERROR(__xludf.DUMMYFUNCTION("IFERROR(ARRAYFORMULA(REGEXEXTRACT(C242,""^(?:https?:\/\/)?(?:[^@\n]+@)?(?:www\.)?([^:\/\n]+)"")),"""")"),"dgmnews.com")</f>
        <v>dgmnews.com</v>
      </c>
      <c r="E242" s="110" t="str">
        <f ca="1">IFERROR(__xludf.DUMMYFUNCTION("""COMPUTED_VALUE"""),"New")</f>
        <v>New</v>
      </c>
      <c r="F242" s="27">
        <v>61</v>
      </c>
      <c r="G242" s="27">
        <v>75534</v>
      </c>
      <c r="K242" s="113"/>
      <c r="O242" s="27" t="s">
        <v>10174</v>
      </c>
    </row>
    <row r="243" spans="2:15" ht="12.5">
      <c r="B243" s="8" t="s">
        <v>2838</v>
      </c>
      <c r="C243" s="8" t="s">
        <v>10684</v>
      </c>
      <c r="D243" s="25" t="str">
        <f ca="1">IFERROR(__xludf.DUMMYFUNCTION("IFERROR(ARRAYFORMULA(REGEXEXTRACT(C243,""^(?:https?:\/\/)?(?:[^@\n]+@)?(?:www\.)?([^:\/\n]+)"")),"""")"),"speedwaydigest.com")</f>
        <v>speedwaydigest.com</v>
      </c>
      <c r="E243" s="110" t="str">
        <f ca="1">IFERROR(__xludf.DUMMYFUNCTION("""COMPUTED_VALUE"""),"New")</f>
        <v>New</v>
      </c>
      <c r="F243" s="27">
        <v>53</v>
      </c>
      <c r="G243" s="27">
        <v>23345</v>
      </c>
      <c r="K243" s="113"/>
      <c r="O243" s="27" t="s">
        <v>10174</v>
      </c>
    </row>
    <row r="244" spans="2:15" ht="12.5">
      <c r="B244" s="8" t="s">
        <v>2838</v>
      </c>
      <c r="C244" s="8" t="s">
        <v>10685</v>
      </c>
      <c r="D244" s="25" t="str">
        <f ca="1">IFERROR(__xludf.DUMMYFUNCTION("IFERROR(ARRAYFORMULA(REGEXEXTRACT(C244,""^(?:https?:\/\/)?(?:[^@\n]+@)?(?:www\.)?([^:\/\n]+)"")),"""")"),"zabasearch.com")</f>
        <v>zabasearch.com</v>
      </c>
      <c r="E244" s="110" t="str">
        <f ca="1">IFERROR(__xludf.DUMMYFUNCTION("""COMPUTED_VALUE"""),"New")</f>
        <v>New</v>
      </c>
      <c r="F244" s="27">
        <v>58</v>
      </c>
      <c r="G244" s="27">
        <v>56342</v>
      </c>
      <c r="K244" s="113"/>
      <c r="O244" s="27" t="s">
        <v>10174</v>
      </c>
    </row>
    <row r="245" spans="2:15" ht="12.5">
      <c r="B245" s="8" t="s">
        <v>2838</v>
      </c>
      <c r="C245" s="8" t="s">
        <v>10686</v>
      </c>
      <c r="D245" s="25" t="str">
        <f ca="1">IFERROR(__xludf.DUMMYFUNCTION("IFERROR(ARRAYFORMULA(REGEXEXTRACT(C245,""^(?:https?:\/\/)?(?:[^@\n]+@)?(?:www\.)?([^:\/\n]+)"")),"""")"),"nerdbot.com")</f>
        <v>nerdbot.com</v>
      </c>
      <c r="E245" s="110" t="str">
        <f ca="1">IFERROR(__xludf.DUMMYFUNCTION("""COMPUTED_VALUE"""),"New")</f>
        <v>New</v>
      </c>
      <c r="F245" s="27">
        <v>68</v>
      </c>
      <c r="G245" s="27">
        <v>18139</v>
      </c>
      <c r="K245" s="113"/>
      <c r="O245" s="27" t="s">
        <v>10174</v>
      </c>
    </row>
    <row r="246" spans="2:15" ht="12.5">
      <c r="B246" s="8" t="s">
        <v>2838</v>
      </c>
      <c r="C246" s="8" t="s">
        <v>10687</v>
      </c>
      <c r="D246" s="25" t="str">
        <f ca="1">IFERROR(__xludf.DUMMYFUNCTION("IFERROR(ARRAYFORMULA(REGEXEXTRACT(C246,""^(?:https?:\/\/)?(?:[^@\n]+@)?(?:www\.)?([^:\/\n]+)"")),"""")"),"bubba.ai")</f>
        <v>bubba.ai</v>
      </c>
      <c r="E246" s="110" t="str">
        <f ca="1">IFERROR(__xludf.DUMMYFUNCTION("""COMPUTED_VALUE"""),"New")</f>
        <v>New</v>
      </c>
      <c r="F246" s="27">
        <v>33</v>
      </c>
      <c r="G246" s="27">
        <v>2999</v>
      </c>
      <c r="K246" s="113"/>
      <c r="O246" s="27" t="s">
        <v>10174</v>
      </c>
    </row>
    <row r="247" spans="2:15" ht="12.5">
      <c r="B247" s="8" t="s">
        <v>2838</v>
      </c>
      <c r="C247" s="8" t="s">
        <v>10688</v>
      </c>
      <c r="D247" s="25" t="str">
        <f ca="1">IFERROR(__xludf.DUMMYFUNCTION("IFERROR(ARRAYFORMULA(REGEXEXTRACT(C247,""^(?:https?:\/\/)?(?:[^@\n]+@)?(?:www\.)?([^:\/\n]+)"")),"""")"),"idcrawl.com")</f>
        <v>idcrawl.com</v>
      </c>
      <c r="E247" s="110" t="str">
        <f ca="1">IFERROR(__xludf.DUMMYFUNCTION("""COMPUTED_VALUE"""),"New")</f>
        <v>New</v>
      </c>
      <c r="F247" s="27">
        <v>34</v>
      </c>
      <c r="G247" s="27">
        <v>99119</v>
      </c>
      <c r="K247" s="113"/>
      <c r="O247" s="27" t="s">
        <v>10174</v>
      </c>
    </row>
    <row r="248" spans="2:15" ht="12.5">
      <c r="B248" s="8" t="s">
        <v>2838</v>
      </c>
      <c r="C248" s="8" t="s">
        <v>10689</v>
      </c>
      <c r="D248" s="25" t="str">
        <f ca="1">IFERROR(__xludf.DUMMYFUNCTION("IFERROR(ARRAYFORMULA(REGEXEXTRACT(C248,""^(?:https?:\/\/)?(?:[^@\n]+@)?(?:www\.)?([^:\/\n]+)"")),"""")"),"engineeringplans.com")</f>
        <v>engineeringplans.com</v>
      </c>
      <c r="E248" s="110" t="str">
        <f ca="1">IFERROR(__xludf.DUMMYFUNCTION("""COMPUTED_VALUE"""),"New")</f>
        <v>New</v>
      </c>
      <c r="F248" s="27">
        <v>22</v>
      </c>
      <c r="G248" s="27">
        <v>1000</v>
      </c>
      <c r="H248" s="27" t="s">
        <v>10690</v>
      </c>
      <c r="I248" s="27" t="s">
        <v>10691</v>
      </c>
      <c r="K248" s="108" t="s">
        <v>7090</v>
      </c>
      <c r="L248" s="27" t="s">
        <v>10173</v>
      </c>
      <c r="M248" s="48">
        <v>46083</v>
      </c>
      <c r="O248" s="27" t="s">
        <v>10174</v>
      </c>
    </row>
    <row r="249" spans="2:15" ht="12.5">
      <c r="B249" s="11" t="s">
        <v>2774</v>
      </c>
      <c r="C249" s="8" t="s">
        <v>10692</v>
      </c>
      <c r="D249" s="25" t="str">
        <f ca="1">IFERROR(__xludf.DUMMYFUNCTION("IFERROR(ARRAYFORMULA(REGEXEXTRACT(C249,""^(?:https?:\/\/)?(?:[^@\n]+@)?(?:www\.)?([^:\/\n]+)"")),"""")"),"almostmakesperfect.com")</f>
        <v>almostmakesperfect.com</v>
      </c>
      <c r="E249" s="110" t="str">
        <f ca="1">IFERROR(__xludf.DUMMYFUNCTION("""COMPUTED_VALUE"""),"New")</f>
        <v>New</v>
      </c>
      <c r="F249" s="27">
        <v>67</v>
      </c>
      <c r="G249" s="27">
        <v>17968</v>
      </c>
      <c r="H249" s="27" t="s">
        <v>10693</v>
      </c>
      <c r="I249" s="27" t="s">
        <v>10694</v>
      </c>
      <c r="K249" s="108" t="s">
        <v>10695</v>
      </c>
      <c r="O249" s="27" t="s">
        <v>10150</v>
      </c>
    </row>
    <row r="250" spans="2:15" ht="12.5">
      <c r="B250" s="11" t="s">
        <v>2774</v>
      </c>
      <c r="C250" s="8" t="s">
        <v>10696</v>
      </c>
      <c r="D250" s="25" t="str">
        <f ca="1">IFERROR(__xludf.DUMMYFUNCTION("IFERROR(ARRAYFORMULA(REGEXEXTRACT(C250,""^(?:https?:\/\/)?(?:[^@\n]+@)?(?:www\.)?([^:\/\n]+)"")),"""")"),"palisadesnews.com")</f>
        <v>palisadesnews.com</v>
      </c>
      <c r="E250" s="110" t="str">
        <f ca="1">IFERROR(__xludf.DUMMYFUNCTION("""COMPUTED_VALUE"""),"New")</f>
        <v>New</v>
      </c>
      <c r="F250" s="27">
        <v>45</v>
      </c>
      <c r="G250" s="27">
        <v>1346</v>
      </c>
      <c r="H250" s="27" t="s">
        <v>5075</v>
      </c>
      <c r="I250" s="27" t="s">
        <v>10697</v>
      </c>
      <c r="K250" s="108" t="s">
        <v>3772</v>
      </c>
      <c r="O250" s="27" t="s">
        <v>10150</v>
      </c>
    </row>
    <row r="251" spans="2:15" ht="12.5">
      <c r="B251" s="11" t="s">
        <v>2774</v>
      </c>
      <c r="C251" s="8" t="s">
        <v>10698</v>
      </c>
      <c r="D251" s="25" t="str">
        <f ca="1">IFERROR(__xludf.DUMMYFUNCTION("IFERROR(ARRAYFORMULA(REGEXEXTRACT(C251,""^(?:https?:\/\/)?(?:[^@\n]+@)?(?:www\.)?([^:\/\n]+)"")),"""")"),"kpopstarz.com")</f>
        <v>kpopstarz.com</v>
      </c>
      <c r="E251" s="110" t="str">
        <f ca="1">IFERROR(__xludf.DUMMYFUNCTION("""COMPUTED_VALUE"""),"New")</f>
        <v>New</v>
      </c>
      <c r="F251" s="27">
        <v>57</v>
      </c>
      <c r="G251" s="27">
        <v>2400</v>
      </c>
      <c r="K251" s="113"/>
      <c r="O251" s="27" t="s">
        <v>10150</v>
      </c>
    </row>
    <row r="252" spans="2:15" ht="12.5">
      <c r="B252" s="11" t="s">
        <v>2774</v>
      </c>
      <c r="C252" s="8" t="s">
        <v>10699</v>
      </c>
      <c r="D252" s="25" t="str">
        <f ca="1">IFERROR(__xludf.DUMMYFUNCTION("IFERROR(ARRAYFORMULA(REGEXEXTRACT(C252,""^(?:https?:\/\/)?(?:[^@\n]+@)?(?:www\.)?([^:\/\n]+)"")),"""")"),"woohome.com")</f>
        <v>woohome.com</v>
      </c>
      <c r="E252" s="110" t="str">
        <f ca="1">IFERROR(__xludf.DUMMYFUNCTION("""COMPUTED_VALUE"""),"New")</f>
        <v>New</v>
      </c>
      <c r="F252" s="27">
        <v>49</v>
      </c>
      <c r="G252" s="27">
        <v>2500</v>
      </c>
      <c r="H252" s="27" t="s">
        <v>10700</v>
      </c>
      <c r="I252" s="27" t="s">
        <v>10701</v>
      </c>
      <c r="K252" s="108" t="s">
        <v>3839</v>
      </c>
      <c r="O252" s="27" t="s">
        <v>10150</v>
      </c>
    </row>
    <row r="253" spans="2:15" ht="12.5">
      <c r="B253" s="11" t="s">
        <v>2774</v>
      </c>
      <c r="C253" s="8" t="s">
        <v>10702</v>
      </c>
      <c r="D253" s="25" t="str">
        <f ca="1">IFERROR(__xludf.DUMMYFUNCTION("IFERROR(ARRAYFORMULA(REGEXEXTRACT(C253,""^(?:https?:\/\/)?(?:[^@\n]+@)?(?:www\.)?([^:\/\n]+)"")),"""")"),"strawhomes.com")</f>
        <v>strawhomes.com</v>
      </c>
      <c r="E253" s="110" t="str">
        <f ca="1">IFERROR(__xludf.DUMMYFUNCTION("""COMPUTED_VALUE"""),"New")</f>
        <v>New</v>
      </c>
      <c r="F253" s="27">
        <v>37</v>
      </c>
      <c r="G253" s="27">
        <v>1900</v>
      </c>
      <c r="H253" s="27" t="s">
        <v>10484</v>
      </c>
      <c r="I253" s="27" t="s">
        <v>10703</v>
      </c>
      <c r="K253" s="108" t="s">
        <v>3853</v>
      </c>
      <c r="O253" s="27" t="s">
        <v>10150</v>
      </c>
    </row>
    <row r="254" spans="2:15" ht="12.5">
      <c r="B254" s="8" t="s">
        <v>2775</v>
      </c>
      <c r="C254" s="8" t="s">
        <v>10704</v>
      </c>
      <c r="D254" s="25" t="str">
        <f ca="1">IFERROR(__xludf.DUMMYFUNCTION("IFERROR(ARRAYFORMULA(REGEXEXTRACT(C254,""^(?:https?:\/\/)?(?:[^@\n]+@)?(?:www\.)?([^:\/\n]+)"")),"""")"),"workology.com")</f>
        <v>workology.com</v>
      </c>
      <c r="E254" s="110" t="str">
        <f ca="1">IFERROR(__xludf.DUMMYFUNCTION("""COMPUTED_VALUE"""),"New")</f>
        <v>New</v>
      </c>
      <c r="F254" s="27">
        <v>66</v>
      </c>
      <c r="G254" s="27">
        <v>4764</v>
      </c>
      <c r="K254" s="113"/>
      <c r="O254" s="27" t="s">
        <v>10150</v>
      </c>
    </row>
    <row r="255" spans="2:15" ht="12.5">
      <c r="B255" s="8" t="s">
        <v>2775</v>
      </c>
      <c r="C255" s="8" t="s">
        <v>10705</v>
      </c>
      <c r="D255" s="25" t="str">
        <f ca="1">IFERROR(__xludf.DUMMYFUNCTION("IFERROR(ARRAYFORMULA(REGEXEXTRACT(C255,""^(?:https?:\/\/)?(?:[^@\n]+@)?(?:www\.)?([^:\/\n]+)"")),"""")"),"markuphero.com")</f>
        <v>markuphero.com</v>
      </c>
      <c r="E255" s="110" t="str">
        <f ca="1">IFERROR(__xludf.DUMMYFUNCTION("""COMPUTED_VALUE"""),"New")</f>
        <v>New</v>
      </c>
      <c r="F255" s="27">
        <v>69</v>
      </c>
      <c r="G255" s="27">
        <v>4774</v>
      </c>
      <c r="K255" s="113"/>
      <c r="O255" s="27" t="s">
        <v>10150</v>
      </c>
    </row>
    <row r="256" spans="2:15" ht="12.5">
      <c r="B256" s="8" t="s">
        <v>2775</v>
      </c>
      <c r="C256" s="8" t="s">
        <v>10706</v>
      </c>
      <c r="D256" s="25" t="str">
        <f ca="1">IFERROR(__xludf.DUMMYFUNCTION("IFERROR(ARRAYFORMULA(REGEXEXTRACT(C256,""^(?:https?:\/\/)?(?:[^@\n]+@)?(?:www\.)?([^:\/\n]+)"")),"""")"),"samelane.com")</f>
        <v>samelane.com</v>
      </c>
      <c r="E256" s="110" t="str">
        <f ca="1">IFERROR(__xludf.DUMMYFUNCTION("""COMPUTED_VALUE"""),"New")</f>
        <v>New</v>
      </c>
      <c r="F256" s="27">
        <v>39</v>
      </c>
      <c r="G256" s="27">
        <v>3314</v>
      </c>
      <c r="K256" s="113"/>
      <c r="O256" s="27" t="s">
        <v>10150</v>
      </c>
    </row>
    <row r="257" spans="2:15" ht="12.5">
      <c r="B257" s="8" t="s">
        <v>2775</v>
      </c>
      <c r="C257" s="8" t="s">
        <v>10707</v>
      </c>
      <c r="D257" s="25" t="str">
        <f ca="1">IFERROR(__xludf.DUMMYFUNCTION("IFERROR(ARRAYFORMULA(REGEXEXTRACT(C257,""^(?:https?:\/\/)?(?:[^@\n]+@)?(?:www\.)?([^:\/\n]+)"")),"""")"),"successconsciousness.com")</f>
        <v>successconsciousness.com</v>
      </c>
      <c r="E257" s="110" t="str">
        <f ca="1">IFERROR(__xludf.DUMMYFUNCTION("""COMPUTED_VALUE"""),"New")</f>
        <v>New</v>
      </c>
      <c r="F257" s="27">
        <v>62</v>
      </c>
      <c r="G257" s="27">
        <v>7900</v>
      </c>
      <c r="K257" s="113"/>
      <c r="O257" s="27" t="s">
        <v>10150</v>
      </c>
    </row>
    <row r="258" spans="2:15" ht="12.5">
      <c r="B258" s="8" t="s">
        <v>2775</v>
      </c>
      <c r="C258" s="8" t="s">
        <v>10708</v>
      </c>
      <c r="D258" s="25" t="str">
        <f ca="1">IFERROR(__xludf.DUMMYFUNCTION("IFERROR(ARRAYFORMULA(REGEXEXTRACT(C258,""^(?:https?:\/\/)?(?:[^@\n]+@)?(?:www\.)?([^:\/\n]+)"")),"""")"),"studyfinds.org")</f>
        <v>studyfinds.org</v>
      </c>
      <c r="E258" s="110" t="str">
        <f ca="1">IFERROR(__xludf.DUMMYFUNCTION("""COMPUTED_VALUE"""),"New")</f>
        <v>New</v>
      </c>
      <c r="F258" s="27">
        <v>79</v>
      </c>
      <c r="G258" s="27">
        <v>7883</v>
      </c>
      <c r="K258" s="113"/>
      <c r="O258" s="27" t="s">
        <v>10150</v>
      </c>
    </row>
    <row r="259" spans="2:15" ht="12.5">
      <c r="B259" s="8" t="s">
        <v>2775</v>
      </c>
      <c r="C259" s="8" t="s">
        <v>10709</v>
      </c>
      <c r="D259" s="25" t="str">
        <f ca="1">IFERROR(__xludf.DUMMYFUNCTION("IFERROR(ARRAYFORMULA(REGEXEXTRACT(C259,""^(?:https?:\/\/)?(?:[^@\n]+@)?(?:www\.)?([^:\/\n]+)"")),"""")"),"corporatevision-news.com")</f>
        <v>corporatevision-news.com</v>
      </c>
      <c r="E259" s="110" t="str">
        <f ca="1">IFERROR(__xludf.DUMMYFUNCTION("""COMPUTED_VALUE"""),"New")</f>
        <v>New</v>
      </c>
      <c r="F259" s="27">
        <v>75</v>
      </c>
      <c r="G259" s="27">
        <v>1700</v>
      </c>
      <c r="K259" s="113"/>
      <c r="O259" s="27" t="s">
        <v>10150</v>
      </c>
    </row>
    <row r="260" spans="2:15" ht="12.5">
      <c r="E260" s="110" t="str">
        <f ca="1">IFERROR(__xludf.DUMMYFUNCTION("""COMPUTED_VALUE"""),"")</f>
        <v/>
      </c>
      <c r="K260" s="113"/>
    </row>
    <row r="261" spans="2:15" ht="12.5">
      <c r="B261" s="27" t="s">
        <v>10710</v>
      </c>
      <c r="D261" s="8" t="s">
        <v>3181</v>
      </c>
      <c r="E261" s="110" t="str">
        <f ca="1">IFERROR(__xludf.DUMMYFUNCTION("""COMPUTED_VALUE"""),"Already Exists")</f>
        <v>Already Exists</v>
      </c>
      <c r="I261" s="27" t="s">
        <v>3182</v>
      </c>
      <c r="K261" s="108" t="s">
        <v>7096</v>
      </c>
      <c r="L261" s="27" t="s">
        <v>10173</v>
      </c>
      <c r="M261" s="48">
        <v>46083</v>
      </c>
      <c r="O261" s="27" t="s">
        <v>10711</v>
      </c>
    </row>
    <row r="262" spans="2:15" ht="12.5">
      <c r="D262" s="8" t="s">
        <v>10712</v>
      </c>
      <c r="E262" s="110" t="str">
        <f ca="1">IFERROR(__xludf.DUMMYFUNCTION("""COMPUTED_VALUE"""),"Already Exists")</f>
        <v>Already Exists</v>
      </c>
      <c r="H262" s="27" t="s">
        <v>10713</v>
      </c>
      <c r="I262" s="27" t="s">
        <v>10714</v>
      </c>
      <c r="K262" s="108" t="s">
        <v>3864</v>
      </c>
      <c r="L262" s="27" t="s">
        <v>10173</v>
      </c>
      <c r="M262" s="48">
        <v>46083</v>
      </c>
      <c r="O262" s="27" t="s">
        <v>10711</v>
      </c>
    </row>
    <row r="263" spans="2:15" ht="12.5">
      <c r="D263" s="8" t="s">
        <v>10715</v>
      </c>
      <c r="E263" s="110" t="str">
        <f ca="1">IFERROR(__xludf.DUMMYFUNCTION("""COMPUTED_VALUE"""),"Already Exists")</f>
        <v>Already Exists</v>
      </c>
      <c r="H263" s="27" t="s">
        <v>10716</v>
      </c>
      <c r="I263" s="27" t="s">
        <v>10717</v>
      </c>
      <c r="K263" s="108" t="s">
        <v>3791</v>
      </c>
      <c r="L263" s="27" t="s">
        <v>10173</v>
      </c>
      <c r="M263" s="48">
        <v>46083</v>
      </c>
      <c r="O263" s="27" t="s">
        <v>10711</v>
      </c>
    </row>
    <row r="264" spans="2:15" ht="12.5">
      <c r="D264" s="8" t="s">
        <v>10718</v>
      </c>
      <c r="E264" s="110" t="str">
        <f ca="1">IFERROR(__xludf.DUMMYFUNCTION("""COMPUTED_VALUE"""),"Already Exists")</f>
        <v>Already Exists</v>
      </c>
      <c r="H264" s="27" t="s">
        <v>3145</v>
      </c>
      <c r="I264" s="27" t="s">
        <v>10719</v>
      </c>
      <c r="K264" s="108" t="s">
        <v>3853</v>
      </c>
      <c r="L264" s="27" t="s">
        <v>10173</v>
      </c>
      <c r="M264" s="48">
        <v>46083</v>
      </c>
      <c r="O264" s="27" t="s">
        <v>10711</v>
      </c>
    </row>
    <row r="265" spans="2:15" ht="12.5">
      <c r="D265" s="8" t="s">
        <v>10720</v>
      </c>
      <c r="E265" s="110" t="str">
        <f ca="1">IFERROR(__xludf.DUMMYFUNCTION("""COMPUTED_VALUE"""),"Already Exists")</f>
        <v>Already Exists</v>
      </c>
      <c r="H265" s="27" t="s">
        <v>10721</v>
      </c>
      <c r="I265" s="27" t="s">
        <v>10722</v>
      </c>
      <c r="K265" s="108" t="s">
        <v>3853</v>
      </c>
      <c r="L265" s="27" t="s">
        <v>10173</v>
      </c>
      <c r="M265" s="48">
        <v>46083</v>
      </c>
      <c r="O265" s="27" t="s">
        <v>10711</v>
      </c>
    </row>
    <row r="266" spans="2:15" ht="12.5">
      <c r="D266" s="8" t="s">
        <v>10723</v>
      </c>
      <c r="E266" s="110" t="str">
        <f ca="1">IFERROR(__xludf.DUMMYFUNCTION("""COMPUTED_VALUE"""),"Already Exists")</f>
        <v>Already Exists</v>
      </c>
      <c r="I266" s="27" t="s">
        <v>10724</v>
      </c>
      <c r="K266" s="108" t="s">
        <v>10725</v>
      </c>
      <c r="L266" s="27" t="s">
        <v>10173</v>
      </c>
      <c r="M266" s="48">
        <v>46085</v>
      </c>
      <c r="O266" s="27" t="s">
        <v>10711</v>
      </c>
    </row>
    <row r="267" spans="2:15" ht="12.5">
      <c r="D267" s="8" t="s">
        <v>8</v>
      </c>
      <c r="E267" s="110" t="str">
        <f ca="1">IFERROR(__xludf.DUMMYFUNCTION("""COMPUTED_VALUE"""),"Already Exists")</f>
        <v>Already Exists</v>
      </c>
      <c r="H267" s="27" t="s">
        <v>3366</v>
      </c>
      <c r="I267" s="27" t="s">
        <v>10726</v>
      </c>
      <c r="K267" s="108" t="s">
        <v>10727</v>
      </c>
      <c r="L267" s="27" t="s">
        <v>10173</v>
      </c>
      <c r="M267" s="48">
        <v>46085</v>
      </c>
    </row>
    <row r="268" spans="2:15" ht="12.5">
      <c r="D268" s="8" t="s">
        <v>10728</v>
      </c>
      <c r="E268" s="110" t="str">
        <f ca="1">IFERROR(__xludf.DUMMYFUNCTION("""COMPUTED_VALUE"""),"Already Exists")</f>
        <v>Already Exists</v>
      </c>
      <c r="I268" s="27" t="s">
        <v>10729</v>
      </c>
      <c r="K268" s="108" t="s">
        <v>3853</v>
      </c>
      <c r="L268" s="27" t="s">
        <v>10173</v>
      </c>
      <c r="M268" s="48">
        <v>46085</v>
      </c>
    </row>
    <row r="269" spans="2:15" ht="12.5">
      <c r="D269" s="8" t="s">
        <v>10730</v>
      </c>
      <c r="E269" s="110" t="str">
        <f ca="1">IFERROR(__xludf.DUMMYFUNCTION("""COMPUTED_VALUE"""),"Already Exists")</f>
        <v>Already Exists</v>
      </c>
      <c r="H269" s="27" t="s">
        <v>5084</v>
      </c>
      <c r="I269" s="27" t="s">
        <v>10731</v>
      </c>
      <c r="K269" s="108" t="s">
        <v>3798</v>
      </c>
      <c r="L269" s="27" t="s">
        <v>10173</v>
      </c>
      <c r="M269" s="48">
        <v>46085</v>
      </c>
    </row>
    <row r="270" spans="2:15" ht="12.5">
      <c r="E270" s="110" t="str">
        <f ca="1">IFERROR(__xludf.DUMMYFUNCTION("""COMPUTED_VALUE"""),"")</f>
        <v/>
      </c>
      <c r="K270" s="113"/>
    </row>
    <row r="271" spans="2:15" ht="12.5">
      <c r="E271" s="110" t="str">
        <f ca="1">IFERROR(__xludf.DUMMYFUNCTION("""COMPUTED_VALUE"""),"")</f>
        <v/>
      </c>
      <c r="K271" s="113"/>
    </row>
    <row r="272" spans="2:15" ht="12.5">
      <c r="E272" s="110" t="str">
        <f ca="1">IFERROR(__xludf.DUMMYFUNCTION("""COMPUTED_VALUE"""),"")</f>
        <v/>
      </c>
      <c r="K272" s="113"/>
    </row>
    <row r="273" spans="2:11" ht="12.5">
      <c r="B273" s="8" t="s">
        <v>2880</v>
      </c>
      <c r="E273" s="110" t="str">
        <f ca="1">IFERROR(__xludf.DUMMYFUNCTION("""COMPUTED_VALUE"""),"")</f>
        <v/>
      </c>
      <c r="K273" s="113"/>
    </row>
    <row r="274" spans="2:11" ht="12.5">
      <c r="B274" s="8" t="s">
        <v>2881</v>
      </c>
      <c r="E274" s="110" t="str">
        <f ca="1">IFERROR(__xludf.DUMMYFUNCTION("""COMPUTED_VALUE"""),"")</f>
        <v/>
      </c>
      <c r="K274" s="113"/>
    </row>
    <row r="275" spans="2:11" ht="12.5">
      <c r="B275" s="8" t="s">
        <v>2882</v>
      </c>
      <c r="E275" s="110" t="str">
        <f ca="1">IFERROR(__xludf.DUMMYFUNCTION("""COMPUTED_VALUE"""),"")</f>
        <v/>
      </c>
      <c r="K275" s="113"/>
    </row>
    <row r="276" spans="2:11" ht="12.5">
      <c r="B276" s="8" t="s">
        <v>2883</v>
      </c>
      <c r="E276" s="110" t="str">
        <f ca="1">IFERROR(__xludf.DUMMYFUNCTION("""COMPUTED_VALUE"""),"")</f>
        <v/>
      </c>
      <c r="K276" s="113"/>
    </row>
    <row r="277" spans="2:11" ht="12.5">
      <c r="E277" s="110" t="str">
        <f ca="1">IFERROR(__xludf.DUMMYFUNCTION("""COMPUTED_VALUE"""),"")</f>
        <v/>
      </c>
      <c r="K277" s="113"/>
    </row>
    <row r="278" spans="2:11" ht="12.5">
      <c r="E278" s="110" t="str">
        <f ca="1">IFERROR(__xludf.DUMMYFUNCTION("""COMPUTED_VALUE"""),"")</f>
        <v/>
      </c>
      <c r="K278" s="113"/>
    </row>
    <row r="279" spans="2:11" ht="12.5">
      <c r="E279" s="110" t="str">
        <f ca="1">IFERROR(__xludf.DUMMYFUNCTION("""COMPUTED_VALUE"""),"")</f>
        <v/>
      </c>
      <c r="K279" s="113"/>
    </row>
    <row r="280" spans="2:11" ht="12.5">
      <c r="E280" s="110" t="str">
        <f ca="1">IFERROR(__xludf.DUMMYFUNCTION("""COMPUTED_VALUE"""),"")</f>
        <v/>
      </c>
      <c r="K280" s="113"/>
    </row>
    <row r="281" spans="2:11" ht="12.5">
      <c r="E281" s="110" t="str">
        <f ca="1">IFERROR(__xludf.DUMMYFUNCTION("""COMPUTED_VALUE"""),"")</f>
        <v/>
      </c>
      <c r="K281" s="113"/>
    </row>
    <row r="282" spans="2:11" ht="12.5">
      <c r="E282" s="110" t="str">
        <f ca="1">IFERROR(__xludf.DUMMYFUNCTION("""COMPUTED_VALUE"""),"")</f>
        <v/>
      </c>
      <c r="K282" s="113"/>
    </row>
    <row r="283" spans="2:11" ht="12.5">
      <c r="E283" s="110" t="str">
        <f ca="1">IFERROR(__xludf.DUMMYFUNCTION("""COMPUTED_VALUE"""),"")</f>
        <v/>
      </c>
      <c r="K283" s="113"/>
    </row>
    <row r="284" spans="2:11" ht="12.5">
      <c r="E284" s="110" t="str">
        <f ca="1">IFERROR(__xludf.DUMMYFUNCTION("""COMPUTED_VALUE"""),"")</f>
        <v/>
      </c>
      <c r="K284" s="113"/>
    </row>
    <row r="285" spans="2:11" ht="12.5">
      <c r="E285" s="110" t="str">
        <f ca="1">IFERROR(__xludf.DUMMYFUNCTION("""COMPUTED_VALUE"""),"")</f>
        <v/>
      </c>
      <c r="K285" s="113"/>
    </row>
    <row r="286" spans="2:11" ht="12.5">
      <c r="E286" s="110" t="str">
        <f ca="1">IFERROR(__xludf.DUMMYFUNCTION("""COMPUTED_VALUE"""),"")</f>
        <v/>
      </c>
      <c r="K286" s="113"/>
    </row>
    <row r="287" spans="2:11" ht="12.5">
      <c r="E287" s="110" t="str">
        <f ca="1">IFERROR(__xludf.DUMMYFUNCTION("""COMPUTED_VALUE"""),"")</f>
        <v/>
      </c>
      <c r="K287" s="113"/>
    </row>
    <row r="288" spans="2:11" ht="12.5">
      <c r="E288" s="110" t="str">
        <f ca="1">IFERROR(__xludf.DUMMYFUNCTION("""COMPUTED_VALUE"""),"")</f>
        <v/>
      </c>
      <c r="K288" s="113"/>
    </row>
    <row r="289" spans="5:11" ht="12.5">
      <c r="E289" s="110" t="str">
        <f ca="1">IFERROR(__xludf.DUMMYFUNCTION("""COMPUTED_VALUE"""),"")</f>
        <v/>
      </c>
      <c r="K289" s="113"/>
    </row>
    <row r="290" spans="5:11" ht="12.5">
      <c r="E290" s="110" t="str">
        <f ca="1">IFERROR(__xludf.DUMMYFUNCTION("""COMPUTED_VALUE"""),"")</f>
        <v/>
      </c>
      <c r="K290" s="113"/>
    </row>
    <row r="291" spans="5:11" ht="12.5">
      <c r="E291" s="110" t="str">
        <f ca="1">IFERROR(__xludf.DUMMYFUNCTION("""COMPUTED_VALUE"""),"")</f>
        <v/>
      </c>
      <c r="K291" s="113"/>
    </row>
    <row r="292" spans="5:11" ht="12.5">
      <c r="E292" s="110" t="str">
        <f ca="1">IFERROR(__xludf.DUMMYFUNCTION("""COMPUTED_VALUE"""),"")</f>
        <v/>
      </c>
      <c r="K292" s="113"/>
    </row>
    <row r="293" spans="5:11" ht="12.5">
      <c r="E293" s="110" t="str">
        <f ca="1">IFERROR(__xludf.DUMMYFUNCTION("""COMPUTED_VALUE"""),"")</f>
        <v/>
      </c>
      <c r="K293" s="113"/>
    </row>
    <row r="294" spans="5:11" ht="12.5">
      <c r="E294" s="110" t="str">
        <f ca="1">IFERROR(__xludf.DUMMYFUNCTION("""COMPUTED_VALUE"""),"")</f>
        <v/>
      </c>
      <c r="K294" s="113"/>
    </row>
    <row r="295" spans="5:11" ht="12.5">
      <c r="E295" s="110" t="str">
        <f ca="1">IFERROR(__xludf.DUMMYFUNCTION("""COMPUTED_VALUE"""),"")</f>
        <v/>
      </c>
      <c r="K295" s="113"/>
    </row>
    <row r="296" spans="5:11" ht="12.5">
      <c r="E296" s="110" t="str">
        <f ca="1">IFERROR(__xludf.DUMMYFUNCTION("""COMPUTED_VALUE"""),"")</f>
        <v/>
      </c>
      <c r="K296" s="113"/>
    </row>
    <row r="297" spans="5:11" ht="12.5">
      <c r="E297" s="110" t="str">
        <f ca="1">IFERROR(__xludf.DUMMYFUNCTION("""COMPUTED_VALUE"""),"")</f>
        <v/>
      </c>
      <c r="K297" s="113"/>
    </row>
    <row r="298" spans="5:11" ht="12.5">
      <c r="E298" s="110" t="str">
        <f ca="1">IFERROR(__xludf.DUMMYFUNCTION("""COMPUTED_VALUE"""),"")</f>
        <v/>
      </c>
      <c r="K298" s="113"/>
    </row>
    <row r="299" spans="5:11" ht="12.5">
      <c r="E299" s="110" t="str">
        <f ca="1">IFERROR(__xludf.DUMMYFUNCTION("""COMPUTED_VALUE"""),"")</f>
        <v/>
      </c>
      <c r="K299" s="113"/>
    </row>
    <row r="300" spans="5:11" ht="12.5">
      <c r="E300" s="110" t="str">
        <f ca="1">IFERROR(__xludf.DUMMYFUNCTION("""COMPUTED_VALUE"""),"")</f>
        <v/>
      </c>
      <c r="K300" s="113"/>
    </row>
    <row r="301" spans="5:11" ht="12.5">
      <c r="E301" s="110" t="str">
        <f ca="1">IFERROR(__xludf.DUMMYFUNCTION("""COMPUTED_VALUE"""),"")</f>
        <v/>
      </c>
      <c r="K301" s="113"/>
    </row>
    <row r="302" spans="5:11" ht="12.5">
      <c r="E302" s="110" t="str">
        <f ca="1">IFERROR(__xludf.DUMMYFUNCTION("""COMPUTED_VALUE"""),"")</f>
        <v/>
      </c>
      <c r="K302" s="113"/>
    </row>
    <row r="303" spans="5:11" ht="12.5">
      <c r="E303" s="110" t="str">
        <f ca="1">IFERROR(__xludf.DUMMYFUNCTION("""COMPUTED_VALUE"""),"")</f>
        <v/>
      </c>
      <c r="K303" s="113"/>
    </row>
    <row r="304" spans="5:11" ht="12.5">
      <c r="E304" s="110" t="str">
        <f ca="1">IFERROR(__xludf.DUMMYFUNCTION("""COMPUTED_VALUE"""),"")</f>
        <v/>
      </c>
      <c r="K304" s="113"/>
    </row>
    <row r="305" spans="5:11" ht="12.5">
      <c r="E305" s="110" t="str">
        <f ca="1">IFERROR(__xludf.DUMMYFUNCTION("""COMPUTED_VALUE"""),"")</f>
        <v/>
      </c>
      <c r="K305" s="113"/>
    </row>
    <row r="306" spans="5:11" ht="12.5">
      <c r="E306" s="110" t="str">
        <f ca="1">IFERROR(__xludf.DUMMYFUNCTION("""COMPUTED_VALUE"""),"")</f>
        <v/>
      </c>
      <c r="K306" s="113"/>
    </row>
    <row r="307" spans="5:11" ht="12.5">
      <c r="E307" s="110" t="str">
        <f ca="1">IFERROR(__xludf.DUMMYFUNCTION("""COMPUTED_VALUE"""),"")</f>
        <v/>
      </c>
      <c r="K307" s="113"/>
    </row>
    <row r="308" spans="5:11" ht="12.5">
      <c r="E308" s="110" t="str">
        <f ca="1">IFERROR(__xludf.DUMMYFUNCTION("""COMPUTED_VALUE"""),"")</f>
        <v/>
      </c>
      <c r="K308" s="113"/>
    </row>
    <row r="309" spans="5:11" ht="12.5">
      <c r="E309" s="110" t="str">
        <f ca="1">IFERROR(__xludf.DUMMYFUNCTION("""COMPUTED_VALUE"""),"")</f>
        <v/>
      </c>
      <c r="K309" s="113"/>
    </row>
    <row r="310" spans="5:11" ht="12.5">
      <c r="E310" s="110" t="str">
        <f ca="1">IFERROR(__xludf.DUMMYFUNCTION("""COMPUTED_VALUE"""),"")</f>
        <v/>
      </c>
      <c r="K310" s="113"/>
    </row>
    <row r="311" spans="5:11" ht="12.5">
      <c r="E311" s="110" t="str">
        <f ca="1">IFERROR(__xludf.DUMMYFUNCTION("""COMPUTED_VALUE"""),"")</f>
        <v/>
      </c>
      <c r="K311" s="113"/>
    </row>
    <row r="312" spans="5:11" ht="12.5">
      <c r="E312" s="110" t="str">
        <f ca="1">IFERROR(__xludf.DUMMYFUNCTION("""COMPUTED_VALUE"""),"")</f>
        <v/>
      </c>
      <c r="K312" s="113"/>
    </row>
    <row r="313" spans="5:11" ht="12.5">
      <c r="E313" s="110" t="str">
        <f ca="1">IFERROR(__xludf.DUMMYFUNCTION("""COMPUTED_VALUE"""),"")</f>
        <v/>
      </c>
      <c r="K313" s="113"/>
    </row>
    <row r="314" spans="5:11" ht="12.5">
      <c r="E314" s="110" t="str">
        <f ca="1">IFERROR(__xludf.DUMMYFUNCTION("""COMPUTED_VALUE"""),"")</f>
        <v/>
      </c>
      <c r="K314" s="113"/>
    </row>
    <row r="315" spans="5:11" ht="12.5">
      <c r="E315" s="110" t="str">
        <f ca="1">IFERROR(__xludf.DUMMYFUNCTION("""COMPUTED_VALUE"""),"")</f>
        <v/>
      </c>
      <c r="K315" s="113"/>
    </row>
    <row r="316" spans="5:11" ht="12.5">
      <c r="E316" s="110" t="str">
        <f ca="1">IFERROR(__xludf.DUMMYFUNCTION("""COMPUTED_VALUE"""),"")</f>
        <v/>
      </c>
      <c r="K316" s="113"/>
    </row>
    <row r="317" spans="5:11" ht="12.5">
      <c r="E317" s="110" t="str">
        <f ca="1">IFERROR(__xludf.DUMMYFUNCTION("""COMPUTED_VALUE"""),"")</f>
        <v/>
      </c>
      <c r="K317" s="113"/>
    </row>
    <row r="318" spans="5:11" ht="12.5">
      <c r="E318" s="110" t="str">
        <f ca="1">IFERROR(__xludf.DUMMYFUNCTION("""COMPUTED_VALUE"""),"")</f>
        <v/>
      </c>
      <c r="K318" s="113"/>
    </row>
    <row r="319" spans="5:11" ht="12.5">
      <c r="E319" s="110" t="str">
        <f ca="1">IFERROR(__xludf.DUMMYFUNCTION("""COMPUTED_VALUE"""),"")</f>
        <v/>
      </c>
      <c r="K319" s="113"/>
    </row>
    <row r="320" spans="5:11" ht="12.5">
      <c r="E320" s="110" t="str">
        <f ca="1">IFERROR(__xludf.DUMMYFUNCTION("""COMPUTED_VALUE"""),"")</f>
        <v/>
      </c>
      <c r="K320" s="113"/>
    </row>
    <row r="321" spans="5:11" ht="12.5">
      <c r="E321" s="110" t="str">
        <f ca="1">IFERROR(__xludf.DUMMYFUNCTION("""COMPUTED_VALUE"""),"")</f>
        <v/>
      </c>
      <c r="K321" s="113"/>
    </row>
    <row r="322" spans="5:11" ht="12.5">
      <c r="E322" s="110" t="str">
        <f ca="1">IFERROR(__xludf.DUMMYFUNCTION("""COMPUTED_VALUE"""),"")</f>
        <v/>
      </c>
      <c r="K322" s="113"/>
    </row>
    <row r="323" spans="5:11" ht="12.5">
      <c r="E323" s="110" t="str">
        <f ca="1">IFERROR(__xludf.DUMMYFUNCTION("""COMPUTED_VALUE"""),"")</f>
        <v/>
      </c>
      <c r="K323" s="113"/>
    </row>
    <row r="324" spans="5:11" ht="12.5">
      <c r="E324" s="110" t="str">
        <f ca="1">IFERROR(__xludf.DUMMYFUNCTION("""COMPUTED_VALUE"""),"")</f>
        <v/>
      </c>
      <c r="K324" s="113"/>
    </row>
    <row r="325" spans="5:11" ht="12.5">
      <c r="E325" s="110" t="str">
        <f ca="1">IFERROR(__xludf.DUMMYFUNCTION("""COMPUTED_VALUE"""),"")</f>
        <v/>
      </c>
      <c r="K325" s="113"/>
    </row>
    <row r="326" spans="5:11" ht="12.5">
      <c r="E326" s="110" t="str">
        <f ca="1">IFERROR(__xludf.DUMMYFUNCTION("""COMPUTED_VALUE"""),"")</f>
        <v/>
      </c>
      <c r="K326" s="113"/>
    </row>
    <row r="327" spans="5:11" ht="12.5">
      <c r="E327" s="110" t="str">
        <f ca="1">IFERROR(__xludf.DUMMYFUNCTION("""COMPUTED_VALUE"""),"")</f>
        <v/>
      </c>
      <c r="K327" s="113"/>
    </row>
    <row r="328" spans="5:11" ht="12.5">
      <c r="E328" s="110" t="str">
        <f ca="1">IFERROR(__xludf.DUMMYFUNCTION("""COMPUTED_VALUE"""),"")</f>
        <v/>
      </c>
      <c r="K328" s="113"/>
    </row>
    <row r="329" spans="5:11" ht="12.5">
      <c r="E329" s="110" t="str">
        <f ca="1">IFERROR(__xludf.DUMMYFUNCTION("""COMPUTED_VALUE"""),"")</f>
        <v/>
      </c>
      <c r="K329" s="113"/>
    </row>
    <row r="330" spans="5:11" ht="12.5">
      <c r="E330" s="110" t="str">
        <f ca="1">IFERROR(__xludf.DUMMYFUNCTION("""COMPUTED_VALUE"""),"")</f>
        <v/>
      </c>
      <c r="K330" s="113"/>
    </row>
    <row r="331" spans="5:11" ht="12.5">
      <c r="E331" s="110" t="str">
        <f ca="1">IFERROR(__xludf.DUMMYFUNCTION("""COMPUTED_VALUE"""),"")</f>
        <v/>
      </c>
      <c r="K331" s="113"/>
    </row>
    <row r="332" spans="5:11" ht="12.5">
      <c r="E332" s="110" t="str">
        <f ca="1">IFERROR(__xludf.DUMMYFUNCTION("""COMPUTED_VALUE"""),"")</f>
        <v/>
      </c>
      <c r="K332" s="113"/>
    </row>
    <row r="333" spans="5:11" ht="12.5">
      <c r="E333" s="110" t="str">
        <f ca="1">IFERROR(__xludf.DUMMYFUNCTION("""COMPUTED_VALUE"""),"")</f>
        <v/>
      </c>
      <c r="K333" s="113"/>
    </row>
    <row r="334" spans="5:11" ht="12.5">
      <c r="E334" s="110" t="str">
        <f ca="1">IFERROR(__xludf.DUMMYFUNCTION("""COMPUTED_VALUE"""),"")</f>
        <v/>
      </c>
      <c r="K334" s="113"/>
    </row>
    <row r="335" spans="5:11" ht="12.5">
      <c r="E335" s="110" t="str">
        <f ca="1">IFERROR(__xludf.DUMMYFUNCTION("""COMPUTED_VALUE"""),"")</f>
        <v/>
      </c>
      <c r="K335" s="113"/>
    </row>
    <row r="336" spans="5:11" ht="12.5">
      <c r="E336" s="110" t="str">
        <f ca="1">IFERROR(__xludf.DUMMYFUNCTION("""COMPUTED_VALUE"""),"")</f>
        <v/>
      </c>
      <c r="K336" s="113"/>
    </row>
    <row r="337" spans="5:11" ht="12.5">
      <c r="E337" s="110" t="str">
        <f ca="1">IFERROR(__xludf.DUMMYFUNCTION("""COMPUTED_VALUE"""),"")</f>
        <v/>
      </c>
      <c r="K337" s="113"/>
    </row>
    <row r="338" spans="5:11" ht="12.5">
      <c r="E338" s="110" t="str">
        <f ca="1">IFERROR(__xludf.DUMMYFUNCTION("""COMPUTED_VALUE"""),"")</f>
        <v/>
      </c>
      <c r="K338" s="113"/>
    </row>
    <row r="339" spans="5:11" ht="12.5">
      <c r="E339" s="110" t="str">
        <f ca="1">IFERROR(__xludf.DUMMYFUNCTION("""COMPUTED_VALUE"""),"")</f>
        <v/>
      </c>
      <c r="K339" s="113"/>
    </row>
    <row r="340" spans="5:11" ht="12.5">
      <c r="E340" s="110" t="str">
        <f ca="1">IFERROR(__xludf.DUMMYFUNCTION("""COMPUTED_VALUE"""),"")</f>
        <v/>
      </c>
      <c r="K340" s="113"/>
    </row>
    <row r="341" spans="5:11" ht="12.5">
      <c r="E341" s="110" t="str">
        <f ca="1">IFERROR(__xludf.DUMMYFUNCTION("""COMPUTED_VALUE"""),"")</f>
        <v/>
      </c>
      <c r="K341" s="113"/>
    </row>
    <row r="342" spans="5:11" ht="12.5">
      <c r="E342" s="110" t="str">
        <f ca="1">IFERROR(__xludf.DUMMYFUNCTION("""COMPUTED_VALUE"""),"")</f>
        <v/>
      </c>
      <c r="K342" s="113"/>
    </row>
    <row r="343" spans="5:11" ht="12.5">
      <c r="E343" s="110" t="str">
        <f ca="1">IFERROR(__xludf.DUMMYFUNCTION("""COMPUTED_VALUE"""),"")</f>
        <v/>
      </c>
      <c r="K343" s="113"/>
    </row>
    <row r="344" spans="5:11" ht="12.5">
      <c r="E344" s="110" t="str">
        <f ca="1">IFERROR(__xludf.DUMMYFUNCTION("""COMPUTED_VALUE"""),"")</f>
        <v/>
      </c>
      <c r="K344" s="113"/>
    </row>
    <row r="345" spans="5:11" ht="12.5">
      <c r="E345" s="110" t="str">
        <f ca="1">IFERROR(__xludf.DUMMYFUNCTION("""COMPUTED_VALUE"""),"")</f>
        <v/>
      </c>
      <c r="K345" s="113"/>
    </row>
    <row r="346" spans="5:11" ht="12.5">
      <c r="E346" s="110" t="str">
        <f ca="1">IFERROR(__xludf.DUMMYFUNCTION("""COMPUTED_VALUE"""),"")</f>
        <v/>
      </c>
      <c r="K346" s="113"/>
    </row>
    <row r="347" spans="5:11" ht="12.5">
      <c r="E347" s="110" t="str">
        <f ca="1">IFERROR(__xludf.DUMMYFUNCTION("""COMPUTED_VALUE"""),"")</f>
        <v/>
      </c>
      <c r="K347" s="113"/>
    </row>
    <row r="348" spans="5:11" ht="12.5">
      <c r="E348" s="110" t="str">
        <f ca="1">IFERROR(__xludf.DUMMYFUNCTION("""COMPUTED_VALUE"""),"")</f>
        <v/>
      </c>
      <c r="K348" s="113"/>
    </row>
    <row r="349" spans="5:11" ht="12.5">
      <c r="E349" s="110" t="str">
        <f ca="1">IFERROR(__xludf.DUMMYFUNCTION("""COMPUTED_VALUE"""),"")</f>
        <v/>
      </c>
      <c r="K349" s="113"/>
    </row>
    <row r="350" spans="5:11" ht="12.5">
      <c r="E350" s="110" t="str">
        <f ca="1">IFERROR(__xludf.DUMMYFUNCTION("""COMPUTED_VALUE"""),"")</f>
        <v/>
      </c>
      <c r="K350" s="113"/>
    </row>
    <row r="351" spans="5:11" ht="12.5">
      <c r="E351" s="110" t="str">
        <f ca="1">IFERROR(__xludf.DUMMYFUNCTION("""COMPUTED_VALUE"""),"")</f>
        <v/>
      </c>
      <c r="K351" s="113"/>
    </row>
    <row r="352" spans="5:11" ht="12.5">
      <c r="E352" s="110" t="str">
        <f ca="1">IFERROR(__xludf.DUMMYFUNCTION("""COMPUTED_VALUE"""),"")</f>
        <v/>
      </c>
      <c r="K352" s="113"/>
    </row>
    <row r="353" spans="5:11" ht="12.5">
      <c r="E353" s="110" t="str">
        <f ca="1">IFERROR(__xludf.DUMMYFUNCTION("""COMPUTED_VALUE"""),"")</f>
        <v/>
      </c>
      <c r="K353" s="113"/>
    </row>
    <row r="354" spans="5:11" ht="12.5">
      <c r="E354" s="110" t="str">
        <f ca="1">IFERROR(__xludf.DUMMYFUNCTION("""COMPUTED_VALUE"""),"")</f>
        <v/>
      </c>
      <c r="K354" s="113"/>
    </row>
    <row r="355" spans="5:11" ht="12.5">
      <c r="E355" s="110" t="str">
        <f ca="1">IFERROR(__xludf.DUMMYFUNCTION("""COMPUTED_VALUE"""),"")</f>
        <v/>
      </c>
      <c r="K355" s="113"/>
    </row>
    <row r="356" spans="5:11" ht="12.5">
      <c r="E356" s="110" t="str">
        <f ca="1">IFERROR(__xludf.DUMMYFUNCTION("""COMPUTED_VALUE"""),"")</f>
        <v/>
      </c>
      <c r="K356" s="113"/>
    </row>
    <row r="357" spans="5:11" ht="12.5">
      <c r="E357" s="110" t="str">
        <f ca="1">IFERROR(__xludf.DUMMYFUNCTION("""COMPUTED_VALUE"""),"")</f>
        <v/>
      </c>
      <c r="K357" s="113"/>
    </row>
    <row r="358" spans="5:11" ht="12.5">
      <c r="E358" s="110" t="str">
        <f ca="1">IFERROR(__xludf.DUMMYFUNCTION("""COMPUTED_VALUE"""),"")</f>
        <v/>
      </c>
      <c r="K358" s="113"/>
    </row>
    <row r="359" spans="5:11" ht="12.5">
      <c r="E359" s="110" t="str">
        <f ca="1">IFERROR(__xludf.DUMMYFUNCTION("""COMPUTED_VALUE"""),"")</f>
        <v/>
      </c>
      <c r="K359" s="113"/>
    </row>
    <row r="360" spans="5:11" ht="12.5">
      <c r="E360" s="110" t="str">
        <f ca="1">IFERROR(__xludf.DUMMYFUNCTION("""COMPUTED_VALUE"""),"")</f>
        <v/>
      </c>
      <c r="K360" s="113"/>
    </row>
    <row r="361" spans="5:11" ht="12.5">
      <c r="E361" s="110" t="str">
        <f ca="1">IFERROR(__xludf.DUMMYFUNCTION("""COMPUTED_VALUE"""),"")</f>
        <v/>
      </c>
      <c r="K361" s="113"/>
    </row>
    <row r="362" spans="5:11" ht="12.5">
      <c r="E362" s="110" t="str">
        <f ca="1">IFERROR(__xludf.DUMMYFUNCTION("""COMPUTED_VALUE"""),"")</f>
        <v/>
      </c>
      <c r="K362" s="113"/>
    </row>
    <row r="363" spans="5:11" ht="12.5">
      <c r="E363" s="110" t="str">
        <f ca="1">IFERROR(__xludf.DUMMYFUNCTION("""COMPUTED_VALUE"""),"")</f>
        <v/>
      </c>
      <c r="K363" s="113"/>
    </row>
    <row r="364" spans="5:11" ht="12.5">
      <c r="E364" s="110" t="str">
        <f ca="1">IFERROR(__xludf.DUMMYFUNCTION("""COMPUTED_VALUE"""),"")</f>
        <v/>
      </c>
      <c r="K364" s="113"/>
    </row>
    <row r="365" spans="5:11" ht="12.5">
      <c r="E365" s="110" t="str">
        <f ca="1">IFERROR(__xludf.DUMMYFUNCTION("""COMPUTED_VALUE"""),"")</f>
        <v/>
      </c>
      <c r="K365" s="113"/>
    </row>
    <row r="366" spans="5:11" ht="12.5">
      <c r="E366" s="110" t="str">
        <f ca="1">IFERROR(__xludf.DUMMYFUNCTION("""COMPUTED_VALUE"""),"")</f>
        <v/>
      </c>
      <c r="K366" s="113"/>
    </row>
    <row r="367" spans="5:11" ht="12.5">
      <c r="E367" s="110" t="str">
        <f ca="1">IFERROR(__xludf.DUMMYFUNCTION("""COMPUTED_VALUE"""),"")</f>
        <v/>
      </c>
      <c r="K367" s="113"/>
    </row>
    <row r="368" spans="5:11" ht="12.5">
      <c r="E368" s="110" t="str">
        <f ca="1">IFERROR(__xludf.DUMMYFUNCTION("""COMPUTED_VALUE"""),"")</f>
        <v/>
      </c>
      <c r="K368" s="113"/>
    </row>
    <row r="369" spans="5:11" ht="12.5">
      <c r="E369" s="110" t="str">
        <f ca="1">IFERROR(__xludf.DUMMYFUNCTION("""COMPUTED_VALUE"""),"")</f>
        <v/>
      </c>
      <c r="K369" s="113"/>
    </row>
    <row r="370" spans="5:11" ht="12.5">
      <c r="E370" s="110" t="str">
        <f ca="1">IFERROR(__xludf.DUMMYFUNCTION("""COMPUTED_VALUE"""),"")</f>
        <v/>
      </c>
      <c r="K370" s="113"/>
    </row>
    <row r="371" spans="5:11" ht="12.5">
      <c r="E371" s="110" t="str">
        <f ca="1">IFERROR(__xludf.DUMMYFUNCTION("""COMPUTED_VALUE"""),"")</f>
        <v/>
      </c>
      <c r="K371" s="113"/>
    </row>
    <row r="372" spans="5:11" ht="12.5">
      <c r="E372" s="110" t="str">
        <f ca="1">IFERROR(__xludf.DUMMYFUNCTION("""COMPUTED_VALUE"""),"")</f>
        <v/>
      </c>
      <c r="K372" s="113"/>
    </row>
    <row r="373" spans="5:11" ht="12.5">
      <c r="E373" s="110" t="str">
        <f ca="1">IFERROR(__xludf.DUMMYFUNCTION("""COMPUTED_VALUE"""),"")</f>
        <v/>
      </c>
      <c r="K373" s="113"/>
    </row>
    <row r="374" spans="5:11" ht="12.5">
      <c r="E374" s="110" t="str">
        <f ca="1">IFERROR(__xludf.DUMMYFUNCTION("""COMPUTED_VALUE"""),"")</f>
        <v/>
      </c>
      <c r="K374" s="113"/>
    </row>
    <row r="375" spans="5:11" ht="12.5">
      <c r="E375" s="110" t="str">
        <f ca="1">IFERROR(__xludf.DUMMYFUNCTION("""COMPUTED_VALUE"""),"")</f>
        <v/>
      </c>
      <c r="K375" s="113"/>
    </row>
    <row r="376" spans="5:11" ht="12.5">
      <c r="E376" s="110" t="str">
        <f ca="1">IFERROR(__xludf.DUMMYFUNCTION("""COMPUTED_VALUE"""),"")</f>
        <v/>
      </c>
      <c r="K376" s="113"/>
    </row>
    <row r="377" spans="5:11" ht="12.5">
      <c r="E377" s="110" t="str">
        <f ca="1">IFERROR(__xludf.DUMMYFUNCTION("""COMPUTED_VALUE"""),"")</f>
        <v/>
      </c>
      <c r="K377" s="113"/>
    </row>
    <row r="378" spans="5:11" ht="12.5">
      <c r="E378" s="110" t="str">
        <f ca="1">IFERROR(__xludf.DUMMYFUNCTION("""COMPUTED_VALUE"""),"")</f>
        <v/>
      </c>
      <c r="K378" s="113"/>
    </row>
    <row r="379" spans="5:11" ht="12.5">
      <c r="E379" s="110" t="str">
        <f ca="1">IFERROR(__xludf.DUMMYFUNCTION("""COMPUTED_VALUE"""),"")</f>
        <v/>
      </c>
      <c r="K379" s="113"/>
    </row>
    <row r="380" spans="5:11" ht="12.5">
      <c r="E380" s="110" t="str">
        <f ca="1">IFERROR(__xludf.DUMMYFUNCTION("""COMPUTED_VALUE"""),"")</f>
        <v/>
      </c>
      <c r="K380" s="113"/>
    </row>
    <row r="381" spans="5:11" ht="12.5">
      <c r="E381" s="110" t="str">
        <f ca="1">IFERROR(__xludf.DUMMYFUNCTION("""COMPUTED_VALUE"""),"")</f>
        <v/>
      </c>
      <c r="K381" s="113"/>
    </row>
    <row r="382" spans="5:11" ht="12.5">
      <c r="E382" s="110" t="str">
        <f ca="1">IFERROR(__xludf.DUMMYFUNCTION("""COMPUTED_VALUE"""),"")</f>
        <v/>
      </c>
      <c r="K382" s="113"/>
    </row>
    <row r="383" spans="5:11" ht="12.5">
      <c r="E383" s="110" t="str">
        <f ca="1">IFERROR(__xludf.DUMMYFUNCTION("""COMPUTED_VALUE"""),"")</f>
        <v/>
      </c>
      <c r="K383" s="113"/>
    </row>
    <row r="384" spans="5:11" ht="12.5">
      <c r="E384" s="110" t="str">
        <f ca="1">IFERROR(__xludf.DUMMYFUNCTION("""COMPUTED_VALUE"""),"")</f>
        <v/>
      </c>
      <c r="K384" s="113"/>
    </row>
    <row r="385" spans="5:11" ht="12.5">
      <c r="E385" s="110" t="str">
        <f ca="1">IFERROR(__xludf.DUMMYFUNCTION("""COMPUTED_VALUE"""),"")</f>
        <v/>
      </c>
      <c r="K385" s="113"/>
    </row>
    <row r="386" spans="5:11" ht="12.5">
      <c r="E386" s="110" t="str">
        <f ca="1">IFERROR(__xludf.DUMMYFUNCTION("""COMPUTED_VALUE"""),"")</f>
        <v/>
      </c>
      <c r="K386" s="113"/>
    </row>
    <row r="387" spans="5:11" ht="12.5">
      <c r="E387" s="110" t="str">
        <f ca="1">IFERROR(__xludf.DUMMYFUNCTION("""COMPUTED_VALUE"""),"")</f>
        <v/>
      </c>
      <c r="K387" s="113"/>
    </row>
    <row r="388" spans="5:11" ht="12.5">
      <c r="E388" s="110" t="str">
        <f ca="1">IFERROR(__xludf.DUMMYFUNCTION("""COMPUTED_VALUE"""),"")</f>
        <v/>
      </c>
      <c r="K388" s="113"/>
    </row>
    <row r="389" spans="5:11" ht="12.5">
      <c r="E389" s="110" t="str">
        <f ca="1">IFERROR(__xludf.DUMMYFUNCTION("""COMPUTED_VALUE"""),"")</f>
        <v/>
      </c>
      <c r="K389" s="113"/>
    </row>
    <row r="390" spans="5:11" ht="12.5">
      <c r="E390" s="110" t="str">
        <f ca="1">IFERROR(__xludf.DUMMYFUNCTION("""COMPUTED_VALUE"""),"")</f>
        <v/>
      </c>
      <c r="K390" s="113"/>
    </row>
    <row r="391" spans="5:11" ht="12.5">
      <c r="E391" s="110" t="str">
        <f ca="1">IFERROR(__xludf.DUMMYFUNCTION("""COMPUTED_VALUE"""),"")</f>
        <v/>
      </c>
      <c r="K391" s="113"/>
    </row>
    <row r="392" spans="5:11" ht="12.5">
      <c r="E392" s="110" t="str">
        <f ca="1">IFERROR(__xludf.DUMMYFUNCTION("""COMPUTED_VALUE"""),"")</f>
        <v/>
      </c>
      <c r="K392" s="113"/>
    </row>
    <row r="393" spans="5:11" ht="12.5">
      <c r="E393" s="110" t="str">
        <f ca="1">IFERROR(__xludf.DUMMYFUNCTION("""COMPUTED_VALUE"""),"")</f>
        <v/>
      </c>
      <c r="K393" s="113"/>
    </row>
    <row r="394" spans="5:11" ht="12.5">
      <c r="E394" s="110" t="str">
        <f ca="1">IFERROR(__xludf.DUMMYFUNCTION("""COMPUTED_VALUE"""),"")</f>
        <v/>
      </c>
      <c r="K394" s="113"/>
    </row>
    <row r="395" spans="5:11" ht="12.5">
      <c r="E395" s="110" t="str">
        <f ca="1">IFERROR(__xludf.DUMMYFUNCTION("""COMPUTED_VALUE"""),"")</f>
        <v/>
      </c>
      <c r="K395" s="113"/>
    </row>
    <row r="396" spans="5:11" ht="12.5">
      <c r="E396" s="110" t="str">
        <f ca="1">IFERROR(__xludf.DUMMYFUNCTION("""COMPUTED_VALUE"""),"")</f>
        <v/>
      </c>
      <c r="K396" s="113"/>
    </row>
    <row r="397" spans="5:11" ht="12.5">
      <c r="E397" s="110" t="str">
        <f ca="1">IFERROR(__xludf.DUMMYFUNCTION("""COMPUTED_VALUE"""),"")</f>
        <v/>
      </c>
      <c r="K397" s="113"/>
    </row>
    <row r="398" spans="5:11" ht="12.5">
      <c r="E398" s="110" t="str">
        <f ca="1">IFERROR(__xludf.DUMMYFUNCTION("""COMPUTED_VALUE"""),"")</f>
        <v/>
      </c>
      <c r="K398" s="113"/>
    </row>
    <row r="399" spans="5:11" ht="12.5">
      <c r="E399" s="110" t="str">
        <f ca="1">IFERROR(__xludf.DUMMYFUNCTION("""COMPUTED_VALUE"""),"")</f>
        <v/>
      </c>
      <c r="K399" s="113"/>
    </row>
    <row r="400" spans="5:11" ht="12.5">
      <c r="E400" s="110" t="str">
        <f ca="1">IFERROR(__xludf.DUMMYFUNCTION("""COMPUTED_VALUE"""),"")</f>
        <v/>
      </c>
      <c r="K400" s="113"/>
    </row>
    <row r="401" spans="5:11" ht="12.5">
      <c r="E401" s="110" t="str">
        <f ca="1">IFERROR(__xludf.DUMMYFUNCTION("""COMPUTED_VALUE"""),"")</f>
        <v/>
      </c>
      <c r="K401" s="113"/>
    </row>
    <row r="402" spans="5:11" ht="12.5">
      <c r="E402" s="110" t="str">
        <f ca="1">IFERROR(__xludf.DUMMYFUNCTION("""COMPUTED_VALUE"""),"")</f>
        <v/>
      </c>
      <c r="K402" s="113"/>
    </row>
    <row r="403" spans="5:11" ht="12.5">
      <c r="E403" s="110" t="str">
        <f ca="1">IFERROR(__xludf.DUMMYFUNCTION("""COMPUTED_VALUE"""),"")</f>
        <v/>
      </c>
      <c r="K403" s="113"/>
    </row>
    <row r="404" spans="5:11" ht="12.5">
      <c r="E404" s="110" t="str">
        <f ca="1">IFERROR(__xludf.DUMMYFUNCTION("""COMPUTED_VALUE"""),"")</f>
        <v/>
      </c>
      <c r="K404" s="113"/>
    </row>
    <row r="405" spans="5:11" ht="12.5">
      <c r="E405" s="110" t="str">
        <f ca="1">IFERROR(__xludf.DUMMYFUNCTION("""COMPUTED_VALUE"""),"")</f>
        <v/>
      </c>
      <c r="K405" s="113"/>
    </row>
    <row r="406" spans="5:11" ht="12.5">
      <c r="E406" s="110" t="str">
        <f ca="1">IFERROR(__xludf.DUMMYFUNCTION("""COMPUTED_VALUE"""),"")</f>
        <v/>
      </c>
      <c r="K406" s="113"/>
    </row>
    <row r="407" spans="5:11" ht="12.5">
      <c r="E407" s="110" t="str">
        <f ca="1">IFERROR(__xludf.DUMMYFUNCTION("""COMPUTED_VALUE"""),"")</f>
        <v/>
      </c>
      <c r="K407" s="113"/>
    </row>
    <row r="408" spans="5:11" ht="12.5">
      <c r="E408" s="110" t="str">
        <f ca="1">IFERROR(__xludf.DUMMYFUNCTION("""COMPUTED_VALUE"""),"")</f>
        <v/>
      </c>
      <c r="K408" s="113"/>
    </row>
    <row r="409" spans="5:11" ht="12.5">
      <c r="E409" s="110" t="str">
        <f ca="1">IFERROR(__xludf.DUMMYFUNCTION("""COMPUTED_VALUE"""),"")</f>
        <v/>
      </c>
      <c r="K409" s="113"/>
    </row>
    <row r="410" spans="5:11" ht="12.5">
      <c r="E410" s="110" t="str">
        <f ca="1">IFERROR(__xludf.DUMMYFUNCTION("""COMPUTED_VALUE"""),"")</f>
        <v/>
      </c>
      <c r="K410" s="113"/>
    </row>
    <row r="411" spans="5:11" ht="12.5">
      <c r="E411" s="110" t="str">
        <f ca="1">IFERROR(__xludf.DUMMYFUNCTION("""COMPUTED_VALUE"""),"")</f>
        <v/>
      </c>
      <c r="K411" s="113"/>
    </row>
    <row r="412" spans="5:11" ht="12.5">
      <c r="E412" s="110" t="str">
        <f ca="1">IFERROR(__xludf.DUMMYFUNCTION("""COMPUTED_VALUE"""),"")</f>
        <v/>
      </c>
      <c r="K412" s="113"/>
    </row>
    <row r="413" spans="5:11" ht="12.5">
      <c r="E413" s="110" t="str">
        <f ca="1">IFERROR(__xludf.DUMMYFUNCTION("""COMPUTED_VALUE"""),"")</f>
        <v/>
      </c>
      <c r="K413" s="113"/>
    </row>
    <row r="414" spans="5:11" ht="12.5">
      <c r="E414" s="110" t="str">
        <f ca="1">IFERROR(__xludf.DUMMYFUNCTION("""COMPUTED_VALUE"""),"")</f>
        <v/>
      </c>
      <c r="K414" s="113"/>
    </row>
    <row r="415" spans="5:11" ht="12.5">
      <c r="E415" s="110" t="str">
        <f ca="1">IFERROR(__xludf.DUMMYFUNCTION("""COMPUTED_VALUE"""),"")</f>
        <v/>
      </c>
      <c r="K415" s="113"/>
    </row>
    <row r="416" spans="5:11" ht="12.5">
      <c r="E416" s="110" t="str">
        <f ca="1">IFERROR(__xludf.DUMMYFUNCTION("""COMPUTED_VALUE"""),"")</f>
        <v/>
      </c>
      <c r="K416" s="113"/>
    </row>
    <row r="417" spans="5:11" ht="12.5">
      <c r="E417" s="110" t="str">
        <f ca="1">IFERROR(__xludf.DUMMYFUNCTION("""COMPUTED_VALUE"""),"")</f>
        <v/>
      </c>
      <c r="K417" s="113"/>
    </row>
    <row r="418" spans="5:11" ht="12.5">
      <c r="E418" s="110" t="str">
        <f ca="1">IFERROR(__xludf.DUMMYFUNCTION("""COMPUTED_VALUE"""),"")</f>
        <v/>
      </c>
      <c r="K418" s="113"/>
    </row>
    <row r="419" spans="5:11" ht="12.5">
      <c r="E419" s="110" t="str">
        <f ca="1">IFERROR(__xludf.DUMMYFUNCTION("""COMPUTED_VALUE"""),"")</f>
        <v/>
      </c>
      <c r="K419" s="113"/>
    </row>
    <row r="420" spans="5:11" ht="12.5">
      <c r="E420" s="110" t="str">
        <f ca="1">IFERROR(__xludf.DUMMYFUNCTION("""COMPUTED_VALUE"""),"")</f>
        <v/>
      </c>
      <c r="K420" s="113"/>
    </row>
    <row r="421" spans="5:11" ht="12.5">
      <c r="E421" s="110" t="str">
        <f ca="1">IFERROR(__xludf.DUMMYFUNCTION("""COMPUTED_VALUE"""),"")</f>
        <v/>
      </c>
      <c r="K421" s="113"/>
    </row>
    <row r="422" spans="5:11" ht="12.5">
      <c r="E422" s="110" t="str">
        <f ca="1">IFERROR(__xludf.DUMMYFUNCTION("""COMPUTED_VALUE"""),"")</f>
        <v/>
      </c>
      <c r="K422" s="113"/>
    </row>
    <row r="423" spans="5:11" ht="12.5">
      <c r="E423" s="110" t="str">
        <f ca="1">IFERROR(__xludf.DUMMYFUNCTION("""COMPUTED_VALUE"""),"")</f>
        <v/>
      </c>
      <c r="K423" s="113"/>
    </row>
    <row r="424" spans="5:11" ht="12.5">
      <c r="E424" s="110" t="str">
        <f ca="1">IFERROR(__xludf.DUMMYFUNCTION("""COMPUTED_VALUE"""),"")</f>
        <v/>
      </c>
      <c r="K424" s="113"/>
    </row>
    <row r="425" spans="5:11" ht="12.5">
      <c r="E425" s="110" t="str">
        <f ca="1">IFERROR(__xludf.DUMMYFUNCTION("""COMPUTED_VALUE"""),"")</f>
        <v/>
      </c>
      <c r="K425" s="113"/>
    </row>
    <row r="426" spans="5:11" ht="12.5">
      <c r="E426" s="110" t="str">
        <f ca="1">IFERROR(__xludf.DUMMYFUNCTION("""COMPUTED_VALUE"""),"")</f>
        <v/>
      </c>
      <c r="K426" s="113"/>
    </row>
    <row r="427" spans="5:11" ht="12.5">
      <c r="E427" s="110" t="str">
        <f ca="1">IFERROR(__xludf.DUMMYFUNCTION("""COMPUTED_VALUE"""),"")</f>
        <v/>
      </c>
      <c r="K427" s="113"/>
    </row>
    <row r="428" spans="5:11" ht="12.5">
      <c r="E428" s="110" t="str">
        <f ca="1">IFERROR(__xludf.DUMMYFUNCTION("""COMPUTED_VALUE"""),"")</f>
        <v/>
      </c>
      <c r="K428" s="113"/>
    </row>
    <row r="429" spans="5:11" ht="12.5">
      <c r="E429" s="110" t="str">
        <f ca="1">IFERROR(__xludf.DUMMYFUNCTION("""COMPUTED_VALUE"""),"")</f>
        <v/>
      </c>
      <c r="K429" s="113"/>
    </row>
    <row r="430" spans="5:11" ht="12.5">
      <c r="E430" s="110" t="str">
        <f ca="1">IFERROR(__xludf.DUMMYFUNCTION("""COMPUTED_VALUE"""),"")</f>
        <v/>
      </c>
      <c r="K430" s="113"/>
    </row>
    <row r="431" spans="5:11" ht="12.5">
      <c r="E431" s="110" t="str">
        <f ca="1">IFERROR(__xludf.DUMMYFUNCTION("""COMPUTED_VALUE"""),"")</f>
        <v/>
      </c>
      <c r="K431" s="113"/>
    </row>
    <row r="432" spans="5:11" ht="12.5">
      <c r="E432" s="110" t="str">
        <f ca="1">IFERROR(__xludf.DUMMYFUNCTION("""COMPUTED_VALUE"""),"")</f>
        <v/>
      </c>
      <c r="K432" s="113"/>
    </row>
    <row r="433" spans="5:11" ht="12.5">
      <c r="E433" s="110" t="str">
        <f ca="1">IFERROR(__xludf.DUMMYFUNCTION("""COMPUTED_VALUE"""),"")</f>
        <v/>
      </c>
      <c r="K433" s="113"/>
    </row>
    <row r="434" spans="5:11" ht="12.5">
      <c r="E434" s="110" t="str">
        <f ca="1">IFERROR(__xludf.DUMMYFUNCTION("""COMPUTED_VALUE"""),"")</f>
        <v/>
      </c>
      <c r="K434" s="113"/>
    </row>
    <row r="435" spans="5:11" ht="12.5">
      <c r="E435" s="110" t="str">
        <f ca="1">IFERROR(__xludf.DUMMYFUNCTION("""COMPUTED_VALUE"""),"")</f>
        <v/>
      </c>
      <c r="K435" s="113"/>
    </row>
    <row r="436" spans="5:11" ht="12.5">
      <c r="E436" s="110" t="str">
        <f ca="1">IFERROR(__xludf.DUMMYFUNCTION("""COMPUTED_VALUE"""),"")</f>
        <v/>
      </c>
      <c r="K436" s="113"/>
    </row>
    <row r="437" spans="5:11" ht="12.5">
      <c r="E437" s="110" t="str">
        <f ca="1">IFERROR(__xludf.DUMMYFUNCTION("""COMPUTED_VALUE"""),"")</f>
        <v/>
      </c>
      <c r="K437" s="113"/>
    </row>
    <row r="438" spans="5:11" ht="12.5">
      <c r="E438" s="110" t="str">
        <f ca="1">IFERROR(__xludf.DUMMYFUNCTION("""COMPUTED_VALUE"""),"")</f>
        <v/>
      </c>
      <c r="K438" s="113"/>
    </row>
    <row r="439" spans="5:11" ht="12.5">
      <c r="E439" s="110" t="str">
        <f ca="1">IFERROR(__xludf.DUMMYFUNCTION("""COMPUTED_VALUE"""),"")</f>
        <v/>
      </c>
      <c r="K439" s="113"/>
    </row>
    <row r="440" spans="5:11" ht="12.5">
      <c r="E440" s="110" t="str">
        <f ca="1">IFERROR(__xludf.DUMMYFUNCTION("""COMPUTED_VALUE"""),"")</f>
        <v/>
      </c>
      <c r="K440" s="113"/>
    </row>
    <row r="441" spans="5:11" ht="12.5">
      <c r="E441" s="110" t="str">
        <f ca="1">IFERROR(__xludf.DUMMYFUNCTION("""COMPUTED_VALUE"""),"")</f>
        <v/>
      </c>
      <c r="K441" s="113"/>
    </row>
    <row r="442" spans="5:11" ht="12.5">
      <c r="E442" s="110" t="str">
        <f ca="1">IFERROR(__xludf.DUMMYFUNCTION("""COMPUTED_VALUE"""),"")</f>
        <v/>
      </c>
      <c r="K442" s="113"/>
    </row>
    <row r="443" spans="5:11" ht="12.5">
      <c r="E443" s="110" t="str">
        <f ca="1">IFERROR(__xludf.DUMMYFUNCTION("""COMPUTED_VALUE"""),"")</f>
        <v/>
      </c>
      <c r="K443" s="113"/>
    </row>
    <row r="444" spans="5:11" ht="12.5">
      <c r="E444" s="110" t="str">
        <f ca="1">IFERROR(__xludf.DUMMYFUNCTION("""COMPUTED_VALUE"""),"")</f>
        <v/>
      </c>
      <c r="K444" s="113"/>
    </row>
    <row r="445" spans="5:11" ht="12.5">
      <c r="E445" s="110" t="str">
        <f ca="1">IFERROR(__xludf.DUMMYFUNCTION("""COMPUTED_VALUE"""),"")</f>
        <v/>
      </c>
      <c r="K445" s="113"/>
    </row>
    <row r="446" spans="5:11" ht="12.5">
      <c r="E446" s="110" t="str">
        <f ca="1">IFERROR(__xludf.DUMMYFUNCTION("""COMPUTED_VALUE"""),"")</f>
        <v/>
      </c>
      <c r="K446" s="113"/>
    </row>
    <row r="447" spans="5:11" ht="12.5">
      <c r="E447" s="110" t="str">
        <f ca="1">IFERROR(__xludf.DUMMYFUNCTION("""COMPUTED_VALUE"""),"")</f>
        <v/>
      </c>
      <c r="K447" s="113"/>
    </row>
    <row r="448" spans="5:11" ht="12.5">
      <c r="E448" s="110" t="str">
        <f ca="1">IFERROR(__xludf.DUMMYFUNCTION("""COMPUTED_VALUE"""),"")</f>
        <v/>
      </c>
      <c r="K448" s="113"/>
    </row>
    <row r="449" spans="5:11" ht="12.5">
      <c r="E449" s="110" t="str">
        <f ca="1">IFERROR(__xludf.DUMMYFUNCTION("""COMPUTED_VALUE"""),"")</f>
        <v/>
      </c>
      <c r="K449" s="113"/>
    </row>
    <row r="450" spans="5:11" ht="12.5">
      <c r="E450" s="110" t="str">
        <f ca="1">IFERROR(__xludf.DUMMYFUNCTION("""COMPUTED_VALUE"""),"")</f>
        <v/>
      </c>
      <c r="K450" s="113"/>
    </row>
    <row r="451" spans="5:11" ht="12.5">
      <c r="E451" s="110" t="str">
        <f ca="1">IFERROR(__xludf.DUMMYFUNCTION("""COMPUTED_VALUE"""),"")</f>
        <v/>
      </c>
      <c r="K451" s="113"/>
    </row>
    <row r="452" spans="5:11" ht="12.5">
      <c r="E452" s="110" t="str">
        <f ca="1">IFERROR(__xludf.DUMMYFUNCTION("""COMPUTED_VALUE"""),"")</f>
        <v/>
      </c>
      <c r="K452" s="113"/>
    </row>
    <row r="453" spans="5:11" ht="12.5">
      <c r="E453" s="110" t="str">
        <f ca="1">IFERROR(__xludf.DUMMYFUNCTION("""COMPUTED_VALUE"""),"")</f>
        <v/>
      </c>
      <c r="K453" s="113"/>
    </row>
    <row r="454" spans="5:11" ht="12.5">
      <c r="E454" s="110" t="str">
        <f ca="1">IFERROR(__xludf.DUMMYFUNCTION("""COMPUTED_VALUE"""),"")</f>
        <v/>
      </c>
      <c r="K454" s="113"/>
    </row>
    <row r="455" spans="5:11" ht="12.5">
      <c r="E455" s="110" t="str">
        <f ca="1">IFERROR(__xludf.DUMMYFUNCTION("""COMPUTED_VALUE"""),"")</f>
        <v/>
      </c>
      <c r="K455" s="113"/>
    </row>
    <row r="456" spans="5:11" ht="12.5">
      <c r="E456" s="110" t="str">
        <f ca="1">IFERROR(__xludf.DUMMYFUNCTION("""COMPUTED_VALUE"""),"")</f>
        <v/>
      </c>
      <c r="K456" s="113"/>
    </row>
    <row r="457" spans="5:11" ht="12.5">
      <c r="E457" s="110" t="str">
        <f ca="1">IFERROR(__xludf.DUMMYFUNCTION("""COMPUTED_VALUE"""),"")</f>
        <v/>
      </c>
      <c r="K457" s="113"/>
    </row>
    <row r="458" spans="5:11" ht="12.5">
      <c r="E458" s="110" t="str">
        <f ca="1">IFERROR(__xludf.DUMMYFUNCTION("""COMPUTED_VALUE"""),"")</f>
        <v/>
      </c>
      <c r="K458" s="113"/>
    </row>
    <row r="459" spans="5:11" ht="12.5">
      <c r="E459" s="110" t="str">
        <f ca="1">IFERROR(__xludf.DUMMYFUNCTION("""COMPUTED_VALUE"""),"")</f>
        <v/>
      </c>
      <c r="K459" s="113"/>
    </row>
    <row r="460" spans="5:11" ht="12.5">
      <c r="E460" s="110" t="str">
        <f ca="1">IFERROR(__xludf.DUMMYFUNCTION("""COMPUTED_VALUE"""),"")</f>
        <v/>
      </c>
      <c r="K460" s="113"/>
    </row>
    <row r="461" spans="5:11" ht="12.5">
      <c r="E461" s="110" t="str">
        <f ca="1">IFERROR(__xludf.DUMMYFUNCTION("""COMPUTED_VALUE"""),"")</f>
        <v/>
      </c>
      <c r="K461" s="113"/>
    </row>
    <row r="462" spans="5:11" ht="12.5">
      <c r="E462" s="110" t="str">
        <f ca="1">IFERROR(__xludf.DUMMYFUNCTION("""COMPUTED_VALUE"""),"")</f>
        <v/>
      </c>
      <c r="K462" s="113"/>
    </row>
    <row r="463" spans="5:11" ht="12.5">
      <c r="E463" s="110" t="str">
        <f ca="1">IFERROR(__xludf.DUMMYFUNCTION("""COMPUTED_VALUE"""),"")</f>
        <v/>
      </c>
      <c r="K463" s="113"/>
    </row>
    <row r="464" spans="5:11" ht="12.5">
      <c r="E464" s="110" t="str">
        <f ca="1">IFERROR(__xludf.DUMMYFUNCTION("""COMPUTED_VALUE"""),"")</f>
        <v/>
      </c>
      <c r="K464" s="113"/>
    </row>
    <row r="465" spans="5:11" ht="12.5">
      <c r="E465" s="110" t="str">
        <f ca="1">IFERROR(__xludf.DUMMYFUNCTION("""COMPUTED_VALUE"""),"")</f>
        <v/>
      </c>
      <c r="K465" s="113"/>
    </row>
    <row r="466" spans="5:11" ht="12.5">
      <c r="E466" s="110" t="str">
        <f ca="1">IFERROR(__xludf.DUMMYFUNCTION("""COMPUTED_VALUE"""),"")</f>
        <v/>
      </c>
      <c r="K466" s="113"/>
    </row>
    <row r="467" spans="5:11" ht="12.5">
      <c r="E467" s="110" t="str">
        <f ca="1">IFERROR(__xludf.DUMMYFUNCTION("""COMPUTED_VALUE"""),"")</f>
        <v/>
      </c>
      <c r="K467" s="113"/>
    </row>
    <row r="468" spans="5:11" ht="12.5">
      <c r="E468" s="110" t="str">
        <f ca="1">IFERROR(__xludf.DUMMYFUNCTION("""COMPUTED_VALUE"""),"")</f>
        <v/>
      </c>
      <c r="K468" s="113"/>
    </row>
    <row r="469" spans="5:11" ht="12.5">
      <c r="E469" s="110" t="str">
        <f ca="1">IFERROR(__xludf.DUMMYFUNCTION("""COMPUTED_VALUE"""),"")</f>
        <v/>
      </c>
      <c r="K469" s="113"/>
    </row>
    <row r="470" spans="5:11" ht="12.5">
      <c r="E470" s="110" t="str">
        <f ca="1">IFERROR(__xludf.DUMMYFUNCTION("""COMPUTED_VALUE"""),"")</f>
        <v/>
      </c>
      <c r="K470" s="113"/>
    </row>
    <row r="471" spans="5:11" ht="12.5">
      <c r="E471" s="110" t="str">
        <f ca="1">IFERROR(__xludf.DUMMYFUNCTION("""COMPUTED_VALUE"""),"")</f>
        <v/>
      </c>
      <c r="K471" s="113"/>
    </row>
    <row r="472" spans="5:11" ht="12.5">
      <c r="E472" s="110" t="str">
        <f ca="1">IFERROR(__xludf.DUMMYFUNCTION("""COMPUTED_VALUE"""),"")</f>
        <v/>
      </c>
      <c r="K472" s="113"/>
    </row>
    <row r="473" spans="5:11" ht="12.5">
      <c r="E473" s="110" t="str">
        <f ca="1">IFERROR(__xludf.DUMMYFUNCTION("""COMPUTED_VALUE"""),"")</f>
        <v/>
      </c>
      <c r="K473" s="113"/>
    </row>
    <row r="474" spans="5:11" ht="12.5">
      <c r="E474" s="110" t="str">
        <f ca="1">IFERROR(__xludf.DUMMYFUNCTION("""COMPUTED_VALUE"""),"")</f>
        <v/>
      </c>
      <c r="K474" s="113"/>
    </row>
    <row r="475" spans="5:11" ht="12.5">
      <c r="E475" s="110" t="str">
        <f ca="1">IFERROR(__xludf.DUMMYFUNCTION("""COMPUTED_VALUE"""),"")</f>
        <v/>
      </c>
      <c r="K475" s="113"/>
    </row>
    <row r="476" spans="5:11" ht="12.5">
      <c r="E476" s="110" t="str">
        <f ca="1">IFERROR(__xludf.DUMMYFUNCTION("""COMPUTED_VALUE"""),"")</f>
        <v/>
      </c>
      <c r="K476" s="113"/>
    </row>
    <row r="477" spans="5:11" ht="12.5">
      <c r="E477" s="110" t="str">
        <f ca="1">IFERROR(__xludf.DUMMYFUNCTION("""COMPUTED_VALUE"""),"")</f>
        <v/>
      </c>
      <c r="K477" s="113"/>
    </row>
    <row r="478" spans="5:11" ht="12.5">
      <c r="E478" s="110" t="str">
        <f ca="1">IFERROR(__xludf.DUMMYFUNCTION("""COMPUTED_VALUE"""),"")</f>
        <v/>
      </c>
      <c r="K478" s="113"/>
    </row>
    <row r="479" spans="5:11" ht="12.5">
      <c r="E479" s="110" t="str">
        <f ca="1">IFERROR(__xludf.DUMMYFUNCTION("""COMPUTED_VALUE"""),"")</f>
        <v/>
      </c>
      <c r="K479" s="113"/>
    </row>
    <row r="480" spans="5:11" ht="12.5">
      <c r="E480" s="110" t="str">
        <f ca="1">IFERROR(__xludf.DUMMYFUNCTION("""COMPUTED_VALUE"""),"")</f>
        <v/>
      </c>
      <c r="K480" s="113"/>
    </row>
    <row r="481" spans="5:11" ht="12.5">
      <c r="E481" s="110" t="str">
        <f ca="1">IFERROR(__xludf.DUMMYFUNCTION("""COMPUTED_VALUE"""),"")</f>
        <v/>
      </c>
      <c r="K481" s="113"/>
    </row>
    <row r="482" spans="5:11" ht="12.5">
      <c r="E482" s="110" t="str">
        <f ca="1">IFERROR(__xludf.DUMMYFUNCTION("""COMPUTED_VALUE"""),"")</f>
        <v/>
      </c>
      <c r="K482" s="113"/>
    </row>
    <row r="483" spans="5:11" ht="12.5">
      <c r="E483" s="110" t="str">
        <f ca="1">IFERROR(__xludf.DUMMYFUNCTION("""COMPUTED_VALUE"""),"")</f>
        <v/>
      </c>
      <c r="K483" s="113"/>
    </row>
    <row r="484" spans="5:11" ht="12.5">
      <c r="E484" s="110" t="str">
        <f ca="1">IFERROR(__xludf.DUMMYFUNCTION("""COMPUTED_VALUE"""),"")</f>
        <v/>
      </c>
      <c r="K484" s="113"/>
    </row>
    <row r="485" spans="5:11" ht="12.5">
      <c r="E485" s="110" t="str">
        <f ca="1">IFERROR(__xludf.DUMMYFUNCTION("""COMPUTED_VALUE"""),"")</f>
        <v/>
      </c>
      <c r="K485" s="113"/>
    </row>
    <row r="486" spans="5:11" ht="12.5">
      <c r="E486" s="110" t="str">
        <f ca="1">IFERROR(__xludf.DUMMYFUNCTION("""COMPUTED_VALUE"""),"")</f>
        <v/>
      </c>
      <c r="K486" s="113"/>
    </row>
    <row r="487" spans="5:11" ht="12.5">
      <c r="E487" s="110" t="str">
        <f ca="1">IFERROR(__xludf.DUMMYFUNCTION("""COMPUTED_VALUE"""),"")</f>
        <v/>
      </c>
      <c r="K487" s="113"/>
    </row>
    <row r="488" spans="5:11" ht="12.5">
      <c r="E488" s="110" t="str">
        <f ca="1">IFERROR(__xludf.DUMMYFUNCTION("""COMPUTED_VALUE"""),"")</f>
        <v/>
      </c>
      <c r="K488" s="113"/>
    </row>
    <row r="489" spans="5:11" ht="12.5">
      <c r="E489" s="110" t="str">
        <f ca="1">IFERROR(__xludf.DUMMYFUNCTION("""COMPUTED_VALUE"""),"")</f>
        <v/>
      </c>
      <c r="K489" s="113"/>
    </row>
    <row r="490" spans="5:11" ht="12.5">
      <c r="E490" s="110" t="str">
        <f ca="1">IFERROR(__xludf.DUMMYFUNCTION("""COMPUTED_VALUE"""),"")</f>
        <v/>
      </c>
      <c r="K490" s="113"/>
    </row>
    <row r="491" spans="5:11" ht="12.5">
      <c r="E491" s="110" t="str">
        <f ca="1">IFERROR(__xludf.DUMMYFUNCTION("""COMPUTED_VALUE"""),"")</f>
        <v/>
      </c>
      <c r="K491" s="113"/>
    </row>
    <row r="492" spans="5:11" ht="12.5">
      <c r="E492" s="110" t="str">
        <f ca="1">IFERROR(__xludf.DUMMYFUNCTION("""COMPUTED_VALUE"""),"")</f>
        <v/>
      </c>
      <c r="K492" s="113"/>
    </row>
    <row r="493" spans="5:11" ht="12.5">
      <c r="E493" s="110" t="str">
        <f ca="1">IFERROR(__xludf.DUMMYFUNCTION("""COMPUTED_VALUE"""),"")</f>
        <v/>
      </c>
      <c r="K493" s="113"/>
    </row>
    <row r="494" spans="5:11" ht="12.5">
      <c r="E494" s="110" t="str">
        <f ca="1">IFERROR(__xludf.DUMMYFUNCTION("""COMPUTED_VALUE"""),"")</f>
        <v/>
      </c>
      <c r="K494" s="113"/>
    </row>
    <row r="495" spans="5:11" ht="12.5">
      <c r="E495" s="110" t="str">
        <f ca="1">IFERROR(__xludf.DUMMYFUNCTION("""COMPUTED_VALUE"""),"")</f>
        <v/>
      </c>
      <c r="K495" s="113"/>
    </row>
    <row r="496" spans="5:11" ht="12.5">
      <c r="E496" s="110" t="str">
        <f ca="1">IFERROR(__xludf.DUMMYFUNCTION("""COMPUTED_VALUE"""),"")</f>
        <v/>
      </c>
      <c r="K496" s="113"/>
    </row>
    <row r="497" spans="5:11" ht="12.5">
      <c r="E497" s="110" t="str">
        <f ca="1">IFERROR(__xludf.DUMMYFUNCTION("""COMPUTED_VALUE"""),"")</f>
        <v/>
      </c>
      <c r="K497" s="113"/>
    </row>
    <row r="498" spans="5:11" ht="12.5">
      <c r="E498" s="110" t="str">
        <f ca="1">IFERROR(__xludf.DUMMYFUNCTION("""COMPUTED_VALUE"""),"")</f>
        <v/>
      </c>
      <c r="K498" s="113"/>
    </row>
    <row r="499" spans="5:11" ht="12.5">
      <c r="E499" s="110" t="str">
        <f ca="1">IFERROR(__xludf.DUMMYFUNCTION("""COMPUTED_VALUE"""),"")</f>
        <v/>
      </c>
      <c r="K499" s="113"/>
    </row>
    <row r="500" spans="5:11" ht="12.5">
      <c r="E500" s="110" t="str">
        <f ca="1">IFERROR(__xludf.DUMMYFUNCTION("""COMPUTED_VALUE"""),"")</f>
        <v/>
      </c>
      <c r="K500" s="113"/>
    </row>
    <row r="501" spans="5:11" ht="12.5">
      <c r="E501" s="110" t="str">
        <f ca="1">IFERROR(__xludf.DUMMYFUNCTION("""COMPUTED_VALUE"""),"")</f>
        <v/>
      </c>
      <c r="K501" s="113"/>
    </row>
    <row r="502" spans="5:11" ht="12.5">
      <c r="E502" s="110" t="str">
        <f ca="1">IFERROR(__xludf.DUMMYFUNCTION("""COMPUTED_VALUE"""),"")</f>
        <v/>
      </c>
      <c r="K502" s="113"/>
    </row>
    <row r="503" spans="5:11" ht="12.5">
      <c r="E503" s="110" t="str">
        <f ca="1">IFERROR(__xludf.DUMMYFUNCTION("""COMPUTED_VALUE"""),"")</f>
        <v/>
      </c>
      <c r="K503" s="113"/>
    </row>
    <row r="504" spans="5:11" ht="12.5">
      <c r="E504" s="110" t="str">
        <f ca="1">IFERROR(__xludf.DUMMYFUNCTION("""COMPUTED_VALUE"""),"")</f>
        <v/>
      </c>
      <c r="K504" s="113"/>
    </row>
    <row r="505" spans="5:11" ht="12.5">
      <c r="E505" s="110" t="str">
        <f ca="1">IFERROR(__xludf.DUMMYFUNCTION("""COMPUTED_VALUE"""),"")</f>
        <v/>
      </c>
      <c r="K505" s="113"/>
    </row>
    <row r="506" spans="5:11" ht="12.5">
      <c r="E506" s="110" t="str">
        <f ca="1">IFERROR(__xludf.DUMMYFUNCTION("""COMPUTED_VALUE"""),"")</f>
        <v/>
      </c>
      <c r="K506" s="113"/>
    </row>
    <row r="507" spans="5:11" ht="12.5">
      <c r="E507" s="110" t="str">
        <f ca="1">IFERROR(__xludf.DUMMYFUNCTION("""COMPUTED_VALUE"""),"")</f>
        <v/>
      </c>
      <c r="K507" s="113"/>
    </row>
    <row r="508" spans="5:11" ht="12.5">
      <c r="E508" s="110" t="str">
        <f ca="1">IFERROR(__xludf.DUMMYFUNCTION("""COMPUTED_VALUE"""),"")</f>
        <v/>
      </c>
      <c r="K508" s="113"/>
    </row>
    <row r="509" spans="5:11" ht="12.5">
      <c r="E509" s="110" t="str">
        <f ca="1">IFERROR(__xludf.DUMMYFUNCTION("""COMPUTED_VALUE"""),"")</f>
        <v/>
      </c>
      <c r="K509" s="113"/>
    </row>
    <row r="510" spans="5:11" ht="12.5">
      <c r="E510" s="110" t="str">
        <f ca="1">IFERROR(__xludf.DUMMYFUNCTION("""COMPUTED_VALUE"""),"")</f>
        <v/>
      </c>
      <c r="K510" s="113"/>
    </row>
    <row r="511" spans="5:11" ht="12.5">
      <c r="E511" s="110" t="str">
        <f ca="1">IFERROR(__xludf.DUMMYFUNCTION("""COMPUTED_VALUE"""),"")</f>
        <v/>
      </c>
      <c r="K511" s="113"/>
    </row>
    <row r="512" spans="5:11" ht="12.5">
      <c r="E512" s="110" t="str">
        <f ca="1">IFERROR(__xludf.DUMMYFUNCTION("""COMPUTED_VALUE"""),"")</f>
        <v/>
      </c>
      <c r="K512" s="113"/>
    </row>
    <row r="513" spans="5:11" ht="12.5">
      <c r="E513" s="110" t="str">
        <f ca="1">IFERROR(__xludf.DUMMYFUNCTION("""COMPUTED_VALUE"""),"")</f>
        <v/>
      </c>
      <c r="K513" s="113"/>
    </row>
    <row r="514" spans="5:11" ht="12.5">
      <c r="E514" s="110" t="str">
        <f ca="1">IFERROR(__xludf.DUMMYFUNCTION("""COMPUTED_VALUE"""),"")</f>
        <v/>
      </c>
      <c r="K514" s="113"/>
    </row>
    <row r="515" spans="5:11" ht="12.5">
      <c r="E515" s="110" t="str">
        <f ca="1">IFERROR(__xludf.DUMMYFUNCTION("""COMPUTED_VALUE"""),"")</f>
        <v/>
      </c>
      <c r="K515" s="113"/>
    </row>
    <row r="516" spans="5:11" ht="12.5">
      <c r="E516" s="110" t="str">
        <f ca="1">IFERROR(__xludf.DUMMYFUNCTION("""COMPUTED_VALUE"""),"")</f>
        <v/>
      </c>
      <c r="K516" s="113"/>
    </row>
    <row r="517" spans="5:11" ht="12.5">
      <c r="E517" s="110" t="str">
        <f ca="1">IFERROR(__xludf.DUMMYFUNCTION("""COMPUTED_VALUE"""),"")</f>
        <v/>
      </c>
      <c r="K517" s="113"/>
    </row>
    <row r="518" spans="5:11" ht="12.5">
      <c r="E518" s="110" t="str">
        <f ca="1">IFERROR(__xludf.DUMMYFUNCTION("""COMPUTED_VALUE"""),"")</f>
        <v/>
      </c>
      <c r="K518" s="113"/>
    </row>
    <row r="519" spans="5:11" ht="12.5">
      <c r="E519" s="110" t="str">
        <f ca="1">IFERROR(__xludf.DUMMYFUNCTION("""COMPUTED_VALUE"""),"")</f>
        <v/>
      </c>
      <c r="K519" s="113"/>
    </row>
    <row r="520" spans="5:11" ht="12.5">
      <c r="E520" s="110" t="str">
        <f ca="1">IFERROR(__xludf.DUMMYFUNCTION("""COMPUTED_VALUE"""),"")</f>
        <v/>
      </c>
      <c r="K520" s="113"/>
    </row>
    <row r="521" spans="5:11" ht="12.5">
      <c r="E521" s="110" t="str">
        <f ca="1">IFERROR(__xludf.DUMMYFUNCTION("""COMPUTED_VALUE"""),"")</f>
        <v/>
      </c>
      <c r="K521" s="113"/>
    </row>
    <row r="522" spans="5:11" ht="12.5">
      <c r="E522" s="110" t="str">
        <f ca="1">IFERROR(__xludf.DUMMYFUNCTION("""COMPUTED_VALUE"""),"")</f>
        <v/>
      </c>
      <c r="K522" s="113"/>
    </row>
    <row r="523" spans="5:11" ht="12.5">
      <c r="E523" s="110" t="str">
        <f ca="1">IFERROR(__xludf.DUMMYFUNCTION("""COMPUTED_VALUE"""),"")</f>
        <v/>
      </c>
      <c r="K523" s="113"/>
    </row>
    <row r="524" spans="5:11" ht="12.5">
      <c r="E524" s="110" t="str">
        <f ca="1">IFERROR(__xludf.DUMMYFUNCTION("""COMPUTED_VALUE"""),"")</f>
        <v/>
      </c>
      <c r="K524" s="113"/>
    </row>
    <row r="525" spans="5:11" ht="12.5">
      <c r="E525" s="110" t="str">
        <f ca="1">IFERROR(__xludf.DUMMYFUNCTION("""COMPUTED_VALUE"""),"")</f>
        <v/>
      </c>
      <c r="K525" s="113"/>
    </row>
    <row r="526" spans="5:11" ht="12.5">
      <c r="E526" s="110" t="str">
        <f ca="1">IFERROR(__xludf.DUMMYFUNCTION("""COMPUTED_VALUE"""),"")</f>
        <v/>
      </c>
      <c r="K526" s="113"/>
    </row>
    <row r="527" spans="5:11" ht="12.5">
      <c r="E527" s="110" t="str">
        <f ca="1">IFERROR(__xludf.DUMMYFUNCTION("""COMPUTED_VALUE"""),"")</f>
        <v/>
      </c>
      <c r="K527" s="113"/>
    </row>
    <row r="528" spans="5:11" ht="12.5">
      <c r="E528" s="110" t="str">
        <f ca="1">IFERROR(__xludf.DUMMYFUNCTION("""COMPUTED_VALUE"""),"")</f>
        <v/>
      </c>
      <c r="K528" s="113"/>
    </row>
    <row r="529" spans="5:11" ht="12.5">
      <c r="E529" s="110" t="str">
        <f ca="1">IFERROR(__xludf.DUMMYFUNCTION("""COMPUTED_VALUE"""),"")</f>
        <v/>
      </c>
      <c r="K529" s="113"/>
    </row>
    <row r="530" spans="5:11" ht="12.5">
      <c r="E530" s="110" t="str">
        <f ca="1">IFERROR(__xludf.DUMMYFUNCTION("""COMPUTED_VALUE"""),"")</f>
        <v/>
      </c>
      <c r="K530" s="113"/>
    </row>
    <row r="531" spans="5:11" ht="12.5">
      <c r="E531" s="110" t="str">
        <f ca="1">IFERROR(__xludf.DUMMYFUNCTION("""COMPUTED_VALUE"""),"")</f>
        <v/>
      </c>
      <c r="K531" s="113"/>
    </row>
    <row r="532" spans="5:11" ht="12.5">
      <c r="E532" s="110" t="str">
        <f ca="1">IFERROR(__xludf.DUMMYFUNCTION("""COMPUTED_VALUE"""),"")</f>
        <v/>
      </c>
      <c r="K532" s="113"/>
    </row>
    <row r="533" spans="5:11" ht="12.5">
      <c r="E533" s="110" t="str">
        <f ca="1">IFERROR(__xludf.DUMMYFUNCTION("""COMPUTED_VALUE"""),"")</f>
        <v/>
      </c>
      <c r="K533" s="113"/>
    </row>
    <row r="534" spans="5:11" ht="12.5">
      <c r="E534" s="110" t="str">
        <f ca="1">IFERROR(__xludf.DUMMYFUNCTION("""COMPUTED_VALUE"""),"")</f>
        <v/>
      </c>
      <c r="K534" s="113"/>
    </row>
    <row r="535" spans="5:11" ht="12.5">
      <c r="E535" s="110" t="str">
        <f ca="1">IFERROR(__xludf.DUMMYFUNCTION("""COMPUTED_VALUE"""),"")</f>
        <v/>
      </c>
      <c r="K535" s="113"/>
    </row>
    <row r="536" spans="5:11" ht="12.5">
      <c r="E536" s="110" t="str">
        <f ca="1">IFERROR(__xludf.DUMMYFUNCTION("""COMPUTED_VALUE"""),"")</f>
        <v/>
      </c>
      <c r="K536" s="113"/>
    </row>
    <row r="537" spans="5:11" ht="12.5">
      <c r="E537" s="110" t="str">
        <f ca="1">IFERROR(__xludf.DUMMYFUNCTION("""COMPUTED_VALUE"""),"")</f>
        <v/>
      </c>
      <c r="K537" s="113"/>
    </row>
    <row r="538" spans="5:11" ht="12.5">
      <c r="E538" s="110" t="str">
        <f ca="1">IFERROR(__xludf.DUMMYFUNCTION("""COMPUTED_VALUE"""),"")</f>
        <v/>
      </c>
      <c r="K538" s="113"/>
    </row>
    <row r="539" spans="5:11" ht="12.5">
      <c r="E539" s="110" t="str">
        <f ca="1">IFERROR(__xludf.DUMMYFUNCTION("""COMPUTED_VALUE"""),"")</f>
        <v/>
      </c>
      <c r="K539" s="113"/>
    </row>
    <row r="540" spans="5:11" ht="12.5">
      <c r="E540" s="110" t="str">
        <f ca="1">IFERROR(__xludf.DUMMYFUNCTION("""COMPUTED_VALUE"""),"")</f>
        <v/>
      </c>
      <c r="K540" s="113"/>
    </row>
    <row r="541" spans="5:11" ht="12.5">
      <c r="E541" s="110" t="str">
        <f ca="1">IFERROR(__xludf.DUMMYFUNCTION("""COMPUTED_VALUE"""),"")</f>
        <v/>
      </c>
      <c r="K541" s="113"/>
    </row>
    <row r="542" spans="5:11" ht="12.5">
      <c r="E542" s="110" t="str">
        <f ca="1">IFERROR(__xludf.DUMMYFUNCTION("""COMPUTED_VALUE"""),"")</f>
        <v/>
      </c>
      <c r="K542" s="113"/>
    </row>
    <row r="543" spans="5:11" ht="12.5">
      <c r="E543" s="110" t="str">
        <f ca="1">IFERROR(__xludf.DUMMYFUNCTION("""COMPUTED_VALUE"""),"")</f>
        <v/>
      </c>
      <c r="K543" s="113"/>
    </row>
    <row r="544" spans="5:11" ht="12.5">
      <c r="E544" s="110" t="str">
        <f ca="1">IFERROR(__xludf.DUMMYFUNCTION("""COMPUTED_VALUE"""),"")</f>
        <v/>
      </c>
      <c r="K544" s="113"/>
    </row>
    <row r="545" spans="5:11" ht="12.5">
      <c r="E545" s="110" t="str">
        <f ca="1">IFERROR(__xludf.DUMMYFUNCTION("""COMPUTED_VALUE"""),"")</f>
        <v/>
      </c>
      <c r="K545" s="113"/>
    </row>
    <row r="546" spans="5:11" ht="12.5">
      <c r="E546" s="110" t="str">
        <f ca="1">IFERROR(__xludf.DUMMYFUNCTION("""COMPUTED_VALUE"""),"")</f>
        <v/>
      </c>
      <c r="K546" s="113"/>
    </row>
    <row r="547" spans="5:11" ht="12.5">
      <c r="E547" s="110" t="str">
        <f ca="1">IFERROR(__xludf.DUMMYFUNCTION("""COMPUTED_VALUE"""),"")</f>
        <v/>
      </c>
      <c r="K547" s="113"/>
    </row>
    <row r="548" spans="5:11" ht="12.5">
      <c r="E548" s="110" t="str">
        <f ca="1">IFERROR(__xludf.DUMMYFUNCTION("""COMPUTED_VALUE"""),"")</f>
        <v/>
      </c>
      <c r="K548" s="113"/>
    </row>
    <row r="549" spans="5:11" ht="12.5">
      <c r="E549" s="110" t="str">
        <f ca="1">IFERROR(__xludf.DUMMYFUNCTION("""COMPUTED_VALUE"""),"")</f>
        <v/>
      </c>
      <c r="K549" s="113"/>
    </row>
    <row r="550" spans="5:11" ht="12.5">
      <c r="E550" s="110" t="str">
        <f ca="1">IFERROR(__xludf.DUMMYFUNCTION("""COMPUTED_VALUE"""),"")</f>
        <v/>
      </c>
      <c r="K550" s="113"/>
    </row>
    <row r="551" spans="5:11" ht="12.5">
      <c r="E551" s="110" t="str">
        <f ca="1">IFERROR(__xludf.DUMMYFUNCTION("""COMPUTED_VALUE"""),"")</f>
        <v/>
      </c>
      <c r="K551" s="113"/>
    </row>
    <row r="552" spans="5:11" ht="12.5">
      <c r="E552" s="110" t="str">
        <f ca="1">IFERROR(__xludf.DUMMYFUNCTION("""COMPUTED_VALUE"""),"")</f>
        <v/>
      </c>
      <c r="K552" s="113"/>
    </row>
    <row r="553" spans="5:11" ht="12.5">
      <c r="E553" s="110" t="str">
        <f ca="1">IFERROR(__xludf.DUMMYFUNCTION("""COMPUTED_VALUE"""),"")</f>
        <v/>
      </c>
      <c r="K553" s="113"/>
    </row>
    <row r="554" spans="5:11" ht="12.5">
      <c r="E554" s="110" t="str">
        <f ca="1">IFERROR(__xludf.DUMMYFUNCTION("""COMPUTED_VALUE"""),"")</f>
        <v/>
      </c>
      <c r="K554" s="113"/>
    </row>
    <row r="555" spans="5:11" ht="12.5">
      <c r="E555" s="110" t="str">
        <f ca="1">IFERROR(__xludf.DUMMYFUNCTION("""COMPUTED_VALUE"""),"")</f>
        <v/>
      </c>
      <c r="K555" s="113"/>
    </row>
    <row r="556" spans="5:11" ht="12.5">
      <c r="E556" s="110" t="str">
        <f ca="1">IFERROR(__xludf.DUMMYFUNCTION("""COMPUTED_VALUE"""),"")</f>
        <v/>
      </c>
      <c r="K556" s="113"/>
    </row>
    <row r="557" spans="5:11" ht="12.5">
      <c r="E557" s="110" t="str">
        <f ca="1">IFERROR(__xludf.DUMMYFUNCTION("""COMPUTED_VALUE"""),"")</f>
        <v/>
      </c>
      <c r="K557" s="113"/>
    </row>
    <row r="558" spans="5:11" ht="12.5">
      <c r="E558" s="110" t="str">
        <f ca="1">IFERROR(__xludf.DUMMYFUNCTION("""COMPUTED_VALUE"""),"")</f>
        <v/>
      </c>
      <c r="K558" s="113"/>
    </row>
    <row r="559" spans="5:11" ht="12.5">
      <c r="E559" s="110" t="str">
        <f ca="1">IFERROR(__xludf.DUMMYFUNCTION("""COMPUTED_VALUE"""),"")</f>
        <v/>
      </c>
      <c r="K559" s="113"/>
    </row>
    <row r="560" spans="5:11" ht="12.5">
      <c r="E560" s="110" t="str">
        <f ca="1">IFERROR(__xludf.DUMMYFUNCTION("""COMPUTED_VALUE"""),"")</f>
        <v/>
      </c>
      <c r="K560" s="113"/>
    </row>
    <row r="561" spans="5:11" ht="12.5">
      <c r="E561" s="110" t="str">
        <f ca="1">IFERROR(__xludf.DUMMYFUNCTION("""COMPUTED_VALUE"""),"")</f>
        <v/>
      </c>
      <c r="K561" s="113"/>
    </row>
    <row r="562" spans="5:11" ht="12.5">
      <c r="E562" s="110" t="str">
        <f ca="1">IFERROR(__xludf.DUMMYFUNCTION("""COMPUTED_VALUE"""),"")</f>
        <v/>
      </c>
      <c r="K562" s="113"/>
    </row>
    <row r="563" spans="5:11" ht="12.5">
      <c r="E563" s="110" t="str">
        <f ca="1">IFERROR(__xludf.DUMMYFUNCTION("""COMPUTED_VALUE"""),"")</f>
        <v/>
      </c>
      <c r="K563" s="113"/>
    </row>
    <row r="564" spans="5:11" ht="12.5">
      <c r="E564" s="110" t="str">
        <f ca="1">IFERROR(__xludf.DUMMYFUNCTION("""COMPUTED_VALUE"""),"")</f>
        <v/>
      </c>
      <c r="K564" s="113"/>
    </row>
    <row r="565" spans="5:11" ht="12.5">
      <c r="E565" s="110" t="str">
        <f ca="1">IFERROR(__xludf.DUMMYFUNCTION("""COMPUTED_VALUE"""),"")</f>
        <v/>
      </c>
      <c r="K565" s="113"/>
    </row>
    <row r="566" spans="5:11" ht="12.5">
      <c r="E566" s="110" t="str">
        <f ca="1">IFERROR(__xludf.DUMMYFUNCTION("""COMPUTED_VALUE"""),"")</f>
        <v/>
      </c>
      <c r="K566" s="113"/>
    </row>
    <row r="567" spans="5:11" ht="12.5">
      <c r="E567" s="110" t="str">
        <f ca="1">IFERROR(__xludf.DUMMYFUNCTION("""COMPUTED_VALUE"""),"")</f>
        <v/>
      </c>
      <c r="K567" s="113"/>
    </row>
    <row r="568" spans="5:11" ht="12.5">
      <c r="E568" s="110" t="str">
        <f ca="1">IFERROR(__xludf.DUMMYFUNCTION("""COMPUTED_VALUE"""),"")</f>
        <v/>
      </c>
      <c r="K568" s="113"/>
    </row>
    <row r="569" spans="5:11" ht="12.5">
      <c r="E569" s="110" t="str">
        <f ca="1">IFERROR(__xludf.DUMMYFUNCTION("""COMPUTED_VALUE"""),"")</f>
        <v/>
      </c>
      <c r="K569" s="113"/>
    </row>
    <row r="570" spans="5:11" ht="12.5">
      <c r="E570" s="110" t="str">
        <f ca="1">IFERROR(__xludf.DUMMYFUNCTION("""COMPUTED_VALUE"""),"")</f>
        <v/>
      </c>
      <c r="K570" s="113"/>
    </row>
    <row r="571" spans="5:11" ht="12.5">
      <c r="E571" s="110" t="str">
        <f ca="1">IFERROR(__xludf.DUMMYFUNCTION("""COMPUTED_VALUE"""),"")</f>
        <v/>
      </c>
      <c r="K571" s="113"/>
    </row>
    <row r="572" spans="5:11" ht="12.5">
      <c r="E572" s="110" t="str">
        <f ca="1">IFERROR(__xludf.DUMMYFUNCTION("""COMPUTED_VALUE"""),"")</f>
        <v/>
      </c>
      <c r="K572" s="113"/>
    </row>
    <row r="573" spans="5:11" ht="12.5">
      <c r="E573" s="110" t="str">
        <f ca="1">IFERROR(__xludf.DUMMYFUNCTION("""COMPUTED_VALUE"""),"")</f>
        <v/>
      </c>
      <c r="K573" s="113"/>
    </row>
    <row r="574" spans="5:11" ht="12.5">
      <c r="E574" s="110" t="str">
        <f ca="1">IFERROR(__xludf.DUMMYFUNCTION("""COMPUTED_VALUE"""),"")</f>
        <v/>
      </c>
      <c r="K574" s="113"/>
    </row>
    <row r="575" spans="5:11" ht="12.5">
      <c r="E575" s="110" t="str">
        <f ca="1">IFERROR(__xludf.DUMMYFUNCTION("""COMPUTED_VALUE"""),"")</f>
        <v/>
      </c>
      <c r="K575" s="113"/>
    </row>
    <row r="576" spans="5:11" ht="12.5">
      <c r="E576" s="110" t="str">
        <f ca="1">IFERROR(__xludf.DUMMYFUNCTION("""COMPUTED_VALUE"""),"")</f>
        <v/>
      </c>
      <c r="K576" s="113"/>
    </row>
    <row r="577" spans="5:11" ht="12.5">
      <c r="E577" s="110" t="str">
        <f ca="1">IFERROR(__xludf.DUMMYFUNCTION("""COMPUTED_VALUE"""),"")</f>
        <v/>
      </c>
      <c r="K577" s="113"/>
    </row>
    <row r="578" spans="5:11" ht="12.5">
      <c r="E578" s="110" t="str">
        <f ca="1">IFERROR(__xludf.DUMMYFUNCTION("""COMPUTED_VALUE"""),"")</f>
        <v/>
      </c>
      <c r="K578" s="113"/>
    </row>
    <row r="579" spans="5:11" ht="12.5">
      <c r="E579" s="110" t="str">
        <f ca="1">IFERROR(__xludf.DUMMYFUNCTION("""COMPUTED_VALUE"""),"")</f>
        <v/>
      </c>
      <c r="K579" s="113"/>
    </row>
    <row r="580" spans="5:11" ht="12.5">
      <c r="E580" s="110" t="str">
        <f ca="1">IFERROR(__xludf.DUMMYFUNCTION("""COMPUTED_VALUE"""),"")</f>
        <v/>
      </c>
      <c r="K580" s="113"/>
    </row>
    <row r="581" spans="5:11" ht="12.5">
      <c r="E581" s="110" t="str">
        <f ca="1">IFERROR(__xludf.DUMMYFUNCTION("""COMPUTED_VALUE"""),"")</f>
        <v/>
      </c>
      <c r="K581" s="113"/>
    </row>
    <row r="582" spans="5:11" ht="12.5">
      <c r="E582" s="110" t="str">
        <f ca="1">IFERROR(__xludf.DUMMYFUNCTION("""COMPUTED_VALUE"""),"")</f>
        <v/>
      </c>
      <c r="K582" s="113"/>
    </row>
    <row r="583" spans="5:11" ht="12.5">
      <c r="E583" s="110" t="str">
        <f ca="1">IFERROR(__xludf.DUMMYFUNCTION("""COMPUTED_VALUE"""),"")</f>
        <v/>
      </c>
      <c r="K583" s="113"/>
    </row>
    <row r="584" spans="5:11" ht="12.5">
      <c r="E584" s="110" t="str">
        <f ca="1">IFERROR(__xludf.DUMMYFUNCTION("""COMPUTED_VALUE"""),"")</f>
        <v/>
      </c>
      <c r="K584" s="113"/>
    </row>
    <row r="585" spans="5:11" ht="12.5">
      <c r="E585" s="110" t="str">
        <f ca="1">IFERROR(__xludf.DUMMYFUNCTION("""COMPUTED_VALUE"""),"")</f>
        <v/>
      </c>
      <c r="K585" s="113"/>
    </row>
    <row r="586" spans="5:11" ht="12.5">
      <c r="E586" s="110" t="str">
        <f ca="1">IFERROR(__xludf.DUMMYFUNCTION("""COMPUTED_VALUE"""),"")</f>
        <v/>
      </c>
      <c r="K586" s="113"/>
    </row>
    <row r="587" spans="5:11" ht="12.5">
      <c r="E587" s="110" t="str">
        <f ca="1">IFERROR(__xludf.DUMMYFUNCTION("""COMPUTED_VALUE"""),"")</f>
        <v/>
      </c>
      <c r="K587" s="113"/>
    </row>
    <row r="588" spans="5:11" ht="12.5">
      <c r="E588" s="110" t="str">
        <f ca="1">IFERROR(__xludf.DUMMYFUNCTION("""COMPUTED_VALUE"""),"")</f>
        <v/>
      </c>
      <c r="K588" s="113"/>
    </row>
    <row r="589" spans="5:11" ht="12.5">
      <c r="E589" s="110" t="str">
        <f ca="1">IFERROR(__xludf.DUMMYFUNCTION("""COMPUTED_VALUE"""),"")</f>
        <v/>
      </c>
      <c r="K589" s="113"/>
    </row>
    <row r="590" spans="5:11" ht="12.5">
      <c r="E590" s="110" t="str">
        <f ca="1">IFERROR(__xludf.DUMMYFUNCTION("""COMPUTED_VALUE"""),"")</f>
        <v/>
      </c>
      <c r="K590" s="113"/>
    </row>
    <row r="591" spans="5:11" ht="12.5">
      <c r="E591" s="110" t="str">
        <f ca="1">IFERROR(__xludf.DUMMYFUNCTION("""COMPUTED_VALUE"""),"")</f>
        <v/>
      </c>
      <c r="K591" s="113"/>
    </row>
    <row r="592" spans="5:11" ht="12.5">
      <c r="E592" s="110" t="str">
        <f ca="1">IFERROR(__xludf.DUMMYFUNCTION("""COMPUTED_VALUE"""),"")</f>
        <v/>
      </c>
      <c r="K592" s="113"/>
    </row>
    <row r="593" spans="5:11" ht="12.5">
      <c r="E593" s="110" t="str">
        <f ca="1">IFERROR(__xludf.DUMMYFUNCTION("""COMPUTED_VALUE"""),"")</f>
        <v/>
      </c>
      <c r="K593" s="113"/>
    </row>
    <row r="594" spans="5:11" ht="12.5">
      <c r="E594" s="110" t="str">
        <f ca="1">IFERROR(__xludf.DUMMYFUNCTION("""COMPUTED_VALUE"""),"")</f>
        <v/>
      </c>
      <c r="K594" s="113"/>
    </row>
    <row r="595" spans="5:11" ht="12.5">
      <c r="E595" s="110" t="str">
        <f ca="1">IFERROR(__xludf.DUMMYFUNCTION("""COMPUTED_VALUE"""),"")</f>
        <v/>
      </c>
      <c r="K595" s="113"/>
    </row>
    <row r="596" spans="5:11" ht="12.5">
      <c r="E596" s="110" t="str">
        <f ca="1">IFERROR(__xludf.DUMMYFUNCTION("""COMPUTED_VALUE"""),"")</f>
        <v/>
      </c>
      <c r="K596" s="113"/>
    </row>
    <row r="597" spans="5:11" ht="12.5">
      <c r="E597" s="110" t="str">
        <f ca="1">IFERROR(__xludf.DUMMYFUNCTION("""COMPUTED_VALUE"""),"")</f>
        <v/>
      </c>
      <c r="K597" s="113"/>
    </row>
    <row r="598" spans="5:11" ht="12.5">
      <c r="E598" s="110" t="str">
        <f ca="1">IFERROR(__xludf.DUMMYFUNCTION("""COMPUTED_VALUE"""),"")</f>
        <v/>
      </c>
      <c r="K598" s="113"/>
    </row>
    <row r="599" spans="5:11" ht="12.5">
      <c r="E599" s="110" t="str">
        <f ca="1">IFERROR(__xludf.DUMMYFUNCTION("""COMPUTED_VALUE"""),"")</f>
        <v/>
      </c>
      <c r="K599" s="113"/>
    </row>
    <row r="600" spans="5:11" ht="12.5">
      <c r="E600" s="110" t="str">
        <f ca="1">IFERROR(__xludf.DUMMYFUNCTION("""COMPUTED_VALUE"""),"")</f>
        <v/>
      </c>
      <c r="K600" s="113"/>
    </row>
    <row r="601" spans="5:11" ht="12.5">
      <c r="E601" s="110" t="str">
        <f ca="1">IFERROR(__xludf.DUMMYFUNCTION("""COMPUTED_VALUE"""),"")</f>
        <v/>
      </c>
      <c r="K601" s="113"/>
    </row>
    <row r="602" spans="5:11" ht="12.5">
      <c r="E602" s="110" t="str">
        <f ca="1">IFERROR(__xludf.DUMMYFUNCTION("""COMPUTED_VALUE"""),"")</f>
        <v/>
      </c>
      <c r="K602" s="113"/>
    </row>
    <row r="603" spans="5:11" ht="12.5">
      <c r="E603" s="110" t="str">
        <f ca="1">IFERROR(__xludf.DUMMYFUNCTION("""COMPUTED_VALUE"""),"")</f>
        <v/>
      </c>
      <c r="K603" s="113"/>
    </row>
    <row r="604" spans="5:11" ht="12.5">
      <c r="E604" s="110" t="str">
        <f ca="1">IFERROR(__xludf.DUMMYFUNCTION("""COMPUTED_VALUE"""),"")</f>
        <v/>
      </c>
      <c r="K604" s="113"/>
    </row>
    <row r="605" spans="5:11" ht="12.5">
      <c r="E605" s="110" t="str">
        <f ca="1">IFERROR(__xludf.DUMMYFUNCTION("""COMPUTED_VALUE"""),"")</f>
        <v/>
      </c>
      <c r="K605" s="113"/>
    </row>
    <row r="606" spans="5:11" ht="12.5">
      <c r="E606" s="110" t="str">
        <f ca="1">IFERROR(__xludf.DUMMYFUNCTION("""COMPUTED_VALUE"""),"")</f>
        <v/>
      </c>
      <c r="K606" s="113"/>
    </row>
    <row r="607" spans="5:11" ht="12.5">
      <c r="E607" s="110" t="str">
        <f ca="1">IFERROR(__xludf.DUMMYFUNCTION("""COMPUTED_VALUE"""),"")</f>
        <v/>
      </c>
      <c r="K607" s="113"/>
    </row>
    <row r="608" spans="5:11" ht="12.5">
      <c r="E608" s="110" t="str">
        <f ca="1">IFERROR(__xludf.DUMMYFUNCTION("""COMPUTED_VALUE"""),"")</f>
        <v/>
      </c>
      <c r="K608" s="113"/>
    </row>
    <row r="609" spans="5:11" ht="12.5">
      <c r="E609" s="110" t="str">
        <f ca="1">IFERROR(__xludf.DUMMYFUNCTION("""COMPUTED_VALUE"""),"")</f>
        <v/>
      </c>
      <c r="K609" s="113"/>
    </row>
    <row r="610" spans="5:11" ht="12.5">
      <c r="E610" s="110" t="str">
        <f ca="1">IFERROR(__xludf.DUMMYFUNCTION("""COMPUTED_VALUE"""),"")</f>
        <v/>
      </c>
      <c r="K610" s="113"/>
    </row>
    <row r="611" spans="5:11" ht="12.5">
      <c r="E611" s="110" t="str">
        <f ca="1">IFERROR(__xludf.DUMMYFUNCTION("""COMPUTED_VALUE"""),"")</f>
        <v/>
      </c>
      <c r="K611" s="113"/>
    </row>
    <row r="612" spans="5:11" ht="12.5">
      <c r="E612" s="110" t="str">
        <f ca="1">IFERROR(__xludf.DUMMYFUNCTION("""COMPUTED_VALUE"""),"")</f>
        <v/>
      </c>
      <c r="K612" s="113"/>
    </row>
    <row r="613" spans="5:11" ht="12.5">
      <c r="E613" s="110" t="str">
        <f ca="1">IFERROR(__xludf.DUMMYFUNCTION("""COMPUTED_VALUE"""),"")</f>
        <v/>
      </c>
      <c r="K613" s="113"/>
    </row>
    <row r="614" spans="5:11" ht="12.5">
      <c r="E614" s="110" t="str">
        <f ca="1">IFERROR(__xludf.DUMMYFUNCTION("""COMPUTED_VALUE"""),"")</f>
        <v/>
      </c>
      <c r="K614" s="113"/>
    </row>
    <row r="615" spans="5:11" ht="12.5">
      <c r="E615" s="110" t="str">
        <f ca="1">IFERROR(__xludf.DUMMYFUNCTION("""COMPUTED_VALUE"""),"")</f>
        <v/>
      </c>
      <c r="K615" s="113"/>
    </row>
    <row r="616" spans="5:11" ht="12.5">
      <c r="E616" s="110" t="str">
        <f ca="1">IFERROR(__xludf.DUMMYFUNCTION("""COMPUTED_VALUE"""),"")</f>
        <v/>
      </c>
      <c r="K616" s="113"/>
    </row>
    <row r="617" spans="5:11" ht="12.5">
      <c r="E617" s="110" t="str">
        <f ca="1">IFERROR(__xludf.DUMMYFUNCTION("""COMPUTED_VALUE"""),"")</f>
        <v/>
      </c>
      <c r="K617" s="113"/>
    </row>
    <row r="618" spans="5:11" ht="12.5">
      <c r="E618" s="110" t="str">
        <f ca="1">IFERROR(__xludf.DUMMYFUNCTION("""COMPUTED_VALUE"""),"")</f>
        <v/>
      </c>
      <c r="K618" s="113"/>
    </row>
    <row r="619" spans="5:11" ht="12.5">
      <c r="E619" s="110" t="str">
        <f ca="1">IFERROR(__xludf.DUMMYFUNCTION("""COMPUTED_VALUE"""),"")</f>
        <v/>
      </c>
      <c r="K619" s="113"/>
    </row>
    <row r="620" spans="5:11" ht="12.5">
      <c r="E620" s="110" t="str">
        <f ca="1">IFERROR(__xludf.DUMMYFUNCTION("""COMPUTED_VALUE"""),"")</f>
        <v/>
      </c>
      <c r="K620" s="113"/>
    </row>
    <row r="621" spans="5:11" ht="12.5">
      <c r="E621" s="110" t="str">
        <f ca="1">IFERROR(__xludf.DUMMYFUNCTION("""COMPUTED_VALUE"""),"")</f>
        <v/>
      </c>
      <c r="K621" s="113"/>
    </row>
    <row r="622" spans="5:11" ht="12.5">
      <c r="E622" s="110" t="str">
        <f ca="1">IFERROR(__xludf.DUMMYFUNCTION("""COMPUTED_VALUE"""),"")</f>
        <v/>
      </c>
      <c r="K622" s="113"/>
    </row>
    <row r="623" spans="5:11" ht="12.5">
      <c r="E623" s="110" t="str">
        <f ca="1">IFERROR(__xludf.DUMMYFUNCTION("""COMPUTED_VALUE"""),"")</f>
        <v/>
      </c>
      <c r="K623" s="113"/>
    </row>
    <row r="624" spans="5:11" ht="12.5">
      <c r="E624" s="110" t="str">
        <f ca="1">IFERROR(__xludf.DUMMYFUNCTION("""COMPUTED_VALUE"""),"")</f>
        <v/>
      </c>
      <c r="K624" s="113"/>
    </row>
    <row r="625" spans="5:11" ht="12.5">
      <c r="E625" s="110" t="str">
        <f ca="1">IFERROR(__xludf.DUMMYFUNCTION("""COMPUTED_VALUE"""),"")</f>
        <v/>
      </c>
      <c r="K625" s="113"/>
    </row>
    <row r="626" spans="5:11" ht="12.5">
      <c r="E626" s="110" t="str">
        <f ca="1">IFERROR(__xludf.DUMMYFUNCTION("""COMPUTED_VALUE"""),"")</f>
        <v/>
      </c>
      <c r="K626" s="113"/>
    </row>
    <row r="627" spans="5:11" ht="12.5">
      <c r="E627" s="110" t="str">
        <f ca="1">IFERROR(__xludf.DUMMYFUNCTION("""COMPUTED_VALUE"""),"")</f>
        <v/>
      </c>
      <c r="K627" s="113"/>
    </row>
    <row r="628" spans="5:11" ht="12.5">
      <c r="E628" s="110" t="str">
        <f ca="1">IFERROR(__xludf.DUMMYFUNCTION("""COMPUTED_VALUE"""),"")</f>
        <v/>
      </c>
      <c r="K628" s="113"/>
    </row>
    <row r="629" spans="5:11" ht="12.5">
      <c r="E629" s="110" t="str">
        <f ca="1">IFERROR(__xludf.DUMMYFUNCTION("""COMPUTED_VALUE"""),"")</f>
        <v/>
      </c>
      <c r="K629" s="113"/>
    </row>
    <row r="630" spans="5:11" ht="12.5">
      <c r="E630" s="110" t="str">
        <f ca="1">IFERROR(__xludf.DUMMYFUNCTION("""COMPUTED_VALUE"""),"")</f>
        <v/>
      </c>
      <c r="K630" s="113"/>
    </row>
    <row r="631" spans="5:11" ht="12.5">
      <c r="E631" s="110" t="str">
        <f ca="1">IFERROR(__xludf.DUMMYFUNCTION("""COMPUTED_VALUE"""),"")</f>
        <v/>
      </c>
      <c r="K631" s="113"/>
    </row>
    <row r="632" spans="5:11" ht="12.5">
      <c r="E632" s="110" t="str">
        <f ca="1">IFERROR(__xludf.DUMMYFUNCTION("""COMPUTED_VALUE"""),"")</f>
        <v/>
      </c>
      <c r="K632" s="113"/>
    </row>
    <row r="633" spans="5:11" ht="12.5">
      <c r="E633" s="110" t="str">
        <f ca="1">IFERROR(__xludf.DUMMYFUNCTION("""COMPUTED_VALUE"""),"")</f>
        <v/>
      </c>
      <c r="K633" s="113"/>
    </row>
    <row r="634" spans="5:11" ht="12.5">
      <c r="E634" s="110" t="str">
        <f ca="1">IFERROR(__xludf.DUMMYFUNCTION("""COMPUTED_VALUE"""),"")</f>
        <v/>
      </c>
      <c r="K634" s="113"/>
    </row>
    <row r="635" spans="5:11" ht="12.5">
      <c r="E635" s="110" t="str">
        <f ca="1">IFERROR(__xludf.DUMMYFUNCTION("""COMPUTED_VALUE"""),"")</f>
        <v/>
      </c>
      <c r="K635" s="113"/>
    </row>
    <row r="636" spans="5:11" ht="12.5">
      <c r="E636" s="110" t="str">
        <f ca="1">IFERROR(__xludf.DUMMYFUNCTION("""COMPUTED_VALUE"""),"")</f>
        <v/>
      </c>
      <c r="K636" s="113"/>
    </row>
    <row r="637" spans="5:11" ht="12.5">
      <c r="E637" s="110" t="str">
        <f ca="1">IFERROR(__xludf.DUMMYFUNCTION("""COMPUTED_VALUE"""),"")</f>
        <v/>
      </c>
      <c r="K637" s="113"/>
    </row>
    <row r="638" spans="5:11" ht="12.5">
      <c r="E638" s="110" t="str">
        <f ca="1">IFERROR(__xludf.DUMMYFUNCTION("""COMPUTED_VALUE"""),"")</f>
        <v/>
      </c>
      <c r="K638" s="113"/>
    </row>
    <row r="639" spans="5:11" ht="12.5">
      <c r="E639" s="110" t="str">
        <f ca="1">IFERROR(__xludf.DUMMYFUNCTION("""COMPUTED_VALUE"""),"")</f>
        <v/>
      </c>
      <c r="K639" s="113"/>
    </row>
    <row r="640" spans="5:11" ht="12.5">
      <c r="E640" s="110" t="str">
        <f ca="1">IFERROR(__xludf.DUMMYFUNCTION("""COMPUTED_VALUE"""),"")</f>
        <v/>
      </c>
      <c r="K640" s="113"/>
    </row>
    <row r="641" spans="5:11" ht="12.5">
      <c r="E641" s="110" t="str">
        <f ca="1">IFERROR(__xludf.DUMMYFUNCTION("""COMPUTED_VALUE"""),"")</f>
        <v/>
      </c>
      <c r="K641" s="113"/>
    </row>
    <row r="642" spans="5:11" ht="12.5">
      <c r="E642" s="110" t="str">
        <f ca="1">IFERROR(__xludf.DUMMYFUNCTION("""COMPUTED_VALUE"""),"")</f>
        <v/>
      </c>
      <c r="K642" s="113"/>
    </row>
    <row r="643" spans="5:11" ht="12.5">
      <c r="E643" s="110" t="str">
        <f ca="1">IFERROR(__xludf.DUMMYFUNCTION("""COMPUTED_VALUE"""),"")</f>
        <v/>
      </c>
      <c r="K643" s="113"/>
    </row>
    <row r="644" spans="5:11" ht="12.5">
      <c r="E644" s="110" t="str">
        <f ca="1">IFERROR(__xludf.DUMMYFUNCTION("""COMPUTED_VALUE"""),"")</f>
        <v/>
      </c>
      <c r="K644" s="113"/>
    </row>
    <row r="645" spans="5:11" ht="12.5">
      <c r="E645" s="110" t="str">
        <f ca="1">IFERROR(__xludf.DUMMYFUNCTION("""COMPUTED_VALUE"""),"")</f>
        <v/>
      </c>
      <c r="K645" s="113"/>
    </row>
    <row r="646" spans="5:11" ht="12.5">
      <c r="E646" s="110" t="str">
        <f ca="1">IFERROR(__xludf.DUMMYFUNCTION("""COMPUTED_VALUE"""),"")</f>
        <v/>
      </c>
      <c r="K646" s="113"/>
    </row>
    <row r="647" spans="5:11" ht="12.5">
      <c r="E647" s="110" t="str">
        <f ca="1">IFERROR(__xludf.DUMMYFUNCTION("""COMPUTED_VALUE"""),"")</f>
        <v/>
      </c>
      <c r="K647" s="113"/>
    </row>
    <row r="648" spans="5:11" ht="12.5">
      <c r="E648" s="110" t="str">
        <f ca="1">IFERROR(__xludf.DUMMYFUNCTION("""COMPUTED_VALUE"""),"")</f>
        <v/>
      </c>
      <c r="K648" s="113"/>
    </row>
    <row r="649" spans="5:11" ht="12.5">
      <c r="E649" s="110" t="str">
        <f ca="1">IFERROR(__xludf.DUMMYFUNCTION("""COMPUTED_VALUE"""),"")</f>
        <v/>
      </c>
      <c r="K649" s="113"/>
    </row>
    <row r="650" spans="5:11" ht="12.5">
      <c r="E650" s="110" t="str">
        <f ca="1">IFERROR(__xludf.DUMMYFUNCTION("""COMPUTED_VALUE"""),"")</f>
        <v/>
      </c>
      <c r="K650" s="113"/>
    </row>
    <row r="651" spans="5:11" ht="12.5">
      <c r="E651" s="110" t="str">
        <f ca="1">IFERROR(__xludf.DUMMYFUNCTION("""COMPUTED_VALUE"""),"")</f>
        <v/>
      </c>
      <c r="K651" s="113"/>
    </row>
    <row r="652" spans="5:11" ht="12.5">
      <c r="E652" s="110" t="str">
        <f ca="1">IFERROR(__xludf.DUMMYFUNCTION("""COMPUTED_VALUE"""),"")</f>
        <v/>
      </c>
      <c r="K652" s="113"/>
    </row>
    <row r="653" spans="5:11" ht="12.5">
      <c r="E653" s="110" t="str">
        <f ca="1">IFERROR(__xludf.DUMMYFUNCTION("""COMPUTED_VALUE"""),"")</f>
        <v/>
      </c>
      <c r="K653" s="113"/>
    </row>
    <row r="654" spans="5:11" ht="12.5">
      <c r="E654" s="110" t="str">
        <f ca="1">IFERROR(__xludf.DUMMYFUNCTION("""COMPUTED_VALUE"""),"")</f>
        <v/>
      </c>
      <c r="K654" s="113"/>
    </row>
    <row r="655" spans="5:11" ht="12.5">
      <c r="E655" s="110" t="str">
        <f ca="1">IFERROR(__xludf.DUMMYFUNCTION("""COMPUTED_VALUE"""),"")</f>
        <v/>
      </c>
      <c r="K655" s="113"/>
    </row>
    <row r="656" spans="5:11" ht="12.5">
      <c r="E656" s="110" t="str">
        <f ca="1">IFERROR(__xludf.DUMMYFUNCTION("""COMPUTED_VALUE"""),"")</f>
        <v/>
      </c>
      <c r="K656" s="113"/>
    </row>
    <row r="657" spans="5:11" ht="12.5">
      <c r="E657" s="110" t="str">
        <f ca="1">IFERROR(__xludf.DUMMYFUNCTION("""COMPUTED_VALUE"""),"")</f>
        <v/>
      </c>
      <c r="K657" s="113"/>
    </row>
    <row r="658" spans="5:11" ht="12.5">
      <c r="E658" s="110" t="str">
        <f ca="1">IFERROR(__xludf.DUMMYFUNCTION("""COMPUTED_VALUE"""),"")</f>
        <v/>
      </c>
      <c r="K658" s="113"/>
    </row>
    <row r="659" spans="5:11" ht="12.5">
      <c r="E659" s="110" t="str">
        <f ca="1">IFERROR(__xludf.DUMMYFUNCTION("""COMPUTED_VALUE"""),"")</f>
        <v/>
      </c>
      <c r="K659" s="113"/>
    </row>
    <row r="660" spans="5:11" ht="12.5">
      <c r="E660" s="110" t="str">
        <f ca="1">IFERROR(__xludf.DUMMYFUNCTION("""COMPUTED_VALUE"""),"")</f>
        <v/>
      </c>
      <c r="K660" s="113"/>
    </row>
    <row r="661" spans="5:11" ht="12.5">
      <c r="E661" s="110" t="str">
        <f ca="1">IFERROR(__xludf.DUMMYFUNCTION("""COMPUTED_VALUE"""),"")</f>
        <v/>
      </c>
      <c r="K661" s="113"/>
    </row>
    <row r="662" spans="5:11" ht="12.5">
      <c r="E662" s="110" t="str">
        <f ca="1">IFERROR(__xludf.DUMMYFUNCTION("""COMPUTED_VALUE"""),"")</f>
        <v/>
      </c>
      <c r="K662" s="113"/>
    </row>
    <row r="663" spans="5:11" ht="12.5">
      <c r="E663" s="110" t="str">
        <f ca="1">IFERROR(__xludf.DUMMYFUNCTION("""COMPUTED_VALUE"""),"")</f>
        <v/>
      </c>
      <c r="K663" s="113"/>
    </row>
    <row r="664" spans="5:11" ht="12.5">
      <c r="E664" s="110" t="str">
        <f ca="1">IFERROR(__xludf.DUMMYFUNCTION("""COMPUTED_VALUE"""),"")</f>
        <v/>
      </c>
      <c r="K664" s="113"/>
    </row>
    <row r="665" spans="5:11" ht="12.5">
      <c r="E665" s="110" t="str">
        <f ca="1">IFERROR(__xludf.DUMMYFUNCTION("""COMPUTED_VALUE"""),"")</f>
        <v/>
      </c>
      <c r="K665" s="113"/>
    </row>
    <row r="666" spans="5:11" ht="12.5">
      <c r="E666" s="110" t="str">
        <f ca="1">IFERROR(__xludf.DUMMYFUNCTION("""COMPUTED_VALUE"""),"")</f>
        <v/>
      </c>
      <c r="K666" s="113"/>
    </row>
    <row r="667" spans="5:11" ht="12.5">
      <c r="E667" s="110" t="str">
        <f ca="1">IFERROR(__xludf.DUMMYFUNCTION("""COMPUTED_VALUE"""),"")</f>
        <v/>
      </c>
      <c r="K667" s="113"/>
    </row>
    <row r="668" spans="5:11" ht="12.5">
      <c r="E668" s="110" t="str">
        <f ca="1">IFERROR(__xludf.DUMMYFUNCTION("""COMPUTED_VALUE"""),"")</f>
        <v/>
      </c>
      <c r="K668" s="113"/>
    </row>
    <row r="669" spans="5:11" ht="12.5">
      <c r="E669" s="110" t="str">
        <f ca="1">IFERROR(__xludf.DUMMYFUNCTION("""COMPUTED_VALUE"""),"")</f>
        <v/>
      </c>
      <c r="K669" s="113"/>
    </row>
    <row r="670" spans="5:11" ht="12.5">
      <c r="E670" s="110" t="str">
        <f ca="1">IFERROR(__xludf.DUMMYFUNCTION("""COMPUTED_VALUE"""),"")</f>
        <v/>
      </c>
      <c r="K670" s="113"/>
    </row>
    <row r="671" spans="5:11" ht="12.5">
      <c r="E671" s="110" t="str">
        <f ca="1">IFERROR(__xludf.DUMMYFUNCTION("""COMPUTED_VALUE"""),"")</f>
        <v/>
      </c>
      <c r="K671" s="113"/>
    </row>
    <row r="672" spans="5:11" ht="12.5">
      <c r="E672" s="110" t="str">
        <f ca="1">IFERROR(__xludf.DUMMYFUNCTION("""COMPUTED_VALUE"""),"")</f>
        <v/>
      </c>
      <c r="K672" s="113"/>
    </row>
    <row r="673" spans="5:11" ht="12.5">
      <c r="E673" s="110" t="str">
        <f ca="1">IFERROR(__xludf.DUMMYFUNCTION("""COMPUTED_VALUE"""),"")</f>
        <v/>
      </c>
      <c r="K673" s="113"/>
    </row>
    <row r="674" spans="5:11" ht="12.5">
      <c r="E674" s="110" t="str">
        <f ca="1">IFERROR(__xludf.DUMMYFUNCTION("""COMPUTED_VALUE"""),"")</f>
        <v/>
      </c>
      <c r="K674" s="113"/>
    </row>
    <row r="675" spans="5:11" ht="12.5">
      <c r="E675" s="110" t="str">
        <f ca="1">IFERROR(__xludf.DUMMYFUNCTION("""COMPUTED_VALUE"""),"")</f>
        <v/>
      </c>
      <c r="K675" s="113"/>
    </row>
    <row r="676" spans="5:11" ht="12.5">
      <c r="E676" s="110" t="str">
        <f ca="1">IFERROR(__xludf.DUMMYFUNCTION("""COMPUTED_VALUE"""),"")</f>
        <v/>
      </c>
      <c r="K676" s="113"/>
    </row>
    <row r="677" spans="5:11" ht="12.5">
      <c r="E677" s="110" t="str">
        <f ca="1">IFERROR(__xludf.DUMMYFUNCTION("""COMPUTED_VALUE"""),"")</f>
        <v/>
      </c>
      <c r="K677" s="113"/>
    </row>
    <row r="678" spans="5:11" ht="12.5">
      <c r="E678" s="110" t="str">
        <f ca="1">IFERROR(__xludf.DUMMYFUNCTION("""COMPUTED_VALUE"""),"")</f>
        <v/>
      </c>
      <c r="K678" s="113"/>
    </row>
  </sheetData>
  <conditionalFormatting sqref="D1:D678">
    <cfRule type="expression" dxfId="0" priority="1">
      <formula>COUNTIF(D:D,D1)&gt;1</formula>
    </cfRule>
  </conditionalFormatting>
  <hyperlinks>
    <hyperlink ref="B2" r:id="rId1" xr:uid="{00000000-0004-0000-0600-000000000000}"/>
    <hyperlink ref="C2" r:id="rId2" xr:uid="{00000000-0004-0000-0600-000001000000}"/>
    <hyperlink ref="C3" r:id="rId3" xr:uid="{00000000-0004-0000-0600-000002000000}"/>
    <hyperlink ref="C4" r:id="rId4" xr:uid="{00000000-0004-0000-0600-000003000000}"/>
    <hyperlink ref="C5" r:id="rId5" xr:uid="{00000000-0004-0000-0600-000004000000}"/>
    <hyperlink ref="C6" r:id="rId6" xr:uid="{00000000-0004-0000-0600-000005000000}"/>
    <hyperlink ref="C7" r:id="rId7" xr:uid="{00000000-0004-0000-0600-000006000000}"/>
    <hyperlink ref="C8" r:id="rId8" xr:uid="{00000000-0004-0000-0600-000007000000}"/>
    <hyperlink ref="C9" r:id="rId9" xr:uid="{00000000-0004-0000-0600-000008000000}"/>
    <hyperlink ref="C10" r:id="rId10" xr:uid="{00000000-0004-0000-0600-000009000000}"/>
    <hyperlink ref="C11" r:id="rId11" xr:uid="{00000000-0004-0000-0600-00000A000000}"/>
    <hyperlink ref="C12" r:id="rId12" xr:uid="{00000000-0004-0000-0600-00000B000000}"/>
    <hyperlink ref="C13" r:id="rId13" xr:uid="{00000000-0004-0000-0600-00000C000000}"/>
    <hyperlink ref="C14" r:id="rId14" xr:uid="{00000000-0004-0000-0600-00000D000000}"/>
    <hyperlink ref="C15" r:id="rId15" xr:uid="{00000000-0004-0000-0600-00000E000000}"/>
    <hyperlink ref="C16" r:id="rId16" xr:uid="{00000000-0004-0000-0600-00000F000000}"/>
    <hyperlink ref="C17" r:id="rId17" xr:uid="{00000000-0004-0000-0600-000010000000}"/>
    <hyperlink ref="C18" r:id="rId18" xr:uid="{00000000-0004-0000-0600-000011000000}"/>
    <hyperlink ref="C19" r:id="rId19" xr:uid="{00000000-0004-0000-0600-000012000000}"/>
    <hyperlink ref="B20" r:id="rId20" xr:uid="{00000000-0004-0000-0600-000013000000}"/>
    <hyperlink ref="C20" r:id="rId21" xr:uid="{00000000-0004-0000-0600-000014000000}"/>
    <hyperlink ref="B21" r:id="rId22" xr:uid="{00000000-0004-0000-0600-000015000000}"/>
    <hyperlink ref="C21" r:id="rId23" xr:uid="{00000000-0004-0000-0600-000016000000}"/>
    <hyperlink ref="C22" r:id="rId24" xr:uid="{00000000-0004-0000-0600-000017000000}"/>
    <hyperlink ref="C23" r:id="rId25" xr:uid="{00000000-0004-0000-0600-000018000000}"/>
    <hyperlink ref="C24" r:id="rId26" xr:uid="{00000000-0004-0000-0600-000019000000}"/>
    <hyperlink ref="C25" r:id="rId27" xr:uid="{00000000-0004-0000-0600-00001A000000}"/>
    <hyperlink ref="C26" r:id="rId28" xr:uid="{00000000-0004-0000-0600-00001B000000}"/>
    <hyperlink ref="C27" r:id="rId29" xr:uid="{00000000-0004-0000-0600-00001C000000}"/>
    <hyperlink ref="C28" r:id="rId30" xr:uid="{00000000-0004-0000-0600-00001D000000}"/>
    <hyperlink ref="C29" r:id="rId31" xr:uid="{00000000-0004-0000-0600-00001E000000}"/>
    <hyperlink ref="C30" r:id="rId32" xr:uid="{00000000-0004-0000-0600-00001F000000}"/>
    <hyperlink ref="C31" r:id="rId33" xr:uid="{00000000-0004-0000-0600-000020000000}"/>
    <hyperlink ref="C32" r:id="rId34" xr:uid="{00000000-0004-0000-0600-000021000000}"/>
    <hyperlink ref="C33" r:id="rId35" xr:uid="{00000000-0004-0000-0600-000022000000}"/>
    <hyperlink ref="C34" r:id="rId36" xr:uid="{00000000-0004-0000-0600-000023000000}"/>
    <hyperlink ref="C35" r:id="rId37" xr:uid="{00000000-0004-0000-0600-000024000000}"/>
    <hyperlink ref="C36" r:id="rId38" xr:uid="{00000000-0004-0000-0600-000025000000}"/>
    <hyperlink ref="C37" r:id="rId39" xr:uid="{00000000-0004-0000-0600-000026000000}"/>
    <hyperlink ref="C38" r:id="rId40" xr:uid="{00000000-0004-0000-0600-000027000000}"/>
    <hyperlink ref="C39" r:id="rId41" xr:uid="{00000000-0004-0000-0600-000028000000}"/>
    <hyperlink ref="C40" r:id="rId42" xr:uid="{00000000-0004-0000-0600-000029000000}"/>
    <hyperlink ref="C41" r:id="rId43" xr:uid="{00000000-0004-0000-0600-00002A000000}"/>
    <hyperlink ref="C42" r:id="rId44" xr:uid="{00000000-0004-0000-0600-00002B000000}"/>
    <hyperlink ref="C43" r:id="rId45" xr:uid="{00000000-0004-0000-0600-00002C000000}"/>
    <hyperlink ref="C44" r:id="rId46" xr:uid="{00000000-0004-0000-0600-00002D000000}"/>
    <hyperlink ref="C45" r:id="rId47" xr:uid="{00000000-0004-0000-0600-00002E000000}"/>
    <hyperlink ref="C46" r:id="rId48" xr:uid="{00000000-0004-0000-0600-00002F000000}"/>
    <hyperlink ref="C47" r:id="rId49" xr:uid="{00000000-0004-0000-0600-000030000000}"/>
    <hyperlink ref="C48" r:id="rId50" xr:uid="{00000000-0004-0000-0600-000031000000}"/>
    <hyperlink ref="C49" r:id="rId51" xr:uid="{00000000-0004-0000-0600-000032000000}"/>
    <hyperlink ref="C50" r:id="rId52" xr:uid="{00000000-0004-0000-0600-000033000000}"/>
    <hyperlink ref="C51" r:id="rId53" xr:uid="{00000000-0004-0000-0600-000034000000}"/>
    <hyperlink ref="C52" r:id="rId54" xr:uid="{00000000-0004-0000-0600-000035000000}"/>
    <hyperlink ref="C53" r:id="rId55" xr:uid="{00000000-0004-0000-0600-000036000000}"/>
    <hyperlink ref="C54" r:id="rId56" xr:uid="{00000000-0004-0000-0600-000037000000}"/>
    <hyperlink ref="C55" r:id="rId57" xr:uid="{00000000-0004-0000-0600-000038000000}"/>
    <hyperlink ref="A56" r:id="rId58" xr:uid="{00000000-0004-0000-0600-000039000000}"/>
    <hyperlink ref="C56" r:id="rId59" xr:uid="{00000000-0004-0000-0600-00003A000000}"/>
    <hyperlink ref="C57" r:id="rId60" xr:uid="{00000000-0004-0000-0600-00003B000000}"/>
    <hyperlink ref="C58" r:id="rId61" xr:uid="{00000000-0004-0000-0600-00003C000000}"/>
    <hyperlink ref="C59" r:id="rId62" xr:uid="{00000000-0004-0000-0600-00003D000000}"/>
    <hyperlink ref="C60" r:id="rId63" xr:uid="{00000000-0004-0000-0600-00003E000000}"/>
    <hyperlink ref="C61" r:id="rId64" xr:uid="{00000000-0004-0000-0600-00003F000000}"/>
    <hyperlink ref="C62" r:id="rId65" xr:uid="{00000000-0004-0000-0600-000040000000}"/>
    <hyperlink ref="C63" r:id="rId66" xr:uid="{00000000-0004-0000-0600-000041000000}"/>
    <hyperlink ref="C64" r:id="rId67" xr:uid="{00000000-0004-0000-0600-000042000000}"/>
    <hyperlink ref="C65" r:id="rId68" xr:uid="{00000000-0004-0000-0600-000043000000}"/>
    <hyperlink ref="C66" r:id="rId69" xr:uid="{00000000-0004-0000-0600-000044000000}"/>
    <hyperlink ref="J66" r:id="rId70" xr:uid="{00000000-0004-0000-0600-000045000000}"/>
    <hyperlink ref="C67" r:id="rId71" xr:uid="{00000000-0004-0000-0600-000046000000}"/>
    <hyperlink ref="C68" r:id="rId72" xr:uid="{00000000-0004-0000-0600-000047000000}"/>
    <hyperlink ref="C69" r:id="rId73" xr:uid="{00000000-0004-0000-0600-000048000000}"/>
    <hyperlink ref="C70" r:id="rId74" xr:uid="{00000000-0004-0000-0600-000049000000}"/>
    <hyperlink ref="C71" r:id="rId75" xr:uid="{00000000-0004-0000-0600-00004A000000}"/>
    <hyperlink ref="C72" r:id="rId76" xr:uid="{00000000-0004-0000-0600-00004B000000}"/>
    <hyperlink ref="C73" r:id="rId77" xr:uid="{00000000-0004-0000-0600-00004C000000}"/>
    <hyperlink ref="C74" r:id="rId78" xr:uid="{00000000-0004-0000-0600-00004D000000}"/>
    <hyperlink ref="C75" r:id="rId79" xr:uid="{00000000-0004-0000-0600-00004E000000}"/>
    <hyperlink ref="C76" r:id="rId80" xr:uid="{00000000-0004-0000-0600-00004F000000}"/>
    <hyperlink ref="C77" r:id="rId81" xr:uid="{00000000-0004-0000-0600-000050000000}"/>
    <hyperlink ref="C78" r:id="rId82" xr:uid="{00000000-0004-0000-0600-000051000000}"/>
    <hyperlink ref="C79" r:id="rId83" xr:uid="{00000000-0004-0000-0600-000052000000}"/>
    <hyperlink ref="C80" r:id="rId84" xr:uid="{00000000-0004-0000-0600-000053000000}"/>
    <hyperlink ref="C81" r:id="rId85" xr:uid="{00000000-0004-0000-0600-000054000000}"/>
    <hyperlink ref="C82" r:id="rId86" xr:uid="{00000000-0004-0000-0600-000055000000}"/>
    <hyperlink ref="C83" r:id="rId87" xr:uid="{00000000-0004-0000-0600-000056000000}"/>
    <hyperlink ref="C84" r:id="rId88" xr:uid="{00000000-0004-0000-0600-000057000000}"/>
    <hyperlink ref="C85" r:id="rId89" xr:uid="{00000000-0004-0000-0600-000058000000}"/>
    <hyperlink ref="C86" r:id="rId90" xr:uid="{00000000-0004-0000-0600-000059000000}"/>
    <hyperlink ref="C87" r:id="rId91" xr:uid="{00000000-0004-0000-0600-00005A000000}"/>
    <hyperlink ref="C88" r:id="rId92" xr:uid="{00000000-0004-0000-0600-00005B000000}"/>
    <hyperlink ref="C89" r:id="rId93" xr:uid="{00000000-0004-0000-0600-00005C000000}"/>
    <hyperlink ref="C90" r:id="rId94" xr:uid="{00000000-0004-0000-0600-00005D000000}"/>
    <hyperlink ref="B91" r:id="rId95" xr:uid="{00000000-0004-0000-0600-00005E000000}"/>
    <hyperlink ref="C91" r:id="rId96" xr:uid="{00000000-0004-0000-0600-00005F000000}"/>
    <hyperlink ref="B92" r:id="rId97" xr:uid="{00000000-0004-0000-0600-000060000000}"/>
    <hyperlink ref="C92" r:id="rId98" xr:uid="{00000000-0004-0000-0600-000061000000}"/>
    <hyperlink ref="B93" r:id="rId99" xr:uid="{00000000-0004-0000-0600-000062000000}"/>
    <hyperlink ref="C93" r:id="rId100" xr:uid="{00000000-0004-0000-0600-000063000000}"/>
    <hyperlink ref="B94" r:id="rId101" xr:uid="{00000000-0004-0000-0600-000064000000}"/>
    <hyperlink ref="C94" r:id="rId102" xr:uid="{00000000-0004-0000-0600-000065000000}"/>
    <hyperlink ref="B95" r:id="rId103" xr:uid="{00000000-0004-0000-0600-000066000000}"/>
    <hyperlink ref="C95" r:id="rId104" xr:uid="{00000000-0004-0000-0600-000067000000}"/>
    <hyperlink ref="B96" r:id="rId105" xr:uid="{00000000-0004-0000-0600-000068000000}"/>
    <hyperlink ref="C96" r:id="rId106" xr:uid="{00000000-0004-0000-0600-000069000000}"/>
    <hyperlink ref="B97" r:id="rId107" xr:uid="{00000000-0004-0000-0600-00006A000000}"/>
    <hyperlink ref="C97" r:id="rId108" xr:uid="{00000000-0004-0000-0600-00006B000000}"/>
    <hyperlink ref="B98" r:id="rId109" xr:uid="{00000000-0004-0000-0600-00006C000000}"/>
    <hyperlink ref="C98" r:id="rId110" xr:uid="{00000000-0004-0000-0600-00006D000000}"/>
    <hyperlink ref="B99" r:id="rId111" xr:uid="{00000000-0004-0000-0600-00006E000000}"/>
    <hyperlink ref="C99" r:id="rId112" xr:uid="{00000000-0004-0000-0600-00006F000000}"/>
    <hyperlink ref="B100" r:id="rId113" xr:uid="{00000000-0004-0000-0600-000070000000}"/>
    <hyperlink ref="C100" r:id="rId114" xr:uid="{00000000-0004-0000-0600-000071000000}"/>
    <hyperlink ref="B101" r:id="rId115" xr:uid="{00000000-0004-0000-0600-000072000000}"/>
    <hyperlink ref="C101" r:id="rId116" xr:uid="{00000000-0004-0000-0600-000073000000}"/>
    <hyperlink ref="B102" r:id="rId117" xr:uid="{00000000-0004-0000-0600-000074000000}"/>
    <hyperlink ref="C102" r:id="rId118" xr:uid="{00000000-0004-0000-0600-000075000000}"/>
    <hyperlink ref="B103" r:id="rId119" xr:uid="{00000000-0004-0000-0600-000076000000}"/>
    <hyperlink ref="C103" r:id="rId120" xr:uid="{00000000-0004-0000-0600-000077000000}"/>
    <hyperlink ref="B104" r:id="rId121" xr:uid="{00000000-0004-0000-0600-000078000000}"/>
    <hyperlink ref="C104" r:id="rId122" xr:uid="{00000000-0004-0000-0600-000079000000}"/>
    <hyperlink ref="B105" r:id="rId123" xr:uid="{00000000-0004-0000-0600-00007A000000}"/>
    <hyperlink ref="C105" r:id="rId124" xr:uid="{00000000-0004-0000-0600-00007B000000}"/>
    <hyperlink ref="B106" r:id="rId125" xr:uid="{00000000-0004-0000-0600-00007C000000}"/>
    <hyperlink ref="C106" r:id="rId126" xr:uid="{00000000-0004-0000-0600-00007D000000}"/>
    <hyperlink ref="B107" r:id="rId127" xr:uid="{00000000-0004-0000-0600-00007E000000}"/>
    <hyperlink ref="C107" r:id="rId128" xr:uid="{00000000-0004-0000-0600-00007F000000}"/>
    <hyperlink ref="B108" r:id="rId129" xr:uid="{00000000-0004-0000-0600-000080000000}"/>
    <hyperlink ref="C108" r:id="rId130" xr:uid="{00000000-0004-0000-0600-000081000000}"/>
    <hyperlink ref="B109" r:id="rId131" xr:uid="{00000000-0004-0000-0600-000082000000}"/>
    <hyperlink ref="C109" r:id="rId132" xr:uid="{00000000-0004-0000-0600-000083000000}"/>
    <hyperlink ref="B110" r:id="rId133" xr:uid="{00000000-0004-0000-0600-000084000000}"/>
    <hyperlink ref="C110" r:id="rId134" xr:uid="{00000000-0004-0000-0600-000085000000}"/>
    <hyperlink ref="B111" r:id="rId135" xr:uid="{00000000-0004-0000-0600-000086000000}"/>
    <hyperlink ref="C111" r:id="rId136" xr:uid="{00000000-0004-0000-0600-000087000000}"/>
    <hyperlink ref="B112" r:id="rId137" xr:uid="{00000000-0004-0000-0600-000088000000}"/>
    <hyperlink ref="C112" r:id="rId138" xr:uid="{00000000-0004-0000-0600-000089000000}"/>
    <hyperlink ref="B113" r:id="rId139" xr:uid="{00000000-0004-0000-0600-00008A000000}"/>
    <hyperlink ref="C113" r:id="rId140" xr:uid="{00000000-0004-0000-0600-00008B000000}"/>
    <hyperlink ref="B114" r:id="rId141" xr:uid="{00000000-0004-0000-0600-00008C000000}"/>
    <hyperlink ref="C114" r:id="rId142" xr:uid="{00000000-0004-0000-0600-00008D000000}"/>
    <hyperlink ref="B115" r:id="rId143" xr:uid="{00000000-0004-0000-0600-00008E000000}"/>
    <hyperlink ref="C115" r:id="rId144" xr:uid="{00000000-0004-0000-0600-00008F000000}"/>
    <hyperlink ref="B116" r:id="rId145" xr:uid="{00000000-0004-0000-0600-000090000000}"/>
    <hyperlink ref="C116" r:id="rId146" xr:uid="{00000000-0004-0000-0600-000091000000}"/>
    <hyperlink ref="B117" r:id="rId147" xr:uid="{00000000-0004-0000-0600-000092000000}"/>
    <hyperlink ref="C117" r:id="rId148" xr:uid="{00000000-0004-0000-0600-000093000000}"/>
    <hyperlink ref="B118" r:id="rId149" xr:uid="{00000000-0004-0000-0600-000094000000}"/>
    <hyperlink ref="C118" r:id="rId150" xr:uid="{00000000-0004-0000-0600-000095000000}"/>
    <hyperlink ref="B119" r:id="rId151" xr:uid="{00000000-0004-0000-0600-000096000000}"/>
    <hyperlink ref="C119" r:id="rId152" xr:uid="{00000000-0004-0000-0600-000097000000}"/>
    <hyperlink ref="B120" r:id="rId153" xr:uid="{00000000-0004-0000-0600-000098000000}"/>
    <hyperlink ref="C120" r:id="rId154" xr:uid="{00000000-0004-0000-0600-000099000000}"/>
    <hyperlink ref="B121" r:id="rId155" xr:uid="{00000000-0004-0000-0600-00009A000000}"/>
    <hyperlink ref="C121" r:id="rId156" xr:uid="{00000000-0004-0000-0600-00009B000000}"/>
    <hyperlink ref="B122" r:id="rId157" xr:uid="{00000000-0004-0000-0600-00009C000000}"/>
    <hyperlink ref="C122" r:id="rId158" xr:uid="{00000000-0004-0000-0600-00009D000000}"/>
    <hyperlink ref="B123" r:id="rId159" xr:uid="{00000000-0004-0000-0600-00009E000000}"/>
    <hyperlink ref="C123" r:id="rId160" xr:uid="{00000000-0004-0000-0600-00009F000000}"/>
    <hyperlink ref="B124" r:id="rId161" xr:uid="{00000000-0004-0000-0600-0000A0000000}"/>
    <hyperlink ref="C124" r:id="rId162" xr:uid="{00000000-0004-0000-0600-0000A1000000}"/>
    <hyperlink ref="B125" r:id="rId163" xr:uid="{00000000-0004-0000-0600-0000A2000000}"/>
    <hyperlink ref="C125" r:id="rId164" xr:uid="{00000000-0004-0000-0600-0000A3000000}"/>
    <hyperlink ref="B126" r:id="rId165" xr:uid="{00000000-0004-0000-0600-0000A4000000}"/>
    <hyperlink ref="C126" r:id="rId166" xr:uid="{00000000-0004-0000-0600-0000A5000000}"/>
    <hyperlink ref="B127" r:id="rId167" xr:uid="{00000000-0004-0000-0600-0000A6000000}"/>
    <hyperlink ref="C127" r:id="rId168" xr:uid="{00000000-0004-0000-0600-0000A7000000}"/>
    <hyperlink ref="B128" r:id="rId169" xr:uid="{00000000-0004-0000-0600-0000A8000000}"/>
    <hyperlink ref="C128" r:id="rId170" xr:uid="{00000000-0004-0000-0600-0000A9000000}"/>
    <hyperlink ref="B129" r:id="rId171" xr:uid="{00000000-0004-0000-0600-0000AA000000}"/>
    <hyperlink ref="C129" r:id="rId172" xr:uid="{00000000-0004-0000-0600-0000AB000000}"/>
    <hyperlink ref="B130" r:id="rId173" xr:uid="{00000000-0004-0000-0600-0000AC000000}"/>
    <hyperlink ref="C130" r:id="rId174" xr:uid="{00000000-0004-0000-0600-0000AD000000}"/>
    <hyperlink ref="B131" r:id="rId175" xr:uid="{00000000-0004-0000-0600-0000AE000000}"/>
    <hyperlink ref="C131" r:id="rId176" xr:uid="{00000000-0004-0000-0600-0000AF000000}"/>
    <hyperlink ref="B132" r:id="rId177" xr:uid="{00000000-0004-0000-0600-0000B0000000}"/>
    <hyperlink ref="C132" r:id="rId178" xr:uid="{00000000-0004-0000-0600-0000B1000000}"/>
    <hyperlink ref="B133" r:id="rId179" xr:uid="{00000000-0004-0000-0600-0000B2000000}"/>
    <hyperlink ref="C133" r:id="rId180" xr:uid="{00000000-0004-0000-0600-0000B3000000}"/>
    <hyperlink ref="B134" r:id="rId181" xr:uid="{00000000-0004-0000-0600-0000B4000000}"/>
    <hyperlink ref="C134" r:id="rId182" xr:uid="{00000000-0004-0000-0600-0000B5000000}"/>
    <hyperlink ref="B135" r:id="rId183" xr:uid="{00000000-0004-0000-0600-0000B6000000}"/>
    <hyperlink ref="C135" r:id="rId184" xr:uid="{00000000-0004-0000-0600-0000B7000000}"/>
    <hyperlink ref="B136" r:id="rId185" xr:uid="{00000000-0004-0000-0600-0000B8000000}"/>
    <hyperlink ref="C136" r:id="rId186" xr:uid="{00000000-0004-0000-0600-0000B9000000}"/>
    <hyperlink ref="B137" r:id="rId187" xr:uid="{00000000-0004-0000-0600-0000BA000000}"/>
    <hyperlink ref="C137" r:id="rId188" xr:uid="{00000000-0004-0000-0600-0000BB000000}"/>
    <hyperlink ref="B138" r:id="rId189" xr:uid="{00000000-0004-0000-0600-0000BC000000}"/>
    <hyperlink ref="C138" r:id="rId190" xr:uid="{00000000-0004-0000-0600-0000BD000000}"/>
    <hyperlink ref="B139" r:id="rId191" xr:uid="{00000000-0004-0000-0600-0000BE000000}"/>
    <hyperlink ref="C139" r:id="rId192" xr:uid="{00000000-0004-0000-0600-0000BF000000}"/>
    <hyperlink ref="B140" r:id="rId193" xr:uid="{00000000-0004-0000-0600-0000C0000000}"/>
    <hyperlink ref="C140" r:id="rId194" xr:uid="{00000000-0004-0000-0600-0000C1000000}"/>
    <hyperlink ref="B141" r:id="rId195" xr:uid="{00000000-0004-0000-0600-0000C2000000}"/>
    <hyperlink ref="C141" r:id="rId196" xr:uid="{00000000-0004-0000-0600-0000C3000000}"/>
    <hyperlink ref="B142" r:id="rId197" xr:uid="{00000000-0004-0000-0600-0000C4000000}"/>
    <hyperlink ref="C142" r:id="rId198" xr:uid="{00000000-0004-0000-0600-0000C5000000}"/>
    <hyperlink ref="B143" r:id="rId199" xr:uid="{00000000-0004-0000-0600-0000C6000000}"/>
    <hyperlink ref="C143" r:id="rId200" xr:uid="{00000000-0004-0000-0600-0000C7000000}"/>
    <hyperlink ref="B144" r:id="rId201" xr:uid="{00000000-0004-0000-0600-0000C8000000}"/>
    <hyperlink ref="C144" r:id="rId202" xr:uid="{00000000-0004-0000-0600-0000C9000000}"/>
    <hyperlink ref="B145" r:id="rId203" xr:uid="{00000000-0004-0000-0600-0000CA000000}"/>
    <hyperlink ref="C145" r:id="rId204" xr:uid="{00000000-0004-0000-0600-0000CB000000}"/>
    <hyperlink ref="B146" r:id="rId205" xr:uid="{00000000-0004-0000-0600-0000CC000000}"/>
    <hyperlink ref="C146" r:id="rId206" xr:uid="{00000000-0004-0000-0600-0000CD000000}"/>
    <hyperlink ref="B147" r:id="rId207" xr:uid="{00000000-0004-0000-0600-0000CE000000}"/>
    <hyperlink ref="C147" r:id="rId208" xr:uid="{00000000-0004-0000-0600-0000CF000000}"/>
    <hyperlink ref="B148" r:id="rId209" xr:uid="{00000000-0004-0000-0600-0000D0000000}"/>
    <hyperlink ref="C148" r:id="rId210" xr:uid="{00000000-0004-0000-0600-0000D1000000}"/>
    <hyperlink ref="B149" r:id="rId211" xr:uid="{00000000-0004-0000-0600-0000D2000000}"/>
    <hyperlink ref="C149" r:id="rId212" xr:uid="{00000000-0004-0000-0600-0000D3000000}"/>
    <hyperlink ref="B150" r:id="rId213" xr:uid="{00000000-0004-0000-0600-0000D4000000}"/>
    <hyperlink ref="C150" r:id="rId214" xr:uid="{00000000-0004-0000-0600-0000D5000000}"/>
    <hyperlink ref="B151" r:id="rId215" xr:uid="{00000000-0004-0000-0600-0000D6000000}"/>
    <hyperlink ref="C151" r:id="rId216" xr:uid="{00000000-0004-0000-0600-0000D7000000}"/>
    <hyperlink ref="B152" r:id="rId217" xr:uid="{00000000-0004-0000-0600-0000D8000000}"/>
    <hyperlink ref="C152" r:id="rId218" xr:uid="{00000000-0004-0000-0600-0000D9000000}"/>
    <hyperlink ref="B153" r:id="rId219" xr:uid="{00000000-0004-0000-0600-0000DA000000}"/>
    <hyperlink ref="C153" r:id="rId220" xr:uid="{00000000-0004-0000-0600-0000DB000000}"/>
    <hyperlink ref="B154" r:id="rId221" xr:uid="{00000000-0004-0000-0600-0000DC000000}"/>
    <hyperlink ref="C154" r:id="rId222" xr:uid="{00000000-0004-0000-0600-0000DD000000}"/>
    <hyperlink ref="B155" r:id="rId223" xr:uid="{00000000-0004-0000-0600-0000DE000000}"/>
    <hyperlink ref="C155" r:id="rId224" xr:uid="{00000000-0004-0000-0600-0000DF000000}"/>
    <hyperlink ref="B156" r:id="rId225" xr:uid="{00000000-0004-0000-0600-0000E0000000}"/>
    <hyperlink ref="C156" r:id="rId226" xr:uid="{00000000-0004-0000-0600-0000E1000000}"/>
    <hyperlink ref="B157" r:id="rId227" xr:uid="{00000000-0004-0000-0600-0000E2000000}"/>
    <hyperlink ref="C157" r:id="rId228" xr:uid="{00000000-0004-0000-0600-0000E3000000}"/>
    <hyperlink ref="B158" r:id="rId229" xr:uid="{00000000-0004-0000-0600-0000E4000000}"/>
    <hyperlink ref="C158" r:id="rId230" xr:uid="{00000000-0004-0000-0600-0000E5000000}"/>
    <hyperlink ref="B159" r:id="rId231" xr:uid="{00000000-0004-0000-0600-0000E6000000}"/>
    <hyperlink ref="C159" r:id="rId232" xr:uid="{00000000-0004-0000-0600-0000E7000000}"/>
    <hyperlink ref="B160" r:id="rId233" xr:uid="{00000000-0004-0000-0600-0000E8000000}"/>
    <hyperlink ref="C160" r:id="rId234" xr:uid="{00000000-0004-0000-0600-0000E9000000}"/>
    <hyperlink ref="B161" r:id="rId235" xr:uid="{00000000-0004-0000-0600-0000EA000000}"/>
    <hyperlink ref="C161" r:id="rId236" xr:uid="{00000000-0004-0000-0600-0000EB000000}"/>
    <hyperlink ref="B162" r:id="rId237" xr:uid="{00000000-0004-0000-0600-0000EC000000}"/>
    <hyperlink ref="C162" r:id="rId238" xr:uid="{00000000-0004-0000-0600-0000ED000000}"/>
    <hyperlink ref="B163" r:id="rId239" xr:uid="{00000000-0004-0000-0600-0000EE000000}"/>
    <hyperlink ref="C163" r:id="rId240" xr:uid="{00000000-0004-0000-0600-0000EF000000}"/>
    <hyperlink ref="B164" r:id="rId241" xr:uid="{00000000-0004-0000-0600-0000F0000000}"/>
    <hyperlink ref="C164" r:id="rId242" xr:uid="{00000000-0004-0000-0600-0000F1000000}"/>
    <hyperlink ref="B165" r:id="rId243" xr:uid="{00000000-0004-0000-0600-0000F2000000}"/>
    <hyperlink ref="C165" r:id="rId244" xr:uid="{00000000-0004-0000-0600-0000F3000000}"/>
    <hyperlink ref="B166" r:id="rId245" xr:uid="{00000000-0004-0000-0600-0000F4000000}"/>
    <hyperlink ref="C166" r:id="rId246" xr:uid="{00000000-0004-0000-0600-0000F5000000}"/>
    <hyperlink ref="B167" r:id="rId247" xr:uid="{00000000-0004-0000-0600-0000F6000000}"/>
    <hyperlink ref="C167" r:id="rId248" xr:uid="{00000000-0004-0000-0600-0000F7000000}"/>
    <hyperlink ref="B168" r:id="rId249" xr:uid="{00000000-0004-0000-0600-0000F8000000}"/>
    <hyperlink ref="C168" r:id="rId250" xr:uid="{00000000-0004-0000-0600-0000F9000000}"/>
    <hyperlink ref="B169" r:id="rId251" xr:uid="{00000000-0004-0000-0600-0000FA000000}"/>
    <hyperlink ref="C169" r:id="rId252" xr:uid="{00000000-0004-0000-0600-0000FB000000}"/>
    <hyperlink ref="B170" r:id="rId253" xr:uid="{00000000-0004-0000-0600-0000FC000000}"/>
    <hyperlink ref="C170" r:id="rId254" xr:uid="{00000000-0004-0000-0600-0000FD000000}"/>
    <hyperlink ref="C171" r:id="rId255" xr:uid="{00000000-0004-0000-0600-0000FE000000}"/>
    <hyperlink ref="C172" r:id="rId256" xr:uid="{00000000-0004-0000-0600-0000FF000000}"/>
    <hyperlink ref="C173" r:id="rId257" xr:uid="{00000000-0004-0000-0600-000000010000}"/>
    <hyperlink ref="C174" r:id="rId258" xr:uid="{00000000-0004-0000-0600-000001010000}"/>
    <hyperlink ref="C175" r:id="rId259" xr:uid="{00000000-0004-0000-0600-000002010000}"/>
    <hyperlink ref="B176" r:id="rId260" xr:uid="{00000000-0004-0000-0600-000003010000}"/>
    <hyperlink ref="C176" r:id="rId261" xr:uid="{00000000-0004-0000-0600-000004010000}"/>
    <hyperlink ref="B177" r:id="rId262" xr:uid="{00000000-0004-0000-0600-000005010000}"/>
    <hyperlink ref="C177" r:id="rId263" xr:uid="{00000000-0004-0000-0600-000006010000}"/>
    <hyperlink ref="B178" r:id="rId264" xr:uid="{00000000-0004-0000-0600-000007010000}"/>
    <hyperlink ref="C178" r:id="rId265" xr:uid="{00000000-0004-0000-0600-000008010000}"/>
    <hyperlink ref="B179" r:id="rId266" xr:uid="{00000000-0004-0000-0600-000009010000}"/>
    <hyperlink ref="C179" r:id="rId267" xr:uid="{00000000-0004-0000-0600-00000A010000}"/>
    <hyperlink ref="B180" r:id="rId268" xr:uid="{00000000-0004-0000-0600-00000B010000}"/>
    <hyperlink ref="C180" r:id="rId269" xr:uid="{00000000-0004-0000-0600-00000C010000}"/>
    <hyperlink ref="B181" r:id="rId270" xr:uid="{00000000-0004-0000-0600-00000D010000}"/>
    <hyperlink ref="C181" r:id="rId271" xr:uid="{00000000-0004-0000-0600-00000E010000}"/>
    <hyperlink ref="B182" r:id="rId272" xr:uid="{00000000-0004-0000-0600-00000F010000}"/>
    <hyperlink ref="C182" r:id="rId273" xr:uid="{00000000-0004-0000-0600-000010010000}"/>
    <hyperlink ref="B183" r:id="rId274" xr:uid="{00000000-0004-0000-0600-000011010000}"/>
    <hyperlink ref="C183" r:id="rId275" xr:uid="{00000000-0004-0000-0600-000012010000}"/>
    <hyperlink ref="B184" r:id="rId276" xr:uid="{00000000-0004-0000-0600-000013010000}"/>
    <hyperlink ref="C184" r:id="rId277" xr:uid="{00000000-0004-0000-0600-000014010000}"/>
    <hyperlink ref="B185" r:id="rId278" xr:uid="{00000000-0004-0000-0600-000015010000}"/>
    <hyperlink ref="C185" r:id="rId279" xr:uid="{00000000-0004-0000-0600-000016010000}"/>
    <hyperlink ref="B186" r:id="rId280" xr:uid="{00000000-0004-0000-0600-000017010000}"/>
    <hyperlink ref="C186" r:id="rId281" xr:uid="{00000000-0004-0000-0600-000018010000}"/>
    <hyperlink ref="B187" r:id="rId282" xr:uid="{00000000-0004-0000-0600-000019010000}"/>
    <hyperlink ref="C187" r:id="rId283" xr:uid="{00000000-0004-0000-0600-00001A010000}"/>
    <hyperlink ref="J187" r:id="rId284" xr:uid="{00000000-0004-0000-0600-00001B010000}"/>
    <hyperlink ref="B188" r:id="rId285" xr:uid="{00000000-0004-0000-0600-00001C010000}"/>
    <hyperlink ref="C188" r:id="rId286" xr:uid="{00000000-0004-0000-0600-00001D010000}"/>
    <hyperlink ref="B189" r:id="rId287" xr:uid="{00000000-0004-0000-0600-00001E010000}"/>
    <hyperlink ref="C189" r:id="rId288" xr:uid="{00000000-0004-0000-0600-00001F010000}"/>
    <hyperlink ref="B190" r:id="rId289" xr:uid="{00000000-0004-0000-0600-000020010000}"/>
    <hyperlink ref="C190" r:id="rId290" xr:uid="{00000000-0004-0000-0600-000021010000}"/>
    <hyperlink ref="B191" r:id="rId291" xr:uid="{00000000-0004-0000-0600-000022010000}"/>
    <hyperlink ref="C191" r:id="rId292" xr:uid="{00000000-0004-0000-0600-000023010000}"/>
    <hyperlink ref="B192" r:id="rId293" xr:uid="{00000000-0004-0000-0600-000024010000}"/>
    <hyperlink ref="C192" r:id="rId294" xr:uid="{00000000-0004-0000-0600-000025010000}"/>
    <hyperlink ref="B193" r:id="rId295" xr:uid="{00000000-0004-0000-0600-000026010000}"/>
    <hyperlink ref="C193" r:id="rId296" xr:uid="{00000000-0004-0000-0600-000027010000}"/>
    <hyperlink ref="B194" r:id="rId297" xr:uid="{00000000-0004-0000-0600-000028010000}"/>
    <hyperlink ref="C194" r:id="rId298" xr:uid="{00000000-0004-0000-0600-000029010000}"/>
    <hyperlink ref="B195" r:id="rId299" xr:uid="{00000000-0004-0000-0600-00002A010000}"/>
    <hyperlink ref="C195" r:id="rId300" xr:uid="{00000000-0004-0000-0600-00002B010000}"/>
    <hyperlink ref="B196" r:id="rId301" xr:uid="{00000000-0004-0000-0600-00002C010000}"/>
    <hyperlink ref="C196" r:id="rId302" xr:uid="{00000000-0004-0000-0600-00002D010000}"/>
    <hyperlink ref="B197" r:id="rId303" xr:uid="{00000000-0004-0000-0600-00002E010000}"/>
    <hyperlink ref="C197" r:id="rId304" xr:uid="{00000000-0004-0000-0600-00002F010000}"/>
    <hyperlink ref="B198" r:id="rId305" xr:uid="{00000000-0004-0000-0600-000030010000}"/>
    <hyperlink ref="C198" r:id="rId306" xr:uid="{00000000-0004-0000-0600-000031010000}"/>
    <hyperlink ref="B199" r:id="rId307" xr:uid="{00000000-0004-0000-0600-000032010000}"/>
    <hyperlink ref="C199" r:id="rId308" xr:uid="{00000000-0004-0000-0600-000033010000}"/>
    <hyperlink ref="B200" r:id="rId309" xr:uid="{00000000-0004-0000-0600-000034010000}"/>
    <hyperlink ref="C200" r:id="rId310" xr:uid="{00000000-0004-0000-0600-000035010000}"/>
    <hyperlink ref="B201" r:id="rId311" xr:uid="{00000000-0004-0000-0600-000036010000}"/>
    <hyperlink ref="C201" r:id="rId312" xr:uid="{00000000-0004-0000-0600-000037010000}"/>
    <hyperlink ref="B202" r:id="rId313" xr:uid="{00000000-0004-0000-0600-000038010000}"/>
    <hyperlink ref="C202" r:id="rId314" xr:uid="{00000000-0004-0000-0600-000039010000}"/>
    <hyperlink ref="B203" r:id="rId315" xr:uid="{00000000-0004-0000-0600-00003A010000}"/>
    <hyperlink ref="C203" r:id="rId316" xr:uid="{00000000-0004-0000-0600-00003B010000}"/>
    <hyperlink ref="B204" r:id="rId317" xr:uid="{00000000-0004-0000-0600-00003C010000}"/>
    <hyperlink ref="C204" r:id="rId318" xr:uid="{00000000-0004-0000-0600-00003D010000}"/>
    <hyperlink ref="B205" r:id="rId319" xr:uid="{00000000-0004-0000-0600-00003E010000}"/>
    <hyperlink ref="C205" r:id="rId320" xr:uid="{00000000-0004-0000-0600-00003F010000}"/>
    <hyperlink ref="B206" r:id="rId321" xr:uid="{00000000-0004-0000-0600-000040010000}"/>
    <hyperlink ref="C206" r:id="rId322" xr:uid="{00000000-0004-0000-0600-000041010000}"/>
    <hyperlink ref="B207" r:id="rId323" xr:uid="{00000000-0004-0000-0600-000042010000}"/>
    <hyperlink ref="C207" r:id="rId324" xr:uid="{00000000-0004-0000-0600-000043010000}"/>
    <hyperlink ref="B208" r:id="rId325" xr:uid="{00000000-0004-0000-0600-000044010000}"/>
    <hyperlink ref="C208" r:id="rId326" xr:uid="{00000000-0004-0000-0600-000045010000}"/>
    <hyperlink ref="B209" r:id="rId327" xr:uid="{00000000-0004-0000-0600-000046010000}"/>
    <hyperlink ref="C209" r:id="rId328" xr:uid="{00000000-0004-0000-0600-000047010000}"/>
    <hyperlink ref="B210" r:id="rId329" xr:uid="{00000000-0004-0000-0600-000048010000}"/>
    <hyperlink ref="C210" r:id="rId330" xr:uid="{00000000-0004-0000-0600-000049010000}"/>
    <hyperlink ref="B211" r:id="rId331" xr:uid="{00000000-0004-0000-0600-00004A010000}"/>
    <hyperlink ref="C211" r:id="rId332" xr:uid="{00000000-0004-0000-0600-00004B010000}"/>
    <hyperlink ref="B212" r:id="rId333" xr:uid="{00000000-0004-0000-0600-00004C010000}"/>
    <hyperlink ref="C212" r:id="rId334" xr:uid="{00000000-0004-0000-0600-00004D010000}"/>
    <hyperlink ref="B213" r:id="rId335" xr:uid="{00000000-0004-0000-0600-00004E010000}"/>
    <hyperlink ref="C213" r:id="rId336" xr:uid="{00000000-0004-0000-0600-00004F010000}"/>
    <hyperlink ref="B214" r:id="rId337" xr:uid="{00000000-0004-0000-0600-000050010000}"/>
    <hyperlink ref="C214" r:id="rId338" xr:uid="{00000000-0004-0000-0600-000051010000}"/>
    <hyperlink ref="B215" r:id="rId339" xr:uid="{00000000-0004-0000-0600-000052010000}"/>
    <hyperlink ref="C215" r:id="rId340" xr:uid="{00000000-0004-0000-0600-000053010000}"/>
    <hyperlink ref="B216" r:id="rId341" xr:uid="{00000000-0004-0000-0600-000054010000}"/>
    <hyperlink ref="C216" r:id="rId342" xr:uid="{00000000-0004-0000-0600-000055010000}"/>
    <hyperlink ref="B217" r:id="rId343" xr:uid="{00000000-0004-0000-0600-000056010000}"/>
    <hyperlink ref="C217" r:id="rId344" xr:uid="{00000000-0004-0000-0600-000057010000}"/>
    <hyperlink ref="B218" r:id="rId345" xr:uid="{00000000-0004-0000-0600-000058010000}"/>
    <hyperlink ref="C218" r:id="rId346" xr:uid="{00000000-0004-0000-0600-000059010000}"/>
    <hyperlink ref="B219" r:id="rId347" xr:uid="{00000000-0004-0000-0600-00005A010000}"/>
    <hyperlink ref="C219" r:id="rId348" xr:uid="{00000000-0004-0000-0600-00005B010000}"/>
    <hyperlink ref="B220" r:id="rId349" xr:uid="{00000000-0004-0000-0600-00005C010000}"/>
    <hyperlink ref="C220" r:id="rId350" xr:uid="{00000000-0004-0000-0600-00005D010000}"/>
    <hyperlink ref="B221" r:id="rId351" xr:uid="{00000000-0004-0000-0600-00005E010000}"/>
    <hyperlink ref="C221" r:id="rId352" xr:uid="{00000000-0004-0000-0600-00005F010000}"/>
    <hyperlink ref="B222" r:id="rId353" xr:uid="{00000000-0004-0000-0600-000060010000}"/>
    <hyperlink ref="C222" r:id="rId354" xr:uid="{00000000-0004-0000-0600-000061010000}"/>
    <hyperlink ref="B223" r:id="rId355" xr:uid="{00000000-0004-0000-0600-000062010000}"/>
    <hyperlink ref="C223" r:id="rId356" xr:uid="{00000000-0004-0000-0600-000063010000}"/>
    <hyperlink ref="B224" r:id="rId357" xr:uid="{00000000-0004-0000-0600-000064010000}"/>
    <hyperlink ref="C224" r:id="rId358" xr:uid="{00000000-0004-0000-0600-000065010000}"/>
    <hyperlink ref="B225" r:id="rId359" xr:uid="{00000000-0004-0000-0600-000066010000}"/>
    <hyperlink ref="C225" r:id="rId360" xr:uid="{00000000-0004-0000-0600-000067010000}"/>
    <hyperlink ref="B226" r:id="rId361" xr:uid="{00000000-0004-0000-0600-000068010000}"/>
    <hyperlink ref="C226" r:id="rId362" xr:uid="{00000000-0004-0000-0600-000069010000}"/>
    <hyperlink ref="B227" r:id="rId363" xr:uid="{00000000-0004-0000-0600-00006A010000}"/>
    <hyperlink ref="C227" r:id="rId364" xr:uid="{00000000-0004-0000-0600-00006B010000}"/>
    <hyperlink ref="B228" r:id="rId365" xr:uid="{00000000-0004-0000-0600-00006C010000}"/>
    <hyperlink ref="C228" r:id="rId366" xr:uid="{00000000-0004-0000-0600-00006D010000}"/>
    <hyperlink ref="B229" r:id="rId367" xr:uid="{00000000-0004-0000-0600-00006E010000}"/>
    <hyperlink ref="C229" r:id="rId368" xr:uid="{00000000-0004-0000-0600-00006F010000}"/>
    <hyperlink ref="B230" r:id="rId369" xr:uid="{00000000-0004-0000-0600-000070010000}"/>
    <hyperlink ref="C230" r:id="rId370" xr:uid="{00000000-0004-0000-0600-000071010000}"/>
    <hyperlink ref="B231" r:id="rId371" xr:uid="{00000000-0004-0000-0600-000072010000}"/>
    <hyperlink ref="C231" r:id="rId372" xr:uid="{00000000-0004-0000-0600-000073010000}"/>
    <hyperlink ref="B232" r:id="rId373" xr:uid="{00000000-0004-0000-0600-000074010000}"/>
    <hyperlink ref="C232" r:id="rId374" xr:uid="{00000000-0004-0000-0600-000075010000}"/>
    <hyperlink ref="B233" r:id="rId375" xr:uid="{00000000-0004-0000-0600-000076010000}"/>
    <hyperlink ref="C233" r:id="rId376" xr:uid="{00000000-0004-0000-0600-000077010000}"/>
    <hyperlink ref="B234" r:id="rId377" xr:uid="{00000000-0004-0000-0600-000078010000}"/>
    <hyperlink ref="C234" r:id="rId378" xr:uid="{00000000-0004-0000-0600-000079010000}"/>
    <hyperlink ref="B235" r:id="rId379" xr:uid="{00000000-0004-0000-0600-00007A010000}"/>
    <hyperlink ref="C235" r:id="rId380" xr:uid="{00000000-0004-0000-0600-00007B010000}"/>
    <hyperlink ref="B236" r:id="rId381" xr:uid="{00000000-0004-0000-0600-00007C010000}"/>
    <hyperlink ref="C236" r:id="rId382" xr:uid="{00000000-0004-0000-0600-00007D010000}"/>
    <hyperlink ref="B237" r:id="rId383" xr:uid="{00000000-0004-0000-0600-00007E010000}"/>
    <hyperlink ref="C237" r:id="rId384" xr:uid="{00000000-0004-0000-0600-00007F010000}"/>
    <hyperlink ref="B238" r:id="rId385" xr:uid="{00000000-0004-0000-0600-000080010000}"/>
    <hyperlink ref="C238" r:id="rId386" xr:uid="{00000000-0004-0000-0600-000081010000}"/>
    <hyperlink ref="B239" r:id="rId387" xr:uid="{00000000-0004-0000-0600-000082010000}"/>
    <hyperlink ref="C239" r:id="rId388" xr:uid="{00000000-0004-0000-0600-000083010000}"/>
    <hyperlink ref="B240" r:id="rId389" xr:uid="{00000000-0004-0000-0600-000084010000}"/>
    <hyperlink ref="C240" r:id="rId390" xr:uid="{00000000-0004-0000-0600-000085010000}"/>
    <hyperlink ref="B241" r:id="rId391" xr:uid="{00000000-0004-0000-0600-000086010000}"/>
    <hyperlink ref="C241" r:id="rId392" xr:uid="{00000000-0004-0000-0600-000087010000}"/>
    <hyperlink ref="B242" r:id="rId393" xr:uid="{00000000-0004-0000-0600-000088010000}"/>
    <hyperlink ref="C242" r:id="rId394" xr:uid="{00000000-0004-0000-0600-000089010000}"/>
    <hyperlink ref="B243" r:id="rId395" xr:uid="{00000000-0004-0000-0600-00008A010000}"/>
    <hyperlink ref="C243" r:id="rId396" xr:uid="{00000000-0004-0000-0600-00008B010000}"/>
    <hyperlink ref="B244" r:id="rId397" xr:uid="{00000000-0004-0000-0600-00008C010000}"/>
    <hyperlink ref="C244" r:id="rId398" xr:uid="{00000000-0004-0000-0600-00008D010000}"/>
    <hyperlink ref="B245" r:id="rId399" xr:uid="{00000000-0004-0000-0600-00008E010000}"/>
    <hyperlink ref="C245" r:id="rId400" xr:uid="{00000000-0004-0000-0600-00008F010000}"/>
    <hyperlink ref="B246" r:id="rId401" xr:uid="{00000000-0004-0000-0600-000090010000}"/>
    <hyperlink ref="C246" r:id="rId402" xr:uid="{00000000-0004-0000-0600-000091010000}"/>
    <hyperlink ref="B247" r:id="rId403" xr:uid="{00000000-0004-0000-0600-000092010000}"/>
    <hyperlink ref="C247" r:id="rId404" xr:uid="{00000000-0004-0000-0600-000093010000}"/>
    <hyperlink ref="B248" r:id="rId405" xr:uid="{00000000-0004-0000-0600-000094010000}"/>
    <hyperlink ref="C248" r:id="rId406" xr:uid="{00000000-0004-0000-0600-000095010000}"/>
    <hyperlink ref="B249" r:id="rId407" xr:uid="{00000000-0004-0000-0600-000096010000}"/>
    <hyperlink ref="C249" r:id="rId408" xr:uid="{00000000-0004-0000-0600-000097010000}"/>
    <hyperlink ref="B250" r:id="rId409" xr:uid="{00000000-0004-0000-0600-000098010000}"/>
    <hyperlink ref="C250" r:id="rId410" xr:uid="{00000000-0004-0000-0600-000099010000}"/>
    <hyperlink ref="B251" r:id="rId411" xr:uid="{00000000-0004-0000-0600-00009A010000}"/>
    <hyperlink ref="C251" r:id="rId412" xr:uid="{00000000-0004-0000-0600-00009B010000}"/>
    <hyperlink ref="B252" r:id="rId413" xr:uid="{00000000-0004-0000-0600-00009C010000}"/>
    <hyperlink ref="C252" r:id="rId414" xr:uid="{00000000-0004-0000-0600-00009D010000}"/>
    <hyperlink ref="B253" r:id="rId415" xr:uid="{00000000-0004-0000-0600-00009E010000}"/>
    <hyperlink ref="C253" r:id="rId416" xr:uid="{00000000-0004-0000-0600-00009F010000}"/>
    <hyperlink ref="B254" r:id="rId417" xr:uid="{00000000-0004-0000-0600-0000A0010000}"/>
    <hyperlink ref="C254" r:id="rId418" xr:uid="{00000000-0004-0000-0600-0000A1010000}"/>
    <hyperlink ref="B255" r:id="rId419" xr:uid="{00000000-0004-0000-0600-0000A2010000}"/>
    <hyperlink ref="C255" r:id="rId420" xr:uid="{00000000-0004-0000-0600-0000A3010000}"/>
    <hyperlink ref="B256" r:id="rId421" xr:uid="{00000000-0004-0000-0600-0000A4010000}"/>
    <hyperlink ref="C256" r:id="rId422" xr:uid="{00000000-0004-0000-0600-0000A5010000}"/>
    <hyperlink ref="B257" r:id="rId423" xr:uid="{00000000-0004-0000-0600-0000A6010000}"/>
    <hyperlink ref="C257" r:id="rId424" xr:uid="{00000000-0004-0000-0600-0000A7010000}"/>
    <hyperlink ref="B258" r:id="rId425" xr:uid="{00000000-0004-0000-0600-0000A8010000}"/>
    <hyperlink ref="C258" r:id="rId426" xr:uid="{00000000-0004-0000-0600-0000A9010000}"/>
    <hyperlink ref="B259" r:id="rId427" xr:uid="{00000000-0004-0000-0600-0000AA010000}"/>
    <hyperlink ref="C259" r:id="rId428" xr:uid="{00000000-0004-0000-0600-0000AB010000}"/>
    <hyperlink ref="D261" r:id="rId429" xr:uid="{00000000-0004-0000-0600-0000AC010000}"/>
    <hyperlink ref="D262" r:id="rId430" xr:uid="{00000000-0004-0000-0600-0000AD010000}"/>
    <hyperlink ref="D263" r:id="rId431" xr:uid="{00000000-0004-0000-0600-0000AE010000}"/>
    <hyperlink ref="D264" r:id="rId432" xr:uid="{00000000-0004-0000-0600-0000AF010000}"/>
    <hyperlink ref="D265" r:id="rId433" xr:uid="{00000000-0004-0000-0600-0000B0010000}"/>
    <hyperlink ref="D266" r:id="rId434" xr:uid="{00000000-0004-0000-0600-0000B1010000}"/>
    <hyperlink ref="D267" r:id="rId435" xr:uid="{00000000-0004-0000-0600-0000B2010000}"/>
    <hyperlink ref="D268" r:id="rId436" xr:uid="{00000000-0004-0000-0600-0000B3010000}"/>
    <hyperlink ref="D269" r:id="rId437" xr:uid="{00000000-0004-0000-0600-0000B4010000}"/>
    <hyperlink ref="B273" r:id="rId438" xr:uid="{00000000-0004-0000-0600-0000B5010000}"/>
    <hyperlink ref="B274" r:id="rId439" xr:uid="{00000000-0004-0000-0600-0000B6010000}"/>
    <hyperlink ref="B275" r:id="rId440" xr:uid="{00000000-0004-0000-0600-0000B7010000}"/>
    <hyperlink ref="B276" r:id="rId441" xr:uid="{00000000-0004-0000-0600-0000B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Link SellersCompetitors</vt:lpstr>
      <vt:lpstr>Extracted Websites</vt:lpstr>
      <vt:lpstr>Rubel</vt:lpstr>
      <vt:lpstr>Jeff</vt:lpstr>
      <vt:lpstr>Sal</vt:lpstr>
      <vt:lpstr>Brady</vt:lpstr>
      <vt:lpstr>Robiul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BenWil Dev</dc:creator>
  <cp:lastModifiedBy>Md Golam Morshed</cp:lastModifiedBy>
  <dcterms:created xsi:type="dcterms:W3CDTF">2026-03-12T05:32:14Z</dcterms:created>
  <dcterms:modified xsi:type="dcterms:W3CDTF">2026-03-12T05:32:15Z</dcterms:modified>
</cp:coreProperties>
</file>